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Accounting\Income Statement\2025\"/>
    </mc:Choice>
  </mc:AlternateContent>
  <xr:revisionPtr revIDLastSave="0" documentId="13_ncr:1_{E4628EDC-59AC-4156-9BBD-20493122444D}" xr6:coauthVersionLast="47" xr6:coauthVersionMax="47" xr10:uidLastSave="{00000000-0000-0000-0000-000000000000}"/>
  <bookViews>
    <workbookView xWindow="-108" yWindow="-108" windowWidth="23256" windowHeight="12576" firstSheet="33" activeTab="37" xr2:uid="{AC733595-01FC-49CC-BFC9-C0F43FFF52BB}"/>
  </bookViews>
  <sheets>
    <sheet name="Dashboard" sheetId="73" r:id="rId1"/>
    <sheet name="HQ" sheetId="72" r:id="rId2"/>
    <sheet name="Aguza" sheetId="46" r:id="rId3"/>
    <sheet name="October" sheetId="47" r:id="rId4"/>
    <sheet name="Batal" sheetId="48" r:id="rId5"/>
    <sheet name="Nasr City" sheetId="49" r:id="rId6"/>
    <sheet name="Sweedy" sheetId="50" r:id="rId7"/>
    <sheet name="NTRA" sheetId="51" r:id="rId8"/>
    <sheet name="Etisalat" sheetId="52" r:id="rId9"/>
    <sheet name="Hazzem Hassan" sheetId="53" r:id="rId10"/>
    <sheet name="Sena3ia" sheetId="54" r:id="rId11"/>
    <sheet name="Khargia" sheetId="55" r:id="rId12"/>
    <sheet name="Tagmou3" sheetId="56" r:id="rId13"/>
    <sheet name="Maadi" sheetId="57" r:id="rId14"/>
    <sheet name="Sand Beach" sheetId="59" r:id="rId15"/>
    <sheet name="Zaid" sheetId="58" r:id="rId16"/>
    <sheet name="Alamya" sheetId="60" r:id="rId17"/>
    <sheet name="Online" sheetId="61" r:id="rId18"/>
    <sheet name="Orange" sheetId="62" r:id="rId19"/>
    <sheet name="Vod.Smart" sheetId="63" r:id="rId20"/>
    <sheet name="Vod.Zahraa" sheetId="64" r:id="rId21"/>
    <sheet name="Mo7awelat" sheetId="65" r:id="rId22"/>
    <sheet name="Electric" sheetId="66" r:id="rId23"/>
    <sheet name="M.C.V" sheetId="67" r:id="rId24"/>
    <sheet name="Egyplast" sheetId="68" r:id="rId25"/>
    <sheet name="Etisalat.Katamya" sheetId="69" r:id="rId26"/>
    <sheet name="CFC" sheetId="70" r:id="rId27"/>
    <sheet name="North.Coast" sheetId="71" state="hidden" r:id="rId28"/>
    <sheet name="Rehab" sheetId="82" r:id="rId29"/>
    <sheet name="HSBC MAADI" sheetId="79" r:id="rId30"/>
    <sheet name="Sheet2" sheetId="38" r:id="rId31"/>
    <sheet name="HSBC SMART" sheetId="80" r:id="rId32"/>
    <sheet name="Vois" sheetId="81" state="hidden" r:id="rId33"/>
    <sheet name="تقرير المصروفات حسب الشهر" sheetId="75" r:id="rId34"/>
    <sheet name="تقرير إحصائية بحجم المبيعات" sheetId="28" r:id="rId35"/>
    <sheet name="تقرير مصروفات حسب الفرع" sheetId="7" state="hidden" r:id="rId36"/>
    <sheet name="تقرير مجمعة حسب الشهر" sheetId="3" r:id="rId37"/>
    <sheet name="تقرير مصروفات إجمالية" sheetId="9" r:id="rId38"/>
    <sheet name="مجمعة إجمالية" sheetId="8" r:id="rId39"/>
    <sheet name="Sheet1" sheetId="39" state="hidden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_xlnm._FilterDatabase" localSheetId="1" hidden="1">HQ!$C$21:$P$140</definedName>
    <definedName name="_xlnm._FilterDatabase" localSheetId="30" hidden="1">Sheet2!$M$3:$Y$37</definedName>
    <definedName name="_xlnm._FilterDatabase" localSheetId="34" hidden="1">'تقرير إحصائية بحجم المبيعات'!$B$322:$P$322</definedName>
    <definedName name="_xlnm._FilterDatabase" localSheetId="33" hidden="1">'تقرير المصروفات حسب الشهر'!$C$1270:$AI$1385</definedName>
    <definedName name="_xlnm._FilterDatabase" localSheetId="36" hidden="1">'تقرير مجمعة حسب الشهر'!$A$5:$N$37</definedName>
    <definedName name="_xlnm._FilterDatabase" localSheetId="37" hidden="1">'تقرير مصروفات إجمالية'!$B$3:$O$119</definedName>
    <definedName name="_xlnm._FilterDatabase" localSheetId="35" hidden="1">'تقرير مصروفات حسب الفرع'!$B$5:$O$118</definedName>
    <definedName name="linkkksss">INDIRECT(ADDRESS(1,1,,,Dashboard!A1))</definedName>
    <definedName name="_xlnm.Print_Area" localSheetId="34">'تقرير إحصائية بحجم المبيعات'!#REF!</definedName>
    <definedName name="_xlnm.Print_Area" localSheetId="37">'تقرير مصروفات إجمالية'!$B$2:$O$119</definedName>
    <definedName name="_xlnm.Print_Area" localSheetId="35">'تقرير مصروفات حسب الفرع'!$B$330:$G$420</definedName>
    <definedName name="_xlnm.Print_Area" localSheetId="38">'مجمعة إجمالية'!$B$2:$M$16</definedName>
    <definedName name="sheet_link">INDIRECT(ADDRESS(7,3,,,Dashboard!DY1048576))</definedName>
    <definedName name="Shheet_Link">INDIRECT(ADDRESS(7,3,,,Dashboard!A1))</definedName>
    <definedName name="shshshs">INDIRECT(ADDRESS(1,1,,,Dashboard!A1))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9" i="28" l="1"/>
  <c r="P18" i="72"/>
  <c r="F23" i="72"/>
  <c r="F24" i="72"/>
  <c r="F25" i="72"/>
  <c r="F26" i="72"/>
  <c r="F27" i="72"/>
  <c r="F28" i="72"/>
  <c r="F29" i="72"/>
  <c r="P29" i="72" s="1"/>
  <c r="F30" i="72"/>
  <c r="F31" i="72"/>
  <c r="F32" i="72"/>
  <c r="F33" i="72"/>
  <c r="F34" i="72"/>
  <c r="F35" i="72"/>
  <c r="F36" i="72"/>
  <c r="F37" i="72"/>
  <c r="P37" i="72" s="1"/>
  <c r="F38" i="72"/>
  <c r="F39" i="72"/>
  <c r="F40" i="72"/>
  <c r="F41" i="72"/>
  <c r="F42" i="72"/>
  <c r="F43" i="72"/>
  <c r="F44" i="72"/>
  <c r="F45" i="72"/>
  <c r="P45" i="72" s="1"/>
  <c r="F46" i="72"/>
  <c r="F47" i="72"/>
  <c r="F48" i="72"/>
  <c r="F49" i="72"/>
  <c r="F50" i="72"/>
  <c r="F51" i="72"/>
  <c r="F52" i="72"/>
  <c r="F53" i="72"/>
  <c r="P53" i="72" s="1"/>
  <c r="F54" i="72"/>
  <c r="F55" i="72"/>
  <c r="F56" i="72"/>
  <c r="F57" i="72"/>
  <c r="F58" i="72"/>
  <c r="F59" i="72"/>
  <c r="F60" i="72"/>
  <c r="F61" i="72"/>
  <c r="P61" i="72" s="1"/>
  <c r="F62" i="72"/>
  <c r="F63" i="72"/>
  <c r="F64" i="72"/>
  <c r="F65" i="72"/>
  <c r="F66" i="72"/>
  <c r="F67" i="72"/>
  <c r="F68" i="72"/>
  <c r="F69" i="72"/>
  <c r="P69" i="72" s="1"/>
  <c r="F70" i="72"/>
  <c r="F71" i="72"/>
  <c r="F72" i="72"/>
  <c r="F73" i="72"/>
  <c r="F74" i="72"/>
  <c r="F75" i="72"/>
  <c r="F76" i="72"/>
  <c r="F77" i="72"/>
  <c r="P77" i="72" s="1"/>
  <c r="F78" i="72"/>
  <c r="F79" i="72"/>
  <c r="F80" i="72"/>
  <c r="F81" i="72"/>
  <c r="F82" i="72"/>
  <c r="F83" i="72"/>
  <c r="F84" i="72"/>
  <c r="F85" i="72"/>
  <c r="P85" i="72" s="1"/>
  <c r="F86" i="72"/>
  <c r="F87" i="72"/>
  <c r="F88" i="72"/>
  <c r="F89" i="72"/>
  <c r="F90" i="72"/>
  <c r="F91" i="72"/>
  <c r="F92" i="72"/>
  <c r="F93" i="72"/>
  <c r="P93" i="72" s="1"/>
  <c r="F94" i="72"/>
  <c r="F95" i="72"/>
  <c r="F96" i="72"/>
  <c r="F97" i="72"/>
  <c r="F98" i="72"/>
  <c r="F99" i="72"/>
  <c r="F100" i="72"/>
  <c r="F101" i="72"/>
  <c r="P101" i="72" s="1"/>
  <c r="F102" i="72"/>
  <c r="F103" i="72"/>
  <c r="F104" i="72"/>
  <c r="F105" i="72"/>
  <c r="F106" i="72"/>
  <c r="F107" i="72"/>
  <c r="F108" i="72"/>
  <c r="F109" i="72"/>
  <c r="P109" i="72" s="1"/>
  <c r="F110" i="72"/>
  <c r="F111" i="72"/>
  <c r="F112" i="72"/>
  <c r="P112" i="72" s="1"/>
  <c r="F113" i="72"/>
  <c r="F114" i="72"/>
  <c r="F115" i="72"/>
  <c r="F116" i="72"/>
  <c r="P116" i="72" s="1"/>
  <c r="F117" i="72"/>
  <c r="P117" i="72" s="1"/>
  <c r="F118" i="72"/>
  <c r="F119" i="72"/>
  <c r="F120" i="72"/>
  <c r="P120" i="72" s="1"/>
  <c r="F121" i="72"/>
  <c r="F122" i="72"/>
  <c r="F123" i="72"/>
  <c r="F124" i="72"/>
  <c r="P124" i="72" s="1"/>
  <c r="F125" i="72"/>
  <c r="P125" i="72" s="1"/>
  <c r="F126" i="72"/>
  <c r="F127" i="72"/>
  <c r="F128" i="72"/>
  <c r="P128" i="72" s="1"/>
  <c r="F129" i="72"/>
  <c r="F130" i="72"/>
  <c r="F131" i="72"/>
  <c r="F132" i="72"/>
  <c r="P132" i="72" s="1"/>
  <c r="F133" i="72"/>
  <c r="P133" i="72" s="1"/>
  <c r="F134" i="72"/>
  <c r="F135" i="72"/>
  <c r="F136" i="72"/>
  <c r="P136" i="72" s="1"/>
  <c r="F137" i="72"/>
  <c r="F138" i="72"/>
  <c r="F139" i="72"/>
  <c r="F22" i="72"/>
  <c r="P23" i="72"/>
  <c r="P24" i="72"/>
  <c r="P25" i="72"/>
  <c r="P26" i="72"/>
  <c r="P27" i="72"/>
  <c r="P28" i="72"/>
  <c r="P30" i="72"/>
  <c r="P31" i="72"/>
  <c r="P32" i="72"/>
  <c r="P33" i="72"/>
  <c r="P34" i="72"/>
  <c r="P35" i="72"/>
  <c r="P36" i="72"/>
  <c r="P38" i="72"/>
  <c r="P39" i="72"/>
  <c r="P40" i="72"/>
  <c r="P41" i="72"/>
  <c r="P42" i="72"/>
  <c r="P43" i="72"/>
  <c r="P44" i="72"/>
  <c r="P46" i="72"/>
  <c r="P47" i="72"/>
  <c r="P48" i="72"/>
  <c r="P49" i="72"/>
  <c r="P50" i="72"/>
  <c r="P51" i="72"/>
  <c r="P52" i="72"/>
  <c r="P54" i="72"/>
  <c r="P55" i="72"/>
  <c r="P56" i="72"/>
  <c r="P57" i="72"/>
  <c r="P58" i="72"/>
  <c r="P59" i="72"/>
  <c r="P60" i="72"/>
  <c r="P62" i="72"/>
  <c r="P63" i="72"/>
  <c r="P64" i="72"/>
  <c r="P65" i="72"/>
  <c r="P66" i="72"/>
  <c r="P67" i="72"/>
  <c r="P68" i="72"/>
  <c r="P70" i="72"/>
  <c r="P71" i="72"/>
  <c r="P72" i="72"/>
  <c r="P73" i="72"/>
  <c r="P74" i="72"/>
  <c r="P75" i="72"/>
  <c r="P76" i="72"/>
  <c r="P78" i="72"/>
  <c r="P79" i="72"/>
  <c r="P80" i="72"/>
  <c r="P81" i="72"/>
  <c r="P82" i="72"/>
  <c r="P83" i="72"/>
  <c r="P84" i="72"/>
  <c r="P86" i="72"/>
  <c r="P87" i="72"/>
  <c r="P88" i="72"/>
  <c r="P89" i="72"/>
  <c r="P90" i="72"/>
  <c r="P91" i="72"/>
  <c r="P92" i="72"/>
  <c r="P94" i="72"/>
  <c r="P95" i="72"/>
  <c r="P96" i="72"/>
  <c r="P97" i="72"/>
  <c r="P98" i="72"/>
  <c r="P99" i="72"/>
  <c r="P100" i="72"/>
  <c r="P102" i="72"/>
  <c r="P103" i="72"/>
  <c r="P104" i="72"/>
  <c r="P105" i="72"/>
  <c r="P106" i="72"/>
  <c r="P107" i="72"/>
  <c r="P108" i="72"/>
  <c r="P110" i="72"/>
  <c r="P111" i="72"/>
  <c r="P113" i="72"/>
  <c r="P114" i="72"/>
  <c r="P115" i="72"/>
  <c r="P118" i="72"/>
  <c r="P119" i="72"/>
  <c r="P121" i="72"/>
  <c r="P122" i="72"/>
  <c r="P123" i="72"/>
  <c r="P126" i="72"/>
  <c r="P127" i="72"/>
  <c r="P129" i="72"/>
  <c r="P130" i="72"/>
  <c r="P131" i="72"/>
  <c r="P134" i="72"/>
  <c r="P135" i="72"/>
  <c r="P137" i="72"/>
  <c r="P138" i="72"/>
  <c r="P139" i="72"/>
  <c r="AI1399" i="75" l="1"/>
  <c r="AI1400" i="75"/>
  <c r="N6" i="9" s="1"/>
  <c r="AD101" i="73" s="1"/>
  <c r="AI1401" i="75"/>
  <c r="AI1402" i="75"/>
  <c r="AI1403" i="75"/>
  <c r="AI1404" i="75"/>
  <c r="AI1405" i="75"/>
  <c r="AI1406" i="75"/>
  <c r="N12" i="9" s="1"/>
  <c r="AI1407" i="75"/>
  <c r="AI1408" i="75"/>
  <c r="AI1409" i="75"/>
  <c r="AI1410" i="75"/>
  <c r="AI1411" i="75"/>
  <c r="AI1412" i="75"/>
  <c r="AI1413" i="75"/>
  <c r="AI1414" i="75"/>
  <c r="N20" i="9" s="1"/>
  <c r="AI1415" i="75"/>
  <c r="AI1416" i="75"/>
  <c r="AI1417" i="75"/>
  <c r="AI1418" i="75"/>
  <c r="AI1419" i="75"/>
  <c r="AI1420" i="75"/>
  <c r="AI1421" i="75"/>
  <c r="AI1422" i="75"/>
  <c r="N28" i="9" s="1"/>
  <c r="AI1423" i="75"/>
  <c r="AI1424" i="75"/>
  <c r="AI1425" i="75"/>
  <c r="AI1426" i="75"/>
  <c r="AI1427" i="75"/>
  <c r="AI1428" i="75"/>
  <c r="AI1429" i="75"/>
  <c r="AI1430" i="75"/>
  <c r="N36" i="9" s="1"/>
  <c r="AI1431" i="75"/>
  <c r="AI1432" i="75"/>
  <c r="AI1433" i="75"/>
  <c r="AI1434" i="75"/>
  <c r="AI1435" i="75"/>
  <c r="AI1436" i="75"/>
  <c r="AI1437" i="75"/>
  <c r="AI1438" i="75"/>
  <c r="N44" i="9" s="1"/>
  <c r="AI1439" i="75"/>
  <c r="AI1440" i="75"/>
  <c r="AI1441" i="75"/>
  <c r="AI1442" i="75"/>
  <c r="AI1443" i="75"/>
  <c r="AI1444" i="75"/>
  <c r="AI1445" i="75"/>
  <c r="AI1446" i="75"/>
  <c r="AI1447" i="75"/>
  <c r="AI1448" i="75"/>
  <c r="AI1449" i="75"/>
  <c r="AI1450" i="75"/>
  <c r="AI1451" i="75"/>
  <c r="AI1452" i="75"/>
  <c r="AI1453" i="75"/>
  <c r="AI1454" i="75"/>
  <c r="AI1455" i="75"/>
  <c r="AI1456" i="75"/>
  <c r="AI1457" i="75"/>
  <c r="AI1458" i="75"/>
  <c r="AI1459" i="75"/>
  <c r="AI1460" i="75"/>
  <c r="AI1461" i="75"/>
  <c r="AI1462" i="75"/>
  <c r="AI1463" i="75"/>
  <c r="AI1464" i="75"/>
  <c r="AI1465" i="75"/>
  <c r="AI1466" i="75"/>
  <c r="AI1467" i="75"/>
  <c r="AI1468" i="75"/>
  <c r="AI1469" i="75"/>
  <c r="AI1470" i="75"/>
  <c r="AI1471" i="75"/>
  <c r="AI1472" i="75"/>
  <c r="AI1473" i="75"/>
  <c r="AI1474" i="75"/>
  <c r="AI1475" i="75"/>
  <c r="AI1476" i="75"/>
  <c r="AI1477" i="75"/>
  <c r="AI1478" i="75"/>
  <c r="AI1479" i="75"/>
  <c r="AI1480" i="75"/>
  <c r="AI1481" i="75"/>
  <c r="AI1482" i="75"/>
  <c r="AI1483" i="75"/>
  <c r="AI1484" i="75"/>
  <c r="AI1485" i="75"/>
  <c r="AI1486" i="75"/>
  <c r="AI1487" i="75"/>
  <c r="AI1488" i="75"/>
  <c r="AI1489" i="75"/>
  <c r="AI1490" i="75"/>
  <c r="AI1491" i="75"/>
  <c r="AI1492" i="75"/>
  <c r="AI1493" i="75"/>
  <c r="AI1494" i="75"/>
  <c r="AI1495" i="75"/>
  <c r="AI1496" i="75"/>
  <c r="AI1497" i="75"/>
  <c r="AI1498" i="75"/>
  <c r="AI1499" i="75"/>
  <c r="AI1500" i="75"/>
  <c r="AI1501" i="75"/>
  <c r="AI1502" i="75"/>
  <c r="AI1503" i="75"/>
  <c r="AI1504" i="75"/>
  <c r="AI1505" i="75"/>
  <c r="AI1506" i="75"/>
  <c r="AI1507" i="75"/>
  <c r="AI1508" i="75"/>
  <c r="AI1509" i="75"/>
  <c r="N116" i="9" s="1"/>
  <c r="EJ101" i="73" s="1"/>
  <c r="AI1510" i="75"/>
  <c r="AI1511" i="75"/>
  <c r="N5" i="9"/>
  <c r="N7" i="9"/>
  <c r="N8" i="9"/>
  <c r="N9" i="9"/>
  <c r="N10" i="9"/>
  <c r="N11" i="9"/>
  <c r="AI101" i="73" s="1"/>
  <c r="N13" i="9"/>
  <c r="N14" i="9"/>
  <c r="N15" i="9"/>
  <c r="N16" i="9"/>
  <c r="N17" i="9"/>
  <c r="N18" i="9"/>
  <c r="N19" i="9"/>
  <c r="AQ101" i="73" s="1"/>
  <c r="N21" i="9"/>
  <c r="AS101" i="73" s="1"/>
  <c r="N22" i="9"/>
  <c r="N23" i="9"/>
  <c r="N24" i="9"/>
  <c r="N25" i="9"/>
  <c r="N26" i="9"/>
  <c r="N27" i="9"/>
  <c r="AY101" i="73" s="1"/>
  <c r="N29" i="9"/>
  <c r="N30" i="9"/>
  <c r="BB101" i="73" s="1"/>
  <c r="N31" i="9"/>
  <c r="N32" i="9"/>
  <c r="N33" i="9"/>
  <c r="N34" i="9"/>
  <c r="N35" i="9"/>
  <c r="N37" i="9"/>
  <c r="N38" i="9"/>
  <c r="N39" i="9"/>
  <c r="BK101" i="73" s="1"/>
  <c r="N40" i="9"/>
  <c r="N41" i="9"/>
  <c r="N42" i="9"/>
  <c r="N43" i="9"/>
  <c r="BO101" i="73" s="1"/>
  <c r="N45" i="9"/>
  <c r="BQ101" i="73" s="1"/>
  <c r="N46" i="9"/>
  <c r="N47" i="9"/>
  <c r="N48" i="9"/>
  <c r="BT101" i="73" s="1"/>
  <c r="N49" i="9"/>
  <c r="BU101" i="73" s="1"/>
  <c r="N50" i="9"/>
  <c r="N51" i="9"/>
  <c r="BW101" i="73" s="1"/>
  <c r="N52" i="9"/>
  <c r="N53" i="9"/>
  <c r="N54" i="9"/>
  <c r="N55" i="9"/>
  <c r="N56" i="9"/>
  <c r="CB101" i="73" s="1"/>
  <c r="N57" i="9"/>
  <c r="N58" i="9"/>
  <c r="N59" i="9"/>
  <c r="CE101" i="73" s="1"/>
  <c r="N60" i="9"/>
  <c r="N61" i="9"/>
  <c r="N62" i="9"/>
  <c r="N63" i="9"/>
  <c r="N64" i="9"/>
  <c r="CJ101" i="73" s="1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CZ101" i="73" s="1"/>
  <c r="N81" i="9"/>
  <c r="N82" i="9"/>
  <c r="N83" i="9"/>
  <c r="DC101" i="73" s="1"/>
  <c r="N84" i="9"/>
  <c r="N85" i="9"/>
  <c r="N86" i="9"/>
  <c r="N87" i="9"/>
  <c r="N88" i="9"/>
  <c r="DH101" i="73" s="1"/>
  <c r="N89" i="9"/>
  <c r="DI101" i="73" s="1"/>
  <c r="N90" i="9"/>
  <c r="N91" i="9"/>
  <c r="DK101" i="73" s="1"/>
  <c r="N92" i="9"/>
  <c r="N93" i="9"/>
  <c r="N94" i="9"/>
  <c r="N95" i="9"/>
  <c r="N96" i="9"/>
  <c r="DP101" i="73" s="1"/>
  <c r="N97" i="9"/>
  <c r="N98" i="9"/>
  <c r="N99" i="9"/>
  <c r="N100" i="9"/>
  <c r="N101" i="9"/>
  <c r="N102" i="9"/>
  <c r="N103" i="9"/>
  <c r="N104" i="9"/>
  <c r="DX101" i="73" s="1"/>
  <c r="N105" i="9"/>
  <c r="DY101" i="73" s="1"/>
  <c r="N106" i="9"/>
  <c r="N107" i="9"/>
  <c r="EA101" i="73" s="1"/>
  <c r="N108" i="9"/>
  <c r="N109" i="9"/>
  <c r="N110" i="9"/>
  <c r="N111" i="9"/>
  <c r="N112" i="9"/>
  <c r="EF101" i="73" s="1"/>
  <c r="N113" i="9"/>
  <c r="EG101" i="73" s="1"/>
  <c r="N114" i="9"/>
  <c r="N115" i="9"/>
  <c r="EI101" i="73" s="1"/>
  <c r="N117" i="9"/>
  <c r="N118" i="9"/>
  <c r="G140" i="72"/>
  <c r="H140" i="72"/>
  <c r="I140" i="72"/>
  <c r="J140" i="72"/>
  <c r="K140" i="72"/>
  <c r="L140" i="72"/>
  <c r="M140" i="72"/>
  <c r="N140" i="72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4" i="9"/>
  <c r="BG101" i="73"/>
  <c r="EB101" i="73"/>
  <c r="AI248" i="75"/>
  <c r="K72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E248" i="75"/>
  <c r="F248" i="75"/>
  <c r="G248" i="75"/>
  <c r="H248" i="75"/>
  <c r="I248" i="75"/>
  <c r="J248" i="75"/>
  <c r="K248" i="75"/>
  <c r="L248" i="75"/>
  <c r="M248" i="75"/>
  <c r="N248" i="75"/>
  <c r="O248" i="75"/>
  <c r="P248" i="75"/>
  <c r="Q248" i="75"/>
  <c r="R248" i="75"/>
  <c r="S248" i="75"/>
  <c r="T248" i="75"/>
  <c r="U248" i="75"/>
  <c r="V248" i="75"/>
  <c r="W248" i="75"/>
  <c r="X248" i="75"/>
  <c r="Y248" i="75"/>
  <c r="Z248" i="75"/>
  <c r="AA248" i="75"/>
  <c r="AB248" i="75"/>
  <c r="AC248" i="75"/>
  <c r="AD248" i="75"/>
  <c r="AE248" i="75"/>
  <c r="AF248" i="75"/>
  <c r="AG248" i="75"/>
  <c r="AH248" i="75"/>
  <c r="AI1258" i="75"/>
  <c r="AI1131" i="75"/>
  <c r="AI1004" i="75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AI877" i="75"/>
  <c r="AI750" i="75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4" i="9"/>
  <c r="AI624" i="75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4" i="9"/>
  <c r="AI499" i="75"/>
  <c r="AI374" i="75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4" i="9"/>
  <c r="EH101" i="73"/>
  <c r="DZ101" i="73"/>
  <c r="DR101" i="73"/>
  <c r="DO101" i="73"/>
  <c r="DJ101" i="73"/>
  <c r="DB101" i="73"/>
  <c r="DA101" i="73"/>
  <c r="CY101" i="73"/>
  <c r="CT101" i="73"/>
  <c r="CQ101" i="73"/>
  <c r="CL101" i="73"/>
  <c r="CK101" i="73"/>
  <c r="CC101" i="73"/>
  <c r="CA101" i="73"/>
  <c r="BV101" i="73"/>
  <c r="BS101" i="73"/>
  <c r="BM101" i="73"/>
  <c r="BF101" i="73"/>
  <c r="BE101" i="73"/>
  <c r="BC101" i="73"/>
  <c r="AX101" i="73"/>
  <c r="AW101" i="73"/>
  <c r="AU101" i="73"/>
  <c r="AP101" i="73"/>
  <c r="AO101" i="73"/>
  <c r="AM101" i="73"/>
  <c r="AH101" i="73"/>
  <c r="AG101" i="73"/>
  <c r="AE101" i="73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AL101" i="73"/>
  <c r="AT101" i="73"/>
  <c r="BJ101" i="73"/>
  <c r="BR101" i="73"/>
  <c r="BZ101" i="73"/>
  <c r="CH101" i="73"/>
  <c r="CM101" i="73"/>
  <c r="CP101" i="73"/>
  <c r="CU101" i="73"/>
  <c r="CX101" i="73"/>
  <c r="DF101" i="73"/>
  <c r="DN101" i="73"/>
  <c r="DS101" i="73"/>
  <c r="DV101" i="73"/>
  <c r="ED101" i="73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EL101" i="73"/>
  <c r="AC101" i="73"/>
  <c r="AF101" i="73"/>
  <c r="AK101" i="73"/>
  <c r="AN101" i="73"/>
  <c r="AV101" i="73"/>
  <c r="BA101" i="73"/>
  <c r="BD101" i="73"/>
  <c r="BI101" i="73"/>
  <c r="BL101" i="73"/>
  <c r="BN101" i="73"/>
  <c r="CD101" i="73"/>
  <c r="CI101" i="73"/>
  <c r="CR101" i="73"/>
  <c r="CS101" i="73"/>
  <c r="DG101" i="73"/>
  <c r="DQ101" i="73"/>
  <c r="DW101" i="73"/>
  <c r="EE101" i="73"/>
  <c r="AD41" i="73"/>
  <c r="AC41" i="73"/>
  <c r="AB41" i="73"/>
  <c r="C15" i="8"/>
  <c r="D15" i="8"/>
  <c r="E15" i="8"/>
  <c r="F15" i="8"/>
  <c r="H15" i="8"/>
  <c r="I15" i="8"/>
  <c r="N4" i="9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I402" i="3"/>
  <c r="I403" i="3"/>
  <c r="I432" i="3" s="1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01" i="3"/>
  <c r="F402" i="3"/>
  <c r="F403" i="3"/>
  <c r="F404" i="3"/>
  <c r="F405" i="3"/>
  <c r="F406" i="3"/>
  <c r="F407" i="3"/>
  <c r="G407" i="3" s="1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G429" i="3" s="1"/>
  <c r="F430" i="3"/>
  <c r="F431" i="3"/>
  <c r="G431" i="3" s="1"/>
  <c r="F401" i="3"/>
  <c r="E402" i="3"/>
  <c r="E403" i="3"/>
  <c r="E404" i="3"/>
  <c r="E405" i="3"/>
  <c r="E406" i="3"/>
  <c r="E407" i="3"/>
  <c r="E408" i="3"/>
  <c r="E409" i="3"/>
  <c r="E432" i="3" s="1"/>
  <c r="E410" i="3"/>
  <c r="E411" i="3"/>
  <c r="E412" i="3"/>
  <c r="E413" i="3"/>
  <c r="E414" i="3"/>
  <c r="E415" i="3"/>
  <c r="E416" i="3"/>
  <c r="E417" i="3"/>
  <c r="E418" i="3"/>
  <c r="G418" i="3" s="1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01" i="3"/>
  <c r="D402" i="3"/>
  <c r="D403" i="3"/>
  <c r="G403" i="3" s="1"/>
  <c r="H403" i="3" s="1"/>
  <c r="D404" i="3"/>
  <c r="D405" i="3"/>
  <c r="D406" i="3"/>
  <c r="D407" i="3"/>
  <c r="D408" i="3"/>
  <c r="D409" i="3"/>
  <c r="D410" i="3"/>
  <c r="D411" i="3"/>
  <c r="G411" i="3" s="1"/>
  <c r="H411" i="3" s="1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G427" i="3" s="1"/>
  <c r="H427" i="3" s="1"/>
  <c r="D428" i="3"/>
  <c r="D429" i="3"/>
  <c r="D430" i="3"/>
  <c r="D431" i="3"/>
  <c r="D401" i="3"/>
  <c r="L432" i="3"/>
  <c r="G430" i="3"/>
  <c r="G421" i="3"/>
  <c r="H421" i="3" s="1"/>
  <c r="G419" i="3"/>
  <c r="H419" i="3" s="1"/>
  <c r="G416" i="3"/>
  <c r="G413" i="3"/>
  <c r="J413" i="3" s="1"/>
  <c r="G405" i="3"/>
  <c r="J405" i="3" s="1"/>
  <c r="G402" i="3"/>
  <c r="O23" i="55"/>
  <c r="O24" i="55"/>
  <c r="O25" i="55"/>
  <c r="O26" i="55"/>
  <c r="O27" i="55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O54" i="55"/>
  <c r="O55" i="55"/>
  <c r="O56" i="55"/>
  <c r="O57" i="55"/>
  <c r="O58" i="55"/>
  <c r="O59" i="55"/>
  <c r="O60" i="55"/>
  <c r="O61" i="55"/>
  <c r="O62" i="55"/>
  <c r="O63" i="55"/>
  <c r="O64" i="55"/>
  <c r="O65" i="55"/>
  <c r="O66" i="55"/>
  <c r="O67" i="55"/>
  <c r="O68" i="55"/>
  <c r="O69" i="55"/>
  <c r="O70" i="55"/>
  <c r="O71" i="55"/>
  <c r="O72" i="55"/>
  <c r="O73" i="55"/>
  <c r="O74" i="55"/>
  <c r="O75" i="55"/>
  <c r="O76" i="55"/>
  <c r="O77" i="55"/>
  <c r="O78" i="55"/>
  <c r="O79" i="55"/>
  <c r="O80" i="55"/>
  <c r="O81" i="55"/>
  <c r="O82" i="55"/>
  <c r="O83" i="55"/>
  <c r="O84" i="55"/>
  <c r="O85" i="55"/>
  <c r="O86" i="55"/>
  <c r="O87" i="55"/>
  <c r="O88" i="55"/>
  <c r="O89" i="55"/>
  <c r="O90" i="55"/>
  <c r="O91" i="55"/>
  <c r="O92" i="55"/>
  <c r="O93" i="55"/>
  <c r="O94" i="55"/>
  <c r="O95" i="55"/>
  <c r="O96" i="55"/>
  <c r="O97" i="55"/>
  <c r="O98" i="55"/>
  <c r="O99" i="55"/>
  <c r="O100" i="55"/>
  <c r="O101" i="55"/>
  <c r="O102" i="55"/>
  <c r="O103" i="55"/>
  <c r="O104" i="55"/>
  <c r="O105" i="55"/>
  <c r="O106" i="55"/>
  <c r="O107" i="55"/>
  <c r="O108" i="55"/>
  <c r="O109" i="55"/>
  <c r="O110" i="55"/>
  <c r="O111" i="55"/>
  <c r="O112" i="55"/>
  <c r="O113" i="55"/>
  <c r="O114" i="55"/>
  <c r="O115" i="55"/>
  <c r="O116" i="55"/>
  <c r="O117" i="55"/>
  <c r="O118" i="55"/>
  <c r="O119" i="55"/>
  <c r="O120" i="55"/>
  <c r="O121" i="55"/>
  <c r="O122" i="55"/>
  <c r="O123" i="55"/>
  <c r="O124" i="55"/>
  <c r="O125" i="55"/>
  <c r="O126" i="55"/>
  <c r="O127" i="55"/>
  <c r="O128" i="55"/>
  <c r="O129" i="55"/>
  <c r="O130" i="55"/>
  <c r="O131" i="55"/>
  <c r="O132" i="55"/>
  <c r="O133" i="55"/>
  <c r="O22" i="55"/>
  <c r="O12" i="55"/>
  <c r="O11" i="55"/>
  <c r="O10" i="55"/>
  <c r="O9" i="55"/>
  <c r="O1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22" i="56"/>
  <c r="O11" i="56"/>
  <c r="O10" i="56"/>
  <c r="O9" i="56"/>
  <c r="O23" i="57"/>
  <c r="O24" i="57"/>
  <c r="O25" i="57"/>
  <c r="O26" i="57"/>
  <c r="O27" i="57"/>
  <c r="O28" i="57"/>
  <c r="O29" i="57"/>
  <c r="O30" i="57"/>
  <c r="O31" i="57"/>
  <c r="O32" i="57"/>
  <c r="O33" i="57"/>
  <c r="O34" i="57"/>
  <c r="O35" i="57"/>
  <c r="O36" i="57"/>
  <c r="O37" i="57"/>
  <c r="O38" i="57"/>
  <c r="O39" i="57"/>
  <c r="O40" i="57"/>
  <c r="O41" i="57"/>
  <c r="O42" i="57"/>
  <c r="O43" i="57"/>
  <c r="O44" i="57"/>
  <c r="O45" i="57"/>
  <c r="O46" i="57"/>
  <c r="O47" i="57"/>
  <c r="O48" i="57"/>
  <c r="O49" i="57"/>
  <c r="O50" i="57"/>
  <c r="O51" i="57"/>
  <c r="O52" i="57"/>
  <c r="O53" i="57"/>
  <c r="O54" i="57"/>
  <c r="O55" i="57"/>
  <c r="O56" i="57"/>
  <c r="O57" i="57"/>
  <c r="O58" i="57"/>
  <c r="O59" i="57"/>
  <c r="O60" i="57"/>
  <c r="O61" i="57"/>
  <c r="O62" i="57"/>
  <c r="O63" i="57"/>
  <c r="O64" i="57"/>
  <c r="O65" i="57"/>
  <c r="O66" i="57"/>
  <c r="O67" i="57"/>
  <c r="O68" i="57"/>
  <c r="O69" i="57"/>
  <c r="O70" i="57"/>
  <c r="O71" i="57"/>
  <c r="O72" i="57"/>
  <c r="O73" i="57"/>
  <c r="O74" i="57"/>
  <c r="O75" i="57"/>
  <c r="O76" i="57"/>
  <c r="O77" i="57"/>
  <c r="O78" i="57"/>
  <c r="O79" i="57"/>
  <c r="O80" i="57"/>
  <c r="O81" i="57"/>
  <c r="O82" i="57"/>
  <c r="O83" i="57"/>
  <c r="O84" i="57"/>
  <c r="O85" i="57"/>
  <c r="O86" i="57"/>
  <c r="O87" i="57"/>
  <c r="O88" i="57"/>
  <c r="O89" i="57"/>
  <c r="O90" i="57"/>
  <c r="O91" i="57"/>
  <c r="O92" i="57"/>
  <c r="O93" i="57"/>
  <c r="O94" i="57"/>
  <c r="O95" i="57"/>
  <c r="O96" i="57"/>
  <c r="O97" i="57"/>
  <c r="O98" i="57"/>
  <c r="O99" i="57"/>
  <c r="O100" i="57"/>
  <c r="O101" i="57"/>
  <c r="O102" i="57"/>
  <c r="O103" i="57"/>
  <c r="O104" i="57"/>
  <c r="O105" i="57"/>
  <c r="O106" i="57"/>
  <c r="O107" i="57"/>
  <c r="O108" i="57"/>
  <c r="O109" i="57"/>
  <c r="O110" i="57"/>
  <c r="O111" i="57"/>
  <c r="O112" i="57"/>
  <c r="O113" i="57"/>
  <c r="O114" i="57"/>
  <c r="O115" i="57"/>
  <c r="O116" i="57"/>
  <c r="O117" i="57"/>
  <c r="O118" i="57"/>
  <c r="O119" i="57"/>
  <c r="O120" i="57"/>
  <c r="O121" i="57"/>
  <c r="O122" i="57"/>
  <c r="O123" i="57"/>
  <c r="O124" i="57"/>
  <c r="O125" i="57"/>
  <c r="O126" i="57"/>
  <c r="O127" i="57"/>
  <c r="O128" i="57"/>
  <c r="O129" i="57"/>
  <c r="O130" i="57"/>
  <c r="O131" i="57"/>
  <c r="O132" i="57"/>
  <c r="O133" i="57"/>
  <c r="O22" i="57"/>
  <c r="O12" i="57"/>
  <c r="O11" i="57"/>
  <c r="O10" i="57"/>
  <c r="O9" i="57"/>
  <c r="O23" i="59"/>
  <c r="O24" i="59"/>
  <c r="O25" i="59"/>
  <c r="O26" i="59"/>
  <c r="O27" i="59"/>
  <c r="O28" i="59"/>
  <c r="O29" i="59"/>
  <c r="O30" i="59"/>
  <c r="O31" i="59"/>
  <c r="O32" i="59"/>
  <c r="O33" i="59"/>
  <c r="O34" i="59"/>
  <c r="O35" i="59"/>
  <c r="O36" i="59"/>
  <c r="O37" i="59"/>
  <c r="O38" i="59"/>
  <c r="O39" i="59"/>
  <c r="O40" i="59"/>
  <c r="O41" i="59"/>
  <c r="O42" i="59"/>
  <c r="O43" i="59"/>
  <c r="O44" i="59"/>
  <c r="O45" i="59"/>
  <c r="O46" i="59"/>
  <c r="O47" i="59"/>
  <c r="O48" i="59"/>
  <c r="O49" i="59"/>
  <c r="O50" i="59"/>
  <c r="O51" i="59"/>
  <c r="O52" i="59"/>
  <c r="O53" i="59"/>
  <c r="O54" i="59"/>
  <c r="O55" i="59"/>
  <c r="O56" i="59"/>
  <c r="O57" i="59"/>
  <c r="O58" i="59"/>
  <c r="O59" i="59"/>
  <c r="O60" i="59"/>
  <c r="O61" i="59"/>
  <c r="O62" i="59"/>
  <c r="O63" i="59"/>
  <c r="O64" i="59"/>
  <c r="O65" i="59"/>
  <c r="O66" i="59"/>
  <c r="O67" i="59"/>
  <c r="O68" i="59"/>
  <c r="O69" i="59"/>
  <c r="O70" i="59"/>
  <c r="O71" i="59"/>
  <c r="O72" i="59"/>
  <c r="O73" i="59"/>
  <c r="O74" i="59"/>
  <c r="O75" i="59"/>
  <c r="O76" i="59"/>
  <c r="O77" i="59"/>
  <c r="O78" i="59"/>
  <c r="O79" i="59"/>
  <c r="O80" i="59"/>
  <c r="O81" i="59"/>
  <c r="O82" i="59"/>
  <c r="O83" i="59"/>
  <c r="O84" i="59"/>
  <c r="O85" i="59"/>
  <c r="O86" i="59"/>
  <c r="O87" i="59"/>
  <c r="O88" i="59"/>
  <c r="O89" i="59"/>
  <c r="O90" i="59"/>
  <c r="O91" i="59"/>
  <c r="O92" i="59"/>
  <c r="O93" i="59"/>
  <c r="O94" i="59"/>
  <c r="O95" i="59"/>
  <c r="O96" i="59"/>
  <c r="O97" i="59"/>
  <c r="O98" i="59"/>
  <c r="O99" i="59"/>
  <c r="O100" i="59"/>
  <c r="O101" i="59"/>
  <c r="O102" i="59"/>
  <c r="O103" i="59"/>
  <c r="O104" i="59"/>
  <c r="O105" i="59"/>
  <c r="O106" i="59"/>
  <c r="O107" i="59"/>
  <c r="O108" i="59"/>
  <c r="O109" i="59"/>
  <c r="O110" i="59"/>
  <c r="O111" i="59"/>
  <c r="O112" i="59"/>
  <c r="O113" i="59"/>
  <c r="O114" i="59"/>
  <c r="O115" i="59"/>
  <c r="O116" i="59"/>
  <c r="O117" i="59"/>
  <c r="O118" i="59"/>
  <c r="O119" i="59"/>
  <c r="O120" i="59"/>
  <c r="O121" i="59"/>
  <c r="O122" i="59"/>
  <c r="O123" i="59"/>
  <c r="O124" i="59"/>
  <c r="O125" i="59"/>
  <c r="O126" i="59"/>
  <c r="O127" i="59"/>
  <c r="O128" i="59"/>
  <c r="O129" i="59"/>
  <c r="O130" i="59"/>
  <c r="O131" i="59"/>
  <c r="O132" i="59"/>
  <c r="O133" i="59"/>
  <c r="O22" i="59"/>
  <c r="O12" i="59"/>
  <c r="O11" i="59"/>
  <c r="O10" i="59"/>
  <c r="O9" i="59"/>
  <c r="O23" i="58"/>
  <c r="O24" i="58"/>
  <c r="O25" i="58"/>
  <c r="O26" i="58"/>
  <c r="O27" i="58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65" i="58"/>
  <c r="O66" i="58"/>
  <c r="O67" i="58"/>
  <c r="O68" i="58"/>
  <c r="O69" i="58"/>
  <c r="O70" i="58"/>
  <c r="O71" i="58"/>
  <c r="O72" i="58"/>
  <c r="O73" i="58"/>
  <c r="O74" i="58"/>
  <c r="O75" i="58"/>
  <c r="O76" i="58"/>
  <c r="O77" i="58"/>
  <c r="O78" i="58"/>
  <c r="O79" i="58"/>
  <c r="O80" i="58"/>
  <c r="O81" i="58"/>
  <c r="O82" i="58"/>
  <c r="O83" i="58"/>
  <c r="O84" i="58"/>
  <c r="O85" i="58"/>
  <c r="O86" i="58"/>
  <c r="O87" i="58"/>
  <c r="O88" i="58"/>
  <c r="O89" i="58"/>
  <c r="O90" i="58"/>
  <c r="O91" i="58"/>
  <c r="O92" i="58"/>
  <c r="O93" i="58"/>
  <c r="O94" i="58"/>
  <c r="O95" i="58"/>
  <c r="O96" i="58"/>
  <c r="O97" i="58"/>
  <c r="O98" i="58"/>
  <c r="O99" i="58"/>
  <c r="O100" i="58"/>
  <c r="O101" i="58"/>
  <c r="O102" i="58"/>
  <c r="O103" i="58"/>
  <c r="O104" i="58"/>
  <c r="O105" i="58"/>
  <c r="O106" i="58"/>
  <c r="O107" i="58"/>
  <c r="O108" i="58"/>
  <c r="O109" i="58"/>
  <c r="O110" i="58"/>
  <c r="O111" i="58"/>
  <c r="O112" i="58"/>
  <c r="O113" i="58"/>
  <c r="O114" i="58"/>
  <c r="O115" i="58"/>
  <c r="O116" i="58"/>
  <c r="O117" i="58"/>
  <c r="O118" i="58"/>
  <c r="O119" i="58"/>
  <c r="O120" i="58"/>
  <c r="O121" i="58"/>
  <c r="O122" i="58"/>
  <c r="O123" i="58"/>
  <c r="O124" i="58"/>
  <c r="O125" i="58"/>
  <c r="O126" i="58"/>
  <c r="O127" i="58"/>
  <c r="O128" i="58"/>
  <c r="O129" i="58"/>
  <c r="O130" i="58"/>
  <c r="O131" i="58"/>
  <c r="O132" i="58"/>
  <c r="O133" i="58"/>
  <c r="O22" i="58"/>
  <c r="O12" i="58"/>
  <c r="O11" i="58"/>
  <c r="O10" i="58"/>
  <c r="O9" i="58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82" i="60"/>
  <c r="O83" i="60"/>
  <c r="O84" i="60"/>
  <c r="O85" i="60"/>
  <c r="O86" i="60"/>
  <c r="O87" i="60"/>
  <c r="O88" i="60"/>
  <c r="O89" i="60"/>
  <c r="O90" i="60"/>
  <c r="O91" i="60"/>
  <c r="O92" i="60"/>
  <c r="O93" i="60"/>
  <c r="O94" i="60"/>
  <c r="O95" i="60"/>
  <c r="O96" i="60"/>
  <c r="O97" i="60"/>
  <c r="O98" i="60"/>
  <c r="O99" i="60"/>
  <c r="O100" i="60"/>
  <c r="O101" i="60"/>
  <c r="O102" i="60"/>
  <c r="O103" i="60"/>
  <c r="O104" i="60"/>
  <c r="O105" i="60"/>
  <c r="O106" i="60"/>
  <c r="O107" i="60"/>
  <c r="O108" i="60"/>
  <c r="O109" i="60"/>
  <c r="O110" i="60"/>
  <c r="O111" i="60"/>
  <c r="O112" i="60"/>
  <c r="O113" i="60"/>
  <c r="O114" i="60"/>
  <c r="O115" i="60"/>
  <c r="O116" i="60"/>
  <c r="O117" i="60"/>
  <c r="O118" i="60"/>
  <c r="O119" i="60"/>
  <c r="O120" i="60"/>
  <c r="O121" i="60"/>
  <c r="O122" i="60"/>
  <c r="O123" i="60"/>
  <c r="O124" i="60"/>
  <c r="O125" i="60"/>
  <c r="O126" i="60"/>
  <c r="O127" i="60"/>
  <c r="O128" i="60"/>
  <c r="O129" i="60"/>
  <c r="O130" i="60"/>
  <c r="O131" i="60"/>
  <c r="O132" i="60"/>
  <c r="O133" i="60"/>
  <c r="O22" i="60"/>
  <c r="O12" i="60"/>
  <c r="O11" i="60"/>
  <c r="O10" i="60"/>
  <c r="O9" i="60"/>
  <c r="O23" i="61"/>
  <c r="O24" i="61"/>
  <c r="O25" i="61"/>
  <c r="O26" i="61"/>
  <c r="O27" i="61"/>
  <c r="O28" i="61"/>
  <c r="O29" i="61"/>
  <c r="O30" i="61"/>
  <c r="O31" i="61"/>
  <c r="O32" i="61"/>
  <c r="O33" i="61"/>
  <c r="O34" i="61"/>
  <c r="O35" i="61"/>
  <c r="O36" i="61"/>
  <c r="O37" i="61"/>
  <c r="O38" i="61"/>
  <c r="O39" i="61"/>
  <c r="O40" i="61"/>
  <c r="O41" i="61"/>
  <c r="O42" i="61"/>
  <c r="O43" i="61"/>
  <c r="O44" i="61"/>
  <c r="O45" i="61"/>
  <c r="O46" i="61"/>
  <c r="O47" i="61"/>
  <c r="O48" i="61"/>
  <c r="O49" i="61"/>
  <c r="O50" i="61"/>
  <c r="O51" i="61"/>
  <c r="O52" i="61"/>
  <c r="O53" i="61"/>
  <c r="O54" i="61"/>
  <c r="O55" i="61"/>
  <c r="O56" i="61"/>
  <c r="O57" i="61"/>
  <c r="O58" i="61"/>
  <c r="O59" i="61"/>
  <c r="O60" i="61"/>
  <c r="O61" i="61"/>
  <c r="O62" i="61"/>
  <c r="O63" i="61"/>
  <c r="O64" i="61"/>
  <c r="O65" i="61"/>
  <c r="O66" i="61"/>
  <c r="O67" i="61"/>
  <c r="O68" i="61"/>
  <c r="O69" i="61"/>
  <c r="O70" i="61"/>
  <c r="O71" i="61"/>
  <c r="O72" i="61"/>
  <c r="O73" i="61"/>
  <c r="O74" i="61"/>
  <c r="O75" i="61"/>
  <c r="O76" i="61"/>
  <c r="O77" i="61"/>
  <c r="O78" i="61"/>
  <c r="O79" i="61"/>
  <c r="O80" i="61"/>
  <c r="O81" i="61"/>
  <c r="O82" i="61"/>
  <c r="O83" i="61"/>
  <c r="O84" i="61"/>
  <c r="O85" i="61"/>
  <c r="O86" i="61"/>
  <c r="O87" i="61"/>
  <c r="O88" i="61"/>
  <c r="O89" i="61"/>
  <c r="O90" i="61"/>
  <c r="O91" i="61"/>
  <c r="O92" i="61"/>
  <c r="O93" i="61"/>
  <c r="O94" i="61"/>
  <c r="O95" i="61"/>
  <c r="O96" i="61"/>
  <c r="O97" i="61"/>
  <c r="O98" i="61"/>
  <c r="O99" i="61"/>
  <c r="O100" i="61"/>
  <c r="O101" i="61"/>
  <c r="O102" i="61"/>
  <c r="O103" i="61"/>
  <c r="O104" i="61"/>
  <c r="O105" i="61"/>
  <c r="O106" i="61"/>
  <c r="O107" i="61"/>
  <c r="O108" i="61"/>
  <c r="O109" i="61"/>
  <c r="O110" i="61"/>
  <c r="O111" i="61"/>
  <c r="O112" i="61"/>
  <c r="O113" i="61"/>
  <c r="O114" i="61"/>
  <c r="O115" i="61"/>
  <c r="O116" i="61"/>
  <c r="O117" i="61"/>
  <c r="O118" i="61"/>
  <c r="O119" i="61"/>
  <c r="O120" i="61"/>
  <c r="O121" i="61"/>
  <c r="O122" i="61"/>
  <c r="O123" i="61"/>
  <c r="O124" i="61"/>
  <c r="O125" i="61"/>
  <c r="O126" i="61"/>
  <c r="O127" i="61"/>
  <c r="O128" i="61"/>
  <c r="O129" i="61"/>
  <c r="O130" i="61"/>
  <c r="O131" i="61"/>
  <c r="O22" i="61"/>
  <c r="O12" i="61"/>
  <c r="O11" i="61"/>
  <c r="O10" i="61"/>
  <c r="O9" i="61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55" i="62"/>
  <c r="O56" i="62"/>
  <c r="O57" i="62"/>
  <c r="O58" i="62"/>
  <c r="O59" i="62"/>
  <c r="O60" i="62"/>
  <c r="O61" i="62"/>
  <c r="O62" i="62"/>
  <c r="O63" i="62"/>
  <c r="O64" i="62"/>
  <c r="O65" i="62"/>
  <c r="O66" i="62"/>
  <c r="O67" i="62"/>
  <c r="O68" i="62"/>
  <c r="O69" i="62"/>
  <c r="O70" i="62"/>
  <c r="O71" i="62"/>
  <c r="O72" i="62"/>
  <c r="O73" i="62"/>
  <c r="O74" i="62"/>
  <c r="O75" i="62"/>
  <c r="O76" i="62"/>
  <c r="O77" i="62"/>
  <c r="O78" i="62"/>
  <c r="O79" i="62"/>
  <c r="O80" i="62"/>
  <c r="O81" i="62"/>
  <c r="O82" i="62"/>
  <c r="O83" i="62"/>
  <c r="O84" i="62"/>
  <c r="O85" i="62"/>
  <c r="O86" i="62"/>
  <c r="O87" i="62"/>
  <c r="O88" i="62"/>
  <c r="O89" i="62"/>
  <c r="O90" i="62"/>
  <c r="O91" i="62"/>
  <c r="O92" i="62"/>
  <c r="O93" i="62"/>
  <c r="O94" i="62"/>
  <c r="O95" i="62"/>
  <c r="O96" i="62"/>
  <c r="O97" i="62"/>
  <c r="O98" i="62"/>
  <c r="O99" i="62"/>
  <c r="O100" i="62"/>
  <c r="O101" i="62"/>
  <c r="O102" i="62"/>
  <c r="O103" i="62"/>
  <c r="O104" i="62"/>
  <c r="O105" i="62"/>
  <c r="O106" i="62"/>
  <c r="O107" i="62"/>
  <c r="O108" i="62"/>
  <c r="O109" i="62"/>
  <c r="O110" i="62"/>
  <c r="O111" i="62"/>
  <c r="O112" i="62"/>
  <c r="O113" i="62"/>
  <c r="O114" i="62"/>
  <c r="O115" i="62"/>
  <c r="O116" i="62"/>
  <c r="O117" i="62"/>
  <c r="O118" i="62"/>
  <c r="O119" i="62"/>
  <c r="O120" i="62"/>
  <c r="O121" i="62"/>
  <c r="O122" i="62"/>
  <c r="O123" i="62"/>
  <c r="O124" i="62"/>
  <c r="O125" i="62"/>
  <c r="O126" i="62"/>
  <c r="O127" i="62"/>
  <c r="O128" i="62"/>
  <c r="O129" i="62"/>
  <c r="O130" i="62"/>
  <c r="O131" i="62"/>
  <c r="O22" i="62"/>
  <c r="O12" i="62"/>
  <c r="O11" i="62"/>
  <c r="O10" i="62"/>
  <c r="O9" i="62"/>
  <c r="O23" i="63"/>
  <c r="O24" i="63"/>
  <c r="O25" i="63"/>
  <c r="O26" i="63"/>
  <c r="O27" i="63"/>
  <c r="O28" i="63"/>
  <c r="O29" i="63"/>
  <c r="O30" i="63"/>
  <c r="O31" i="63"/>
  <c r="O32" i="63"/>
  <c r="O33" i="63"/>
  <c r="O34" i="63"/>
  <c r="O35" i="63"/>
  <c r="O36" i="63"/>
  <c r="O37" i="63"/>
  <c r="O38" i="63"/>
  <c r="O39" i="63"/>
  <c r="O40" i="63"/>
  <c r="O41" i="63"/>
  <c r="O42" i="63"/>
  <c r="O43" i="63"/>
  <c r="O44" i="63"/>
  <c r="O45" i="63"/>
  <c r="O46" i="63"/>
  <c r="O47" i="63"/>
  <c r="O48" i="63"/>
  <c r="O49" i="63"/>
  <c r="O50" i="63"/>
  <c r="O51" i="63"/>
  <c r="O52" i="63"/>
  <c r="O53" i="63"/>
  <c r="O54" i="63"/>
  <c r="O55" i="63"/>
  <c r="O56" i="63"/>
  <c r="O57" i="63"/>
  <c r="O58" i="63"/>
  <c r="O59" i="63"/>
  <c r="O60" i="63"/>
  <c r="O61" i="63"/>
  <c r="O62" i="63"/>
  <c r="O63" i="63"/>
  <c r="O64" i="63"/>
  <c r="O65" i="63"/>
  <c r="O66" i="63"/>
  <c r="O67" i="63"/>
  <c r="O68" i="63"/>
  <c r="O69" i="63"/>
  <c r="O70" i="63"/>
  <c r="O71" i="63"/>
  <c r="O72" i="63"/>
  <c r="O73" i="63"/>
  <c r="O74" i="63"/>
  <c r="O75" i="63"/>
  <c r="O76" i="63"/>
  <c r="O77" i="63"/>
  <c r="O78" i="63"/>
  <c r="O79" i="63"/>
  <c r="O80" i="63"/>
  <c r="O81" i="63"/>
  <c r="O82" i="63"/>
  <c r="O83" i="63"/>
  <c r="O84" i="63"/>
  <c r="O85" i="63"/>
  <c r="O86" i="63"/>
  <c r="O87" i="63"/>
  <c r="O88" i="63"/>
  <c r="O89" i="63"/>
  <c r="O90" i="63"/>
  <c r="O91" i="63"/>
  <c r="O92" i="63"/>
  <c r="O93" i="63"/>
  <c r="O94" i="63"/>
  <c r="O95" i="63"/>
  <c r="O96" i="63"/>
  <c r="O97" i="63"/>
  <c r="O98" i="63"/>
  <c r="O99" i="63"/>
  <c r="O100" i="63"/>
  <c r="O101" i="63"/>
  <c r="O102" i="63"/>
  <c r="O103" i="63"/>
  <c r="O104" i="63"/>
  <c r="O105" i="63"/>
  <c r="O106" i="63"/>
  <c r="O107" i="63"/>
  <c r="O108" i="63"/>
  <c r="O109" i="63"/>
  <c r="O110" i="63"/>
  <c r="O111" i="63"/>
  <c r="O112" i="63"/>
  <c r="O113" i="63"/>
  <c r="O114" i="63"/>
  <c r="O115" i="63"/>
  <c r="O116" i="63"/>
  <c r="O117" i="63"/>
  <c r="O118" i="63"/>
  <c r="O119" i="63"/>
  <c r="O120" i="63"/>
  <c r="O121" i="63"/>
  <c r="O122" i="63"/>
  <c r="O123" i="63"/>
  <c r="O124" i="63"/>
  <c r="O125" i="63"/>
  <c r="O126" i="63"/>
  <c r="O127" i="63"/>
  <c r="O128" i="63"/>
  <c r="O129" i="63"/>
  <c r="O130" i="63"/>
  <c r="O131" i="63"/>
  <c r="O22" i="63"/>
  <c r="O12" i="63"/>
  <c r="O11" i="63"/>
  <c r="O10" i="63"/>
  <c r="O9" i="63"/>
  <c r="O23" i="64"/>
  <c r="O24" i="64"/>
  <c r="O25" i="64"/>
  <c r="O26" i="64"/>
  <c r="O27" i="64"/>
  <c r="O28" i="64"/>
  <c r="O29" i="64"/>
  <c r="O30" i="64"/>
  <c r="O31" i="64"/>
  <c r="O32" i="64"/>
  <c r="O33" i="64"/>
  <c r="O34" i="64"/>
  <c r="O35" i="64"/>
  <c r="O36" i="64"/>
  <c r="O37" i="64"/>
  <c r="O38" i="64"/>
  <c r="O39" i="64"/>
  <c r="O40" i="64"/>
  <c r="O41" i="64"/>
  <c r="O42" i="64"/>
  <c r="O43" i="64"/>
  <c r="O44" i="64"/>
  <c r="O45" i="64"/>
  <c r="O46" i="64"/>
  <c r="O47" i="64"/>
  <c r="O48" i="64"/>
  <c r="O49" i="64"/>
  <c r="O50" i="64"/>
  <c r="O51" i="64"/>
  <c r="O52" i="64"/>
  <c r="O53" i="64"/>
  <c r="O54" i="64"/>
  <c r="O55" i="64"/>
  <c r="O56" i="64"/>
  <c r="O57" i="64"/>
  <c r="O58" i="64"/>
  <c r="O59" i="64"/>
  <c r="O60" i="64"/>
  <c r="O61" i="64"/>
  <c r="O62" i="64"/>
  <c r="O63" i="64"/>
  <c r="O64" i="64"/>
  <c r="O65" i="64"/>
  <c r="O66" i="64"/>
  <c r="O67" i="64"/>
  <c r="O68" i="64"/>
  <c r="O69" i="64"/>
  <c r="O70" i="64"/>
  <c r="O71" i="64"/>
  <c r="O72" i="64"/>
  <c r="O73" i="64"/>
  <c r="O74" i="64"/>
  <c r="O75" i="64"/>
  <c r="O76" i="64"/>
  <c r="O77" i="64"/>
  <c r="O78" i="64"/>
  <c r="O79" i="64"/>
  <c r="O80" i="64"/>
  <c r="O81" i="64"/>
  <c r="O82" i="64"/>
  <c r="O83" i="64"/>
  <c r="O84" i="64"/>
  <c r="O85" i="64"/>
  <c r="O86" i="64"/>
  <c r="O87" i="64"/>
  <c r="O88" i="64"/>
  <c r="O89" i="64"/>
  <c r="O90" i="64"/>
  <c r="O91" i="64"/>
  <c r="O92" i="64"/>
  <c r="O93" i="64"/>
  <c r="O94" i="64"/>
  <c r="O95" i="64"/>
  <c r="O96" i="64"/>
  <c r="O97" i="64"/>
  <c r="O98" i="64"/>
  <c r="O99" i="64"/>
  <c r="O100" i="64"/>
  <c r="O101" i="64"/>
  <c r="O102" i="64"/>
  <c r="O103" i="64"/>
  <c r="O104" i="64"/>
  <c r="O105" i="64"/>
  <c r="O106" i="64"/>
  <c r="O107" i="64"/>
  <c r="O108" i="64"/>
  <c r="O109" i="64"/>
  <c r="O110" i="64"/>
  <c r="O111" i="64"/>
  <c r="O112" i="64"/>
  <c r="O113" i="64"/>
  <c r="O114" i="64"/>
  <c r="O115" i="64"/>
  <c r="O116" i="64"/>
  <c r="O117" i="64"/>
  <c r="O118" i="64"/>
  <c r="O119" i="64"/>
  <c r="O120" i="64"/>
  <c r="O121" i="64"/>
  <c r="O122" i="64"/>
  <c r="O123" i="64"/>
  <c r="O124" i="64"/>
  <c r="O125" i="64"/>
  <c r="O126" i="64"/>
  <c r="O127" i="64"/>
  <c r="O128" i="64"/>
  <c r="O129" i="64"/>
  <c r="O130" i="64"/>
  <c r="O131" i="64"/>
  <c r="O22" i="64"/>
  <c r="O12" i="64"/>
  <c r="O11" i="64"/>
  <c r="O10" i="64"/>
  <c r="O9" i="64"/>
  <c r="O23" i="65"/>
  <c r="O24" i="65"/>
  <c r="O25" i="65"/>
  <c r="O26" i="65"/>
  <c r="O27" i="65"/>
  <c r="O28" i="65"/>
  <c r="O29" i="65"/>
  <c r="O30" i="65"/>
  <c r="O31" i="65"/>
  <c r="O32" i="65"/>
  <c r="O33" i="65"/>
  <c r="O34" i="65"/>
  <c r="O35" i="65"/>
  <c r="O36" i="65"/>
  <c r="O37" i="65"/>
  <c r="O38" i="65"/>
  <c r="O39" i="65"/>
  <c r="O40" i="65"/>
  <c r="O41" i="65"/>
  <c r="O42" i="65"/>
  <c r="O43" i="65"/>
  <c r="O44" i="65"/>
  <c r="O45" i="65"/>
  <c r="O46" i="65"/>
  <c r="O47" i="65"/>
  <c r="O48" i="65"/>
  <c r="O49" i="65"/>
  <c r="O50" i="65"/>
  <c r="O51" i="65"/>
  <c r="O52" i="65"/>
  <c r="O53" i="65"/>
  <c r="O54" i="65"/>
  <c r="O55" i="65"/>
  <c r="O56" i="65"/>
  <c r="O57" i="65"/>
  <c r="O58" i="65"/>
  <c r="O59" i="65"/>
  <c r="O60" i="65"/>
  <c r="O61" i="65"/>
  <c r="O62" i="65"/>
  <c r="O63" i="65"/>
  <c r="O64" i="65"/>
  <c r="O65" i="65"/>
  <c r="O66" i="65"/>
  <c r="O67" i="65"/>
  <c r="O68" i="65"/>
  <c r="O69" i="65"/>
  <c r="O70" i="65"/>
  <c r="O71" i="65"/>
  <c r="O72" i="65"/>
  <c r="O73" i="65"/>
  <c r="O74" i="65"/>
  <c r="O75" i="65"/>
  <c r="O76" i="65"/>
  <c r="O77" i="65"/>
  <c r="O78" i="65"/>
  <c r="O79" i="65"/>
  <c r="O80" i="65"/>
  <c r="O81" i="65"/>
  <c r="O82" i="65"/>
  <c r="O83" i="65"/>
  <c r="O84" i="65"/>
  <c r="O85" i="65"/>
  <c r="O86" i="65"/>
  <c r="O87" i="65"/>
  <c r="O88" i="65"/>
  <c r="O89" i="65"/>
  <c r="O90" i="65"/>
  <c r="O91" i="65"/>
  <c r="O92" i="65"/>
  <c r="O93" i="65"/>
  <c r="O94" i="65"/>
  <c r="O95" i="65"/>
  <c r="O96" i="65"/>
  <c r="O97" i="65"/>
  <c r="O98" i="65"/>
  <c r="O99" i="65"/>
  <c r="O100" i="65"/>
  <c r="O101" i="65"/>
  <c r="O102" i="65"/>
  <c r="O103" i="65"/>
  <c r="O104" i="65"/>
  <c r="O105" i="65"/>
  <c r="O106" i="65"/>
  <c r="O107" i="65"/>
  <c r="O108" i="65"/>
  <c r="O109" i="65"/>
  <c r="O110" i="65"/>
  <c r="O111" i="65"/>
  <c r="O112" i="65"/>
  <c r="O113" i="65"/>
  <c r="O114" i="65"/>
  <c r="O115" i="65"/>
  <c r="O116" i="65"/>
  <c r="O117" i="65"/>
  <c r="O118" i="65"/>
  <c r="O119" i="65"/>
  <c r="O120" i="65"/>
  <c r="O121" i="65"/>
  <c r="O122" i="65"/>
  <c r="O123" i="65"/>
  <c r="O124" i="65"/>
  <c r="O125" i="65"/>
  <c r="O126" i="65"/>
  <c r="O127" i="65"/>
  <c r="O128" i="65"/>
  <c r="O129" i="65"/>
  <c r="O130" i="65"/>
  <c r="O131" i="65"/>
  <c r="O22" i="65"/>
  <c r="O12" i="65"/>
  <c r="O11" i="65"/>
  <c r="O10" i="65"/>
  <c r="O9" i="65"/>
  <c r="O23" i="66"/>
  <c r="O24" i="66"/>
  <c r="O25" i="66"/>
  <c r="O26" i="66"/>
  <c r="O27" i="66"/>
  <c r="O28" i="66"/>
  <c r="O29" i="66"/>
  <c r="O30" i="66"/>
  <c r="O31" i="66"/>
  <c r="O32" i="66"/>
  <c r="O33" i="66"/>
  <c r="O34" i="66"/>
  <c r="O35" i="66"/>
  <c r="O36" i="66"/>
  <c r="O37" i="66"/>
  <c r="O38" i="66"/>
  <c r="O39" i="66"/>
  <c r="O40" i="66"/>
  <c r="O41" i="66"/>
  <c r="O42" i="66"/>
  <c r="O43" i="66"/>
  <c r="O44" i="66"/>
  <c r="O45" i="66"/>
  <c r="O46" i="66"/>
  <c r="O47" i="66"/>
  <c r="O48" i="66"/>
  <c r="O49" i="66"/>
  <c r="O50" i="66"/>
  <c r="O51" i="66"/>
  <c r="O52" i="66"/>
  <c r="O53" i="66"/>
  <c r="O54" i="66"/>
  <c r="O55" i="66"/>
  <c r="O56" i="66"/>
  <c r="O57" i="66"/>
  <c r="O58" i="66"/>
  <c r="O59" i="66"/>
  <c r="O60" i="66"/>
  <c r="O61" i="66"/>
  <c r="O62" i="66"/>
  <c r="O63" i="66"/>
  <c r="O64" i="66"/>
  <c r="O65" i="66"/>
  <c r="O66" i="66"/>
  <c r="O67" i="66"/>
  <c r="O68" i="66"/>
  <c r="O69" i="66"/>
  <c r="O70" i="66"/>
  <c r="O71" i="66"/>
  <c r="O72" i="66"/>
  <c r="O73" i="66"/>
  <c r="O74" i="66"/>
  <c r="O75" i="66"/>
  <c r="O76" i="66"/>
  <c r="O77" i="66"/>
  <c r="O78" i="66"/>
  <c r="O79" i="66"/>
  <c r="O80" i="66"/>
  <c r="O81" i="66"/>
  <c r="O82" i="66"/>
  <c r="O83" i="66"/>
  <c r="O84" i="66"/>
  <c r="O85" i="66"/>
  <c r="O86" i="66"/>
  <c r="O87" i="66"/>
  <c r="O88" i="66"/>
  <c r="O89" i="66"/>
  <c r="O90" i="66"/>
  <c r="O91" i="66"/>
  <c r="O92" i="66"/>
  <c r="O93" i="66"/>
  <c r="O94" i="66"/>
  <c r="O95" i="66"/>
  <c r="O96" i="66"/>
  <c r="O97" i="66"/>
  <c r="O98" i="66"/>
  <c r="O99" i="66"/>
  <c r="O100" i="66"/>
  <c r="O101" i="66"/>
  <c r="O102" i="66"/>
  <c r="O103" i="66"/>
  <c r="O104" i="66"/>
  <c r="O105" i="66"/>
  <c r="O106" i="66"/>
  <c r="O107" i="66"/>
  <c r="O108" i="66"/>
  <c r="O109" i="66"/>
  <c r="O110" i="66"/>
  <c r="O111" i="66"/>
  <c r="O112" i="66"/>
  <c r="O113" i="66"/>
  <c r="O114" i="66"/>
  <c r="O115" i="66"/>
  <c r="O116" i="66"/>
  <c r="O117" i="66"/>
  <c r="O118" i="66"/>
  <c r="O119" i="66"/>
  <c r="O120" i="66"/>
  <c r="O121" i="66"/>
  <c r="O122" i="66"/>
  <c r="O123" i="66"/>
  <c r="O124" i="66"/>
  <c r="O125" i="66"/>
  <c r="O126" i="66"/>
  <c r="O127" i="66"/>
  <c r="O128" i="66"/>
  <c r="O129" i="66"/>
  <c r="O130" i="66"/>
  <c r="O131" i="66"/>
  <c r="O22" i="66"/>
  <c r="O12" i="66"/>
  <c r="O11" i="66"/>
  <c r="O10" i="66"/>
  <c r="O9" i="66"/>
  <c r="O23" i="67"/>
  <c r="O24" i="67"/>
  <c r="O25" i="67"/>
  <c r="O26" i="67"/>
  <c r="O27" i="67"/>
  <c r="O28" i="67"/>
  <c r="O29" i="67"/>
  <c r="O30" i="67"/>
  <c r="O31" i="67"/>
  <c r="O32" i="67"/>
  <c r="O33" i="67"/>
  <c r="O34" i="67"/>
  <c r="O35" i="67"/>
  <c r="O36" i="67"/>
  <c r="O37" i="67"/>
  <c r="O38" i="67"/>
  <c r="O39" i="67"/>
  <c r="O40" i="67"/>
  <c r="O41" i="67"/>
  <c r="O42" i="67"/>
  <c r="O43" i="67"/>
  <c r="O44" i="67"/>
  <c r="O45" i="67"/>
  <c r="O46" i="67"/>
  <c r="O47" i="67"/>
  <c r="O48" i="67"/>
  <c r="O49" i="67"/>
  <c r="O50" i="67"/>
  <c r="O51" i="67"/>
  <c r="O52" i="67"/>
  <c r="O53" i="67"/>
  <c r="O54" i="67"/>
  <c r="O55" i="67"/>
  <c r="O56" i="67"/>
  <c r="O57" i="67"/>
  <c r="O58" i="67"/>
  <c r="O59" i="67"/>
  <c r="O60" i="67"/>
  <c r="O61" i="67"/>
  <c r="O62" i="67"/>
  <c r="O63" i="67"/>
  <c r="O64" i="67"/>
  <c r="O65" i="67"/>
  <c r="O66" i="67"/>
  <c r="O67" i="67"/>
  <c r="O68" i="67"/>
  <c r="O69" i="67"/>
  <c r="O70" i="67"/>
  <c r="O71" i="67"/>
  <c r="O72" i="67"/>
  <c r="O73" i="67"/>
  <c r="O74" i="67"/>
  <c r="O75" i="67"/>
  <c r="O76" i="67"/>
  <c r="O77" i="67"/>
  <c r="O78" i="67"/>
  <c r="O79" i="67"/>
  <c r="O80" i="67"/>
  <c r="O81" i="67"/>
  <c r="O82" i="67"/>
  <c r="O83" i="67"/>
  <c r="O84" i="67"/>
  <c r="O85" i="67"/>
  <c r="O86" i="67"/>
  <c r="O87" i="67"/>
  <c r="O88" i="67"/>
  <c r="O89" i="67"/>
  <c r="O90" i="67"/>
  <c r="O91" i="67"/>
  <c r="O92" i="67"/>
  <c r="O93" i="67"/>
  <c r="O94" i="67"/>
  <c r="O95" i="67"/>
  <c r="O96" i="67"/>
  <c r="O97" i="67"/>
  <c r="O98" i="67"/>
  <c r="O99" i="67"/>
  <c r="O100" i="67"/>
  <c r="O101" i="67"/>
  <c r="O102" i="67"/>
  <c r="O103" i="67"/>
  <c r="O104" i="67"/>
  <c r="O105" i="67"/>
  <c r="O106" i="67"/>
  <c r="O107" i="67"/>
  <c r="O108" i="67"/>
  <c r="O109" i="67"/>
  <c r="O110" i="67"/>
  <c r="O111" i="67"/>
  <c r="O112" i="67"/>
  <c r="O113" i="67"/>
  <c r="O114" i="67"/>
  <c r="O115" i="67"/>
  <c r="O116" i="67"/>
  <c r="O117" i="67"/>
  <c r="O118" i="67"/>
  <c r="O119" i="67"/>
  <c r="O120" i="67"/>
  <c r="O121" i="67"/>
  <c r="O122" i="67"/>
  <c r="O123" i="67"/>
  <c r="O124" i="67"/>
  <c r="O125" i="67"/>
  <c r="O126" i="67"/>
  <c r="O127" i="67"/>
  <c r="O128" i="67"/>
  <c r="O129" i="67"/>
  <c r="O130" i="67"/>
  <c r="O131" i="67"/>
  <c r="O22" i="67"/>
  <c r="O12" i="67"/>
  <c r="O11" i="67"/>
  <c r="O10" i="67"/>
  <c r="O9" i="67"/>
  <c r="O23" i="68"/>
  <c r="O24" i="68"/>
  <c r="O25" i="68"/>
  <c r="O26" i="68"/>
  <c r="O27" i="68"/>
  <c r="O28" i="68"/>
  <c r="O29" i="68"/>
  <c r="O30" i="68"/>
  <c r="O31" i="68"/>
  <c r="O32" i="68"/>
  <c r="O33" i="68"/>
  <c r="O34" i="68"/>
  <c r="O35" i="68"/>
  <c r="O36" i="68"/>
  <c r="O37" i="68"/>
  <c r="O38" i="68"/>
  <c r="O39" i="68"/>
  <c r="O40" i="68"/>
  <c r="O41" i="68"/>
  <c r="O42" i="68"/>
  <c r="O43" i="68"/>
  <c r="O44" i="68"/>
  <c r="O45" i="68"/>
  <c r="O46" i="68"/>
  <c r="O47" i="68"/>
  <c r="O48" i="68"/>
  <c r="O49" i="68"/>
  <c r="O50" i="68"/>
  <c r="O51" i="68"/>
  <c r="O52" i="68"/>
  <c r="O53" i="68"/>
  <c r="O54" i="68"/>
  <c r="O55" i="68"/>
  <c r="O56" i="68"/>
  <c r="O57" i="68"/>
  <c r="O58" i="68"/>
  <c r="O59" i="68"/>
  <c r="O60" i="68"/>
  <c r="O61" i="68"/>
  <c r="O62" i="68"/>
  <c r="O63" i="68"/>
  <c r="O64" i="68"/>
  <c r="O65" i="68"/>
  <c r="O66" i="68"/>
  <c r="O67" i="68"/>
  <c r="O68" i="68"/>
  <c r="O69" i="68"/>
  <c r="O70" i="68"/>
  <c r="O71" i="68"/>
  <c r="O72" i="68"/>
  <c r="O73" i="68"/>
  <c r="O74" i="68"/>
  <c r="O75" i="68"/>
  <c r="O76" i="68"/>
  <c r="O77" i="68"/>
  <c r="O78" i="68"/>
  <c r="O79" i="68"/>
  <c r="O80" i="68"/>
  <c r="O81" i="68"/>
  <c r="O82" i="68"/>
  <c r="O83" i="68"/>
  <c r="O84" i="68"/>
  <c r="O85" i="68"/>
  <c r="O86" i="68"/>
  <c r="O87" i="68"/>
  <c r="O88" i="68"/>
  <c r="O89" i="68"/>
  <c r="O90" i="68"/>
  <c r="O91" i="68"/>
  <c r="O92" i="68"/>
  <c r="O93" i="68"/>
  <c r="O94" i="68"/>
  <c r="O95" i="68"/>
  <c r="O96" i="68"/>
  <c r="O97" i="68"/>
  <c r="O98" i="68"/>
  <c r="O99" i="68"/>
  <c r="O100" i="68"/>
  <c r="O101" i="68"/>
  <c r="O102" i="68"/>
  <c r="O103" i="68"/>
  <c r="O104" i="68"/>
  <c r="O105" i="68"/>
  <c r="O106" i="68"/>
  <c r="O107" i="68"/>
  <c r="O108" i="68"/>
  <c r="O109" i="68"/>
  <c r="O110" i="68"/>
  <c r="O111" i="68"/>
  <c r="O112" i="68"/>
  <c r="O113" i="68"/>
  <c r="O114" i="68"/>
  <c r="O115" i="68"/>
  <c r="O116" i="68"/>
  <c r="O117" i="68"/>
  <c r="O118" i="68"/>
  <c r="O119" i="68"/>
  <c r="O120" i="68"/>
  <c r="O121" i="68"/>
  <c r="O122" i="68"/>
  <c r="O123" i="68"/>
  <c r="O124" i="68"/>
  <c r="O125" i="68"/>
  <c r="O126" i="68"/>
  <c r="O127" i="68"/>
  <c r="O128" i="68"/>
  <c r="O129" i="68"/>
  <c r="O130" i="68"/>
  <c r="O131" i="68"/>
  <c r="O22" i="68"/>
  <c r="O12" i="68"/>
  <c r="O11" i="68"/>
  <c r="O10" i="68"/>
  <c r="O9" i="68"/>
  <c r="O23" i="69"/>
  <c r="O24" i="69"/>
  <c r="O25" i="69"/>
  <c r="O26" i="69"/>
  <c r="O27" i="69"/>
  <c r="O28" i="69"/>
  <c r="O29" i="69"/>
  <c r="O30" i="69"/>
  <c r="O31" i="69"/>
  <c r="O32" i="69"/>
  <c r="O33" i="69"/>
  <c r="O34" i="69"/>
  <c r="O35" i="69"/>
  <c r="O36" i="69"/>
  <c r="O37" i="69"/>
  <c r="O38" i="69"/>
  <c r="O39" i="69"/>
  <c r="O40" i="69"/>
  <c r="O41" i="69"/>
  <c r="O42" i="69"/>
  <c r="O43" i="69"/>
  <c r="O44" i="69"/>
  <c r="O45" i="69"/>
  <c r="O46" i="69"/>
  <c r="O47" i="69"/>
  <c r="O48" i="69"/>
  <c r="O49" i="69"/>
  <c r="O50" i="69"/>
  <c r="O51" i="69"/>
  <c r="O52" i="69"/>
  <c r="O53" i="69"/>
  <c r="O54" i="69"/>
  <c r="O55" i="69"/>
  <c r="O56" i="69"/>
  <c r="O57" i="69"/>
  <c r="O58" i="69"/>
  <c r="O59" i="69"/>
  <c r="O60" i="69"/>
  <c r="O61" i="69"/>
  <c r="O62" i="69"/>
  <c r="O63" i="69"/>
  <c r="O64" i="69"/>
  <c r="O65" i="69"/>
  <c r="O66" i="69"/>
  <c r="O67" i="69"/>
  <c r="O68" i="69"/>
  <c r="O69" i="69"/>
  <c r="O70" i="69"/>
  <c r="O71" i="69"/>
  <c r="O72" i="69"/>
  <c r="O73" i="69"/>
  <c r="O74" i="69"/>
  <c r="O75" i="69"/>
  <c r="O76" i="69"/>
  <c r="O77" i="69"/>
  <c r="O78" i="69"/>
  <c r="O79" i="69"/>
  <c r="O80" i="69"/>
  <c r="O81" i="69"/>
  <c r="O82" i="69"/>
  <c r="O83" i="69"/>
  <c r="O84" i="69"/>
  <c r="O85" i="69"/>
  <c r="O86" i="69"/>
  <c r="O87" i="69"/>
  <c r="O88" i="69"/>
  <c r="O89" i="69"/>
  <c r="O90" i="69"/>
  <c r="O91" i="69"/>
  <c r="O92" i="69"/>
  <c r="O93" i="69"/>
  <c r="O94" i="69"/>
  <c r="O95" i="69"/>
  <c r="O96" i="69"/>
  <c r="O97" i="69"/>
  <c r="O98" i="69"/>
  <c r="O99" i="69"/>
  <c r="O100" i="69"/>
  <c r="O101" i="69"/>
  <c r="O102" i="69"/>
  <c r="O103" i="69"/>
  <c r="O104" i="69"/>
  <c r="O105" i="69"/>
  <c r="O106" i="69"/>
  <c r="O107" i="69"/>
  <c r="O108" i="69"/>
  <c r="O109" i="69"/>
  <c r="O110" i="69"/>
  <c r="O111" i="69"/>
  <c r="O112" i="69"/>
  <c r="O113" i="69"/>
  <c r="O114" i="69"/>
  <c r="O115" i="69"/>
  <c r="O116" i="69"/>
  <c r="O117" i="69"/>
  <c r="O118" i="69"/>
  <c r="O119" i="69"/>
  <c r="O120" i="69"/>
  <c r="O121" i="69"/>
  <c r="O122" i="69"/>
  <c r="O123" i="69"/>
  <c r="O124" i="69"/>
  <c r="O125" i="69"/>
  <c r="O126" i="69"/>
  <c r="O127" i="69"/>
  <c r="O128" i="69"/>
  <c r="O129" i="69"/>
  <c r="O130" i="69"/>
  <c r="O131" i="69"/>
  <c r="O22" i="69"/>
  <c r="O12" i="69"/>
  <c r="O11" i="69"/>
  <c r="O10" i="69"/>
  <c r="O9" i="69"/>
  <c r="O134" i="55" l="1"/>
  <c r="O134" i="56"/>
  <c r="EK101" i="73"/>
  <c r="EC101" i="73"/>
  <c r="DU101" i="73"/>
  <c r="DM101" i="73"/>
  <c r="DE101" i="73"/>
  <c r="CW101" i="73"/>
  <c r="CO101" i="73"/>
  <c r="CG101" i="73"/>
  <c r="BY101" i="73"/>
  <c r="BP101" i="73"/>
  <c r="BH101" i="73"/>
  <c r="AZ101" i="73"/>
  <c r="AR101" i="73"/>
  <c r="AJ101" i="73"/>
  <c r="DT101" i="73"/>
  <c r="DL101" i="73"/>
  <c r="DD101" i="73"/>
  <c r="CV101" i="73"/>
  <c r="CN101" i="73"/>
  <c r="CF101" i="73"/>
  <c r="BX101" i="73"/>
  <c r="O134" i="60"/>
  <c r="O134" i="58"/>
  <c r="O134" i="57"/>
  <c r="F119" i="9"/>
  <c r="N413" i="3"/>
  <c r="N405" i="3"/>
  <c r="J429" i="3"/>
  <c r="N429" i="3" s="1"/>
  <c r="G425" i="3"/>
  <c r="F432" i="3"/>
  <c r="G409" i="3"/>
  <c r="J409" i="3" s="1"/>
  <c r="N409" i="3" s="1"/>
  <c r="D432" i="3"/>
  <c r="G423" i="3"/>
  <c r="J423" i="3" s="1"/>
  <c r="N423" i="3" s="1"/>
  <c r="G414" i="3"/>
  <c r="H414" i="3" s="1"/>
  <c r="G417" i="3"/>
  <c r="H417" i="3" s="1"/>
  <c r="J419" i="3"/>
  <c r="N419" i="3" s="1"/>
  <c r="G404" i="3"/>
  <c r="G426" i="3"/>
  <c r="J426" i="3" s="1"/>
  <c r="N426" i="3" s="1"/>
  <c r="J411" i="3"/>
  <c r="N411" i="3" s="1"/>
  <c r="G422" i="3"/>
  <c r="J422" i="3" s="1"/>
  <c r="N422" i="3" s="1"/>
  <c r="J427" i="3"/>
  <c r="N427" i="3" s="1"/>
  <c r="G412" i="3"/>
  <c r="J412" i="3" s="1"/>
  <c r="N412" i="3" s="1"/>
  <c r="G401" i="3"/>
  <c r="J401" i="3" s="1"/>
  <c r="J403" i="3"/>
  <c r="N403" i="3" s="1"/>
  <c r="G410" i="3"/>
  <c r="G424" i="3"/>
  <c r="H424" i="3" s="1"/>
  <c r="G415" i="3"/>
  <c r="J415" i="3" s="1"/>
  <c r="N415" i="3" s="1"/>
  <c r="G420" i="3"/>
  <c r="H420" i="3" s="1"/>
  <c r="G428" i="3"/>
  <c r="J428" i="3" s="1"/>
  <c r="N428" i="3" s="1"/>
  <c r="J418" i="3"/>
  <c r="N418" i="3" s="1"/>
  <c r="H418" i="3"/>
  <c r="H404" i="3"/>
  <c r="J404" i="3"/>
  <c r="N404" i="3" s="1"/>
  <c r="H426" i="3"/>
  <c r="J402" i="3"/>
  <c r="N402" i="3" s="1"/>
  <c r="H402" i="3"/>
  <c r="J407" i="3"/>
  <c r="N407" i="3" s="1"/>
  <c r="H407" i="3"/>
  <c r="J416" i="3"/>
  <c r="N416" i="3" s="1"/>
  <c r="H416" i="3"/>
  <c r="J425" i="3"/>
  <c r="N425" i="3" s="1"/>
  <c r="H425" i="3"/>
  <c r="J431" i="3"/>
  <c r="N431" i="3" s="1"/>
  <c r="H431" i="3"/>
  <c r="H410" i="3"/>
  <c r="J410" i="3"/>
  <c r="N410" i="3" s="1"/>
  <c r="J430" i="3"/>
  <c r="N430" i="3" s="1"/>
  <c r="H430" i="3"/>
  <c r="H405" i="3"/>
  <c r="G406" i="3"/>
  <c r="H413" i="3"/>
  <c r="H429" i="3"/>
  <c r="G408" i="3"/>
  <c r="J421" i="3"/>
  <c r="N421" i="3" s="1"/>
  <c r="J414" i="3" l="1"/>
  <c r="N414" i="3" s="1"/>
  <c r="H423" i="3"/>
  <c r="H428" i="3"/>
  <c r="J420" i="3"/>
  <c r="N420" i="3" s="1"/>
  <c r="H415" i="3"/>
  <c r="H409" i="3"/>
  <c r="J424" i="3"/>
  <c r="N424" i="3" s="1"/>
  <c r="J417" i="3"/>
  <c r="N417" i="3" s="1"/>
  <c r="H401" i="3"/>
  <c r="H422" i="3"/>
  <c r="G432" i="3"/>
  <c r="H412" i="3"/>
  <c r="J408" i="3"/>
  <c r="N408" i="3" s="1"/>
  <c r="H408" i="3"/>
  <c r="J406" i="3"/>
  <c r="N406" i="3" s="1"/>
  <c r="H406" i="3"/>
  <c r="H432" i="3" l="1"/>
  <c r="J432" i="3"/>
  <c r="O23" i="70" l="1"/>
  <c r="O24" i="70"/>
  <c r="O25" i="70"/>
  <c r="O26" i="70"/>
  <c r="O27" i="70"/>
  <c r="O28" i="70"/>
  <c r="O29" i="70"/>
  <c r="O30" i="70"/>
  <c r="O31" i="70"/>
  <c r="O32" i="70"/>
  <c r="O33" i="70"/>
  <c r="O34" i="70"/>
  <c r="O35" i="70"/>
  <c r="O36" i="70"/>
  <c r="O37" i="70"/>
  <c r="O38" i="70"/>
  <c r="O39" i="70"/>
  <c r="O40" i="70"/>
  <c r="O41" i="70"/>
  <c r="O42" i="70"/>
  <c r="O43" i="70"/>
  <c r="O44" i="70"/>
  <c r="O45" i="70"/>
  <c r="O46" i="70"/>
  <c r="O47" i="70"/>
  <c r="O48" i="70"/>
  <c r="O49" i="70"/>
  <c r="O50" i="70"/>
  <c r="O51" i="70"/>
  <c r="O52" i="70"/>
  <c r="O53" i="70"/>
  <c r="O54" i="70"/>
  <c r="O55" i="70"/>
  <c r="O56" i="70"/>
  <c r="O57" i="70"/>
  <c r="O58" i="70"/>
  <c r="O59" i="70"/>
  <c r="O60" i="70"/>
  <c r="O61" i="70"/>
  <c r="O62" i="70"/>
  <c r="O63" i="70"/>
  <c r="O64" i="70"/>
  <c r="O65" i="70"/>
  <c r="O66" i="70"/>
  <c r="O67" i="70"/>
  <c r="O68" i="70"/>
  <c r="O69" i="70"/>
  <c r="O70" i="70"/>
  <c r="O71" i="70"/>
  <c r="O72" i="70"/>
  <c r="O73" i="70"/>
  <c r="O74" i="70"/>
  <c r="O75" i="70"/>
  <c r="O76" i="70"/>
  <c r="O77" i="70"/>
  <c r="O78" i="70"/>
  <c r="O79" i="70"/>
  <c r="O80" i="70"/>
  <c r="O81" i="70"/>
  <c r="O82" i="70"/>
  <c r="O83" i="70"/>
  <c r="O84" i="70"/>
  <c r="O85" i="70"/>
  <c r="O86" i="70"/>
  <c r="O87" i="70"/>
  <c r="O88" i="70"/>
  <c r="O89" i="70"/>
  <c r="O90" i="70"/>
  <c r="O91" i="70"/>
  <c r="O92" i="70"/>
  <c r="O93" i="70"/>
  <c r="O94" i="70"/>
  <c r="O95" i="70"/>
  <c r="O96" i="70"/>
  <c r="O97" i="70"/>
  <c r="O98" i="70"/>
  <c r="O99" i="70"/>
  <c r="O100" i="70"/>
  <c r="O101" i="70"/>
  <c r="O102" i="70"/>
  <c r="O103" i="70"/>
  <c r="O104" i="70"/>
  <c r="O105" i="70"/>
  <c r="O106" i="70"/>
  <c r="O107" i="70"/>
  <c r="O108" i="70"/>
  <c r="O109" i="70"/>
  <c r="O110" i="70"/>
  <c r="O111" i="70"/>
  <c r="O112" i="70"/>
  <c r="O113" i="70"/>
  <c r="O114" i="70"/>
  <c r="O115" i="70"/>
  <c r="O116" i="70"/>
  <c r="O117" i="70"/>
  <c r="O118" i="70"/>
  <c r="O119" i="70"/>
  <c r="O120" i="70"/>
  <c r="O121" i="70"/>
  <c r="O122" i="70"/>
  <c r="O123" i="70"/>
  <c r="O124" i="70"/>
  <c r="O125" i="70"/>
  <c r="O126" i="70"/>
  <c r="O127" i="70"/>
  <c r="O128" i="70"/>
  <c r="O129" i="70"/>
  <c r="O130" i="70"/>
  <c r="O131" i="70"/>
  <c r="O22" i="70"/>
  <c r="O12" i="70"/>
  <c r="O11" i="70"/>
  <c r="O10" i="70"/>
  <c r="O9" i="70"/>
  <c r="O23" i="82"/>
  <c r="O24" i="82"/>
  <c r="O25" i="82"/>
  <c r="O26" i="82"/>
  <c r="O27" i="82"/>
  <c r="O28" i="82"/>
  <c r="O29" i="82"/>
  <c r="O30" i="82"/>
  <c r="O31" i="82"/>
  <c r="O32" i="82"/>
  <c r="O33" i="82"/>
  <c r="O34" i="82"/>
  <c r="O35" i="82"/>
  <c r="O36" i="82"/>
  <c r="O37" i="82"/>
  <c r="O38" i="82"/>
  <c r="O39" i="82"/>
  <c r="O40" i="82"/>
  <c r="O41" i="82"/>
  <c r="O42" i="82"/>
  <c r="O43" i="82"/>
  <c r="O44" i="82"/>
  <c r="O45" i="82"/>
  <c r="O46" i="82"/>
  <c r="O47" i="82"/>
  <c r="O48" i="82"/>
  <c r="O49" i="82"/>
  <c r="O50" i="82"/>
  <c r="O51" i="82"/>
  <c r="O52" i="82"/>
  <c r="O53" i="82"/>
  <c r="O54" i="82"/>
  <c r="O55" i="82"/>
  <c r="O56" i="82"/>
  <c r="O57" i="82"/>
  <c r="O58" i="82"/>
  <c r="O59" i="82"/>
  <c r="O60" i="82"/>
  <c r="O61" i="82"/>
  <c r="O62" i="82"/>
  <c r="O63" i="82"/>
  <c r="O64" i="82"/>
  <c r="O65" i="82"/>
  <c r="O66" i="82"/>
  <c r="O67" i="82"/>
  <c r="O68" i="82"/>
  <c r="O69" i="82"/>
  <c r="O70" i="82"/>
  <c r="O71" i="82"/>
  <c r="O72" i="82"/>
  <c r="O73" i="82"/>
  <c r="O74" i="82"/>
  <c r="O75" i="82"/>
  <c r="O76" i="82"/>
  <c r="O77" i="82"/>
  <c r="O78" i="82"/>
  <c r="O79" i="82"/>
  <c r="O80" i="82"/>
  <c r="O81" i="82"/>
  <c r="O82" i="82"/>
  <c r="O83" i="82"/>
  <c r="O84" i="82"/>
  <c r="O85" i="82"/>
  <c r="O86" i="82"/>
  <c r="O87" i="82"/>
  <c r="O88" i="82"/>
  <c r="O89" i="82"/>
  <c r="O90" i="82"/>
  <c r="O91" i="82"/>
  <c r="O92" i="82"/>
  <c r="O93" i="82"/>
  <c r="O94" i="82"/>
  <c r="O95" i="82"/>
  <c r="O96" i="82"/>
  <c r="O97" i="82"/>
  <c r="O98" i="82"/>
  <c r="O99" i="82"/>
  <c r="O100" i="82"/>
  <c r="O101" i="82"/>
  <c r="O102" i="82"/>
  <c r="O103" i="82"/>
  <c r="O104" i="82"/>
  <c r="O105" i="82"/>
  <c r="O106" i="82"/>
  <c r="O107" i="82"/>
  <c r="O108" i="82"/>
  <c r="O109" i="82"/>
  <c r="O110" i="82"/>
  <c r="O111" i="82"/>
  <c r="O112" i="82"/>
  <c r="O113" i="82"/>
  <c r="O114" i="82"/>
  <c r="O115" i="82"/>
  <c r="O116" i="82"/>
  <c r="O117" i="82"/>
  <c r="O118" i="82"/>
  <c r="O119" i="82"/>
  <c r="O120" i="82"/>
  <c r="O121" i="82"/>
  <c r="O122" i="82"/>
  <c r="O123" i="82"/>
  <c r="O124" i="82"/>
  <c r="O125" i="82"/>
  <c r="O126" i="82"/>
  <c r="O127" i="82"/>
  <c r="O128" i="82"/>
  <c r="O129" i="82"/>
  <c r="O130" i="82"/>
  <c r="O131" i="82"/>
  <c r="O132" i="82"/>
  <c r="O133" i="82"/>
  <c r="O22" i="82"/>
  <c r="O12" i="82"/>
  <c r="O11" i="82"/>
  <c r="O10" i="82"/>
  <c r="O9" i="82"/>
  <c r="O22" i="79"/>
  <c r="O23" i="79"/>
  <c r="O24" i="79"/>
  <c r="O25" i="79"/>
  <c r="O26" i="79"/>
  <c r="O27" i="79"/>
  <c r="O28" i="79"/>
  <c r="O29" i="79"/>
  <c r="O30" i="79"/>
  <c r="O31" i="79"/>
  <c r="O32" i="79"/>
  <c r="O33" i="79"/>
  <c r="O34" i="79"/>
  <c r="O35" i="79"/>
  <c r="O36" i="79"/>
  <c r="O37" i="79"/>
  <c r="O38" i="79"/>
  <c r="O39" i="79"/>
  <c r="O40" i="79"/>
  <c r="O41" i="79"/>
  <c r="O42" i="79"/>
  <c r="O43" i="79"/>
  <c r="O44" i="79"/>
  <c r="O45" i="79"/>
  <c r="O46" i="79"/>
  <c r="O47" i="79"/>
  <c r="O48" i="79"/>
  <c r="O49" i="79"/>
  <c r="O50" i="79"/>
  <c r="O51" i="79"/>
  <c r="O52" i="79"/>
  <c r="O53" i="79"/>
  <c r="O54" i="79"/>
  <c r="O55" i="79"/>
  <c r="O56" i="79"/>
  <c r="O57" i="79"/>
  <c r="O58" i="79"/>
  <c r="O59" i="79"/>
  <c r="O60" i="79"/>
  <c r="O61" i="79"/>
  <c r="O62" i="79"/>
  <c r="O63" i="79"/>
  <c r="O64" i="79"/>
  <c r="O65" i="79"/>
  <c r="O66" i="79"/>
  <c r="O67" i="79"/>
  <c r="O68" i="79"/>
  <c r="O69" i="79"/>
  <c r="O70" i="79"/>
  <c r="O71" i="79"/>
  <c r="O72" i="79"/>
  <c r="O73" i="79"/>
  <c r="O74" i="79"/>
  <c r="O75" i="79"/>
  <c r="O76" i="79"/>
  <c r="O77" i="79"/>
  <c r="O78" i="79"/>
  <c r="O79" i="79"/>
  <c r="O80" i="79"/>
  <c r="O81" i="79"/>
  <c r="O82" i="79"/>
  <c r="O83" i="79"/>
  <c r="O84" i="79"/>
  <c r="O85" i="79"/>
  <c r="O86" i="79"/>
  <c r="O87" i="79"/>
  <c r="O88" i="79"/>
  <c r="O89" i="79"/>
  <c r="O90" i="79"/>
  <c r="O91" i="79"/>
  <c r="O92" i="79"/>
  <c r="O93" i="79"/>
  <c r="O94" i="79"/>
  <c r="O95" i="79"/>
  <c r="O96" i="79"/>
  <c r="O97" i="79"/>
  <c r="O98" i="79"/>
  <c r="O99" i="79"/>
  <c r="O100" i="79"/>
  <c r="O101" i="79"/>
  <c r="O102" i="79"/>
  <c r="O103" i="79"/>
  <c r="O104" i="79"/>
  <c r="O105" i="79"/>
  <c r="O106" i="79"/>
  <c r="O107" i="79"/>
  <c r="O108" i="79"/>
  <c r="O109" i="79"/>
  <c r="O110" i="79"/>
  <c r="O111" i="79"/>
  <c r="O112" i="79"/>
  <c r="O113" i="79"/>
  <c r="O114" i="79"/>
  <c r="O115" i="79"/>
  <c r="O116" i="79"/>
  <c r="O117" i="79"/>
  <c r="O118" i="79"/>
  <c r="O119" i="79"/>
  <c r="O120" i="79"/>
  <c r="O121" i="79"/>
  <c r="O122" i="79"/>
  <c r="O123" i="79"/>
  <c r="O124" i="79"/>
  <c r="O125" i="79"/>
  <c r="O126" i="79"/>
  <c r="O127" i="79"/>
  <c r="O128" i="79"/>
  <c r="O129" i="79"/>
  <c r="O130" i="79"/>
  <c r="O131" i="79"/>
  <c r="O12" i="79"/>
  <c r="O11" i="79"/>
  <c r="O10" i="79"/>
  <c r="O9" i="79"/>
  <c r="O23" i="80"/>
  <c r="O24" i="80"/>
  <c r="O25" i="80"/>
  <c r="O26" i="80"/>
  <c r="O27" i="80"/>
  <c r="O28" i="80"/>
  <c r="O29" i="80"/>
  <c r="O30" i="80"/>
  <c r="O31" i="80"/>
  <c r="O32" i="80"/>
  <c r="O33" i="80"/>
  <c r="O34" i="80"/>
  <c r="O35" i="80"/>
  <c r="O36" i="80"/>
  <c r="O37" i="80"/>
  <c r="O38" i="80"/>
  <c r="O39" i="80"/>
  <c r="O40" i="80"/>
  <c r="O41" i="80"/>
  <c r="O42" i="80"/>
  <c r="O43" i="80"/>
  <c r="O44" i="80"/>
  <c r="O45" i="80"/>
  <c r="O46" i="80"/>
  <c r="O47" i="80"/>
  <c r="O48" i="80"/>
  <c r="O49" i="80"/>
  <c r="O50" i="80"/>
  <c r="O51" i="80"/>
  <c r="O52" i="80"/>
  <c r="O53" i="80"/>
  <c r="O54" i="80"/>
  <c r="O55" i="80"/>
  <c r="O56" i="80"/>
  <c r="O57" i="80"/>
  <c r="O58" i="80"/>
  <c r="O59" i="80"/>
  <c r="O60" i="80"/>
  <c r="O61" i="80"/>
  <c r="O62" i="80"/>
  <c r="O63" i="80"/>
  <c r="O64" i="80"/>
  <c r="O65" i="80"/>
  <c r="O66" i="80"/>
  <c r="O67" i="80"/>
  <c r="O68" i="80"/>
  <c r="O69" i="80"/>
  <c r="O70" i="80"/>
  <c r="O71" i="80"/>
  <c r="O72" i="80"/>
  <c r="O73" i="80"/>
  <c r="O74" i="80"/>
  <c r="O75" i="80"/>
  <c r="O76" i="80"/>
  <c r="O77" i="80"/>
  <c r="O78" i="80"/>
  <c r="O79" i="80"/>
  <c r="O80" i="80"/>
  <c r="O81" i="80"/>
  <c r="O82" i="80"/>
  <c r="O83" i="80"/>
  <c r="O84" i="80"/>
  <c r="O85" i="80"/>
  <c r="O86" i="80"/>
  <c r="O87" i="80"/>
  <c r="O88" i="80"/>
  <c r="O89" i="80"/>
  <c r="O90" i="80"/>
  <c r="O91" i="80"/>
  <c r="O92" i="80"/>
  <c r="O93" i="80"/>
  <c r="O94" i="80"/>
  <c r="O95" i="80"/>
  <c r="O96" i="80"/>
  <c r="O97" i="80"/>
  <c r="O98" i="80"/>
  <c r="O99" i="80"/>
  <c r="O100" i="80"/>
  <c r="O101" i="80"/>
  <c r="O102" i="80"/>
  <c r="O103" i="80"/>
  <c r="O104" i="80"/>
  <c r="O105" i="80"/>
  <c r="O106" i="80"/>
  <c r="O107" i="80"/>
  <c r="O108" i="80"/>
  <c r="O109" i="80"/>
  <c r="O110" i="80"/>
  <c r="O111" i="80"/>
  <c r="O112" i="80"/>
  <c r="O113" i="80"/>
  <c r="O114" i="80"/>
  <c r="O115" i="80"/>
  <c r="O116" i="80"/>
  <c r="O117" i="80"/>
  <c r="O118" i="80"/>
  <c r="O119" i="80"/>
  <c r="O120" i="80"/>
  <c r="O121" i="80"/>
  <c r="O122" i="80"/>
  <c r="O123" i="80"/>
  <c r="O124" i="80"/>
  <c r="O125" i="80"/>
  <c r="O126" i="80"/>
  <c r="O127" i="80"/>
  <c r="O128" i="80"/>
  <c r="O129" i="80"/>
  <c r="O130" i="80"/>
  <c r="O131" i="80"/>
  <c r="O22" i="80"/>
  <c r="O12" i="80"/>
  <c r="O11" i="80"/>
  <c r="O10" i="80"/>
  <c r="O9" i="80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O98" i="54"/>
  <c r="O99" i="54"/>
  <c r="O100" i="54"/>
  <c r="O101" i="54"/>
  <c r="O102" i="54"/>
  <c r="O103" i="54"/>
  <c r="O104" i="54"/>
  <c r="O105" i="54"/>
  <c r="O106" i="54"/>
  <c r="O107" i="54"/>
  <c r="O108" i="54"/>
  <c r="O109" i="54"/>
  <c r="O110" i="54"/>
  <c r="O111" i="54"/>
  <c r="O112" i="54"/>
  <c r="O113" i="54"/>
  <c r="O114" i="54"/>
  <c r="O115" i="54"/>
  <c r="O116" i="54"/>
  <c r="O117" i="54"/>
  <c r="O118" i="54"/>
  <c r="O119" i="54"/>
  <c r="O120" i="54"/>
  <c r="O121" i="54"/>
  <c r="O122" i="54"/>
  <c r="O123" i="54"/>
  <c r="O124" i="54"/>
  <c r="O125" i="54"/>
  <c r="O126" i="54"/>
  <c r="O127" i="54"/>
  <c r="O128" i="54"/>
  <c r="O129" i="54"/>
  <c r="O130" i="54"/>
  <c r="O131" i="54"/>
  <c r="O132" i="54"/>
  <c r="O133" i="54"/>
  <c r="O22" i="54"/>
  <c r="O12" i="54"/>
  <c r="O11" i="54"/>
  <c r="O10" i="54"/>
  <c r="O9" i="54"/>
  <c r="O23" i="53"/>
  <c r="O24" i="53"/>
  <c r="O25" i="53"/>
  <c r="O26" i="53"/>
  <c r="O27" i="53"/>
  <c r="O28" i="53"/>
  <c r="O29" i="53"/>
  <c r="O30" i="53"/>
  <c r="O31" i="53"/>
  <c r="O32" i="53"/>
  <c r="O33" i="53"/>
  <c r="O34" i="53"/>
  <c r="O35" i="53"/>
  <c r="O36" i="53"/>
  <c r="O37" i="53"/>
  <c r="O38" i="53"/>
  <c r="O39" i="53"/>
  <c r="O40" i="53"/>
  <c r="O41" i="53"/>
  <c r="O42" i="53"/>
  <c r="O43" i="53"/>
  <c r="O44" i="53"/>
  <c r="O45" i="53"/>
  <c r="O46" i="53"/>
  <c r="O47" i="53"/>
  <c r="O48" i="53"/>
  <c r="O49" i="53"/>
  <c r="O50" i="53"/>
  <c r="O51" i="53"/>
  <c r="O52" i="53"/>
  <c r="O53" i="53"/>
  <c r="O54" i="53"/>
  <c r="O55" i="53"/>
  <c r="O56" i="53"/>
  <c r="O57" i="53"/>
  <c r="O58" i="53"/>
  <c r="O59" i="53"/>
  <c r="O60" i="53"/>
  <c r="O61" i="53"/>
  <c r="O62" i="53"/>
  <c r="O63" i="53"/>
  <c r="O64" i="53"/>
  <c r="O65" i="53"/>
  <c r="O66" i="53"/>
  <c r="O67" i="53"/>
  <c r="O68" i="53"/>
  <c r="O69" i="53"/>
  <c r="O70" i="53"/>
  <c r="O71" i="53"/>
  <c r="O72" i="53"/>
  <c r="O73" i="53"/>
  <c r="O74" i="53"/>
  <c r="O75" i="53"/>
  <c r="O76" i="53"/>
  <c r="O77" i="53"/>
  <c r="O78" i="53"/>
  <c r="O79" i="53"/>
  <c r="O80" i="53"/>
  <c r="O81" i="53"/>
  <c r="O82" i="53"/>
  <c r="O83" i="53"/>
  <c r="O84" i="53"/>
  <c r="O85" i="53"/>
  <c r="O86" i="53"/>
  <c r="O87" i="53"/>
  <c r="O88" i="53"/>
  <c r="O89" i="53"/>
  <c r="O90" i="53"/>
  <c r="O91" i="53"/>
  <c r="O92" i="53"/>
  <c r="O93" i="53"/>
  <c r="O94" i="53"/>
  <c r="O95" i="53"/>
  <c r="O96" i="53"/>
  <c r="O97" i="53"/>
  <c r="O98" i="53"/>
  <c r="O99" i="53"/>
  <c r="O100" i="53"/>
  <c r="O101" i="53"/>
  <c r="O102" i="53"/>
  <c r="O103" i="53"/>
  <c r="O104" i="53"/>
  <c r="O105" i="53"/>
  <c r="O106" i="53"/>
  <c r="O107" i="53"/>
  <c r="O108" i="53"/>
  <c r="O109" i="53"/>
  <c r="O110" i="53"/>
  <c r="O111" i="53"/>
  <c r="O112" i="53"/>
  <c r="O113" i="53"/>
  <c r="O114" i="53"/>
  <c r="O115" i="53"/>
  <c r="O116" i="53"/>
  <c r="O117" i="53"/>
  <c r="O118" i="53"/>
  <c r="O119" i="53"/>
  <c r="O120" i="53"/>
  <c r="O121" i="53"/>
  <c r="O122" i="53"/>
  <c r="O123" i="53"/>
  <c r="O124" i="53"/>
  <c r="O125" i="53"/>
  <c r="O126" i="53"/>
  <c r="O127" i="53"/>
  <c r="O128" i="53"/>
  <c r="O129" i="53"/>
  <c r="O130" i="53"/>
  <c r="O131" i="53"/>
  <c r="O22" i="53"/>
  <c r="O12" i="53"/>
  <c r="O11" i="53"/>
  <c r="O10" i="53"/>
  <c r="O9" i="53"/>
  <c r="O23" i="52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22" i="52"/>
  <c r="O12" i="52"/>
  <c r="O11" i="52"/>
  <c r="O10" i="52"/>
  <c r="O9" i="52"/>
  <c r="O23" i="51"/>
  <c r="O24" i="51"/>
  <c r="O25" i="51"/>
  <c r="O26" i="51"/>
  <c r="O27" i="51"/>
  <c r="O28" i="51"/>
  <c r="O29" i="51"/>
  <c r="O30" i="51"/>
  <c r="O31" i="51"/>
  <c r="O32" i="51"/>
  <c r="O33" i="51"/>
  <c r="O34" i="51"/>
  <c r="O35" i="51"/>
  <c r="O36" i="51"/>
  <c r="O37" i="51"/>
  <c r="O38" i="51"/>
  <c r="O39" i="51"/>
  <c r="O40" i="51"/>
  <c r="O41" i="51"/>
  <c r="O42" i="51"/>
  <c r="O43" i="51"/>
  <c r="O44" i="51"/>
  <c r="O45" i="51"/>
  <c r="O46" i="51"/>
  <c r="O47" i="51"/>
  <c r="O48" i="51"/>
  <c r="O49" i="51"/>
  <c r="O50" i="51"/>
  <c r="O51" i="51"/>
  <c r="O52" i="51"/>
  <c r="O53" i="51"/>
  <c r="O54" i="51"/>
  <c r="O55" i="51"/>
  <c r="O56" i="51"/>
  <c r="O57" i="51"/>
  <c r="O58" i="51"/>
  <c r="O59" i="51"/>
  <c r="O60" i="51"/>
  <c r="O61" i="51"/>
  <c r="O62" i="51"/>
  <c r="O63" i="51"/>
  <c r="O64" i="51"/>
  <c r="O65" i="51"/>
  <c r="O66" i="51"/>
  <c r="O67" i="51"/>
  <c r="O68" i="51"/>
  <c r="O69" i="51"/>
  <c r="O70" i="51"/>
  <c r="O71" i="51"/>
  <c r="O72" i="51"/>
  <c r="O73" i="51"/>
  <c r="O74" i="51"/>
  <c r="O75" i="51"/>
  <c r="O76" i="51"/>
  <c r="O77" i="51"/>
  <c r="O78" i="51"/>
  <c r="O79" i="51"/>
  <c r="O80" i="51"/>
  <c r="O81" i="51"/>
  <c r="O82" i="51"/>
  <c r="O83" i="51"/>
  <c r="O84" i="51"/>
  <c r="O85" i="51"/>
  <c r="O86" i="51"/>
  <c r="O87" i="51"/>
  <c r="O88" i="51"/>
  <c r="O89" i="51"/>
  <c r="O90" i="51"/>
  <c r="O91" i="51"/>
  <c r="O92" i="51"/>
  <c r="O93" i="51"/>
  <c r="O94" i="51"/>
  <c r="O95" i="51"/>
  <c r="O96" i="51"/>
  <c r="O97" i="51"/>
  <c r="O98" i="51"/>
  <c r="O99" i="51"/>
  <c r="O100" i="51"/>
  <c r="O101" i="51"/>
  <c r="O102" i="51"/>
  <c r="O103" i="51"/>
  <c r="O104" i="51"/>
  <c r="O105" i="51"/>
  <c r="O106" i="51"/>
  <c r="O107" i="51"/>
  <c r="O108" i="51"/>
  <c r="O109" i="51"/>
  <c r="O110" i="51"/>
  <c r="O111" i="51"/>
  <c r="O112" i="51"/>
  <c r="O113" i="51"/>
  <c r="O114" i="51"/>
  <c r="O115" i="51"/>
  <c r="O116" i="51"/>
  <c r="O117" i="51"/>
  <c r="O118" i="51"/>
  <c r="O119" i="51"/>
  <c r="O120" i="51"/>
  <c r="O121" i="51"/>
  <c r="O122" i="51"/>
  <c r="O123" i="51"/>
  <c r="O124" i="51"/>
  <c r="O125" i="51"/>
  <c r="O126" i="51"/>
  <c r="O127" i="51"/>
  <c r="O128" i="51"/>
  <c r="O129" i="51"/>
  <c r="O130" i="51"/>
  <c r="O131" i="51"/>
  <c r="O22" i="51"/>
  <c r="O12" i="51"/>
  <c r="O11" i="51"/>
  <c r="O10" i="51"/>
  <c r="O9" i="51"/>
  <c r="O23" i="50"/>
  <c r="O24" i="50"/>
  <c r="O25" i="50"/>
  <c r="O26" i="50"/>
  <c r="O27" i="50"/>
  <c r="O28" i="50"/>
  <c r="O29" i="50"/>
  <c r="O30" i="50"/>
  <c r="O31" i="50"/>
  <c r="O32" i="50"/>
  <c r="O33" i="50"/>
  <c r="O34" i="50"/>
  <c r="O35" i="50"/>
  <c r="O36" i="50"/>
  <c r="O37" i="50"/>
  <c r="O38" i="50"/>
  <c r="O39" i="50"/>
  <c r="O40" i="50"/>
  <c r="O41" i="50"/>
  <c r="O42" i="50"/>
  <c r="O43" i="50"/>
  <c r="O44" i="50"/>
  <c r="O45" i="50"/>
  <c r="O46" i="50"/>
  <c r="O47" i="50"/>
  <c r="O48" i="50"/>
  <c r="O49" i="50"/>
  <c r="O50" i="50"/>
  <c r="O51" i="50"/>
  <c r="O52" i="50"/>
  <c r="O53" i="50"/>
  <c r="O54" i="50"/>
  <c r="O55" i="50"/>
  <c r="O56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O78" i="50"/>
  <c r="O79" i="50"/>
  <c r="O80" i="50"/>
  <c r="O81" i="50"/>
  <c r="O82" i="50"/>
  <c r="O83" i="50"/>
  <c r="O84" i="50"/>
  <c r="O85" i="50"/>
  <c r="O86" i="50"/>
  <c r="O87" i="50"/>
  <c r="O88" i="50"/>
  <c r="O89" i="50"/>
  <c r="O90" i="50"/>
  <c r="O91" i="50"/>
  <c r="O92" i="50"/>
  <c r="O93" i="50"/>
  <c r="O94" i="50"/>
  <c r="O95" i="50"/>
  <c r="O96" i="50"/>
  <c r="O97" i="50"/>
  <c r="O98" i="50"/>
  <c r="O99" i="50"/>
  <c r="O100" i="50"/>
  <c r="O101" i="50"/>
  <c r="O102" i="50"/>
  <c r="O103" i="50"/>
  <c r="O104" i="50"/>
  <c r="O105" i="50"/>
  <c r="O106" i="50"/>
  <c r="O107" i="50"/>
  <c r="O108" i="50"/>
  <c r="O109" i="50"/>
  <c r="O110" i="50"/>
  <c r="O111" i="50"/>
  <c r="O112" i="50"/>
  <c r="O113" i="50"/>
  <c r="O114" i="50"/>
  <c r="O115" i="50"/>
  <c r="O116" i="50"/>
  <c r="O117" i="50"/>
  <c r="O118" i="50"/>
  <c r="O119" i="50"/>
  <c r="O120" i="50"/>
  <c r="O121" i="50"/>
  <c r="O122" i="50"/>
  <c r="O123" i="50"/>
  <c r="O124" i="50"/>
  <c r="O125" i="50"/>
  <c r="O126" i="50"/>
  <c r="O127" i="50"/>
  <c r="O128" i="50"/>
  <c r="O129" i="50"/>
  <c r="O130" i="50"/>
  <c r="O131" i="50"/>
  <c r="O22" i="50"/>
  <c r="O12" i="50"/>
  <c r="O11" i="50"/>
  <c r="O10" i="50"/>
  <c r="O9" i="50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49" i="49"/>
  <c r="O50" i="49"/>
  <c r="O51" i="49"/>
  <c r="O52" i="49"/>
  <c r="O53" i="49"/>
  <c r="O54" i="49"/>
  <c r="O55" i="49"/>
  <c r="O56" i="49"/>
  <c r="O57" i="49"/>
  <c r="O58" i="49"/>
  <c r="O59" i="49"/>
  <c r="O60" i="49"/>
  <c r="O61" i="49"/>
  <c r="O62" i="49"/>
  <c r="O63" i="49"/>
  <c r="O64" i="49"/>
  <c r="O65" i="49"/>
  <c r="O66" i="49"/>
  <c r="O67" i="49"/>
  <c r="O68" i="49"/>
  <c r="O69" i="49"/>
  <c r="O70" i="49"/>
  <c r="O71" i="49"/>
  <c r="O72" i="49"/>
  <c r="O73" i="49"/>
  <c r="O74" i="49"/>
  <c r="O75" i="49"/>
  <c r="O76" i="49"/>
  <c r="O77" i="49"/>
  <c r="O78" i="49"/>
  <c r="O79" i="49"/>
  <c r="O80" i="49"/>
  <c r="O81" i="49"/>
  <c r="O82" i="49"/>
  <c r="O83" i="49"/>
  <c r="O84" i="49"/>
  <c r="O85" i="49"/>
  <c r="O86" i="49"/>
  <c r="O87" i="49"/>
  <c r="O88" i="49"/>
  <c r="O89" i="49"/>
  <c r="O90" i="49"/>
  <c r="O91" i="49"/>
  <c r="O92" i="49"/>
  <c r="O93" i="49"/>
  <c r="O94" i="49"/>
  <c r="O95" i="49"/>
  <c r="O96" i="49"/>
  <c r="O97" i="49"/>
  <c r="O98" i="49"/>
  <c r="O99" i="49"/>
  <c r="O100" i="49"/>
  <c r="O101" i="49"/>
  <c r="O102" i="49"/>
  <c r="O103" i="49"/>
  <c r="O104" i="49"/>
  <c r="O105" i="49"/>
  <c r="O106" i="49"/>
  <c r="O107" i="49"/>
  <c r="O108" i="49"/>
  <c r="O109" i="49"/>
  <c r="O110" i="49"/>
  <c r="O111" i="49"/>
  <c r="O112" i="49"/>
  <c r="O113" i="49"/>
  <c r="O114" i="49"/>
  <c r="O115" i="49"/>
  <c r="O116" i="49"/>
  <c r="O117" i="49"/>
  <c r="O118" i="49"/>
  <c r="O119" i="49"/>
  <c r="O120" i="49"/>
  <c r="O121" i="49"/>
  <c r="O122" i="49"/>
  <c r="O123" i="49"/>
  <c r="O124" i="49"/>
  <c r="O125" i="49"/>
  <c r="O126" i="49"/>
  <c r="O127" i="49"/>
  <c r="O128" i="49"/>
  <c r="O129" i="49"/>
  <c r="O130" i="49"/>
  <c r="O131" i="49"/>
  <c r="O132" i="49"/>
  <c r="O133" i="49"/>
  <c r="O134" i="49"/>
  <c r="O22" i="49"/>
  <c r="O12" i="49"/>
  <c r="O11" i="49"/>
  <c r="O10" i="49"/>
  <c r="O9" i="49"/>
  <c r="O23" i="48"/>
  <c r="O24" i="48"/>
  <c r="O25" i="48"/>
  <c r="O26" i="48"/>
  <c r="O27" i="48"/>
  <c r="O28" i="48"/>
  <c r="O29" i="48"/>
  <c r="O30" i="48"/>
  <c r="O31" i="48"/>
  <c r="O32" i="48"/>
  <c r="O33" i="48"/>
  <c r="O34" i="48"/>
  <c r="O35" i="48"/>
  <c r="O36" i="48"/>
  <c r="O37" i="48"/>
  <c r="O38" i="48"/>
  <c r="O39" i="48"/>
  <c r="O40" i="48"/>
  <c r="O41" i="48"/>
  <c r="O42" i="48"/>
  <c r="O43" i="48"/>
  <c r="O44" i="48"/>
  <c r="O45" i="48"/>
  <c r="O46" i="48"/>
  <c r="O47" i="48"/>
  <c r="O48" i="48"/>
  <c r="O49" i="48"/>
  <c r="O50" i="48"/>
  <c r="O51" i="48"/>
  <c r="O52" i="48"/>
  <c r="O53" i="48"/>
  <c r="O54" i="48"/>
  <c r="O55" i="48"/>
  <c r="O56" i="48"/>
  <c r="O57" i="48"/>
  <c r="O58" i="48"/>
  <c r="O59" i="48"/>
  <c r="O60" i="48"/>
  <c r="O61" i="48"/>
  <c r="O62" i="48"/>
  <c r="O63" i="48"/>
  <c r="O64" i="48"/>
  <c r="O65" i="48"/>
  <c r="O66" i="48"/>
  <c r="O67" i="48"/>
  <c r="O68" i="48"/>
  <c r="O69" i="48"/>
  <c r="O70" i="48"/>
  <c r="O71" i="48"/>
  <c r="O72" i="48"/>
  <c r="O73" i="48"/>
  <c r="O74" i="48"/>
  <c r="O75" i="48"/>
  <c r="O76" i="48"/>
  <c r="O77" i="48"/>
  <c r="O78" i="48"/>
  <c r="O79" i="48"/>
  <c r="O80" i="48"/>
  <c r="O81" i="48"/>
  <c r="O82" i="48"/>
  <c r="O83" i="48"/>
  <c r="O84" i="48"/>
  <c r="O85" i="48"/>
  <c r="O86" i="48"/>
  <c r="O87" i="48"/>
  <c r="O88" i="48"/>
  <c r="O89" i="48"/>
  <c r="O90" i="48"/>
  <c r="O91" i="48"/>
  <c r="O92" i="48"/>
  <c r="O93" i="48"/>
  <c r="O94" i="48"/>
  <c r="O95" i="48"/>
  <c r="O96" i="48"/>
  <c r="O97" i="48"/>
  <c r="O98" i="48"/>
  <c r="O99" i="48"/>
  <c r="O100" i="48"/>
  <c r="O101" i="48"/>
  <c r="O102" i="48"/>
  <c r="O103" i="48"/>
  <c r="O104" i="48"/>
  <c r="O105" i="48"/>
  <c r="O106" i="48"/>
  <c r="O107" i="48"/>
  <c r="O108" i="48"/>
  <c r="O109" i="48"/>
  <c r="O110" i="48"/>
  <c r="O111" i="48"/>
  <c r="O112" i="48"/>
  <c r="O113" i="48"/>
  <c r="O114" i="48"/>
  <c r="O115" i="48"/>
  <c r="O116" i="48"/>
  <c r="O117" i="48"/>
  <c r="O118" i="48"/>
  <c r="O119" i="48"/>
  <c r="O120" i="48"/>
  <c r="O121" i="48"/>
  <c r="O122" i="48"/>
  <c r="O123" i="48"/>
  <c r="O124" i="48"/>
  <c r="O125" i="48"/>
  <c r="O126" i="48"/>
  <c r="O127" i="48"/>
  <c r="O128" i="48"/>
  <c r="O129" i="48"/>
  <c r="O130" i="48"/>
  <c r="O131" i="48"/>
  <c r="O132" i="48"/>
  <c r="O22" i="48"/>
  <c r="O12" i="48"/>
  <c r="O11" i="48"/>
  <c r="O10" i="48"/>
  <c r="O9" i="48"/>
  <c r="O23" i="47"/>
  <c r="O24" i="47"/>
  <c r="O25" i="47"/>
  <c r="O26" i="47"/>
  <c r="O27" i="47"/>
  <c r="O28" i="47"/>
  <c r="O29" i="47"/>
  <c r="O30" i="47"/>
  <c r="O31" i="47"/>
  <c r="O32" i="47"/>
  <c r="O33" i="47"/>
  <c r="O34" i="47"/>
  <c r="O35" i="47"/>
  <c r="O36" i="47"/>
  <c r="O37" i="47"/>
  <c r="O38" i="47"/>
  <c r="O39" i="47"/>
  <c r="O40" i="47"/>
  <c r="O41" i="47"/>
  <c r="O42" i="47"/>
  <c r="O43" i="47"/>
  <c r="O44" i="47"/>
  <c r="O45" i="47"/>
  <c r="O46" i="47"/>
  <c r="O47" i="47"/>
  <c r="O48" i="47"/>
  <c r="O49" i="47"/>
  <c r="O50" i="47"/>
  <c r="O51" i="47"/>
  <c r="O52" i="47"/>
  <c r="O53" i="47"/>
  <c r="O54" i="47"/>
  <c r="O55" i="47"/>
  <c r="O56" i="47"/>
  <c r="O57" i="47"/>
  <c r="O58" i="47"/>
  <c r="O59" i="47"/>
  <c r="O60" i="47"/>
  <c r="O61" i="47"/>
  <c r="O62" i="47"/>
  <c r="O63" i="47"/>
  <c r="O64" i="47"/>
  <c r="O65" i="47"/>
  <c r="O66" i="47"/>
  <c r="O67" i="47"/>
  <c r="O68" i="47"/>
  <c r="O69" i="47"/>
  <c r="O70" i="47"/>
  <c r="O71" i="47"/>
  <c r="O72" i="47"/>
  <c r="O73" i="47"/>
  <c r="O74" i="47"/>
  <c r="O75" i="47"/>
  <c r="O76" i="47"/>
  <c r="O77" i="47"/>
  <c r="O78" i="47"/>
  <c r="O79" i="47"/>
  <c r="O80" i="47"/>
  <c r="O81" i="47"/>
  <c r="O82" i="47"/>
  <c r="O83" i="47"/>
  <c r="O84" i="47"/>
  <c r="O85" i="47"/>
  <c r="O86" i="47"/>
  <c r="O87" i="47"/>
  <c r="O88" i="47"/>
  <c r="O89" i="47"/>
  <c r="O90" i="47"/>
  <c r="O91" i="47"/>
  <c r="O92" i="47"/>
  <c r="O93" i="47"/>
  <c r="O94" i="47"/>
  <c r="O95" i="47"/>
  <c r="O96" i="47"/>
  <c r="O97" i="47"/>
  <c r="O98" i="47"/>
  <c r="O99" i="47"/>
  <c r="O100" i="47"/>
  <c r="O101" i="47"/>
  <c r="O102" i="47"/>
  <c r="O103" i="47"/>
  <c r="O104" i="47"/>
  <c r="O105" i="47"/>
  <c r="O106" i="47"/>
  <c r="O107" i="47"/>
  <c r="O108" i="47"/>
  <c r="O109" i="47"/>
  <c r="O110" i="47"/>
  <c r="O111" i="47"/>
  <c r="O112" i="47"/>
  <c r="O113" i="47"/>
  <c r="O114" i="47"/>
  <c r="O115" i="47"/>
  <c r="O116" i="47"/>
  <c r="O117" i="47"/>
  <c r="O118" i="47"/>
  <c r="O119" i="47"/>
  <c r="O120" i="47"/>
  <c r="O121" i="47"/>
  <c r="O122" i="47"/>
  <c r="O123" i="47"/>
  <c r="O124" i="47"/>
  <c r="O125" i="47"/>
  <c r="O126" i="47"/>
  <c r="O127" i="47"/>
  <c r="O128" i="47"/>
  <c r="O129" i="47"/>
  <c r="O130" i="47"/>
  <c r="O131" i="47"/>
  <c r="O132" i="47"/>
  <c r="O133" i="47"/>
  <c r="O22" i="47"/>
  <c r="O12" i="47"/>
  <c r="O11" i="47"/>
  <c r="O10" i="47"/>
  <c r="O9" i="47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64" i="46"/>
  <c r="O65" i="46"/>
  <c r="O66" i="46"/>
  <c r="O67" i="46"/>
  <c r="O68" i="46"/>
  <c r="O69" i="46"/>
  <c r="O70" i="46"/>
  <c r="O71" i="46"/>
  <c r="O72" i="46"/>
  <c r="O73" i="46"/>
  <c r="O74" i="46"/>
  <c r="O75" i="46"/>
  <c r="O76" i="46"/>
  <c r="O77" i="46"/>
  <c r="O78" i="46"/>
  <c r="O79" i="46"/>
  <c r="O80" i="46"/>
  <c r="O81" i="46"/>
  <c r="O82" i="46"/>
  <c r="O83" i="46"/>
  <c r="O84" i="46"/>
  <c r="O85" i="46"/>
  <c r="O86" i="46"/>
  <c r="O87" i="46"/>
  <c r="O88" i="46"/>
  <c r="O89" i="46"/>
  <c r="O90" i="46"/>
  <c r="O91" i="46"/>
  <c r="O92" i="46"/>
  <c r="O93" i="46"/>
  <c r="O94" i="46"/>
  <c r="O95" i="46"/>
  <c r="O96" i="46"/>
  <c r="O97" i="46"/>
  <c r="O98" i="46"/>
  <c r="O99" i="46"/>
  <c r="O100" i="46"/>
  <c r="O101" i="46"/>
  <c r="O102" i="46"/>
  <c r="O103" i="46"/>
  <c r="O104" i="46"/>
  <c r="O105" i="46"/>
  <c r="O106" i="46"/>
  <c r="O107" i="46"/>
  <c r="O108" i="46"/>
  <c r="O109" i="46"/>
  <c r="O110" i="46"/>
  <c r="O111" i="46"/>
  <c r="O112" i="46"/>
  <c r="O113" i="46"/>
  <c r="O114" i="46"/>
  <c r="O115" i="46"/>
  <c r="O116" i="46"/>
  <c r="O117" i="46"/>
  <c r="O118" i="46"/>
  <c r="O119" i="46"/>
  <c r="O120" i="46"/>
  <c r="O121" i="46"/>
  <c r="O122" i="46"/>
  <c r="O123" i="46"/>
  <c r="O124" i="46"/>
  <c r="O125" i="46"/>
  <c r="O126" i="46"/>
  <c r="O127" i="46"/>
  <c r="O128" i="46"/>
  <c r="O129" i="46"/>
  <c r="O130" i="46"/>
  <c r="O131" i="46"/>
  <c r="O132" i="46"/>
  <c r="O133" i="46"/>
  <c r="O22" i="46"/>
  <c r="O23" i="72"/>
  <c r="O24" i="72"/>
  <c r="O25" i="72"/>
  <c r="O26" i="72"/>
  <c r="O27" i="72"/>
  <c r="O28" i="72"/>
  <c r="O29" i="72"/>
  <c r="O30" i="72"/>
  <c r="O31" i="72"/>
  <c r="O32" i="72"/>
  <c r="O33" i="72"/>
  <c r="O34" i="72"/>
  <c r="O35" i="72"/>
  <c r="O36" i="72"/>
  <c r="O37" i="72"/>
  <c r="O38" i="72"/>
  <c r="O39" i="72"/>
  <c r="O40" i="72"/>
  <c r="O41" i="72"/>
  <c r="O42" i="72"/>
  <c r="O43" i="72"/>
  <c r="O44" i="72"/>
  <c r="O45" i="72"/>
  <c r="O46" i="72"/>
  <c r="O47" i="72"/>
  <c r="O48" i="72"/>
  <c r="O49" i="72"/>
  <c r="O50" i="72"/>
  <c r="O51" i="72"/>
  <c r="O52" i="72"/>
  <c r="O53" i="72"/>
  <c r="O54" i="72"/>
  <c r="O55" i="72"/>
  <c r="O56" i="72"/>
  <c r="O57" i="72"/>
  <c r="O58" i="72"/>
  <c r="O59" i="72"/>
  <c r="O60" i="72"/>
  <c r="O61" i="72"/>
  <c r="O62" i="72"/>
  <c r="O63" i="72"/>
  <c r="O64" i="72"/>
  <c r="O65" i="72"/>
  <c r="O66" i="72"/>
  <c r="O67" i="72"/>
  <c r="O68" i="72"/>
  <c r="O69" i="72"/>
  <c r="O70" i="72"/>
  <c r="O71" i="72"/>
  <c r="O72" i="72"/>
  <c r="O73" i="72"/>
  <c r="O74" i="72"/>
  <c r="O75" i="72"/>
  <c r="O76" i="72"/>
  <c r="O77" i="72"/>
  <c r="O78" i="72"/>
  <c r="O79" i="72"/>
  <c r="O80" i="72"/>
  <c r="O81" i="72"/>
  <c r="O82" i="72"/>
  <c r="O83" i="72"/>
  <c r="O84" i="72"/>
  <c r="O85" i="72"/>
  <c r="O86" i="72"/>
  <c r="O87" i="72"/>
  <c r="O88" i="72"/>
  <c r="O89" i="72"/>
  <c r="O90" i="72"/>
  <c r="O91" i="72"/>
  <c r="O92" i="72"/>
  <c r="O93" i="72"/>
  <c r="O94" i="72"/>
  <c r="O95" i="72"/>
  <c r="O96" i="72"/>
  <c r="O97" i="72"/>
  <c r="O98" i="72"/>
  <c r="O99" i="72"/>
  <c r="O100" i="72"/>
  <c r="O101" i="72"/>
  <c r="O102" i="72"/>
  <c r="O103" i="72"/>
  <c r="O104" i="72"/>
  <c r="O105" i="72"/>
  <c r="O106" i="72"/>
  <c r="O107" i="72"/>
  <c r="O108" i="72"/>
  <c r="O109" i="72"/>
  <c r="O110" i="72"/>
  <c r="O111" i="72"/>
  <c r="O112" i="72"/>
  <c r="O113" i="72"/>
  <c r="O114" i="72"/>
  <c r="O115" i="72"/>
  <c r="O116" i="72"/>
  <c r="O117" i="72"/>
  <c r="O118" i="72"/>
  <c r="O119" i="72"/>
  <c r="O120" i="72"/>
  <c r="O121" i="72"/>
  <c r="O122" i="72"/>
  <c r="O123" i="72"/>
  <c r="O124" i="72"/>
  <c r="O125" i="72"/>
  <c r="O126" i="72"/>
  <c r="O127" i="72"/>
  <c r="O128" i="72"/>
  <c r="O129" i="72"/>
  <c r="O130" i="72"/>
  <c r="O131" i="72"/>
  <c r="O132" i="72"/>
  <c r="O133" i="72"/>
  <c r="O134" i="72"/>
  <c r="O135" i="72"/>
  <c r="O136" i="72"/>
  <c r="O137" i="72"/>
  <c r="O138" i="72"/>
  <c r="O139" i="72"/>
  <c r="O22" i="72"/>
  <c r="D1512" i="75"/>
  <c r="K401" i="3" s="1"/>
  <c r="K432" i="3" s="1"/>
  <c r="O135" i="49" l="1"/>
  <c r="O134" i="54"/>
  <c r="AE41" i="73"/>
  <c r="J15" i="8"/>
  <c r="O140" i="72"/>
  <c r="O134" i="46"/>
  <c r="O12" i="46"/>
  <c r="O11" i="46"/>
  <c r="O10" i="46"/>
  <c r="O9" i="46"/>
  <c r="O18" i="46" l="1"/>
  <c r="O8" i="46"/>
  <c r="O13" i="46" s="1"/>
  <c r="P129" i="46"/>
  <c r="P121" i="46"/>
  <c r="P113" i="46"/>
  <c r="P105" i="46"/>
  <c r="P97" i="46"/>
  <c r="P89" i="46"/>
  <c r="P81" i="46"/>
  <c r="P73" i="46"/>
  <c r="P66" i="46"/>
  <c r="P65" i="46"/>
  <c r="P58" i="46"/>
  <c r="P57" i="46"/>
  <c r="P50" i="46"/>
  <c r="P49" i="46"/>
  <c r="P42" i="46"/>
  <c r="P41" i="46"/>
  <c r="P34" i="46"/>
  <c r="P33" i="46"/>
  <c r="P26" i="46"/>
  <c r="P25" i="46"/>
  <c r="K15" i="8"/>
  <c r="G15" i="8"/>
  <c r="J14" i="8"/>
  <c r="N119" i="9"/>
  <c r="EK100" i="73"/>
  <c r="O116" i="9"/>
  <c r="EI99" i="73"/>
  <c r="O115" i="9"/>
  <c r="EH95" i="73"/>
  <c r="O114" i="9"/>
  <c r="EG99" i="73"/>
  <c r="O113" i="9"/>
  <c r="EF95" i="73"/>
  <c r="O112" i="9"/>
  <c r="EE99" i="73"/>
  <c r="O111" i="9"/>
  <c r="O110" i="9"/>
  <c r="EC99" i="73"/>
  <c r="O109" i="9"/>
  <c r="EB95" i="73"/>
  <c r="O108" i="9"/>
  <c r="EA99" i="73"/>
  <c r="O107" i="9"/>
  <c r="DZ95" i="73"/>
  <c r="O106" i="9"/>
  <c r="P106" i="9" s="1"/>
  <c r="DY99" i="73"/>
  <c r="O105" i="9"/>
  <c r="DX95" i="73"/>
  <c r="O104" i="9"/>
  <c r="P104" i="9" s="1"/>
  <c r="DW99" i="73"/>
  <c r="O103" i="9"/>
  <c r="O102" i="9"/>
  <c r="DU99" i="73"/>
  <c r="O101" i="9"/>
  <c r="DT95" i="73"/>
  <c r="O100" i="9"/>
  <c r="DS99" i="73"/>
  <c r="O99" i="9"/>
  <c r="DR95" i="73"/>
  <c r="O98" i="9"/>
  <c r="DQ99" i="73"/>
  <c r="O97" i="9"/>
  <c r="DP95" i="73"/>
  <c r="O96" i="9"/>
  <c r="DO99" i="73"/>
  <c r="O95" i="9"/>
  <c r="O94" i="9"/>
  <c r="DM99" i="73"/>
  <c r="O93" i="9"/>
  <c r="DL95" i="73"/>
  <c r="O92" i="9"/>
  <c r="DK99" i="73"/>
  <c r="O91" i="9"/>
  <c r="DJ95" i="73"/>
  <c r="O90" i="9"/>
  <c r="DI99" i="73"/>
  <c r="O89" i="9"/>
  <c r="DH95" i="73"/>
  <c r="O88" i="9"/>
  <c r="DG99" i="73"/>
  <c r="O87" i="9"/>
  <c r="O86" i="9"/>
  <c r="DE99" i="73"/>
  <c r="O85" i="9"/>
  <c r="DD95" i="73"/>
  <c r="O84" i="9"/>
  <c r="DC99" i="73"/>
  <c r="O83" i="9"/>
  <c r="DB95" i="73"/>
  <c r="O82" i="9"/>
  <c r="DA99" i="73"/>
  <c r="O81" i="9"/>
  <c r="CZ95" i="73"/>
  <c r="O80" i="9"/>
  <c r="CY99" i="73"/>
  <c r="O79" i="9"/>
  <c r="O78" i="9"/>
  <c r="CW99" i="73"/>
  <c r="O77" i="9"/>
  <c r="CV95" i="73"/>
  <c r="O76" i="9"/>
  <c r="CU99" i="73"/>
  <c r="O75" i="9"/>
  <c r="CT95" i="73"/>
  <c r="O74" i="9"/>
  <c r="CS99" i="73"/>
  <c r="O73" i="9"/>
  <c r="CR95" i="73"/>
  <c r="O72" i="9"/>
  <c r="CQ99" i="73"/>
  <c r="O71" i="9"/>
  <c r="O70" i="9"/>
  <c r="CO99" i="73"/>
  <c r="O69" i="9"/>
  <c r="CN95" i="73"/>
  <c r="O68" i="9"/>
  <c r="CM99" i="73"/>
  <c r="O67" i="9"/>
  <c r="CL95" i="73"/>
  <c r="O66" i="9"/>
  <c r="CK99" i="73"/>
  <c r="O65" i="9"/>
  <c r="CJ95" i="73"/>
  <c r="O64" i="9"/>
  <c r="CI99" i="73"/>
  <c r="O63" i="9"/>
  <c r="O62" i="9"/>
  <c r="CG99" i="73"/>
  <c r="O61" i="9"/>
  <c r="CF95" i="73"/>
  <c r="O60" i="9"/>
  <c r="CE99" i="73"/>
  <c r="O59" i="9"/>
  <c r="CD95" i="73"/>
  <c r="O58" i="9"/>
  <c r="CC99" i="73"/>
  <c r="O57" i="9"/>
  <c r="CB95" i="73"/>
  <c r="O56" i="9"/>
  <c r="CA99" i="73"/>
  <c r="O55" i="9"/>
  <c r="O54" i="9"/>
  <c r="BY99" i="73"/>
  <c r="O53" i="9"/>
  <c r="BX95" i="73"/>
  <c r="O52" i="9"/>
  <c r="BW99" i="73"/>
  <c r="O51" i="9"/>
  <c r="BV95" i="73"/>
  <c r="O50" i="9"/>
  <c r="BU99" i="73"/>
  <c r="O49" i="9"/>
  <c r="BT95" i="73"/>
  <c r="O48" i="9"/>
  <c r="BS99" i="73"/>
  <c r="O47" i="9"/>
  <c r="O46" i="9"/>
  <c r="BQ99" i="73"/>
  <c r="O45" i="9"/>
  <c r="BP95" i="73"/>
  <c r="O44" i="9"/>
  <c r="BO99" i="73"/>
  <c r="O43" i="9"/>
  <c r="BN95" i="73"/>
  <c r="O42" i="9"/>
  <c r="BM99" i="73"/>
  <c r="O41" i="9"/>
  <c r="BL95" i="73"/>
  <c r="O40" i="9"/>
  <c r="BK99" i="73"/>
  <c r="O39" i="9"/>
  <c r="O38" i="9"/>
  <c r="BI99" i="73"/>
  <c r="O37" i="9"/>
  <c r="BH95" i="73"/>
  <c r="O36" i="9"/>
  <c r="BG99" i="73"/>
  <c r="O35" i="9"/>
  <c r="BF95" i="73"/>
  <c r="O34" i="9"/>
  <c r="BE99" i="73"/>
  <c r="O33" i="9"/>
  <c r="BD95" i="73"/>
  <c r="O32" i="9"/>
  <c r="BC99" i="73"/>
  <c r="O31" i="9"/>
  <c r="O30" i="9"/>
  <c r="BA99" i="73"/>
  <c r="O29" i="9"/>
  <c r="AZ95" i="73"/>
  <c r="O28" i="9"/>
  <c r="AY99" i="73"/>
  <c r="O27" i="9"/>
  <c r="AX95" i="73"/>
  <c r="O26" i="9"/>
  <c r="AW99" i="73"/>
  <c r="O25" i="9"/>
  <c r="AV95" i="73"/>
  <c r="O24" i="9"/>
  <c r="AU99" i="73"/>
  <c r="O23" i="9"/>
  <c r="O22" i="9"/>
  <c r="AS99" i="73"/>
  <c r="O21" i="9"/>
  <c r="AR95" i="73"/>
  <c r="O20" i="9"/>
  <c r="AQ99" i="73"/>
  <c r="O19" i="9"/>
  <c r="AP94" i="73"/>
  <c r="O18" i="9"/>
  <c r="AO98" i="73"/>
  <c r="AO90" i="73"/>
  <c r="AN94" i="73"/>
  <c r="O16" i="9"/>
  <c r="AM90" i="73"/>
  <c r="AL94" i="73"/>
  <c r="O14" i="9"/>
  <c r="AK98" i="73"/>
  <c r="AK90" i="73"/>
  <c r="AJ94" i="73"/>
  <c r="O12" i="9"/>
  <c r="AI98" i="73"/>
  <c r="O11" i="9"/>
  <c r="AH94" i="73"/>
  <c r="O10" i="9"/>
  <c r="AG98" i="73"/>
  <c r="AG90" i="73"/>
  <c r="AF94" i="73"/>
  <c r="O8" i="9"/>
  <c r="AE90" i="73"/>
  <c r="AD94" i="73"/>
  <c r="O6" i="9"/>
  <c r="AC98" i="73"/>
  <c r="O5" i="9"/>
  <c r="M4" i="9"/>
  <c r="M119" i="9" s="1"/>
  <c r="L4" i="9"/>
  <c r="L119" i="9" s="1"/>
  <c r="K4" i="9"/>
  <c r="K119" i="9" s="1"/>
  <c r="J4" i="9"/>
  <c r="J119" i="9" s="1"/>
  <c r="I4" i="9"/>
  <c r="I119" i="9" s="1"/>
  <c r="AB94" i="73"/>
  <c r="E119" i="9"/>
  <c r="D119" i="9"/>
  <c r="C119" i="9"/>
  <c r="L396" i="3"/>
  <c r="M395" i="3"/>
  <c r="K395" i="3"/>
  <c r="I395" i="3"/>
  <c r="F395" i="3"/>
  <c r="E395" i="3"/>
  <c r="D395" i="3"/>
  <c r="M394" i="3"/>
  <c r="K394" i="3"/>
  <c r="I394" i="3"/>
  <c r="F394" i="3"/>
  <c r="E394" i="3"/>
  <c r="D394" i="3"/>
  <c r="M393" i="3"/>
  <c r="K393" i="3"/>
  <c r="I393" i="3"/>
  <c r="F393" i="3"/>
  <c r="E393" i="3"/>
  <c r="D393" i="3"/>
  <c r="G393" i="3" s="1"/>
  <c r="H393" i="3" s="1"/>
  <c r="M392" i="3"/>
  <c r="K392" i="3"/>
  <c r="I392" i="3"/>
  <c r="F392" i="3"/>
  <c r="E392" i="3"/>
  <c r="D392" i="3"/>
  <c r="M391" i="3"/>
  <c r="K391" i="3"/>
  <c r="I391" i="3"/>
  <c r="F391" i="3"/>
  <c r="E391" i="3"/>
  <c r="D391" i="3"/>
  <c r="M390" i="3"/>
  <c r="K390" i="3"/>
  <c r="I390" i="3"/>
  <c r="F390" i="3"/>
  <c r="E390" i="3"/>
  <c r="D390" i="3"/>
  <c r="G390" i="3" s="1"/>
  <c r="J390" i="3" s="1"/>
  <c r="N390" i="3" s="1"/>
  <c r="M389" i="3"/>
  <c r="K389" i="3"/>
  <c r="I389" i="3"/>
  <c r="F389" i="3"/>
  <c r="E389" i="3"/>
  <c r="D389" i="3"/>
  <c r="G389" i="3" s="1"/>
  <c r="H389" i="3" s="1"/>
  <c r="M388" i="3"/>
  <c r="K388" i="3"/>
  <c r="I388" i="3"/>
  <c r="F388" i="3"/>
  <c r="E388" i="3"/>
  <c r="D388" i="3"/>
  <c r="M387" i="3"/>
  <c r="K387" i="3"/>
  <c r="I387" i="3"/>
  <c r="F387" i="3"/>
  <c r="E387" i="3"/>
  <c r="D387" i="3"/>
  <c r="M386" i="3"/>
  <c r="K386" i="3"/>
  <c r="I386" i="3"/>
  <c r="F386" i="3"/>
  <c r="E386" i="3"/>
  <c r="D386" i="3"/>
  <c r="M385" i="3"/>
  <c r="K385" i="3"/>
  <c r="I385" i="3"/>
  <c r="F385" i="3"/>
  <c r="E385" i="3"/>
  <c r="D385" i="3"/>
  <c r="M384" i="3"/>
  <c r="K384" i="3"/>
  <c r="I384" i="3"/>
  <c r="F384" i="3"/>
  <c r="E384" i="3"/>
  <c r="D384" i="3"/>
  <c r="M383" i="3"/>
  <c r="K383" i="3"/>
  <c r="I383" i="3"/>
  <c r="F383" i="3"/>
  <c r="E383" i="3"/>
  <c r="D383" i="3"/>
  <c r="M382" i="3"/>
  <c r="K382" i="3"/>
  <c r="I382" i="3"/>
  <c r="F382" i="3"/>
  <c r="E382" i="3"/>
  <c r="D382" i="3"/>
  <c r="M381" i="3"/>
  <c r="K381" i="3"/>
  <c r="I381" i="3"/>
  <c r="F381" i="3"/>
  <c r="E381" i="3"/>
  <c r="D381" i="3"/>
  <c r="M380" i="3"/>
  <c r="K380" i="3"/>
  <c r="I380" i="3"/>
  <c r="F380" i="3"/>
  <c r="E380" i="3"/>
  <c r="D380" i="3"/>
  <c r="M379" i="3"/>
  <c r="K379" i="3"/>
  <c r="I379" i="3"/>
  <c r="F379" i="3"/>
  <c r="E379" i="3"/>
  <c r="D379" i="3"/>
  <c r="M378" i="3"/>
  <c r="K378" i="3"/>
  <c r="I378" i="3"/>
  <c r="F378" i="3"/>
  <c r="E378" i="3"/>
  <c r="D378" i="3"/>
  <c r="M377" i="3"/>
  <c r="K377" i="3"/>
  <c r="I377" i="3"/>
  <c r="F377" i="3"/>
  <c r="E377" i="3"/>
  <c r="D377" i="3"/>
  <c r="M376" i="3"/>
  <c r="K376" i="3"/>
  <c r="I376" i="3"/>
  <c r="F376" i="3"/>
  <c r="E376" i="3"/>
  <c r="D376" i="3"/>
  <c r="M375" i="3"/>
  <c r="K375" i="3"/>
  <c r="I375" i="3"/>
  <c r="F375" i="3"/>
  <c r="E375" i="3"/>
  <c r="D375" i="3"/>
  <c r="M374" i="3"/>
  <c r="K374" i="3"/>
  <c r="I374" i="3"/>
  <c r="F374" i="3"/>
  <c r="E374" i="3"/>
  <c r="D374" i="3"/>
  <c r="M373" i="3"/>
  <c r="K373" i="3"/>
  <c r="I373" i="3"/>
  <c r="F373" i="3"/>
  <c r="E373" i="3"/>
  <c r="D373" i="3"/>
  <c r="M372" i="3"/>
  <c r="K372" i="3"/>
  <c r="I372" i="3"/>
  <c r="F372" i="3"/>
  <c r="E372" i="3"/>
  <c r="D372" i="3"/>
  <c r="M371" i="3"/>
  <c r="K371" i="3"/>
  <c r="I371" i="3"/>
  <c r="F371" i="3"/>
  <c r="E371" i="3"/>
  <c r="D371" i="3"/>
  <c r="M370" i="3"/>
  <c r="K370" i="3"/>
  <c r="I370" i="3"/>
  <c r="F370" i="3"/>
  <c r="E370" i="3"/>
  <c r="D370" i="3"/>
  <c r="M369" i="3"/>
  <c r="K369" i="3"/>
  <c r="I369" i="3"/>
  <c r="F369" i="3"/>
  <c r="E369" i="3"/>
  <c r="D369" i="3"/>
  <c r="M368" i="3"/>
  <c r="K368" i="3"/>
  <c r="I368" i="3"/>
  <c r="F368" i="3"/>
  <c r="E368" i="3"/>
  <c r="D368" i="3"/>
  <c r="M367" i="3"/>
  <c r="K367" i="3"/>
  <c r="I367" i="3"/>
  <c r="F367" i="3"/>
  <c r="E367" i="3"/>
  <c r="D367" i="3"/>
  <c r="M366" i="3"/>
  <c r="K366" i="3"/>
  <c r="I366" i="3"/>
  <c r="F366" i="3"/>
  <c r="E366" i="3"/>
  <c r="D366" i="3"/>
  <c r="M365" i="3"/>
  <c r="K365" i="3"/>
  <c r="I365" i="3"/>
  <c r="F365" i="3"/>
  <c r="E365" i="3"/>
  <c r="D365" i="3"/>
  <c r="L360" i="3"/>
  <c r="K13" i="8" s="1"/>
  <c r="M359" i="3"/>
  <c r="K359" i="3"/>
  <c r="I359" i="3"/>
  <c r="F359" i="3"/>
  <c r="E359" i="3"/>
  <c r="D359" i="3"/>
  <c r="M358" i="3"/>
  <c r="K358" i="3"/>
  <c r="I358" i="3"/>
  <c r="F358" i="3"/>
  <c r="E358" i="3"/>
  <c r="D358" i="3"/>
  <c r="M357" i="3"/>
  <c r="K357" i="3"/>
  <c r="I357" i="3"/>
  <c r="F357" i="3"/>
  <c r="E357" i="3"/>
  <c r="D357" i="3"/>
  <c r="M356" i="3"/>
  <c r="K356" i="3"/>
  <c r="I356" i="3"/>
  <c r="F356" i="3"/>
  <c r="E356" i="3"/>
  <c r="D356" i="3"/>
  <c r="M355" i="3"/>
  <c r="K355" i="3"/>
  <c r="I355" i="3"/>
  <c r="F355" i="3"/>
  <c r="E355" i="3"/>
  <c r="D355" i="3"/>
  <c r="M354" i="3"/>
  <c r="K354" i="3"/>
  <c r="I354" i="3"/>
  <c r="F354" i="3"/>
  <c r="E354" i="3"/>
  <c r="D354" i="3"/>
  <c r="M353" i="3"/>
  <c r="K353" i="3"/>
  <c r="I353" i="3"/>
  <c r="F353" i="3"/>
  <c r="E353" i="3"/>
  <c r="D353" i="3"/>
  <c r="M352" i="3"/>
  <c r="K352" i="3"/>
  <c r="I352" i="3"/>
  <c r="F352" i="3"/>
  <c r="E352" i="3"/>
  <c r="G352" i="3" s="1"/>
  <c r="H352" i="3" s="1"/>
  <c r="D352" i="3"/>
  <c r="M351" i="3"/>
  <c r="K351" i="3"/>
  <c r="I351" i="3"/>
  <c r="F351" i="3"/>
  <c r="E351" i="3"/>
  <c r="D351" i="3"/>
  <c r="M350" i="3"/>
  <c r="K350" i="3"/>
  <c r="I350" i="3"/>
  <c r="F350" i="3"/>
  <c r="E350" i="3"/>
  <c r="D350" i="3"/>
  <c r="M349" i="3"/>
  <c r="K349" i="3"/>
  <c r="I349" i="3"/>
  <c r="F349" i="3"/>
  <c r="E349" i="3"/>
  <c r="D349" i="3"/>
  <c r="M348" i="3"/>
  <c r="K348" i="3"/>
  <c r="I348" i="3"/>
  <c r="F348" i="3"/>
  <c r="E348" i="3"/>
  <c r="G348" i="3" s="1"/>
  <c r="H348" i="3" s="1"/>
  <c r="D348" i="3"/>
  <c r="M347" i="3"/>
  <c r="K347" i="3"/>
  <c r="I347" i="3"/>
  <c r="F347" i="3"/>
  <c r="E347" i="3"/>
  <c r="D347" i="3"/>
  <c r="M346" i="3"/>
  <c r="K346" i="3"/>
  <c r="I346" i="3"/>
  <c r="F346" i="3"/>
  <c r="E346" i="3"/>
  <c r="D346" i="3"/>
  <c r="M345" i="3"/>
  <c r="K345" i="3"/>
  <c r="I345" i="3"/>
  <c r="F345" i="3"/>
  <c r="E345" i="3"/>
  <c r="D345" i="3"/>
  <c r="M344" i="3"/>
  <c r="K344" i="3"/>
  <c r="I344" i="3"/>
  <c r="F344" i="3"/>
  <c r="E344" i="3"/>
  <c r="D344" i="3"/>
  <c r="M343" i="3"/>
  <c r="K343" i="3"/>
  <c r="I343" i="3"/>
  <c r="F343" i="3"/>
  <c r="E343" i="3"/>
  <c r="D343" i="3"/>
  <c r="M342" i="3"/>
  <c r="K342" i="3"/>
  <c r="I342" i="3"/>
  <c r="F342" i="3"/>
  <c r="E342" i="3"/>
  <c r="D342" i="3"/>
  <c r="M341" i="3"/>
  <c r="K341" i="3"/>
  <c r="I341" i="3"/>
  <c r="F341" i="3"/>
  <c r="E341" i="3"/>
  <c r="D341" i="3"/>
  <c r="M340" i="3"/>
  <c r="K340" i="3"/>
  <c r="I340" i="3"/>
  <c r="F340" i="3"/>
  <c r="E340" i="3"/>
  <c r="D340" i="3"/>
  <c r="M339" i="3"/>
  <c r="K339" i="3"/>
  <c r="I339" i="3"/>
  <c r="F339" i="3"/>
  <c r="E339" i="3"/>
  <c r="D339" i="3"/>
  <c r="G339" i="3" s="1"/>
  <c r="M338" i="3"/>
  <c r="K338" i="3"/>
  <c r="I338" i="3"/>
  <c r="F338" i="3"/>
  <c r="E338" i="3"/>
  <c r="D338" i="3"/>
  <c r="M337" i="3"/>
  <c r="K337" i="3"/>
  <c r="I337" i="3"/>
  <c r="F337" i="3"/>
  <c r="E337" i="3"/>
  <c r="D337" i="3"/>
  <c r="M336" i="3"/>
  <c r="K336" i="3"/>
  <c r="I336" i="3"/>
  <c r="F336" i="3"/>
  <c r="E336" i="3"/>
  <c r="D336" i="3"/>
  <c r="M335" i="3"/>
  <c r="K335" i="3"/>
  <c r="I335" i="3"/>
  <c r="F335" i="3"/>
  <c r="E335" i="3"/>
  <c r="D335" i="3"/>
  <c r="G335" i="3" s="1"/>
  <c r="M334" i="3"/>
  <c r="K334" i="3"/>
  <c r="I334" i="3"/>
  <c r="F334" i="3"/>
  <c r="E334" i="3"/>
  <c r="D334" i="3"/>
  <c r="M333" i="3"/>
  <c r="K333" i="3"/>
  <c r="I333" i="3"/>
  <c r="F333" i="3"/>
  <c r="E333" i="3"/>
  <c r="D333" i="3"/>
  <c r="M332" i="3"/>
  <c r="K332" i="3"/>
  <c r="I332" i="3"/>
  <c r="F332" i="3"/>
  <c r="E332" i="3"/>
  <c r="D332" i="3"/>
  <c r="M331" i="3"/>
  <c r="K331" i="3"/>
  <c r="I331" i="3"/>
  <c r="F331" i="3"/>
  <c r="E331" i="3"/>
  <c r="D331" i="3"/>
  <c r="G331" i="3" s="1"/>
  <c r="M330" i="3"/>
  <c r="K330" i="3"/>
  <c r="I330" i="3"/>
  <c r="F330" i="3"/>
  <c r="E330" i="3"/>
  <c r="D330" i="3"/>
  <c r="M329" i="3"/>
  <c r="K329" i="3"/>
  <c r="I329" i="3"/>
  <c r="F329" i="3"/>
  <c r="E329" i="3"/>
  <c r="D329" i="3"/>
  <c r="L324" i="3"/>
  <c r="K12" i="8" s="1"/>
  <c r="M323" i="3"/>
  <c r="K323" i="3"/>
  <c r="I323" i="3"/>
  <c r="F323" i="3"/>
  <c r="E323" i="3"/>
  <c r="D323" i="3"/>
  <c r="M322" i="3"/>
  <c r="K322" i="3"/>
  <c r="I322" i="3"/>
  <c r="F322" i="3"/>
  <c r="E322" i="3"/>
  <c r="D322" i="3"/>
  <c r="M321" i="3"/>
  <c r="K321" i="3"/>
  <c r="I321" i="3"/>
  <c r="F321" i="3"/>
  <c r="E321" i="3"/>
  <c r="D321" i="3"/>
  <c r="M320" i="3"/>
  <c r="K320" i="3"/>
  <c r="I320" i="3"/>
  <c r="F320" i="3"/>
  <c r="E320" i="3"/>
  <c r="D320" i="3"/>
  <c r="M319" i="3"/>
  <c r="K319" i="3"/>
  <c r="I319" i="3"/>
  <c r="F319" i="3"/>
  <c r="E319" i="3"/>
  <c r="D319" i="3"/>
  <c r="M318" i="3"/>
  <c r="K318" i="3"/>
  <c r="I318" i="3"/>
  <c r="F318" i="3"/>
  <c r="E318" i="3"/>
  <c r="D318" i="3"/>
  <c r="M317" i="3"/>
  <c r="K317" i="3"/>
  <c r="I317" i="3"/>
  <c r="F317" i="3"/>
  <c r="E317" i="3"/>
  <c r="D317" i="3"/>
  <c r="M316" i="3"/>
  <c r="K316" i="3"/>
  <c r="I316" i="3"/>
  <c r="F316" i="3"/>
  <c r="E316" i="3"/>
  <c r="D316" i="3"/>
  <c r="M315" i="3"/>
  <c r="K315" i="3"/>
  <c r="I315" i="3"/>
  <c r="F315" i="3"/>
  <c r="E315" i="3"/>
  <c r="D315" i="3"/>
  <c r="M314" i="3"/>
  <c r="K314" i="3"/>
  <c r="I314" i="3"/>
  <c r="F314" i="3"/>
  <c r="E314" i="3"/>
  <c r="D314" i="3"/>
  <c r="M313" i="3"/>
  <c r="K313" i="3"/>
  <c r="I313" i="3"/>
  <c r="F313" i="3"/>
  <c r="E313" i="3"/>
  <c r="D313" i="3"/>
  <c r="M312" i="3"/>
  <c r="K312" i="3"/>
  <c r="I312" i="3"/>
  <c r="F312" i="3"/>
  <c r="E312" i="3"/>
  <c r="D312" i="3"/>
  <c r="M311" i="3"/>
  <c r="K311" i="3"/>
  <c r="I311" i="3"/>
  <c r="F311" i="3"/>
  <c r="E311" i="3"/>
  <c r="D311" i="3"/>
  <c r="M310" i="3"/>
  <c r="K310" i="3"/>
  <c r="I310" i="3"/>
  <c r="F310" i="3"/>
  <c r="E310" i="3"/>
  <c r="D310" i="3"/>
  <c r="M309" i="3"/>
  <c r="K309" i="3"/>
  <c r="I309" i="3"/>
  <c r="F309" i="3"/>
  <c r="E309" i="3"/>
  <c r="D309" i="3"/>
  <c r="M308" i="3"/>
  <c r="K308" i="3"/>
  <c r="I308" i="3"/>
  <c r="F308" i="3"/>
  <c r="E308" i="3"/>
  <c r="D308" i="3"/>
  <c r="M307" i="3"/>
  <c r="K307" i="3"/>
  <c r="I307" i="3"/>
  <c r="F307" i="3"/>
  <c r="E307" i="3"/>
  <c r="D307" i="3"/>
  <c r="M306" i="3"/>
  <c r="K306" i="3"/>
  <c r="I306" i="3"/>
  <c r="F306" i="3"/>
  <c r="E306" i="3"/>
  <c r="D306" i="3"/>
  <c r="M305" i="3"/>
  <c r="K305" i="3"/>
  <c r="I305" i="3"/>
  <c r="F305" i="3"/>
  <c r="E305" i="3"/>
  <c r="D305" i="3"/>
  <c r="M304" i="3"/>
  <c r="K304" i="3"/>
  <c r="I304" i="3"/>
  <c r="F304" i="3"/>
  <c r="E304" i="3"/>
  <c r="D304" i="3"/>
  <c r="M303" i="3"/>
  <c r="K303" i="3"/>
  <c r="I303" i="3"/>
  <c r="F303" i="3"/>
  <c r="E303" i="3"/>
  <c r="D303" i="3"/>
  <c r="M302" i="3"/>
  <c r="K302" i="3"/>
  <c r="I302" i="3"/>
  <c r="F302" i="3"/>
  <c r="E302" i="3"/>
  <c r="D302" i="3"/>
  <c r="M301" i="3"/>
  <c r="K301" i="3"/>
  <c r="I301" i="3"/>
  <c r="F301" i="3"/>
  <c r="E301" i="3"/>
  <c r="D301" i="3"/>
  <c r="M300" i="3"/>
  <c r="K300" i="3"/>
  <c r="I300" i="3"/>
  <c r="F300" i="3"/>
  <c r="E300" i="3"/>
  <c r="D300" i="3"/>
  <c r="M299" i="3"/>
  <c r="K299" i="3"/>
  <c r="I299" i="3"/>
  <c r="F299" i="3"/>
  <c r="E299" i="3"/>
  <c r="D299" i="3"/>
  <c r="M298" i="3"/>
  <c r="K298" i="3"/>
  <c r="I298" i="3"/>
  <c r="F298" i="3"/>
  <c r="E298" i="3"/>
  <c r="D298" i="3"/>
  <c r="M297" i="3"/>
  <c r="K297" i="3"/>
  <c r="I297" i="3"/>
  <c r="F297" i="3"/>
  <c r="E297" i="3"/>
  <c r="D297" i="3"/>
  <c r="M296" i="3"/>
  <c r="K296" i="3"/>
  <c r="I296" i="3"/>
  <c r="F296" i="3"/>
  <c r="E296" i="3"/>
  <c r="D296" i="3"/>
  <c r="G296" i="3" s="1"/>
  <c r="H296" i="3" s="1"/>
  <c r="M295" i="3"/>
  <c r="K295" i="3"/>
  <c r="I295" i="3"/>
  <c r="F295" i="3"/>
  <c r="E295" i="3"/>
  <c r="D295" i="3"/>
  <c r="M294" i="3"/>
  <c r="K294" i="3"/>
  <c r="I294" i="3"/>
  <c r="F294" i="3"/>
  <c r="E294" i="3"/>
  <c r="D294" i="3"/>
  <c r="M293" i="3"/>
  <c r="K293" i="3"/>
  <c r="I293" i="3"/>
  <c r="F293" i="3"/>
  <c r="E293" i="3"/>
  <c r="D293" i="3"/>
  <c r="L288" i="3"/>
  <c r="K11" i="8" s="1"/>
  <c r="M287" i="3"/>
  <c r="K287" i="3"/>
  <c r="I287" i="3"/>
  <c r="F287" i="3"/>
  <c r="E287" i="3"/>
  <c r="D287" i="3"/>
  <c r="M286" i="3"/>
  <c r="K286" i="3"/>
  <c r="I286" i="3"/>
  <c r="F286" i="3"/>
  <c r="E286" i="3"/>
  <c r="D286" i="3"/>
  <c r="M285" i="3"/>
  <c r="K285" i="3"/>
  <c r="I285" i="3"/>
  <c r="F285" i="3"/>
  <c r="E285" i="3"/>
  <c r="D285" i="3"/>
  <c r="M284" i="3"/>
  <c r="K284" i="3"/>
  <c r="I284" i="3"/>
  <c r="F284" i="3"/>
  <c r="E284" i="3"/>
  <c r="D284" i="3"/>
  <c r="M283" i="3"/>
  <c r="K283" i="3"/>
  <c r="I283" i="3"/>
  <c r="F283" i="3"/>
  <c r="E283" i="3"/>
  <c r="D283" i="3"/>
  <c r="M282" i="3"/>
  <c r="K282" i="3"/>
  <c r="I282" i="3"/>
  <c r="F282" i="3"/>
  <c r="E282" i="3"/>
  <c r="D282" i="3"/>
  <c r="M281" i="3"/>
  <c r="K281" i="3"/>
  <c r="I281" i="3"/>
  <c r="F281" i="3"/>
  <c r="E281" i="3"/>
  <c r="D281" i="3"/>
  <c r="M280" i="3"/>
  <c r="K280" i="3"/>
  <c r="I280" i="3"/>
  <c r="F280" i="3"/>
  <c r="E280" i="3"/>
  <c r="D280" i="3"/>
  <c r="M279" i="3"/>
  <c r="K279" i="3"/>
  <c r="I279" i="3"/>
  <c r="F279" i="3"/>
  <c r="E279" i="3"/>
  <c r="D279" i="3"/>
  <c r="M278" i="3"/>
  <c r="K278" i="3"/>
  <c r="I278" i="3"/>
  <c r="F278" i="3"/>
  <c r="E278" i="3"/>
  <c r="D278" i="3"/>
  <c r="M277" i="3"/>
  <c r="K277" i="3"/>
  <c r="I277" i="3"/>
  <c r="F277" i="3"/>
  <c r="E277" i="3"/>
  <c r="D277" i="3"/>
  <c r="M276" i="3"/>
  <c r="K276" i="3"/>
  <c r="I276" i="3"/>
  <c r="F276" i="3"/>
  <c r="E276" i="3"/>
  <c r="D276" i="3"/>
  <c r="M275" i="3"/>
  <c r="K275" i="3"/>
  <c r="I275" i="3"/>
  <c r="F275" i="3"/>
  <c r="E275" i="3"/>
  <c r="D275" i="3"/>
  <c r="M274" i="3"/>
  <c r="K274" i="3"/>
  <c r="I274" i="3"/>
  <c r="F274" i="3"/>
  <c r="E274" i="3"/>
  <c r="D274" i="3"/>
  <c r="M273" i="3"/>
  <c r="K273" i="3"/>
  <c r="I273" i="3"/>
  <c r="F273" i="3"/>
  <c r="E273" i="3"/>
  <c r="D273" i="3"/>
  <c r="M272" i="3"/>
  <c r="K272" i="3"/>
  <c r="I272" i="3"/>
  <c r="F272" i="3"/>
  <c r="E272" i="3"/>
  <c r="D272" i="3"/>
  <c r="M271" i="3"/>
  <c r="K271" i="3"/>
  <c r="I271" i="3"/>
  <c r="F271" i="3"/>
  <c r="E271" i="3"/>
  <c r="D271" i="3"/>
  <c r="M270" i="3"/>
  <c r="K270" i="3"/>
  <c r="I270" i="3"/>
  <c r="F270" i="3"/>
  <c r="E270" i="3"/>
  <c r="D270" i="3"/>
  <c r="M269" i="3"/>
  <c r="K269" i="3"/>
  <c r="I269" i="3"/>
  <c r="F269" i="3"/>
  <c r="E269" i="3"/>
  <c r="D269" i="3"/>
  <c r="M268" i="3"/>
  <c r="K268" i="3"/>
  <c r="I268" i="3"/>
  <c r="F268" i="3"/>
  <c r="E268" i="3"/>
  <c r="D268" i="3"/>
  <c r="M267" i="3"/>
  <c r="K267" i="3"/>
  <c r="I267" i="3"/>
  <c r="F267" i="3"/>
  <c r="E267" i="3"/>
  <c r="D267" i="3"/>
  <c r="M266" i="3"/>
  <c r="K266" i="3"/>
  <c r="I266" i="3"/>
  <c r="F266" i="3"/>
  <c r="E266" i="3"/>
  <c r="D266" i="3"/>
  <c r="M265" i="3"/>
  <c r="K265" i="3"/>
  <c r="I265" i="3"/>
  <c r="F265" i="3"/>
  <c r="E265" i="3"/>
  <c r="D265" i="3"/>
  <c r="M264" i="3"/>
  <c r="K264" i="3"/>
  <c r="I264" i="3"/>
  <c r="F264" i="3"/>
  <c r="E264" i="3"/>
  <c r="D264" i="3"/>
  <c r="M263" i="3"/>
  <c r="K263" i="3"/>
  <c r="I263" i="3"/>
  <c r="F263" i="3"/>
  <c r="E263" i="3"/>
  <c r="D263" i="3"/>
  <c r="M262" i="3"/>
  <c r="K262" i="3"/>
  <c r="I262" i="3"/>
  <c r="F262" i="3"/>
  <c r="E262" i="3"/>
  <c r="D262" i="3"/>
  <c r="M261" i="3"/>
  <c r="K261" i="3"/>
  <c r="I261" i="3"/>
  <c r="F261" i="3"/>
  <c r="E261" i="3"/>
  <c r="D261" i="3"/>
  <c r="M260" i="3"/>
  <c r="K260" i="3"/>
  <c r="I260" i="3"/>
  <c r="F260" i="3"/>
  <c r="E260" i="3"/>
  <c r="D260" i="3"/>
  <c r="M259" i="3"/>
  <c r="K259" i="3"/>
  <c r="I259" i="3"/>
  <c r="F259" i="3"/>
  <c r="E259" i="3"/>
  <c r="D259" i="3"/>
  <c r="M258" i="3"/>
  <c r="K258" i="3"/>
  <c r="I258" i="3"/>
  <c r="F258" i="3"/>
  <c r="E258" i="3"/>
  <c r="D258" i="3"/>
  <c r="M257" i="3"/>
  <c r="K257" i="3"/>
  <c r="I257" i="3"/>
  <c r="F257" i="3"/>
  <c r="E257" i="3"/>
  <c r="D257" i="3"/>
  <c r="L252" i="3"/>
  <c r="M251" i="3"/>
  <c r="K251" i="3"/>
  <c r="I251" i="3"/>
  <c r="F251" i="3"/>
  <c r="E251" i="3"/>
  <c r="D251" i="3"/>
  <c r="M250" i="3"/>
  <c r="K250" i="3"/>
  <c r="I250" i="3"/>
  <c r="F250" i="3"/>
  <c r="E250" i="3"/>
  <c r="D250" i="3"/>
  <c r="M249" i="3"/>
  <c r="K249" i="3"/>
  <c r="I249" i="3"/>
  <c r="F249" i="3"/>
  <c r="E249" i="3"/>
  <c r="D249" i="3"/>
  <c r="M248" i="3"/>
  <c r="K248" i="3"/>
  <c r="I248" i="3"/>
  <c r="F248" i="3"/>
  <c r="E248" i="3"/>
  <c r="D248" i="3"/>
  <c r="M247" i="3"/>
  <c r="K247" i="3"/>
  <c r="I247" i="3"/>
  <c r="F247" i="3"/>
  <c r="E247" i="3"/>
  <c r="D247" i="3"/>
  <c r="M246" i="3"/>
  <c r="K246" i="3"/>
  <c r="I246" i="3"/>
  <c r="F246" i="3"/>
  <c r="E246" i="3"/>
  <c r="D246" i="3"/>
  <c r="M245" i="3"/>
  <c r="K245" i="3"/>
  <c r="I245" i="3"/>
  <c r="F245" i="3"/>
  <c r="E245" i="3"/>
  <c r="D245" i="3"/>
  <c r="M244" i="3"/>
  <c r="K244" i="3"/>
  <c r="I244" i="3"/>
  <c r="F244" i="3"/>
  <c r="E244" i="3"/>
  <c r="D244" i="3"/>
  <c r="M243" i="3"/>
  <c r="K243" i="3"/>
  <c r="I243" i="3"/>
  <c r="F243" i="3"/>
  <c r="E243" i="3"/>
  <c r="D243" i="3"/>
  <c r="M242" i="3"/>
  <c r="K242" i="3"/>
  <c r="I242" i="3"/>
  <c r="F242" i="3"/>
  <c r="E242" i="3"/>
  <c r="D242" i="3"/>
  <c r="M241" i="3"/>
  <c r="K241" i="3"/>
  <c r="I241" i="3"/>
  <c r="F241" i="3"/>
  <c r="E241" i="3"/>
  <c r="D241" i="3"/>
  <c r="M240" i="3"/>
  <c r="K240" i="3"/>
  <c r="I240" i="3"/>
  <c r="F240" i="3"/>
  <c r="E240" i="3"/>
  <c r="D240" i="3"/>
  <c r="M239" i="3"/>
  <c r="K239" i="3"/>
  <c r="I239" i="3"/>
  <c r="F239" i="3"/>
  <c r="E239" i="3"/>
  <c r="D239" i="3"/>
  <c r="G239" i="3" s="1"/>
  <c r="M238" i="3"/>
  <c r="K238" i="3"/>
  <c r="I238" i="3"/>
  <c r="F238" i="3"/>
  <c r="E238" i="3"/>
  <c r="D238" i="3"/>
  <c r="M237" i="3"/>
  <c r="K237" i="3"/>
  <c r="I237" i="3"/>
  <c r="F237" i="3"/>
  <c r="E237" i="3"/>
  <c r="D237" i="3"/>
  <c r="M236" i="3"/>
  <c r="K236" i="3"/>
  <c r="I236" i="3"/>
  <c r="F236" i="3"/>
  <c r="E236" i="3"/>
  <c r="D236" i="3"/>
  <c r="M235" i="3"/>
  <c r="K235" i="3"/>
  <c r="I235" i="3"/>
  <c r="F235" i="3"/>
  <c r="E235" i="3"/>
  <c r="D235" i="3"/>
  <c r="G235" i="3" s="1"/>
  <c r="M234" i="3"/>
  <c r="K234" i="3"/>
  <c r="I234" i="3"/>
  <c r="F234" i="3"/>
  <c r="E234" i="3"/>
  <c r="D234" i="3"/>
  <c r="M233" i="3"/>
  <c r="K233" i="3"/>
  <c r="I233" i="3"/>
  <c r="F233" i="3"/>
  <c r="E233" i="3"/>
  <c r="D233" i="3"/>
  <c r="M232" i="3"/>
  <c r="K232" i="3"/>
  <c r="I232" i="3"/>
  <c r="F232" i="3"/>
  <c r="E232" i="3"/>
  <c r="D232" i="3"/>
  <c r="M231" i="3"/>
  <c r="K231" i="3"/>
  <c r="I231" i="3"/>
  <c r="F231" i="3"/>
  <c r="E231" i="3"/>
  <c r="D231" i="3"/>
  <c r="M230" i="3"/>
  <c r="K230" i="3"/>
  <c r="I230" i="3"/>
  <c r="F230" i="3"/>
  <c r="E230" i="3"/>
  <c r="D230" i="3"/>
  <c r="M229" i="3"/>
  <c r="K229" i="3"/>
  <c r="I229" i="3"/>
  <c r="F229" i="3"/>
  <c r="E229" i="3"/>
  <c r="D229" i="3"/>
  <c r="M228" i="3"/>
  <c r="K228" i="3"/>
  <c r="I228" i="3"/>
  <c r="F228" i="3"/>
  <c r="E228" i="3"/>
  <c r="D228" i="3"/>
  <c r="M227" i="3"/>
  <c r="K227" i="3"/>
  <c r="I227" i="3"/>
  <c r="F227" i="3"/>
  <c r="E227" i="3"/>
  <c r="D227" i="3"/>
  <c r="G227" i="3" s="1"/>
  <c r="M226" i="3"/>
  <c r="K226" i="3"/>
  <c r="I226" i="3"/>
  <c r="F226" i="3"/>
  <c r="E226" i="3"/>
  <c r="D226" i="3"/>
  <c r="M225" i="3"/>
  <c r="K225" i="3"/>
  <c r="I225" i="3"/>
  <c r="F225" i="3"/>
  <c r="E225" i="3"/>
  <c r="D225" i="3"/>
  <c r="M224" i="3"/>
  <c r="K224" i="3"/>
  <c r="I224" i="3"/>
  <c r="F224" i="3"/>
  <c r="E224" i="3"/>
  <c r="D224" i="3"/>
  <c r="M223" i="3"/>
  <c r="K223" i="3"/>
  <c r="I223" i="3"/>
  <c r="F223" i="3"/>
  <c r="E223" i="3"/>
  <c r="D223" i="3"/>
  <c r="M222" i="3"/>
  <c r="K222" i="3"/>
  <c r="I222" i="3"/>
  <c r="F222" i="3"/>
  <c r="E222" i="3"/>
  <c r="D222" i="3"/>
  <c r="M221" i="3"/>
  <c r="K221" i="3"/>
  <c r="I221" i="3"/>
  <c r="F221" i="3"/>
  <c r="E221" i="3"/>
  <c r="D221" i="3"/>
  <c r="L216" i="3"/>
  <c r="M215" i="3"/>
  <c r="K215" i="3"/>
  <c r="I215" i="3"/>
  <c r="F215" i="3"/>
  <c r="E215" i="3"/>
  <c r="D215" i="3"/>
  <c r="M214" i="3"/>
  <c r="K214" i="3"/>
  <c r="I214" i="3"/>
  <c r="F214" i="3"/>
  <c r="E214" i="3"/>
  <c r="D214" i="3"/>
  <c r="M213" i="3"/>
  <c r="K213" i="3"/>
  <c r="I213" i="3"/>
  <c r="F213" i="3"/>
  <c r="E213" i="3"/>
  <c r="D213" i="3"/>
  <c r="M212" i="3"/>
  <c r="K212" i="3"/>
  <c r="I212" i="3"/>
  <c r="F212" i="3"/>
  <c r="E212" i="3"/>
  <c r="D212" i="3"/>
  <c r="M211" i="3"/>
  <c r="K211" i="3"/>
  <c r="I211" i="3"/>
  <c r="F211" i="3"/>
  <c r="E211" i="3"/>
  <c r="D211" i="3"/>
  <c r="M210" i="3"/>
  <c r="K210" i="3"/>
  <c r="I210" i="3"/>
  <c r="F210" i="3"/>
  <c r="E210" i="3"/>
  <c r="D210" i="3"/>
  <c r="M209" i="3"/>
  <c r="K209" i="3"/>
  <c r="I209" i="3"/>
  <c r="F209" i="3"/>
  <c r="E209" i="3"/>
  <c r="D209" i="3"/>
  <c r="M208" i="3"/>
  <c r="K208" i="3"/>
  <c r="I208" i="3"/>
  <c r="F208" i="3"/>
  <c r="E208" i="3"/>
  <c r="D208" i="3"/>
  <c r="M207" i="3"/>
  <c r="K207" i="3"/>
  <c r="I207" i="3"/>
  <c r="F207" i="3"/>
  <c r="E207" i="3"/>
  <c r="D207" i="3"/>
  <c r="M206" i="3"/>
  <c r="K206" i="3"/>
  <c r="I206" i="3"/>
  <c r="F206" i="3"/>
  <c r="E206" i="3"/>
  <c r="D206" i="3"/>
  <c r="M205" i="3"/>
  <c r="K205" i="3"/>
  <c r="I205" i="3"/>
  <c r="F205" i="3"/>
  <c r="E205" i="3"/>
  <c r="D205" i="3"/>
  <c r="M204" i="3"/>
  <c r="K204" i="3"/>
  <c r="I204" i="3"/>
  <c r="F204" i="3"/>
  <c r="E204" i="3"/>
  <c r="D204" i="3"/>
  <c r="M203" i="3"/>
  <c r="K203" i="3"/>
  <c r="I203" i="3"/>
  <c r="F203" i="3"/>
  <c r="E203" i="3"/>
  <c r="D203" i="3"/>
  <c r="M202" i="3"/>
  <c r="K202" i="3"/>
  <c r="I202" i="3"/>
  <c r="F202" i="3"/>
  <c r="E202" i="3"/>
  <c r="D202" i="3"/>
  <c r="M201" i="3"/>
  <c r="K201" i="3"/>
  <c r="I201" i="3"/>
  <c r="F201" i="3"/>
  <c r="E201" i="3"/>
  <c r="D201" i="3"/>
  <c r="M200" i="3"/>
  <c r="K200" i="3"/>
  <c r="I200" i="3"/>
  <c r="F200" i="3"/>
  <c r="E200" i="3"/>
  <c r="D200" i="3"/>
  <c r="M199" i="3"/>
  <c r="K199" i="3"/>
  <c r="I199" i="3"/>
  <c r="F199" i="3"/>
  <c r="E199" i="3"/>
  <c r="D199" i="3"/>
  <c r="M198" i="3"/>
  <c r="K198" i="3"/>
  <c r="I198" i="3"/>
  <c r="F198" i="3"/>
  <c r="E198" i="3"/>
  <c r="D198" i="3"/>
  <c r="M197" i="3"/>
  <c r="K197" i="3"/>
  <c r="I197" i="3"/>
  <c r="F197" i="3"/>
  <c r="E197" i="3"/>
  <c r="D197" i="3"/>
  <c r="M196" i="3"/>
  <c r="K196" i="3"/>
  <c r="I196" i="3"/>
  <c r="F196" i="3"/>
  <c r="E196" i="3"/>
  <c r="D196" i="3"/>
  <c r="M195" i="3"/>
  <c r="K195" i="3"/>
  <c r="I195" i="3"/>
  <c r="F195" i="3"/>
  <c r="E195" i="3"/>
  <c r="D195" i="3"/>
  <c r="M194" i="3"/>
  <c r="K194" i="3"/>
  <c r="I194" i="3"/>
  <c r="F194" i="3"/>
  <c r="E194" i="3"/>
  <c r="D194" i="3"/>
  <c r="M193" i="3"/>
  <c r="K193" i="3"/>
  <c r="I193" i="3"/>
  <c r="F193" i="3"/>
  <c r="E193" i="3"/>
  <c r="D193" i="3"/>
  <c r="M192" i="3"/>
  <c r="K192" i="3"/>
  <c r="I192" i="3"/>
  <c r="F192" i="3"/>
  <c r="E192" i="3"/>
  <c r="D192" i="3"/>
  <c r="M191" i="3"/>
  <c r="K191" i="3"/>
  <c r="I191" i="3"/>
  <c r="F191" i="3"/>
  <c r="E191" i="3"/>
  <c r="D191" i="3"/>
  <c r="M190" i="3"/>
  <c r="K190" i="3"/>
  <c r="I190" i="3"/>
  <c r="F190" i="3"/>
  <c r="E190" i="3"/>
  <c r="D190" i="3"/>
  <c r="M189" i="3"/>
  <c r="K189" i="3"/>
  <c r="I189" i="3"/>
  <c r="F189" i="3"/>
  <c r="E189" i="3"/>
  <c r="D189" i="3"/>
  <c r="M188" i="3"/>
  <c r="K188" i="3"/>
  <c r="I188" i="3"/>
  <c r="F188" i="3"/>
  <c r="E188" i="3"/>
  <c r="D188" i="3"/>
  <c r="M187" i="3"/>
  <c r="K187" i="3"/>
  <c r="I187" i="3"/>
  <c r="F187" i="3"/>
  <c r="E187" i="3"/>
  <c r="D187" i="3"/>
  <c r="M186" i="3"/>
  <c r="K186" i="3"/>
  <c r="I186" i="3"/>
  <c r="F186" i="3"/>
  <c r="E186" i="3"/>
  <c r="D186" i="3"/>
  <c r="M185" i="3"/>
  <c r="K185" i="3"/>
  <c r="I185" i="3"/>
  <c r="F185" i="3"/>
  <c r="E185" i="3"/>
  <c r="D185" i="3"/>
  <c r="L180" i="3"/>
  <c r="M179" i="3"/>
  <c r="K179" i="3"/>
  <c r="I179" i="3"/>
  <c r="F179" i="3"/>
  <c r="E179" i="3"/>
  <c r="D179" i="3"/>
  <c r="M178" i="3"/>
  <c r="K178" i="3"/>
  <c r="I178" i="3"/>
  <c r="F178" i="3"/>
  <c r="E178" i="3"/>
  <c r="D178" i="3"/>
  <c r="M177" i="3"/>
  <c r="K177" i="3"/>
  <c r="I177" i="3"/>
  <c r="F177" i="3"/>
  <c r="E177" i="3"/>
  <c r="D177" i="3"/>
  <c r="M176" i="3"/>
  <c r="K176" i="3"/>
  <c r="I176" i="3"/>
  <c r="F176" i="3"/>
  <c r="E176" i="3"/>
  <c r="D176" i="3"/>
  <c r="M175" i="3"/>
  <c r="K175" i="3"/>
  <c r="I175" i="3"/>
  <c r="F175" i="3"/>
  <c r="E175" i="3"/>
  <c r="D175" i="3"/>
  <c r="M174" i="3"/>
  <c r="K174" i="3"/>
  <c r="I174" i="3"/>
  <c r="F174" i="3"/>
  <c r="E174" i="3"/>
  <c r="D174" i="3"/>
  <c r="M173" i="3"/>
  <c r="K173" i="3"/>
  <c r="I173" i="3"/>
  <c r="F173" i="3"/>
  <c r="E173" i="3"/>
  <c r="D173" i="3"/>
  <c r="M172" i="3"/>
  <c r="K172" i="3"/>
  <c r="I172" i="3"/>
  <c r="F172" i="3"/>
  <c r="E172" i="3"/>
  <c r="D172" i="3"/>
  <c r="M171" i="3"/>
  <c r="K171" i="3"/>
  <c r="I171" i="3"/>
  <c r="F171" i="3"/>
  <c r="E171" i="3"/>
  <c r="D171" i="3"/>
  <c r="M170" i="3"/>
  <c r="K170" i="3"/>
  <c r="I170" i="3"/>
  <c r="F170" i="3"/>
  <c r="E170" i="3"/>
  <c r="D170" i="3"/>
  <c r="M169" i="3"/>
  <c r="K169" i="3"/>
  <c r="I169" i="3"/>
  <c r="F169" i="3"/>
  <c r="E169" i="3"/>
  <c r="D169" i="3"/>
  <c r="M168" i="3"/>
  <c r="K168" i="3"/>
  <c r="I168" i="3"/>
  <c r="F168" i="3"/>
  <c r="E168" i="3"/>
  <c r="D168" i="3"/>
  <c r="M167" i="3"/>
  <c r="K167" i="3"/>
  <c r="I167" i="3"/>
  <c r="F167" i="3"/>
  <c r="E167" i="3"/>
  <c r="D167" i="3"/>
  <c r="M166" i="3"/>
  <c r="K166" i="3"/>
  <c r="I166" i="3"/>
  <c r="F166" i="3"/>
  <c r="E166" i="3"/>
  <c r="D166" i="3"/>
  <c r="M165" i="3"/>
  <c r="K165" i="3"/>
  <c r="I165" i="3"/>
  <c r="F165" i="3"/>
  <c r="E165" i="3"/>
  <c r="D165" i="3"/>
  <c r="M164" i="3"/>
  <c r="K164" i="3"/>
  <c r="I164" i="3"/>
  <c r="F164" i="3"/>
  <c r="E164" i="3"/>
  <c r="D164" i="3"/>
  <c r="M163" i="3"/>
  <c r="K163" i="3"/>
  <c r="I163" i="3"/>
  <c r="F163" i="3"/>
  <c r="E163" i="3"/>
  <c r="D163" i="3"/>
  <c r="M162" i="3"/>
  <c r="K162" i="3"/>
  <c r="I162" i="3"/>
  <c r="F162" i="3"/>
  <c r="E162" i="3"/>
  <c r="D162" i="3"/>
  <c r="M161" i="3"/>
  <c r="K161" i="3"/>
  <c r="I161" i="3"/>
  <c r="F161" i="3"/>
  <c r="E161" i="3"/>
  <c r="D161" i="3"/>
  <c r="M160" i="3"/>
  <c r="K160" i="3"/>
  <c r="I160" i="3"/>
  <c r="F160" i="3"/>
  <c r="E160" i="3"/>
  <c r="D160" i="3"/>
  <c r="M159" i="3"/>
  <c r="K159" i="3"/>
  <c r="I159" i="3"/>
  <c r="F159" i="3"/>
  <c r="E159" i="3"/>
  <c r="D159" i="3"/>
  <c r="M158" i="3"/>
  <c r="K158" i="3"/>
  <c r="I158" i="3"/>
  <c r="F158" i="3"/>
  <c r="E158" i="3"/>
  <c r="D158" i="3"/>
  <c r="M157" i="3"/>
  <c r="K157" i="3"/>
  <c r="I157" i="3"/>
  <c r="F157" i="3"/>
  <c r="E157" i="3"/>
  <c r="D157" i="3"/>
  <c r="M156" i="3"/>
  <c r="K156" i="3"/>
  <c r="I156" i="3"/>
  <c r="F156" i="3"/>
  <c r="E156" i="3"/>
  <c r="D156" i="3"/>
  <c r="M155" i="3"/>
  <c r="K155" i="3"/>
  <c r="I155" i="3"/>
  <c r="F155" i="3"/>
  <c r="E155" i="3"/>
  <c r="D155" i="3"/>
  <c r="M154" i="3"/>
  <c r="K154" i="3"/>
  <c r="I154" i="3"/>
  <c r="F154" i="3"/>
  <c r="E154" i="3"/>
  <c r="D154" i="3"/>
  <c r="M153" i="3"/>
  <c r="K153" i="3"/>
  <c r="I153" i="3"/>
  <c r="F153" i="3"/>
  <c r="E153" i="3"/>
  <c r="D153" i="3"/>
  <c r="M152" i="3"/>
  <c r="K152" i="3"/>
  <c r="I152" i="3"/>
  <c r="F152" i="3"/>
  <c r="E152" i="3"/>
  <c r="D152" i="3"/>
  <c r="M151" i="3"/>
  <c r="K151" i="3"/>
  <c r="I151" i="3"/>
  <c r="F151" i="3"/>
  <c r="E151" i="3"/>
  <c r="D151" i="3"/>
  <c r="M150" i="3"/>
  <c r="K150" i="3"/>
  <c r="I150" i="3"/>
  <c r="F150" i="3"/>
  <c r="E150" i="3"/>
  <c r="D150" i="3"/>
  <c r="M149" i="3"/>
  <c r="K149" i="3"/>
  <c r="I149" i="3"/>
  <c r="F149" i="3"/>
  <c r="E149" i="3"/>
  <c r="D149" i="3"/>
  <c r="L144" i="3"/>
  <c r="M143" i="3"/>
  <c r="K143" i="3"/>
  <c r="I143" i="3"/>
  <c r="F143" i="3"/>
  <c r="E143" i="3"/>
  <c r="D143" i="3"/>
  <c r="M142" i="3"/>
  <c r="K142" i="3"/>
  <c r="I142" i="3"/>
  <c r="F142" i="3"/>
  <c r="E142" i="3"/>
  <c r="D142" i="3"/>
  <c r="M141" i="3"/>
  <c r="K141" i="3"/>
  <c r="I141" i="3"/>
  <c r="F141" i="3"/>
  <c r="E141" i="3"/>
  <c r="D141" i="3"/>
  <c r="M140" i="3"/>
  <c r="K140" i="3"/>
  <c r="I140" i="3"/>
  <c r="F140" i="3"/>
  <c r="E140" i="3"/>
  <c r="D140" i="3"/>
  <c r="M139" i="3"/>
  <c r="K139" i="3"/>
  <c r="I139" i="3"/>
  <c r="F139" i="3"/>
  <c r="E139" i="3"/>
  <c r="D139" i="3"/>
  <c r="M138" i="3"/>
  <c r="K138" i="3"/>
  <c r="I138" i="3"/>
  <c r="F138" i="3"/>
  <c r="E138" i="3"/>
  <c r="D138" i="3"/>
  <c r="M137" i="3"/>
  <c r="K137" i="3"/>
  <c r="I137" i="3"/>
  <c r="F137" i="3"/>
  <c r="E137" i="3"/>
  <c r="D137" i="3"/>
  <c r="M136" i="3"/>
  <c r="K136" i="3"/>
  <c r="I136" i="3"/>
  <c r="F136" i="3"/>
  <c r="E136" i="3"/>
  <c r="D136" i="3"/>
  <c r="M135" i="3"/>
  <c r="K135" i="3"/>
  <c r="I135" i="3"/>
  <c r="F135" i="3"/>
  <c r="E135" i="3"/>
  <c r="D135" i="3"/>
  <c r="M134" i="3"/>
  <c r="K134" i="3"/>
  <c r="I134" i="3"/>
  <c r="F134" i="3"/>
  <c r="E134" i="3"/>
  <c r="D134" i="3"/>
  <c r="M133" i="3"/>
  <c r="K133" i="3"/>
  <c r="I133" i="3"/>
  <c r="F133" i="3"/>
  <c r="E133" i="3"/>
  <c r="D133" i="3"/>
  <c r="M132" i="3"/>
  <c r="K132" i="3"/>
  <c r="I132" i="3"/>
  <c r="F132" i="3"/>
  <c r="E132" i="3"/>
  <c r="D132" i="3"/>
  <c r="M131" i="3"/>
  <c r="K131" i="3"/>
  <c r="I131" i="3"/>
  <c r="F131" i="3"/>
  <c r="E131" i="3"/>
  <c r="D131" i="3"/>
  <c r="M130" i="3"/>
  <c r="K130" i="3"/>
  <c r="I130" i="3"/>
  <c r="F130" i="3"/>
  <c r="E130" i="3"/>
  <c r="D130" i="3"/>
  <c r="M129" i="3"/>
  <c r="K129" i="3"/>
  <c r="I129" i="3"/>
  <c r="F129" i="3"/>
  <c r="E129" i="3"/>
  <c r="D129" i="3"/>
  <c r="M128" i="3"/>
  <c r="K128" i="3"/>
  <c r="I128" i="3"/>
  <c r="F128" i="3"/>
  <c r="E128" i="3"/>
  <c r="D128" i="3"/>
  <c r="M127" i="3"/>
  <c r="K127" i="3"/>
  <c r="I127" i="3"/>
  <c r="F127" i="3"/>
  <c r="E127" i="3"/>
  <c r="D127" i="3"/>
  <c r="M126" i="3"/>
  <c r="K126" i="3"/>
  <c r="I126" i="3"/>
  <c r="F126" i="3"/>
  <c r="E126" i="3"/>
  <c r="D126" i="3"/>
  <c r="M125" i="3"/>
  <c r="K125" i="3"/>
  <c r="I125" i="3"/>
  <c r="F125" i="3"/>
  <c r="E125" i="3"/>
  <c r="D125" i="3"/>
  <c r="M124" i="3"/>
  <c r="K124" i="3"/>
  <c r="I124" i="3"/>
  <c r="F124" i="3"/>
  <c r="E124" i="3"/>
  <c r="D124" i="3"/>
  <c r="M123" i="3"/>
  <c r="K123" i="3"/>
  <c r="I123" i="3"/>
  <c r="F123" i="3"/>
  <c r="E123" i="3"/>
  <c r="D123" i="3"/>
  <c r="M122" i="3"/>
  <c r="K122" i="3"/>
  <c r="I122" i="3"/>
  <c r="F122" i="3"/>
  <c r="E122" i="3"/>
  <c r="D122" i="3"/>
  <c r="M121" i="3"/>
  <c r="K121" i="3"/>
  <c r="I121" i="3"/>
  <c r="F121" i="3"/>
  <c r="E121" i="3"/>
  <c r="D121" i="3"/>
  <c r="M120" i="3"/>
  <c r="K120" i="3"/>
  <c r="I120" i="3"/>
  <c r="F120" i="3"/>
  <c r="E120" i="3"/>
  <c r="D120" i="3"/>
  <c r="M119" i="3"/>
  <c r="K119" i="3"/>
  <c r="I119" i="3"/>
  <c r="F119" i="3"/>
  <c r="E119" i="3"/>
  <c r="D119" i="3"/>
  <c r="M118" i="3"/>
  <c r="K118" i="3"/>
  <c r="I118" i="3"/>
  <c r="F118" i="3"/>
  <c r="E118" i="3"/>
  <c r="D118" i="3"/>
  <c r="M117" i="3"/>
  <c r="K117" i="3"/>
  <c r="I117" i="3"/>
  <c r="F117" i="3"/>
  <c r="E117" i="3"/>
  <c r="D117" i="3"/>
  <c r="M116" i="3"/>
  <c r="K116" i="3"/>
  <c r="I116" i="3"/>
  <c r="F116" i="3"/>
  <c r="E116" i="3"/>
  <c r="D116" i="3"/>
  <c r="M115" i="3"/>
  <c r="K115" i="3"/>
  <c r="I115" i="3"/>
  <c r="F115" i="3"/>
  <c r="E115" i="3"/>
  <c r="D115" i="3"/>
  <c r="M114" i="3"/>
  <c r="K114" i="3"/>
  <c r="I114" i="3"/>
  <c r="F114" i="3"/>
  <c r="E114" i="3"/>
  <c r="D114" i="3"/>
  <c r="M113" i="3"/>
  <c r="K113" i="3"/>
  <c r="I113" i="3"/>
  <c r="F113" i="3"/>
  <c r="E113" i="3"/>
  <c r="D113" i="3"/>
  <c r="L108" i="3"/>
  <c r="M107" i="3"/>
  <c r="K107" i="3"/>
  <c r="I107" i="3"/>
  <c r="F107" i="3"/>
  <c r="E107" i="3"/>
  <c r="D107" i="3"/>
  <c r="M106" i="3"/>
  <c r="K106" i="3"/>
  <c r="I106" i="3"/>
  <c r="F106" i="3"/>
  <c r="E106" i="3"/>
  <c r="D106" i="3"/>
  <c r="M105" i="3"/>
  <c r="K105" i="3"/>
  <c r="I105" i="3"/>
  <c r="F105" i="3"/>
  <c r="E105" i="3"/>
  <c r="D105" i="3"/>
  <c r="M104" i="3"/>
  <c r="K104" i="3"/>
  <c r="I104" i="3"/>
  <c r="F104" i="3"/>
  <c r="E104" i="3"/>
  <c r="D104" i="3"/>
  <c r="M103" i="3"/>
  <c r="K103" i="3"/>
  <c r="I103" i="3"/>
  <c r="F103" i="3"/>
  <c r="E103" i="3"/>
  <c r="D103" i="3"/>
  <c r="M102" i="3"/>
  <c r="K102" i="3"/>
  <c r="I102" i="3"/>
  <c r="F102" i="3"/>
  <c r="E102" i="3"/>
  <c r="D102" i="3"/>
  <c r="M101" i="3"/>
  <c r="K101" i="3"/>
  <c r="I101" i="3"/>
  <c r="F101" i="3"/>
  <c r="E101" i="3"/>
  <c r="D101" i="3"/>
  <c r="M100" i="3"/>
  <c r="K100" i="3"/>
  <c r="I100" i="3"/>
  <c r="F100" i="3"/>
  <c r="E100" i="3"/>
  <c r="D100" i="3"/>
  <c r="M99" i="3"/>
  <c r="K99" i="3"/>
  <c r="I99" i="3"/>
  <c r="F99" i="3"/>
  <c r="E99" i="3"/>
  <c r="D99" i="3"/>
  <c r="M98" i="3"/>
  <c r="K98" i="3"/>
  <c r="I98" i="3"/>
  <c r="F98" i="3"/>
  <c r="E98" i="3"/>
  <c r="D98" i="3"/>
  <c r="M97" i="3"/>
  <c r="K97" i="3"/>
  <c r="I97" i="3"/>
  <c r="F97" i="3"/>
  <c r="E97" i="3"/>
  <c r="D97" i="3"/>
  <c r="M96" i="3"/>
  <c r="K96" i="3"/>
  <c r="I96" i="3"/>
  <c r="F96" i="3"/>
  <c r="E96" i="3"/>
  <c r="D96" i="3"/>
  <c r="M95" i="3"/>
  <c r="K95" i="3"/>
  <c r="I95" i="3"/>
  <c r="F95" i="3"/>
  <c r="E95" i="3"/>
  <c r="D95" i="3"/>
  <c r="M94" i="3"/>
  <c r="K94" i="3"/>
  <c r="I94" i="3"/>
  <c r="F94" i="3"/>
  <c r="E94" i="3"/>
  <c r="D94" i="3"/>
  <c r="M93" i="3"/>
  <c r="K93" i="3"/>
  <c r="I93" i="3"/>
  <c r="F93" i="3"/>
  <c r="E93" i="3"/>
  <c r="D93" i="3"/>
  <c r="M92" i="3"/>
  <c r="K92" i="3"/>
  <c r="I92" i="3"/>
  <c r="F92" i="3"/>
  <c r="E92" i="3"/>
  <c r="D92" i="3"/>
  <c r="M91" i="3"/>
  <c r="K91" i="3"/>
  <c r="I91" i="3"/>
  <c r="F91" i="3"/>
  <c r="E91" i="3"/>
  <c r="D91" i="3"/>
  <c r="M90" i="3"/>
  <c r="K90" i="3"/>
  <c r="I90" i="3"/>
  <c r="F90" i="3"/>
  <c r="E90" i="3"/>
  <c r="D90" i="3"/>
  <c r="M89" i="3"/>
  <c r="K89" i="3"/>
  <c r="I89" i="3"/>
  <c r="F89" i="3"/>
  <c r="E89" i="3"/>
  <c r="D89" i="3"/>
  <c r="M88" i="3"/>
  <c r="K88" i="3"/>
  <c r="I88" i="3"/>
  <c r="F88" i="3"/>
  <c r="E88" i="3"/>
  <c r="D88" i="3"/>
  <c r="M87" i="3"/>
  <c r="K87" i="3"/>
  <c r="I87" i="3"/>
  <c r="F87" i="3"/>
  <c r="E87" i="3"/>
  <c r="D87" i="3"/>
  <c r="M86" i="3"/>
  <c r="K86" i="3"/>
  <c r="I86" i="3"/>
  <c r="F86" i="3"/>
  <c r="E86" i="3"/>
  <c r="D86" i="3"/>
  <c r="M85" i="3"/>
  <c r="K85" i="3"/>
  <c r="I85" i="3"/>
  <c r="F85" i="3"/>
  <c r="E85" i="3"/>
  <c r="D85" i="3"/>
  <c r="M84" i="3"/>
  <c r="K84" i="3"/>
  <c r="I84" i="3"/>
  <c r="F84" i="3"/>
  <c r="E84" i="3"/>
  <c r="D84" i="3"/>
  <c r="M83" i="3"/>
  <c r="K83" i="3"/>
  <c r="I83" i="3"/>
  <c r="F83" i="3"/>
  <c r="E83" i="3"/>
  <c r="D83" i="3"/>
  <c r="M82" i="3"/>
  <c r="K82" i="3"/>
  <c r="I82" i="3"/>
  <c r="F82" i="3"/>
  <c r="E82" i="3"/>
  <c r="D82" i="3"/>
  <c r="M81" i="3"/>
  <c r="K81" i="3"/>
  <c r="I81" i="3"/>
  <c r="F81" i="3"/>
  <c r="E81" i="3"/>
  <c r="D81" i="3"/>
  <c r="M80" i="3"/>
  <c r="K80" i="3"/>
  <c r="I80" i="3"/>
  <c r="F80" i="3"/>
  <c r="E80" i="3"/>
  <c r="D80" i="3"/>
  <c r="M79" i="3"/>
  <c r="K79" i="3"/>
  <c r="I79" i="3"/>
  <c r="F79" i="3"/>
  <c r="E79" i="3"/>
  <c r="D79" i="3"/>
  <c r="M78" i="3"/>
  <c r="K78" i="3"/>
  <c r="I78" i="3"/>
  <c r="F78" i="3"/>
  <c r="E78" i="3"/>
  <c r="D78" i="3"/>
  <c r="M77" i="3"/>
  <c r="K77" i="3"/>
  <c r="I77" i="3"/>
  <c r="F77" i="3"/>
  <c r="E77" i="3"/>
  <c r="D77" i="3"/>
  <c r="L72" i="3"/>
  <c r="M71" i="3"/>
  <c r="I71" i="3"/>
  <c r="F71" i="3"/>
  <c r="E71" i="3"/>
  <c r="D71" i="3"/>
  <c r="M70" i="3"/>
  <c r="I70" i="3"/>
  <c r="F70" i="3"/>
  <c r="E70" i="3"/>
  <c r="D70" i="3"/>
  <c r="M69" i="3"/>
  <c r="I69" i="3"/>
  <c r="F69" i="3"/>
  <c r="E69" i="3"/>
  <c r="D69" i="3"/>
  <c r="M68" i="3"/>
  <c r="I68" i="3"/>
  <c r="F68" i="3"/>
  <c r="E68" i="3"/>
  <c r="D68" i="3"/>
  <c r="M67" i="3"/>
  <c r="I67" i="3"/>
  <c r="F67" i="3"/>
  <c r="E67" i="3"/>
  <c r="D67" i="3"/>
  <c r="M66" i="3"/>
  <c r="I66" i="3"/>
  <c r="F66" i="3"/>
  <c r="E66" i="3"/>
  <c r="D66" i="3"/>
  <c r="M65" i="3"/>
  <c r="I65" i="3"/>
  <c r="F65" i="3"/>
  <c r="E65" i="3"/>
  <c r="D65" i="3"/>
  <c r="M64" i="3"/>
  <c r="I64" i="3"/>
  <c r="F64" i="3"/>
  <c r="E64" i="3"/>
  <c r="D64" i="3"/>
  <c r="M63" i="3"/>
  <c r="I63" i="3"/>
  <c r="F63" i="3"/>
  <c r="E63" i="3"/>
  <c r="D63" i="3"/>
  <c r="M62" i="3"/>
  <c r="I62" i="3"/>
  <c r="F62" i="3"/>
  <c r="E62" i="3"/>
  <c r="D62" i="3"/>
  <c r="M61" i="3"/>
  <c r="I61" i="3"/>
  <c r="F61" i="3"/>
  <c r="E61" i="3"/>
  <c r="D61" i="3"/>
  <c r="M60" i="3"/>
  <c r="I60" i="3"/>
  <c r="F60" i="3"/>
  <c r="E60" i="3"/>
  <c r="D60" i="3"/>
  <c r="M59" i="3"/>
  <c r="I59" i="3"/>
  <c r="F59" i="3"/>
  <c r="E59" i="3"/>
  <c r="D59" i="3"/>
  <c r="M58" i="3"/>
  <c r="I58" i="3"/>
  <c r="F58" i="3"/>
  <c r="E58" i="3"/>
  <c r="D58" i="3"/>
  <c r="M57" i="3"/>
  <c r="I57" i="3"/>
  <c r="F57" i="3"/>
  <c r="E57" i="3"/>
  <c r="D57" i="3"/>
  <c r="M56" i="3"/>
  <c r="I56" i="3"/>
  <c r="F56" i="3"/>
  <c r="E56" i="3"/>
  <c r="D56" i="3"/>
  <c r="M55" i="3"/>
  <c r="I55" i="3"/>
  <c r="F55" i="3"/>
  <c r="E55" i="3"/>
  <c r="D55" i="3"/>
  <c r="M54" i="3"/>
  <c r="I54" i="3"/>
  <c r="F54" i="3"/>
  <c r="E54" i="3"/>
  <c r="D54" i="3"/>
  <c r="M53" i="3"/>
  <c r="I53" i="3"/>
  <c r="F53" i="3"/>
  <c r="E53" i="3"/>
  <c r="D53" i="3"/>
  <c r="M52" i="3"/>
  <c r="I52" i="3"/>
  <c r="F52" i="3"/>
  <c r="E52" i="3"/>
  <c r="D52" i="3"/>
  <c r="M51" i="3"/>
  <c r="I51" i="3"/>
  <c r="F51" i="3"/>
  <c r="E51" i="3"/>
  <c r="D51" i="3"/>
  <c r="M50" i="3"/>
  <c r="I50" i="3"/>
  <c r="F50" i="3"/>
  <c r="E50" i="3"/>
  <c r="D50" i="3"/>
  <c r="M49" i="3"/>
  <c r="I49" i="3"/>
  <c r="F49" i="3"/>
  <c r="E49" i="3"/>
  <c r="D49" i="3"/>
  <c r="M48" i="3"/>
  <c r="I48" i="3"/>
  <c r="F48" i="3"/>
  <c r="E48" i="3"/>
  <c r="D48" i="3"/>
  <c r="M47" i="3"/>
  <c r="I47" i="3"/>
  <c r="F47" i="3"/>
  <c r="E47" i="3"/>
  <c r="D47" i="3"/>
  <c r="M46" i="3"/>
  <c r="I46" i="3"/>
  <c r="F46" i="3"/>
  <c r="E46" i="3"/>
  <c r="D46" i="3"/>
  <c r="M45" i="3"/>
  <c r="I45" i="3"/>
  <c r="F45" i="3"/>
  <c r="E45" i="3"/>
  <c r="D45" i="3"/>
  <c r="M44" i="3"/>
  <c r="I44" i="3"/>
  <c r="F44" i="3"/>
  <c r="E44" i="3"/>
  <c r="D44" i="3"/>
  <c r="M43" i="3"/>
  <c r="I43" i="3"/>
  <c r="F43" i="3"/>
  <c r="E43" i="3"/>
  <c r="D43" i="3"/>
  <c r="M42" i="3"/>
  <c r="I42" i="3"/>
  <c r="F42" i="3"/>
  <c r="E42" i="3"/>
  <c r="D42" i="3"/>
  <c r="M41" i="3"/>
  <c r="K41" i="3"/>
  <c r="I41" i="3"/>
  <c r="F41" i="3"/>
  <c r="E41" i="3"/>
  <c r="D41" i="3"/>
  <c r="O37" i="3"/>
  <c r="L37" i="3"/>
  <c r="K4" i="8" s="1"/>
  <c r="M36" i="3"/>
  <c r="K36" i="3"/>
  <c r="I36" i="3"/>
  <c r="F36" i="3"/>
  <c r="E36" i="3"/>
  <c r="D36" i="3"/>
  <c r="M35" i="3"/>
  <c r="K35" i="3"/>
  <c r="I35" i="3"/>
  <c r="F35" i="3"/>
  <c r="E35" i="3"/>
  <c r="D35" i="3"/>
  <c r="M34" i="3"/>
  <c r="K34" i="3"/>
  <c r="I34" i="3"/>
  <c r="F34" i="3"/>
  <c r="E34" i="3"/>
  <c r="D34" i="3"/>
  <c r="M33" i="3"/>
  <c r="K33" i="3"/>
  <c r="I33" i="3"/>
  <c r="F33" i="3"/>
  <c r="E33" i="3"/>
  <c r="D33" i="3"/>
  <c r="M32" i="3"/>
  <c r="K32" i="3"/>
  <c r="I32" i="3"/>
  <c r="F32" i="3"/>
  <c r="E32" i="3"/>
  <c r="D32" i="3"/>
  <c r="M31" i="3"/>
  <c r="K31" i="3"/>
  <c r="I31" i="3"/>
  <c r="F31" i="3"/>
  <c r="E31" i="3"/>
  <c r="D31" i="3"/>
  <c r="M30" i="3"/>
  <c r="K30" i="3"/>
  <c r="I30" i="3"/>
  <c r="F30" i="3"/>
  <c r="E30" i="3"/>
  <c r="D30" i="3"/>
  <c r="M29" i="3"/>
  <c r="K29" i="3"/>
  <c r="I29" i="3"/>
  <c r="F29" i="3"/>
  <c r="E29" i="3"/>
  <c r="D29" i="3"/>
  <c r="M28" i="3"/>
  <c r="K28" i="3"/>
  <c r="I28" i="3"/>
  <c r="F28" i="3"/>
  <c r="E28" i="3"/>
  <c r="D28" i="3"/>
  <c r="M27" i="3"/>
  <c r="K27" i="3"/>
  <c r="I27" i="3"/>
  <c r="F27" i="3"/>
  <c r="E27" i="3"/>
  <c r="D27" i="3"/>
  <c r="M26" i="3"/>
  <c r="K26" i="3"/>
  <c r="I26" i="3"/>
  <c r="F26" i="3"/>
  <c r="E26" i="3"/>
  <c r="D26" i="3"/>
  <c r="M25" i="3"/>
  <c r="K25" i="3"/>
  <c r="I25" i="3"/>
  <c r="F25" i="3"/>
  <c r="E25" i="3"/>
  <c r="D25" i="3"/>
  <c r="M24" i="3"/>
  <c r="K24" i="3"/>
  <c r="I24" i="3"/>
  <c r="F24" i="3"/>
  <c r="E24" i="3"/>
  <c r="D24" i="3"/>
  <c r="M23" i="3"/>
  <c r="K23" i="3"/>
  <c r="I23" i="3"/>
  <c r="F23" i="3"/>
  <c r="E23" i="3"/>
  <c r="D23" i="3"/>
  <c r="M22" i="3"/>
  <c r="K22" i="3"/>
  <c r="I22" i="3"/>
  <c r="F22" i="3"/>
  <c r="E22" i="3"/>
  <c r="D22" i="3"/>
  <c r="M21" i="3"/>
  <c r="K21" i="3"/>
  <c r="I21" i="3"/>
  <c r="F21" i="3"/>
  <c r="E21" i="3"/>
  <c r="D21" i="3"/>
  <c r="M20" i="3"/>
  <c r="K20" i="3"/>
  <c r="I20" i="3"/>
  <c r="F20" i="3"/>
  <c r="E20" i="3"/>
  <c r="D20" i="3"/>
  <c r="M19" i="3"/>
  <c r="K19" i="3"/>
  <c r="I19" i="3"/>
  <c r="F19" i="3"/>
  <c r="E19" i="3"/>
  <c r="D19" i="3"/>
  <c r="M18" i="3"/>
  <c r="K18" i="3"/>
  <c r="I18" i="3"/>
  <c r="F18" i="3"/>
  <c r="E18" i="3"/>
  <c r="D18" i="3"/>
  <c r="M17" i="3"/>
  <c r="K17" i="3"/>
  <c r="I17" i="3"/>
  <c r="F17" i="3"/>
  <c r="E17" i="3"/>
  <c r="D17" i="3"/>
  <c r="M16" i="3"/>
  <c r="K16" i="3"/>
  <c r="I16" i="3"/>
  <c r="F16" i="3"/>
  <c r="E16" i="3"/>
  <c r="D16" i="3"/>
  <c r="M15" i="3"/>
  <c r="K15" i="3"/>
  <c r="I15" i="3"/>
  <c r="F15" i="3"/>
  <c r="E15" i="3"/>
  <c r="D15" i="3"/>
  <c r="M14" i="3"/>
  <c r="K14" i="3"/>
  <c r="I14" i="3"/>
  <c r="F14" i="3"/>
  <c r="E14" i="3"/>
  <c r="D14" i="3"/>
  <c r="M13" i="3"/>
  <c r="K13" i="3"/>
  <c r="I13" i="3"/>
  <c r="F13" i="3"/>
  <c r="E13" i="3"/>
  <c r="D13" i="3"/>
  <c r="M12" i="3"/>
  <c r="K12" i="3"/>
  <c r="I12" i="3"/>
  <c r="F12" i="3"/>
  <c r="E12" i="3"/>
  <c r="D12" i="3"/>
  <c r="M11" i="3"/>
  <c r="K11" i="3"/>
  <c r="I11" i="3"/>
  <c r="F11" i="3"/>
  <c r="E11" i="3"/>
  <c r="D11" i="3"/>
  <c r="M10" i="3"/>
  <c r="K10" i="3"/>
  <c r="I10" i="3"/>
  <c r="F10" i="3"/>
  <c r="E10" i="3"/>
  <c r="D10" i="3"/>
  <c r="M9" i="3"/>
  <c r="K9" i="3"/>
  <c r="I9" i="3"/>
  <c r="F9" i="3"/>
  <c r="E9" i="3"/>
  <c r="D9" i="3"/>
  <c r="M8" i="3"/>
  <c r="K8" i="3"/>
  <c r="I8" i="3"/>
  <c r="F8" i="3"/>
  <c r="E8" i="3"/>
  <c r="D8" i="3"/>
  <c r="M7" i="3"/>
  <c r="K7" i="3"/>
  <c r="I7" i="3"/>
  <c r="F7" i="3"/>
  <c r="E7" i="3"/>
  <c r="D7" i="3"/>
  <c r="O6" i="3"/>
  <c r="M6" i="3"/>
  <c r="K6" i="3"/>
  <c r="I6" i="3"/>
  <c r="F6" i="3"/>
  <c r="E6" i="3"/>
  <c r="D6" i="3"/>
  <c r="O3247" i="7"/>
  <c r="N3247" i="7"/>
  <c r="M3247" i="7"/>
  <c r="L3247" i="7"/>
  <c r="K3247" i="7"/>
  <c r="J3247" i="7"/>
  <c r="I3247" i="7"/>
  <c r="H3247" i="7"/>
  <c r="G3247" i="7"/>
  <c r="F3247" i="7"/>
  <c r="E3247" i="7"/>
  <c r="D3247" i="7"/>
  <c r="C3247" i="7"/>
  <c r="M3246" i="7"/>
  <c r="M3245" i="7"/>
  <c r="M3244" i="7"/>
  <c r="M3243" i="7"/>
  <c r="M3242" i="7"/>
  <c r="M3241" i="7"/>
  <c r="M3240" i="7"/>
  <c r="M3239" i="7"/>
  <c r="M3238" i="7"/>
  <c r="M3237" i="7"/>
  <c r="O3236" i="7"/>
  <c r="M3236" i="7"/>
  <c r="O3235" i="7"/>
  <c r="M3235" i="7"/>
  <c r="O3234" i="7"/>
  <c r="M3234" i="7"/>
  <c r="O3233" i="7"/>
  <c r="M3233" i="7"/>
  <c r="O3232" i="7"/>
  <c r="M3232" i="7"/>
  <c r="O3231" i="7"/>
  <c r="M3231" i="7"/>
  <c r="O3230" i="7"/>
  <c r="M3230" i="7"/>
  <c r="O3229" i="7"/>
  <c r="M3229" i="7"/>
  <c r="O3228" i="7"/>
  <c r="M3228" i="7"/>
  <c r="O3227" i="7"/>
  <c r="M3227" i="7"/>
  <c r="O3226" i="7"/>
  <c r="M3226" i="7"/>
  <c r="O3225" i="7"/>
  <c r="M3225" i="7"/>
  <c r="O3224" i="7"/>
  <c r="M3224" i="7"/>
  <c r="O3223" i="7"/>
  <c r="M3223" i="7"/>
  <c r="O3222" i="7"/>
  <c r="M3222" i="7"/>
  <c r="O3221" i="7"/>
  <c r="M3221" i="7"/>
  <c r="O3220" i="7"/>
  <c r="M3220" i="7"/>
  <c r="O3219" i="7"/>
  <c r="M3219" i="7"/>
  <c r="O3218" i="7"/>
  <c r="M3218" i="7"/>
  <c r="O3217" i="7"/>
  <c r="M3217" i="7"/>
  <c r="O3216" i="7"/>
  <c r="M3216" i="7"/>
  <c r="O3215" i="7"/>
  <c r="M3215" i="7"/>
  <c r="O3214" i="7"/>
  <c r="M3214" i="7"/>
  <c r="O3213" i="7"/>
  <c r="M3213" i="7"/>
  <c r="O3212" i="7"/>
  <c r="M3212" i="7"/>
  <c r="O3211" i="7"/>
  <c r="M3211" i="7"/>
  <c r="O3210" i="7"/>
  <c r="M3210" i="7"/>
  <c r="O3209" i="7"/>
  <c r="M3209" i="7"/>
  <c r="O3208" i="7"/>
  <c r="M3208" i="7"/>
  <c r="O3207" i="7"/>
  <c r="M3207" i="7"/>
  <c r="O3206" i="7"/>
  <c r="M3206" i="7"/>
  <c r="O3205" i="7"/>
  <c r="M3205" i="7"/>
  <c r="O3204" i="7"/>
  <c r="M3204" i="7"/>
  <c r="O3203" i="7"/>
  <c r="M3203" i="7"/>
  <c r="O3202" i="7"/>
  <c r="M3202" i="7"/>
  <c r="O3201" i="7"/>
  <c r="M3201" i="7"/>
  <c r="O3200" i="7"/>
  <c r="M3200" i="7"/>
  <c r="O3199" i="7"/>
  <c r="M3199" i="7"/>
  <c r="O3198" i="7"/>
  <c r="M3198" i="7"/>
  <c r="O3197" i="7"/>
  <c r="M3197" i="7"/>
  <c r="O3196" i="7"/>
  <c r="M3196" i="7"/>
  <c r="O3195" i="7"/>
  <c r="M3195" i="7"/>
  <c r="O3194" i="7"/>
  <c r="M3194" i="7"/>
  <c r="O3193" i="7"/>
  <c r="M3193" i="7"/>
  <c r="O3192" i="7"/>
  <c r="M3192" i="7"/>
  <c r="O3191" i="7"/>
  <c r="M3191" i="7"/>
  <c r="O3190" i="7"/>
  <c r="M3190" i="7"/>
  <c r="O3189" i="7"/>
  <c r="M3189" i="7"/>
  <c r="O3188" i="7"/>
  <c r="M3188" i="7"/>
  <c r="O3187" i="7"/>
  <c r="M3187" i="7"/>
  <c r="O3186" i="7"/>
  <c r="M3186" i="7"/>
  <c r="O3185" i="7"/>
  <c r="M3185" i="7"/>
  <c r="O3184" i="7"/>
  <c r="M3184" i="7"/>
  <c r="O3183" i="7"/>
  <c r="M3183" i="7"/>
  <c r="O3182" i="7"/>
  <c r="M3182" i="7"/>
  <c r="O3181" i="7"/>
  <c r="M3181" i="7"/>
  <c r="O3180" i="7"/>
  <c r="M3180" i="7"/>
  <c r="O3179" i="7"/>
  <c r="M3179" i="7"/>
  <c r="O3178" i="7"/>
  <c r="M3178" i="7"/>
  <c r="O3177" i="7"/>
  <c r="M3177" i="7"/>
  <c r="O3176" i="7"/>
  <c r="M3176" i="7"/>
  <c r="O3175" i="7"/>
  <c r="M3175" i="7"/>
  <c r="O3174" i="7"/>
  <c r="M3174" i="7"/>
  <c r="O3173" i="7"/>
  <c r="M3173" i="7"/>
  <c r="O3172" i="7"/>
  <c r="M3172" i="7"/>
  <c r="O3171" i="7"/>
  <c r="M3171" i="7"/>
  <c r="O3170" i="7"/>
  <c r="M3170" i="7"/>
  <c r="O3169" i="7"/>
  <c r="M3169" i="7"/>
  <c r="O3168" i="7"/>
  <c r="M3168" i="7"/>
  <c r="O3167" i="7"/>
  <c r="M3167" i="7"/>
  <c r="O3166" i="7"/>
  <c r="M3166" i="7"/>
  <c r="O3165" i="7"/>
  <c r="M3165" i="7"/>
  <c r="O3164" i="7"/>
  <c r="M3164" i="7"/>
  <c r="O3163" i="7"/>
  <c r="M3163" i="7"/>
  <c r="O3162" i="7"/>
  <c r="M3162" i="7"/>
  <c r="O3161" i="7"/>
  <c r="M3161" i="7"/>
  <c r="O3160" i="7"/>
  <c r="M3160" i="7"/>
  <c r="O3159" i="7"/>
  <c r="M3159" i="7"/>
  <c r="O3158" i="7"/>
  <c r="M3158" i="7"/>
  <c r="O3157" i="7"/>
  <c r="M3157" i="7"/>
  <c r="O3156" i="7"/>
  <c r="M3156" i="7"/>
  <c r="O3155" i="7"/>
  <c r="M3155" i="7"/>
  <c r="O3154" i="7"/>
  <c r="M3154" i="7"/>
  <c r="O3153" i="7"/>
  <c r="M3153" i="7"/>
  <c r="O3152" i="7"/>
  <c r="M3152" i="7"/>
  <c r="O3151" i="7"/>
  <c r="M3151" i="7"/>
  <c r="O3150" i="7"/>
  <c r="M3150" i="7"/>
  <c r="O3149" i="7"/>
  <c r="M3149" i="7"/>
  <c r="O3148" i="7"/>
  <c r="M3148" i="7"/>
  <c r="O3147" i="7"/>
  <c r="M3147" i="7"/>
  <c r="O3146" i="7"/>
  <c r="M3146" i="7"/>
  <c r="O3145" i="7"/>
  <c r="M3145" i="7"/>
  <c r="O3144" i="7"/>
  <c r="M3144" i="7"/>
  <c r="O3143" i="7"/>
  <c r="M3143" i="7"/>
  <c r="O3142" i="7"/>
  <c r="M3142" i="7"/>
  <c r="O3141" i="7"/>
  <c r="M3141" i="7"/>
  <c r="O3140" i="7"/>
  <c r="M3140" i="7"/>
  <c r="O3139" i="7"/>
  <c r="M3139" i="7"/>
  <c r="O3138" i="7"/>
  <c r="M3138" i="7"/>
  <c r="O3133" i="7"/>
  <c r="N3133" i="7"/>
  <c r="M3133" i="7"/>
  <c r="L3133" i="7"/>
  <c r="K3133" i="7"/>
  <c r="J3133" i="7"/>
  <c r="I3133" i="7"/>
  <c r="H3133" i="7"/>
  <c r="G3133" i="7"/>
  <c r="F3133" i="7"/>
  <c r="E3133" i="7"/>
  <c r="D3133" i="7"/>
  <c r="C3133" i="7"/>
  <c r="L3132" i="7"/>
  <c r="K3132" i="7"/>
  <c r="J3132" i="7"/>
  <c r="I3132" i="7"/>
  <c r="H3132" i="7"/>
  <c r="L3131" i="7"/>
  <c r="K3131" i="7"/>
  <c r="J3131" i="7"/>
  <c r="I3131" i="7"/>
  <c r="H3131" i="7"/>
  <c r="L3130" i="7"/>
  <c r="K3130" i="7"/>
  <c r="J3130" i="7"/>
  <c r="I3130" i="7"/>
  <c r="H3130" i="7"/>
  <c r="L3129" i="7"/>
  <c r="K3129" i="7"/>
  <c r="J3129" i="7"/>
  <c r="I3129" i="7"/>
  <c r="H3129" i="7"/>
  <c r="L3128" i="7"/>
  <c r="K3128" i="7"/>
  <c r="J3128" i="7"/>
  <c r="I3128" i="7"/>
  <c r="H3128" i="7"/>
  <c r="L3127" i="7"/>
  <c r="K3127" i="7"/>
  <c r="J3127" i="7"/>
  <c r="I3127" i="7"/>
  <c r="H3127" i="7"/>
  <c r="L3126" i="7"/>
  <c r="K3126" i="7"/>
  <c r="J3126" i="7"/>
  <c r="I3126" i="7"/>
  <c r="H3126" i="7"/>
  <c r="L3125" i="7"/>
  <c r="K3125" i="7"/>
  <c r="J3125" i="7"/>
  <c r="I3125" i="7"/>
  <c r="H3125" i="7"/>
  <c r="L3124" i="7"/>
  <c r="K3124" i="7"/>
  <c r="J3124" i="7"/>
  <c r="I3124" i="7"/>
  <c r="H3124" i="7"/>
  <c r="L3123" i="7"/>
  <c r="K3123" i="7"/>
  <c r="J3123" i="7"/>
  <c r="I3123" i="7"/>
  <c r="H3123" i="7"/>
  <c r="O3122" i="7"/>
  <c r="L3122" i="7"/>
  <c r="K3122" i="7"/>
  <c r="J3122" i="7"/>
  <c r="I3122" i="7"/>
  <c r="H3122" i="7"/>
  <c r="O3121" i="7"/>
  <c r="L3121" i="7"/>
  <c r="K3121" i="7"/>
  <c r="J3121" i="7"/>
  <c r="I3121" i="7"/>
  <c r="H3121" i="7"/>
  <c r="O3120" i="7"/>
  <c r="L3120" i="7"/>
  <c r="K3120" i="7"/>
  <c r="J3120" i="7"/>
  <c r="I3120" i="7"/>
  <c r="H3120" i="7"/>
  <c r="O3119" i="7"/>
  <c r="L3119" i="7"/>
  <c r="K3119" i="7"/>
  <c r="J3119" i="7"/>
  <c r="I3119" i="7"/>
  <c r="H3119" i="7"/>
  <c r="O3118" i="7"/>
  <c r="L3118" i="7"/>
  <c r="K3118" i="7"/>
  <c r="J3118" i="7"/>
  <c r="I3118" i="7"/>
  <c r="H3118" i="7"/>
  <c r="O3117" i="7"/>
  <c r="L3117" i="7"/>
  <c r="K3117" i="7"/>
  <c r="J3117" i="7"/>
  <c r="I3117" i="7"/>
  <c r="H3117" i="7"/>
  <c r="O3116" i="7"/>
  <c r="L3116" i="7"/>
  <c r="K3116" i="7"/>
  <c r="J3116" i="7"/>
  <c r="I3116" i="7"/>
  <c r="H3116" i="7"/>
  <c r="O3115" i="7"/>
  <c r="L3115" i="7"/>
  <c r="K3115" i="7"/>
  <c r="J3115" i="7"/>
  <c r="I3115" i="7"/>
  <c r="H3115" i="7"/>
  <c r="O3114" i="7"/>
  <c r="L3114" i="7"/>
  <c r="K3114" i="7"/>
  <c r="J3114" i="7"/>
  <c r="I3114" i="7"/>
  <c r="H3114" i="7"/>
  <c r="O3113" i="7"/>
  <c r="L3113" i="7"/>
  <c r="K3113" i="7"/>
  <c r="J3113" i="7"/>
  <c r="I3113" i="7"/>
  <c r="H3113" i="7"/>
  <c r="O3112" i="7"/>
  <c r="L3112" i="7"/>
  <c r="K3112" i="7"/>
  <c r="J3112" i="7"/>
  <c r="I3112" i="7"/>
  <c r="H3112" i="7"/>
  <c r="O3111" i="7"/>
  <c r="L3111" i="7"/>
  <c r="K3111" i="7"/>
  <c r="J3111" i="7"/>
  <c r="I3111" i="7"/>
  <c r="H3111" i="7"/>
  <c r="O3110" i="7"/>
  <c r="L3110" i="7"/>
  <c r="K3110" i="7"/>
  <c r="J3110" i="7"/>
  <c r="I3110" i="7"/>
  <c r="H3110" i="7"/>
  <c r="O3109" i="7"/>
  <c r="L3109" i="7"/>
  <c r="K3109" i="7"/>
  <c r="J3109" i="7"/>
  <c r="I3109" i="7"/>
  <c r="H3109" i="7"/>
  <c r="O3108" i="7"/>
  <c r="L3108" i="7"/>
  <c r="K3108" i="7"/>
  <c r="J3108" i="7"/>
  <c r="I3108" i="7"/>
  <c r="H3108" i="7"/>
  <c r="O3107" i="7"/>
  <c r="L3107" i="7"/>
  <c r="K3107" i="7"/>
  <c r="J3107" i="7"/>
  <c r="I3107" i="7"/>
  <c r="H3107" i="7"/>
  <c r="O3106" i="7"/>
  <c r="L3106" i="7"/>
  <c r="K3106" i="7"/>
  <c r="J3106" i="7"/>
  <c r="I3106" i="7"/>
  <c r="H3106" i="7"/>
  <c r="O3105" i="7"/>
  <c r="L3105" i="7"/>
  <c r="K3105" i="7"/>
  <c r="J3105" i="7"/>
  <c r="I3105" i="7"/>
  <c r="H3105" i="7"/>
  <c r="O3104" i="7"/>
  <c r="L3104" i="7"/>
  <c r="K3104" i="7"/>
  <c r="J3104" i="7"/>
  <c r="I3104" i="7"/>
  <c r="H3104" i="7"/>
  <c r="O3103" i="7"/>
  <c r="L3103" i="7"/>
  <c r="K3103" i="7"/>
  <c r="J3103" i="7"/>
  <c r="I3103" i="7"/>
  <c r="H3103" i="7"/>
  <c r="O3102" i="7"/>
  <c r="L3102" i="7"/>
  <c r="K3102" i="7"/>
  <c r="J3102" i="7"/>
  <c r="I3102" i="7"/>
  <c r="H3102" i="7"/>
  <c r="O3101" i="7"/>
  <c r="L3101" i="7"/>
  <c r="K3101" i="7"/>
  <c r="J3101" i="7"/>
  <c r="I3101" i="7"/>
  <c r="H3101" i="7"/>
  <c r="O3100" i="7"/>
  <c r="L3100" i="7"/>
  <c r="K3100" i="7"/>
  <c r="J3100" i="7"/>
  <c r="I3100" i="7"/>
  <c r="H3100" i="7"/>
  <c r="O3099" i="7"/>
  <c r="L3099" i="7"/>
  <c r="K3099" i="7"/>
  <c r="J3099" i="7"/>
  <c r="I3099" i="7"/>
  <c r="H3099" i="7"/>
  <c r="O3098" i="7"/>
  <c r="L3098" i="7"/>
  <c r="K3098" i="7"/>
  <c r="J3098" i="7"/>
  <c r="I3098" i="7"/>
  <c r="H3098" i="7"/>
  <c r="O3097" i="7"/>
  <c r="L3097" i="7"/>
  <c r="K3097" i="7"/>
  <c r="J3097" i="7"/>
  <c r="I3097" i="7"/>
  <c r="H3097" i="7"/>
  <c r="O3096" i="7"/>
  <c r="L3096" i="7"/>
  <c r="K3096" i="7"/>
  <c r="J3096" i="7"/>
  <c r="I3096" i="7"/>
  <c r="H3096" i="7"/>
  <c r="O3095" i="7"/>
  <c r="L3095" i="7"/>
  <c r="K3095" i="7"/>
  <c r="J3095" i="7"/>
  <c r="I3095" i="7"/>
  <c r="H3095" i="7"/>
  <c r="O3094" i="7"/>
  <c r="L3094" i="7"/>
  <c r="K3094" i="7"/>
  <c r="J3094" i="7"/>
  <c r="I3094" i="7"/>
  <c r="H3094" i="7"/>
  <c r="O3093" i="7"/>
  <c r="L3093" i="7"/>
  <c r="K3093" i="7"/>
  <c r="J3093" i="7"/>
  <c r="I3093" i="7"/>
  <c r="H3093" i="7"/>
  <c r="O3092" i="7"/>
  <c r="L3092" i="7"/>
  <c r="K3092" i="7"/>
  <c r="J3092" i="7"/>
  <c r="I3092" i="7"/>
  <c r="H3092" i="7"/>
  <c r="O3091" i="7"/>
  <c r="L3091" i="7"/>
  <c r="K3091" i="7"/>
  <c r="J3091" i="7"/>
  <c r="I3091" i="7"/>
  <c r="H3091" i="7"/>
  <c r="O3090" i="7"/>
  <c r="L3090" i="7"/>
  <c r="K3090" i="7"/>
  <c r="J3090" i="7"/>
  <c r="I3090" i="7"/>
  <c r="H3090" i="7"/>
  <c r="O3089" i="7"/>
  <c r="L3089" i="7"/>
  <c r="K3089" i="7"/>
  <c r="J3089" i="7"/>
  <c r="I3089" i="7"/>
  <c r="H3089" i="7"/>
  <c r="O3088" i="7"/>
  <c r="L3088" i="7"/>
  <c r="K3088" i="7"/>
  <c r="J3088" i="7"/>
  <c r="I3088" i="7"/>
  <c r="H3088" i="7"/>
  <c r="O3087" i="7"/>
  <c r="L3087" i="7"/>
  <c r="K3087" i="7"/>
  <c r="J3087" i="7"/>
  <c r="I3087" i="7"/>
  <c r="H3087" i="7"/>
  <c r="O3086" i="7"/>
  <c r="L3086" i="7"/>
  <c r="K3086" i="7"/>
  <c r="J3086" i="7"/>
  <c r="I3086" i="7"/>
  <c r="H3086" i="7"/>
  <c r="O3085" i="7"/>
  <c r="L3085" i="7"/>
  <c r="K3085" i="7"/>
  <c r="J3085" i="7"/>
  <c r="I3085" i="7"/>
  <c r="H3085" i="7"/>
  <c r="O3084" i="7"/>
  <c r="L3084" i="7"/>
  <c r="K3084" i="7"/>
  <c r="J3084" i="7"/>
  <c r="I3084" i="7"/>
  <c r="H3084" i="7"/>
  <c r="O3083" i="7"/>
  <c r="L3083" i="7"/>
  <c r="K3083" i="7"/>
  <c r="J3083" i="7"/>
  <c r="I3083" i="7"/>
  <c r="H3083" i="7"/>
  <c r="O3082" i="7"/>
  <c r="L3082" i="7"/>
  <c r="K3082" i="7"/>
  <c r="J3082" i="7"/>
  <c r="I3082" i="7"/>
  <c r="H3082" i="7"/>
  <c r="O3081" i="7"/>
  <c r="L3081" i="7"/>
  <c r="K3081" i="7"/>
  <c r="J3081" i="7"/>
  <c r="I3081" i="7"/>
  <c r="H3081" i="7"/>
  <c r="O3080" i="7"/>
  <c r="L3080" i="7"/>
  <c r="K3080" i="7"/>
  <c r="J3080" i="7"/>
  <c r="I3080" i="7"/>
  <c r="H3080" i="7"/>
  <c r="O3079" i="7"/>
  <c r="L3079" i="7"/>
  <c r="K3079" i="7"/>
  <c r="J3079" i="7"/>
  <c r="I3079" i="7"/>
  <c r="H3079" i="7"/>
  <c r="O3078" i="7"/>
  <c r="L3078" i="7"/>
  <c r="K3078" i="7"/>
  <c r="J3078" i="7"/>
  <c r="I3078" i="7"/>
  <c r="H3078" i="7"/>
  <c r="O3077" i="7"/>
  <c r="L3077" i="7"/>
  <c r="K3077" i="7"/>
  <c r="J3077" i="7"/>
  <c r="I3077" i="7"/>
  <c r="H3077" i="7"/>
  <c r="O3076" i="7"/>
  <c r="L3076" i="7"/>
  <c r="K3076" i="7"/>
  <c r="J3076" i="7"/>
  <c r="I3076" i="7"/>
  <c r="H3076" i="7"/>
  <c r="O3075" i="7"/>
  <c r="L3075" i="7"/>
  <c r="K3075" i="7"/>
  <c r="J3075" i="7"/>
  <c r="I3075" i="7"/>
  <c r="H3075" i="7"/>
  <c r="O3074" i="7"/>
  <c r="L3074" i="7"/>
  <c r="K3074" i="7"/>
  <c r="J3074" i="7"/>
  <c r="I3074" i="7"/>
  <c r="H3074" i="7"/>
  <c r="O3073" i="7"/>
  <c r="L3073" i="7"/>
  <c r="K3073" i="7"/>
  <c r="J3073" i="7"/>
  <c r="I3073" i="7"/>
  <c r="H3073" i="7"/>
  <c r="O3072" i="7"/>
  <c r="L3072" i="7"/>
  <c r="K3072" i="7"/>
  <c r="J3072" i="7"/>
  <c r="I3072" i="7"/>
  <c r="H3072" i="7"/>
  <c r="O3071" i="7"/>
  <c r="L3071" i="7"/>
  <c r="K3071" i="7"/>
  <c r="J3071" i="7"/>
  <c r="I3071" i="7"/>
  <c r="H3071" i="7"/>
  <c r="O3070" i="7"/>
  <c r="L3070" i="7"/>
  <c r="K3070" i="7"/>
  <c r="J3070" i="7"/>
  <c r="I3070" i="7"/>
  <c r="H3070" i="7"/>
  <c r="O3069" i="7"/>
  <c r="L3069" i="7"/>
  <c r="K3069" i="7"/>
  <c r="J3069" i="7"/>
  <c r="I3069" i="7"/>
  <c r="H3069" i="7"/>
  <c r="O3068" i="7"/>
  <c r="L3068" i="7"/>
  <c r="K3068" i="7"/>
  <c r="J3068" i="7"/>
  <c r="I3068" i="7"/>
  <c r="H3068" i="7"/>
  <c r="O3067" i="7"/>
  <c r="L3067" i="7"/>
  <c r="K3067" i="7"/>
  <c r="J3067" i="7"/>
  <c r="I3067" i="7"/>
  <c r="H3067" i="7"/>
  <c r="O3066" i="7"/>
  <c r="L3066" i="7"/>
  <c r="K3066" i="7"/>
  <c r="J3066" i="7"/>
  <c r="I3066" i="7"/>
  <c r="H3066" i="7"/>
  <c r="O3065" i="7"/>
  <c r="L3065" i="7"/>
  <c r="K3065" i="7"/>
  <c r="J3065" i="7"/>
  <c r="I3065" i="7"/>
  <c r="H3065" i="7"/>
  <c r="O3064" i="7"/>
  <c r="L3064" i="7"/>
  <c r="K3064" i="7"/>
  <c r="J3064" i="7"/>
  <c r="I3064" i="7"/>
  <c r="H3064" i="7"/>
  <c r="O3063" i="7"/>
  <c r="L3063" i="7"/>
  <c r="K3063" i="7"/>
  <c r="J3063" i="7"/>
  <c r="I3063" i="7"/>
  <c r="H3063" i="7"/>
  <c r="O3062" i="7"/>
  <c r="L3062" i="7"/>
  <c r="K3062" i="7"/>
  <c r="J3062" i="7"/>
  <c r="I3062" i="7"/>
  <c r="H3062" i="7"/>
  <c r="O3061" i="7"/>
  <c r="L3061" i="7"/>
  <c r="K3061" i="7"/>
  <c r="J3061" i="7"/>
  <c r="I3061" i="7"/>
  <c r="H3061" i="7"/>
  <c r="O3060" i="7"/>
  <c r="L3060" i="7"/>
  <c r="K3060" i="7"/>
  <c r="J3060" i="7"/>
  <c r="I3060" i="7"/>
  <c r="H3060" i="7"/>
  <c r="O3059" i="7"/>
  <c r="L3059" i="7"/>
  <c r="K3059" i="7"/>
  <c r="J3059" i="7"/>
  <c r="I3059" i="7"/>
  <c r="H3059" i="7"/>
  <c r="O3058" i="7"/>
  <c r="L3058" i="7"/>
  <c r="K3058" i="7"/>
  <c r="J3058" i="7"/>
  <c r="I3058" i="7"/>
  <c r="H3058" i="7"/>
  <c r="O3057" i="7"/>
  <c r="L3057" i="7"/>
  <c r="K3057" i="7"/>
  <c r="J3057" i="7"/>
  <c r="I3057" i="7"/>
  <c r="H3057" i="7"/>
  <c r="O3056" i="7"/>
  <c r="L3056" i="7"/>
  <c r="K3056" i="7"/>
  <c r="J3056" i="7"/>
  <c r="I3056" i="7"/>
  <c r="H3056" i="7"/>
  <c r="O3055" i="7"/>
  <c r="L3055" i="7"/>
  <c r="K3055" i="7"/>
  <c r="J3055" i="7"/>
  <c r="I3055" i="7"/>
  <c r="H3055" i="7"/>
  <c r="O3054" i="7"/>
  <c r="L3054" i="7"/>
  <c r="K3054" i="7"/>
  <c r="J3054" i="7"/>
  <c r="I3054" i="7"/>
  <c r="H3054" i="7"/>
  <c r="O3053" i="7"/>
  <c r="L3053" i="7"/>
  <c r="K3053" i="7"/>
  <c r="J3053" i="7"/>
  <c r="I3053" i="7"/>
  <c r="H3053" i="7"/>
  <c r="O3052" i="7"/>
  <c r="L3052" i="7"/>
  <c r="K3052" i="7"/>
  <c r="J3052" i="7"/>
  <c r="I3052" i="7"/>
  <c r="H3052" i="7"/>
  <c r="O3051" i="7"/>
  <c r="L3051" i="7"/>
  <c r="K3051" i="7"/>
  <c r="J3051" i="7"/>
  <c r="I3051" i="7"/>
  <c r="H3051" i="7"/>
  <c r="O3050" i="7"/>
  <c r="L3050" i="7"/>
  <c r="K3050" i="7"/>
  <c r="J3050" i="7"/>
  <c r="I3050" i="7"/>
  <c r="H3050" i="7"/>
  <c r="O3049" i="7"/>
  <c r="L3049" i="7"/>
  <c r="K3049" i="7"/>
  <c r="J3049" i="7"/>
  <c r="I3049" i="7"/>
  <c r="H3049" i="7"/>
  <c r="O3048" i="7"/>
  <c r="L3048" i="7"/>
  <c r="K3048" i="7"/>
  <c r="J3048" i="7"/>
  <c r="I3048" i="7"/>
  <c r="H3048" i="7"/>
  <c r="O3047" i="7"/>
  <c r="L3047" i="7"/>
  <c r="K3047" i="7"/>
  <c r="J3047" i="7"/>
  <c r="I3047" i="7"/>
  <c r="H3047" i="7"/>
  <c r="O3046" i="7"/>
  <c r="L3046" i="7"/>
  <c r="K3046" i="7"/>
  <c r="J3046" i="7"/>
  <c r="I3046" i="7"/>
  <c r="H3046" i="7"/>
  <c r="O3045" i="7"/>
  <c r="L3045" i="7"/>
  <c r="K3045" i="7"/>
  <c r="J3045" i="7"/>
  <c r="I3045" i="7"/>
  <c r="H3045" i="7"/>
  <c r="O3044" i="7"/>
  <c r="L3044" i="7"/>
  <c r="K3044" i="7"/>
  <c r="J3044" i="7"/>
  <c r="I3044" i="7"/>
  <c r="H3044" i="7"/>
  <c r="O3043" i="7"/>
  <c r="L3043" i="7"/>
  <c r="K3043" i="7"/>
  <c r="J3043" i="7"/>
  <c r="I3043" i="7"/>
  <c r="H3043" i="7"/>
  <c r="O3042" i="7"/>
  <c r="L3042" i="7"/>
  <c r="K3042" i="7"/>
  <c r="J3042" i="7"/>
  <c r="I3042" i="7"/>
  <c r="H3042" i="7"/>
  <c r="O3041" i="7"/>
  <c r="L3041" i="7"/>
  <c r="K3041" i="7"/>
  <c r="J3041" i="7"/>
  <c r="I3041" i="7"/>
  <c r="H3041" i="7"/>
  <c r="O3040" i="7"/>
  <c r="L3040" i="7"/>
  <c r="K3040" i="7"/>
  <c r="J3040" i="7"/>
  <c r="I3040" i="7"/>
  <c r="H3040" i="7"/>
  <c r="O3039" i="7"/>
  <c r="L3039" i="7"/>
  <c r="K3039" i="7"/>
  <c r="J3039" i="7"/>
  <c r="I3039" i="7"/>
  <c r="H3039" i="7"/>
  <c r="O3038" i="7"/>
  <c r="L3038" i="7"/>
  <c r="K3038" i="7"/>
  <c r="J3038" i="7"/>
  <c r="I3038" i="7"/>
  <c r="H3038" i="7"/>
  <c r="O3037" i="7"/>
  <c r="L3037" i="7"/>
  <c r="K3037" i="7"/>
  <c r="J3037" i="7"/>
  <c r="I3037" i="7"/>
  <c r="H3037" i="7"/>
  <c r="O3036" i="7"/>
  <c r="L3036" i="7"/>
  <c r="K3036" i="7"/>
  <c r="J3036" i="7"/>
  <c r="I3036" i="7"/>
  <c r="H3036" i="7"/>
  <c r="O3035" i="7"/>
  <c r="L3035" i="7"/>
  <c r="K3035" i="7"/>
  <c r="J3035" i="7"/>
  <c r="I3035" i="7"/>
  <c r="H3035" i="7"/>
  <c r="O3034" i="7"/>
  <c r="L3034" i="7"/>
  <c r="K3034" i="7"/>
  <c r="J3034" i="7"/>
  <c r="I3034" i="7"/>
  <c r="H3034" i="7"/>
  <c r="O3033" i="7"/>
  <c r="L3033" i="7"/>
  <c r="K3033" i="7"/>
  <c r="J3033" i="7"/>
  <c r="I3033" i="7"/>
  <c r="H3033" i="7"/>
  <c r="O3032" i="7"/>
  <c r="L3032" i="7"/>
  <c r="K3032" i="7"/>
  <c r="J3032" i="7"/>
  <c r="I3032" i="7"/>
  <c r="H3032" i="7"/>
  <c r="O3031" i="7"/>
  <c r="L3031" i="7"/>
  <c r="K3031" i="7"/>
  <c r="J3031" i="7"/>
  <c r="I3031" i="7"/>
  <c r="H3031" i="7"/>
  <c r="O3030" i="7"/>
  <c r="L3030" i="7"/>
  <c r="K3030" i="7"/>
  <c r="J3030" i="7"/>
  <c r="I3030" i="7"/>
  <c r="H3030" i="7"/>
  <c r="O3029" i="7"/>
  <c r="L3029" i="7"/>
  <c r="K3029" i="7"/>
  <c r="J3029" i="7"/>
  <c r="I3029" i="7"/>
  <c r="H3029" i="7"/>
  <c r="O3028" i="7"/>
  <c r="L3028" i="7"/>
  <c r="K3028" i="7"/>
  <c r="J3028" i="7"/>
  <c r="I3028" i="7"/>
  <c r="H3028" i="7"/>
  <c r="O3027" i="7"/>
  <c r="L3027" i="7"/>
  <c r="K3027" i="7"/>
  <c r="J3027" i="7"/>
  <c r="I3027" i="7"/>
  <c r="H3027" i="7"/>
  <c r="O3026" i="7"/>
  <c r="L3026" i="7"/>
  <c r="K3026" i="7"/>
  <c r="J3026" i="7"/>
  <c r="I3026" i="7"/>
  <c r="H3026" i="7"/>
  <c r="O3025" i="7"/>
  <c r="L3025" i="7"/>
  <c r="K3025" i="7"/>
  <c r="J3025" i="7"/>
  <c r="I3025" i="7"/>
  <c r="H3025" i="7"/>
  <c r="O3024" i="7"/>
  <c r="L3024" i="7"/>
  <c r="K3024" i="7"/>
  <c r="J3024" i="7"/>
  <c r="I3024" i="7"/>
  <c r="H3024" i="7"/>
  <c r="O3019" i="7"/>
  <c r="N3019" i="7"/>
  <c r="M3019" i="7"/>
  <c r="L3019" i="7"/>
  <c r="K3019" i="7"/>
  <c r="J3019" i="7"/>
  <c r="I3019" i="7"/>
  <c r="H3019" i="7"/>
  <c r="G3019" i="7"/>
  <c r="F3019" i="7"/>
  <c r="E3019" i="7"/>
  <c r="D3019" i="7"/>
  <c r="C3019" i="7"/>
  <c r="N3018" i="7"/>
  <c r="M3018" i="7"/>
  <c r="L3018" i="7"/>
  <c r="K3018" i="7"/>
  <c r="J3018" i="7"/>
  <c r="I3018" i="7"/>
  <c r="H3018" i="7"/>
  <c r="E3018" i="7"/>
  <c r="D3018" i="7"/>
  <c r="C3018" i="7"/>
  <c r="N3017" i="7"/>
  <c r="M3017" i="7"/>
  <c r="L3017" i="7"/>
  <c r="K3017" i="7"/>
  <c r="J3017" i="7"/>
  <c r="I3017" i="7"/>
  <c r="H3017" i="7"/>
  <c r="E3017" i="7"/>
  <c r="D3017" i="7"/>
  <c r="C3017" i="7"/>
  <c r="N3016" i="7"/>
  <c r="M3016" i="7"/>
  <c r="L3016" i="7"/>
  <c r="K3016" i="7"/>
  <c r="J3016" i="7"/>
  <c r="I3016" i="7"/>
  <c r="H3016" i="7"/>
  <c r="E3016" i="7"/>
  <c r="D3016" i="7"/>
  <c r="C3016" i="7"/>
  <c r="N3015" i="7"/>
  <c r="M3015" i="7"/>
  <c r="L3015" i="7"/>
  <c r="K3015" i="7"/>
  <c r="J3015" i="7"/>
  <c r="I3015" i="7"/>
  <c r="H3015" i="7"/>
  <c r="E3015" i="7"/>
  <c r="D3015" i="7"/>
  <c r="C3015" i="7"/>
  <c r="N3014" i="7"/>
  <c r="M3014" i="7"/>
  <c r="L3014" i="7"/>
  <c r="K3014" i="7"/>
  <c r="J3014" i="7"/>
  <c r="I3014" i="7"/>
  <c r="H3014" i="7"/>
  <c r="E3014" i="7"/>
  <c r="D3014" i="7"/>
  <c r="C3014" i="7"/>
  <c r="N3013" i="7"/>
  <c r="M3013" i="7"/>
  <c r="L3013" i="7"/>
  <c r="K3013" i="7"/>
  <c r="J3013" i="7"/>
  <c r="I3013" i="7"/>
  <c r="H3013" i="7"/>
  <c r="E3013" i="7"/>
  <c r="D3013" i="7"/>
  <c r="C3013" i="7"/>
  <c r="N3012" i="7"/>
  <c r="M3012" i="7"/>
  <c r="L3012" i="7"/>
  <c r="K3012" i="7"/>
  <c r="J3012" i="7"/>
  <c r="I3012" i="7"/>
  <c r="H3012" i="7"/>
  <c r="E3012" i="7"/>
  <c r="D3012" i="7"/>
  <c r="C3012" i="7"/>
  <c r="N3011" i="7"/>
  <c r="M3011" i="7"/>
  <c r="L3011" i="7"/>
  <c r="K3011" i="7"/>
  <c r="J3011" i="7"/>
  <c r="I3011" i="7"/>
  <c r="H3011" i="7"/>
  <c r="E3011" i="7"/>
  <c r="D3011" i="7"/>
  <c r="C3011" i="7"/>
  <c r="N3010" i="7"/>
  <c r="M3010" i="7"/>
  <c r="L3010" i="7"/>
  <c r="K3010" i="7"/>
  <c r="J3010" i="7"/>
  <c r="I3010" i="7"/>
  <c r="H3010" i="7"/>
  <c r="E3010" i="7"/>
  <c r="D3010" i="7"/>
  <c r="C3010" i="7"/>
  <c r="N3009" i="7"/>
  <c r="M3009" i="7"/>
  <c r="L3009" i="7"/>
  <c r="K3009" i="7"/>
  <c r="J3009" i="7"/>
  <c r="I3009" i="7"/>
  <c r="H3009" i="7"/>
  <c r="E3009" i="7"/>
  <c r="D3009" i="7"/>
  <c r="C3009" i="7"/>
  <c r="O3008" i="7"/>
  <c r="N3008" i="7"/>
  <c r="M3008" i="7"/>
  <c r="L3008" i="7"/>
  <c r="K3008" i="7"/>
  <c r="J3008" i="7"/>
  <c r="I3008" i="7"/>
  <c r="H3008" i="7"/>
  <c r="E3008" i="7"/>
  <c r="D3008" i="7"/>
  <c r="C3008" i="7"/>
  <c r="O3007" i="7"/>
  <c r="N3007" i="7"/>
  <c r="M3007" i="7"/>
  <c r="L3007" i="7"/>
  <c r="K3007" i="7"/>
  <c r="J3007" i="7"/>
  <c r="I3007" i="7"/>
  <c r="H3007" i="7"/>
  <c r="E3007" i="7"/>
  <c r="D3007" i="7"/>
  <c r="C3007" i="7"/>
  <c r="O3006" i="7"/>
  <c r="N3006" i="7"/>
  <c r="M3006" i="7"/>
  <c r="L3006" i="7"/>
  <c r="K3006" i="7"/>
  <c r="J3006" i="7"/>
  <c r="I3006" i="7"/>
  <c r="H3006" i="7"/>
  <c r="E3006" i="7"/>
  <c r="D3006" i="7"/>
  <c r="C3006" i="7"/>
  <c r="O3005" i="7"/>
  <c r="N3005" i="7"/>
  <c r="M3005" i="7"/>
  <c r="L3005" i="7"/>
  <c r="K3005" i="7"/>
  <c r="J3005" i="7"/>
  <c r="I3005" i="7"/>
  <c r="H3005" i="7"/>
  <c r="E3005" i="7"/>
  <c r="D3005" i="7"/>
  <c r="C3005" i="7"/>
  <c r="O3004" i="7"/>
  <c r="N3004" i="7"/>
  <c r="M3004" i="7"/>
  <c r="L3004" i="7"/>
  <c r="K3004" i="7"/>
  <c r="J3004" i="7"/>
  <c r="I3004" i="7"/>
  <c r="H3004" i="7"/>
  <c r="E3004" i="7"/>
  <c r="D3004" i="7"/>
  <c r="C3004" i="7"/>
  <c r="O3003" i="7"/>
  <c r="N3003" i="7"/>
  <c r="M3003" i="7"/>
  <c r="L3003" i="7"/>
  <c r="K3003" i="7"/>
  <c r="J3003" i="7"/>
  <c r="I3003" i="7"/>
  <c r="H3003" i="7"/>
  <c r="E3003" i="7"/>
  <c r="D3003" i="7"/>
  <c r="C3003" i="7"/>
  <c r="O3002" i="7"/>
  <c r="N3002" i="7"/>
  <c r="M3002" i="7"/>
  <c r="L3002" i="7"/>
  <c r="K3002" i="7"/>
  <c r="J3002" i="7"/>
  <c r="I3002" i="7"/>
  <c r="H3002" i="7"/>
  <c r="E3002" i="7"/>
  <c r="D3002" i="7"/>
  <c r="C3002" i="7"/>
  <c r="O3001" i="7"/>
  <c r="N3001" i="7"/>
  <c r="M3001" i="7"/>
  <c r="L3001" i="7"/>
  <c r="K3001" i="7"/>
  <c r="J3001" i="7"/>
  <c r="I3001" i="7"/>
  <c r="H3001" i="7"/>
  <c r="E3001" i="7"/>
  <c r="D3001" i="7"/>
  <c r="C3001" i="7"/>
  <c r="O3000" i="7"/>
  <c r="N3000" i="7"/>
  <c r="M3000" i="7"/>
  <c r="L3000" i="7"/>
  <c r="K3000" i="7"/>
  <c r="J3000" i="7"/>
  <c r="I3000" i="7"/>
  <c r="H3000" i="7"/>
  <c r="E3000" i="7"/>
  <c r="D3000" i="7"/>
  <c r="C3000" i="7"/>
  <c r="O2999" i="7"/>
  <c r="N2999" i="7"/>
  <c r="M2999" i="7"/>
  <c r="L2999" i="7"/>
  <c r="K2999" i="7"/>
  <c r="J2999" i="7"/>
  <c r="I2999" i="7"/>
  <c r="H2999" i="7"/>
  <c r="E2999" i="7"/>
  <c r="D2999" i="7"/>
  <c r="C2999" i="7"/>
  <c r="O2998" i="7"/>
  <c r="N2998" i="7"/>
  <c r="M2998" i="7"/>
  <c r="L2998" i="7"/>
  <c r="K2998" i="7"/>
  <c r="J2998" i="7"/>
  <c r="I2998" i="7"/>
  <c r="H2998" i="7"/>
  <c r="E2998" i="7"/>
  <c r="D2998" i="7"/>
  <c r="C2998" i="7"/>
  <c r="O2997" i="7"/>
  <c r="N2997" i="7"/>
  <c r="M2997" i="7"/>
  <c r="L2997" i="7"/>
  <c r="K2997" i="7"/>
  <c r="J2997" i="7"/>
  <c r="I2997" i="7"/>
  <c r="H2997" i="7"/>
  <c r="E2997" i="7"/>
  <c r="D2997" i="7"/>
  <c r="C2997" i="7"/>
  <c r="O2996" i="7"/>
  <c r="N2996" i="7"/>
  <c r="M2996" i="7"/>
  <c r="L2996" i="7"/>
  <c r="K2996" i="7"/>
  <c r="J2996" i="7"/>
  <c r="I2996" i="7"/>
  <c r="H2996" i="7"/>
  <c r="E2996" i="7"/>
  <c r="D2996" i="7"/>
  <c r="C2996" i="7"/>
  <c r="O2995" i="7"/>
  <c r="N2995" i="7"/>
  <c r="M2995" i="7"/>
  <c r="L2995" i="7"/>
  <c r="K2995" i="7"/>
  <c r="J2995" i="7"/>
  <c r="I2995" i="7"/>
  <c r="H2995" i="7"/>
  <c r="E2995" i="7"/>
  <c r="D2995" i="7"/>
  <c r="C2995" i="7"/>
  <c r="O2994" i="7"/>
  <c r="N2994" i="7"/>
  <c r="M2994" i="7"/>
  <c r="L2994" i="7"/>
  <c r="K2994" i="7"/>
  <c r="J2994" i="7"/>
  <c r="I2994" i="7"/>
  <c r="H2994" i="7"/>
  <c r="E2994" i="7"/>
  <c r="D2994" i="7"/>
  <c r="C2994" i="7"/>
  <c r="O2993" i="7"/>
  <c r="N2993" i="7"/>
  <c r="M2993" i="7"/>
  <c r="L2993" i="7"/>
  <c r="K2993" i="7"/>
  <c r="J2993" i="7"/>
  <c r="I2993" i="7"/>
  <c r="H2993" i="7"/>
  <c r="E2993" i="7"/>
  <c r="D2993" i="7"/>
  <c r="C2993" i="7"/>
  <c r="O2992" i="7"/>
  <c r="N2992" i="7"/>
  <c r="M2992" i="7"/>
  <c r="L2992" i="7"/>
  <c r="K2992" i="7"/>
  <c r="J2992" i="7"/>
  <c r="I2992" i="7"/>
  <c r="H2992" i="7"/>
  <c r="E2992" i="7"/>
  <c r="D2992" i="7"/>
  <c r="C2992" i="7"/>
  <c r="O2991" i="7"/>
  <c r="N2991" i="7"/>
  <c r="M2991" i="7"/>
  <c r="L2991" i="7"/>
  <c r="K2991" i="7"/>
  <c r="J2991" i="7"/>
  <c r="I2991" i="7"/>
  <c r="H2991" i="7"/>
  <c r="E2991" i="7"/>
  <c r="D2991" i="7"/>
  <c r="C2991" i="7"/>
  <c r="O2990" i="7"/>
  <c r="N2990" i="7"/>
  <c r="M2990" i="7"/>
  <c r="L2990" i="7"/>
  <c r="K2990" i="7"/>
  <c r="J2990" i="7"/>
  <c r="I2990" i="7"/>
  <c r="H2990" i="7"/>
  <c r="E2990" i="7"/>
  <c r="D2990" i="7"/>
  <c r="C2990" i="7"/>
  <c r="O2989" i="7"/>
  <c r="N2989" i="7"/>
  <c r="M2989" i="7"/>
  <c r="L2989" i="7"/>
  <c r="K2989" i="7"/>
  <c r="J2989" i="7"/>
  <c r="I2989" i="7"/>
  <c r="H2989" i="7"/>
  <c r="E2989" i="7"/>
  <c r="D2989" i="7"/>
  <c r="C2989" i="7"/>
  <c r="O2988" i="7"/>
  <c r="N2988" i="7"/>
  <c r="M2988" i="7"/>
  <c r="L2988" i="7"/>
  <c r="K2988" i="7"/>
  <c r="J2988" i="7"/>
  <c r="I2988" i="7"/>
  <c r="H2988" i="7"/>
  <c r="E2988" i="7"/>
  <c r="D2988" i="7"/>
  <c r="C2988" i="7"/>
  <c r="O2987" i="7"/>
  <c r="N2987" i="7"/>
  <c r="M2987" i="7"/>
  <c r="L2987" i="7"/>
  <c r="K2987" i="7"/>
  <c r="J2987" i="7"/>
  <c r="I2987" i="7"/>
  <c r="H2987" i="7"/>
  <c r="E2987" i="7"/>
  <c r="D2987" i="7"/>
  <c r="C2987" i="7"/>
  <c r="O2986" i="7"/>
  <c r="N2986" i="7"/>
  <c r="M2986" i="7"/>
  <c r="L2986" i="7"/>
  <c r="K2986" i="7"/>
  <c r="J2986" i="7"/>
  <c r="I2986" i="7"/>
  <c r="H2986" i="7"/>
  <c r="E2986" i="7"/>
  <c r="D2986" i="7"/>
  <c r="C2986" i="7"/>
  <c r="O2985" i="7"/>
  <c r="N2985" i="7"/>
  <c r="M2985" i="7"/>
  <c r="L2985" i="7"/>
  <c r="K2985" i="7"/>
  <c r="J2985" i="7"/>
  <c r="I2985" i="7"/>
  <c r="H2985" i="7"/>
  <c r="E2985" i="7"/>
  <c r="D2985" i="7"/>
  <c r="C2985" i="7"/>
  <c r="O2984" i="7"/>
  <c r="N2984" i="7"/>
  <c r="M2984" i="7"/>
  <c r="L2984" i="7"/>
  <c r="K2984" i="7"/>
  <c r="J2984" i="7"/>
  <c r="I2984" i="7"/>
  <c r="H2984" i="7"/>
  <c r="E2984" i="7"/>
  <c r="D2984" i="7"/>
  <c r="C2984" i="7"/>
  <c r="O2983" i="7"/>
  <c r="N2983" i="7"/>
  <c r="M2983" i="7"/>
  <c r="L2983" i="7"/>
  <c r="K2983" i="7"/>
  <c r="J2983" i="7"/>
  <c r="I2983" i="7"/>
  <c r="H2983" i="7"/>
  <c r="E2983" i="7"/>
  <c r="D2983" i="7"/>
  <c r="C2983" i="7"/>
  <c r="O2982" i="7"/>
  <c r="N2982" i="7"/>
  <c r="M2982" i="7"/>
  <c r="L2982" i="7"/>
  <c r="K2982" i="7"/>
  <c r="J2982" i="7"/>
  <c r="I2982" i="7"/>
  <c r="H2982" i="7"/>
  <c r="E2982" i="7"/>
  <c r="D2982" i="7"/>
  <c r="C2982" i="7"/>
  <c r="O2981" i="7"/>
  <c r="N2981" i="7"/>
  <c r="M2981" i="7"/>
  <c r="L2981" i="7"/>
  <c r="K2981" i="7"/>
  <c r="J2981" i="7"/>
  <c r="I2981" i="7"/>
  <c r="H2981" i="7"/>
  <c r="E2981" i="7"/>
  <c r="D2981" i="7"/>
  <c r="C2981" i="7"/>
  <c r="O2980" i="7"/>
  <c r="N2980" i="7"/>
  <c r="M2980" i="7"/>
  <c r="L2980" i="7"/>
  <c r="K2980" i="7"/>
  <c r="J2980" i="7"/>
  <c r="I2980" i="7"/>
  <c r="H2980" i="7"/>
  <c r="E2980" i="7"/>
  <c r="D2980" i="7"/>
  <c r="C2980" i="7"/>
  <c r="O2979" i="7"/>
  <c r="N2979" i="7"/>
  <c r="M2979" i="7"/>
  <c r="L2979" i="7"/>
  <c r="K2979" i="7"/>
  <c r="J2979" i="7"/>
  <c r="I2979" i="7"/>
  <c r="H2979" i="7"/>
  <c r="E2979" i="7"/>
  <c r="D2979" i="7"/>
  <c r="C2979" i="7"/>
  <c r="O2978" i="7"/>
  <c r="N2978" i="7"/>
  <c r="M2978" i="7"/>
  <c r="L2978" i="7"/>
  <c r="K2978" i="7"/>
  <c r="J2978" i="7"/>
  <c r="I2978" i="7"/>
  <c r="H2978" i="7"/>
  <c r="E2978" i="7"/>
  <c r="D2978" i="7"/>
  <c r="C2978" i="7"/>
  <c r="O2977" i="7"/>
  <c r="N2977" i="7"/>
  <c r="M2977" i="7"/>
  <c r="L2977" i="7"/>
  <c r="K2977" i="7"/>
  <c r="J2977" i="7"/>
  <c r="I2977" i="7"/>
  <c r="H2977" i="7"/>
  <c r="E2977" i="7"/>
  <c r="D2977" i="7"/>
  <c r="C2977" i="7"/>
  <c r="O2976" i="7"/>
  <c r="N2976" i="7"/>
  <c r="M2976" i="7"/>
  <c r="L2976" i="7"/>
  <c r="K2976" i="7"/>
  <c r="J2976" i="7"/>
  <c r="I2976" i="7"/>
  <c r="H2976" i="7"/>
  <c r="E2976" i="7"/>
  <c r="D2976" i="7"/>
  <c r="C2976" i="7"/>
  <c r="O2975" i="7"/>
  <c r="N2975" i="7"/>
  <c r="M2975" i="7"/>
  <c r="L2975" i="7"/>
  <c r="K2975" i="7"/>
  <c r="J2975" i="7"/>
  <c r="I2975" i="7"/>
  <c r="H2975" i="7"/>
  <c r="E2975" i="7"/>
  <c r="D2975" i="7"/>
  <c r="C2975" i="7"/>
  <c r="O2974" i="7"/>
  <c r="N2974" i="7"/>
  <c r="M2974" i="7"/>
  <c r="L2974" i="7"/>
  <c r="K2974" i="7"/>
  <c r="J2974" i="7"/>
  <c r="I2974" i="7"/>
  <c r="H2974" i="7"/>
  <c r="E2974" i="7"/>
  <c r="D2974" i="7"/>
  <c r="C2974" i="7"/>
  <c r="O2973" i="7"/>
  <c r="N2973" i="7"/>
  <c r="M2973" i="7"/>
  <c r="L2973" i="7"/>
  <c r="K2973" i="7"/>
  <c r="J2973" i="7"/>
  <c r="I2973" i="7"/>
  <c r="H2973" i="7"/>
  <c r="E2973" i="7"/>
  <c r="D2973" i="7"/>
  <c r="C2973" i="7"/>
  <c r="O2972" i="7"/>
  <c r="N2972" i="7"/>
  <c r="M2972" i="7"/>
  <c r="L2972" i="7"/>
  <c r="K2972" i="7"/>
  <c r="J2972" i="7"/>
  <c r="I2972" i="7"/>
  <c r="H2972" i="7"/>
  <c r="E2972" i="7"/>
  <c r="D2972" i="7"/>
  <c r="C2972" i="7"/>
  <c r="O2971" i="7"/>
  <c r="N2971" i="7"/>
  <c r="M2971" i="7"/>
  <c r="L2971" i="7"/>
  <c r="K2971" i="7"/>
  <c r="J2971" i="7"/>
  <c r="I2971" i="7"/>
  <c r="H2971" i="7"/>
  <c r="E2971" i="7"/>
  <c r="D2971" i="7"/>
  <c r="C2971" i="7"/>
  <c r="O2970" i="7"/>
  <c r="N2970" i="7"/>
  <c r="M2970" i="7"/>
  <c r="L2970" i="7"/>
  <c r="K2970" i="7"/>
  <c r="J2970" i="7"/>
  <c r="I2970" i="7"/>
  <c r="H2970" i="7"/>
  <c r="E2970" i="7"/>
  <c r="D2970" i="7"/>
  <c r="C2970" i="7"/>
  <c r="O2969" i="7"/>
  <c r="N2969" i="7"/>
  <c r="M2969" i="7"/>
  <c r="L2969" i="7"/>
  <c r="K2969" i="7"/>
  <c r="J2969" i="7"/>
  <c r="I2969" i="7"/>
  <c r="H2969" i="7"/>
  <c r="E2969" i="7"/>
  <c r="D2969" i="7"/>
  <c r="C2969" i="7"/>
  <c r="O2968" i="7"/>
  <c r="N2968" i="7"/>
  <c r="M2968" i="7"/>
  <c r="L2968" i="7"/>
  <c r="K2968" i="7"/>
  <c r="J2968" i="7"/>
  <c r="I2968" i="7"/>
  <c r="H2968" i="7"/>
  <c r="E2968" i="7"/>
  <c r="D2968" i="7"/>
  <c r="C2968" i="7"/>
  <c r="O2967" i="7"/>
  <c r="N2967" i="7"/>
  <c r="M2967" i="7"/>
  <c r="L2967" i="7"/>
  <c r="K2967" i="7"/>
  <c r="J2967" i="7"/>
  <c r="I2967" i="7"/>
  <c r="H2967" i="7"/>
  <c r="E2967" i="7"/>
  <c r="D2967" i="7"/>
  <c r="C2967" i="7"/>
  <c r="O2966" i="7"/>
  <c r="N2966" i="7"/>
  <c r="M2966" i="7"/>
  <c r="L2966" i="7"/>
  <c r="K2966" i="7"/>
  <c r="J2966" i="7"/>
  <c r="I2966" i="7"/>
  <c r="H2966" i="7"/>
  <c r="E2966" i="7"/>
  <c r="D2966" i="7"/>
  <c r="C2966" i="7"/>
  <c r="O2965" i="7"/>
  <c r="N2965" i="7"/>
  <c r="M2965" i="7"/>
  <c r="L2965" i="7"/>
  <c r="K2965" i="7"/>
  <c r="J2965" i="7"/>
  <c r="I2965" i="7"/>
  <c r="H2965" i="7"/>
  <c r="E2965" i="7"/>
  <c r="D2965" i="7"/>
  <c r="C2965" i="7"/>
  <c r="O2964" i="7"/>
  <c r="N2964" i="7"/>
  <c r="M2964" i="7"/>
  <c r="L2964" i="7"/>
  <c r="K2964" i="7"/>
  <c r="J2964" i="7"/>
  <c r="I2964" i="7"/>
  <c r="H2964" i="7"/>
  <c r="E2964" i="7"/>
  <c r="D2964" i="7"/>
  <c r="C2964" i="7"/>
  <c r="O2963" i="7"/>
  <c r="N2963" i="7"/>
  <c r="M2963" i="7"/>
  <c r="L2963" i="7"/>
  <c r="K2963" i="7"/>
  <c r="J2963" i="7"/>
  <c r="I2963" i="7"/>
  <c r="H2963" i="7"/>
  <c r="E2963" i="7"/>
  <c r="D2963" i="7"/>
  <c r="C2963" i="7"/>
  <c r="O2962" i="7"/>
  <c r="N2962" i="7"/>
  <c r="M2962" i="7"/>
  <c r="L2962" i="7"/>
  <c r="K2962" i="7"/>
  <c r="J2962" i="7"/>
  <c r="I2962" i="7"/>
  <c r="H2962" i="7"/>
  <c r="E2962" i="7"/>
  <c r="D2962" i="7"/>
  <c r="C2962" i="7"/>
  <c r="O2961" i="7"/>
  <c r="N2961" i="7"/>
  <c r="M2961" i="7"/>
  <c r="L2961" i="7"/>
  <c r="K2961" i="7"/>
  <c r="J2961" i="7"/>
  <c r="I2961" i="7"/>
  <c r="H2961" i="7"/>
  <c r="E2961" i="7"/>
  <c r="D2961" i="7"/>
  <c r="C2961" i="7"/>
  <c r="O2960" i="7"/>
  <c r="N2960" i="7"/>
  <c r="M2960" i="7"/>
  <c r="L2960" i="7"/>
  <c r="K2960" i="7"/>
  <c r="J2960" i="7"/>
  <c r="I2960" i="7"/>
  <c r="H2960" i="7"/>
  <c r="E2960" i="7"/>
  <c r="D2960" i="7"/>
  <c r="C2960" i="7"/>
  <c r="O2959" i="7"/>
  <c r="N2959" i="7"/>
  <c r="M2959" i="7"/>
  <c r="L2959" i="7"/>
  <c r="K2959" i="7"/>
  <c r="J2959" i="7"/>
  <c r="I2959" i="7"/>
  <c r="H2959" i="7"/>
  <c r="E2959" i="7"/>
  <c r="D2959" i="7"/>
  <c r="C2959" i="7"/>
  <c r="O2958" i="7"/>
  <c r="N2958" i="7"/>
  <c r="M2958" i="7"/>
  <c r="L2958" i="7"/>
  <c r="K2958" i="7"/>
  <c r="J2958" i="7"/>
  <c r="I2958" i="7"/>
  <c r="H2958" i="7"/>
  <c r="E2958" i="7"/>
  <c r="D2958" i="7"/>
  <c r="C2958" i="7"/>
  <c r="O2957" i="7"/>
  <c r="N2957" i="7"/>
  <c r="M2957" i="7"/>
  <c r="L2957" i="7"/>
  <c r="K2957" i="7"/>
  <c r="J2957" i="7"/>
  <c r="I2957" i="7"/>
  <c r="H2957" i="7"/>
  <c r="E2957" i="7"/>
  <c r="D2957" i="7"/>
  <c r="C2957" i="7"/>
  <c r="O2956" i="7"/>
  <c r="N2956" i="7"/>
  <c r="M2956" i="7"/>
  <c r="L2956" i="7"/>
  <c r="K2956" i="7"/>
  <c r="J2956" i="7"/>
  <c r="I2956" i="7"/>
  <c r="H2956" i="7"/>
  <c r="E2956" i="7"/>
  <c r="D2956" i="7"/>
  <c r="C2956" i="7"/>
  <c r="O2955" i="7"/>
  <c r="N2955" i="7"/>
  <c r="M2955" i="7"/>
  <c r="L2955" i="7"/>
  <c r="K2955" i="7"/>
  <c r="J2955" i="7"/>
  <c r="I2955" i="7"/>
  <c r="H2955" i="7"/>
  <c r="E2955" i="7"/>
  <c r="D2955" i="7"/>
  <c r="C2955" i="7"/>
  <c r="O2954" i="7"/>
  <c r="N2954" i="7"/>
  <c r="M2954" i="7"/>
  <c r="L2954" i="7"/>
  <c r="K2954" i="7"/>
  <c r="J2954" i="7"/>
  <c r="I2954" i="7"/>
  <c r="H2954" i="7"/>
  <c r="E2954" i="7"/>
  <c r="D2954" i="7"/>
  <c r="C2954" i="7"/>
  <c r="O2953" i="7"/>
  <c r="N2953" i="7"/>
  <c r="M2953" i="7"/>
  <c r="L2953" i="7"/>
  <c r="K2953" i="7"/>
  <c r="J2953" i="7"/>
  <c r="I2953" i="7"/>
  <c r="H2953" i="7"/>
  <c r="E2953" i="7"/>
  <c r="D2953" i="7"/>
  <c r="C2953" i="7"/>
  <c r="O2952" i="7"/>
  <c r="N2952" i="7"/>
  <c r="M2952" i="7"/>
  <c r="L2952" i="7"/>
  <c r="K2952" i="7"/>
  <c r="J2952" i="7"/>
  <c r="I2952" i="7"/>
  <c r="H2952" i="7"/>
  <c r="E2952" i="7"/>
  <c r="D2952" i="7"/>
  <c r="C2952" i="7"/>
  <c r="O2951" i="7"/>
  <c r="N2951" i="7"/>
  <c r="M2951" i="7"/>
  <c r="L2951" i="7"/>
  <c r="K2951" i="7"/>
  <c r="J2951" i="7"/>
  <c r="I2951" i="7"/>
  <c r="H2951" i="7"/>
  <c r="E2951" i="7"/>
  <c r="D2951" i="7"/>
  <c r="C2951" i="7"/>
  <c r="O2950" i="7"/>
  <c r="N2950" i="7"/>
  <c r="M2950" i="7"/>
  <c r="L2950" i="7"/>
  <c r="K2950" i="7"/>
  <c r="J2950" i="7"/>
  <c r="I2950" i="7"/>
  <c r="H2950" i="7"/>
  <c r="E2950" i="7"/>
  <c r="D2950" i="7"/>
  <c r="C2950" i="7"/>
  <c r="O2949" i="7"/>
  <c r="N2949" i="7"/>
  <c r="M2949" i="7"/>
  <c r="L2949" i="7"/>
  <c r="K2949" i="7"/>
  <c r="J2949" i="7"/>
  <c r="I2949" i="7"/>
  <c r="H2949" i="7"/>
  <c r="E2949" i="7"/>
  <c r="D2949" i="7"/>
  <c r="C2949" i="7"/>
  <c r="O2948" i="7"/>
  <c r="N2948" i="7"/>
  <c r="M2948" i="7"/>
  <c r="L2948" i="7"/>
  <c r="K2948" i="7"/>
  <c r="J2948" i="7"/>
  <c r="I2948" i="7"/>
  <c r="H2948" i="7"/>
  <c r="E2948" i="7"/>
  <c r="D2948" i="7"/>
  <c r="C2948" i="7"/>
  <c r="O2947" i="7"/>
  <c r="N2947" i="7"/>
  <c r="M2947" i="7"/>
  <c r="L2947" i="7"/>
  <c r="K2947" i="7"/>
  <c r="J2947" i="7"/>
  <c r="I2947" i="7"/>
  <c r="H2947" i="7"/>
  <c r="E2947" i="7"/>
  <c r="D2947" i="7"/>
  <c r="C2947" i="7"/>
  <c r="O2946" i="7"/>
  <c r="N2946" i="7"/>
  <c r="M2946" i="7"/>
  <c r="L2946" i="7"/>
  <c r="K2946" i="7"/>
  <c r="J2946" i="7"/>
  <c r="I2946" i="7"/>
  <c r="H2946" i="7"/>
  <c r="E2946" i="7"/>
  <c r="D2946" i="7"/>
  <c r="C2946" i="7"/>
  <c r="O2945" i="7"/>
  <c r="N2945" i="7"/>
  <c r="M2945" i="7"/>
  <c r="L2945" i="7"/>
  <c r="K2945" i="7"/>
  <c r="J2945" i="7"/>
  <c r="I2945" i="7"/>
  <c r="H2945" i="7"/>
  <c r="E2945" i="7"/>
  <c r="D2945" i="7"/>
  <c r="C2945" i="7"/>
  <c r="O2944" i="7"/>
  <c r="N2944" i="7"/>
  <c r="M2944" i="7"/>
  <c r="L2944" i="7"/>
  <c r="K2944" i="7"/>
  <c r="J2944" i="7"/>
  <c r="I2944" i="7"/>
  <c r="H2944" i="7"/>
  <c r="E2944" i="7"/>
  <c r="D2944" i="7"/>
  <c r="C2944" i="7"/>
  <c r="O2943" i="7"/>
  <c r="N2943" i="7"/>
  <c r="M2943" i="7"/>
  <c r="L2943" i="7"/>
  <c r="K2943" i="7"/>
  <c r="J2943" i="7"/>
  <c r="I2943" i="7"/>
  <c r="H2943" i="7"/>
  <c r="E2943" i="7"/>
  <c r="D2943" i="7"/>
  <c r="C2943" i="7"/>
  <c r="O2942" i="7"/>
  <c r="N2942" i="7"/>
  <c r="M2942" i="7"/>
  <c r="L2942" i="7"/>
  <c r="K2942" i="7"/>
  <c r="J2942" i="7"/>
  <c r="I2942" i="7"/>
  <c r="H2942" i="7"/>
  <c r="E2942" i="7"/>
  <c r="D2942" i="7"/>
  <c r="C2942" i="7"/>
  <c r="O2941" i="7"/>
  <c r="N2941" i="7"/>
  <c r="M2941" i="7"/>
  <c r="L2941" i="7"/>
  <c r="K2941" i="7"/>
  <c r="J2941" i="7"/>
  <c r="I2941" i="7"/>
  <c r="H2941" i="7"/>
  <c r="E2941" i="7"/>
  <c r="D2941" i="7"/>
  <c r="C2941" i="7"/>
  <c r="O2940" i="7"/>
  <c r="N2940" i="7"/>
  <c r="M2940" i="7"/>
  <c r="L2940" i="7"/>
  <c r="K2940" i="7"/>
  <c r="J2940" i="7"/>
  <c r="I2940" i="7"/>
  <c r="H2940" i="7"/>
  <c r="E2940" i="7"/>
  <c r="D2940" i="7"/>
  <c r="C2940" i="7"/>
  <c r="O2939" i="7"/>
  <c r="N2939" i="7"/>
  <c r="M2939" i="7"/>
  <c r="L2939" i="7"/>
  <c r="K2939" i="7"/>
  <c r="J2939" i="7"/>
  <c r="I2939" i="7"/>
  <c r="H2939" i="7"/>
  <c r="E2939" i="7"/>
  <c r="D2939" i="7"/>
  <c r="C2939" i="7"/>
  <c r="O2938" i="7"/>
  <c r="N2938" i="7"/>
  <c r="M2938" i="7"/>
  <c r="L2938" i="7"/>
  <c r="K2938" i="7"/>
  <c r="J2938" i="7"/>
  <c r="I2938" i="7"/>
  <c r="H2938" i="7"/>
  <c r="E2938" i="7"/>
  <c r="D2938" i="7"/>
  <c r="C2938" i="7"/>
  <c r="O2937" i="7"/>
  <c r="N2937" i="7"/>
  <c r="M2937" i="7"/>
  <c r="L2937" i="7"/>
  <c r="K2937" i="7"/>
  <c r="J2937" i="7"/>
  <c r="I2937" i="7"/>
  <c r="H2937" i="7"/>
  <c r="E2937" i="7"/>
  <c r="D2937" i="7"/>
  <c r="C2937" i="7"/>
  <c r="O2936" i="7"/>
  <c r="N2936" i="7"/>
  <c r="M2936" i="7"/>
  <c r="L2936" i="7"/>
  <c r="K2936" i="7"/>
  <c r="J2936" i="7"/>
  <c r="I2936" i="7"/>
  <c r="H2936" i="7"/>
  <c r="E2936" i="7"/>
  <c r="D2936" i="7"/>
  <c r="C2936" i="7"/>
  <c r="O2935" i="7"/>
  <c r="N2935" i="7"/>
  <c r="M2935" i="7"/>
  <c r="L2935" i="7"/>
  <c r="K2935" i="7"/>
  <c r="J2935" i="7"/>
  <c r="I2935" i="7"/>
  <c r="H2935" i="7"/>
  <c r="E2935" i="7"/>
  <c r="D2935" i="7"/>
  <c r="C2935" i="7"/>
  <c r="O2934" i="7"/>
  <c r="N2934" i="7"/>
  <c r="M2934" i="7"/>
  <c r="L2934" i="7"/>
  <c r="K2934" i="7"/>
  <c r="J2934" i="7"/>
  <c r="I2934" i="7"/>
  <c r="H2934" i="7"/>
  <c r="E2934" i="7"/>
  <c r="D2934" i="7"/>
  <c r="C2934" i="7"/>
  <c r="O2933" i="7"/>
  <c r="N2933" i="7"/>
  <c r="M2933" i="7"/>
  <c r="L2933" i="7"/>
  <c r="K2933" i="7"/>
  <c r="J2933" i="7"/>
  <c r="I2933" i="7"/>
  <c r="H2933" i="7"/>
  <c r="E2933" i="7"/>
  <c r="D2933" i="7"/>
  <c r="C2933" i="7"/>
  <c r="O2932" i="7"/>
  <c r="N2932" i="7"/>
  <c r="M2932" i="7"/>
  <c r="L2932" i="7"/>
  <c r="K2932" i="7"/>
  <c r="J2932" i="7"/>
  <c r="I2932" i="7"/>
  <c r="H2932" i="7"/>
  <c r="E2932" i="7"/>
  <c r="D2932" i="7"/>
  <c r="C2932" i="7"/>
  <c r="O2931" i="7"/>
  <c r="N2931" i="7"/>
  <c r="M2931" i="7"/>
  <c r="L2931" i="7"/>
  <c r="K2931" i="7"/>
  <c r="J2931" i="7"/>
  <c r="I2931" i="7"/>
  <c r="H2931" i="7"/>
  <c r="E2931" i="7"/>
  <c r="D2931" i="7"/>
  <c r="C2931" i="7"/>
  <c r="O2930" i="7"/>
  <c r="N2930" i="7"/>
  <c r="M2930" i="7"/>
  <c r="L2930" i="7"/>
  <c r="K2930" i="7"/>
  <c r="J2930" i="7"/>
  <c r="I2930" i="7"/>
  <c r="H2930" i="7"/>
  <c r="E2930" i="7"/>
  <c r="D2930" i="7"/>
  <c r="C2930" i="7"/>
  <c r="O2929" i="7"/>
  <c r="N2929" i="7"/>
  <c r="M2929" i="7"/>
  <c r="L2929" i="7"/>
  <c r="K2929" i="7"/>
  <c r="J2929" i="7"/>
  <c r="I2929" i="7"/>
  <c r="H2929" i="7"/>
  <c r="E2929" i="7"/>
  <c r="D2929" i="7"/>
  <c r="C2929" i="7"/>
  <c r="O2928" i="7"/>
  <c r="N2928" i="7"/>
  <c r="M2928" i="7"/>
  <c r="L2928" i="7"/>
  <c r="K2928" i="7"/>
  <c r="J2928" i="7"/>
  <c r="I2928" i="7"/>
  <c r="H2928" i="7"/>
  <c r="E2928" i="7"/>
  <c r="D2928" i="7"/>
  <c r="C2928" i="7"/>
  <c r="O2927" i="7"/>
  <c r="N2927" i="7"/>
  <c r="M2927" i="7"/>
  <c r="L2927" i="7"/>
  <c r="K2927" i="7"/>
  <c r="J2927" i="7"/>
  <c r="I2927" i="7"/>
  <c r="H2927" i="7"/>
  <c r="E2927" i="7"/>
  <c r="D2927" i="7"/>
  <c r="C2927" i="7"/>
  <c r="O2926" i="7"/>
  <c r="N2926" i="7"/>
  <c r="M2926" i="7"/>
  <c r="L2926" i="7"/>
  <c r="K2926" i="7"/>
  <c r="J2926" i="7"/>
  <c r="I2926" i="7"/>
  <c r="H2926" i="7"/>
  <c r="E2926" i="7"/>
  <c r="D2926" i="7"/>
  <c r="C2926" i="7"/>
  <c r="O2925" i="7"/>
  <c r="N2925" i="7"/>
  <c r="M2925" i="7"/>
  <c r="L2925" i="7"/>
  <c r="K2925" i="7"/>
  <c r="J2925" i="7"/>
  <c r="I2925" i="7"/>
  <c r="H2925" i="7"/>
  <c r="E2925" i="7"/>
  <c r="D2925" i="7"/>
  <c r="C2925" i="7"/>
  <c r="O2924" i="7"/>
  <c r="N2924" i="7"/>
  <c r="M2924" i="7"/>
  <c r="L2924" i="7"/>
  <c r="K2924" i="7"/>
  <c r="J2924" i="7"/>
  <c r="I2924" i="7"/>
  <c r="H2924" i="7"/>
  <c r="E2924" i="7"/>
  <c r="D2924" i="7"/>
  <c r="C2924" i="7"/>
  <c r="O2923" i="7"/>
  <c r="N2923" i="7"/>
  <c r="M2923" i="7"/>
  <c r="L2923" i="7"/>
  <c r="K2923" i="7"/>
  <c r="J2923" i="7"/>
  <c r="I2923" i="7"/>
  <c r="H2923" i="7"/>
  <c r="E2923" i="7"/>
  <c r="D2923" i="7"/>
  <c r="C2923" i="7"/>
  <c r="O2922" i="7"/>
  <c r="N2922" i="7"/>
  <c r="M2922" i="7"/>
  <c r="L2922" i="7"/>
  <c r="K2922" i="7"/>
  <c r="J2922" i="7"/>
  <c r="I2922" i="7"/>
  <c r="H2922" i="7"/>
  <c r="E2922" i="7"/>
  <c r="D2922" i="7"/>
  <c r="C2922" i="7"/>
  <c r="O2921" i="7"/>
  <c r="N2921" i="7"/>
  <c r="M2921" i="7"/>
  <c r="L2921" i="7"/>
  <c r="K2921" i="7"/>
  <c r="J2921" i="7"/>
  <c r="I2921" i="7"/>
  <c r="H2921" i="7"/>
  <c r="E2921" i="7"/>
  <c r="D2921" i="7"/>
  <c r="C2921" i="7"/>
  <c r="O2920" i="7"/>
  <c r="N2920" i="7"/>
  <c r="M2920" i="7"/>
  <c r="L2920" i="7"/>
  <c r="K2920" i="7"/>
  <c r="J2920" i="7"/>
  <c r="I2920" i="7"/>
  <c r="H2920" i="7"/>
  <c r="E2920" i="7"/>
  <c r="D2920" i="7"/>
  <c r="C2920" i="7"/>
  <c r="O2919" i="7"/>
  <c r="N2919" i="7"/>
  <c r="M2919" i="7"/>
  <c r="L2919" i="7"/>
  <c r="K2919" i="7"/>
  <c r="J2919" i="7"/>
  <c r="I2919" i="7"/>
  <c r="H2919" i="7"/>
  <c r="E2919" i="7"/>
  <c r="D2919" i="7"/>
  <c r="C2919" i="7"/>
  <c r="O2918" i="7"/>
  <c r="N2918" i="7"/>
  <c r="M2918" i="7"/>
  <c r="L2918" i="7"/>
  <c r="K2918" i="7"/>
  <c r="J2918" i="7"/>
  <c r="I2918" i="7"/>
  <c r="H2918" i="7"/>
  <c r="E2918" i="7"/>
  <c r="D2918" i="7"/>
  <c r="C2918" i="7"/>
  <c r="O2917" i="7"/>
  <c r="N2917" i="7"/>
  <c r="M2917" i="7"/>
  <c r="L2917" i="7"/>
  <c r="K2917" i="7"/>
  <c r="J2917" i="7"/>
  <c r="I2917" i="7"/>
  <c r="H2917" i="7"/>
  <c r="E2917" i="7"/>
  <c r="D2917" i="7"/>
  <c r="C2917" i="7"/>
  <c r="O2916" i="7"/>
  <c r="N2916" i="7"/>
  <c r="M2916" i="7"/>
  <c r="L2916" i="7"/>
  <c r="K2916" i="7"/>
  <c r="J2916" i="7"/>
  <c r="I2916" i="7"/>
  <c r="H2916" i="7"/>
  <c r="E2916" i="7"/>
  <c r="D2916" i="7"/>
  <c r="C2916" i="7"/>
  <c r="O2915" i="7"/>
  <c r="N2915" i="7"/>
  <c r="M2915" i="7"/>
  <c r="L2915" i="7"/>
  <c r="K2915" i="7"/>
  <c r="J2915" i="7"/>
  <c r="I2915" i="7"/>
  <c r="H2915" i="7"/>
  <c r="E2915" i="7"/>
  <c r="D2915" i="7"/>
  <c r="C2915" i="7"/>
  <c r="O2914" i="7"/>
  <c r="N2914" i="7"/>
  <c r="M2914" i="7"/>
  <c r="L2914" i="7"/>
  <c r="K2914" i="7"/>
  <c r="J2914" i="7"/>
  <c r="I2914" i="7"/>
  <c r="H2914" i="7"/>
  <c r="E2914" i="7"/>
  <c r="D2914" i="7"/>
  <c r="C2914" i="7"/>
  <c r="O2913" i="7"/>
  <c r="N2913" i="7"/>
  <c r="M2913" i="7"/>
  <c r="L2913" i="7"/>
  <c r="K2913" i="7"/>
  <c r="J2913" i="7"/>
  <c r="I2913" i="7"/>
  <c r="H2913" i="7"/>
  <c r="E2913" i="7"/>
  <c r="D2913" i="7"/>
  <c r="C2913" i="7"/>
  <c r="O2912" i="7"/>
  <c r="N2912" i="7"/>
  <c r="M2912" i="7"/>
  <c r="L2912" i="7"/>
  <c r="K2912" i="7"/>
  <c r="J2912" i="7"/>
  <c r="I2912" i="7"/>
  <c r="H2912" i="7"/>
  <c r="E2912" i="7"/>
  <c r="D2912" i="7"/>
  <c r="C2912" i="7"/>
  <c r="O2911" i="7"/>
  <c r="N2911" i="7"/>
  <c r="M2911" i="7"/>
  <c r="L2911" i="7"/>
  <c r="K2911" i="7"/>
  <c r="J2911" i="7"/>
  <c r="I2911" i="7"/>
  <c r="H2911" i="7"/>
  <c r="E2911" i="7"/>
  <c r="D2911" i="7"/>
  <c r="C2911" i="7"/>
  <c r="O2910" i="7"/>
  <c r="N2910" i="7"/>
  <c r="M2910" i="7"/>
  <c r="L2910" i="7"/>
  <c r="K2910" i="7"/>
  <c r="J2910" i="7"/>
  <c r="I2910" i="7"/>
  <c r="H2910" i="7"/>
  <c r="E2910" i="7"/>
  <c r="D2910" i="7"/>
  <c r="C2910" i="7"/>
  <c r="O2905" i="7"/>
  <c r="N2905" i="7"/>
  <c r="M2905" i="7"/>
  <c r="L2905" i="7"/>
  <c r="K2905" i="7"/>
  <c r="J2905" i="7"/>
  <c r="I2905" i="7"/>
  <c r="H2905" i="7"/>
  <c r="G2905" i="7"/>
  <c r="F2905" i="7"/>
  <c r="E2905" i="7"/>
  <c r="D2905" i="7"/>
  <c r="C2905" i="7"/>
  <c r="O2904" i="7"/>
  <c r="N2904" i="7"/>
  <c r="M2904" i="7"/>
  <c r="L2904" i="7"/>
  <c r="K2904" i="7"/>
  <c r="J2904" i="7"/>
  <c r="I2904" i="7"/>
  <c r="G2904" i="7"/>
  <c r="F2904" i="7"/>
  <c r="E2904" i="7"/>
  <c r="D2904" i="7"/>
  <c r="C2904" i="7"/>
  <c r="O2903" i="7"/>
  <c r="N2903" i="7"/>
  <c r="M2903" i="7"/>
  <c r="L2903" i="7"/>
  <c r="K2903" i="7"/>
  <c r="J2903" i="7"/>
  <c r="I2903" i="7"/>
  <c r="H2903" i="7"/>
  <c r="G2903" i="7"/>
  <c r="F2903" i="7"/>
  <c r="E2903" i="7"/>
  <c r="D2903" i="7"/>
  <c r="C2903" i="7"/>
  <c r="O2902" i="7"/>
  <c r="N2902" i="7"/>
  <c r="M2902" i="7"/>
  <c r="L2902" i="7"/>
  <c r="K2902" i="7"/>
  <c r="J2902" i="7"/>
  <c r="I2902" i="7"/>
  <c r="H2902" i="7"/>
  <c r="G2902" i="7"/>
  <c r="F2902" i="7"/>
  <c r="E2902" i="7"/>
  <c r="D2902" i="7"/>
  <c r="C2902" i="7"/>
  <c r="O2901" i="7"/>
  <c r="N2901" i="7"/>
  <c r="M2901" i="7"/>
  <c r="L2901" i="7"/>
  <c r="K2901" i="7"/>
  <c r="J2901" i="7"/>
  <c r="I2901" i="7"/>
  <c r="H2901" i="7"/>
  <c r="G2901" i="7"/>
  <c r="F2901" i="7"/>
  <c r="E2901" i="7"/>
  <c r="D2901" i="7"/>
  <c r="C2901" i="7"/>
  <c r="O2900" i="7"/>
  <c r="N2900" i="7"/>
  <c r="M2900" i="7"/>
  <c r="L2900" i="7"/>
  <c r="K2900" i="7"/>
  <c r="J2900" i="7"/>
  <c r="I2900" i="7"/>
  <c r="H2900" i="7"/>
  <c r="G2900" i="7"/>
  <c r="F2900" i="7"/>
  <c r="E2900" i="7"/>
  <c r="D2900" i="7"/>
  <c r="C2900" i="7"/>
  <c r="O2899" i="7"/>
  <c r="N2899" i="7"/>
  <c r="M2899" i="7"/>
  <c r="L2899" i="7"/>
  <c r="K2899" i="7"/>
  <c r="J2899" i="7"/>
  <c r="I2899" i="7"/>
  <c r="H2899" i="7"/>
  <c r="G2899" i="7"/>
  <c r="F2899" i="7"/>
  <c r="E2899" i="7"/>
  <c r="D2899" i="7"/>
  <c r="C2899" i="7"/>
  <c r="O2898" i="7"/>
  <c r="N2898" i="7"/>
  <c r="M2898" i="7"/>
  <c r="L2898" i="7"/>
  <c r="K2898" i="7"/>
  <c r="J2898" i="7"/>
  <c r="I2898" i="7"/>
  <c r="H2898" i="7"/>
  <c r="G2898" i="7"/>
  <c r="F2898" i="7"/>
  <c r="E2898" i="7"/>
  <c r="D2898" i="7"/>
  <c r="C2898" i="7"/>
  <c r="O2897" i="7"/>
  <c r="N2897" i="7"/>
  <c r="M2897" i="7"/>
  <c r="L2897" i="7"/>
  <c r="K2897" i="7"/>
  <c r="J2897" i="7"/>
  <c r="I2897" i="7"/>
  <c r="H2897" i="7"/>
  <c r="G2897" i="7"/>
  <c r="F2897" i="7"/>
  <c r="E2897" i="7"/>
  <c r="D2897" i="7"/>
  <c r="C2897" i="7"/>
  <c r="O2896" i="7"/>
  <c r="N2896" i="7"/>
  <c r="M2896" i="7"/>
  <c r="L2896" i="7"/>
  <c r="K2896" i="7"/>
  <c r="J2896" i="7"/>
  <c r="I2896" i="7"/>
  <c r="H2896" i="7"/>
  <c r="G2896" i="7"/>
  <c r="F2896" i="7"/>
  <c r="E2896" i="7"/>
  <c r="D2896" i="7"/>
  <c r="C2896" i="7"/>
  <c r="O2895" i="7"/>
  <c r="N2895" i="7"/>
  <c r="M2895" i="7"/>
  <c r="L2895" i="7"/>
  <c r="K2895" i="7"/>
  <c r="J2895" i="7"/>
  <c r="I2895" i="7"/>
  <c r="H2895" i="7"/>
  <c r="G2895" i="7"/>
  <c r="F2895" i="7"/>
  <c r="E2895" i="7"/>
  <c r="D2895" i="7"/>
  <c r="C2895" i="7"/>
  <c r="O2894" i="7"/>
  <c r="N2894" i="7"/>
  <c r="M2894" i="7"/>
  <c r="L2894" i="7"/>
  <c r="K2894" i="7"/>
  <c r="J2894" i="7"/>
  <c r="I2894" i="7"/>
  <c r="H2894" i="7"/>
  <c r="G2894" i="7"/>
  <c r="F2894" i="7"/>
  <c r="E2894" i="7"/>
  <c r="D2894" i="7"/>
  <c r="C2894" i="7"/>
  <c r="O2893" i="7"/>
  <c r="N2893" i="7"/>
  <c r="M2893" i="7"/>
  <c r="L2893" i="7"/>
  <c r="K2893" i="7"/>
  <c r="J2893" i="7"/>
  <c r="I2893" i="7"/>
  <c r="H2893" i="7"/>
  <c r="G2893" i="7"/>
  <c r="F2893" i="7"/>
  <c r="E2893" i="7"/>
  <c r="D2893" i="7"/>
  <c r="C2893" i="7"/>
  <c r="O2892" i="7"/>
  <c r="N2892" i="7"/>
  <c r="M2892" i="7"/>
  <c r="L2892" i="7"/>
  <c r="K2892" i="7"/>
  <c r="J2892" i="7"/>
  <c r="I2892" i="7"/>
  <c r="H2892" i="7"/>
  <c r="G2892" i="7"/>
  <c r="F2892" i="7"/>
  <c r="E2892" i="7"/>
  <c r="D2892" i="7"/>
  <c r="C2892" i="7"/>
  <c r="O2891" i="7"/>
  <c r="N2891" i="7"/>
  <c r="M2891" i="7"/>
  <c r="L2891" i="7"/>
  <c r="K2891" i="7"/>
  <c r="J2891" i="7"/>
  <c r="I2891" i="7"/>
  <c r="H2891" i="7"/>
  <c r="G2891" i="7"/>
  <c r="F2891" i="7"/>
  <c r="E2891" i="7"/>
  <c r="D2891" i="7"/>
  <c r="C2891" i="7"/>
  <c r="O2890" i="7"/>
  <c r="N2890" i="7"/>
  <c r="M2890" i="7"/>
  <c r="L2890" i="7"/>
  <c r="K2890" i="7"/>
  <c r="J2890" i="7"/>
  <c r="I2890" i="7"/>
  <c r="H2890" i="7"/>
  <c r="G2890" i="7"/>
  <c r="F2890" i="7"/>
  <c r="E2890" i="7"/>
  <c r="D2890" i="7"/>
  <c r="C2890" i="7"/>
  <c r="O2889" i="7"/>
  <c r="N2889" i="7"/>
  <c r="M2889" i="7"/>
  <c r="L2889" i="7"/>
  <c r="K2889" i="7"/>
  <c r="J2889" i="7"/>
  <c r="I2889" i="7"/>
  <c r="H2889" i="7"/>
  <c r="G2889" i="7"/>
  <c r="F2889" i="7"/>
  <c r="E2889" i="7"/>
  <c r="D2889" i="7"/>
  <c r="C2889" i="7"/>
  <c r="O2888" i="7"/>
  <c r="N2888" i="7"/>
  <c r="M2888" i="7"/>
  <c r="L2888" i="7"/>
  <c r="K2888" i="7"/>
  <c r="J2888" i="7"/>
  <c r="I2888" i="7"/>
  <c r="H2888" i="7"/>
  <c r="G2888" i="7"/>
  <c r="F2888" i="7"/>
  <c r="E2888" i="7"/>
  <c r="D2888" i="7"/>
  <c r="C2888" i="7"/>
  <c r="O2887" i="7"/>
  <c r="N2887" i="7"/>
  <c r="M2887" i="7"/>
  <c r="L2887" i="7"/>
  <c r="K2887" i="7"/>
  <c r="J2887" i="7"/>
  <c r="I2887" i="7"/>
  <c r="H2887" i="7"/>
  <c r="G2887" i="7"/>
  <c r="F2887" i="7"/>
  <c r="E2887" i="7"/>
  <c r="D2887" i="7"/>
  <c r="C2887" i="7"/>
  <c r="O2886" i="7"/>
  <c r="N2886" i="7"/>
  <c r="M2886" i="7"/>
  <c r="L2886" i="7"/>
  <c r="K2886" i="7"/>
  <c r="J2886" i="7"/>
  <c r="I2886" i="7"/>
  <c r="H2886" i="7"/>
  <c r="G2886" i="7"/>
  <c r="F2886" i="7"/>
  <c r="E2886" i="7"/>
  <c r="D2886" i="7"/>
  <c r="C2886" i="7"/>
  <c r="O2885" i="7"/>
  <c r="N2885" i="7"/>
  <c r="M2885" i="7"/>
  <c r="L2885" i="7"/>
  <c r="K2885" i="7"/>
  <c r="J2885" i="7"/>
  <c r="I2885" i="7"/>
  <c r="H2885" i="7"/>
  <c r="G2885" i="7"/>
  <c r="F2885" i="7"/>
  <c r="E2885" i="7"/>
  <c r="D2885" i="7"/>
  <c r="C2885" i="7"/>
  <c r="O2884" i="7"/>
  <c r="N2884" i="7"/>
  <c r="M2884" i="7"/>
  <c r="L2884" i="7"/>
  <c r="K2884" i="7"/>
  <c r="J2884" i="7"/>
  <c r="I2884" i="7"/>
  <c r="H2884" i="7"/>
  <c r="G2884" i="7"/>
  <c r="F2884" i="7"/>
  <c r="E2884" i="7"/>
  <c r="D2884" i="7"/>
  <c r="C2884" i="7"/>
  <c r="O2883" i="7"/>
  <c r="N2883" i="7"/>
  <c r="M2883" i="7"/>
  <c r="L2883" i="7"/>
  <c r="K2883" i="7"/>
  <c r="J2883" i="7"/>
  <c r="I2883" i="7"/>
  <c r="H2883" i="7"/>
  <c r="G2883" i="7"/>
  <c r="F2883" i="7"/>
  <c r="E2883" i="7"/>
  <c r="D2883" i="7"/>
  <c r="C2883" i="7"/>
  <c r="O2882" i="7"/>
  <c r="N2882" i="7"/>
  <c r="M2882" i="7"/>
  <c r="L2882" i="7"/>
  <c r="K2882" i="7"/>
  <c r="J2882" i="7"/>
  <c r="I2882" i="7"/>
  <c r="H2882" i="7"/>
  <c r="G2882" i="7"/>
  <c r="F2882" i="7"/>
  <c r="E2882" i="7"/>
  <c r="D2882" i="7"/>
  <c r="C2882" i="7"/>
  <c r="O2881" i="7"/>
  <c r="N2881" i="7"/>
  <c r="M2881" i="7"/>
  <c r="L2881" i="7"/>
  <c r="K2881" i="7"/>
  <c r="J2881" i="7"/>
  <c r="I2881" i="7"/>
  <c r="H2881" i="7"/>
  <c r="G2881" i="7"/>
  <c r="F2881" i="7"/>
  <c r="E2881" i="7"/>
  <c r="D2881" i="7"/>
  <c r="C2881" i="7"/>
  <c r="O2880" i="7"/>
  <c r="N2880" i="7"/>
  <c r="M2880" i="7"/>
  <c r="L2880" i="7"/>
  <c r="K2880" i="7"/>
  <c r="J2880" i="7"/>
  <c r="I2880" i="7"/>
  <c r="H2880" i="7"/>
  <c r="G2880" i="7"/>
  <c r="F2880" i="7"/>
  <c r="E2880" i="7"/>
  <c r="D2880" i="7"/>
  <c r="C2880" i="7"/>
  <c r="O2879" i="7"/>
  <c r="N2879" i="7"/>
  <c r="M2879" i="7"/>
  <c r="L2879" i="7"/>
  <c r="K2879" i="7"/>
  <c r="J2879" i="7"/>
  <c r="I2879" i="7"/>
  <c r="H2879" i="7"/>
  <c r="G2879" i="7"/>
  <c r="F2879" i="7"/>
  <c r="E2879" i="7"/>
  <c r="D2879" i="7"/>
  <c r="C2879" i="7"/>
  <c r="O2878" i="7"/>
  <c r="N2878" i="7"/>
  <c r="M2878" i="7"/>
  <c r="L2878" i="7"/>
  <c r="K2878" i="7"/>
  <c r="J2878" i="7"/>
  <c r="I2878" i="7"/>
  <c r="H2878" i="7"/>
  <c r="G2878" i="7"/>
  <c r="F2878" i="7"/>
  <c r="E2878" i="7"/>
  <c r="D2878" i="7"/>
  <c r="C2878" i="7"/>
  <c r="O2877" i="7"/>
  <c r="N2877" i="7"/>
  <c r="M2877" i="7"/>
  <c r="L2877" i="7"/>
  <c r="K2877" i="7"/>
  <c r="J2877" i="7"/>
  <c r="I2877" i="7"/>
  <c r="H2877" i="7"/>
  <c r="G2877" i="7"/>
  <c r="F2877" i="7"/>
  <c r="E2877" i="7"/>
  <c r="D2877" i="7"/>
  <c r="C2877" i="7"/>
  <c r="O2876" i="7"/>
  <c r="N2876" i="7"/>
  <c r="M2876" i="7"/>
  <c r="L2876" i="7"/>
  <c r="K2876" i="7"/>
  <c r="J2876" i="7"/>
  <c r="I2876" i="7"/>
  <c r="H2876" i="7"/>
  <c r="G2876" i="7"/>
  <c r="F2876" i="7"/>
  <c r="E2876" i="7"/>
  <c r="D2876" i="7"/>
  <c r="C2876" i="7"/>
  <c r="O2875" i="7"/>
  <c r="N2875" i="7"/>
  <c r="M2875" i="7"/>
  <c r="L2875" i="7"/>
  <c r="K2875" i="7"/>
  <c r="J2875" i="7"/>
  <c r="I2875" i="7"/>
  <c r="H2875" i="7"/>
  <c r="G2875" i="7"/>
  <c r="F2875" i="7"/>
  <c r="E2875" i="7"/>
  <c r="D2875" i="7"/>
  <c r="C2875" i="7"/>
  <c r="O2874" i="7"/>
  <c r="N2874" i="7"/>
  <c r="M2874" i="7"/>
  <c r="L2874" i="7"/>
  <c r="K2874" i="7"/>
  <c r="J2874" i="7"/>
  <c r="I2874" i="7"/>
  <c r="H2874" i="7"/>
  <c r="G2874" i="7"/>
  <c r="F2874" i="7"/>
  <c r="E2874" i="7"/>
  <c r="D2874" i="7"/>
  <c r="C2874" i="7"/>
  <c r="O2873" i="7"/>
  <c r="N2873" i="7"/>
  <c r="M2873" i="7"/>
  <c r="L2873" i="7"/>
  <c r="K2873" i="7"/>
  <c r="J2873" i="7"/>
  <c r="I2873" i="7"/>
  <c r="H2873" i="7"/>
  <c r="G2873" i="7"/>
  <c r="F2873" i="7"/>
  <c r="E2873" i="7"/>
  <c r="D2873" i="7"/>
  <c r="C2873" i="7"/>
  <c r="O2872" i="7"/>
  <c r="N2872" i="7"/>
  <c r="M2872" i="7"/>
  <c r="L2872" i="7"/>
  <c r="K2872" i="7"/>
  <c r="J2872" i="7"/>
  <c r="I2872" i="7"/>
  <c r="H2872" i="7"/>
  <c r="G2872" i="7"/>
  <c r="F2872" i="7"/>
  <c r="E2872" i="7"/>
  <c r="D2872" i="7"/>
  <c r="C2872" i="7"/>
  <c r="O2871" i="7"/>
  <c r="N2871" i="7"/>
  <c r="M2871" i="7"/>
  <c r="L2871" i="7"/>
  <c r="K2871" i="7"/>
  <c r="J2871" i="7"/>
  <c r="I2871" i="7"/>
  <c r="H2871" i="7"/>
  <c r="G2871" i="7"/>
  <c r="F2871" i="7"/>
  <c r="E2871" i="7"/>
  <c r="D2871" i="7"/>
  <c r="C2871" i="7"/>
  <c r="O2870" i="7"/>
  <c r="N2870" i="7"/>
  <c r="M2870" i="7"/>
  <c r="L2870" i="7"/>
  <c r="K2870" i="7"/>
  <c r="J2870" i="7"/>
  <c r="I2870" i="7"/>
  <c r="H2870" i="7"/>
  <c r="G2870" i="7"/>
  <c r="F2870" i="7"/>
  <c r="E2870" i="7"/>
  <c r="D2870" i="7"/>
  <c r="C2870" i="7"/>
  <c r="O2869" i="7"/>
  <c r="N2869" i="7"/>
  <c r="M2869" i="7"/>
  <c r="L2869" i="7"/>
  <c r="K2869" i="7"/>
  <c r="J2869" i="7"/>
  <c r="I2869" i="7"/>
  <c r="H2869" i="7"/>
  <c r="G2869" i="7"/>
  <c r="F2869" i="7"/>
  <c r="E2869" i="7"/>
  <c r="D2869" i="7"/>
  <c r="C2869" i="7"/>
  <c r="O2868" i="7"/>
  <c r="N2868" i="7"/>
  <c r="M2868" i="7"/>
  <c r="L2868" i="7"/>
  <c r="K2868" i="7"/>
  <c r="J2868" i="7"/>
  <c r="I2868" i="7"/>
  <c r="H2868" i="7"/>
  <c r="G2868" i="7"/>
  <c r="F2868" i="7"/>
  <c r="E2868" i="7"/>
  <c r="D2868" i="7"/>
  <c r="C2868" i="7"/>
  <c r="O2867" i="7"/>
  <c r="N2867" i="7"/>
  <c r="M2867" i="7"/>
  <c r="L2867" i="7"/>
  <c r="K2867" i="7"/>
  <c r="J2867" i="7"/>
  <c r="I2867" i="7"/>
  <c r="H2867" i="7"/>
  <c r="G2867" i="7"/>
  <c r="F2867" i="7"/>
  <c r="E2867" i="7"/>
  <c r="D2867" i="7"/>
  <c r="C2867" i="7"/>
  <c r="O2866" i="7"/>
  <c r="N2866" i="7"/>
  <c r="M2866" i="7"/>
  <c r="L2866" i="7"/>
  <c r="K2866" i="7"/>
  <c r="J2866" i="7"/>
  <c r="I2866" i="7"/>
  <c r="H2866" i="7"/>
  <c r="G2866" i="7"/>
  <c r="F2866" i="7"/>
  <c r="E2866" i="7"/>
  <c r="D2866" i="7"/>
  <c r="C2866" i="7"/>
  <c r="O2865" i="7"/>
  <c r="N2865" i="7"/>
  <c r="M2865" i="7"/>
  <c r="L2865" i="7"/>
  <c r="K2865" i="7"/>
  <c r="J2865" i="7"/>
  <c r="I2865" i="7"/>
  <c r="H2865" i="7"/>
  <c r="G2865" i="7"/>
  <c r="F2865" i="7"/>
  <c r="E2865" i="7"/>
  <c r="D2865" i="7"/>
  <c r="C2865" i="7"/>
  <c r="O2864" i="7"/>
  <c r="N2864" i="7"/>
  <c r="M2864" i="7"/>
  <c r="L2864" i="7"/>
  <c r="K2864" i="7"/>
  <c r="J2864" i="7"/>
  <c r="I2864" i="7"/>
  <c r="H2864" i="7"/>
  <c r="G2864" i="7"/>
  <c r="F2864" i="7"/>
  <c r="E2864" i="7"/>
  <c r="D2864" i="7"/>
  <c r="C2864" i="7"/>
  <c r="O2863" i="7"/>
  <c r="N2863" i="7"/>
  <c r="M2863" i="7"/>
  <c r="L2863" i="7"/>
  <c r="K2863" i="7"/>
  <c r="J2863" i="7"/>
  <c r="I2863" i="7"/>
  <c r="H2863" i="7"/>
  <c r="G2863" i="7"/>
  <c r="F2863" i="7"/>
  <c r="E2863" i="7"/>
  <c r="D2863" i="7"/>
  <c r="C2863" i="7"/>
  <c r="O2862" i="7"/>
  <c r="N2862" i="7"/>
  <c r="M2862" i="7"/>
  <c r="L2862" i="7"/>
  <c r="K2862" i="7"/>
  <c r="J2862" i="7"/>
  <c r="I2862" i="7"/>
  <c r="H2862" i="7"/>
  <c r="G2862" i="7"/>
  <c r="F2862" i="7"/>
  <c r="E2862" i="7"/>
  <c r="D2862" i="7"/>
  <c r="C2862" i="7"/>
  <c r="O2861" i="7"/>
  <c r="N2861" i="7"/>
  <c r="M2861" i="7"/>
  <c r="L2861" i="7"/>
  <c r="K2861" i="7"/>
  <c r="J2861" i="7"/>
  <c r="I2861" i="7"/>
  <c r="H2861" i="7"/>
  <c r="G2861" i="7"/>
  <c r="F2861" i="7"/>
  <c r="E2861" i="7"/>
  <c r="D2861" i="7"/>
  <c r="C2861" i="7"/>
  <c r="O2860" i="7"/>
  <c r="N2860" i="7"/>
  <c r="M2860" i="7"/>
  <c r="L2860" i="7"/>
  <c r="K2860" i="7"/>
  <c r="J2860" i="7"/>
  <c r="I2860" i="7"/>
  <c r="H2860" i="7"/>
  <c r="G2860" i="7"/>
  <c r="F2860" i="7"/>
  <c r="E2860" i="7"/>
  <c r="D2860" i="7"/>
  <c r="C2860" i="7"/>
  <c r="O2859" i="7"/>
  <c r="N2859" i="7"/>
  <c r="M2859" i="7"/>
  <c r="L2859" i="7"/>
  <c r="K2859" i="7"/>
  <c r="J2859" i="7"/>
  <c r="I2859" i="7"/>
  <c r="H2859" i="7"/>
  <c r="G2859" i="7"/>
  <c r="F2859" i="7"/>
  <c r="E2859" i="7"/>
  <c r="D2859" i="7"/>
  <c r="C2859" i="7"/>
  <c r="O2858" i="7"/>
  <c r="N2858" i="7"/>
  <c r="M2858" i="7"/>
  <c r="L2858" i="7"/>
  <c r="K2858" i="7"/>
  <c r="J2858" i="7"/>
  <c r="I2858" i="7"/>
  <c r="H2858" i="7"/>
  <c r="G2858" i="7"/>
  <c r="F2858" i="7"/>
  <c r="E2858" i="7"/>
  <c r="D2858" i="7"/>
  <c r="C2858" i="7"/>
  <c r="O2857" i="7"/>
  <c r="N2857" i="7"/>
  <c r="M2857" i="7"/>
  <c r="L2857" i="7"/>
  <c r="K2857" i="7"/>
  <c r="J2857" i="7"/>
  <c r="I2857" i="7"/>
  <c r="H2857" i="7"/>
  <c r="G2857" i="7"/>
  <c r="F2857" i="7"/>
  <c r="E2857" i="7"/>
  <c r="D2857" i="7"/>
  <c r="C2857" i="7"/>
  <c r="O2856" i="7"/>
  <c r="N2856" i="7"/>
  <c r="M2856" i="7"/>
  <c r="L2856" i="7"/>
  <c r="K2856" i="7"/>
  <c r="J2856" i="7"/>
  <c r="I2856" i="7"/>
  <c r="H2856" i="7"/>
  <c r="G2856" i="7"/>
  <c r="F2856" i="7"/>
  <c r="E2856" i="7"/>
  <c r="D2856" i="7"/>
  <c r="C2856" i="7"/>
  <c r="O2855" i="7"/>
  <c r="N2855" i="7"/>
  <c r="M2855" i="7"/>
  <c r="L2855" i="7"/>
  <c r="K2855" i="7"/>
  <c r="J2855" i="7"/>
  <c r="I2855" i="7"/>
  <c r="H2855" i="7"/>
  <c r="G2855" i="7"/>
  <c r="F2855" i="7"/>
  <c r="E2855" i="7"/>
  <c r="D2855" i="7"/>
  <c r="C2855" i="7"/>
  <c r="O2854" i="7"/>
  <c r="N2854" i="7"/>
  <c r="M2854" i="7"/>
  <c r="L2854" i="7"/>
  <c r="K2854" i="7"/>
  <c r="J2854" i="7"/>
  <c r="I2854" i="7"/>
  <c r="H2854" i="7"/>
  <c r="G2854" i="7"/>
  <c r="F2854" i="7"/>
  <c r="E2854" i="7"/>
  <c r="D2854" i="7"/>
  <c r="C2854" i="7"/>
  <c r="O2853" i="7"/>
  <c r="N2853" i="7"/>
  <c r="M2853" i="7"/>
  <c r="L2853" i="7"/>
  <c r="K2853" i="7"/>
  <c r="J2853" i="7"/>
  <c r="I2853" i="7"/>
  <c r="H2853" i="7"/>
  <c r="G2853" i="7"/>
  <c r="F2853" i="7"/>
  <c r="E2853" i="7"/>
  <c r="D2853" i="7"/>
  <c r="C2853" i="7"/>
  <c r="O2852" i="7"/>
  <c r="N2852" i="7"/>
  <c r="M2852" i="7"/>
  <c r="L2852" i="7"/>
  <c r="K2852" i="7"/>
  <c r="J2852" i="7"/>
  <c r="I2852" i="7"/>
  <c r="H2852" i="7"/>
  <c r="G2852" i="7"/>
  <c r="F2852" i="7"/>
  <c r="E2852" i="7"/>
  <c r="D2852" i="7"/>
  <c r="C2852" i="7"/>
  <c r="O2851" i="7"/>
  <c r="N2851" i="7"/>
  <c r="M2851" i="7"/>
  <c r="L2851" i="7"/>
  <c r="K2851" i="7"/>
  <c r="J2851" i="7"/>
  <c r="I2851" i="7"/>
  <c r="H2851" i="7"/>
  <c r="G2851" i="7"/>
  <c r="F2851" i="7"/>
  <c r="E2851" i="7"/>
  <c r="D2851" i="7"/>
  <c r="C2851" i="7"/>
  <c r="O2850" i="7"/>
  <c r="N2850" i="7"/>
  <c r="M2850" i="7"/>
  <c r="L2850" i="7"/>
  <c r="K2850" i="7"/>
  <c r="J2850" i="7"/>
  <c r="I2850" i="7"/>
  <c r="H2850" i="7"/>
  <c r="G2850" i="7"/>
  <c r="F2850" i="7"/>
  <c r="E2850" i="7"/>
  <c r="D2850" i="7"/>
  <c r="C2850" i="7"/>
  <c r="O2849" i="7"/>
  <c r="N2849" i="7"/>
  <c r="M2849" i="7"/>
  <c r="L2849" i="7"/>
  <c r="K2849" i="7"/>
  <c r="J2849" i="7"/>
  <c r="I2849" i="7"/>
  <c r="H2849" i="7"/>
  <c r="G2849" i="7"/>
  <c r="F2849" i="7"/>
  <c r="E2849" i="7"/>
  <c r="D2849" i="7"/>
  <c r="C2849" i="7"/>
  <c r="O2848" i="7"/>
  <c r="N2848" i="7"/>
  <c r="M2848" i="7"/>
  <c r="L2848" i="7"/>
  <c r="K2848" i="7"/>
  <c r="J2848" i="7"/>
  <c r="I2848" i="7"/>
  <c r="H2848" i="7"/>
  <c r="G2848" i="7"/>
  <c r="F2848" i="7"/>
  <c r="E2848" i="7"/>
  <c r="D2848" i="7"/>
  <c r="C2848" i="7"/>
  <c r="O2847" i="7"/>
  <c r="N2847" i="7"/>
  <c r="M2847" i="7"/>
  <c r="L2847" i="7"/>
  <c r="K2847" i="7"/>
  <c r="J2847" i="7"/>
  <c r="I2847" i="7"/>
  <c r="H2847" i="7"/>
  <c r="G2847" i="7"/>
  <c r="F2847" i="7"/>
  <c r="E2847" i="7"/>
  <c r="D2847" i="7"/>
  <c r="C2847" i="7"/>
  <c r="O2846" i="7"/>
  <c r="N2846" i="7"/>
  <c r="M2846" i="7"/>
  <c r="L2846" i="7"/>
  <c r="K2846" i="7"/>
  <c r="J2846" i="7"/>
  <c r="I2846" i="7"/>
  <c r="H2846" i="7"/>
  <c r="G2846" i="7"/>
  <c r="F2846" i="7"/>
  <c r="E2846" i="7"/>
  <c r="D2846" i="7"/>
  <c r="C2846" i="7"/>
  <c r="O2845" i="7"/>
  <c r="N2845" i="7"/>
  <c r="M2845" i="7"/>
  <c r="L2845" i="7"/>
  <c r="K2845" i="7"/>
  <c r="J2845" i="7"/>
  <c r="I2845" i="7"/>
  <c r="H2845" i="7"/>
  <c r="G2845" i="7"/>
  <c r="F2845" i="7"/>
  <c r="E2845" i="7"/>
  <c r="D2845" i="7"/>
  <c r="C2845" i="7"/>
  <c r="O2844" i="7"/>
  <c r="N2844" i="7"/>
  <c r="M2844" i="7"/>
  <c r="L2844" i="7"/>
  <c r="K2844" i="7"/>
  <c r="J2844" i="7"/>
  <c r="I2844" i="7"/>
  <c r="H2844" i="7"/>
  <c r="G2844" i="7"/>
  <c r="F2844" i="7"/>
  <c r="E2844" i="7"/>
  <c r="D2844" i="7"/>
  <c r="C2844" i="7"/>
  <c r="O2843" i="7"/>
  <c r="N2843" i="7"/>
  <c r="M2843" i="7"/>
  <c r="L2843" i="7"/>
  <c r="K2843" i="7"/>
  <c r="J2843" i="7"/>
  <c r="I2843" i="7"/>
  <c r="H2843" i="7"/>
  <c r="G2843" i="7"/>
  <c r="F2843" i="7"/>
  <c r="E2843" i="7"/>
  <c r="D2843" i="7"/>
  <c r="C2843" i="7"/>
  <c r="O2842" i="7"/>
  <c r="N2842" i="7"/>
  <c r="M2842" i="7"/>
  <c r="L2842" i="7"/>
  <c r="K2842" i="7"/>
  <c r="J2842" i="7"/>
  <c r="I2842" i="7"/>
  <c r="H2842" i="7"/>
  <c r="G2842" i="7"/>
  <c r="F2842" i="7"/>
  <c r="E2842" i="7"/>
  <c r="D2842" i="7"/>
  <c r="C2842" i="7"/>
  <c r="O2841" i="7"/>
  <c r="N2841" i="7"/>
  <c r="M2841" i="7"/>
  <c r="L2841" i="7"/>
  <c r="K2841" i="7"/>
  <c r="J2841" i="7"/>
  <c r="I2841" i="7"/>
  <c r="H2841" i="7"/>
  <c r="G2841" i="7"/>
  <c r="F2841" i="7"/>
  <c r="E2841" i="7"/>
  <c r="D2841" i="7"/>
  <c r="C2841" i="7"/>
  <c r="O2840" i="7"/>
  <c r="N2840" i="7"/>
  <c r="M2840" i="7"/>
  <c r="L2840" i="7"/>
  <c r="K2840" i="7"/>
  <c r="J2840" i="7"/>
  <c r="I2840" i="7"/>
  <c r="H2840" i="7"/>
  <c r="G2840" i="7"/>
  <c r="F2840" i="7"/>
  <c r="E2840" i="7"/>
  <c r="D2840" i="7"/>
  <c r="C2840" i="7"/>
  <c r="O2839" i="7"/>
  <c r="N2839" i="7"/>
  <c r="M2839" i="7"/>
  <c r="L2839" i="7"/>
  <c r="K2839" i="7"/>
  <c r="J2839" i="7"/>
  <c r="I2839" i="7"/>
  <c r="H2839" i="7"/>
  <c r="G2839" i="7"/>
  <c r="F2839" i="7"/>
  <c r="E2839" i="7"/>
  <c r="D2839" i="7"/>
  <c r="C2839" i="7"/>
  <c r="O2838" i="7"/>
  <c r="N2838" i="7"/>
  <c r="M2838" i="7"/>
  <c r="L2838" i="7"/>
  <c r="K2838" i="7"/>
  <c r="J2838" i="7"/>
  <c r="I2838" i="7"/>
  <c r="H2838" i="7"/>
  <c r="G2838" i="7"/>
  <c r="F2838" i="7"/>
  <c r="E2838" i="7"/>
  <c r="D2838" i="7"/>
  <c r="C2838" i="7"/>
  <c r="O2837" i="7"/>
  <c r="N2837" i="7"/>
  <c r="M2837" i="7"/>
  <c r="L2837" i="7"/>
  <c r="K2837" i="7"/>
  <c r="J2837" i="7"/>
  <c r="I2837" i="7"/>
  <c r="H2837" i="7"/>
  <c r="G2837" i="7"/>
  <c r="F2837" i="7"/>
  <c r="E2837" i="7"/>
  <c r="D2837" i="7"/>
  <c r="C2837" i="7"/>
  <c r="O2836" i="7"/>
  <c r="N2836" i="7"/>
  <c r="M2836" i="7"/>
  <c r="L2836" i="7"/>
  <c r="K2836" i="7"/>
  <c r="J2836" i="7"/>
  <c r="I2836" i="7"/>
  <c r="H2836" i="7"/>
  <c r="G2836" i="7"/>
  <c r="F2836" i="7"/>
  <c r="E2836" i="7"/>
  <c r="D2836" i="7"/>
  <c r="C2836" i="7"/>
  <c r="O2835" i="7"/>
  <c r="N2835" i="7"/>
  <c r="M2835" i="7"/>
  <c r="L2835" i="7"/>
  <c r="K2835" i="7"/>
  <c r="J2835" i="7"/>
  <c r="I2835" i="7"/>
  <c r="H2835" i="7"/>
  <c r="G2835" i="7"/>
  <c r="F2835" i="7"/>
  <c r="E2835" i="7"/>
  <c r="D2835" i="7"/>
  <c r="C2835" i="7"/>
  <c r="O2834" i="7"/>
  <c r="N2834" i="7"/>
  <c r="M2834" i="7"/>
  <c r="L2834" i="7"/>
  <c r="K2834" i="7"/>
  <c r="J2834" i="7"/>
  <c r="I2834" i="7"/>
  <c r="H2834" i="7"/>
  <c r="G2834" i="7"/>
  <c r="F2834" i="7"/>
  <c r="E2834" i="7"/>
  <c r="D2834" i="7"/>
  <c r="C2834" i="7"/>
  <c r="O2833" i="7"/>
  <c r="N2833" i="7"/>
  <c r="M2833" i="7"/>
  <c r="L2833" i="7"/>
  <c r="K2833" i="7"/>
  <c r="J2833" i="7"/>
  <c r="I2833" i="7"/>
  <c r="H2833" i="7"/>
  <c r="G2833" i="7"/>
  <c r="F2833" i="7"/>
  <c r="E2833" i="7"/>
  <c r="D2833" i="7"/>
  <c r="C2833" i="7"/>
  <c r="O2832" i="7"/>
  <c r="N2832" i="7"/>
  <c r="M2832" i="7"/>
  <c r="L2832" i="7"/>
  <c r="K2832" i="7"/>
  <c r="J2832" i="7"/>
  <c r="I2832" i="7"/>
  <c r="H2832" i="7"/>
  <c r="G2832" i="7"/>
  <c r="F2832" i="7"/>
  <c r="E2832" i="7"/>
  <c r="D2832" i="7"/>
  <c r="C2832" i="7"/>
  <c r="O2831" i="7"/>
  <c r="N2831" i="7"/>
  <c r="M2831" i="7"/>
  <c r="L2831" i="7"/>
  <c r="K2831" i="7"/>
  <c r="J2831" i="7"/>
  <c r="I2831" i="7"/>
  <c r="H2831" i="7"/>
  <c r="G2831" i="7"/>
  <c r="F2831" i="7"/>
  <c r="E2831" i="7"/>
  <c r="D2831" i="7"/>
  <c r="C2831" i="7"/>
  <c r="O2830" i="7"/>
  <c r="N2830" i="7"/>
  <c r="M2830" i="7"/>
  <c r="L2830" i="7"/>
  <c r="K2830" i="7"/>
  <c r="J2830" i="7"/>
  <c r="I2830" i="7"/>
  <c r="H2830" i="7"/>
  <c r="G2830" i="7"/>
  <c r="F2830" i="7"/>
  <c r="E2830" i="7"/>
  <c r="D2830" i="7"/>
  <c r="C2830" i="7"/>
  <c r="O2829" i="7"/>
  <c r="N2829" i="7"/>
  <c r="M2829" i="7"/>
  <c r="L2829" i="7"/>
  <c r="K2829" i="7"/>
  <c r="J2829" i="7"/>
  <c r="I2829" i="7"/>
  <c r="H2829" i="7"/>
  <c r="G2829" i="7"/>
  <c r="F2829" i="7"/>
  <c r="E2829" i="7"/>
  <c r="D2829" i="7"/>
  <c r="C2829" i="7"/>
  <c r="O2828" i="7"/>
  <c r="N2828" i="7"/>
  <c r="M2828" i="7"/>
  <c r="L2828" i="7"/>
  <c r="K2828" i="7"/>
  <c r="J2828" i="7"/>
  <c r="I2828" i="7"/>
  <c r="H2828" i="7"/>
  <c r="G2828" i="7"/>
  <c r="F2828" i="7"/>
  <c r="E2828" i="7"/>
  <c r="D2828" i="7"/>
  <c r="C2828" i="7"/>
  <c r="O2827" i="7"/>
  <c r="N2827" i="7"/>
  <c r="M2827" i="7"/>
  <c r="L2827" i="7"/>
  <c r="K2827" i="7"/>
  <c r="J2827" i="7"/>
  <c r="I2827" i="7"/>
  <c r="H2827" i="7"/>
  <c r="G2827" i="7"/>
  <c r="F2827" i="7"/>
  <c r="E2827" i="7"/>
  <c r="D2827" i="7"/>
  <c r="C2827" i="7"/>
  <c r="O2826" i="7"/>
  <c r="N2826" i="7"/>
  <c r="M2826" i="7"/>
  <c r="L2826" i="7"/>
  <c r="K2826" i="7"/>
  <c r="J2826" i="7"/>
  <c r="I2826" i="7"/>
  <c r="H2826" i="7"/>
  <c r="G2826" i="7"/>
  <c r="F2826" i="7"/>
  <c r="E2826" i="7"/>
  <c r="D2826" i="7"/>
  <c r="C2826" i="7"/>
  <c r="O2825" i="7"/>
  <c r="N2825" i="7"/>
  <c r="M2825" i="7"/>
  <c r="L2825" i="7"/>
  <c r="K2825" i="7"/>
  <c r="J2825" i="7"/>
  <c r="I2825" i="7"/>
  <c r="H2825" i="7"/>
  <c r="G2825" i="7"/>
  <c r="F2825" i="7"/>
  <c r="E2825" i="7"/>
  <c r="D2825" i="7"/>
  <c r="C2825" i="7"/>
  <c r="O2824" i="7"/>
  <c r="N2824" i="7"/>
  <c r="M2824" i="7"/>
  <c r="L2824" i="7"/>
  <c r="K2824" i="7"/>
  <c r="J2824" i="7"/>
  <c r="I2824" i="7"/>
  <c r="H2824" i="7"/>
  <c r="G2824" i="7"/>
  <c r="F2824" i="7"/>
  <c r="E2824" i="7"/>
  <c r="D2824" i="7"/>
  <c r="C2824" i="7"/>
  <c r="O2823" i="7"/>
  <c r="N2823" i="7"/>
  <c r="M2823" i="7"/>
  <c r="L2823" i="7"/>
  <c r="K2823" i="7"/>
  <c r="J2823" i="7"/>
  <c r="I2823" i="7"/>
  <c r="H2823" i="7"/>
  <c r="G2823" i="7"/>
  <c r="F2823" i="7"/>
  <c r="E2823" i="7"/>
  <c r="D2823" i="7"/>
  <c r="C2823" i="7"/>
  <c r="O2822" i="7"/>
  <c r="N2822" i="7"/>
  <c r="M2822" i="7"/>
  <c r="L2822" i="7"/>
  <c r="K2822" i="7"/>
  <c r="J2822" i="7"/>
  <c r="I2822" i="7"/>
  <c r="H2822" i="7"/>
  <c r="G2822" i="7"/>
  <c r="F2822" i="7"/>
  <c r="E2822" i="7"/>
  <c r="D2822" i="7"/>
  <c r="C2822" i="7"/>
  <c r="O2821" i="7"/>
  <c r="N2821" i="7"/>
  <c r="M2821" i="7"/>
  <c r="L2821" i="7"/>
  <c r="K2821" i="7"/>
  <c r="J2821" i="7"/>
  <c r="I2821" i="7"/>
  <c r="H2821" i="7"/>
  <c r="G2821" i="7"/>
  <c r="F2821" i="7"/>
  <c r="E2821" i="7"/>
  <c r="D2821" i="7"/>
  <c r="C2821" i="7"/>
  <c r="O2820" i="7"/>
  <c r="N2820" i="7"/>
  <c r="M2820" i="7"/>
  <c r="L2820" i="7"/>
  <c r="K2820" i="7"/>
  <c r="J2820" i="7"/>
  <c r="I2820" i="7"/>
  <c r="H2820" i="7"/>
  <c r="G2820" i="7"/>
  <c r="F2820" i="7"/>
  <c r="E2820" i="7"/>
  <c r="D2820" i="7"/>
  <c r="C2820" i="7"/>
  <c r="O2819" i="7"/>
  <c r="N2819" i="7"/>
  <c r="M2819" i="7"/>
  <c r="L2819" i="7"/>
  <c r="K2819" i="7"/>
  <c r="J2819" i="7"/>
  <c r="I2819" i="7"/>
  <c r="H2819" i="7"/>
  <c r="G2819" i="7"/>
  <c r="F2819" i="7"/>
  <c r="E2819" i="7"/>
  <c r="D2819" i="7"/>
  <c r="C2819" i="7"/>
  <c r="O2818" i="7"/>
  <c r="N2818" i="7"/>
  <c r="M2818" i="7"/>
  <c r="L2818" i="7"/>
  <c r="K2818" i="7"/>
  <c r="J2818" i="7"/>
  <c r="I2818" i="7"/>
  <c r="H2818" i="7"/>
  <c r="G2818" i="7"/>
  <c r="F2818" i="7"/>
  <c r="E2818" i="7"/>
  <c r="D2818" i="7"/>
  <c r="C2818" i="7"/>
  <c r="O2817" i="7"/>
  <c r="N2817" i="7"/>
  <c r="M2817" i="7"/>
  <c r="L2817" i="7"/>
  <c r="K2817" i="7"/>
  <c r="J2817" i="7"/>
  <c r="I2817" i="7"/>
  <c r="H2817" i="7"/>
  <c r="G2817" i="7"/>
  <c r="F2817" i="7"/>
  <c r="E2817" i="7"/>
  <c r="D2817" i="7"/>
  <c r="C2817" i="7"/>
  <c r="O2816" i="7"/>
  <c r="N2816" i="7"/>
  <c r="M2816" i="7"/>
  <c r="L2816" i="7"/>
  <c r="K2816" i="7"/>
  <c r="J2816" i="7"/>
  <c r="I2816" i="7"/>
  <c r="H2816" i="7"/>
  <c r="G2816" i="7"/>
  <c r="F2816" i="7"/>
  <c r="E2816" i="7"/>
  <c r="D2816" i="7"/>
  <c r="C2816" i="7"/>
  <c r="O2815" i="7"/>
  <c r="N2815" i="7"/>
  <c r="M2815" i="7"/>
  <c r="L2815" i="7"/>
  <c r="K2815" i="7"/>
  <c r="J2815" i="7"/>
  <c r="I2815" i="7"/>
  <c r="H2815" i="7"/>
  <c r="G2815" i="7"/>
  <c r="F2815" i="7"/>
  <c r="E2815" i="7"/>
  <c r="D2815" i="7"/>
  <c r="C2815" i="7"/>
  <c r="O2814" i="7"/>
  <c r="N2814" i="7"/>
  <c r="M2814" i="7"/>
  <c r="L2814" i="7"/>
  <c r="K2814" i="7"/>
  <c r="J2814" i="7"/>
  <c r="I2814" i="7"/>
  <c r="H2814" i="7"/>
  <c r="G2814" i="7"/>
  <c r="F2814" i="7"/>
  <c r="E2814" i="7"/>
  <c r="D2814" i="7"/>
  <c r="C2814" i="7"/>
  <c r="O2813" i="7"/>
  <c r="N2813" i="7"/>
  <c r="M2813" i="7"/>
  <c r="L2813" i="7"/>
  <c r="K2813" i="7"/>
  <c r="J2813" i="7"/>
  <c r="I2813" i="7"/>
  <c r="H2813" i="7"/>
  <c r="G2813" i="7"/>
  <c r="F2813" i="7"/>
  <c r="E2813" i="7"/>
  <c r="D2813" i="7"/>
  <c r="C2813" i="7"/>
  <c r="O2812" i="7"/>
  <c r="N2812" i="7"/>
  <c r="M2812" i="7"/>
  <c r="L2812" i="7"/>
  <c r="K2812" i="7"/>
  <c r="J2812" i="7"/>
  <c r="I2812" i="7"/>
  <c r="H2812" i="7"/>
  <c r="G2812" i="7"/>
  <c r="F2812" i="7"/>
  <c r="E2812" i="7"/>
  <c r="D2812" i="7"/>
  <c r="C2812" i="7"/>
  <c r="O2811" i="7"/>
  <c r="N2811" i="7"/>
  <c r="M2811" i="7"/>
  <c r="L2811" i="7"/>
  <c r="K2811" i="7"/>
  <c r="J2811" i="7"/>
  <c r="I2811" i="7"/>
  <c r="H2811" i="7"/>
  <c r="G2811" i="7"/>
  <c r="F2811" i="7"/>
  <c r="E2811" i="7"/>
  <c r="D2811" i="7"/>
  <c r="C2811" i="7"/>
  <c r="O2810" i="7"/>
  <c r="N2810" i="7"/>
  <c r="M2810" i="7"/>
  <c r="L2810" i="7"/>
  <c r="K2810" i="7"/>
  <c r="J2810" i="7"/>
  <c r="I2810" i="7"/>
  <c r="H2810" i="7"/>
  <c r="G2810" i="7"/>
  <c r="F2810" i="7"/>
  <c r="E2810" i="7"/>
  <c r="D2810" i="7"/>
  <c r="C2810" i="7"/>
  <c r="O2809" i="7"/>
  <c r="N2809" i="7"/>
  <c r="M2809" i="7"/>
  <c r="L2809" i="7"/>
  <c r="K2809" i="7"/>
  <c r="J2809" i="7"/>
  <c r="I2809" i="7"/>
  <c r="H2809" i="7"/>
  <c r="G2809" i="7"/>
  <c r="F2809" i="7"/>
  <c r="E2809" i="7"/>
  <c r="D2809" i="7"/>
  <c r="C2809" i="7"/>
  <c r="O2808" i="7"/>
  <c r="N2808" i="7"/>
  <c r="M2808" i="7"/>
  <c r="L2808" i="7"/>
  <c r="K2808" i="7"/>
  <c r="J2808" i="7"/>
  <c r="I2808" i="7"/>
  <c r="H2808" i="7"/>
  <c r="G2808" i="7"/>
  <c r="F2808" i="7"/>
  <c r="E2808" i="7"/>
  <c r="D2808" i="7"/>
  <c r="C2808" i="7"/>
  <c r="O2807" i="7"/>
  <c r="N2807" i="7"/>
  <c r="M2807" i="7"/>
  <c r="L2807" i="7"/>
  <c r="K2807" i="7"/>
  <c r="J2807" i="7"/>
  <c r="I2807" i="7"/>
  <c r="H2807" i="7"/>
  <c r="G2807" i="7"/>
  <c r="F2807" i="7"/>
  <c r="E2807" i="7"/>
  <c r="D2807" i="7"/>
  <c r="C2807" i="7"/>
  <c r="O2806" i="7"/>
  <c r="N2806" i="7"/>
  <c r="M2806" i="7"/>
  <c r="L2806" i="7"/>
  <c r="K2806" i="7"/>
  <c r="J2806" i="7"/>
  <c r="I2806" i="7"/>
  <c r="H2806" i="7"/>
  <c r="G2806" i="7"/>
  <c r="F2806" i="7"/>
  <c r="E2806" i="7"/>
  <c r="D2806" i="7"/>
  <c r="C2806" i="7"/>
  <c r="O2805" i="7"/>
  <c r="N2805" i="7"/>
  <c r="M2805" i="7"/>
  <c r="L2805" i="7"/>
  <c r="K2805" i="7"/>
  <c r="J2805" i="7"/>
  <c r="I2805" i="7"/>
  <c r="H2805" i="7"/>
  <c r="G2805" i="7"/>
  <c r="F2805" i="7"/>
  <c r="E2805" i="7"/>
  <c r="D2805" i="7"/>
  <c r="C2805" i="7"/>
  <c r="O2804" i="7"/>
  <c r="N2804" i="7"/>
  <c r="M2804" i="7"/>
  <c r="L2804" i="7"/>
  <c r="K2804" i="7"/>
  <c r="J2804" i="7"/>
  <c r="I2804" i="7"/>
  <c r="H2804" i="7"/>
  <c r="G2804" i="7"/>
  <c r="F2804" i="7"/>
  <c r="E2804" i="7"/>
  <c r="D2804" i="7"/>
  <c r="C2804" i="7"/>
  <c r="O2803" i="7"/>
  <c r="N2803" i="7"/>
  <c r="M2803" i="7"/>
  <c r="L2803" i="7"/>
  <c r="K2803" i="7"/>
  <c r="J2803" i="7"/>
  <c r="I2803" i="7"/>
  <c r="H2803" i="7"/>
  <c r="G2803" i="7"/>
  <c r="F2803" i="7"/>
  <c r="E2803" i="7"/>
  <c r="D2803" i="7"/>
  <c r="C2803" i="7"/>
  <c r="O2802" i="7"/>
  <c r="N2802" i="7"/>
  <c r="M2802" i="7"/>
  <c r="L2802" i="7"/>
  <c r="K2802" i="7"/>
  <c r="J2802" i="7"/>
  <c r="I2802" i="7"/>
  <c r="H2802" i="7"/>
  <c r="G2802" i="7"/>
  <c r="F2802" i="7"/>
  <c r="E2802" i="7"/>
  <c r="D2802" i="7"/>
  <c r="C2802" i="7"/>
  <c r="O2801" i="7"/>
  <c r="N2801" i="7"/>
  <c r="M2801" i="7"/>
  <c r="L2801" i="7"/>
  <c r="K2801" i="7"/>
  <c r="J2801" i="7"/>
  <c r="I2801" i="7"/>
  <c r="H2801" i="7"/>
  <c r="G2801" i="7"/>
  <c r="F2801" i="7"/>
  <c r="E2801" i="7"/>
  <c r="D2801" i="7"/>
  <c r="C2801" i="7"/>
  <c r="O2800" i="7"/>
  <c r="N2800" i="7"/>
  <c r="M2800" i="7"/>
  <c r="L2800" i="7"/>
  <c r="K2800" i="7"/>
  <c r="J2800" i="7"/>
  <c r="I2800" i="7"/>
  <c r="H2800" i="7"/>
  <c r="G2800" i="7"/>
  <c r="F2800" i="7"/>
  <c r="E2800" i="7"/>
  <c r="D2800" i="7"/>
  <c r="C2800" i="7"/>
  <c r="O2799" i="7"/>
  <c r="N2799" i="7"/>
  <c r="M2799" i="7"/>
  <c r="L2799" i="7"/>
  <c r="K2799" i="7"/>
  <c r="J2799" i="7"/>
  <c r="I2799" i="7"/>
  <c r="H2799" i="7"/>
  <c r="G2799" i="7"/>
  <c r="F2799" i="7"/>
  <c r="E2799" i="7"/>
  <c r="D2799" i="7"/>
  <c r="C2799" i="7"/>
  <c r="O2798" i="7"/>
  <c r="N2798" i="7"/>
  <c r="M2798" i="7"/>
  <c r="L2798" i="7"/>
  <c r="K2798" i="7"/>
  <c r="J2798" i="7"/>
  <c r="I2798" i="7"/>
  <c r="H2798" i="7"/>
  <c r="G2798" i="7"/>
  <c r="F2798" i="7"/>
  <c r="E2798" i="7"/>
  <c r="D2798" i="7"/>
  <c r="C2798" i="7"/>
  <c r="O2797" i="7"/>
  <c r="N2797" i="7"/>
  <c r="M2797" i="7"/>
  <c r="L2797" i="7"/>
  <c r="K2797" i="7"/>
  <c r="J2797" i="7"/>
  <c r="I2797" i="7"/>
  <c r="H2797" i="7"/>
  <c r="G2797" i="7"/>
  <c r="F2797" i="7"/>
  <c r="E2797" i="7"/>
  <c r="D2797" i="7"/>
  <c r="C2797" i="7"/>
  <c r="O2796" i="7"/>
  <c r="N2796" i="7"/>
  <c r="M2796" i="7"/>
  <c r="L2796" i="7"/>
  <c r="K2796" i="7"/>
  <c r="J2796" i="7"/>
  <c r="I2796" i="7"/>
  <c r="H2796" i="7"/>
  <c r="G2796" i="7"/>
  <c r="F2796" i="7"/>
  <c r="E2796" i="7"/>
  <c r="D2796" i="7"/>
  <c r="C2796" i="7"/>
  <c r="O2791" i="7"/>
  <c r="N2791" i="7"/>
  <c r="M2791" i="7"/>
  <c r="L2791" i="7"/>
  <c r="K2791" i="7"/>
  <c r="J2791" i="7"/>
  <c r="I2791" i="7"/>
  <c r="H2791" i="7"/>
  <c r="G2791" i="7"/>
  <c r="F2791" i="7"/>
  <c r="E2791" i="7"/>
  <c r="D2791" i="7"/>
  <c r="C2791" i="7"/>
  <c r="O2790" i="7"/>
  <c r="N2790" i="7"/>
  <c r="M2790" i="7"/>
  <c r="L2790" i="7"/>
  <c r="K2790" i="7"/>
  <c r="J2790" i="7"/>
  <c r="I2790" i="7"/>
  <c r="G2790" i="7"/>
  <c r="F2790" i="7"/>
  <c r="E2790" i="7"/>
  <c r="D2790" i="7"/>
  <c r="C2790" i="7"/>
  <c r="O2789" i="7"/>
  <c r="N2789" i="7"/>
  <c r="M2789" i="7"/>
  <c r="L2789" i="7"/>
  <c r="K2789" i="7"/>
  <c r="J2789" i="7"/>
  <c r="I2789" i="7"/>
  <c r="H2789" i="7"/>
  <c r="G2789" i="7"/>
  <c r="F2789" i="7"/>
  <c r="E2789" i="7"/>
  <c r="D2789" i="7"/>
  <c r="C2789" i="7"/>
  <c r="O2788" i="7"/>
  <c r="N2788" i="7"/>
  <c r="M2788" i="7"/>
  <c r="L2788" i="7"/>
  <c r="K2788" i="7"/>
  <c r="J2788" i="7"/>
  <c r="I2788" i="7"/>
  <c r="H2788" i="7"/>
  <c r="G2788" i="7"/>
  <c r="F2788" i="7"/>
  <c r="E2788" i="7"/>
  <c r="D2788" i="7"/>
  <c r="C2788" i="7"/>
  <c r="O2787" i="7"/>
  <c r="N2787" i="7"/>
  <c r="M2787" i="7"/>
  <c r="L2787" i="7"/>
  <c r="K2787" i="7"/>
  <c r="J2787" i="7"/>
  <c r="I2787" i="7"/>
  <c r="H2787" i="7"/>
  <c r="G2787" i="7"/>
  <c r="F2787" i="7"/>
  <c r="E2787" i="7"/>
  <c r="D2787" i="7"/>
  <c r="C2787" i="7"/>
  <c r="O2786" i="7"/>
  <c r="N2786" i="7"/>
  <c r="M2786" i="7"/>
  <c r="L2786" i="7"/>
  <c r="K2786" i="7"/>
  <c r="J2786" i="7"/>
  <c r="I2786" i="7"/>
  <c r="H2786" i="7"/>
  <c r="G2786" i="7"/>
  <c r="F2786" i="7"/>
  <c r="E2786" i="7"/>
  <c r="D2786" i="7"/>
  <c r="C2786" i="7"/>
  <c r="O2785" i="7"/>
  <c r="N2785" i="7"/>
  <c r="M2785" i="7"/>
  <c r="L2785" i="7"/>
  <c r="K2785" i="7"/>
  <c r="J2785" i="7"/>
  <c r="I2785" i="7"/>
  <c r="H2785" i="7"/>
  <c r="G2785" i="7"/>
  <c r="F2785" i="7"/>
  <c r="E2785" i="7"/>
  <c r="D2785" i="7"/>
  <c r="C2785" i="7"/>
  <c r="O2784" i="7"/>
  <c r="N2784" i="7"/>
  <c r="M2784" i="7"/>
  <c r="L2784" i="7"/>
  <c r="K2784" i="7"/>
  <c r="J2784" i="7"/>
  <c r="I2784" i="7"/>
  <c r="H2784" i="7"/>
  <c r="G2784" i="7"/>
  <c r="F2784" i="7"/>
  <c r="E2784" i="7"/>
  <c r="D2784" i="7"/>
  <c r="C2784" i="7"/>
  <c r="O2783" i="7"/>
  <c r="N2783" i="7"/>
  <c r="M2783" i="7"/>
  <c r="L2783" i="7"/>
  <c r="K2783" i="7"/>
  <c r="J2783" i="7"/>
  <c r="I2783" i="7"/>
  <c r="H2783" i="7"/>
  <c r="G2783" i="7"/>
  <c r="F2783" i="7"/>
  <c r="E2783" i="7"/>
  <c r="D2783" i="7"/>
  <c r="C2783" i="7"/>
  <c r="O2782" i="7"/>
  <c r="N2782" i="7"/>
  <c r="M2782" i="7"/>
  <c r="L2782" i="7"/>
  <c r="K2782" i="7"/>
  <c r="J2782" i="7"/>
  <c r="I2782" i="7"/>
  <c r="H2782" i="7"/>
  <c r="G2782" i="7"/>
  <c r="F2782" i="7"/>
  <c r="E2782" i="7"/>
  <c r="D2782" i="7"/>
  <c r="C2782" i="7"/>
  <c r="O2781" i="7"/>
  <c r="N2781" i="7"/>
  <c r="M2781" i="7"/>
  <c r="L2781" i="7"/>
  <c r="K2781" i="7"/>
  <c r="J2781" i="7"/>
  <c r="I2781" i="7"/>
  <c r="H2781" i="7"/>
  <c r="G2781" i="7"/>
  <c r="F2781" i="7"/>
  <c r="E2781" i="7"/>
  <c r="D2781" i="7"/>
  <c r="C2781" i="7"/>
  <c r="O2780" i="7"/>
  <c r="N2780" i="7"/>
  <c r="M2780" i="7"/>
  <c r="L2780" i="7"/>
  <c r="K2780" i="7"/>
  <c r="J2780" i="7"/>
  <c r="I2780" i="7"/>
  <c r="H2780" i="7"/>
  <c r="G2780" i="7"/>
  <c r="F2780" i="7"/>
  <c r="E2780" i="7"/>
  <c r="D2780" i="7"/>
  <c r="C2780" i="7"/>
  <c r="O2779" i="7"/>
  <c r="N2779" i="7"/>
  <c r="M2779" i="7"/>
  <c r="L2779" i="7"/>
  <c r="K2779" i="7"/>
  <c r="J2779" i="7"/>
  <c r="I2779" i="7"/>
  <c r="H2779" i="7"/>
  <c r="G2779" i="7"/>
  <c r="F2779" i="7"/>
  <c r="E2779" i="7"/>
  <c r="D2779" i="7"/>
  <c r="C2779" i="7"/>
  <c r="O2778" i="7"/>
  <c r="N2778" i="7"/>
  <c r="M2778" i="7"/>
  <c r="L2778" i="7"/>
  <c r="K2778" i="7"/>
  <c r="J2778" i="7"/>
  <c r="I2778" i="7"/>
  <c r="H2778" i="7"/>
  <c r="G2778" i="7"/>
  <c r="F2778" i="7"/>
  <c r="E2778" i="7"/>
  <c r="D2778" i="7"/>
  <c r="C2778" i="7"/>
  <c r="O2777" i="7"/>
  <c r="N2777" i="7"/>
  <c r="M2777" i="7"/>
  <c r="L2777" i="7"/>
  <c r="K2777" i="7"/>
  <c r="J2777" i="7"/>
  <c r="I2777" i="7"/>
  <c r="H2777" i="7"/>
  <c r="G2777" i="7"/>
  <c r="F2777" i="7"/>
  <c r="E2777" i="7"/>
  <c r="D2777" i="7"/>
  <c r="C2777" i="7"/>
  <c r="O2776" i="7"/>
  <c r="N2776" i="7"/>
  <c r="M2776" i="7"/>
  <c r="L2776" i="7"/>
  <c r="K2776" i="7"/>
  <c r="J2776" i="7"/>
  <c r="I2776" i="7"/>
  <c r="H2776" i="7"/>
  <c r="G2776" i="7"/>
  <c r="F2776" i="7"/>
  <c r="E2776" i="7"/>
  <c r="D2776" i="7"/>
  <c r="C2776" i="7"/>
  <c r="O2775" i="7"/>
  <c r="N2775" i="7"/>
  <c r="M2775" i="7"/>
  <c r="L2775" i="7"/>
  <c r="K2775" i="7"/>
  <c r="J2775" i="7"/>
  <c r="I2775" i="7"/>
  <c r="H2775" i="7"/>
  <c r="G2775" i="7"/>
  <c r="F2775" i="7"/>
  <c r="E2775" i="7"/>
  <c r="D2775" i="7"/>
  <c r="C2775" i="7"/>
  <c r="O2774" i="7"/>
  <c r="N2774" i="7"/>
  <c r="M2774" i="7"/>
  <c r="L2774" i="7"/>
  <c r="K2774" i="7"/>
  <c r="J2774" i="7"/>
  <c r="I2774" i="7"/>
  <c r="H2774" i="7"/>
  <c r="G2774" i="7"/>
  <c r="F2774" i="7"/>
  <c r="E2774" i="7"/>
  <c r="D2774" i="7"/>
  <c r="C2774" i="7"/>
  <c r="O2773" i="7"/>
  <c r="N2773" i="7"/>
  <c r="M2773" i="7"/>
  <c r="L2773" i="7"/>
  <c r="K2773" i="7"/>
  <c r="J2773" i="7"/>
  <c r="I2773" i="7"/>
  <c r="H2773" i="7"/>
  <c r="G2773" i="7"/>
  <c r="F2773" i="7"/>
  <c r="E2773" i="7"/>
  <c r="D2773" i="7"/>
  <c r="C2773" i="7"/>
  <c r="O2772" i="7"/>
  <c r="N2772" i="7"/>
  <c r="M2772" i="7"/>
  <c r="L2772" i="7"/>
  <c r="K2772" i="7"/>
  <c r="J2772" i="7"/>
  <c r="I2772" i="7"/>
  <c r="H2772" i="7"/>
  <c r="G2772" i="7"/>
  <c r="F2772" i="7"/>
  <c r="E2772" i="7"/>
  <c r="D2772" i="7"/>
  <c r="C2772" i="7"/>
  <c r="O2771" i="7"/>
  <c r="N2771" i="7"/>
  <c r="M2771" i="7"/>
  <c r="L2771" i="7"/>
  <c r="K2771" i="7"/>
  <c r="J2771" i="7"/>
  <c r="I2771" i="7"/>
  <c r="H2771" i="7"/>
  <c r="G2771" i="7"/>
  <c r="F2771" i="7"/>
  <c r="E2771" i="7"/>
  <c r="D2771" i="7"/>
  <c r="C2771" i="7"/>
  <c r="O2770" i="7"/>
  <c r="N2770" i="7"/>
  <c r="M2770" i="7"/>
  <c r="L2770" i="7"/>
  <c r="K2770" i="7"/>
  <c r="J2770" i="7"/>
  <c r="I2770" i="7"/>
  <c r="H2770" i="7"/>
  <c r="G2770" i="7"/>
  <c r="F2770" i="7"/>
  <c r="E2770" i="7"/>
  <c r="D2770" i="7"/>
  <c r="C2770" i="7"/>
  <c r="O2769" i="7"/>
  <c r="N2769" i="7"/>
  <c r="M2769" i="7"/>
  <c r="L2769" i="7"/>
  <c r="K2769" i="7"/>
  <c r="J2769" i="7"/>
  <c r="I2769" i="7"/>
  <c r="H2769" i="7"/>
  <c r="G2769" i="7"/>
  <c r="F2769" i="7"/>
  <c r="E2769" i="7"/>
  <c r="D2769" i="7"/>
  <c r="C2769" i="7"/>
  <c r="O2768" i="7"/>
  <c r="N2768" i="7"/>
  <c r="M2768" i="7"/>
  <c r="L2768" i="7"/>
  <c r="K2768" i="7"/>
  <c r="J2768" i="7"/>
  <c r="I2768" i="7"/>
  <c r="H2768" i="7"/>
  <c r="G2768" i="7"/>
  <c r="F2768" i="7"/>
  <c r="E2768" i="7"/>
  <c r="D2768" i="7"/>
  <c r="C2768" i="7"/>
  <c r="O2767" i="7"/>
  <c r="N2767" i="7"/>
  <c r="M2767" i="7"/>
  <c r="L2767" i="7"/>
  <c r="K2767" i="7"/>
  <c r="J2767" i="7"/>
  <c r="I2767" i="7"/>
  <c r="H2767" i="7"/>
  <c r="G2767" i="7"/>
  <c r="F2767" i="7"/>
  <c r="E2767" i="7"/>
  <c r="D2767" i="7"/>
  <c r="C2767" i="7"/>
  <c r="O2766" i="7"/>
  <c r="N2766" i="7"/>
  <c r="M2766" i="7"/>
  <c r="L2766" i="7"/>
  <c r="K2766" i="7"/>
  <c r="J2766" i="7"/>
  <c r="I2766" i="7"/>
  <c r="H2766" i="7"/>
  <c r="G2766" i="7"/>
  <c r="F2766" i="7"/>
  <c r="E2766" i="7"/>
  <c r="D2766" i="7"/>
  <c r="C2766" i="7"/>
  <c r="O2765" i="7"/>
  <c r="N2765" i="7"/>
  <c r="M2765" i="7"/>
  <c r="L2765" i="7"/>
  <c r="K2765" i="7"/>
  <c r="J2765" i="7"/>
  <c r="I2765" i="7"/>
  <c r="H2765" i="7"/>
  <c r="G2765" i="7"/>
  <c r="F2765" i="7"/>
  <c r="E2765" i="7"/>
  <c r="D2765" i="7"/>
  <c r="C2765" i="7"/>
  <c r="O2764" i="7"/>
  <c r="N2764" i="7"/>
  <c r="M2764" i="7"/>
  <c r="L2764" i="7"/>
  <c r="K2764" i="7"/>
  <c r="J2764" i="7"/>
  <c r="I2764" i="7"/>
  <c r="H2764" i="7"/>
  <c r="G2764" i="7"/>
  <c r="F2764" i="7"/>
  <c r="E2764" i="7"/>
  <c r="D2764" i="7"/>
  <c r="C2764" i="7"/>
  <c r="O2763" i="7"/>
  <c r="N2763" i="7"/>
  <c r="M2763" i="7"/>
  <c r="L2763" i="7"/>
  <c r="K2763" i="7"/>
  <c r="J2763" i="7"/>
  <c r="I2763" i="7"/>
  <c r="H2763" i="7"/>
  <c r="G2763" i="7"/>
  <c r="F2763" i="7"/>
  <c r="E2763" i="7"/>
  <c r="D2763" i="7"/>
  <c r="C2763" i="7"/>
  <c r="O2762" i="7"/>
  <c r="N2762" i="7"/>
  <c r="M2762" i="7"/>
  <c r="L2762" i="7"/>
  <c r="K2762" i="7"/>
  <c r="J2762" i="7"/>
  <c r="I2762" i="7"/>
  <c r="H2762" i="7"/>
  <c r="G2762" i="7"/>
  <c r="F2762" i="7"/>
  <c r="E2762" i="7"/>
  <c r="D2762" i="7"/>
  <c r="C2762" i="7"/>
  <c r="O2761" i="7"/>
  <c r="N2761" i="7"/>
  <c r="M2761" i="7"/>
  <c r="L2761" i="7"/>
  <c r="K2761" i="7"/>
  <c r="J2761" i="7"/>
  <c r="I2761" i="7"/>
  <c r="H2761" i="7"/>
  <c r="G2761" i="7"/>
  <c r="F2761" i="7"/>
  <c r="E2761" i="7"/>
  <c r="D2761" i="7"/>
  <c r="C2761" i="7"/>
  <c r="O2760" i="7"/>
  <c r="N2760" i="7"/>
  <c r="M2760" i="7"/>
  <c r="L2760" i="7"/>
  <c r="K2760" i="7"/>
  <c r="J2760" i="7"/>
  <c r="I2760" i="7"/>
  <c r="H2760" i="7"/>
  <c r="G2760" i="7"/>
  <c r="F2760" i="7"/>
  <c r="E2760" i="7"/>
  <c r="D2760" i="7"/>
  <c r="C2760" i="7"/>
  <c r="O2759" i="7"/>
  <c r="N2759" i="7"/>
  <c r="M2759" i="7"/>
  <c r="L2759" i="7"/>
  <c r="K2759" i="7"/>
  <c r="J2759" i="7"/>
  <c r="I2759" i="7"/>
  <c r="H2759" i="7"/>
  <c r="G2759" i="7"/>
  <c r="F2759" i="7"/>
  <c r="E2759" i="7"/>
  <c r="D2759" i="7"/>
  <c r="C2759" i="7"/>
  <c r="O2758" i="7"/>
  <c r="N2758" i="7"/>
  <c r="M2758" i="7"/>
  <c r="L2758" i="7"/>
  <c r="K2758" i="7"/>
  <c r="J2758" i="7"/>
  <c r="I2758" i="7"/>
  <c r="H2758" i="7"/>
  <c r="G2758" i="7"/>
  <c r="F2758" i="7"/>
  <c r="E2758" i="7"/>
  <c r="D2758" i="7"/>
  <c r="C2758" i="7"/>
  <c r="O2757" i="7"/>
  <c r="N2757" i="7"/>
  <c r="M2757" i="7"/>
  <c r="L2757" i="7"/>
  <c r="K2757" i="7"/>
  <c r="J2757" i="7"/>
  <c r="I2757" i="7"/>
  <c r="H2757" i="7"/>
  <c r="G2757" i="7"/>
  <c r="F2757" i="7"/>
  <c r="E2757" i="7"/>
  <c r="D2757" i="7"/>
  <c r="C2757" i="7"/>
  <c r="O2756" i="7"/>
  <c r="N2756" i="7"/>
  <c r="M2756" i="7"/>
  <c r="L2756" i="7"/>
  <c r="K2756" i="7"/>
  <c r="J2756" i="7"/>
  <c r="I2756" i="7"/>
  <c r="H2756" i="7"/>
  <c r="G2756" i="7"/>
  <c r="F2756" i="7"/>
  <c r="E2756" i="7"/>
  <c r="D2756" i="7"/>
  <c r="C2756" i="7"/>
  <c r="O2755" i="7"/>
  <c r="N2755" i="7"/>
  <c r="M2755" i="7"/>
  <c r="L2755" i="7"/>
  <c r="K2755" i="7"/>
  <c r="J2755" i="7"/>
  <c r="I2755" i="7"/>
  <c r="H2755" i="7"/>
  <c r="G2755" i="7"/>
  <c r="F2755" i="7"/>
  <c r="E2755" i="7"/>
  <c r="D2755" i="7"/>
  <c r="C2755" i="7"/>
  <c r="O2754" i="7"/>
  <c r="N2754" i="7"/>
  <c r="M2754" i="7"/>
  <c r="L2754" i="7"/>
  <c r="K2754" i="7"/>
  <c r="J2754" i="7"/>
  <c r="I2754" i="7"/>
  <c r="H2754" i="7"/>
  <c r="G2754" i="7"/>
  <c r="F2754" i="7"/>
  <c r="E2754" i="7"/>
  <c r="D2754" i="7"/>
  <c r="C2754" i="7"/>
  <c r="O2753" i="7"/>
  <c r="N2753" i="7"/>
  <c r="M2753" i="7"/>
  <c r="L2753" i="7"/>
  <c r="K2753" i="7"/>
  <c r="J2753" i="7"/>
  <c r="I2753" i="7"/>
  <c r="H2753" i="7"/>
  <c r="G2753" i="7"/>
  <c r="F2753" i="7"/>
  <c r="E2753" i="7"/>
  <c r="D2753" i="7"/>
  <c r="C2753" i="7"/>
  <c r="O2752" i="7"/>
  <c r="N2752" i="7"/>
  <c r="M2752" i="7"/>
  <c r="L2752" i="7"/>
  <c r="K2752" i="7"/>
  <c r="J2752" i="7"/>
  <c r="I2752" i="7"/>
  <c r="H2752" i="7"/>
  <c r="G2752" i="7"/>
  <c r="F2752" i="7"/>
  <c r="E2752" i="7"/>
  <c r="D2752" i="7"/>
  <c r="C2752" i="7"/>
  <c r="O2751" i="7"/>
  <c r="N2751" i="7"/>
  <c r="M2751" i="7"/>
  <c r="L2751" i="7"/>
  <c r="K2751" i="7"/>
  <c r="J2751" i="7"/>
  <c r="I2751" i="7"/>
  <c r="H2751" i="7"/>
  <c r="G2751" i="7"/>
  <c r="F2751" i="7"/>
  <c r="E2751" i="7"/>
  <c r="D2751" i="7"/>
  <c r="C2751" i="7"/>
  <c r="O2750" i="7"/>
  <c r="N2750" i="7"/>
  <c r="M2750" i="7"/>
  <c r="L2750" i="7"/>
  <c r="K2750" i="7"/>
  <c r="J2750" i="7"/>
  <c r="I2750" i="7"/>
  <c r="H2750" i="7"/>
  <c r="G2750" i="7"/>
  <c r="F2750" i="7"/>
  <c r="E2750" i="7"/>
  <c r="D2750" i="7"/>
  <c r="C2750" i="7"/>
  <c r="O2749" i="7"/>
  <c r="N2749" i="7"/>
  <c r="M2749" i="7"/>
  <c r="L2749" i="7"/>
  <c r="K2749" i="7"/>
  <c r="J2749" i="7"/>
  <c r="I2749" i="7"/>
  <c r="H2749" i="7"/>
  <c r="G2749" i="7"/>
  <c r="F2749" i="7"/>
  <c r="E2749" i="7"/>
  <c r="D2749" i="7"/>
  <c r="C2749" i="7"/>
  <c r="O2748" i="7"/>
  <c r="N2748" i="7"/>
  <c r="M2748" i="7"/>
  <c r="L2748" i="7"/>
  <c r="K2748" i="7"/>
  <c r="J2748" i="7"/>
  <c r="I2748" i="7"/>
  <c r="H2748" i="7"/>
  <c r="G2748" i="7"/>
  <c r="F2748" i="7"/>
  <c r="E2748" i="7"/>
  <c r="D2748" i="7"/>
  <c r="C2748" i="7"/>
  <c r="O2747" i="7"/>
  <c r="N2747" i="7"/>
  <c r="M2747" i="7"/>
  <c r="L2747" i="7"/>
  <c r="K2747" i="7"/>
  <c r="J2747" i="7"/>
  <c r="I2747" i="7"/>
  <c r="H2747" i="7"/>
  <c r="G2747" i="7"/>
  <c r="F2747" i="7"/>
  <c r="E2747" i="7"/>
  <c r="D2747" i="7"/>
  <c r="C2747" i="7"/>
  <c r="O2746" i="7"/>
  <c r="N2746" i="7"/>
  <c r="M2746" i="7"/>
  <c r="L2746" i="7"/>
  <c r="K2746" i="7"/>
  <c r="J2746" i="7"/>
  <c r="I2746" i="7"/>
  <c r="H2746" i="7"/>
  <c r="G2746" i="7"/>
  <c r="F2746" i="7"/>
  <c r="E2746" i="7"/>
  <c r="D2746" i="7"/>
  <c r="C2746" i="7"/>
  <c r="O2745" i="7"/>
  <c r="N2745" i="7"/>
  <c r="M2745" i="7"/>
  <c r="L2745" i="7"/>
  <c r="K2745" i="7"/>
  <c r="J2745" i="7"/>
  <c r="I2745" i="7"/>
  <c r="H2745" i="7"/>
  <c r="G2745" i="7"/>
  <c r="F2745" i="7"/>
  <c r="E2745" i="7"/>
  <c r="D2745" i="7"/>
  <c r="C2745" i="7"/>
  <c r="O2744" i="7"/>
  <c r="N2744" i="7"/>
  <c r="M2744" i="7"/>
  <c r="L2744" i="7"/>
  <c r="K2744" i="7"/>
  <c r="J2744" i="7"/>
  <c r="I2744" i="7"/>
  <c r="H2744" i="7"/>
  <c r="G2744" i="7"/>
  <c r="F2744" i="7"/>
  <c r="E2744" i="7"/>
  <c r="D2744" i="7"/>
  <c r="C2744" i="7"/>
  <c r="O2743" i="7"/>
  <c r="N2743" i="7"/>
  <c r="M2743" i="7"/>
  <c r="L2743" i="7"/>
  <c r="K2743" i="7"/>
  <c r="J2743" i="7"/>
  <c r="I2743" i="7"/>
  <c r="H2743" i="7"/>
  <c r="G2743" i="7"/>
  <c r="F2743" i="7"/>
  <c r="E2743" i="7"/>
  <c r="D2743" i="7"/>
  <c r="C2743" i="7"/>
  <c r="O2742" i="7"/>
  <c r="N2742" i="7"/>
  <c r="M2742" i="7"/>
  <c r="L2742" i="7"/>
  <c r="K2742" i="7"/>
  <c r="J2742" i="7"/>
  <c r="I2742" i="7"/>
  <c r="H2742" i="7"/>
  <c r="G2742" i="7"/>
  <c r="F2742" i="7"/>
  <c r="E2742" i="7"/>
  <c r="D2742" i="7"/>
  <c r="C2742" i="7"/>
  <c r="O2741" i="7"/>
  <c r="N2741" i="7"/>
  <c r="M2741" i="7"/>
  <c r="L2741" i="7"/>
  <c r="K2741" i="7"/>
  <c r="J2741" i="7"/>
  <c r="I2741" i="7"/>
  <c r="H2741" i="7"/>
  <c r="G2741" i="7"/>
  <c r="F2741" i="7"/>
  <c r="E2741" i="7"/>
  <c r="D2741" i="7"/>
  <c r="C2741" i="7"/>
  <c r="O2740" i="7"/>
  <c r="N2740" i="7"/>
  <c r="M2740" i="7"/>
  <c r="L2740" i="7"/>
  <c r="K2740" i="7"/>
  <c r="J2740" i="7"/>
  <c r="I2740" i="7"/>
  <c r="H2740" i="7"/>
  <c r="G2740" i="7"/>
  <c r="F2740" i="7"/>
  <c r="E2740" i="7"/>
  <c r="D2740" i="7"/>
  <c r="C2740" i="7"/>
  <c r="O2739" i="7"/>
  <c r="N2739" i="7"/>
  <c r="M2739" i="7"/>
  <c r="L2739" i="7"/>
  <c r="K2739" i="7"/>
  <c r="J2739" i="7"/>
  <c r="I2739" i="7"/>
  <c r="H2739" i="7"/>
  <c r="G2739" i="7"/>
  <c r="F2739" i="7"/>
  <c r="E2739" i="7"/>
  <c r="D2739" i="7"/>
  <c r="C2739" i="7"/>
  <c r="O2738" i="7"/>
  <c r="N2738" i="7"/>
  <c r="M2738" i="7"/>
  <c r="L2738" i="7"/>
  <c r="K2738" i="7"/>
  <c r="J2738" i="7"/>
  <c r="I2738" i="7"/>
  <c r="H2738" i="7"/>
  <c r="G2738" i="7"/>
  <c r="F2738" i="7"/>
  <c r="E2738" i="7"/>
  <c r="D2738" i="7"/>
  <c r="C2738" i="7"/>
  <c r="O2737" i="7"/>
  <c r="N2737" i="7"/>
  <c r="M2737" i="7"/>
  <c r="L2737" i="7"/>
  <c r="K2737" i="7"/>
  <c r="J2737" i="7"/>
  <c r="I2737" i="7"/>
  <c r="H2737" i="7"/>
  <c r="G2737" i="7"/>
  <c r="F2737" i="7"/>
  <c r="E2737" i="7"/>
  <c r="D2737" i="7"/>
  <c r="C2737" i="7"/>
  <c r="O2736" i="7"/>
  <c r="N2736" i="7"/>
  <c r="M2736" i="7"/>
  <c r="L2736" i="7"/>
  <c r="K2736" i="7"/>
  <c r="J2736" i="7"/>
  <c r="I2736" i="7"/>
  <c r="H2736" i="7"/>
  <c r="G2736" i="7"/>
  <c r="F2736" i="7"/>
  <c r="E2736" i="7"/>
  <c r="D2736" i="7"/>
  <c r="C2736" i="7"/>
  <c r="O2735" i="7"/>
  <c r="N2735" i="7"/>
  <c r="M2735" i="7"/>
  <c r="L2735" i="7"/>
  <c r="K2735" i="7"/>
  <c r="J2735" i="7"/>
  <c r="I2735" i="7"/>
  <c r="H2735" i="7"/>
  <c r="G2735" i="7"/>
  <c r="F2735" i="7"/>
  <c r="E2735" i="7"/>
  <c r="D2735" i="7"/>
  <c r="C2735" i="7"/>
  <c r="O2734" i="7"/>
  <c r="N2734" i="7"/>
  <c r="M2734" i="7"/>
  <c r="L2734" i="7"/>
  <c r="K2734" i="7"/>
  <c r="J2734" i="7"/>
  <c r="I2734" i="7"/>
  <c r="H2734" i="7"/>
  <c r="G2734" i="7"/>
  <c r="F2734" i="7"/>
  <c r="E2734" i="7"/>
  <c r="D2734" i="7"/>
  <c r="C2734" i="7"/>
  <c r="O2733" i="7"/>
  <c r="N2733" i="7"/>
  <c r="M2733" i="7"/>
  <c r="L2733" i="7"/>
  <c r="K2733" i="7"/>
  <c r="J2733" i="7"/>
  <c r="I2733" i="7"/>
  <c r="H2733" i="7"/>
  <c r="G2733" i="7"/>
  <c r="F2733" i="7"/>
  <c r="E2733" i="7"/>
  <c r="D2733" i="7"/>
  <c r="C2733" i="7"/>
  <c r="O2732" i="7"/>
  <c r="N2732" i="7"/>
  <c r="M2732" i="7"/>
  <c r="L2732" i="7"/>
  <c r="K2732" i="7"/>
  <c r="J2732" i="7"/>
  <c r="I2732" i="7"/>
  <c r="H2732" i="7"/>
  <c r="G2732" i="7"/>
  <c r="F2732" i="7"/>
  <c r="E2732" i="7"/>
  <c r="D2732" i="7"/>
  <c r="C2732" i="7"/>
  <c r="O2731" i="7"/>
  <c r="N2731" i="7"/>
  <c r="M2731" i="7"/>
  <c r="L2731" i="7"/>
  <c r="K2731" i="7"/>
  <c r="J2731" i="7"/>
  <c r="I2731" i="7"/>
  <c r="H2731" i="7"/>
  <c r="G2731" i="7"/>
  <c r="F2731" i="7"/>
  <c r="E2731" i="7"/>
  <c r="D2731" i="7"/>
  <c r="C2731" i="7"/>
  <c r="O2730" i="7"/>
  <c r="N2730" i="7"/>
  <c r="M2730" i="7"/>
  <c r="L2730" i="7"/>
  <c r="K2730" i="7"/>
  <c r="J2730" i="7"/>
  <c r="I2730" i="7"/>
  <c r="H2730" i="7"/>
  <c r="G2730" i="7"/>
  <c r="F2730" i="7"/>
  <c r="E2730" i="7"/>
  <c r="D2730" i="7"/>
  <c r="C2730" i="7"/>
  <c r="O2729" i="7"/>
  <c r="N2729" i="7"/>
  <c r="M2729" i="7"/>
  <c r="L2729" i="7"/>
  <c r="K2729" i="7"/>
  <c r="J2729" i="7"/>
  <c r="I2729" i="7"/>
  <c r="H2729" i="7"/>
  <c r="G2729" i="7"/>
  <c r="F2729" i="7"/>
  <c r="E2729" i="7"/>
  <c r="D2729" i="7"/>
  <c r="C2729" i="7"/>
  <c r="O2728" i="7"/>
  <c r="N2728" i="7"/>
  <c r="M2728" i="7"/>
  <c r="L2728" i="7"/>
  <c r="K2728" i="7"/>
  <c r="J2728" i="7"/>
  <c r="I2728" i="7"/>
  <c r="H2728" i="7"/>
  <c r="G2728" i="7"/>
  <c r="F2728" i="7"/>
  <c r="E2728" i="7"/>
  <c r="D2728" i="7"/>
  <c r="C2728" i="7"/>
  <c r="O2727" i="7"/>
  <c r="N2727" i="7"/>
  <c r="M2727" i="7"/>
  <c r="L2727" i="7"/>
  <c r="K2727" i="7"/>
  <c r="J2727" i="7"/>
  <c r="I2727" i="7"/>
  <c r="H2727" i="7"/>
  <c r="G2727" i="7"/>
  <c r="F2727" i="7"/>
  <c r="E2727" i="7"/>
  <c r="D2727" i="7"/>
  <c r="C2727" i="7"/>
  <c r="O2726" i="7"/>
  <c r="N2726" i="7"/>
  <c r="M2726" i="7"/>
  <c r="L2726" i="7"/>
  <c r="K2726" i="7"/>
  <c r="J2726" i="7"/>
  <c r="I2726" i="7"/>
  <c r="H2726" i="7"/>
  <c r="G2726" i="7"/>
  <c r="F2726" i="7"/>
  <c r="E2726" i="7"/>
  <c r="D2726" i="7"/>
  <c r="C2726" i="7"/>
  <c r="O2725" i="7"/>
  <c r="N2725" i="7"/>
  <c r="M2725" i="7"/>
  <c r="L2725" i="7"/>
  <c r="K2725" i="7"/>
  <c r="J2725" i="7"/>
  <c r="I2725" i="7"/>
  <c r="H2725" i="7"/>
  <c r="G2725" i="7"/>
  <c r="F2725" i="7"/>
  <c r="E2725" i="7"/>
  <c r="D2725" i="7"/>
  <c r="C2725" i="7"/>
  <c r="O2724" i="7"/>
  <c r="N2724" i="7"/>
  <c r="M2724" i="7"/>
  <c r="L2724" i="7"/>
  <c r="K2724" i="7"/>
  <c r="J2724" i="7"/>
  <c r="I2724" i="7"/>
  <c r="H2724" i="7"/>
  <c r="G2724" i="7"/>
  <c r="F2724" i="7"/>
  <c r="E2724" i="7"/>
  <c r="D2724" i="7"/>
  <c r="C2724" i="7"/>
  <c r="O2723" i="7"/>
  <c r="N2723" i="7"/>
  <c r="M2723" i="7"/>
  <c r="L2723" i="7"/>
  <c r="K2723" i="7"/>
  <c r="J2723" i="7"/>
  <c r="I2723" i="7"/>
  <c r="H2723" i="7"/>
  <c r="G2723" i="7"/>
  <c r="F2723" i="7"/>
  <c r="E2723" i="7"/>
  <c r="D2723" i="7"/>
  <c r="C2723" i="7"/>
  <c r="O2722" i="7"/>
  <c r="N2722" i="7"/>
  <c r="M2722" i="7"/>
  <c r="L2722" i="7"/>
  <c r="K2722" i="7"/>
  <c r="J2722" i="7"/>
  <c r="I2722" i="7"/>
  <c r="H2722" i="7"/>
  <c r="G2722" i="7"/>
  <c r="F2722" i="7"/>
  <c r="E2722" i="7"/>
  <c r="D2722" i="7"/>
  <c r="C2722" i="7"/>
  <c r="O2721" i="7"/>
  <c r="N2721" i="7"/>
  <c r="M2721" i="7"/>
  <c r="L2721" i="7"/>
  <c r="K2721" i="7"/>
  <c r="J2721" i="7"/>
  <c r="I2721" i="7"/>
  <c r="H2721" i="7"/>
  <c r="G2721" i="7"/>
  <c r="F2721" i="7"/>
  <c r="E2721" i="7"/>
  <c r="D2721" i="7"/>
  <c r="C2721" i="7"/>
  <c r="O2720" i="7"/>
  <c r="N2720" i="7"/>
  <c r="M2720" i="7"/>
  <c r="L2720" i="7"/>
  <c r="K2720" i="7"/>
  <c r="J2720" i="7"/>
  <c r="I2720" i="7"/>
  <c r="H2720" i="7"/>
  <c r="G2720" i="7"/>
  <c r="F2720" i="7"/>
  <c r="E2720" i="7"/>
  <c r="D2720" i="7"/>
  <c r="C2720" i="7"/>
  <c r="O2719" i="7"/>
  <c r="N2719" i="7"/>
  <c r="M2719" i="7"/>
  <c r="L2719" i="7"/>
  <c r="K2719" i="7"/>
  <c r="J2719" i="7"/>
  <c r="I2719" i="7"/>
  <c r="H2719" i="7"/>
  <c r="G2719" i="7"/>
  <c r="F2719" i="7"/>
  <c r="E2719" i="7"/>
  <c r="D2719" i="7"/>
  <c r="C2719" i="7"/>
  <c r="O2718" i="7"/>
  <c r="N2718" i="7"/>
  <c r="M2718" i="7"/>
  <c r="L2718" i="7"/>
  <c r="K2718" i="7"/>
  <c r="J2718" i="7"/>
  <c r="I2718" i="7"/>
  <c r="H2718" i="7"/>
  <c r="G2718" i="7"/>
  <c r="F2718" i="7"/>
  <c r="E2718" i="7"/>
  <c r="D2718" i="7"/>
  <c r="C2718" i="7"/>
  <c r="O2717" i="7"/>
  <c r="N2717" i="7"/>
  <c r="M2717" i="7"/>
  <c r="L2717" i="7"/>
  <c r="K2717" i="7"/>
  <c r="J2717" i="7"/>
  <c r="I2717" i="7"/>
  <c r="H2717" i="7"/>
  <c r="G2717" i="7"/>
  <c r="F2717" i="7"/>
  <c r="E2717" i="7"/>
  <c r="D2717" i="7"/>
  <c r="C2717" i="7"/>
  <c r="O2716" i="7"/>
  <c r="N2716" i="7"/>
  <c r="M2716" i="7"/>
  <c r="L2716" i="7"/>
  <c r="K2716" i="7"/>
  <c r="J2716" i="7"/>
  <c r="I2716" i="7"/>
  <c r="H2716" i="7"/>
  <c r="G2716" i="7"/>
  <c r="F2716" i="7"/>
  <c r="E2716" i="7"/>
  <c r="D2716" i="7"/>
  <c r="C2716" i="7"/>
  <c r="O2715" i="7"/>
  <c r="N2715" i="7"/>
  <c r="M2715" i="7"/>
  <c r="L2715" i="7"/>
  <c r="K2715" i="7"/>
  <c r="J2715" i="7"/>
  <c r="I2715" i="7"/>
  <c r="H2715" i="7"/>
  <c r="G2715" i="7"/>
  <c r="F2715" i="7"/>
  <c r="E2715" i="7"/>
  <c r="D2715" i="7"/>
  <c r="C2715" i="7"/>
  <c r="O2714" i="7"/>
  <c r="N2714" i="7"/>
  <c r="M2714" i="7"/>
  <c r="L2714" i="7"/>
  <c r="K2714" i="7"/>
  <c r="J2714" i="7"/>
  <c r="I2714" i="7"/>
  <c r="H2714" i="7"/>
  <c r="G2714" i="7"/>
  <c r="F2714" i="7"/>
  <c r="E2714" i="7"/>
  <c r="D2714" i="7"/>
  <c r="C2714" i="7"/>
  <c r="O2713" i="7"/>
  <c r="N2713" i="7"/>
  <c r="M2713" i="7"/>
  <c r="L2713" i="7"/>
  <c r="K2713" i="7"/>
  <c r="J2713" i="7"/>
  <c r="I2713" i="7"/>
  <c r="H2713" i="7"/>
  <c r="G2713" i="7"/>
  <c r="F2713" i="7"/>
  <c r="E2713" i="7"/>
  <c r="D2713" i="7"/>
  <c r="C2713" i="7"/>
  <c r="O2712" i="7"/>
  <c r="N2712" i="7"/>
  <c r="M2712" i="7"/>
  <c r="L2712" i="7"/>
  <c r="K2712" i="7"/>
  <c r="J2712" i="7"/>
  <c r="I2712" i="7"/>
  <c r="H2712" i="7"/>
  <c r="G2712" i="7"/>
  <c r="F2712" i="7"/>
  <c r="E2712" i="7"/>
  <c r="D2712" i="7"/>
  <c r="C2712" i="7"/>
  <c r="O2711" i="7"/>
  <c r="N2711" i="7"/>
  <c r="M2711" i="7"/>
  <c r="L2711" i="7"/>
  <c r="K2711" i="7"/>
  <c r="J2711" i="7"/>
  <c r="I2711" i="7"/>
  <c r="H2711" i="7"/>
  <c r="G2711" i="7"/>
  <c r="F2711" i="7"/>
  <c r="E2711" i="7"/>
  <c r="D2711" i="7"/>
  <c r="C2711" i="7"/>
  <c r="O2710" i="7"/>
  <c r="N2710" i="7"/>
  <c r="M2710" i="7"/>
  <c r="L2710" i="7"/>
  <c r="K2710" i="7"/>
  <c r="J2710" i="7"/>
  <c r="I2710" i="7"/>
  <c r="H2710" i="7"/>
  <c r="G2710" i="7"/>
  <c r="F2710" i="7"/>
  <c r="E2710" i="7"/>
  <c r="D2710" i="7"/>
  <c r="C2710" i="7"/>
  <c r="O2709" i="7"/>
  <c r="N2709" i="7"/>
  <c r="M2709" i="7"/>
  <c r="L2709" i="7"/>
  <c r="K2709" i="7"/>
  <c r="J2709" i="7"/>
  <c r="I2709" i="7"/>
  <c r="H2709" i="7"/>
  <c r="G2709" i="7"/>
  <c r="F2709" i="7"/>
  <c r="E2709" i="7"/>
  <c r="D2709" i="7"/>
  <c r="C2709" i="7"/>
  <c r="O2708" i="7"/>
  <c r="N2708" i="7"/>
  <c r="M2708" i="7"/>
  <c r="L2708" i="7"/>
  <c r="K2708" i="7"/>
  <c r="J2708" i="7"/>
  <c r="I2708" i="7"/>
  <c r="H2708" i="7"/>
  <c r="G2708" i="7"/>
  <c r="F2708" i="7"/>
  <c r="E2708" i="7"/>
  <c r="D2708" i="7"/>
  <c r="C2708" i="7"/>
  <c r="O2707" i="7"/>
  <c r="N2707" i="7"/>
  <c r="M2707" i="7"/>
  <c r="L2707" i="7"/>
  <c r="K2707" i="7"/>
  <c r="J2707" i="7"/>
  <c r="I2707" i="7"/>
  <c r="H2707" i="7"/>
  <c r="G2707" i="7"/>
  <c r="F2707" i="7"/>
  <c r="E2707" i="7"/>
  <c r="D2707" i="7"/>
  <c r="C2707" i="7"/>
  <c r="O2706" i="7"/>
  <c r="N2706" i="7"/>
  <c r="M2706" i="7"/>
  <c r="L2706" i="7"/>
  <c r="K2706" i="7"/>
  <c r="J2706" i="7"/>
  <c r="I2706" i="7"/>
  <c r="H2706" i="7"/>
  <c r="G2706" i="7"/>
  <c r="F2706" i="7"/>
  <c r="E2706" i="7"/>
  <c r="D2706" i="7"/>
  <c r="C2706" i="7"/>
  <c r="O2705" i="7"/>
  <c r="N2705" i="7"/>
  <c r="M2705" i="7"/>
  <c r="L2705" i="7"/>
  <c r="K2705" i="7"/>
  <c r="J2705" i="7"/>
  <c r="I2705" i="7"/>
  <c r="H2705" i="7"/>
  <c r="G2705" i="7"/>
  <c r="F2705" i="7"/>
  <c r="E2705" i="7"/>
  <c r="D2705" i="7"/>
  <c r="C2705" i="7"/>
  <c r="O2704" i="7"/>
  <c r="N2704" i="7"/>
  <c r="M2704" i="7"/>
  <c r="L2704" i="7"/>
  <c r="K2704" i="7"/>
  <c r="J2704" i="7"/>
  <c r="I2704" i="7"/>
  <c r="H2704" i="7"/>
  <c r="G2704" i="7"/>
  <c r="F2704" i="7"/>
  <c r="E2704" i="7"/>
  <c r="D2704" i="7"/>
  <c r="C2704" i="7"/>
  <c r="O2703" i="7"/>
  <c r="N2703" i="7"/>
  <c r="M2703" i="7"/>
  <c r="L2703" i="7"/>
  <c r="K2703" i="7"/>
  <c r="J2703" i="7"/>
  <c r="I2703" i="7"/>
  <c r="H2703" i="7"/>
  <c r="G2703" i="7"/>
  <c r="F2703" i="7"/>
  <c r="E2703" i="7"/>
  <c r="D2703" i="7"/>
  <c r="C2703" i="7"/>
  <c r="O2702" i="7"/>
  <c r="N2702" i="7"/>
  <c r="M2702" i="7"/>
  <c r="L2702" i="7"/>
  <c r="K2702" i="7"/>
  <c r="J2702" i="7"/>
  <c r="I2702" i="7"/>
  <c r="H2702" i="7"/>
  <c r="G2702" i="7"/>
  <c r="F2702" i="7"/>
  <c r="E2702" i="7"/>
  <c r="D2702" i="7"/>
  <c r="C2702" i="7"/>
  <c r="O2701" i="7"/>
  <c r="N2701" i="7"/>
  <c r="M2701" i="7"/>
  <c r="L2701" i="7"/>
  <c r="K2701" i="7"/>
  <c r="J2701" i="7"/>
  <c r="I2701" i="7"/>
  <c r="H2701" i="7"/>
  <c r="G2701" i="7"/>
  <c r="F2701" i="7"/>
  <c r="E2701" i="7"/>
  <c r="D2701" i="7"/>
  <c r="C2701" i="7"/>
  <c r="O2700" i="7"/>
  <c r="N2700" i="7"/>
  <c r="M2700" i="7"/>
  <c r="L2700" i="7"/>
  <c r="K2700" i="7"/>
  <c r="J2700" i="7"/>
  <c r="I2700" i="7"/>
  <c r="H2700" i="7"/>
  <c r="G2700" i="7"/>
  <c r="F2700" i="7"/>
  <c r="E2700" i="7"/>
  <c r="D2700" i="7"/>
  <c r="C2700" i="7"/>
  <c r="O2699" i="7"/>
  <c r="N2699" i="7"/>
  <c r="M2699" i="7"/>
  <c r="L2699" i="7"/>
  <c r="K2699" i="7"/>
  <c r="J2699" i="7"/>
  <c r="I2699" i="7"/>
  <c r="H2699" i="7"/>
  <c r="G2699" i="7"/>
  <c r="F2699" i="7"/>
  <c r="E2699" i="7"/>
  <c r="D2699" i="7"/>
  <c r="C2699" i="7"/>
  <c r="O2698" i="7"/>
  <c r="N2698" i="7"/>
  <c r="M2698" i="7"/>
  <c r="L2698" i="7"/>
  <c r="K2698" i="7"/>
  <c r="J2698" i="7"/>
  <c r="I2698" i="7"/>
  <c r="H2698" i="7"/>
  <c r="G2698" i="7"/>
  <c r="F2698" i="7"/>
  <c r="E2698" i="7"/>
  <c r="D2698" i="7"/>
  <c r="C2698" i="7"/>
  <c r="O2697" i="7"/>
  <c r="N2697" i="7"/>
  <c r="M2697" i="7"/>
  <c r="L2697" i="7"/>
  <c r="K2697" i="7"/>
  <c r="J2697" i="7"/>
  <c r="I2697" i="7"/>
  <c r="H2697" i="7"/>
  <c r="G2697" i="7"/>
  <c r="F2697" i="7"/>
  <c r="E2697" i="7"/>
  <c r="D2697" i="7"/>
  <c r="C2697" i="7"/>
  <c r="O2696" i="7"/>
  <c r="N2696" i="7"/>
  <c r="M2696" i="7"/>
  <c r="L2696" i="7"/>
  <c r="K2696" i="7"/>
  <c r="J2696" i="7"/>
  <c r="I2696" i="7"/>
  <c r="H2696" i="7"/>
  <c r="G2696" i="7"/>
  <c r="F2696" i="7"/>
  <c r="E2696" i="7"/>
  <c r="D2696" i="7"/>
  <c r="C2696" i="7"/>
  <c r="O2695" i="7"/>
  <c r="N2695" i="7"/>
  <c r="M2695" i="7"/>
  <c r="L2695" i="7"/>
  <c r="K2695" i="7"/>
  <c r="J2695" i="7"/>
  <c r="I2695" i="7"/>
  <c r="H2695" i="7"/>
  <c r="G2695" i="7"/>
  <c r="F2695" i="7"/>
  <c r="E2695" i="7"/>
  <c r="D2695" i="7"/>
  <c r="C2695" i="7"/>
  <c r="O2694" i="7"/>
  <c r="N2694" i="7"/>
  <c r="M2694" i="7"/>
  <c r="L2694" i="7"/>
  <c r="K2694" i="7"/>
  <c r="J2694" i="7"/>
  <c r="I2694" i="7"/>
  <c r="H2694" i="7"/>
  <c r="G2694" i="7"/>
  <c r="F2694" i="7"/>
  <c r="E2694" i="7"/>
  <c r="D2694" i="7"/>
  <c r="C2694" i="7"/>
  <c r="O2693" i="7"/>
  <c r="N2693" i="7"/>
  <c r="M2693" i="7"/>
  <c r="L2693" i="7"/>
  <c r="K2693" i="7"/>
  <c r="J2693" i="7"/>
  <c r="I2693" i="7"/>
  <c r="H2693" i="7"/>
  <c r="G2693" i="7"/>
  <c r="F2693" i="7"/>
  <c r="E2693" i="7"/>
  <c r="D2693" i="7"/>
  <c r="C2693" i="7"/>
  <c r="O2692" i="7"/>
  <c r="N2692" i="7"/>
  <c r="M2692" i="7"/>
  <c r="L2692" i="7"/>
  <c r="K2692" i="7"/>
  <c r="J2692" i="7"/>
  <c r="I2692" i="7"/>
  <c r="H2692" i="7"/>
  <c r="G2692" i="7"/>
  <c r="F2692" i="7"/>
  <c r="E2692" i="7"/>
  <c r="D2692" i="7"/>
  <c r="C2692" i="7"/>
  <c r="O2691" i="7"/>
  <c r="N2691" i="7"/>
  <c r="M2691" i="7"/>
  <c r="L2691" i="7"/>
  <c r="K2691" i="7"/>
  <c r="J2691" i="7"/>
  <c r="I2691" i="7"/>
  <c r="H2691" i="7"/>
  <c r="G2691" i="7"/>
  <c r="F2691" i="7"/>
  <c r="E2691" i="7"/>
  <c r="D2691" i="7"/>
  <c r="C2691" i="7"/>
  <c r="O2690" i="7"/>
  <c r="N2690" i="7"/>
  <c r="M2690" i="7"/>
  <c r="L2690" i="7"/>
  <c r="K2690" i="7"/>
  <c r="J2690" i="7"/>
  <c r="I2690" i="7"/>
  <c r="H2690" i="7"/>
  <c r="G2690" i="7"/>
  <c r="F2690" i="7"/>
  <c r="E2690" i="7"/>
  <c r="D2690" i="7"/>
  <c r="C2690" i="7"/>
  <c r="O2689" i="7"/>
  <c r="N2689" i="7"/>
  <c r="M2689" i="7"/>
  <c r="L2689" i="7"/>
  <c r="K2689" i="7"/>
  <c r="J2689" i="7"/>
  <c r="I2689" i="7"/>
  <c r="H2689" i="7"/>
  <c r="G2689" i="7"/>
  <c r="F2689" i="7"/>
  <c r="E2689" i="7"/>
  <c r="D2689" i="7"/>
  <c r="C2689" i="7"/>
  <c r="O2688" i="7"/>
  <c r="N2688" i="7"/>
  <c r="M2688" i="7"/>
  <c r="L2688" i="7"/>
  <c r="K2688" i="7"/>
  <c r="J2688" i="7"/>
  <c r="I2688" i="7"/>
  <c r="H2688" i="7"/>
  <c r="G2688" i="7"/>
  <c r="F2688" i="7"/>
  <c r="E2688" i="7"/>
  <c r="D2688" i="7"/>
  <c r="C2688" i="7"/>
  <c r="O2687" i="7"/>
  <c r="N2687" i="7"/>
  <c r="M2687" i="7"/>
  <c r="L2687" i="7"/>
  <c r="K2687" i="7"/>
  <c r="J2687" i="7"/>
  <c r="I2687" i="7"/>
  <c r="H2687" i="7"/>
  <c r="G2687" i="7"/>
  <c r="F2687" i="7"/>
  <c r="E2687" i="7"/>
  <c r="D2687" i="7"/>
  <c r="C2687" i="7"/>
  <c r="O2686" i="7"/>
  <c r="N2686" i="7"/>
  <c r="M2686" i="7"/>
  <c r="L2686" i="7"/>
  <c r="K2686" i="7"/>
  <c r="J2686" i="7"/>
  <c r="I2686" i="7"/>
  <c r="H2686" i="7"/>
  <c r="G2686" i="7"/>
  <c r="F2686" i="7"/>
  <c r="E2686" i="7"/>
  <c r="D2686" i="7"/>
  <c r="C2686" i="7"/>
  <c r="O2685" i="7"/>
  <c r="N2685" i="7"/>
  <c r="M2685" i="7"/>
  <c r="L2685" i="7"/>
  <c r="K2685" i="7"/>
  <c r="J2685" i="7"/>
  <c r="I2685" i="7"/>
  <c r="H2685" i="7"/>
  <c r="G2685" i="7"/>
  <c r="F2685" i="7"/>
  <c r="E2685" i="7"/>
  <c r="D2685" i="7"/>
  <c r="C2685" i="7"/>
  <c r="O2684" i="7"/>
  <c r="N2684" i="7"/>
  <c r="M2684" i="7"/>
  <c r="L2684" i="7"/>
  <c r="K2684" i="7"/>
  <c r="J2684" i="7"/>
  <c r="I2684" i="7"/>
  <c r="H2684" i="7"/>
  <c r="G2684" i="7"/>
  <c r="F2684" i="7"/>
  <c r="E2684" i="7"/>
  <c r="D2684" i="7"/>
  <c r="C2684" i="7"/>
  <c r="O2683" i="7"/>
  <c r="N2683" i="7"/>
  <c r="M2683" i="7"/>
  <c r="L2683" i="7"/>
  <c r="K2683" i="7"/>
  <c r="J2683" i="7"/>
  <c r="I2683" i="7"/>
  <c r="H2683" i="7"/>
  <c r="G2683" i="7"/>
  <c r="F2683" i="7"/>
  <c r="E2683" i="7"/>
  <c r="D2683" i="7"/>
  <c r="C2683" i="7"/>
  <c r="O2682" i="7"/>
  <c r="N2682" i="7"/>
  <c r="M2682" i="7"/>
  <c r="L2682" i="7"/>
  <c r="K2682" i="7"/>
  <c r="J2682" i="7"/>
  <c r="I2682" i="7"/>
  <c r="H2682" i="7"/>
  <c r="G2682" i="7"/>
  <c r="F2682" i="7"/>
  <c r="E2682" i="7"/>
  <c r="D2682" i="7"/>
  <c r="C2682" i="7"/>
  <c r="O2677" i="7"/>
  <c r="N2677" i="7"/>
  <c r="M2677" i="7"/>
  <c r="L2677" i="7"/>
  <c r="K2677" i="7"/>
  <c r="J2677" i="7"/>
  <c r="I2677" i="7"/>
  <c r="H2677" i="7"/>
  <c r="G2677" i="7"/>
  <c r="F2677" i="7"/>
  <c r="E2677" i="7"/>
  <c r="D2677" i="7"/>
  <c r="C2677" i="7"/>
  <c r="O2676" i="7"/>
  <c r="N2676" i="7"/>
  <c r="M2676" i="7"/>
  <c r="L2676" i="7"/>
  <c r="K2676" i="7"/>
  <c r="J2676" i="7"/>
  <c r="I2676" i="7"/>
  <c r="G2676" i="7"/>
  <c r="F2676" i="7"/>
  <c r="E2676" i="7"/>
  <c r="D2676" i="7"/>
  <c r="C2676" i="7"/>
  <c r="O2675" i="7"/>
  <c r="N2675" i="7"/>
  <c r="M2675" i="7"/>
  <c r="L2675" i="7"/>
  <c r="K2675" i="7"/>
  <c r="J2675" i="7"/>
  <c r="I2675" i="7"/>
  <c r="H2675" i="7"/>
  <c r="G2675" i="7"/>
  <c r="F2675" i="7"/>
  <c r="E2675" i="7"/>
  <c r="D2675" i="7"/>
  <c r="C2675" i="7"/>
  <c r="O2674" i="7"/>
  <c r="N2674" i="7"/>
  <c r="M2674" i="7"/>
  <c r="L2674" i="7"/>
  <c r="K2674" i="7"/>
  <c r="J2674" i="7"/>
  <c r="I2674" i="7"/>
  <c r="H2674" i="7"/>
  <c r="G2674" i="7"/>
  <c r="F2674" i="7"/>
  <c r="E2674" i="7"/>
  <c r="D2674" i="7"/>
  <c r="C2674" i="7"/>
  <c r="O2673" i="7"/>
  <c r="N2673" i="7"/>
  <c r="M2673" i="7"/>
  <c r="L2673" i="7"/>
  <c r="K2673" i="7"/>
  <c r="J2673" i="7"/>
  <c r="I2673" i="7"/>
  <c r="H2673" i="7"/>
  <c r="G2673" i="7"/>
  <c r="F2673" i="7"/>
  <c r="E2673" i="7"/>
  <c r="D2673" i="7"/>
  <c r="C2673" i="7"/>
  <c r="O2672" i="7"/>
  <c r="N2672" i="7"/>
  <c r="M2672" i="7"/>
  <c r="L2672" i="7"/>
  <c r="K2672" i="7"/>
  <c r="J2672" i="7"/>
  <c r="I2672" i="7"/>
  <c r="H2672" i="7"/>
  <c r="G2672" i="7"/>
  <c r="F2672" i="7"/>
  <c r="E2672" i="7"/>
  <c r="D2672" i="7"/>
  <c r="C2672" i="7"/>
  <c r="O2671" i="7"/>
  <c r="N2671" i="7"/>
  <c r="M2671" i="7"/>
  <c r="L2671" i="7"/>
  <c r="K2671" i="7"/>
  <c r="J2671" i="7"/>
  <c r="I2671" i="7"/>
  <c r="H2671" i="7"/>
  <c r="G2671" i="7"/>
  <c r="F2671" i="7"/>
  <c r="E2671" i="7"/>
  <c r="D2671" i="7"/>
  <c r="C2671" i="7"/>
  <c r="O2670" i="7"/>
  <c r="N2670" i="7"/>
  <c r="M2670" i="7"/>
  <c r="L2670" i="7"/>
  <c r="K2670" i="7"/>
  <c r="J2670" i="7"/>
  <c r="I2670" i="7"/>
  <c r="H2670" i="7"/>
  <c r="G2670" i="7"/>
  <c r="F2670" i="7"/>
  <c r="E2670" i="7"/>
  <c r="D2670" i="7"/>
  <c r="C2670" i="7"/>
  <c r="O2669" i="7"/>
  <c r="N2669" i="7"/>
  <c r="M2669" i="7"/>
  <c r="L2669" i="7"/>
  <c r="K2669" i="7"/>
  <c r="J2669" i="7"/>
  <c r="I2669" i="7"/>
  <c r="H2669" i="7"/>
  <c r="G2669" i="7"/>
  <c r="F2669" i="7"/>
  <c r="E2669" i="7"/>
  <c r="D2669" i="7"/>
  <c r="C2669" i="7"/>
  <c r="O2668" i="7"/>
  <c r="N2668" i="7"/>
  <c r="M2668" i="7"/>
  <c r="L2668" i="7"/>
  <c r="K2668" i="7"/>
  <c r="J2668" i="7"/>
  <c r="I2668" i="7"/>
  <c r="H2668" i="7"/>
  <c r="G2668" i="7"/>
  <c r="F2668" i="7"/>
  <c r="E2668" i="7"/>
  <c r="D2668" i="7"/>
  <c r="C2668" i="7"/>
  <c r="O2667" i="7"/>
  <c r="N2667" i="7"/>
  <c r="M2667" i="7"/>
  <c r="L2667" i="7"/>
  <c r="K2667" i="7"/>
  <c r="J2667" i="7"/>
  <c r="I2667" i="7"/>
  <c r="H2667" i="7"/>
  <c r="G2667" i="7"/>
  <c r="F2667" i="7"/>
  <c r="E2667" i="7"/>
  <c r="D2667" i="7"/>
  <c r="C2667" i="7"/>
  <c r="O2666" i="7"/>
  <c r="N2666" i="7"/>
  <c r="M2666" i="7"/>
  <c r="L2666" i="7"/>
  <c r="K2666" i="7"/>
  <c r="J2666" i="7"/>
  <c r="I2666" i="7"/>
  <c r="H2666" i="7"/>
  <c r="G2666" i="7"/>
  <c r="F2666" i="7"/>
  <c r="E2666" i="7"/>
  <c r="D2666" i="7"/>
  <c r="C2666" i="7"/>
  <c r="O2665" i="7"/>
  <c r="N2665" i="7"/>
  <c r="M2665" i="7"/>
  <c r="L2665" i="7"/>
  <c r="K2665" i="7"/>
  <c r="J2665" i="7"/>
  <c r="I2665" i="7"/>
  <c r="H2665" i="7"/>
  <c r="G2665" i="7"/>
  <c r="F2665" i="7"/>
  <c r="E2665" i="7"/>
  <c r="D2665" i="7"/>
  <c r="C2665" i="7"/>
  <c r="O2664" i="7"/>
  <c r="N2664" i="7"/>
  <c r="M2664" i="7"/>
  <c r="L2664" i="7"/>
  <c r="K2664" i="7"/>
  <c r="J2664" i="7"/>
  <c r="I2664" i="7"/>
  <c r="H2664" i="7"/>
  <c r="G2664" i="7"/>
  <c r="F2664" i="7"/>
  <c r="E2664" i="7"/>
  <c r="D2664" i="7"/>
  <c r="C2664" i="7"/>
  <c r="O2663" i="7"/>
  <c r="N2663" i="7"/>
  <c r="M2663" i="7"/>
  <c r="L2663" i="7"/>
  <c r="K2663" i="7"/>
  <c r="J2663" i="7"/>
  <c r="I2663" i="7"/>
  <c r="H2663" i="7"/>
  <c r="G2663" i="7"/>
  <c r="F2663" i="7"/>
  <c r="E2663" i="7"/>
  <c r="D2663" i="7"/>
  <c r="C2663" i="7"/>
  <c r="O2662" i="7"/>
  <c r="N2662" i="7"/>
  <c r="M2662" i="7"/>
  <c r="L2662" i="7"/>
  <c r="K2662" i="7"/>
  <c r="J2662" i="7"/>
  <c r="I2662" i="7"/>
  <c r="H2662" i="7"/>
  <c r="G2662" i="7"/>
  <c r="F2662" i="7"/>
  <c r="E2662" i="7"/>
  <c r="D2662" i="7"/>
  <c r="C2662" i="7"/>
  <c r="O2661" i="7"/>
  <c r="N2661" i="7"/>
  <c r="M2661" i="7"/>
  <c r="L2661" i="7"/>
  <c r="K2661" i="7"/>
  <c r="J2661" i="7"/>
  <c r="I2661" i="7"/>
  <c r="H2661" i="7"/>
  <c r="G2661" i="7"/>
  <c r="F2661" i="7"/>
  <c r="E2661" i="7"/>
  <c r="D2661" i="7"/>
  <c r="C2661" i="7"/>
  <c r="O2660" i="7"/>
  <c r="N2660" i="7"/>
  <c r="M2660" i="7"/>
  <c r="L2660" i="7"/>
  <c r="K2660" i="7"/>
  <c r="J2660" i="7"/>
  <c r="I2660" i="7"/>
  <c r="H2660" i="7"/>
  <c r="G2660" i="7"/>
  <c r="F2660" i="7"/>
  <c r="E2660" i="7"/>
  <c r="D2660" i="7"/>
  <c r="C2660" i="7"/>
  <c r="O2659" i="7"/>
  <c r="N2659" i="7"/>
  <c r="M2659" i="7"/>
  <c r="L2659" i="7"/>
  <c r="K2659" i="7"/>
  <c r="J2659" i="7"/>
  <c r="I2659" i="7"/>
  <c r="H2659" i="7"/>
  <c r="G2659" i="7"/>
  <c r="F2659" i="7"/>
  <c r="E2659" i="7"/>
  <c r="D2659" i="7"/>
  <c r="C2659" i="7"/>
  <c r="O2658" i="7"/>
  <c r="N2658" i="7"/>
  <c r="M2658" i="7"/>
  <c r="L2658" i="7"/>
  <c r="K2658" i="7"/>
  <c r="J2658" i="7"/>
  <c r="I2658" i="7"/>
  <c r="H2658" i="7"/>
  <c r="G2658" i="7"/>
  <c r="F2658" i="7"/>
  <c r="E2658" i="7"/>
  <c r="D2658" i="7"/>
  <c r="C2658" i="7"/>
  <c r="O2657" i="7"/>
  <c r="N2657" i="7"/>
  <c r="M2657" i="7"/>
  <c r="L2657" i="7"/>
  <c r="K2657" i="7"/>
  <c r="J2657" i="7"/>
  <c r="I2657" i="7"/>
  <c r="H2657" i="7"/>
  <c r="G2657" i="7"/>
  <c r="F2657" i="7"/>
  <c r="E2657" i="7"/>
  <c r="D2657" i="7"/>
  <c r="C2657" i="7"/>
  <c r="O2656" i="7"/>
  <c r="N2656" i="7"/>
  <c r="M2656" i="7"/>
  <c r="L2656" i="7"/>
  <c r="K2656" i="7"/>
  <c r="J2656" i="7"/>
  <c r="I2656" i="7"/>
  <c r="H2656" i="7"/>
  <c r="G2656" i="7"/>
  <c r="F2656" i="7"/>
  <c r="E2656" i="7"/>
  <c r="D2656" i="7"/>
  <c r="C2656" i="7"/>
  <c r="O2655" i="7"/>
  <c r="N2655" i="7"/>
  <c r="M2655" i="7"/>
  <c r="L2655" i="7"/>
  <c r="K2655" i="7"/>
  <c r="J2655" i="7"/>
  <c r="I2655" i="7"/>
  <c r="H2655" i="7"/>
  <c r="G2655" i="7"/>
  <c r="F2655" i="7"/>
  <c r="E2655" i="7"/>
  <c r="D2655" i="7"/>
  <c r="C2655" i="7"/>
  <c r="O2654" i="7"/>
  <c r="N2654" i="7"/>
  <c r="M2654" i="7"/>
  <c r="L2654" i="7"/>
  <c r="K2654" i="7"/>
  <c r="J2654" i="7"/>
  <c r="I2654" i="7"/>
  <c r="H2654" i="7"/>
  <c r="G2654" i="7"/>
  <c r="F2654" i="7"/>
  <c r="E2654" i="7"/>
  <c r="D2654" i="7"/>
  <c r="C2654" i="7"/>
  <c r="O2653" i="7"/>
  <c r="N2653" i="7"/>
  <c r="M2653" i="7"/>
  <c r="L2653" i="7"/>
  <c r="K2653" i="7"/>
  <c r="J2653" i="7"/>
  <c r="I2653" i="7"/>
  <c r="H2653" i="7"/>
  <c r="G2653" i="7"/>
  <c r="F2653" i="7"/>
  <c r="E2653" i="7"/>
  <c r="D2653" i="7"/>
  <c r="C2653" i="7"/>
  <c r="O2652" i="7"/>
  <c r="N2652" i="7"/>
  <c r="M2652" i="7"/>
  <c r="L2652" i="7"/>
  <c r="K2652" i="7"/>
  <c r="J2652" i="7"/>
  <c r="I2652" i="7"/>
  <c r="H2652" i="7"/>
  <c r="G2652" i="7"/>
  <c r="F2652" i="7"/>
  <c r="E2652" i="7"/>
  <c r="D2652" i="7"/>
  <c r="C2652" i="7"/>
  <c r="O2651" i="7"/>
  <c r="N2651" i="7"/>
  <c r="M2651" i="7"/>
  <c r="L2651" i="7"/>
  <c r="K2651" i="7"/>
  <c r="J2651" i="7"/>
  <c r="I2651" i="7"/>
  <c r="H2651" i="7"/>
  <c r="G2651" i="7"/>
  <c r="F2651" i="7"/>
  <c r="E2651" i="7"/>
  <c r="D2651" i="7"/>
  <c r="C2651" i="7"/>
  <c r="O2650" i="7"/>
  <c r="N2650" i="7"/>
  <c r="M2650" i="7"/>
  <c r="L2650" i="7"/>
  <c r="K2650" i="7"/>
  <c r="J2650" i="7"/>
  <c r="I2650" i="7"/>
  <c r="H2650" i="7"/>
  <c r="G2650" i="7"/>
  <c r="F2650" i="7"/>
  <c r="E2650" i="7"/>
  <c r="D2650" i="7"/>
  <c r="C2650" i="7"/>
  <c r="O2649" i="7"/>
  <c r="N2649" i="7"/>
  <c r="M2649" i="7"/>
  <c r="L2649" i="7"/>
  <c r="K2649" i="7"/>
  <c r="J2649" i="7"/>
  <c r="I2649" i="7"/>
  <c r="H2649" i="7"/>
  <c r="G2649" i="7"/>
  <c r="F2649" i="7"/>
  <c r="E2649" i="7"/>
  <c r="D2649" i="7"/>
  <c r="C2649" i="7"/>
  <c r="O2648" i="7"/>
  <c r="N2648" i="7"/>
  <c r="M2648" i="7"/>
  <c r="L2648" i="7"/>
  <c r="K2648" i="7"/>
  <c r="J2648" i="7"/>
  <c r="I2648" i="7"/>
  <c r="H2648" i="7"/>
  <c r="G2648" i="7"/>
  <c r="F2648" i="7"/>
  <c r="E2648" i="7"/>
  <c r="D2648" i="7"/>
  <c r="C2648" i="7"/>
  <c r="O2647" i="7"/>
  <c r="N2647" i="7"/>
  <c r="M2647" i="7"/>
  <c r="L2647" i="7"/>
  <c r="K2647" i="7"/>
  <c r="J2647" i="7"/>
  <c r="I2647" i="7"/>
  <c r="H2647" i="7"/>
  <c r="G2647" i="7"/>
  <c r="F2647" i="7"/>
  <c r="E2647" i="7"/>
  <c r="D2647" i="7"/>
  <c r="C2647" i="7"/>
  <c r="O2646" i="7"/>
  <c r="N2646" i="7"/>
  <c r="M2646" i="7"/>
  <c r="L2646" i="7"/>
  <c r="K2646" i="7"/>
  <c r="J2646" i="7"/>
  <c r="I2646" i="7"/>
  <c r="H2646" i="7"/>
  <c r="G2646" i="7"/>
  <c r="F2646" i="7"/>
  <c r="E2646" i="7"/>
  <c r="D2646" i="7"/>
  <c r="C2646" i="7"/>
  <c r="O2645" i="7"/>
  <c r="N2645" i="7"/>
  <c r="M2645" i="7"/>
  <c r="L2645" i="7"/>
  <c r="K2645" i="7"/>
  <c r="J2645" i="7"/>
  <c r="I2645" i="7"/>
  <c r="H2645" i="7"/>
  <c r="G2645" i="7"/>
  <c r="F2645" i="7"/>
  <c r="E2645" i="7"/>
  <c r="D2645" i="7"/>
  <c r="C2645" i="7"/>
  <c r="O2644" i="7"/>
  <c r="N2644" i="7"/>
  <c r="M2644" i="7"/>
  <c r="L2644" i="7"/>
  <c r="K2644" i="7"/>
  <c r="J2644" i="7"/>
  <c r="I2644" i="7"/>
  <c r="H2644" i="7"/>
  <c r="G2644" i="7"/>
  <c r="F2644" i="7"/>
  <c r="E2644" i="7"/>
  <c r="D2644" i="7"/>
  <c r="C2644" i="7"/>
  <c r="O2643" i="7"/>
  <c r="N2643" i="7"/>
  <c r="M2643" i="7"/>
  <c r="L2643" i="7"/>
  <c r="K2643" i="7"/>
  <c r="J2643" i="7"/>
  <c r="I2643" i="7"/>
  <c r="H2643" i="7"/>
  <c r="G2643" i="7"/>
  <c r="F2643" i="7"/>
  <c r="E2643" i="7"/>
  <c r="D2643" i="7"/>
  <c r="C2643" i="7"/>
  <c r="O2642" i="7"/>
  <c r="N2642" i="7"/>
  <c r="M2642" i="7"/>
  <c r="L2642" i="7"/>
  <c r="K2642" i="7"/>
  <c r="J2642" i="7"/>
  <c r="I2642" i="7"/>
  <c r="H2642" i="7"/>
  <c r="G2642" i="7"/>
  <c r="F2642" i="7"/>
  <c r="E2642" i="7"/>
  <c r="D2642" i="7"/>
  <c r="C2642" i="7"/>
  <c r="O2641" i="7"/>
  <c r="N2641" i="7"/>
  <c r="M2641" i="7"/>
  <c r="L2641" i="7"/>
  <c r="K2641" i="7"/>
  <c r="J2641" i="7"/>
  <c r="I2641" i="7"/>
  <c r="H2641" i="7"/>
  <c r="G2641" i="7"/>
  <c r="F2641" i="7"/>
  <c r="E2641" i="7"/>
  <c r="D2641" i="7"/>
  <c r="C2641" i="7"/>
  <c r="O2640" i="7"/>
  <c r="N2640" i="7"/>
  <c r="M2640" i="7"/>
  <c r="L2640" i="7"/>
  <c r="K2640" i="7"/>
  <c r="J2640" i="7"/>
  <c r="I2640" i="7"/>
  <c r="H2640" i="7"/>
  <c r="G2640" i="7"/>
  <c r="F2640" i="7"/>
  <c r="E2640" i="7"/>
  <c r="D2640" i="7"/>
  <c r="C2640" i="7"/>
  <c r="O2639" i="7"/>
  <c r="N2639" i="7"/>
  <c r="M2639" i="7"/>
  <c r="L2639" i="7"/>
  <c r="K2639" i="7"/>
  <c r="J2639" i="7"/>
  <c r="I2639" i="7"/>
  <c r="H2639" i="7"/>
  <c r="G2639" i="7"/>
  <c r="F2639" i="7"/>
  <c r="E2639" i="7"/>
  <c r="D2639" i="7"/>
  <c r="C2639" i="7"/>
  <c r="O2638" i="7"/>
  <c r="N2638" i="7"/>
  <c r="M2638" i="7"/>
  <c r="L2638" i="7"/>
  <c r="K2638" i="7"/>
  <c r="J2638" i="7"/>
  <c r="I2638" i="7"/>
  <c r="H2638" i="7"/>
  <c r="G2638" i="7"/>
  <c r="F2638" i="7"/>
  <c r="E2638" i="7"/>
  <c r="D2638" i="7"/>
  <c r="C2638" i="7"/>
  <c r="O2637" i="7"/>
  <c r="N2637" i="7"/>
  <c r="M2637" i="7"/>
  <c r="L2637" i="7"/>
  <c r="K2637" i="7"/>
  <c r="J2637" i="7"/>
  <c r="I2637" i="7"/>
  <c r="H2637" i="7"/>
  <c r="G2637" i="7"/>
  <c r="F2637" i="7"/>
  <c r="E2637" i="7"/>
  <c r="D2637" i="7"/>
  <c r="C2637" i="7"/>
  <c r="O2636" i="7"/>
  <c r="N2636" i="7"/>
  <c r="M2636" i="7"/>
  <c r="L2636" i="7"/>
  <c r="K2636" i="7"/>
  <c r="J2636" i="7"/>
  <c r="I2636" i="7"/>
  <c r="H2636" i="7"/>
  <c r="G2636" i="7"/>
  <c r="F2636" i="7"/>
  <c r="E2636" i="7"/>
  <c r="D2636" i="7"/>
  <c r="C2636" i="7"/>
  <c r="O2635" i="7"/>
  <c r="N2635" i="7"/>
  <c r="M2635" i="7"/>
  <c r="L2635" i="7"/>
  <c r="K2635" i="7"/>
  <c r="J2635" i="7"/>
  <c r="I2635" i="7"/>
  <c r="H2635" i="7"/>
  <c r="G2635" i="7"/>
  <c r="F2635" i="7"/>
  <c r="E2635" i="7"/>
  <c r="D2635" i="7"/>
  <c r="C2635" i="7"/>
  <c r="O2634" i="7"/>
  <c r="N2634" i="7"/>
  <c r="M2634" i="7"/>
  <c r="L2634" i="7"/>
  <c r="K2634" i="7"/>
  <c r="J2634" i="7"/>
  <c r="I2634" i="7"/>
  <c r="H2634" i="7"/>
  <c r="G2634" i="7"/>
  <c r="F2634" i="7"/>
  <c r="E2634" i="7"/>
  <c r="D2634" i="7"/>
  <c r="C2634" i="7"/>
  <c r="O2633" i="7"/>
  <c r="N2633" i="7"/>
  <c r="M2633" i="7"/>
  <c r="L2633" i="7"/>
  <c r="K2633" i="7"/>
  <c r="J2633" i="7"/>
  <c r="I2633" i="7"/>
  <c r="H2633" i="7"/>
  <c r="G2633" i="7"/>
  <c r="F2633" i="7"/>
  <c r="E2633" i="7"/>
  <c r="D2633" i="7"/>
  <c r="C2633" i="7"/>
  <c r="O2632" i="7"/>
  <c r="N2632" i="7"/>
  <c r="M2632" i="7"/>
  <c r="L2632" i="7"/>
  <c r="K2632" i="7"/>
  <c r="J2632" i="7"/>
  <c r="I2632" i="7"/>
  <c r="H2632" i="7"/>
  <c r="G2632" i="7"/>
  <c r="F2632" i="7"/>
  <c r="E2632" i="7"/>
  <c r="D2632" i="7"/>
  <c r="C2632" i="7"/>
  <c r="O2631" i="7"/>
  <c r="N2631" i="7"/>
  <c r="M2631" i="7"/>
  <c r="L2631" i="7"/>
  <c r="K2631" i="7"/>
  <c r="J2631" i="7"/>
  <c r="I2631" i="7"/>
  <c r="H2631" i="7"/>
  <c r="G2631" i="7"/>
  <c r="F2631" i="7"/>
  <c r="E2631" i="7"/>
  <c r="D2631" i="7"/>
  <c r="C2631" i="7"/>
  <c r="O2630" i="7"/>
  <c r="N2630" i="7"/>
  <c r="M2630" i="7"/>
  <c r="L2630" i="7"/>
  <c r="K2630" i="7"/>
  <c r="J2630" i="7"/>
  <c r="I2630" i="7"/>
  <c r="H2630" i="7"/>
  <c r="G2630" i="7"/>
  <c r="F2630" i="7"/>
  <c r="E2630" i="7"/>
  <c r="D2630" i="7"/>
  <c r="C2630" i="7"/>
  <c r="O2629" i="7"/>
  <c r="N2629" i="7"/>
  <c r="M2629" i="7"/>
  <c r="L2629" i="7"/>
  <c r="K2629" i="7"/>
  <c r="J2629" i="7"/>
  <c r="I2629" i="7"/>
  <c r="H2629" i="7"/>
  <c r="G2629" i="7"/>
  <c r="F2629" i="7"/>
  <c r="E2629" i="7"/>
  <c r="D2629" i="7"/>
  <c r="C2629" i="7"/>
  <c r="O2628" i="7"/>
  <c r="N2628" i="7"/>
  <c r="M2628" i="7"/>
  <c r="L2628" i="7"/>
  <c r="K2628" i="7"/>
  <c r="J2628" i="7"/>
  <c r="I2628" i="7"/>
  <c r="H2628" i="7"/>
  <c r="G2628" i="7"/>
  <c r="F2628" i="7"/>
  <c r="E2628" i="7"/>
  <c r="D2628" i="7"/>
  <c r="C2628" i="7"/>
  <c r="O2627" i="7"/>
  <c r="N2627" i="7"/>
  <c r="M2627" i="7"/>
  <c r="L2627" i="7"/>
  <c r="K2627" i="7"/>
  <c r="J2627" i="7"/>
  <c r="I2627" i="7"/>
  <c r="H2627" i="7"/>
  <c r="G2627" i="7"/>
  <c r="F2627" i="7"/>
  <c r="E2627" i="7"/>
  <c r="D2627" i="7"/>
  <c r="C2627" i="7"/>
  <c r="O2626" i="7"/>
  <c r="N2626" i="7"/>
  <c r="M2626" i="7"/>
  <c r="L2626" i="7"/>
  <c r="K2626" i="7"/>
  <c r="J2626" i="7"/>
  <c r="I2626" i="7"/>
  <c r="H2626" i="7"/>
  <c r="G2626" i="7"/>
  <c r="F2626" i="7"/>
  <c r="E2626" i="7"/>
  <c r="D2626" i="7"/>
  <c r="C2626" i="7"/>
  <c r="O2625" i="7"/>
  <c r="N2625" i="7"/>
  <c r="M2625" i="7"/>
  <c r="L2625" i="7"/>
  <c r="K2625" i="7"/>
  <c r="J2625" i="7"/>
  <c r="I2625" i="7"/>
  <c r="H2625" i="7"/>
  <c r="G2625" i="7"/>
  <c r="F2625" i="7"/>
  <c r="E2625" i="7"/>
  <c r="D2625" i="7"/>
  <c r="C2625" i="7"/>
  <c r="O2624" i="7"/>
  <c r="N2624" i="7"/>
  <c r="M2624" i="7"/>
  <c r="L2624" i="7"/>
  <c r="K2624" i="7"/>
  <c r="J2624" i="7"/>
  <c r="I2624" i="7"/>
  <c r="H2624" i="7"/>
  <c r="G2624" i="7"/>
  <c r="F2624" i="7"/>
  <c r="E2624" i="7"/>
  <c r="D2624" i="7"/>
  <c r="C2624" i="7"/>
  <c r="O2623" i="7"/>
  <c r="N2623" i="7"/>
  <c r="M2623" i="7"/>
  <c r="L2623" i="7"/>
  <c r="K2623" i="7"/>
  <c r="J2623" i="7"/>
  <c r="I2623" i="7"/>
  <c r="H2623" i="7"/>
  <c r="G2623" i="7"/>
  <c r="F2623" i="7"/>
  <c r="E2623" i="7"/>
  <c r="D2623" i="7"/>
  <c r="C2623" i="7"/>
  <c r="O2622" i="7"/>
  <c r="N2622" i="7"/>
  <c r="M2622" i="7"/>
  <c r="L2622" i="7"/>
  <c r="K2622" i="7"/>
  <c r="J2622" i="7"/>
  <c r="I2622" i="7"/>
  <c r="H2622" i="7"/>
  <c r="G2622" i="7"/>
  <c r="F2622" i="7"/>
  <c r="E2622" i="7"/>
  <c r="D2622" i="7"/>
  <c r="C2622" i="7"/>
  <c r="O2621" i="7"/>
  <c r="N2621" i="7"/>
  <c r="M2621" i="7"/>
  <c r="L2621" i="7"/>
  <c r="K2621" i="7"/>
  <c r="J2621" i="7"/>
  <c r="I2621" i="7"/>
  <c r="H2621" i="7"/>
  <c r="G2621" i="7"/>
  <c r="F2621" i="7"/>
  <c r="E2621" i="7"/>
  <c r="D2621" i="7"/>
  <c r="C2621" i="7"/>
  <c r="O2620" i="7"/>
  <c r="N2620" i="7"/>
  <c r="M2620" i="7"/>
  <c r="L2620" i="7"/>
  <c r="K2620" i="7"/>
  <c r="J2620" i="7"/>
  <c r="I2620" i="7"/>
  <c r="H2620" i="7"/>
  <c r="G2620" i="7"/>
  <c r="F2620" i="7"/>
  <c r="E2620" i="7"/>
  <c r="D2620" i="7"/>
  <c r="C2620" i="7"/>
  <c r="O2619" i="7"/>
  <c r="N2619" i="7"/>
  <c r="M2619" i="7"/>
  <c r="L2619" i="7"/>
  <c r="K2619" i="7"/>
  <c r="J2619" i="7"/>
  <c r="I2619" i="7"/>
  <c r="H2619" i="7"/>
  <c r="G2619" i="7"/>
  <c r="F2619" i="7"/>
  <c r="E2619" i="7"/>
  <c r="D2619" i="7"/>
  <c r="C2619" i="7"/>
  <c r="O2618" i="7"/>
  <c r="N2618" i="7"/>
  <c r="M2618" i="7"/>
  <c r="L2618" i="7"/>
  <c r="K2618" i="7"/>
  <c r="J2618" i="7"/>
  <c r="I2618" i="7"/>
  <c r="H2618" i="7"/>
  <c r="G2618" i="7"/>
  <c r="F2618" i="7"/>
  <c r="E2618" i="7"/>
  <c r="D2618" i="7"/>
  <c r="C2618" i="7"/>
  <c r="O2617" i="7"/>
  <c r="N2617" i="7"/>
  <c r="M2617" i="7"/>
  <c r="L2617" i="7"/>
  <c r="K2617" i="7"/>
  <c r="J2617" i="7"/>
  <c r="I2617" i="7"/>
  <c r="H2617" i="7"/>
  <c r="G2617" i="7"/>
  <c r="F2617" i="7"/>
  <c r="E2617" i="7"/>
  <c r="D2617" i="7"/>
  <c r="C2617" i="7"/>
  <c r="O2616" i="7"/>
  <c r="N2616" i="7"/>
  <c r="M2616" i="7"/>
  <c r="L2616" i="7"/>
  <c r="K2616" i="7"/>
  <c r="J2616" i="7"/>
  <c r="I2616" i="7"/>
  <c r="H2616" i="7"/>
  <c r="G2616" i="7"/>
  <c r="F2616" i="7"/>
  <c r="E2616" i="7"/>
  <c r="D2616" i="7"/>
  <c r="C2616" i="7"/>
  <c r="O2615" i="7"/>
  <c r="N2615" i="7"/>
  <c r="M2615" i="7"/>
  <c r="L2615" i="7"/>
  <c r="K2615" i="7"/>
  <c r="J2615" i="7"/>
  <c r="I2615" i="7"/>
  <c r="H2615" i="7"/>
  <c r="G2615" i="7"/>
  <c r="F2615" i="7"/>
  <c r="E2615" i="7"/>
  <c r="D2615" i="7"/>
  <c r="C2615" i="7"/>
  <c r="O2614" i="7"/>
  <c r="N2614" i="7"/>
  <c r="M2614" i="7"/>
  <c r="L2614" i="7"/>
  <c r="K2614" i="7"/>
  <c r="J2614" i="7"/>
  <c r="I2614" i="7"/>
  <c r="H2614" i="7"/>
  <c r="G2614" i="7"/>
  <c r="F2614" i="7"/>
  <c r="E2614" i="7"/>
  <c r="D2614" i="7"/>
  <c r="C2614" i="7"/>
  <c r="O2613" i="7"/>
  <c r="N2613" i="7"/>
  <c r="M2613" i="7"/>
  <c r="L2613" i="7"/>
  <c r="K2613" i="7"/>
  <c r="J2613" i="7"/>
  <c r="I2613" i="7"/>
  <c r="H2613" i="7"/>
  <c r="G2613" i="7"/>
  <c r="F2613" i="7"/>
  <c r="E2613" i="7"/>
  <c r="D2613" i="7"/>
  <c r="C2613" i="7"/>
  <c r="O2612" i="7"/>
  <c r="N2612" i="7"/>
  <c r="M2612" i="7"/>
  <c r="L2612" i="7"/>
  <c r="K2612" i="7"/>
  <c r="J2612" i="7"/>
  <c r="I2612" i="7"/>
  <c r="H2612" i="7"/>
  <c r="G2612" i="7"/>
  <c r="F2612" i="7"/>
  <c r="E2612" i="7"/>
  <c r="D2612" i="7"/>
  <c r="C2612" i="7"/>
  <c r="O2611" i="7"/>
  <c r="N2611" i="7"/>
  <c r="M2611" i="7"/>
  <c r="L2611" i="7"/>
  <c r="K2611" i="7"/>
  <c r="J2611" i="7"/>
  <c r="I2611" i="7"/>
  <c r="H2611" i="7"/>
  <c r="G2611" i="7"/>
  <c r="F2611" i="7"/>
  <c r="E2611" i="7"/>
  <c r="D2611" i="7"/>
  <c r="C2611" i="7"/>
  <c r="O2610" i="7"/>
  <c r="N2610" i="7"/>
  <c r="M2610" i="7"/>
  <c r="L2610" i="7"/>
  <c r="K2610" i="7"/>
  <c r="J2610" i="7"/>
  <c r="I2610" i="7"/>
  <c r="H2610" i="7"/>
  <c r="G2610" i="7"/>
  <c r="F2610" i="7"/>
  <c r="E2610" i="7"/>
  <c r="D2610" i="7"/>
  <c r="C2610" i="7"/>
  <c r="O2609" i="7"/>
  <c r="N2609" i="7"/>
  <c r="M2609" i="7"/>
  <c r="L2609" i="7"/>
  <c r="K2609" i="7"/>
  <c r="J2609" i="7"/>
  <c r="I2609" i="7"/>
  <c r="H2609" i="7"/>
  <c r="G2609" i="7"/>
  <c r="F2609" i="7"/>
  <c r="E2609" i="7"/>
  <c r="D2609" i="7"/>
  <c r="C2609" i="7"/>
  <c r="O2608" i="7"/>
  <c r="N2608" i="7"/>
  <c r="M2608" i="7"/>
  <c r="L2608" i="7"/>
  <c r="K2608" i="7"/>
  <c r="J2608" i="7"/>
  <c r="I2608" i="7"/>
  <c r="H2608" i="7"/>
  <c r="G2608" i="7"/>
  <c r="F2608" i="7"/>
  <c r="E2608" i="7"/>
  <c r="D2608" i="7"/>
  <c r="C2608" i="7"/>
  <c r="O2607" i="7"/>
  <c r="N2607" i="7"/>
  <c r="M2607" i="7"/>
  <c r="L2607" i="7"/>
  <c r="K2607" i="7"/>
  <c r="J2607" i="7"/>
  <c r="I2607" i="7"/>
  <c r="H2607" i="7"/>
  <c r="G2607" i="7"/>
  <c r="F2607" i="7"/>
  <c r="E2607" i="7"/>
  <c r="D2607" i="7"/>
  <c r="C2607" i="7"/>
  <c r="O2606" i="7"/>
  <c r="N2606" i="7"/>
  <c r="M2606" i="7"/>
  <c r="L2606" i="7"/>
  <c r="K2606" i="7"/>
  <c r="J2606" i="7"/>
  <c r="I2606" i="7"/>
  <c r="H2606" i="7"/>
  <c r="G2606" i="7"/>
  <c r="F2606" i="7"/>
  <c r="E2606" i="7"/>
  <c r="D2606" i="7"/>
  <c r="C2606" i="7"/>
  <c r="O2605" i="7"/>
  <c r="N2605" i="7"/>
  <c r="M2605" i="7"/>
  <c r="L2605" i="7"/>
  <c r="K2605" i="7"/>
  <c r="J2605" i="7"/>
  <c r="I2605" i="7"/>
  <c r="H2605" i="7"/>
  <c r="G2605" i="7"/>
  <c r="F2605" i="7"/>
  <c r="E2605" i="7"/>
  <c r="D2605" i="7"/>
  <c r="C2605" i="7"/>
  <c r="O2604" i="7"/>
  <c r="N2604" i="7"/>
  <c r="M2604" i="7"/>
  <c r="L2604" i="7"/>
  <c r="K2604" i="7"/>
  <c r="J2604" i="7"/>
  <c r="I2604" i="7"/>
  <c r="H2604" i="7"/>
  <c r="G2604" i="7"/>
  <c r="F2604" i="7"/>
  <c r="E2604" i="7"/>
  <c r="D2604" i="7"/>
  <c r="C2604" i="7"/>
  <c r="O2603" i="7"/>
  <c r="N2603" i="7"/>
  <c r="M2603" i="7"/>
  <c r="L2603" i="7"/>
  <c r="K2603" i="7"/>
  <c r="J2603" i="7"/>
  <c r="I2603" i="7"/>
  <c r="H2603" i="7"/>
  <c r="G2603" i="7"/>
  <c r="F2603" i="7"/>
  <c r="E2603" i="7"/>
  <c r="D2603" i="7"/>
  <c r="C2603" i="7"/>
  <c r="O2602" i="7"/>
  <c r="N2602" i="7"/>
  <c r="M2602" i="7"/>
  <c r="L2602" i="7"/>
  <c r="K2602" i="7"/>
  <c r="J2602" i="7"/>
  <c r="I2602" i="7"/>
  <c r="H2602" i="7"/>
  <c r="G2602" i="7"/>
  <c r="F2602" i="7"/>
  <c r="E2602" i="7"/>
  <c r="D2602" i="7"/>
  <c r="C2602" i="7"/>
  <c r="O2601" i="7"/>
  <c r="N2601" i="7"/>
  <c r="M2601" i="7"/>
  <c r="L2601" i="7"/>
  <c r="K2601" i="7"/>
  <c r="J2601" i="7"/>
  <c r="I2601" i="7"/>
  <c r="H2601" i="7"/>
  <c r="G2601" i="7"/>
  <c r="F2601" i="7"/>
  <c r="E2601" i="7"/>
  <c r="D2601" i="7"/>
  <c r="C2601" i="7"/>
  <c r="O2600" i="7"/>
  <c r="N2600" i="7"/>
  <c r="M2600" i="7"/>
  <c r="L2600" i="7"/>
  <c r="K2600" i="7"/>
  <c r="J2600" i="7"/>
  <c r="I2600" i="7"/>
  <c r="H2600" i="7"/>
  <c r="G2600" i="7"/>
  <c r="F2600" i="7"/>
  <c r="E2600" i="7"/>
  <c r="D2600" i="7"/>
  <c r="C2600" i="7"/>
  <c r="O2599" i="7"/>
  <c r="N2599" i="7"/>
  <c r="M2599" i="7"/>
  <c r="L2599" i="7"/>
  <c r="K2599" i="7"/>
  <c r="J2599" i="7"/>
  <c r="I2599" i="7"/>
  <c r="H2599" i="7"/>
  <c r="G2599" i="7"/>
  <c r="F2599" i="7"/>
  <c r="E2599" i="7"/>
  <c r="D2599" i="7"/>
  <c r="C2599" i="7"/>
  <c r="O2598" i="7"/>
  <c r="N2598" i="7"/>
  <c r="M2598" i="7"/>
  <c r="L2598" i="7"/>
  <c r="K2598" i="7"/>
  <c r="J2598" i="7"/>
  <c r="I2598" i="7"/>
  <c r="H2598" i="7"/>
  <c r="G2598" i="7"/>
  <c r="F2598" i="7"/>
  <c r="E2598" i="7"/>
  <c r="D2598" i="7"/>
  <c r="C2598" i="7"/>
  <c r="O2597" i="7"/>
  <c r="N2597" i="7"/>
  <c r="M2597" i="7"/>
  <c r="L2597" i="7"/>
  <c r="K2597" i="7"/>
  <c r="J2597" i="7"/>
  <c r="I2597" i="7"/>
  <c r="H2597" i="7"/>
  <c r="G2597" i="7"/>
  <c r="F2597" i="7"/>
  <c r="E2597" i="7"/>
  <c r="D2597" i="7"/>
  <c r="C2597" i="7"/>
  <c r="O2596" i="7"/>
  <c r="N2596" i="7"/>
  <c r="M2596" i="7"/>
  <c r="L2596" i="7"/>
  <c r="K2596" i="7"/>
  <c r="J2596" i="7"/>
  <c r="I2596" i="7"/>
  <c r="H2596" i="7"/>
  <c r="G2596" i="7"/>
  <c r="F2596" i="7"/>
  <c r="E2596" i="7"/>
  <c r="D2596" i="7"/>
  <c r="C2596" i="7"/>
  <c r="O2595" i="7"/>
  <c r="N2595" i="7"/>
  <c r="M2595" i="7"/>
  <c r="L2595" i="7"/>
  <c r="K2595" i="7"/>
  <c r="J2595" i="7"/>
  <c r="I2595" i="7"/>
  <c r="H2595" i="7"/>
  <c r="G2595" i="7"/>
  <c r="F2595" i="7"/>
  <c r="E2595" i="7"/>
  <c r="D2595" i="7"/>
  <c r="C2595" i="7"/>
  <c r="O2594" i="7"/>
  <c r="N2594" i="7"/>
  <c r="M2594" i="7"/>
  <c r="L2594" i="7"/>
  <c r="K2594" i="7"/>
  <c r="J2594" i="7"/>
  <c r="I2594" i="7"/>
  <c r="H2594" i="7"/>
  <c r="G2594" i="7"/>
  <c r="F2594" i="7"/>
  <c r="E2594" i="7"/>
  <c r="D2594" i="7"/>
  <c r="C2594" i="7"/>
  <c r="O2593" i="7"/>
  <c r="N2593" i="7"/>
  <c r="M2593" i="7"/>
  <c r="L2593" i="7"/>
  <c r="K2593" i="7"/>
  <c r="J2593" i="7"/>
  <c r="I2593" i="7"/>
  <c r="H2593" i="7"/>
  <c r="G2593" i="7"/>
  <c r="F2593" i="7"/>
  <c r="E2593" i="7"/>
  <c r="D2593" i="7"/>
  <c r="C2593" i="7"/>
  <c r="O2592" i="7"/>
  <c r="N2592" i="7"/>
  <c r="M2592" i="7"/>
  <c r="L2592" i="7"/>
  <c r="K2592" i="7"/>
  <c r="J2592" i="7"/>
  <c r="I2592" i="7"/>
  <c r="H2592" i="7"/>
  <c r="G2592" i="7"/>
  <c r="F2592" i="7"/>
  <c r="E2592" i="7"/>
  <c r="D2592" i="7"/>
  <c r="C2592" i="7"/>
  <c r="O2591" i="7"/>
  <c r="N2591" i="7"/>
  <c r="M2591" i="7"/>
  <c r="L2591" i="7"/>
  <c r="K2591" i="7"/>
  <c r="J2591" i="7"/>
  <c r="I2591" i="7"/>
  <c r="H2591" i="7"/>
  <c r="G2591" i="7"/>
  <c r="F2591" i="7"/>
  <c r="E2591" i="7"/>
  <c r="D2591" i="7"/>
  <c r="C2591" i="7"/>
  <c r="O2590" i="7"/>
  <c r="N2590" i="7"/>
  <c r="M2590" i="7"/>
  <c r="L2590" i="7"/>
  <c r="K2590" i="7"/>
  <c r="J2590" i="7"/>
  <c r="I2590" i="7"/>
  <c r="H2590" i="7"/>
  <c r="G2590" i="7"/>
  <c r="F2590" i="7"/>
  <c r="E2590" i="7"/>
  <c r="D2590" i="7"/>
  <c r="C2590" i="7"/>
  <c r="O2589" i="7"/>
  <c r="N2589" i="7"/>
  <c r="M2589" i="7"/>
  <c r="L2589" i="7"/>
  <c r="K2589" i="7"/>
  <c r="J2589" i="7"/>
  <c r="I2589" i="7"/>
  <c r="H2589" i="7"/>
  <c r="G2589" i="7"/>
  <c r="F2589" i="7"/>
  <c r="E2589" i="7"/>
  <c r="D2589" i="7"/>
  <c r="C2589" i="7"/>
  <c r="O2588" i="7"/>
  <c r="N2588" i="7"/>
  <c r="M2588" i="7"/>
  <c r="L2588" i="7"/>
  <c r="K2588" i="7"/>
  <c r="J2588" i="7"/>
  <c r="I2588" i="7"/>
  <c r="H2588" i="7"/>
  <c r="G2588" i="7"/>
  <c r="F2588" i="7"/>
  <c r="E2588" i="7"/>
  <c r="D2588" i="7"/>
  <c r="C2588" i="7"/>
  <c r="O2587" i="7"/>
  <c r="N2587" i="7"/>
  <c r="M2587" i="7"/>
  <c r="L2587" i="7"/>
  <c r="K2587" i="7"/>
  <c r="J2587" i="7"/>
  <c r="I2587" i="7"/>
  <c r="H2587" i="7"/>
  <c r="G2587" i="7"/>
  <c r="F2587" i="7"/>
  <c r="E2587" i="7"/>
  <c r="D2587" i="7"/>
  <c r="C2587" i="7"/>
  <c r="O2586" i="7"/>
  <c r="N2586" i="7"/>
  <c r="M2586" i="7"/>
  <c r="L2586" i="7"/>
  <c r="K2586" i="7"/>
  <c r="J2586" i="7"/>
  <c r="I2586" i="7"/>
  <c r="H2586" i="7"/>
  <c r="G2586" i="7"/>
  <c r="F2586" i="7"/>
  <c r="E2586" i="7"/>
  <c r="D2586" i="7"/>
  <c r="C2586" i="7"/>
  <c r="O2585" i="7"/>
  <c r="N2585" i="7"/>
  <c r="M2585" i="7"/>
  <c r="L2585" i="7"/>
  <c r="K2585" i="7"/>
  <c r="J2585" i="7"/>
  <c r="I2585" i="7"/>
  <c r="H2585" i="7"/>
  <c r="G2585" i="7"/>
  <c r="F2585" i="7"/>
  <c r="E2585" i="7"/>
  <c r="D2585" i="7"/>
  <c r="C2585" i="7"/>
  <c r="O2584" i="7"/>
  <c r="N2584" i="7"/>
  <c r="M2584" i="7"/>
  <c r="L2584" i="7"/>
  <c r="K2584" i="7"/>
  <c r="J2584" i="7"/>
  <c r="I2584" i="7"/>
  <c r="H2584" i="7"/>
  <c r="G2584" i="7"/>
  <c r="F2584" i="7"/>
  <c r="E2584" i="7"/>
  <c r="D2584" i="7"/>
  <c r="C2584" i="7"/>
  <c r="O2583" i="7"/>
  <c r="N2583" i="7"/>
  <c r="M2583" i="7"/>
  <c r="L2583" i="7"/>
  <c r="K2583" i="7"/>
  <c r="J2583" i="7"/>
  <c r="I2583" i="7"/>
  <c r="H2583" i="7"/>
  <c r="G2583" i="7"/>
  <c r="F2583" i="7"/>
  <c r="E2583" i="7"/>
  <c r="D2583" i="7"/>
  <c r="C2583" i="7"/>
  <c r="O2582" i="7"/>
  <c r="N2582" i="7"/>
  <c r="M2582" i="7"/>
  <c r="L2582" i="7"/>
  <c r="K2582" i="7"/>
  <c r="J2582" i="7"/>
  <c r="I2582" i="7"/>
  <c r="H2582" i="7"/>
  <c r="G2582" i="7"/>
  <c r="F2582" i="7"/>
  <c r="E2582" i="7"/>
  <c r="D2582" i="7"/>
  <c r="C2582" i="7"/>
  <c r="O2581" i="7"/>
  <c r="N2581" i="7"/>
  <c r="M2581" i="7"/>
  <c r="L2581" i="7"/>
  <c r="K2581" i="7"/>
  <c r="J2581" i="7"/>
  <c r="I2581" i="7"/>
  <c r="H2581" i="7"/>
  <c r="G2581" i="7"/>
  <c r="F2581" i="7"/>
  <c r="E2581" i="7"/>
  <c r="D2581" i="7"/>
  <c r="C2581" i="7"/>
  <c r="O2580" i="7"/>
  <c r="N2580" i="7"/>
  <c r="M2580" i="7"/>
  <c r="L2580" i="7"/>
  <c r="K2580" i="7"/>
  <c r="J2580" i="7"/>
  <c r="I2580" i="7"/>
  <c r="H2580" i="7"/>
  <c r="G2580" i="7"/>
  <c r="F2580" i="7"/>
  <c r="E2580" i="7"/>
  <c r="D2580" i="7"/>
  <c r="C2580" i="7"/>
  <c r="O2579" i="7"/>
  <c r="N2579" i="7"/>
  <c r="M2579" i="7"/>
  <c r="L2579" i="7"/>
  <c r="K2579" i="7"/>
  <c r="J2579" i="7"/>
  <c r="I2579" i="7"/>
  <c r="H2579" i="7"/>
  <c r="G2579" i="7"/>
  <c r="F2579" i="7"/>
  <c r="E2579" i="7"/>
  <c r="D2579" i="7"/>
  <c r="C2579" i="7"/>
  <c r="O2578" i="7"/>
  <c r="N2578" i="7"/>
  <c r="M2578" i="7"/>
  <c r="L2578" i="7"/>
  <c r="K2578" i="7"/>
  <c r="J2578" i="7"/>
  <c r="I2578" i="7"/>
  <c r="H2578" i="7"/>
  <c r="G2578" i="7"/>
  <c r="F2578" i="7"/>
  <c r="E2578" i="7"/>
  <c r="D2578" i="7"/>
  <c r="C2578" i="7"/>
  <c r="O2577" i="7"/>
  <c r="N2577" i="7"/>
  <c r="M2577" i="7"/>
  <c r="L2577" i="7"/>
  <c r="K2577" i="7"/>
  <c r="J2577" i="7"/>
  <c r="I2577" i="7"/>
  <c r="H2577" i="7"/>
  <c r="G2577" i="7"/>
  <c r="F2577" i="7"/>
  <c r="E2577" i="7"/>
  <c r="D2577" i="7"/>
  <c r="C2577" i="7"/>
  <c r="O2576" i="7"/>
  <c r="N2576" i="7"/>
  <c r="M2576" i="7"/>
  <c r="L2576" i="7"/>
  <c r="K2576" i="7"/>
  <c r="J2576" i="7"/>
  <c r="I2576" i="7"/>
  <c r="H2576" i="7"/>
  <c r="G2576" i="7"/>
  <c r="F2576" i="7"/>
  <c r="E2576" i="7"/>
  <c r="D2576" i="7"/>
  <c r="C2576" i="7"/>
  <c r="O2575" i="7"/>
  <c r="N2575" i="7"/>
  <c r="M2575" i="7"/>
  <c r="L2575" i="7"/>
  <c r="K2575" i="7"/>
  <c r="J2575" i="7"/>
  <c r="I2575" i="7"/>
  <c r="H2575" i="7"/>
  <c r="G2575" i="7"/>
  <c r="F2575" i="7"/>
  <c r="E2575" i="7"/>
  <c r="D2575" i="7"/>
  <c r="C2575" i="7"/>
  <c r="O2574" i="7"/>
  <c r="N2574" i="7"/>
  <c r="M2574" i="7"/>
  <c r="L2574" i="7"/>
  <c r="K2574" i="7"/>
  <c r="J2574" i="7"/>
  <c r="I2574" i="7"/>
  <c r="H2574" i="7"/>
  <c r="G2574" i="7"/>
  <c r="F2574" i="7"/>
  <c r="E2574" i="7"/>
  <c r="D2574" i="7"/>
  <c r="C2574" i="7"/>
  <c r="O2573" i="7"/>
  <c r="N2573" i="7"/>
  <c r="M2573" i="7"/>
  <c r="L2573" i="7"/>
  <c r="K2573" i="7"/>
  <c r="J2573" i="7"/>
  <c r="I2573" i="7"/>
  <c r="H2573" i="7"/>
  <c r="G2573" i="7"/>
  <c r="F2573" i="7"/>
  <c r="E2573" i="7"/>
  <c r="D2573" i="7"/>
  <c r="C2573" i="7"/>
  <c r="O2572" i="7"/>
  <c r="N2572" i="7"/>
  <c r="M2572" i="7"/>
  <c r="L2572" i="7"/>
  <c r="K2572" i="7"/>
  <c r="J2572" i="7"/>
  <c r="I2572" i="7"/>
  <c r="H2572" i="7"/>
  <c r="G2572" i="7"/>
  <c r="F2572" i="7"/>
  <c r="E2572" i="7"/>
  <c r="D2572" i="7"/>
  <c r="C2572" i="7"/>
  <c r="O2571" i="7"/>
  <c r="N2571" i="7"/>
  <c r="M2571" i="7"/>
  <c r="L2571" i="7"/>
  <c r="K2571" i="7"/>
  <c r="J2571" i="7"/>
  <c r="I2571" i="7"/>
  <c r="H2571" i="7"/>
  <c r="G2571" i="7"/>
  <c r="F2571" i="7"/>
  <c r="E2571" i="7"/>
  <c r="D2571" i="7"/>
  <c r="C2571" i="7"/>
  <c r="O2570" i="7"/>
  <c r="N2570" i="7"/>
  <c r="M2570" i="7"/>
  <c r="L2570" i="7"/>
  <c r="K2570" i="7"/>
  <c r="J2570" i="7"/>
  <c r="I2570" i="7"/>
  <c r="H2570" i="7"/>
  <c r="G2570" i="7"/>
  <c r="F2570" i="7"/>
  <c r="E2570" i="7"/>
  <c r="D2570" i="7"/>
  <c r="C2570" i="7"/>
  <c r="O2569" i="7"/>
  <c r="N2569" i="7"/>
  <c r="M2569" i="7"/>
  <c r="L2569" i="7"/>
  <c r="K2569" i="7"/>
  <c r="J2569" i="7"/>
  <c r="I2569" i="7"/>
  <c r="H2569" i="7"/>
  <c r="G2569" i="7"/>
  <c r="F2569" i="7"/>
  <c r="E2569" i="7"/>
  <c r="D2569" i="7"/>
  <c r="C2569" i="7"/>
  <c r="O2568" i="7"/>
  <c r="N2568" i="7"/>
  <c r="M2568" i="7"/>
  <c r="L2568" i="7"/>
  <c r="K2568" i="7"/>
  <c r="J2568" i="7"/>
  <c r="I2568" i="7"/>
  <c r="H2568" i="7"/>
  <c r="G2568" i="7"/>
  <c r="F2568" i="7"/>
  <c r="E2568" i="7"/>
  <c r="D2568" i="7"/>
  <c r="C2568" i="7"/>
  <c r="O2563" i="7"/>
  <c r="N2563" i="7"/>
  <c r="M2563" i="7"/>
  <c r="L2563" i="7"/>
  <c r="K2563" i="7"/>
  <c r="J2563" i="7"/>
  <c r="I2563" i="7"/>
  <c r="H2563" i="7"/>
  <c r="G2563" i="7"/>
  <c r="F2563" i="7"/>
  <c r="E2563" i="7"/>
  <c r="D2563" i="7"/>
  <c r="C2563" i="7"/>
  <c r="O2562" i="7"/>
  <c r="N2562" i="7"/>
  <c r="M2562" i="7"/>
  <c r="L2562" i="7"/>
  <c r="K2562" i="7"/>
  <c r="J2562" i="7"/>
  <c r="I2562" i="7"/>
  <c r="G2562" i="7"/>
  <c r="F2562" i="7"/>
  <c r="E2562" i="7"/>
  <c r="D2562" i="7"/>
  <c r="C2562" i="7"/>
  <c r="O2561" i="7"/>
  <c r="N2561" i="7"/>
  <c r="M2561" i="7"/>
  <c r="L2561" i="7"/>
  <c r="K2561" i="7"/>
  <c r="J2561" i="7"/>
  <c r="I2561" i="7"/>
  <c r="H2561" i="7"/>
  <c r="G2561" i="7"/>
  <c r="F2561" i="7"/>
  <c r="E2561" i="7"/>
  <c r="D2561" i="7"/>
  <c r="C2561" i="7"/>
  <c r="O2560" i="7"/>
  <c r="N2560" i="7"/>
  <c r="M2560" i="7"/>
  <c r="L2560" i="7"/>
  <c r="K2560" i="7"/>
  <c r="J2560" i="7"/>
  <c r="I2560" i="7"/>
  <c r="H2560" i="7"/>
  <c r="G2560" i="7"/>
  <c r="F2560" i="7"/>
  <c r="E2560" i="7"/>
  <c r="D2560" i="7"/>
  <c r="C2560" i="7"/>
  <c r="O2559" i="7"/>
  <c r="N2559" i="7"/>
  <c r="M2559" i="7"/>
  <c r="L2559" i="7"/>
  <c r="K2559" i="7"/>
  <c r="J2559" i="7"/>
  <c r="I2559" i="7"/>
  <c r="H2559" i="7"/>
  <c r="G2559" i="7"/>
  <c r="F2559" i="7"/>
  <c r="E2559" i="7"/>
  <c r="D2559" i="7"/>
  <c r="C2559" i="7"/>
  <c r="O2558" i="7"/>
  <c r="N2558" i="7"/>
  <c r="M2558" i="7"/>
  <c r="L2558" i="7"/>
  <c r="K2558" i="7"/>
  <c r="J2558" i="7"/>
  <c r="I2558" i="7"/>
  <c r="H2558" i="7"/>
  <c r="G2558" i="7"/>
  <c r="F2558" i="7"/>
  <c r="E2558" i="7"/>
  <c r="D2558" i="7"/>
  <c r="C2558" i="7"/>
  <c r="O2557" i="7"/>
  <c r="N2557" i="7"/>
  <c r="M2557" i="7"/>
  <c r="L2557" i="7"/>
  <c r="K2557" i="7"/>
  <c r="J2557" i="7"/>
  <c r="I2557" i="7"/>
  <c r="H2557" i="7"/>
  <c r="G2557" i="7"/>
  <c r="F2557" i="7"/>
  <c r="E2557" i="7"/>
  <c r="D2557" i="7"/>
  <c r="C2557" i="7"/>
  <c r="O2556" i="7"/>
  <c r="N2556" i="7"/>
  <c r="M2556" i="7"/>
  <c r="L2556" i="7"/>
  <c r="K2556" i="7"/>
  <c r="J2556" i="7"/>
  <c r="I2556" i="7"/>
  <c r="H2556" i="7"/>
  <c r="G2556" i="7"/>
  <c r="F2556" i="7"/>
  <c r="E2556" i="7"/>
  <c r="D2556" i="7"/>
  <c r="C2556" i="7"/>
  <c r="O2555" i="7"/>
  <c r="N2555" i="7"/>
  <c r="M2555" i="7"/>
  <c r="L2555" i="7"/>
  <c r="K2555" i="7"/>
  <c r="J2555" i="7"/>
  <c r="I2555" i="7"/>
  <c r="H2555" i="7"/>
  <c r="G2555" i="7"/>
  <c r="F2555" i="7"/>
  <c r="E2555" i="7"/>
  <c r="D2555" i="7"/>
  <c r="C2555" i="7"/>
  <c r="O2554" i="7"/>
  <c r="N2554" i="7"/>
  <c r="M2554" i="7"/>
  <c r="L2554" i="7"/>
  <c r="K2554" i="7"/>
  <c r="J2554" i="7"/>
  <c r="I2554" i="7"/>
  <c r="H2554" i="7"/>
  <c r="G2554" i="7"/>
  <c r="F2554" i="7"/>
  <c r="E2554" i="7"/>
  <c r="D2554" i="7"/>
  <c r="C2554" i="7"/>
  <c r="O2553" i="7"/>
  <c r="N2553" i="7"/>
  <c r="M2553" i="7"/>
  <c r="L2553" i="7"/>
  <c r="K2553" i="7"/>
  <c r="J2553" i="7"/>
  <c r="I2553" i="7"/>
  <c r="H2553" i="7"/>
  <c r="G2553" i="7"/>
  <c r="F2553" i="7"/>
  <c r="E2553" i="7"/>
  <c r="D2553" i="7"/>
  <c r="C2553" i="7"/>
  <c r="O2552" i="7"/>
  <c r="N2552" i="7"/>
  <c r="M2552" i="7"/>
  <c r="L2552" i="7"/>
  <c r="K2552" i="7"/>
  <c r="J2552" i="7"/>
  <c r="I2552" i="7"/>
  <c r="H2552" i="7"/>
  <c r="G2552" i="7"/>
  <c r="F2552" i="7"/>
  <c r="E2552" i="7"/>
  <c r="D2552" i="7"/>
  <c r="C2552" i="7"/>
  <c r="O2551" i="7"/>
  <c r="N2551" i="7"/>
  <c r="M2551" i="7"/>
  <c r="L2551" i="7"/>
  <c r="K2551" i="7"/>
  <c r="J2551" i="7"/>
  <c r="I2551" i="7"/>
  <c r="H2551" i="7"/>
  <c r="G2551" i="7"/>
  <c r="F2551" i="7"/>
  <c r="E2551" i="7"/>
  <c r="D2551" i="7"/>
  <c r="C2551" i="7"/>
  <c r="O2550" i="7"/>
  <c r="N2550" i="7"/>
  <c r="M2550" i="7"/>
  <c r="L2550" i="7"/>
  <c r="K2550" i="7"/>
  <c r="J2550" i="7"/>
  <c r="I2550" i="7"/>
  <c r="H2550" i="7"/>
  <c r="G2550" i="7"/>
  <c r="F2550" i="7"/>
  <c r="E2550" i="7"/>
  <c r="D2550" i="7"/>
  <c r="C2550" i="7"/>
  <c r="O2549" i="7"/>
  <c r="N2549" i="7"/>
  <c r="M2549" i="7"/>
  <c r="L2549" i="7"/>
  <c r="K2549" i="7"/>
  <c r="J2549" i="7"/>
  <c r="I2549" i="7"/>
  <c r="H2549" i="7"/>
  <c r="G2549" i="7"/>
  <c r="F2549" i="7"/>
  <c r="E2549" i="7"/>
  <c r="D2549" i="7"/>
  <c r="C2549" i="7"/>
  <c r="O2548" i="7"/>
  <c r="N2548" i="7"/>
  <c r="M2548" i="7"/>
  <c r="L2548" i="7"/>
  <c r="K2548" i="7"/>
  <c r="J2548" i="7"/>
  <c r="I2548" i="7"/>
  <c r="H2548" i="7"/>
  <c r="G2548" i="7"/>
  <c r="F2548" i="7"/>
  <c r="E2548" i="7"/>
  <c r="D2548" i="7"/>
  <c r="C2548" i="7"/>
  <c r="O2547" i="7"/>
  <c r="N2547" i="7"/>
  <c r="M2547" i="7"/>
  <c r="L2547" i="7"/>
  <c r="K2547" i="7"/>
  <c r="J2547" i="7"/>
  <c r="I2547" i="7"/>
  <c r="H2547" i="7"/>
  <c r="G2547" i="7"/>
  <c r="F2547" i="7"/>
  <c r="E2547" i="7"/>
  <c r="D2547" i="7"/>
  <c r="C2547" i="7"/>
  <c r="O2546" i="7"/>
  <c r="N2546" i="7"/>
  <c r="M2546" i="7"/>
  <c r="L2546" i="7"/>
  <c r="K2546" i="7"/>
  <c r="J2546" i="7"/>
  <c r="I2546" i="7"/>
  <c r="H2546" i="7"/>
  <c r="G2546" i="7"/>
  <c r="F2546" i="7"/>
  <c r="E2546" i="7"/>
  <c r="D2546" i="7"/>
  <c r="C2546" i="7"/>
  <c r="O2545" i="7"/>
  <c r="N2545" i="7"/>
  <c r="M2545" i="7"/>
  <c r="L2545" i="7"/>
  <c r="K2545" i="7"/>
  <c r="J2545" i="7"/>
  <c r="I2545" i="7"/>
  <c r="H2545" i="7"/>
  <c r="G2545" i="7"/>
  <c r="F2545" i="7"/>
  <c r="E2545" i="7"/>
  <c r="D2545" i="7"/>
  <c r="C2545" i="7"/>
  <c r="O2544" i="7"/>
  <c r="N2544" i="7"/>
  <c r="M2544" i="7"/>
  <c r="L2544" i="7"/>
  <c r="K2544" i="7"/>
  <c r="J2544" i="7"/>
  <c r="I2544" i="7"/>
  <c r="H2544" i="7"/>
  <c r="G2544" i="7"/>
  <c r="F2544" i="7"/>
  <c r="E2544" i="7"/>
  <c r="D2544" i="7"/>
  <c r="C2544" i="7"/>
  <c r="O2543" i="7"/>
  <c r="N2543" i="7"/>
  <c r="M2543" i="7"/>
  <c r="L2543" i="7"/>
  <c r="K2543" i="7"/>
  <c r="J2543" i="7"/>
  <c r="I2543" i="7"/>
  <c r="H2543" i="7"/>
  <c r="G2543" i="7"/>
  <c r="F2543" i="7"/>
  <c r="E2543" i="7"/>
  <c r="D2543" i="7"/>
  <c r="C2543" i="7"/>
  <c r="O2542" i="7"/>
  <c r="N2542" i="7"/>
  <c r="M2542" i="7"/>
  <c r="L2542" i="7"/>
  <c r="K2542" i="7"/>
  <c r="J2542" i="7"/>
  <c r="I2542" i="7"/>
  <c r="H2542" i="7"/>
  <c r="G2542" i="7"/>
  <c r="F2542" i="7"/>
  <c r="E2542" i="7"/>
  <c r="D2542" i="7"/>
  <c r="C2542" i="7"/>
  <c r="O2541" i="7"/>
  <c r="N2541" i="7"/>
  <c r="M2541" i="7"/>
  <c r="L2541" i="7"/>
  <c r="K2541" i="7"/>
  <c r="J2541" i="7"/>
  <c r="I2541" i="7"/>
  <c r="H2541" i="7"/>
  <c r="G2541" i="7"/>
  <c r="F2541" i="7"/>
  <c r="E2541" i="7"/>
  <c r="D2541" i="7"/>
  <c r="C2541" i="7"/>
  <c r="O2540" i="7"/>
  <c r="N2540" i="7"/>
  <c r="M2540" i="7"/>
  <c r="L2540" i="7"/>
  <c r="K2540" i="7"/>
  <c r="J2540" i="7"/>
  <c r="I2540" i="7"/>
  <c r="H2540" i="7"/>
  <c r="G2540" i="7"/>
  <c r="F2540" i="7"/>
  <c r="E2540" i="7"/>
  <c r="D2540" i="7"/>
  <c r="C2540" i="7"/>
  <c r="O2539" i="7"/>
  <c r="N2539" i="7"/>
  <c r="M2539" i="7"/>
  <c r="L2539" i="7"/>
  <c r="K2539" i="7"/>
  <c r="J2539" i="7"/>
  <c r="I2539" i="7"/>
  <c r="H2539" i="7"/>
  <c r="G2539" i="7"/>
  <c r="F2539" i="7"/>
  <c r="E2539" i="7"/>
  <c r="D2539" i="7"/>
  <c r="C2539" i="7"/>
  <c r="O2538" i="7"/>
  <c r="N2538" i="7"/>
  <c r="M2538" i="7"/>
  <c r="L2538" i="7"/>
  <c r="K2538" i="7"/>
  <c r="J2538" i="7"/>
  <c r="I2538" i="7"/>
  <c r="H2538" i="7"/>
  <c r="G2538" i="7"/>
  <c r="F2538" i="7"/>
  <c r="E2538" i="7"/>
  <c r="D2538" i="7"/>
  <c r="C2538" i="7"/>
  <c r="O2537" i="7"/>
  <c r="N2537" i="7"/>
  <c r="M2537" i="7"/>
  <c r="L2537" i="7"/>
  <c r="K2537" i="7"/>
  <c r="J2537" i="7"/>
  <c r="I2537" i="7"/>
  <c r="H2537" i="7"/>
  <c r="G2537" i="7"/>
  <c r="F2537" i="7"/>
  <c r="E2537" i="7"/>
  <c r="D2537" i="7"/>
  <c r="C2537" i="7"/>
  <c r="O2536" i="7"/>
  <c r="N2536" i="7"/>
  <c r="M2536" i="7"/>
  <c r="L2536" i="7"/>
  <c r="K2536" i="7"/>
  <c r="J2536" i="7"/>
  <c r="I2536" i="7"/>
  <c r="H2536" i="7"/>
  <c r="G2536" i="7"/>
  <c r="F2536" i="7"/>
  <c r="E2536" i="7"/>
  <c r="D2536" i="7"/>
  <c r="C2536" i="7"/>
  <c r="O2535" i="7"/>
  <c r="N2535" i="7"/>
  <c r="M2535" i="7"/>
  <c r="L2535" i="7"/>
  <c r="K2535" i="7"/>
  <c r="J2535" i="7"/>
  <c r="I2535" i="7"/>
  <c r="H2535" i="7"/>
  <c r="G2535" i="7"/>
  <c r="F2535" i="7"/>
  <c r="E2535" i="7"/>
  <c r="D2535" i="7"/>
  <c r="C2535" i="7"/>
  <c r="O2534" i="7"/>
  <c r="N2534" i="7"/>
  <c r="M2534" i="7"/>
  <c r="L2534" i="7"/>
  <c r="K2534" i="7"/>
  <c r="J2534" i="7"/>
  <c r="I2534" i="7"/>
  <c r="H2534" i="7"/>
  <c r="G2534" i="7"/>
  <c r="F2534" i="7"/>
  <c r="E2534" i="7"/>
  <c r="D2534" i="7"/>
  <c r="C2534" i="7"/>
  <c r="O2533" i="7"/>
  <c r="N2533" i="7"/>
  <c r="M2533" i="7"/>
  <c r="L2533" i="7"/>
  <c r="K2533" i="7"/>
  <c r="J2533" i="7"/>
  <c r="I2533" i="7"/>
  <c r="H2533" i="7"/>
  <c r="G2533" i="7"/>
  <c r="F2533" i="7"/>
  <c r="E2533" i="7"/>
  <c r="D2533" i="7"/>
  <c r="C2533" i="7"/>
  <c r="O2532" i="7"/>
  <c r="N2532" i="7"/>
  <c r="M2532" i="7"/>
  <c r="L2532" i="7"/>
  <c r="K2532" i="7"/>
  <c r="J2532" i="7"/>
  <c r="I2532" i="7"/>
  <c r="H2532" i="7"/>
  <c r="G2532" i="7"/>
  <c r="F2532" i="7"/>
  <c r="E2532" i="7"/>
  <c r="D2532" i="7"/>
  <c r="C2532" i="7"/>
  <c r="O2531" i="7"/>
  <c r="N2531" i="7"/>
  <c r="M2531" i="7"/>
  <c r="L2531" i="7"/>
  <c r="K2531" i="7"/>
  <c r="J2531" i="7"/>
  <c r="I2531" i="7"/>
  <c r="H2531" i="7"/>
  <c r="G2531" i="7"/>
  <c r="F2531" i="7"/>
  <c r="E2531" i="7"/>
  <c r="D2531" i="7"/>
  <c r="C2531" i="7"/>
  <c r="O2530" i="7"/>
  <c r="N2530" i="7"/>
  <c r="M2530" i="7"/>
  <c r="L2530" i="7"/>
  <c r="K2530" i="7"/>
  <c r="J2530" i="7"/>
  <c r="I2530" i="7"/>
  <c r="H2530" i="7"/>
  <c r="G2530" i="7"/>
  <c r="F2530" i="7"/>
  <c r="E2530" i="7"/>
  <c r="D2530" i="7"/>
  <c r="C2530" i="7"/>
  <c r="O2529" i="7"/>
  <c r="N2529" i="7"/>
  <c r="M2529" i="7"/>
  <c r="L2529" i="7"/>
  <c r="K2529" i="7"/>
  <c r="J2529" i="7"/>
  <c r="I2529" i="7"/>
  <c r="H2529" i="7"/>
  <c r="G2529" i="7"/>
  <c r="F2529" i="7"/>
  <c r="E2529" i="7"/>
  <c r="D2529" i="7"/>
  <c r="C2529" i="7"/>
  <c r="O2528" i="7"/>
  <c r="N2528" i="7"/>
  <c r="M2528" i="7"/>
  <c r="L2528" i="7"/>
  <c r="K2528" i="7"/>
  <c r="J2528" i="7"/>
  <c r="I2528" i="7"/>
  <c r="H2528" i="7"/>
  <c r="G2528" i="7"/>
  <c r="F2528" i="7"/>
  <c r="E2528" i="7"/>
  <c r="D2528" i="7"/>
  <c r="C2528" i="7"/>
  <c r="O2527" i="7"/>
  <c r="N2527" i="7"/>
  <c r="M2527" i="7"/>
  <c r="L2527" i="7"/>
  <c r="K2527" i="7"/>
  <c r="J2527" i="7"/>
  <c r="I2527" i="7"/>
  <c r="H2527" i="7"/>
  <c r="G2527" i="7"/>
  <c r="F2527" i="7"/>
  <c r="E2527" i="7"/>
  <c r="D2527" i="7"/>
  <c r="C2527" i="7"/>
  <c r="O2526" i="7"/>
  <c r="N2526" i="7"/>
  <c r="M2526" i="7"/>
  <c r="L2526" i="7"/>
  <c r="K2526" i="7"/>
  <c r="J2526" i="7"/>
  <c r="I2526" i="7"/>
  <c r="H2526" i="7"/>
  <c r="G2526" i="7"/>
  <c r="F2526" i="7"/>
  <c r="E2526" i="7"/>
  <c r="D2526" i="7"/>
  <c r="C2526" i="7"/>
  <c r="O2525" i="7"/>
  <c r="N2525" i="7"/>
  <c r="M2525" i="7"/>
  <c r="L2525" i="7"/>
  <c r="K2525" i="7"/>
  <c r="J2525" i="7"/>
  <c r="I2525" i="7"/>
  <c r="H2525" i="7"/>
  <c r="G2525" i="7"/>
  <c r="F2525" i="7"/>
  <c r="E2525" i="7"/>
  <c r="D2525" i="7"/>
  <c r="C2525" i="7"/>
  <c r="O2524" i="7"/>
  <c r="N2524" i="7"/>
  <c r="M2524" i="7"/>
  <c r="L2524" i="7"/>
  <c r="K2524" i="7"/>
  <c r="J2524" i="7"/>
  <c r="I2524" i="7"/>
  <c r="H2524" i="7"/>
  <c r="G2524" i="7"/>
  <c r="F2524" i="7"/>
  <c r="E2524" i="7"/>
  <c r="D2524" i="7"/>
  <c r="C2524" i="7"/>
  <c r="O2523" i="7"/>
  <c r="N2523" i="7"/>
  <c r="M2523" i="7"/>
  <c r="L2523" i="7"/>
  <c r="K2523" i="7"/>
  <c r="J2523" i="7"/>
  <c r="I2523" i="7"/>
  <c r="H2523" i="7"/>
  <c r="G2523" i="7"/>
  <c r="F2523" i="7"/>
  <c r="E2523" i="7"/>
  <c r="D2523" i="7"/>
  <c r="C2523" i="7"/>
  <c r="O2522" i="7"/>
  <c r="N2522" i="7"/>
  <c r="M2522" i="7"/>
  <c r="L2522" i="7"/>
  <c r="K2522" i="7"/>
  <c r="J2522" i="7"/>
  <c r="I2522" i="7"/>
  <c r="H2522" i="7"/>
  <c r="G2522" i="7"/>
  <c r="F2522" i="7"/>
  <c r="E2522" i="7"/>
  <c r="D2522" i="7"/>
  <c r="C2522" i="7"/>
  <c r="O2521" i="7"/>
  <c r="N2521" i="7"/>
  <c r="M2521" i="7"/>
  <c r="L2521" i="7"/>
  <c r="K2521" i="7"/>
  <c r="J2521" i="7"/>
  <c r="I2521" i="7"/>
  <c r="H2521" i="7"/>
  <c r="G2521" i="7"/>
  <c r="F2521" i="7"/>
  <c r="E2521" i="7"/>
  <c r="D2521" i="7"/>
  <c r="C2521" i="7"/>
  <c r="O2520" i="7"/>
  <c r="N2520" i="7"/>
  <c r="M2520" i="7"/>
  <c r="L2520" i="7"/>
  <c r="K2520" i="7"/>
  <c r="J2520" i="7"/>
  <c r="I2520" i="7"/>
  <c r="H2520" i="7"/>
  <c r="G2520" i="7"/>
  <c r="F2520" i="7"/>
  <c r="E2520" i="7"/>
  <c r="D2520" i="7"/>
  <c r="C2520" i="7"/>
  <c r="O2519" i="7"/>
  <c r="N2519" i="7"/>
  <c r="M2519" i="7"/>
  <c r="L2519" i="7"/>
  <c r="K2519" i="7"/>
  <c r="J2519" i="7"/>
  <c r="I2519" i="7"/>
  <c r="H2519" i="7"/>
  <c r="G2519" i="7"/>
  <c r="F2519" i="7"/>
  <c r="E2519" i="7"/>
  <c r="D2519" i="7"/>
  <c r="C2519" i="7"/>
  <c r="O2518" i="7"/>
  <c r="N2518" i="7"/>
  <c r="M2518" i="7"/>
  <c r="L2518" i="7"/>
  <c r="K2518" i="7"/>
  <c r="J2518" i="7"/>
  <c r="I2518" i="7"/>
  <c r="H2518" i="7"/>
  <c r="G2518" i="7"/>
  <c r="F2518" i="7"/>
  <c r="E2518" i="7"/>
  <c r="D2518" i="7"/>
  <c r="C2518" i="7"/>
  <c r="O2517" i="7"/>
  <c r="N2517" i="7"/>
  <c r="M2517" i="7"/>
  <c r="L2517" i="7"/>
  <c r="K2517" i="7"/>
  <c r="J2517" i="7"/>
  <c r="I2517" i="7"/>
  <c r="H2517" i="7"/>
  <c r="G2517" i="7"/>
  <c r="F2517" i="7"/>
  <c r="E2517" i="7"/>
  <c r="D2517" i="7"/>
  <c r="C2517" i="7"/>
  <c r="O2516" i="7"/>
  <c r="N2516" i="7"/>
  <c r="M2516" i="7"/>
  <c r="L2516" i="7"/>
  <c r="K2516" i="7"/>
  <c r="J2516" i="7"/>
  <c r="I2516" i="7"/>
  <c r="H2516" i="7"/>
  <c r="G2516" i="7"/>
  <c r="F2516" i="7"/>
  <c r="E2516" i="7"/>
  <c r="D2516" i="7"/>
  <c r="C2516" i="7"/>
  <c r="O2515" i="7"/>
  <c r="N2515" i="7"/>
  <c r="M2515" i="7"/>
  <c r="L2515" i="7"/>
  <c r="K2515" i="7"/>
  <c r="J2515" i="7"/>
  <c r="I2515" i="7"/>
  <c r="H2515" i="7"/>
  <c r="G2515" i="7"/>
  <c r="F2515" i="7"/>
  <c r="E2515" i="7"/>
  <c r="D2515" i="7"/>
  <c r="C2515" i="7"/>
  <c r="O2514" i="7"/>
  <c r="N2514" i="7"/>
  <c r="M2514" i="7"/>
  <c r="L2514" i="7"/>
  <c r="K2514" i="7"/>
  <c r="J2514" i="7"/>
  <c r="I2514" i="7"/>
  <c r="H2514" i="7"/>
  <c r="G2514" i="7"/>
  <c r="F2514" i="7"/>
  <c r="E2514" i="7"/>
  <c r="D2514" i="7"/>
  <c r="C2514" i="7"/>
  <c r="O2513" i="7"/>
  <c r="N2513" i="7"/>
  <c r="M2513" i="7"/>
  <c r="L2513" i="7"/>
  <c r="K2513" i="7"/>
  <c r="J2513" i="7"/>
  <c r="I2513" i="7"/>
  <c r="H2513" i="7"/>
  <c r="G2513" i="7"/>
  <c r="F2513" i="7"/>
  <c r="E2513" i="7"/>
  <c r="D2513" i="7"/>
  <c r="C2513" i="7"/>
  <c r="O2512" i="7"/>
  <c r="N2512" i="7"/>
  <c r="M2512" i="7"/>
  <c r="L2512" i="7"/>
  <c r="K2512" i="7"/>
  <c r="J2512" i="7"/>
  <c r="I2512" i="7"/>
  <c r="H2512" i="7"/>
  <c r="G2512" i="7"/>
  <c r="F2512" i="7"/>
  <c r="E2512" i="7"/>
  <c r="D2512" i="7"/>
  <c r="C2512" i="7"/>
  <c r="O2511" i="7"/>
  <c r="N2511" i="7"/>
  <c r="M2511" i="7"/>
  <c r="L2511" i="7"/>
  <c r="K2511" i="7"/>
  <c r="J2511" i="7"/>
  <c r="I2511" i="7"/>
  <c r="H2511" i="7"/>
  <c r="G2511" i="7"/>
  <c r="F2511" i="7"/>
  <c r="E2511" i="7"/>
  <c r="D2511" i="7"/>
  <c r="C2511" i="7"/>
  <c r="O2510" i="7"/>
  <c r="N2510" i="7"/>
  <c r="M2510" i="7"/>
  <c r="L2510" i="7"/>
  <c r="K2510" i="7"/>
  <c r="J2510" i="7"/>
  <c r="I2510" i="7"/>
  <c r="H2510" i="7"/>
  <c r="G2510" i="7"/>
  <c r="F2510" i="7"/>
  <c r="E2510" i="7"/>
  <c r="D2510" i="7"/>
  <c r="C2510" i="7"/>
  <c r="O2509" i="7"/>
  <c r="N2509" i="7"/>
  <c r="M2509" i="7"/>
  <c r="L2509" i="7"/>
  <c r="K2509" i="7"/>
  <c r="J2509" i="7"/>
  <c r="I2509" i="7"/>
  <c r="H2509" i="7"/>
  <c r="G2509" i="7"/>
  <c r="F2509" i="7"/>
  <c r="E2509" i="7"/>
  <c r="D2509" i="7"/>
  <c r="C2509" i="7"/>
  <c r="O2508" i="7"/>
  <c r="N2508" i="7"/>
  <c r="M2508" i="7"/>
  <c r="L2508" i="7"/>
  <c r="K2508" i="7"/>
  <c r="J2508" i="7"/>
  <c r="I2508" i="7"/>
  <c r="H2508" i="7"/>
  <c r="G2508" i="7"/>
  <c r="F2508" i="7"/>
  <c r="E2508" i="7"/>
  <c r="D2508" i="7"/>
  <c r="C2508" i="7"/>
  <c r="O2507" i="7"/>
  <c r="N2507" i="7"/>
  <c r="M2507" i="7"/>
  <c r="L2507" i="7"/>
  <c r="K2507" i="7"/>
  <c r="J2507" i="7"/>
  <c r="I2507" i="7"/>
  <c r="H2507" i="7"/>
  <c r="G2507" i="7"/>
  <c r="F2507" i="7"/>
  <c r="E2507" i="7"/>
  <c r="D2507" i="7"/>
  <c r="C2507" i="7"/>
  <c r="O2506" i="7"/>
  <c r="N2506" i="7"/>
  <c r="M2506" i="7"/>
  <c r="L2506" i="7"/>
  <c r="K2506" i="7"/>
  <c r="J2506" i="7"/>
  <c r="I2506" i="7"/>
  <c r="H2506" i="7"/>
  <c r="G2506" i="7"/>
  <c r="F2506" i="7"/>
  <c r="E2506" i="7"/>
  <c r="D2506" i="7"/>
  <c r="C2506" i="7"/>
  <c r="O2505" i="7"/>
  <c r="N2505" i="7"/>
  <c r="M2505" i="7"/>
  <c r="L2505" i="7"/>
  <c r="K2505" i="7"/>
  <c r="J2505" i="7"/>
  <c r="I2505" i="7"/>
  <c r="H2505" i="7"/>
  <c r="G2505" i="7"/>
  <c r="F2505" i="7"/>
  <c r="E2505" i="7"/>
  <c r="D2505" i="7"/>
  <c r="C2505" i="7"/>
  <c r="O2504" i="7"/>
  <c r="N2504" i="7"/>
  <c r="M2504" i="7"/>
  <c r="L2504" i="7"/>
  <c r="K2504" i="7"/>
  <c r="J2504" i="7"/>
  <c r="I2504" i="7"/>
  <c r="H2504" i="7"/>
  <c r="G2504" i="7"/>
  <c r="F2504" i="7"/>
  <c r="E2504" i="7"/>
  <c r="D2504" i="7"/>
  <c r="C2504" i="7"/>
  <c r="O2503" i="7"/>
  <c r="N2503" i="7"/>
  <c r="M2503" i="7"/>
  <c r="L2503" i="7"/>
  <c r="K2503" i="7"/>
  <c r="J2503" i="7"/>
  <c r="I2503" i="7"/>
  <c r="H2503" i="7"/>
  <c r="G2503" i="7"/>
  <c r="F2503" i="7"/>
  <c r="E2503" i="7"/>
  <c r="D2503" i="7"/>
  <c r="C2503" i="7"/>
  <c r="O2502" i="7"/>
  <c r="N2502" i="7"/>
  <c r="M2502" i="7"/>
  <c r="L2502" i="7"/>
  <c r="K2502" i="7"/>
  <c r="J2502" i="7"/>
  <c r="I2502" i="7"/>
  <c r="H2502" i="7"/>
  <c r="G2502" i="7"/>
  <c r="F2502" i="7"/>
  <c r="E2502" i="7"/>
  <c r="D2502" i="7"/>
  <c r="C2502" i="7"/>
  <c r="O2501" i="7"/>
  <c r="N2501" i="7"/>
  <c r="M2501" i="7"/>
  <c r="L2501" i="7"/>
  <c r="K2501" i="7"/>
  <c r="J2501" i="7"/>
  <c r="I2501" i="7"/>
  <c r="H2501" i="7"/>
  <c r="G2501" i="7"/>
  <c r="F2501" i="7"/>
  <c r="E2501" i="7"/>
  <c r="D2501" i="7"/>
  <c r="C2501" i="7"/>
  <c r="O2500" i="7"/>
  <c r="N2500" i="7"/>
  <c r="M2500" i="7"/>
  <c r="L2500" i="7"/>
  <c r="K2500" i="7"/>
  <c r="J2500" i="7"/>
  <c r="I2500" i="7"/>
  <c r="H2500" i="7"/>
  <c r="G2500" i="7"/>
  <c r="F2500" i="7"/>
  <c r="E2500" i="7"/>
  <c r="D2500" i="7"/>
  <c r="C2500" i="7"/>
  <c r="O2499" i="7"/>
  <c r="N2499" i="7"/>
  <c r="M2499" i="7"/>
  <c r="L2499" i="7"/>
  <c r="K2499" i="7"/>
  <c r="J2499" i="7"/>
  <c r="I2499" i="7"/>
  <c r="H2499" i="7"/>
  <c r="G2499" i="7"/>
  <c r="F2499" i="7"/>
  <c r="E2499" i="7"/>
  <c r="D2499" i="7"/>
  <c r="C2499" i="7"/>
  <c r="O2498" i="7"/>
  <c r="N2498" i="7"/>
  <c r="M2498" i="7"/>
  <c r="L2498" i="7"/>
  <c r="K2498" i="7"/>
  <c r="J2498" i="7"/>
  <c r="I2498" i="7"/>
  <c r="H2498" i="7"/>
  <c r="G2498" i="7"/>
  <c r="F2498" i="7"/>
  <c r="E2498" i="7"/>
  <c r="D2498" i="7"/>
  <c r="C2498" i="7"/>
  <c r="O2497" i="7"/>
  <c r="N2497" i="7"/>
  <c r="M2497" i="7"/>
  <c r="L2497" i="7"/>
  <c r="K2497" i="7"/>
  <c r="J2497" i="7"/>
  <c r="I2497" i="7"/>
  <c r="H2497" i="7"/>
  <c r="G2497" i="7"/>
  <c r="F2497" i="7"/>
  <c r="E2497" i="7"/>
  <c r="D2497" i="7"/>
  <c r="C2497" i="7"/>
  <c r="O2496" i="7"/>
  <c r="N2496" i="7"/>
  <c r="M2496" i="7"/>
  <c r="L2496" i="7"/>
  <c r="K2496" i="7"/>
  <c r="J2496" i="7"/>
  <c r="I2496" i="7"/>
  <c r="H2496" i="7"/>
  <c r="G2496" i="7"/>
  <c r="F2496" i="7"/>
  <c r="E2496" i="7"/>
  <c r="D2496" i="7"/>
  <c r="C2496" i="7"/>
  <c r="O2495" i="7"/>
  <c r="N2495" i="7"/>
  <c r="M2495" i="7"/>
  <c r="L2495" i="7"/>
  <c r="K2495" i="7"/>
  <c r="J2495" i="7"/>
  <c r="I2495" i="7"/>
  <c r="H2495" i="7"/>
  <c r="G2495" i="7"/>
  <c r="F2495" i="7"/>
  <c r="E2495" i="7"/>
  <c r="D2495" i="7"/>
  <c r="C2495" i="7"/>
  <c r="O2494" i="7"/>
  <c r="N2494" i="7"/>
  <c r="M2494" i="7"/>
  <c r="L2494" i="7"/>
  <c r="K2494" i="7"/>
  <c r="J2494" i="7"/>
  <c r="I2494" i="7"/>
  <c r="H2494" i="7"/>
  <c r="G2494" i="7"/>
  <c r="F2494" i="7"/>
  <c r="E2494" i="7"/>
  <c r="D2494" i="7"/>
  <c r="C2494" i="7"/>
  <c r="O2493" i="7"/>
  <c r="N2493" i="7"/>
  <c r="M2493" i="7"/>
  <c r="L2493" i="7"/>
  <c r="K2493" i="7"/>
  <c r="J2493" i="7"/>
  <c r="I2493" i="7"/>
  <c r="H2493" i="7"/>
  <c r="G2493" i="7"/>
  <c r="F2493" i="7"/>
  <c r="E2493" i="7"/>
  <c r="D2493" i="7"/>
  <c r="C2493" i="7"/>
  <c r="O2492" i="7"/>
  <c r="N2492" i="7"/>
  <c r="M2492" i="7"/>
  <c r="L2492" i="7"/>
  <c r="K2492" i="7"/>
  <c r="J2492" i="7"/>
  <c r="I2492" i="7"/>
  <c r="H2492" i="7"/>
  <c r="G2492" i="7"/>
  <c r="F2492" i="7"/>
  <c r="E2492" i="7"/>
  <c r="D2492" i="7"/>
  <c r="C2492" i="7"/>
  <c r="O2491" i="7"/>
  <c r="N2491" i="7"/>
  <c r="M2491" i="7"/>
  <c r="L2491" i="7"/>
  <c r="K2491" i="7"/>
  <c r="J2491" i="7"/>
  <c r="I2491" i="7"/>
  <c r="H2491" i="7"/>
  <c r="G2491" i="7"/>
  <c r="F2491" i="7"/>
  <c r="E2491" i="7"/>
  <c r="D2491" i="7"/>
  <c r="C2491" i="7"/>
  <c r="O2490" i="7"/>
  <c r="N2490" i="7"/>
  <c r="M2490" i="7"/>
  <c r="L2490" i="7"/>
  <c r="K2490" i="7"/>
  <c r="J2490" i="7"/>
  <c r="I2490" i="7"/>
  <c r="H2490" i="7"/>
  <c r="G2490" i="7"/>
  <c r="F2490" i="7"/>
  <c r="E2490" i="7"/>
  <c r="D2490" i="7"/>
  <c r="C2490" i="7"/>
  <c r="O2489" i="7"/>
  <c r="N2489" i="7"/>
  <c r="M2489" i="7"/>
  <c r="L2489" i="7"/>
  <c r="K2489" i="7"/>
  <c r="J2489" i="7"/>
  <c r="I2489" i="7"/>
  <c r="H2489" i="7"/>
  <c r="G2489" i="7"/>
  <c r="F2489" i="7"/>
  <c r="E2489" i="7"/>
  <c r="D2489" i="7"/>
  <c r="C2489" i="7"/>
  <c r="O2488" i="7"/>
  <c r="N2488" i="7"/>
  <c r="M2488" i="7"/>
  <c r="L2488" i="7"/>
  <c r="K2488" i="7"/>
  <c r="J2488" i="7"/>
  <c r="I2488" i="7"/>
  <c r="H2488" i="7"/>
  <c r="G2488" i="7"/>
  <c r="F2488" i="7"/>
  <c r="E2488" i="7"/>
  <c r="D2488" i="7"/>
  <c r="C2488" i="7"/>
  <c r="O2487" i="7"/>
  <c r="N2487" i="7"/>
  <c r="M2487" i="7"/>
  <c r="L2487" i="7"/>
  <c r="K2487" i="7"/>
  <c r="J2487" i="7"/>
  <c r="I2487" i="7"/>
  <c r="H2487" i="7"/>
  <c r="G2487" i="7"/>
  <c r="F2487" i="7"/>
  <c r="E2487" i="7"/>
  <c r="D2487" i="7"/>
  <c r="C2487" i="7"/>
  <c r="O2486" i="7"/>
  <c r="N2486" i="7"/>
  <c r="M2486" i="7"/>
  <c r="L2486" i="7"/>
  <c r="K2486" i="7"/>
  <c r="J2486" i="7"/>
  <c r="I2486" i="7"/>
  <c r="H2486" i="7"/>
  <c r="G2486" i="7"/>
  <c r="F2486" i="7"/>
  <c r="E2486" i="7"/>
  <c r="D2486" i="7"/>
  <c r="C2486" i="7"/>
  <c r="O2485" i="7"/>
  <c r="N2485" i="7"/>
  <c r="M2485" i="7"/>
  <c r="L2485" i="7"/>
  <c r="K2485" i="7"/>
  <c r="J2485" i="7"/>
  <c r="I2485" i="7"/>
  <c r="H2485" i="7"/>
  <c r="G2485" i="7"/>
  <c r="F2485" i="7"/>
  <c r="E2485" i="7"/>
  <c r="D2485" i="7"/>
  <c r="C2485" i="7"/>
  <c r="O2484" i="7"/>
  <c r="N2484" i="7"/>
  <c r="M2484" i="7"/>
  <c r="L2484" i="7"/>
  <c r="K2484" i="7"/>
  <c r="J2484" i="7"/>
  <c r="I2484" i="7"/>
  <c r="H2484" i="7"/>
  <c r="G2484" i="7"/>
  <c r="F2484" i="7"/>
  <c r="E2484" i="7"/>
  <c r="D2484" i="7"/>
  <c r="C2484" i="7"/>
  <c r="O2483" i="7"/>
  <c r="N2483" i="7"/>
  <c r="M2483" i="7"/>
  <c r="L2483" i="7"/>
  <c r="K2483" i="7"/>
  <c r="J2483" i="7"/>
  <c r="I2483" i="7"/>
  <c r="H2483" i="7"/>
  <c r="G2483" i="7"/>
  <c r="F2483" i="7"/>
  <c r="E2483" i="7"/>
  <c r="D2483" i="7"/>
  <c r="C2483" i="7"/>
  <c r="O2482" i="7"/>
  <c r="N2482" i="7"/>
  <c r="M2482" i="7"/>
  <c r="L2482" i="7"/>
  <c r="K2482" i="7"/>
  <c r="J2482" i="7"/>
  <c r="I2482" i="7"/>
  <c r="H2482" i="7"/>
  <c r="G2482" i="7"/>
  <c r="F2482" i="7"/>
  <c r="E2482" i="7"/>
  <c r="D2482" i="7"/>
  <c r="C2482" i="7"/>
  <c r="O2481" i="7"/>
  <c r="N2481" i="7"/>
  <c r="M2481" i="7"/>
  <c r="L2481" i="7"/>
  <c r="K2481" i="7"/>
  <c r="J2481" i="7"/>
  <c r="I2481" i="7"/>
  <c r="H2481" i="7"/>
  <c r="G2481" i="7"/>
  <c r="F2481" i="7"/>
  <c r="E2481" i="7"/>
  <c r="D2481" i="7"/>
  <c r="C2481" i="7"/>
  <c r="O2480" i="7"/>
  <c r="N2480" i="7"/>
  <c r="M2480" i="7"/>
  <c r="L2480" i="7"/>
  <c r="K2480" i="7"/>
  <c r="J2480" i="7"/>
  <c r="I2480" i="7"/>
  <c r="H2480" i="7"/>
  <c r="G2480" i="7"/>
  <c r="F2480" i="7"/>
  <c r="E2480" i="7"/>
  <c r="D2480" i="7"/>
  <c r="C2480" i="7"/>
  <c r="O2479" i="7"/>
  <c r="N2479" i="7"/>
  <c r="M2479" i="7"/>
  <c r="L2479" i="7"/>
  <c r="K2479" i="7"/>
  <c r="J2479" i="7"/>
  <c r="I2479" i="7"/>
  <c r="H2479" i="7"/>
  <c r="G2479" i="7"/>
  <c r="F2479" i="7"/>
  <c r="E2479" i="7"/>
  <c r="D2479" i="7"/>
  <c r="C2479" i="7"/>
  <c r="O2478" i="7"/>
  <c r="N2478" i="7"/>
  <c r="M2478" i="7"/>
  <c r="L2478" i="7"/>
  <c r="K2478" i="7"/>
  <c r="J2478" i="7"/>
  <c r="I2478" i="7"/>
  <c r="H2478" i="7"/>
  <c r="G2478" i="7"/>
  <c r="F2478" i="7"/>
  <c r="E2478" i="7"/>
  <c r="D2478" i="7"/>
  <c r="C2478" i="7"/>
  <c r="O2477" i="7"/>
  <c r="N2477" i="7"/>
  <c r="M2477" i="7"/>
  <c r="L2477" i="7"/>
  <c r="K2477" i="7"/>
  <c r="J2477" i="7"/>
  <c r="I2477" i="7"/>
  <c r="H2477" i="7"/>
  <c r="G2477" i="7"/>
  <c r="F2477" i="7"/>
  <c r="E2477" i="7"/>
  <c r="D2477" i="7"/>
  <c r="C2477" i="7"/>
  <c r="O2476" i="7"/>
  <c r="N2476" i="7"/>
  <c r="M2476" i="7"/>
  <c r="L2476" i="7"/>
  <c r="K2476" i="7"/>
  <c r="J2476" i="7"/>
  <c r="I2476" i="7"/>
  <c r="H2476" i="7"/>
  <c r="G2476" i="7"/>
  <c r="F2476" i="7"/>
  <c r="E2476" i="7"/>
  <c r="D2476" i="7"/>
  <c r="C2476" i="7"/>
  <c r="O2475" i="7"/>
  <c r="N2475" i="7"/>
  <c r="M2475" i="7"/>
  <c r="L2475" i="7"/>
  <c r="K2475" i="7"/>
  <c r="J2475" i="7"/>
  <c r="I2475" i="7"/>
  <c r="H2475" i="7"/>
  <c r="G2475" i="7"/>
  <c r="F2475" i="7"/>
  <c r="E2475" i="7"/>
  <c r="D2475" i="7"/>
  <c r="C2475" i="7"/>
  <c r="O2474" i="7"/>
  <c r="N2474" i="7"/>
  <c r="M2474" i="7"/>
  <c r="L2474" i="7"/>
  <c r="K2474" i="7"/>
  <c r="J2474" i="7"/>
  <c r="I2474" i="7"/>
  <c r="H2474" i="7"/>
  <c r="G2474" i="7"/>
  <c r="F2474" i="7"/>
  <c r="E2474" i="7"/>
  <c r="D2474" i="7"/>
  <c r="C2474" i="7"/>
  <c r="O2473" i="7"/>
  <c r="N2473" i="7"/>
  <c r="M2473" i="7"/>
  <c r="L2473" i="7"/>
  <c r="K2473" i="7"/>
  <c r="J2473" i="7"/>
  <c r="I2473" i="7"/>
  <c r="H2473" i="7"/>
  <c r="G2473" i="7"/>
  <c r="F2473" i="7"/>
  <c r="E2473" i="7"/>
  <c r="D2473" i="7"/>
  <c r="C2473" i="7"/>
  <c r="O2472" i="7"/>
  <c r="N2472" i="7"/>
  <c r="M2472" i="7"/>
  <c r="L2472" i="7"/>
  <c r="K2472" i="7"/>
  <c r="J2472" i="7"/>
  <c r="I2472" i="7"/>
  <c r="H2472" i="7"/>
  <c r="G2472" i="7"/>
  <c r="F2472" i="7"/>
  <c r="E2472" i="7"/>
  <c r="D2472" i="7"/>
  <c r="C2472" i="7"/>
  <c r="O2471" i="7"/>
  <c r="N2471" i="7"/>
  <c r="M2471" i="7"/>
  <c r="L2471" i="7"/>
  <c r="K2471" i="7"/>
  <c r="J2471" i="7"/>
  <c r="I2471" i="7"/>
  <c r="H2471" i="7"/>
  <c r="G2471" i="7"/>
  <c r="F2471" i="7"/>
  <c r="E2471" i="7"/>
  <c r="D2471" i="7"/>
  <c r="C2471" i="7"/>
  <c r="O2470" i="7"/>
  <c r="N2470" i="7"/>
  <c r="M2470" i="7"/>
  <c r="L2470" i="7"/>
  <c r="K2470" i="7"/>
  <c r="J2470" i="7"/>
  <c r="I2470" i="7"/>
  <c r="H2470" i="7"/>
  <c r="G2470" i="7"/>
  <c r="F2470" i="7"/>
  <c r="E2470" i="7"/>
  <c r="D2470" i="7"/>
  <c r="C2470" i="7"/>
  <c r="O2469" i="7"/>
  <c r="N2469" i="7"/>
  <c r="M2469" i="7"/>
  <c r="L2469" i="7"/>
  <c r="K2469" i="7"/>
  <c r="J2469" i="7"/>
  <c r="I2469" i="7"/>
  <c r="H2469" i="7"/>
  <c r="G2469" i="7"/>
  <c r="F2469" i="7"/>
  <c r="E2469" i="7"/>
  <c r="D2469" i="7"/>
  <c r="C2469" i="7"/>
  <c r="O2468" i="7"/>
  <c r="N2468" i="7"/>
  <c r="M2468" i="7"/>
  <c r="L2468" i="7"/>
  <c r="K2468" i="7"/>
  <c r="J2468" i="7"/>
  <c r="I2468" i="7"/>
  <c r="H2468" i="7"/>
  <c r="G2468" i="7"/>
  <c r="F2468" i="7"/>
  <c r="E2468" i="7"/>
  <c r="D2468" i="7"/>
  <c r="C2468" i="7"/>
  <c r="O2467" i="7"/>
  <c r="N2467" i="7"/>
  <c r="M2467" i="7"/>
  <c r="L2467" i="7"/>
  <c r="K2467" i="7"/>
  <c r="J2467" i="7"/>
  <c r="I2467" i="7"/>
  <c r="H2467" i="7"/>
  <c r="G2467" i="7"/>
  <c r="F2467" i="7"/>
  <c r="E2467" i="7"/>
  <c r="D2467" i="7"/>
  <c r="C2467" i="7"/>
  <c r="O2466" i="7"/>
  <c r="N2466" i="7"/>
  <c r="M2466" i="7"/>
  <c r="L2466" i="7"/>
  <c r="K2466" i="7"/>
  <c r="J2466" i="7"/>
  <c r="I2466" i="7"/>
  <c r="H2466" i="7"/>
  <c r="G2466" i="7"/>
  <c r="F2466" i="7"/>
  <c r="E2466" i="7"/>
  <c r="D2466" i="7"/>
  <c r="C2466" i="7"/>
  <c r="O2465" i="7"/>
  <c r="N2465" i="7"/>
  <c r="M2465" i="7"/>
  <c r="L2465" i="7"/>
  <c r="K2465" i="7"/>
  <c r="J2465" i="7"/>
  <c r="I2465" i="7"/>
  <c r="H2465" i="7"/>
  <c r="G2465" i="7"/>
  <c r="F2465" i="7"/>
  <c r="E2465" i="7"/>
  <c r="D2465" i="7"/>
  <c r="C2465" i="7"/>
  <c r="O2464" i="7"/>
  <c r="N2464" i="7"/>
  <c r="M2464" i="7"/>
  <c r="L2464" i="7"/>
  <c r="K2464" i="7"/>
  <c r="J2464" i="7"/>
  <c r="I2464" i="7"/>
  <c r="H2464" i="7"/>
  <c r="G2464" i="7"/>
  <c r="F2464" i="7"/>
  <c r="E2464" i="7"/>
  <c r="D2464" i="7"/>
  <c r="C2464" i="7"/>
  <c r="O2463" i="7"/>
  <c r="N2463" i="7"/>
  <c r="M2463" i="7"/>
  <c r="L2463" i="7"/>
  <c r="K2463" i="7"/>
  <c r="J2463" i="7"/>
  <c r="I2463" i="7"/>
  <c r="H2463" i="7"/>
  <c r="G2463" i="7"/>
  <c r="F2463" i="7"/>
  <c r="E2463" i="7"/>
  <c r="D2463" i="7"/>
  <c r="C2463" i="7"/>
  <c r="O2462" i="7"/>
  <c r="N2462" i="7"/>
  <c r="M2462" i="7"/>
  <c r="L2462" i="7"/>
  <c r="K2462" i="7"/>
  <c r="J2462" i="7"/>
  <c r="I2462" i="7"/>
  <c r="H2462" i="7"/>
  <c r="G2462" i="7"/>
  <c r="F2462" i="7"/>
  <c r="E2462" i="7"/>
  <c r="D2462" i="7"/>
  <c r="C2462" i="7"/>
  <c r="O2461" i="7"/>
  <c r="N2461" i="7"/>
  <c r="M2461" i="7"/>
  <c r="L2461" i="7"/>
  <c r="K2461" i="7"/>
  <c r="J2461" i="7"/>
  <c r="I2461" i="7"/>
  <c r="H2461" i="7"/>
  <c r="G2461" i="7"/>
  <c r="F2461" i="7"/>
  <c r="E2461" i="7"/>
  <c r="D2461" i="7"/>
  <c r="C2461" i="7"/>
  <c r="O2460" i="7"/>
  <c r="N2460" i="7"/>
  <c r="M2460" i="7"/>
  <c r="L2460" i="7"/>
  <c r="K2460" i="7"/>
  <c r="J2460" i="7"/>
  <c r="I2460" i="7"/>
  <c r="H2460" i="7"/>
  <c r="G2460" i="7"/>
  <c r="F2460" i="7"/>
  <c r="E2460" i="7"/>
  <c r="D2460" i="7"/>
  <c r="C2460" i="7"/>
  <c r="O2459" i="7"/>
  <c r="N2459" i="7"/>
  <c r="M2459" i="7"/>
  <c r="L2459" i="7"/>
  <c r="K2459" i="7"/>
  <c r="J2459" i="7"/>
  <c r="I2459" i="7"/>
  <c r="H2459" i="7"/>
  <c r="G2459" i="7"/>
  <c r="F2459" i="7"/>
  <c r="E2459" i="7"/>
  <c r="D2459" i="7"/>
  <c r="C2459" i="7"/>
  <c r="O2458" i="7"/>
  <c r="N2458" i="7"/>
  <c r="M2458" i="7"/>
  <c r="L2458" i="7"/>
  <c r="K2458" i="7"/>
  <c r="J2458" i="7"/>
  <c r="I2458" i="7"/>
  <c r="H2458" i="7"/>
  <c r="G2458" i="7"/>
  <c r="F2458" i="7"/>
  <c r="E2458" i="7"/>
  <c r="D2458" i="7"/>
  <c r="C2458" i="7"/>
  <c r="O2457" i="7"/>
  <c r="N2457" i="7"/>
  <c r="M2457" i="7"/>
  <c r="L2457" i="7"/>
  <c r="K2457" i="7"/>
  <c r="J2457" i="7"/>
  <c r="I2457" i="7"/>
  <c r="H2457" i="7"/>
  <c r="G2457" i="7"/>
  <c r="F2457" i="7"/>
  <c r="E2457" i="7"/>
  <c r="D2457" i="7"/>
  <c r="C2457" i="7"/>
  <c r="O2456" i="7"/>
  <c r="N2456" i="7"/>
  <c r="M2456" i="7"/>
  <c r="L2456" i="7"/>
  <c r="K2456" i="7"/>
  <c r="J2456" i="7"/>
  <c r="I2456" i="7"/>
  <c r="H2456" i="7"/>
  <c r="G2456" i="7"/>
  <c r="F2456" i="7"/>
  <c r="E2456" i="7"/>
  <c r="D2456" i="7"/>
  <c r="C2456" i="7"/>
  <c r="O2455" i="7"/>
  <c r="N2455" i="7"/>
  <c r="M2455" i="7"/>
  <c r="L2455" i="7"/>
  <c r="K2455" i="7"/>
  <c r="J2455" i="7"/>
  <c r="I2455" i="7"/>
  <c r="H2455" i="7"/>
  <c r="G2455" i="7"/>
  <c r="F2455" i="7"/>
  <c r="E2455" i="7"/>
  <c r="D2455" i="7"/>
  <c r="C2455" i="7"/>
  <c r="O2454" i="7"/>
  <c r="N2454" i="7"/>
  <c r="M2454" i="7"/>
  <c r="L2454" i="7"/>
  <c r="K2454" i="7"/>
  <c r="J2454" i="7"/>
  <c r="I2454" i="7"/>
  <c r="H2454" i="7"/>
  <c r="G2454" i="7"/>
  <c r="F2454" i="7"/>
  <c r="E2454" i="7"/>
  <c r="D2454" i="7"/>
  <c r="C2454" i="7"/>
  <c r="O2449" i="7"/>
  <c r="N2449" i="7"/>
  <c r="M2449" i="7"/>
  <c r="L2449" i="7"/>
  <c r="K2449" i="7"/>
  <c r="J2449" i="7"/>
  <c r="I2449" i="7"/>
  <c r="H2449" i="7"/>
  <c r="G2449" i="7"/>
  <c r="F2449" i="7"/>
  <c r="E2449" i="7"/>
  <c r="D2449" i="7"/>
  <c r="C2449" i="7"/>
  <c r="O2448" i="7"/>
  <c r="N2448" i="7"/>
  <c r="M2448" i="7"/>
  <c r="L2448" i="7"/>
  <c r="K2448" i="7"/>
  <c r="J2448" i="7"/>
  <c r="I2448" i="7"/>
  <c r="G2448" i="7"/>
  <c r="F2448" i="7"/>
  <c r="E2448" i="7"/>
  <c r="D2448" i="7"/>
  <c r="C2448" i="7"/>
  <c r="O2447" i="7"/>
  <c r="N2447" i="7"/>
  <c r="M2447" i="7"/>
  <c r="L2447" i="7"/>
  <c r="K2447" i="7"/>
  <c r="J2447" i="7"/>
  <c r="I2447" i="7"/>
  <c r="H2447" i="7"/>
  <c r="G2447" i="7"/>
  <c r="F2447" i="7"/>
  <c r="E2447" i="7"/>
  <c r="D2447" i="7"/>
  <c r="C2447" i="7"/>
  <c r="O2446" i="7"/>
  <c r="N2446" i="7"/>
  <c r="M2446" i="7"/>
  <c r="L2446" i="7"/>
  <c r="K2446" i="7"/>
  <c r="J2446" i="7"/>
  <c r="I2446" i="7"/>
  <c r="H2446" i="7"/>
  <c r="G2446" i="7"/>
  <c r="F2446" i="7"/>
  <c r="E2446" i="7"/>
  <c r="D2446" i="7"/>
  <c r="C2446" i="7"/>
  <c r="O2445" i="7"/>
  <c r="N2445" i="7"/>
  <c r="M2445" i="7"/>
  <c r="L2445" i="7"/>
  <c r="K2445" i="7"/>
  <c r="J2445" i="7"/>
  <c r="I2445" i="7"/>
  <c r="H2445" i="7"/>
  <c r="G2445" i="7"/>
  <c r="F2445" i="7"/>
  <c r="E2445" i="7"/>
  <c r="D2445" i="7"/>
  <c r="C2445" i="7"/>
  <c r="O2444" i="7"/>
  <c r="N2444" i="7"/>
  <c r="M2444" i="7"/>
  <c r="L2444" i="7"/>
  <c r="K2444" i="7"/>
  <c r="J2444" i="7"/>
  <c r="I2444" i="7"/>
  <c r="H2444" i="7"/>
  <c r="G2444" i="7"/>
  <c r="F2444" i="7"/>
  <c r="E2444" i="7"/>
  <c r="D2444" i="7"/>
  <c r="C2444" i="7"/>
  <c r="O2443" i="7"/>
  <c r="N2443" i="7"/>
  <c r="M2443" i="7"/>
  <c r="L2443" i="7"/>
  <c r="K2443" i="7"/>
  <c r="J2443" i="7"/>
  <c r="I2443" i="7"/>
  <c r="H2443" i="7"/>
  <c r="G2443" i="7"/>
  <c r="F2443" i="7"/>
  <c r="E2443" i="7"/>
  <c r="D2443" i="7"/>
  <c r="C2443" i="7"/>
  <c r="O2442" i="7"/>
  <c r="N2442" i="7"/>
  <c r="M2442" i="7"/>
  <c r="L2442" i="7"/>
  <c r="K2442" i="7"/>
  <c r="J2442" i="7"/>
  <c r="I2442" i="7"/>
  <c r="H2442" i="7"/>
  <c r="G2442" i="7"/>
  <c r="F2442" i="7"/>
  <c r="E2442" i="7"/>
  <c r="D2442" i="7"/>
  <c r="C2442" i="7"/>
  <c r="O2441" i="7"/>
  <c r="N2441" i="7"/>
  <c r="M2441" i="7"/>
  <c r="L2441" i="7"/>
  <c r="K2441" i="7"/>
  <c r="J2441" i="7"/>
  <c r="I2441" i="7"/>
  <c r="H2441" i="7"/>
  <c r="G2441" i="7"/>
  <c r="F2441" i="7"/>
  <c r="E2441" i="7"/>
  <c r="D2441" i="7"/>
  <c r="C2441" i="7"/>
  <c r="O2440" i="7"/>
  <c r="N2440" i="7"/>
  <c r="M2440" i="7"/>
  <c r="L2440" i="7"/>
  <c r="K2440" i="7"/>
  <c r="J2440" i="7"/>
  <c r="I2440" i="7"/>
  <c r="H2440" i="7"/>
  <c r="G2440" i="7"/>
  <c r="F2440" i="7"/>
  <c r="E2440" i="7"/>
  <c r="D2440" i="7"/>
  <c r="C2440" i="7"/>
  <c r="O2439" i="7"/>
  <c r="N2439" i="7"/>
  <c r="M2439" i="7"/>
  <c r="L2439" i="7"/>
  <c r="K2439" i="7"/>
  <c r="J2439" i="7"/>
  <c r="I2439" i="7"/>
  <c r="H2439" i="7"/>
  <c r="G2439" i="7"/>
  <c r="F2439" i="7"/>
  <c r="E2439" i="7"/>
  <c r="D2439" i="7"/>
  <c r="C2439" i="7"/>
  <c r="O2438" i="7"/>
  <c r="N2438" i="7"/>
  <c r="M2438" i="7"/>
  <c r="L2438" i="7"/>
  <c r="K2438" i="7"/>
  <c r="J2438" i="7"/>
  <c r="I2438" i="7"/>
  <c r="H2438" i="7"/>
  <c r="G2438" i="7"/>
  <c r="F2438" i="7"/>
  <c r="E2438" i="7"/>
  <c r="D2438" i="7"/>
  <c r="C2438" i="7"/>
  <c r="O2437" i="7"/>
  <c r="N2437" i="7"/>
  <c r="M2437" i="7"/>
  <c r="L2437" i="7"/>
  <c r="K2437" i="7"/>
  <c r="J2437" i="7"/>
  <c r="I2437" i="7"/>
  <c r="H2437" i="7"/>
  <c r="G2437" i="7"/>
  <c r="F2437" i="7"/>
  <c r="E2437" i="7"/>
  <c r="D2437" i="7"/>
  <c r="C2437" i="7"/>
  <c r="O2436" i="7"/>
  <c r="N2436" i="7"/>
  <c r="M2436" i="7"/>
  <c r="L2436" i="7"/>
  <c r="K2436" i="7"/>
  <c r="J2436" i="7"/>
  <c r="I2436" i="7"/>
  <c r="H2436" i="7"/>
  <c r="G2436" i="7"/>
  <c r="F2436" i="7"/>
  <c r="E2436" i="7"/>
  <c r="D2436" i="7"/>
  <c r="C2436" i="7"/>
  <c r="O2435" i="7"/>
  <c r="N2435" i="7"/>
  <c r="M2435" i="7"/>
  <c r="L2435" i="7"/>
  <c r="K2435" i="7"/>
  <c r="J2435" i="7"/>
  <c r="I2435" i="7"/>
  <c r="H2435" i="7"/>
  <c r="G2435" i="7"/>
  <c r="F2435" i="7"/>
  <c r="E2435" i="7"/>
  <c r="D2435" i="7"/>
  <c r="C2435" i="7"/>
  <c r="O2434" i="7"/>
  <c r="N2434" i="7"/>
  <c r="M2434" i="7"/>
  <c r="L2434" i="7"/>
  <c r="K2434" i="7"/>
  <c r="J2434" i="7"/>
  <c r="I2434" i="7"/>
  <c r="H2434" i="7"/>
  <c r="G2434" i="7"/>
  <c r="F2434" i="7"/>
  <c r="E2434" i="7"/>
  <c r="D2434" i="7"/>
  <c r="C2434" i="7"/>
  <c r="O2433" i="7"/>
  <c r="N2433" i="7"/>
  <c r="M2433" i="7"/>
  <c r="L2433" i="7"/>
  <c r="K2433" i="7"/>
  <c r="J2433" i="7"/>
  <c r="I2433" i="7"/>
  <c r="H2433" i="7"/>
  <c r="G2433" i="7"/>
  <c r="F2433" i="7"/>
  <c r="E2433" i="7"/>
  <c r="D2433" i="7"/>
  <c r="C2433" i="7"/>
  <c r="O2432" i="7"/>
  <c r="N2432" i="7"/>
  <c r="M2432" i="7"/>
  <c r="L2432" i="7"/>
  <c r="K2432" i="7"/>
  <c r="J2432" i="7"/>
  <c r="I2432" i="7"/>
  <c r="H2432" i="7"/>
  <c r="G2432" i="7"/>
  <c r="F2432" i="7"/>
  <c r="E2432" i="7"/>
  <c r="D2432" i="7"/>
  <c r="C2432" i="7"/>
  <c r="O2431" i="7"/>
  <c r="N2431" i="7"/>
  <c r="M2431" i="7"/>
  <c r="L2431" i="7"/>
  <c r="K2431" i="7"/>
  <c r="J2431" i="7"/>
  <c r="I2431" i="7"/>
  <c r="H2431" i="7"/>
  <c r="G2431" i="7"/>
  <c r="F2431" i="7"/>
  <c r="E2431" i="7"/>
  <c r="D2431" i="7"/>
  <c r="C2431" i="7"/>
  <c r="O2430" i="7"/>
  <c r="N2430" i="7"/>
  <c r="M2430" i="7"/>
  <c r="L2430" i="7"/>
  <c r="K2430" i="7"/>
  <c r="J2430" i="7"/>
  <c r="I2430" i="7"/>
  <c r="H2430" i="7"/>
  <c r="G2430" i="7"/>
  <c r="F2430" i="7"/>
  <c r="E2430" i="7"/>
  <c r="D2430" i="7"/>
  <c r="C2430" i="7"/>
  <c r="O2429" i="7"/>
  <c r="N2429" i="7"/>
  <c r="M2429" i="7"/>
  <c r="L2429" i="7"/>
  <c r="K2429" i="7"/>
  <c r="J2429" i="7"/>
  <c r="I2429" i="7"/>
  <c r="H2429" i="7"/>
  <c r="G2429" i="7"/>
  <c r="F2429" i="7"/>
  <c r="E2429" i="7"/>
  <c r="D2429" i="7"/>
  <c r="C2429" i="7"/>
  <c r="O2428" i="7"/>
  <c r="N2428" i="7"/>
  <c r="M2428" i="7"/>
  <c r="L2428" i="7"/>
  <c r="K2428" i="7"/>
  <c r="J2428" i="7"/>
  <c r="I2428" i="7"/>
  <c r="H2428" i="7"/>
  <c r="G2428" i="7"/>
  <c r="F2428" i="7"/>
  <c r="E2428" i="7"/>
  <c r="D2428" i="7"/>
  <c r="C2428" i="7"/>
  <c r="O2427" i="7"/>
  <c r="N2427" i="7"/>
  <c r="M2427" i="7"/>
  <c r="L2427" i="7"/>
  <c r="K2427" i="7"/>
  <c r="J2427" i="7"/>
  <c r="I2427" i="7"/>
  <c r="H2427" i="7"/>
  <c r="G2427" i="7"/>
  <c r="F2427" i="7"/>
  <c r="E2427" i="7"/>
  <c r="D2427" i="7"/>
  <c r="C2427" i="7"/>
  <c r="O2426" i="7"/>
  <c r="N2426" i="7"/>
  <c r="M2426" i="7"/>
  <c r="L2426" i="7"/>
  <c r="K2426" i="7"/>
  <c r="J2426" i="7"/>
  <c r="I2426" i="7"/>
  <c r="H2426" i="7"/>
  <c r="G2426" i="7"/>
  <c r="F2426" i="7"/>
  <c r="E2426" i="7"/>
  <c r="D2426" i="7"/>
  <c r="C2426" i="7"/>
  <c r="O2425" i="7"/>
  <c r="N2425" i="7"/>
  <c r="M2425" i="7"/>
  <c r="L2425" i="7"/>
  <c r="K2425" i="7"/>
  <c r="J2425" i="7"/>
  <c r="I2425" i="7"/>
  <c r="H2425" i="7"/>
  <c r="G2425" i="7"/>
  <c r="F2425" i="7"/>
  <c r="E2425" i="7"/>
  <c r="D2425" i="7"/>
  <c r="C2425" i="7"/>
  <c r="O2424" i="7"/>
  <c r="N2424" i="7"/>
  <c r="M2424" i="7"/>
  <c r="L2424" i="7"/>
  <c r="K2424" i="7"/>
  <c r="J2424" i="7"/>
  <c r="I2424" i="7"/>
  <c r="H2424" i="7"/>
  <c r="G2424" i="7"/>
  <c r="F2424" i="7"/>
  <c r="E2424" i="7"/>
  <c r="D2424" i="7"/>
  <c r="C2424" i="7"/>
  <c r="O2423" i="7"/>
  <c r="N2423" i="7"/>
  <c r="M2423" i="7"/>
  <c r="L2423" i="7"/>
  <c r="K2423" i="7"/>
  <c r="J2423" i="7"/>
  <c r="I2423" i="7"/>
  <c r="H2423" i="7"/>
  <c r="G2423" i="7"/>
  <c r="F2423" i="7"/>
  <c r="E2423" i="7"/>
  <c r="D2423" i="7"/>
  <c r="C2423" i="7"/>
  <c r="O2422" i="7"/>
  <c r="N2422" i="7"/>
  <c r="M2422" i="7"/>
  <c r="L2422" i="7"/>
  <c r="K2422" i="7"/>
  <c r="J2422" i="7"/>
  <c r="I2422" i="7"/>
  <c r="H2422" i="7"/>
  <c r="G2422" i="7"/>
  <c r="F2422" i="7"/>
  <c r="E2422" i="7"/>
  <c r="D2422" i="7"/>
  <c r="C2422" i="7"/>
  <c r="O2421" i="7"/>
  <c r="N2421" i="7"/>
  <c r="M2421" i="7"/>
  <c r="L2421" i="7"/>
  <c r="K2421" i="7"/>
  <c r="J2421" i="7"/>
  <c r="I2421" i="7"/>
  <c r="H2421" i="7"/>
  <c r="G2421" i="7"/>
  <c r="F2421" i="7"/>
  <c r="E2421" i="7"/>
  <c r="D2421" i="7"/>
  <c r="C2421" i="7"/>
  <c r="O2420" i="7"/>
  <c r="N2420" i="7"/>
  <c r="M2420" i="7"/>
  <c r="L2420" i="7"/>
  <c r="K2420" i="7"/>
  <c r="J2420" i="7"/>
  <c r="I2420" i="7"/>
  <c r="H2420" i="7"/>
  <c r="G2420" i="7"/>
  <c r="F2420" i="7"/>
  <c r="E2420" i="7"/>
  <c r="D2420" i="7"/>
  <c r="C2420" i="7"/>
  <c r="O2419" i="7"/>
  <c r="N2419" i="7"/>
  <c r="M2419" i="7"/>
  <c r="L2419" i="7"/>
  <c r="K2419" i="7"/>
  <c r="J2419" i="7"/>
  <c r="I2419" i="7"/>
  <c r="H2419" i="7"/>
  <c r="G2419" i="7"/>
  <c r="F2419" i="7"/>
  <c r="E2419" i="7"/>
  <c r="D2419" i="7"/>
  <c r="C2419" i="7"/>
  <c r="O2418" i="7"/>
  <c r="N2418" i="7"/>
  <c r="M2418" i="7"/>
  <c r="L2418" i="7"/>
  <c r="K2418" i="7"/>
  <c r="J2418" i="7"/>
  <c r="I2418" i="7"/>
  <c r="H2418" i="7"/>
  <c r="G2418" i="7"/>
  <c r="F2418" i="7"/>
  <c r="E2418" i="7"/>
  <c r="D2418" i="7"/>
  <c r="C2418" i="7"/>
  <c r="O2417" i="7"/>
  <c r="N2417" i="7"/>
  <c r="M2417" i="7"/>
  <c r="L2417" i="7"/>
  <c r="K2417" i="7"/>
  <c r="J2417" i="7"/>
  <c r="I2417" i="7"/>
  <c r="H2417" i="7"/>
  <c r="G2417" i="7"/>
  <c r="F2417" i="7"/>
  <c r="E2417" i="7"/>
  <c r="D2417" i="7"/>
  <c r="C2417" i="7"/>
  <c r="O2416" i="7"/>
  <c r="N2416" i="7"/>
  <c r="M2416" i="7"/>
  <c r="L2416" i="7"/>
  <c r="K2416" i="7"/>
  <c r="J2416" i="7"/>
  <c r="I2416" i="7"/>
  <c r="H2416" i="7"/>
  <c r="G2416" i="7"/>
  <c r="F2416" i="7"/>
  <c r="E2416" i="7"/>
  <c r="D2416" i="7"/>
  <c r="C2416" i="7"/>
  <c r="O2415" i="7"/>
  <c r="N2415" i="7"/>
  <c r="M2415" i="7"/>
  <c r="L2415" i="7"/>
  <c r="K2415" i="7"/>
  <c r="J2415" i="7"/>
  <c r="I2415" i="7"/>
  <c r="H2415" i="7"/>
  <c r="G2415" i="7"/>
  <c r="F2415" i="7"/>
  <c r="E2415" i="7"/>
  <c r="D2415" i="7"/>
  <c r="C2415" i="7"/>
  <c r="O2414" i="7"/>
  <c r="N2414" i="7"/>
  <c r="M2414" i="7"/>
  <c r="L2414" i="7"/>
  <c r="K2414" i="7"/>
  <c r="J2414" i="7"/>
  <c r="I2414" i="7"/>
  <c r="H2414" i="7"/>
  <c r="G2414" i="7"/>
  <c r="F2414" i="7"/>
  <c r="E2414" i="7"/>
  <c r="D2414" i="7"/>
  <c r="C2414" i="7"/>
  <c r="O2413" i="7"/>
  <c r="N2413" i="7"/>
  <c r="M2413" i="7"/>
  <c r="L2413" i="7"/>
  <c r="K2413" i="7"/>
  <c r="J2413" i="7"/>
  <c r="I2413" i="7"/>
  <c r="H2413" i="7"/>
  <c r="G2413" i="7"/>
  <c r="F2413" i="7"/>
  <c r="E2413" i="7"/>
  <c r="D2413" i="7"/>
  <c r="C2413" i="7"/>
  <c r="O2412" i="7"/>
  <c r="N2412" i="7"/>
  <c r="M2412" i="7"/>
  <c r="L2412" i="7"/>
  <c r="K2412" i="7"/>
  <c r="J2412" i="7"/>
  <c r="I2412" i="7"/>
  <c r="H2412" i="7"/>
  <c r="G2412" i="7"/>
  <c r="F2412" i="7"/>
  <c r="E2412" i="7"/>
  <c r="D2412" i="7"/>
  <c r="C2412" i="7"/>
  <c r="O2411" i="7"/>
  <c r="N2411" i="7"/>
  <c r="M2411" i="7"/>
  <c r="L2411" i="7"/>
  <c r="K2411" i="7"/>
  <c r="J2411" i="7"/>
  <c r="I2411" i="7"/>
  <c r="H2411" i="7"/>
  <c r="G2411" i="7"/>
  <c r="F2411" i="7"/>
  <c r="E2411" i="7"/>
  <c r="D2411" i="7"/>
  <c r="C2411" i="7"/>
  <c r="O2410" i="7"/>
  <c r="N2410" i="7"/>
  <c r="M2410" i="7"/>
  <c r="L2410" i="7"/>
  <c r="K2410" i="7"/>
  <c r="J2410" i="7"/>
  <c r="I2410" i="7"/>
  <c r="H2410" i="7"/>
  <c r="G2410" i="7"/>
  <c r="F2410" i="7"/>
  <c r="E2410" i="7"/>
  <c r="D2410" i="7"/>
  <c r="C2410" i="7"/>
  <c r="O2409" i="7"/>
  <c r="N2409" i="7"/>
  <c r="M2409" i="7"/>
  <c r="L2409" i="7"/>
  <c r="K2409" i="7"/>
  <c r="J2409" i="7"/>
  <c r="I2409" i="7"/>
  <c r="H2409" i="7"/>
  <c r="G2409" i="7"/>
  <c r="F2409" i="7"/>
  <c r="E2409" i="7"/>
  <c r="D2409" i="7"/>
  <c r="C2409" i="7"/>
  <c r="O2408" i="7"/>
  <c r="N2408" i="7"/>
  <c r="M2408" i="7"/>
  <c r="L2408" i="7"/>
  <c r="K2408" i="7"/>
  <c r="J2408" i="7"/>
  <c r="I2408" i="7"/>
  <c r="H2408" i="7"/>
  <c r="G2408" i="7"/>
  <c r="F2408" i="7"/>
  <c r="E2408" i="7"/>
  <c r="D2408" i="7"/>
  <c r="C2408" i="7"/>
  <c r="O2407" i="7"/>
  <c r="N2407" i="7"/>
  <c r="M2407" i="7"/>
  <c r="L2407" i="7"/>
  <c r="K2407" i="7"/>
  <c r="J2407" i="7"/>
  <c r="I2407" i="7"/>
  <c r="H2407" i="7"/>
  <c r="G2407" i="7"/>
  <c r="F2407" i="7"/>
  <c r="E2407" i="7"/>
  <c r="D2407" i="7"/>
  <c r="C2407" i="7"/>
  <c r="O2406" i="7"/>
  <c r="N2406" i="7"/>
  <c r="M2406" i="7"/>
  <c r="L2406" i="7"/>
  <c r="K2406" i="7"/>
  <c r="J2406" i="7"/>
  <c r="I2406" i="7"/>
  <c r="H2406" i="7"/>
  <c r="G2406" i="7"/>
  <c r="F2406" i="7"/>
  <c r="E2406" i="7"/>
  <c r="D2406" i="7"/>
  <c r="C2406" i="7"/>
  <c r="O2405" i="7"/>
  <c r="N2405" i="7"/>
  <c r="M2405" i="7"/>
  <c r="L2405" i="7"/>
  <c r="K2405" i="7"/>
  <c r="J2405" i="7"/>
  <c r="I2405" i="7"/>
  <c r="H2405" i="7"/>
  <c r="G2405" i="7"/>
  <c r="F2405" i="7"/>
  <c r="E2405" i="7"/>
  <c r="D2405" i="7"/>
  <c r="C2405" i="7"/>
  <c r="O2404" i="7"/>
  <c r="N2404" i="7"/>
  <c r="M2404" i="7"/>
  <c r="L2404" i="7"/>
  <c r="K2404" i="7"/>
  <c r="J2404" i="7"/>
  <c r="I2404" i="7"/>
  <c r="H2404" i="7"/>
  <c r="G2404" i="7"/>
  <c r="F2404" i="7"/>
  <c r="E2404" i="7"/>
  <c r="D2404" i="7"/>
  <c r="C2404" i="7"/>
  <c r="O2403" i="7"/>
  <c r="N2403" i="7"/>
  <c r="M2403" i="7"/>
  <c r="L2403" i="7"/>
  <c r="K2403" i="7"/>
  <c r="J2403" i="7"/>
  <c r="I2403" i="7"/>
  <c r="H2403" i="7"/>
  <c r="G2403" i="7"/>
  <c r="F2403" i="7"/>
  <c r="E2403" i="7"/>
  <c r="D2403" i="7"/>
  <c r="C2403" i="7"/>
  <c r="O2402" i="7"/>
  <c r="N2402" i="7"/>
  <c r="M2402" i="7"/>
  <c r="L2402" i="7"/>
  <c r="K2402" i="7"/>
  <c r="J2402" i="7"/>
  <c r="I2402" i="7"/>
  <c r="H2402" i="7"/>
  <c r="G2402" i="7"/>
  <c r="F2402" i="7"/>
  <c r="E2402" i="7"/>
  <c r="D2402" i="7"/>
  <c r="C2402" i="7"/>
  <c r="O2401" i="7"/>
  <c r="N2401" i="7"/>
  <c r="M2401" i="7"/>
  <c r="L2401" i="7"/>
  <c r="K2401" i="7"/>
  <c r="J2401" i="7"/>
  <c r="I2401" i="7"/>
  <c r="H2401" i="7"/>
  <c r="G2401" i="7"/>
  <c r="F2401" i="7"/>
  <c r="E2401" i="7"/>
  <c r="D2401" i="7"/>
  <c r="C2401" i="7"/>
  <c r="O2400" i="7"/>
  <c r="N2400" i="7"/>
  <c r="M2400" i="7"/>
  <c r="L2400" i="7"/>
  <c r="K2400" i="7"/>
  <c r="J2400" i="7"/>
  <c r="I2400" i="7"/>
  <c r="H2400" i="7"/>
  <c r="G2400" i="7"/>
  <c r="F2400" i="7"/>
  <c r="E2400" i="7"/>
  <c r="D2400" i="7"/>
  <c r="C2400" i="7"/>
  <c r="O2399" i="7"/>
  <c r="N2399" i="7"/>
  <c r="M2399" i="7"/>
  <c r="L2399" i="7"/>
  <c r="K2399" i="7"/>
  <c r="J2399" i="7"/>
  <c r="I2399" i="7"/>
  <c r="H2399" i="7"/>
  <c r="G2399" i="7"/>
  <c r="F2399" i="7"/>
  <c r="E2399" i="7"/>
  <c r="D2399" i="7"/>
  <c r="C2399" i="7"/>
  <c r="O2398" i="7"/>
  <c r="N2398" i="7"/>
  <c r="M2398" i="7"/>
  <c r="L2398" i="7"/>
  <c r="K2398" i="7"/>
  <c r="J2398" i="7"/>
  <c r="I2398" i="7"/>
  <c r="H2398" i="7"/>
  <c r="G2398" i="7"/>
  <c r="F2398" i="7"/>
  <c r="E2398" i="7"/>
  <c r="D2398" i="7"/>
  <c r="C2398" i="7"/>
  <c r="O2397" i="7"/>
  <c r="N2397" i="7"/>
  <c r="M2397" i="7"/>
  <c r="L2397" i="7"/>
  <c r="K2397" i="7"/>
  <c r="J2397" i="7"/>
  <c r="I2397" i="7"/>
  <c r="H2397" i="7"/>
  <c r="G2397" i="7"/>
  <c r="F2397" i="7"/>
  <c r="E2397" i="7"/>
  <c r="D2397" i="7"/>
  <c r="C2397" i="7"/>
  <c r="O2396" i="7"/>
  <c r="N2396" i="7"/>
  <c r="M2396" i="7"/>
  <c r="L2396" i="7"/>
  <c r="K2396" i="7"/>
  <c r="J2396" i="7"/>
  <c r="I2396" i="7"/>
  <c r="H2396" i="7"/>
  <c r="G2396" i="7"/>
  <c r="F2396" i="7"/>
  <c r="E2396" i="7"/>
  <c r="D2396" i="7"/>
  <c r="C2396" i="7"/>
  <c r="O2395" i="7"/>
  <c r="N2395" i="7"/>
  <c r="M2395" i="7"/>
  <c r="L2395" i="7"/>
  <c r="K2395" i="7"/>
  <c r="J2395" i="7"/>
  <c r="I2395" i="7"/>
  <c r="H2395" i="7"/>
  <c r="G2395" i="7"/>
  <c r="F2395" i="7"/>
  <c r="E2395" i="7"/>
  <c r="D2395" i="7"/>
  <c r="C2395" i="7"/>
  <c r="O2394" i="7"/>
  <c r="N2394" i="7"/>
  <c r="M2394" i="7"/>
  <c r="L2394" i="7"/>
  <c r="K2394" i="7"/>
  <c r="J2394" i="7"/>
  <c r="I2394" i="7"/>
  <c r="H2394" i="7"/>
  <c r="G2394" i="7"/>
  <c r="F2394" i="7"/>
  <c r="E2394" i="7"/>
  <c r="D2394" i="7"/>
  <c r="C2394" i="7"/>
  <c r="O2393" i="7"/>
  <c r="N2393" i="7"/>
  <c r="M2393" i="7"/>
  <c r="L2393" i="7"/>
  <c r="K2393" i="7"/>
  <c r="J2393" i="7"/>
  <c r="I2393" i="7"/>
  <c r="H2393" i="7"/>
  <c r="G2393" i="7"/>
  <c r="F2393" i="7"/>
  <c r="E2393" i="7"/>
  <c r="D2393" i="7"/>
  <c r="C2393" i="7"/>
  <c r="O2392" i="7"/>
  <c r="N2392" i="7"/>
  <c r="M2392" i="7"/>
  <c r="L2392" i="7"/>
  <c r="K2392" i="7"/>
  <c r="J2392" i="7"/>
  <c r="I2392" i="7"/>
  <c r="H2392" i="7"/>
  <c r="G2392" i="7"/>
  <c r="F2392" i="7"/>
  <c r="E2392" i="7"/>
  <c r="D2392" i="7"/>
  <c r="C2392" i="7"/>
  <c r="O2391" i="7"/>
  <c r="N2391" i="7"/>
  <c r="M2391" i="7"/>
  <c r="L2391" i="7"/>
  <c r="K2391" i="7"/>
  <c r="J2391" i="7"/>
  <c r="I2391" i="7"/>
  <c r="H2391" i="7"/>
  <c r="G2391" i="7"/>
  <c r="F2391" i="7"/>
  <c r="E2391" i="7"/>
  <c r="D2391" i="7"/>
  <c r="C2391" i="7"/>
  <c r="O2390" i="7"/>
  <c r="N2390" i="7"/>
  <c r="M2390" i="7"/>
  <c r="L2390" i="7"/>
  <c r="K2390" i="7"/>
  <c r="J2390" i="7"/>
  <c r="I2390" i="7"/>
  <c r="H2390" i="7"/>
  <c r="G2390" i="7"/>
  <c r="F2390" i="7"/>
  <c r="E2390" i="7"/>
  <c r="D2390" i="7"/>
  <c r="C2390" i="7"/>
  <c r="O2389" i="7"/>
  <c r="N2389" i="7"/>
  <c r="M2389" i="7"/>
  <c r="L2389" i="7"/>
  <c r="K2389" i="7"/>
  <c r="J2389" i="7"/>
  <c r="I2389" i="7"/>
  <c r="H2389" i="7"/>
  <c r="G2389" i="7"/>
  <c r="F2389" i="7"/>
  <c r="E2389" i="7"/>
  <c r="D2389" i="7"/>
  <c r="C2389" i="7"/>
  <c r="O2388" i="7"/>
  <c r="N2388" i="7"/>
  <c r="M2388" i="7"/>
  <c r="L2388" i="7"/>
  <c r="K2388" i="7"/>
  <c r="J2388" i="7"/>
  <c r="I2388" i="7"/>
  <c r="H2388" i="7"/>
  <c r="G2388" i="7"/>
  <c r="F2388" i="7"/>
  <c r="E2388" i="7"/>
  <c r="D2388" i="7"/>
  <c r="C2388" i="7"/>
  <c r="O2387" i="7"/>
  <c r="N2387" i="7"/>
  <c r="M2387" i="7"/>
  <c r="L2387" i="7"/>
  <c r="K2387" i="7"/>
  <c r="J2387" i="7"/>
  <c r="I2387" i="7"/>
  <c r="H2387" i="7"/>
  <c r="G2387" i="7"/>
  <c r="F2387" i="7"/>
  <c r="E2387" i="7"/>
  <c r="D2387" i="7"/>
  <c r="C2387" i="7"/>
  <c r="O2386" i="7"/>
  <c r="N2386" i="7"/>
  <c r="M2386" i="7"/>
  <c r="L2386" i="7"/>
  <c r="K2386" i="7"/>
  <c r="J2386" i="7"/>
  <c r="I2386" i="7"/>
  <c r="H2386" i="7"/>
  <c r="G2386" i="7"/>
  <c r="F2386" i="7"/>
  <c r="E2386" i="7"/>
  <c r="D2386" i="7"/>
  <c r="C2386" i="7"/>
  <c r="O2385" i="7"/>
  <c r="N2385" i="7"/>
  <c r="M2385" i="7"/>
  <c r="L2385" i="7"/>
  <c r="K2385" i="7"/>
  <c r="J2385" i="7"/>
  <c r="I2385" i="7"/>
  <c r="H2385" i="7"/>
  <c r="G2385" i="7"/>
  <c r="F2385" i="7"/>
  <c r="E2385" i="7"/>
  <c r="D2385" i="7"/>
  <c r="C2385" i="7"/>
  <c r="O2384" i="7"/>
  <c r="N2384" i="7"/>
  <c r="M2384" i="7"/>
  <c r="L2384" i="7"/>
  <c r="K2384" i="7"/>
  <c r="J2384" i="7"/>
  <c r="I2384" i="7"/>
  <c r="H2384" i="7"/>
  <c r="G2384" i="7"/>
  <c r="F2384" i="7"/>
  <c r="E2384" i="7"/>
  <c r="D2384" i="7"/>
  <c r="C2384" i="7"/>
  <c r="O2383" i="7"/>
  <c r="N2383" i="7"/>
  <c r="M2383" i="7"/>
  <c r="L2383" i="7"/>
  <c r="K2383" i="7"/>
  <c r="J2383" i="7"/>
  <c r="I2383" i="7"/>
  <c r="H2383" i="7"/>
  <c r="G2383" i="7"/>
  <c r="F2383" i="7"/>
  <c r="E2383" i="7"/>
  <c r="D2383" i="7"/>
  <c r="C2383" i="7"/>
  <c r="O2382" i="7"/>
  <c r="N2382" i="7"/>
  <c r="M2382" i="7"/>
  <c r="L2382" i="7"/>
  <c r="K2382" i="7"/>
  <c r="J2382" i="7"/>
  <c r="I2382" i="7"/>
  <c r="H2382" i="7"/>
  <c r="G2382" i="7"/>
  <c r="F2382" i="7"/>
  <c r="E2382" i="7"/>
  <c r="D2382" i="7"/>
  <c r="C2382" i="7"/>
  <c r="O2381" i="7"/>
  <c r="N2381" i="7"/>
  <c r="M2381" i="7"/>
  <c r="L2381" i="7"/>
  <c r="K2381" i="7"/>
  <c r="J2381" i="7"/>
  <c r="I2381" i="7"/>
  <c r="H2381" i="7"/>
  <c r="G2381" i="7"/>
  <c r="F2381" i="7"/>
  <c r="E2381" i="7"/>
  <c r="D2381" i="7"/>
  <c r="C2381" i="7"/>
  <c r="O2380" i="7"/>
  <c r="N2380" i="7"/>
  <c r="M2380" i="7"/>
  <c r="L2380" i="7"/>
  <c r="K2380" i="7"/>
  <c r="J2380" i="7"/>
  <c r="I2380" i="7"/>
  <c r="H2380" i="7"/>
  <c r="G2380" i="7"/>
  <c r="F2380" i="7"/>
  <c r="E2380" i="7"/>
  <c r="D2380" i="7"/>
  <c r="C2380" i="7"/>
  <c r="O2379" i="7"/>
  <c r="N2379" i="7"/>
  <c r="M2379" i="7"/>
  <c r="L2379" i="7"/>
  <c r="K2379" i="7"/>
  <c r="J2379" i="7"/>
  <c r="I2379" i="7"/>
  <c r="H2379" i="7"/>
  <c r="G2379" i="7"/>
  <c r="F2379" i="7"/>
  <c r="E2379" i="7"/>
  <c r="D2379" i="7"/>
  <c r="C2379" i="7"/>
  <c r="O2378" i="7"/>
  <c r="N2378" i="7"/>
  <c r="M2378" i="7"/>
  <c r="L2378" i="7"/>
  <c r="K2378" i="7"/>
  <c r="J2378" i="7"/>
  <c r="I2378" i="7"/>
  <c r="H2378" i="7"/>
  <c r="G2378" i="7"/>
  <c r="F2378" i="7"/>
  <c r="E2378" i="7"/>
  <c r="D2378" i="7"/>
  <c r="C2378" i="7"/>
  <c r="O2377" i="7"/>
  <c r="N2377" i="7"/>
  <c r="M2377" i="7"/>
  <c r="L2377" i="7"/>
  <c r="K2377" i="7"/>
  <c r="J2377" i="7"/>
  <c r="I2377" i="7"/>
  <c r="H2377" i="7"/>
  <c r="G2377" i="7"/>
  <c r="F2377" i="7"/>
  <c r="E2377" i="7"/>
  <c r="D2377" i="7"/>
  <c r="C2377" i="7"/>
  <c r="O2376" i="7"/>
  <c r="N2376" i="7"/>
  <c r="M2376" i="7"/>
  <c r="L2376" i="7"/>
  <c r="K2376" i="7"/>
  <c r="J2376" i="7"/>
  <c r="I2376" i="7"/>
  <c r="H2376" i="7"/>
  <c r="G2376" i="7"/>
  <c r="F2376" i="7"/>
  <c r="E2376" i="7"/>
  <c r="D2376" i="7"/>
  <c r="C2376" i="7"/>
  <c r="O2375" i="7"/>
  <c r="N2375" i="7"/>
  <c r="M2375" i="7"/>
  <c r="L2375" i="7"/>
  <c r="K2375" i="7"/>
  <c r="J2375" i="7"/>
  <c r="I2375" i="7"/>
  <c r="H2375" i="7"/>
  <c r="G2375" i="7"/>
  <c r="F2375" i="7"/>
  <c r="E2375" i="7"/>
  <c r="D2375" i="7"/>
  <c r="C2375" i="7"/>
  <c r="O2374" i="7"/>
  <c r="N2374" i="7"/>
  <c r="M2374" i="7"/>
  <c r="L2374" i="7"/>
  <c r="K2374" i="7"/>
  <c r="J2374" i="7"/>
  <c r="I2374" i="7"/>
  <c r="H2374" i="7"/>
  <c r="G2374" i="7"/>
  <c r="F2374" i="7"/>
  <c r="E2374" i="7"/>
  <c r="D2374" i="7"/>
  <c r="C2374" i="7"/>
  <c r="O2373" i="7"/>
  <c r="N2373" i="7"/>
  <c r="M2373" i="7"/>
  <c r="L2373" i="7"/>
  <c r="K2373" i="7"/>
  <c r="J2373" i="7"/>
  <c r="I2373" i="7"/>
  <c r="H2373" i="7"/>
  <c r="G2373" i="7"/>
  <c r="F2373" i="7"/>
  <c r="E2373" i="7"/>
  <c r="D2373" i="7"/>
  <c r="C2373" i="7"/>
  <c r="O2372" i="7"/>
  <c r="N2372" i="7"/>
  <c r="M2372" i="7"/>
  <c r="L2372" i="7"/>
  <c r="K2372" i="7"/>
  <c r="J2372" i="7"/>
  <c r="I2372" i="7"/>
  <c r="H2372" i="7"/>
  <c r="G2372" i="7"/>
  <c r="F2372" i="7"/>
  <c r="E2372" i="7"/>
  <c r="D2372" i="7"/>
  <c r="C2372" i="7"/>
  <c r="O2371" i="7"/>
  <c r="N2371" i="7"/>
  <c r="M2371" i="7"/>
  <c r="L2371" i="7"/>
  <c r="K2371" i="7"/>
  <c r="J2371" i="7"/>
  <c r="I2371" i="7"/>
  <c r="H2371" i="7"/>
  <c r="G2371" i="7"/>
  <c r="F2371" i="7"/>
  <c r="E2371" i="7"/>
  <c r="D2371" i="7"/>
  <c r="C2371" i="7"/>
  <c r="O2370" i="7"/>
  <c r="N2370" i="7"/>
  <c r="M2370" i="7"/>
  <c r="L2370" i="7"/>
  <c r="K2370" i="7"/>
  <c r="J2370" i="7"/>
  <c r="I2370" i="7"/>
  <c r="H2370" i="7"/>
  <c r="G2370" i="7"/>
  <c r="F2370" i="7"/>
  <c r="E2370" i="7"/>
  <c r="D2370" i="7"/>
  <c r="C2370" i="7"/>
  <c r="O2369" i="7"/>
  <c r="N2369" i="7"/>
  <c r="M2369" i="7"/>
  <c r="L2369" i="7"/>
  <c r="K2369" i="7"/>
  <c r="J2369" i="7"/>
  <c r="I2369" i="7"/>
  <c r="H2369" i="7"/>
  <c r="G2369" i="7"/>
  <c r="F2369" i="7"/>
  <c r="E2369" i="7"/>
  <c r="D2369" i="7"/>
  <c r="C2369" i="7"/>
  <c r="O2368" i="7"/>
  <c r="N2368" i="7"/>
  <c r="M2368" i="7"/>
  <c r="L2368" i="7"/>
  <c r="K2368" i="7"/>
  <c r="J2368" i="7"/>
  <c r="I2368" i="7"/>
  <c r="H2368" i="7"/>
  <c r="G2368" i="7"/>
  <c r="F2368" i="7"/>
  <c r="E2368" i="7"/>
  <c r="D2368" i="7"/>
  <c r="C2368" i="7"/>
  <c r="O2367" i="7"/>
  <c r="N2367" i="7"/>
  <c r="M2367" i="7"/>
  <c r="L2367" i="7"/>
  <c r="K2367" i="7"/>
  <c r="J2367" i="7"/>
  <c r="I2367" i="7"/>
  <c r="H2367" i="7"/>
  <c r="G2367" i="7"/>
  <c r="F2367" i="7"/>
  <c r="E2367" i="7"/>
  <c r="D2367" i="7"/>
  <c r="C2367" i="7"/>
  <c r="O2366" i="7"/>
  <c r="N2366" i="7"/>
  <c r="M2366" i="7"/>
  <c r="L2366" i="7"/>
  <c r="K2366" i="7"/>
  <c r="J2366" i="7"/>
  <c r="I2366" i="7"/>
  <c r="H2366" i="7"/>
  <c r="G2366" i="7"/>
  <c r="F2366" i="7"/>
  <c r="E2366" i="7"/>
  <c r="D2366" i="7"/>
  <c r="C2366" i="7"/>
  <c r="O2365" i="7"/>
  <c r="N2365" i="7"/>
  <c r="M2365" i="7"/>
  <c r="L2365" i="7"/>
  <c r="K2365" i="7"/>
  <c r="J2365" i="7"/>
  <c r="I2365" i="7"/>
  <c r="H2365" i="7"/>
  <c r="G2365" i="7"/>
  <c r="F2365" i="7"/>
  <c r="E2365" i="7"/>
  <c r="D2365" i="7"/>
  <c r="C2365" i="7"/>
  <c r="O2364" i="7"/>
  <c r="N2364" i="7"/>
  <c r="M2364" i="7"/>
  <c r="L2364" i="7"/>
  <c r="K2364" i="7"/>
  <c r="J2364" i="7"/>
  <c r="I2364" i="7"/>
  <c r="H2364" i="7"/>
  <c r="G2364" i="7"/>
  <c r="F2364" i="7"/>
  <c r="E2364" i="7"/>
  <c r="D2364" i="7"/>
  <c r="C2364" i="7"/>
  <c r="O2363" i="7"/>
  <c r="N2363" i="7"/>
  <c r="M2363" i="7"/>
  <c r="L2363" i="7"/>
  <c r="K2363" i="7"/>
  <c r="J2363" i="7"/>
  <c r="I2363" i="7"/>
  <c r="H2363" i="7"/>
  <c r="G2363" i="7"/>
  <c r="F2363" i="7"/>
  <c r="E2363" i="7"/>
  <c r="D2363" i="7"/>
  <c r="C2363" i="7"/>
  <c r="O2362" i="7"/>
  <c r="N2362" i="7"/>
  <c r="M2362" i="7"/>
  <c r="L2362" i="7"/>
  <c r="K2362" i="7"/>
  <c r="J2362" i="7"/>
  <c r="I2362" i="7"/>
  <c r="H2362" i="7"/>
  <c r="G2362" i="7"/>
  <c r="F2362" i="7"/>
  <c r="E2362" i="7"/>
  <c r="D2362" i="7"/>
  <c r="C2362" i="7"/>
  <c r="O2361" i="7"/>
  <c r="N2361" i="7"/>
  <c r="M2361" i="7"/>
  <c r="L2361" i="7"/>
  <c r="K2361" i="7"/>
  <c r="J2361" i="7"/>
  <c r="I2361" i="7"/>
  <c r="H2361" i="7"/>
  <c r="G2361" i="7"/>
  <c r="F2361" i="7"/>
  <c r="E2361" i="7"/>
  <c r="D2361" i="7"/>
  <c r="C2361" i="7"/>
  <c r="O2360" i="7"/>
  <c r="N2360" i="7"/>
  <c r="M2360" i="7"/>
  <c r="L2360" i="7"/>
  <c r="K2360" i="7"/>
  <c r="J2360" i="7"/>
  <c r="I2360" i="7"/>
  <c r="H2360" i="7"/>
  <c r="G2360" i="7"/>
  <c r="F2360" i="7"/>
  <c r="E2360" i="7"/>
  <c r="D2360" i="7"/>
  <c r="C2360" i="7"/>
  <c r="O2359" i="7"/>
  <c r="N2359" i="7"/>
  <c r="M2359" i="7"/>
  <c r="L2359" i="7"/>
  <c r="K2359" i="7"/>
  <c r="J2359" i="7"/>
  <c r="I2359" i="7"/>
  <c r="H2359" i="7"/>
  <c r="G2359" i="7"/>
  <c r="F2359" i="7"/>
  <c r="E2359" i="7"/>
  <c r="D2359" i="7"/>
  <c r="C2359" i="7"/>
  <c r="O2358" i="7"/>
  <c r="N2358" i="7"/>
  <c r="M2358" i="7"/>
  <c r="L2358" i="7"/>
  <c r="K2358" i="7"/>
  <c r="J2358" i="7"/>
  <c r="I2358" i="7"/>
  <c r="H2358" i="7"/>
  <c r="G2358" i="7"/>
  <c r="F2358" i="7"/>
  <c r="E2358" i="7"/>
  <c r="D2358" i="7"/>
  <c r="C2358" i="7"/>
  <c r="O2357" i="7"/>
  <c r="N2357" i="7"/>
  <c r="M2357" i="7"/>
  <c r="L2357" i="7"/>
  <c r="K2357" i="7"/>
  <c r="J2357" i="7"/>
  <c r="I2357" i="7"/>
  <c r="H2357" i="7"/>
  <c r="G2357" i="7"/>
  <c r="F2357" i="7"/>
  <c r="E2357" i="7"/>
  <c r="D2357" i="7"/>
  <c r="C2357" i="7"/>
  <c r="O2356" i="7"/>
  <c r="N2356" i="7"/>
  <c r="M2356" i="7"/>
  <c r="L2356" i="7"/>
  <c r="K2356" i="7"/>
  <c r="J2356" i="7"/>
  <c r="I2356" i="7"/>
  <c r="H2356" i="7"/>
  <c r="G2356" i="7"/>
  <c r="F2356" i="7"/>
  <c r="E2356" i="7"/>
  <c r="D2356" i="7"/>
  <c r="C2356" i="7"/>
  <c r="O2355" i="7"/>
  <c r="N2355" i="7"/>
  <c r="M2355" i="7"/>
  <c r="L2355" i="7"/>
  <c r="K2355" i="7"/>
  <c r="J2355" i="7"/>
  <c r="I2355" i="7"/>
  <c r="H2355" i="7"/>
  <c r="G2355" i="7"/>
  <c r="F2355" i="7"/>
  <c r="E2355" i="7"/>
  <c r="D2355" i="7"/>
  <c r="C2355" i="7"/>
  <c r="O2354" i="7"/>
  <c r="N2354" i="7"/>
  <c r="M2354" i="7"/>
  <c r="L2354" i="7"/>
  <c r="K2354" i="7"/>
  <c r="J2354" i="7"/>
  <c r="I2354" i="7"/>
  <c r="H2354" i="7"/>
  <c r="G2354" i="7"/>
  <c r="F2354" i="7"/>
  <c r="E2354" i="7"/>
  <c r="D2354" i="7"/>
  <c r="C2354" i="7"/>
  <c r="O2353" i="7"/>
  <c r="N2353" i="7"/>
  <c r="M2353" i="7"/>
  <c r="L2353" i="7"/>
  <c r="K2353" i="7"/>
  <c r="J2353" i="7"/>
  <c r="I2353" i="7"/>
  <c r="H2353" i="7"/>
  <c r="G2353" i="7"/>
  <c r="F2353" i="7"/>
  <c r="E2353" i="7"/>
  <c r="D2353" i="7"/>
  <c r="C2353" i="7"/>
  <c r="O2352" i="7"/>
  <c r="N2352" i="7"/>
  <c r="M2352" i="7"/>
  <c r="L2352" i="7"/>
  <c r="K2352" i="7"/>
  <c r="J2352" i="7"/>
  <c r="I2352" i="7"/>
  <c r="H2352" i="7"/>
  <c r="G2352" i="7"/>
  <c r="F2352" i="7"/>
  <c r="E2352" i="7"/>
  <c r="D2352" i="7"/>
  <c r="C2352" i="7"/>
  <c r="O2351" i="7"/>
  <c r="N2351" i="7"/>
  <c r="M2351" i="7"/>
  <c r="L2351" i="7"/>
  <c r="K2351" i="7"/>
  <c r="J2351" i="7"/>
  <c r="I2351" i="7"/>
  <c r="H2351" i="7"/>
  <c r="G2351" i="7"/>
  <c r="F2351" i="7"/>
  <c r="E2351" i="7"/>
  <c r="D2351" i="7"/>
  <c r="C2351" i="7"/>
  <c r="O2350" i="7"/>
  <c r="N2350" i="7"/>
  <c r="M2350" i="7"/>
  <c r="L2350" i="7"/>
  <c r="K2350" i="7"/>
  <c r="J2350" i="7"/>
  <c r="I2350" i="7"/>
  <c r="H2350" i="7"/>
  <c r="G2350" i="7"/>
  <c r="F2350" i="7"/>
  <c r="E2350" i="7"/>
  <c r="D2350" i="7"/>
  <c r="C2350" i="7"/>
  <c r="O2349" i="7"/>
  <c r="N2349" i="7"/>
  <c r="M2349" i="7"/>
  <c r="L2349" i="7"/>
  <c r="K2349" i="7"/>
  <c r="J2349" i="7"/>
  <c r="I2349" i="7"/>
  <c r="H2349" i="7"/>
  <c r="G2349" i="7"/>
  <c r="F2349" i="7"/>
  <c r="E2349" i="7"/>
  <c r="D2349" i="7"/>
  <c r="C2349" i="7"/>
  <c r="O2348" i="7"/>
  <c r="N2348" i="7"/>
  <c r="M2348" i="7"/>
  <c r="L2348" i="7"/>
  <c r="K2348" i="7"/>
  <c r="J2348" i="7"/>
  <c r="I2348" i="7"/>
  <c r="H2348" i="7"/>
  <c r="G2348" i="7"/>
  <c r="F2348" i="7"/>
  <c r="E2348" i="7"/>
  <c r="D2348" i="7"/>
  <c r="C2348" i="7"/>
  <c r="O2347" i="7"/>
  <c r="N2347" i="7"/>
  <c r="M2347" i="7"/>
  <c r="L2347" i="7"/>
  <c r="K2347" i="7"/>
  <c r="J2347" i="7"/>
  <c r="I2347" i="7"/>
  <c r="H2347" i="7"/>
  <c r="G2347" i="7"/>
  <c r="F2347" i="7"/>
  <c r="E2347" i="7"/>
  <c r="D2347" i="7"/>
  <c r="C2347" i="7"/>
  <c r="O2346" i="7"/>
  <c r="N2346" i="7"/>
  <c r="M2346" i="7"/>
  <c r="L2346" i="7"/>
  <c r="K2346" i="7"/>
  <c r="J2346" i="7"/>
  <c r="I2346" i="7"/>
  <c r="H2346" i="7"/>
  <c r="G2346" i="7"/>
  <c r="F2346" i="7"/>
  <c r="E2346" i="7"/>
  <c r="D2346" i="7"/>
  <c r="C2346" i="7"/>
  <c r="O2345" i="7"/>
  <c r="N2345" i="7"/>
  <c r="M2345" i="7"/>
  <c r="L2345" i="7"/>
  <c r="K2345" i="7"/>
  <c r="J2345" i="7"/>
  <c r="I2345" i="7"/>
  <c r="H2345" i="7"/>
  <c r="G2345" i="7"/>
  <c r="F2345" i="7"/>
  <c r="E2345" i="7"/>
  <c r="D2345" i="7"/>
  <c r="C2345" i="7"/>
  <c r="O2344" i="7"/>
  <c r="N2344" i="7"/>
  <c r="M2344" i="7"/>
  <c r="L2344" i="7"/>
  <c r="K2344" i="7"/>
  <c r="J2344" i="7"/>
  <c r="I2344" i="7"/>
  <c r="H2344" i="7"/>
  <c r="G2344" i="7"/>
  <c r="F2344" i="7"/>
  <c r="E2344" i="7"/>
  <c r="D2344" i="7"/>
  <c r="C2344" i="7"/>
  <c r="O2343" i="7"/>
  <c r="N2343" i="7"/>
  <c r="M2343" i="7"/>
  <c r="L2343" i="7"/>
  <c r="K2343" i="7"/>
  <c r="J2343" i="7"/>
  <c r="I2343" i="7"/>
  <c r="H2343" i="7"/>
  <c r="G2343" i="7"/>
  <c r="F2343" i="7"/>
  <c r="E2343" i="7"/>
  <c r="D2343" i="7"/>
  <c r="C2343" i="7"/>
  <c r="O2342" i="7"/>
  <c r="N2342" i="7"/>
  <c r="M2342" i="7"/>
  <c r="L2342" i="7"/>
  <c r="K2342" i="7"/>
  <c r="J2342" i="7"/>
  <c r="I2342" i="7"/>
  <c r="H2342" i="7"/>
  <c r="G2342" i="7"/>
  <c r="F2342" i="7"/>
  <c r="E2342" i="7"/>
  <c r="D2342" i="7"/>
  <c r="C2342" i="7"/>
  <c r="O2341" i="7"/>
  <c r="N2341" i="7"/>
  <c r="M2341" i="7"/>
  <c r="L2341" i="7"/>
  <c r="K2341" i="7"/>
  <c r="J2341" i="7"/>
  <c r="I2341" i="7"/>
  <c r="H2341" i="7"/>
  <c r="G2341" i="7"/>
  <c r="F2341" i="7"/>
  <c r="E2341" i="7"/>
  <c r="D2341" i="7"/>
  <c r="C2341" i="7"/>
  <c r="O2340" i="7"/>
  <c r="N2340" i="7"/>
  <c r="M2340" i="7"/>
  <c r="L2340" i="7"/>
  <c r="K2340" i="7"/>
  <c r="J2340" i="7"/>
  <c r="I2340" i="7"/>
  <c r="H2340" i="7"/>
  <c r="G2340" i="7"/>
  <c r="F2340" i="7"/>
  <c r="E2340" i="7"/>
  <c r="D2340" i="7"/>
  <c r="C2340" i="7"/>
  <c r="O2335" i="7"/>
  <c r="N2335" i="7"/>
  <c r="M2335" i="7"/>
  <c r="L2335" i="7"/>
  <c r="K2335" i="7"/>
  <c r="J2335" i="7"/>
  <c r="I2335" i="7"/>
  <c r="H2335" i="7"/>
  <c r="G2335" i="7"/>
  <c r="F2335" i="7"/>
  <c r="E2335" i="7"/>
  <c r="D2335" i="7"/>
  <c r="C2335" i="7"/>
  <c r="O2334" i="7"/>
  <c r="N2334" i="7"/>
  <c r="M2334" i="7"/>
  <c r="L2334" i="7"/>
  <c r="K2334" i="7"/>
  <c r="J2334" i="7"/>
  <c r="I2334" i="7"/>
  <c r="G2334" i="7"/>
  <c r="F2334" i="7"/>
  <c r="E2334" i="7"/>
  <c r="D2334" i="7"/>
  <c r="C2334" i="7"/>
  <c r="O2333" i="7"/>
  <c r="N2333" i="7"/>
  <c r="M2333" i="7"/>
  <c r="L2333" i="7"/>
  <c r="K2333" i="7"/>
  <c r="J2333" i="7"/>
  <c r="I2333" i="7"/>
  <c r="H2333" i="7"/>
  <c r="G2333" i="7"/>
  <c r="F2333" i="7"/>
  <c r="E2333" i="7"/>
  <c r="D2333" i="7"/>
  <c r="C2333" i="7"/>
  <c r="O2332" i="7"/>
  <c r="N2332" i="7"/>
  <c r="M2332" i="7"/>
  <c r="L2332" i="7"/>
  <c r="K2332" i="7"/>
  <c r="J2332" i="7"/>
  <c r="I2332" i="7"/>
  <c r="H2332" i="7"/>
  <c r="G2332" i="7"/>
  <c r="F2332" i="7"/>
  <c r="E2332" i="7"/>
  <c r="D2332" i="7"/>
  <c r="C2332" i="7"/>
  <c r="O2331" i="7"/>
  <c r="N2331" i="7"/>
  <c r="M2331" i="7"/>
  <c r="L2331" i="7"/>
  <c r="K2331" i="7"/>
  <c r="J2331" i="7"/>
  <c r="I2331" i="7"/>
  <c r="H2331" i="7"/>
  <c r="G2331" i="7"/>
  <c r="F2331" i="7"/>
  <c r="E2331" i="7"/>
  <c r="D2331" i="7"/>
  <c r="C2331" i="7"/>
  <c r="O2330" i="7"/>
  <c r="N2330" i="7"/>
  <c r="M2330" i="7"/>
  <c r="L2330" i="7"/>
  <c r="K2330" i="7"/>
  <c r="J2330" i="7"/>
  <c r="I2330" i="7"/>
  <c r="H2330" i="7"/>
  <c r="G2330" i="7"/>
  <c r="F2330" i="7"/>
  <c r="E2330" i="7"/>
  <c r="D2330" i="7"/>
  <c r="C2330" i="7"/>
  <c r="O2329" i="7"/>
  <c r="N2329" i="7"/>
  <c r="M2329" i="7"/>
  <c r="L2329" i="7"/>
  <c r="K2329" i="7"/>
  <c r="J2329" i="7"/>
  <c r="I2329" i="7"/>
  <c r="H2329" i="7"/>
  <c r="G2329" i="7"/>
  <c r="F2329" i="7"/>
  <c r="E2329" i="7"/>
  <c r="D2329" i="7"/>
  <c r="C2329" i="7"/>
  <c r="O2328" i="7"/>
  <c r="N2328" i="7"/>
  <c r="M2328" i="7"/>
  <c r="L2328" i="7"/>
  <c r="K2328" i="7"/>
  <c r="J2328" i="7"/>
  <c r="I2328" i="7"/>
  <c r="H2328" i="7"/>
  <c r="G2328" i="7"/>
  <c r="F2328" i="7"/>
  <c r="E2328" i="7"/>
  <c r="D2328" i="7"/>
  <c r="C2328" i="7"/>
  <c r="O2327" i="7"/>
  <c r="N2327" i="7"/>
  <c r="M2327" i="7"/>
  <c r="L2327" i="7"/>
  <c r="K2327" i="7"/>
  <c r="J2327" i="7"/>
  <c r="I2327" i="7"/>
  <c r="H2327" i="7"/>
  <c r="G2327" i="7"/>
  <c r="F2327" i="7"/>
  <c r="E2327" i="7"/>
  <c r="D2327" i="7"/>
  <c r="C2327" i="7"/>
  <c r="O2326" i="7"/>
  <c r="N2326" i="7"/>
  <c r="M2326" i="7"/>
  <c r="L2326" i="7"/>
  <c r="K2326" i="7"/>
  <c r="J2326" i="7"/>
  <c r="I2326" i="7"/>
  <c r="H2326" i="7"/>
  <c r="G2326" i="7"/>
  <c r="F2326" i="7"/>
  <c r="E2326" i="7"/>
  <c r="D2326" i="7"/>
  <c r="C2326" i="7"/>
  <c r="O2325" i="7"/>
  <c r="N2325" i="7"/>
  <c r="M2325" i="7"/>
  <c r="L2325" i="7"/>
  <c r="K2325" i="7"/>
  <c r="J2325" i="7"/>
  <c r="I2325" i="7"/>
  <c r="H2325" i="7"/>
  <c r="G2325" i="7"/>
  <c r="F2325" i="7"/>
  <c r="E2325" i="7"/>
  <c r="D2325" i="7"/>
  <c r="C2325" i="7"/>
  <c r="O2324" i="7"/>
  <c r="N2324" i="7"/>
  <c r="M2324" i="7"/>
  <c r="L2324" i="7"/>
  <c r="K2324" i="7"/>
  <c r="J2324" i="7"/>
  <c r="I2324" i="7"/>
  <c r="H2324" i="7"/>
  <c r="G2324" i="7"/>
  <c r="F2324" i="7"/>
  <c r="E2324" i="7"/>
  <c r="D2324" i="7"/>
  <c r="C2324" i="7"/>
  <c r="O2323" i="7"/>
  <c r="N2323" i="7"/>
  <c r="M2323" i="7"/>
  <c r="L2323" i="7"/>
  <c r="K2323" i="7"/>
  <c r="J2323" i="7"/>
  <c r="I2323" i="7"/>
  <c r="H2323" i="7"/>
  <c r="G2323" i="7"/>
  <c r="F2323" i="7"/>
  <c r="E2323" i="7"/>
  <c r="D2323" i="7"/>
  <c r="C2323" i="7"/>
  <c r="O2322" i="7"/>
  <c r="N2322" i="7"/>
  <c r="M2322" i="7"/>
  <c r="L2322" i="7"/>
  <c r="K2322" i="7"/>
  <c r="J2322" i="7"/>
  <c r="I2322" i="7"/>
  <c r="H2322" i="7"/>
  <c r="G2322" i="7"/>
  <c r="F2322" i="7"/>
  <c r="E2322" i="7"/>
  <c r="D2322" i="7"/>
  <c r="C2322" i="7"/>
  <c r="O2321" i="7"/>
  <c r="N2321" i="7"/>
  <c r="M2321" i="7"/>
  <c r="L2321" i="7"/>
  <c r="K2321" i="7"/>
  <c r="J2321" i="7"/>
  <c r="I2321" i="7"/>
  <c r="H2321" i="7"/>
  <c r="G2321" i="7"/>
  <c r="F2321" i="7"/>
  <c r="E2321" i="7"/>
  <c r="D2321" i="7"/>
  <c r="C2321" i="7"/>
  <c r="O2320" i="7"/>
  <c r="N2320" i="7"/>
  <c r="M2320" i="7"/>
  <c r="L2320" i="7"/>
  <c r="K2320" i="7"/>
  <c r="J2320" i="7"/>
  <c r="I2320" i="7"/>
  <c r="H2320" i="7"/>
  <c r="G2320" i="7"/>
  <c r="F2320" i="7"/>
  <c r="E2320" i="7"/>
  <c r="D2320" i="7"/>
  <c r="C2320" i="7"/>
  <c r="O2319" i="7"/>
  <c r="N2319" i="7"/>
  <c r="M2319" i="7"/>
  <c r="L2319" i="7"/>
  <c r="K2319" i="7"/>
  <c r="J2319" i="7"/>
  <c r="I2319" i="7"/>
  <c r="H2319" i="7"/>
  <c r="G2319" i="7"/>
  <c r="F2319" i="7"/>
  <c r="E2319" i="7"/>
  <c r="D2319" i="7"/>
  <c r="C2319" i="7"/>
  <c r="O2318" i="7"/>
  <c r="N2318" i="7"/>
  <c r="M2318" i="7"/>
  <c r="L2318" i="7"/>
  <c r="K2318" i="7"/>
  <c r="J2318" i="7"/>
  <c r="I2318" i="7"/>
  <c r="H2318" i="7"/>
  <c r="G2318" i="7"/>
  <c r="F2318" i="7"/>
  <c r="E2318" i="7"/>
  <c r="D2318" i="7"/>
  <c r="C2318" i="7"/>
  <c r="O2317" i="7"/>
  <c r="N2317" i="7"/>
  <c r="M2317" i="7"/>
  <c r="L2317" i="7"/>
  <c r="K2317" i="7"/>
  <c r="J2317" i="7"/>
  <c r="I2317" i="7"/>
  <c r="H2317" i="7"/>
  <c r="G2317" i="7"/>
  <c r="F2317" i="7"/>
  <c r="E2317" i="7"/>
  <c r="D2317" i="7"/>
  <c r="C2317" i="7"/>
  <c r="O2316" i="7"/>
  <c r="N2316" i="7"/>
  <c r="M2316" i="7"/>
  <c r="L2316" i="7"/>
  <c r="K2316" i="7"/>
  <c r="J2316" i="7"/>
  <c r="I2316" i="7"/>
  <c r="H2316" i="7"/>
  <c r="G2316" i="7"/>
  <c r="F2316" i="7"/>
  <c r="E2316" i="7"/>
  <c r="D2316" i="7"/>
  <c r="C2316" i="7"/>
  <c r="O2315" i="7"/>
  <c r="N2315" i="7"/>
  <c r="M2315" i="7"/>
  <c r="L2315" i="7"/>
  <c r="K2315" i="7"/>
  <c r="J2315" i="7"/>
  <c r="I2315" i="7"/>
  <c r="H2315" i="7"/>
  <c r="G2315" i="7"/>
  <c r="F2315" i="7"/>
  <c r="E2315" i="7"/>
  <c r="D2315" i="7"/>
  <c r="C2315" i="7"/>
  <c r="O2314" i="7"/>
  <c r="N2314" i="7"/>
  <c r="M2314" i="7"/>
  <c r="L2314" i="7"/>
  <c r="K2314" i="7"/>
  <c r="J2314" i="7"/>
  <c r="I2314" i="7"/>
  <c r="H2314" i="7"/>
  <c r="G2314" i="7"/>
  <c r="F2314" i="7"/>
  <c r="E2314" i="7"/>
  <c r="D2314" i="7"/>
  <c r="C2314" i="7"/>
  <c r="O2313" i="7"/>
  <c r="N2313" i="7"/>
  <c r="M2313" i="7"/>
  <c r="L2313" i="7"/>
  <c r="K2313" i="7"/>
  <c r="J2313" i="7"/>
  <c r="I2313" i="7"/>
  <c r="H2313" i="7"/>
  <c r="G2313" i="7"/>
  <c r="F2313" i="7"/>
  <c r="E2313" i="7"/>
  <c r="D2313" i="7"/>
  <c r="C2313" i="7"/>
  <c r="O2312" i="7"/>
  <c r="N2312" i="7"/>
  <c r="M2312" i="7"/>
  <c r="L2312" i="7"/>
  <c r="K2312" i="7"/>
  <c r="J2312" i="7"/>
  <c r="I2312" i="7"/>
  <c r="H2312" i="7"/>
  <c r="G2312" i="7"/>
  <c r="F2312" i="7"/>
  <c r="E2312" i="7"/>
  <c r="D2312" i="7"/>
  <c r="C2312" i="7"/>
  <c r="O2311" i="7"/>
  <c r="N2311" i="7"/>
  <c r="M2311" i="7"/>
  <c r="L2311" i="7"/>
  <c r="K2311" i="7"/>
  <c r="J2311" i="7"/>
  <c r="I2311" i="7"/>
  <c r="H2311" i="7"/>
  <c r="G2311" i="7"/>
  <c r="F2311" i="7"/>
  <c r="E2311" i="7"/>
  <c r="D2311" i="7"/>
  <c r="C2311" i="7"/>
  <c r="O2310" i="7"/>
  <c r="N2310" i="7"/>
  <c r="M2310" i="7"/>
  <c r="L2310" i="7"/>
  <c r="K2310" i="7"/>
  <c r="J2310" i="7"/>
  <c r="I2310" i="7"/>
  <c r="H2310" i="7"/>
  <c r="G2310" i="7"/>
  <c r="F2310" i="7"/>
  <c r="E2310" i="7"/>
  <c r="D2310" i="7"/>
  <c r="C2310" i="7"/>
  <c r="O2309" i="7"/>
  <c r="N2309" i="7"/>
  <c r="M2309" i="7"/>
  <c r="L2309" i="7"/>
  <c r="K2309" i="7"/>
  <c r="J2309" i="7"/>
  <c r="I2309" i="7"/>
  <c r="H2309" i="7"/>
  <c r="G2309" i="7"/>
  <c r="F2309" i="7"/>
  <c r="E2309" i="7"/>
  <c r="D2309" i="7"/>
  <c r="C2309" i="7"/>
  <c r="O2308" i="7"/>
  <c r="N2308" i="7"/>
  <c r="M2308" i="7"/>
  <c r="L2308" i="7"/>
  <c r="K2308" i="7"/>
  <c r="J2308" i="7"/>
  <c r="I2308" i="7"/>
  <c r="H2308" i="7"/>
  <c r="G2308" i="7"/>
  <c r="F2308" i="7"/>
  <c r="E2308" i="7"/>
  <c r="D2308" i="7"/>
  <c r="C2308" i="7"/>
  <c r="O2307" i="7"/>
  <c r="N2307" i="7"/>
  <c r="M2307" i="7"/>
  <c r="L2307" i="7"/>
  <c r="K2307" i="7"/>
  <c r="J2307" i="7"/>
  <c r="I2307" i="7"/>
  <c r="H2307" i="7"/>
  <c r="G2307" i="7"/>
  <c r="F2307" i="7"/>
  <c r="E2307" i="7"/>
  <c r="D2307" i="7"/>
  <c r="C2307" i="7"/>
  <c r="O2306" i="7"/>
  <c r="N2306" i="7"/>
  <c r="M2306" i="7"/>
  <c r="L2306" i="7"/>
  <c r="K2306" i="7"/>
  <c r="J2306" i="7"/>
  <c r="I2306" i="7"/>
  <c r="H2306" i="7"/>
  <c r="G2306" i="7"/>
  <c r="F2306" i="7"/>
  <c r="E2306" i="7"/>
  <c r="D2306" i="7"/>
  <c r="C2306" i="7"/>
  <c r="O2305" i="7"/>
  <c r="N2305" i="7"/>
  <c r="M2305" i="7"/>
  <c r="L2305" i="7"/>
  <c r="K2305" i="7"/>
  <c r="J2305" i="7"/>
  <c r="I2305" i="7"/>
  <c r="H2305" i="7"/>
  <c r="G2305" i="7"/>
  <c r="F2305" i="7"/>
  <c r="E2305" i="7"/>
  <c r="D2305" i="7"/>
  <c r="C2305" i="7"/>
  <c r="O2304" i="7"/>
  <c r="N2304" i="7"/>
  <c r="M2304" i="7"/>
  <c r="L2304" i="7"/>
  <c r="K2304" i="7"/>
  <c r="J2304" i="7"/>
  <c r="I2304" i="7"/>
  <c r="H2304" i="7"/>
  <c r="G2304" i="7"/>
  <c r="F2304" i="7"/>
  <c r="E2304" i="7"/>
  <c r="D2304" i="7"/>
  <c r="C2304" i="7"/>
  <c r="O2303" i="7"/>
  <c r="N2303" i="7"/>
  <c r="M2303" i="7"/>
  <c r="L2303" i="7"/>
  <c r="K2303" i="7"/>
  <c r="J2303" i="7"/>
  <c r="I2303" i="7"/>
  <c r="H2303" i="7"/>
  <c r="G2303" i="7"/>
  <c r="F2303" i="7"/>
  <c r="E2303" i="7"/>
  <c r="D2303" i="7"/>
  <c r="C2303" i="7"/>
  <c r="O2302" i="7"/>
  <c r="N2302" i="7"/>
  <c r="M2302" i="7"/>
  <c r="L2302" i="7"/>
  <c r="K2302" i="7"/>
  <c r="J2302" i="7"/>
  <c r="I2302" i="7"/>
  <c r="H2302" i="7"/>
  <c r="G2302" i="7"/>
  <c r="F2302" i="7"/>
  <c r="E2302" i="7"/>
  <c r="D2302" i="7"/>
  <c r="C2302" i="7"/>
  <c r="O2301" i="7"/>
  <c r="N2301" i="7"/>
  <c r="M2301" i="7"/>
  <c r="L2301" i="7"/>
  <c r="K2301" i="7"/>
  <c r="J2301" i="7"/>
  <c r="I2301" i="7"/>
  <c r="H2301" i="7"/>
  <c r="G2301" i="7"/>
  <c r="F2301" i="7"/>
  <c r="E2301" i="7"/>
  <c r="D2301" i="7"/>
  <c r="C2301" i="7"/>
  <c r="O2300" i="7"/>
  <c r="N2300" i="7"/>
  <c r="M2300" i="7"/>
  <c r="L2300" i="7"/>
  <c r="K2300" i="7"/>
  <c r="J2300" i="7"/>
  <c r="I2300" i="7"/>
  <c r="H2300" i="7"/>
  <c r="G2300" i="7"/>
  <c r="F2300" i="7"/>
  <c r="E2300" i="7"/>
  <c r="D2300" i="7"/>
  <c r="C2300" i="7"/>
  <c r="O2299" i="7"/>
  <c r="N2299" i="7"/>
  <c r="M2299" i="7"/>
  <c r="L2299" i="7"/>
  <c r="K2299" i="7"/>
  <c r="J2299" i="7"/>
  <c r="I2299" i="7"/>
  <c r="H2299" i="7"/>
  <c r="G2299" i="7"/>
  <c r="F2299" i="7"/>
  <c r="E2299" i="7"/>
  <c r="D2299" i="7"/>
  <c r="C2299" i="7"/>
  <c r="O2298" i="7"/>
  <c r="N2298" i="7"/>
  <c r="M2298" i="7"/>
  <c r="L2298" i="7"/>
  <c r="K2298" i="7"/>
  <c r="J2298" i="7"/>
  <c r="I2298" i="7"/>
  <c r="H2298" i="7"/>
  <c r="G2298" i="7"/>
  <c r="F2298" i="7"/>
  <c r="E2298" i="7"/>
  <c r="D2298" i="7"/>
  <c r="C2298" i="7"/>
  <c r="O2297" i="7"/>
  <c r="N2297" i="7"/>
  <c r="M2297" i="7"/>
  <c r="L2297" i="7"/>
  <c r="K2297" i="7"/>
  <c r="J2297" i="7"/>
  <c r="I2297" i="7"/>
  <c r="H2297" i="7"/>
  <c r="G2297" i="7"/>
  <c r="F2297" i="7"/>
  <c r="E2297" i="7"/>
  <c r="D2297" i="7"/>
  <c r="C2297" i="7"/>
  <c r="O2296" i="7"/>
  <c r="N2296" i="7"/>
  <c r="M2296" i="7"/>
  <c r="L2296" i="7"/>
  <c r="K2296" i="7"/>
  <c r="J2296" i="7"/>
  <c r="I2296" i="7"/>
  <c r="H2296" i="7"/>
  <c r="G2296" i="7"/>
  <c r="F2296" i="7"/>
  <c r="E2296" i="7"/>
  <c r="D2296" i="7"/>
  <c r="C2296" i="7"/>
  <c r="O2295" i="7"/>
  <c r="N2295" i="7"/>
  <c r="M2295" i="7"/>
  <c r="L2295" i="7"/>
  <c r="K2295" i="7"/>
  <c r="J2295" i="7"/>
  <c r="I2295" i="7"/>
  <c r="H2295" i="7"/>
  <c r="G2295" i="7"/>
  <c r="F2295" i="7"/>
  <c r="E2295" i="7"/>
  <c r="D2295" i="7"/>
  <c r="C2295" i="7"/>
  <c r="O2294" i="7"/>
  <c r="N2294" i="7"/>
  <c r="M2294" i="7"/>
  <c r="L2294" i="7"/>
  <c r="K2294" i="7"/>
  <c r="J2294" i="7"/>
  <c r="I2294" i="7"/>
  <c r="H2294" i="7"/>
  <c r="G2294" i="7"/>
  <c r="F2294" i="7"/>
  <c r="E2294" i="7"/>
  <c r="D2294" i="7"/>
  <c r="C2294" i="7"/>
  <c r="O2293" i="7"/>
  <c r="N2293" i="7"/>
  <c r="M2293" i="7"/>
  <c r="L2293" i="7"/>
  <c r="K2293" i="7"/>
  <c r="J2293" i="7"/>
  <c r="I2293" i="7"/>
  <c r="H2293" i="7"/>
  <c r="G2293" i="7"/>
  <c r="F2293" i="7"/>
  <c r="E2293" i="7"/>
  <c r="D2293" i="7"/>
  <c r="C2293" i="7"/>
  <c r="O2292" i="7"/>
  <c r="N2292" i="7"/>
  <c r="M2292" i="7"/>
  <c r="L2292" i="7"/>
  <c r="K2292" i="7"/>
  <c r="J2292" i="7"/>
  <c r="I2292" i="7"/>
  <c r="H2292" i="7"/>
  <c r="G2292" i="7"/>
  <c r="F2292" i="7"/>
  <c r="E2292" i="7"/>
  <c r="D2292" i="7"/>
  <c r="C2292" i="7"/>
  <c r="O2291" i="7"/>
  <c r="N2291" i="7"/>
  <c r="M2291" i="7"/>
  <c r="L2291" i="7"/>
  <c r="K2291" i="7"/>
  <c r="J2291" i="7"/>
  <c r="I2291" i="7"/>
  <c r="H2291" i="7"/>
  <c r="G2291" i="7"/>
  <c r="F2291" i="7"/>
  <c r="E2291" i="7"/>
  <c r="D2291" i="7"/>
  <c r="C2291" i="7"/>
  <c r="O2290" i="7"/>
  <c r="N2290" i="7"/>
  <c r="M2290" i="7"/>
  <c r="L2290" i="7"/>
  <c r="K2290" i="7"/>
  <c r="J2290" i="7"/>
  <c r="I2290" i="7"/>
  <c r="H2290" i="7"/>
  <c r="G2290" i="7"/>
  <c r="F2290" i="7"/>
  <c r="E2290" i="7"/>
  <c r="D2290" i="7"/>
  <c r="C2290" i="7"/>
  <c r="O2289" i="7"/>
  <c r="N2289" i="7"/>
  <c r="M2289" i="7"/>
  <c r="L2289" i="7"/>
  <c r="K2289" i="7"/>
  <c r="J2289" i="7"/>
  <c r="I2289" i="7"/>
  <c r="H2289" i="7"/>
  <c r="G2289" i="7"/>
  <c r="F2289" i="7"/>
  <c r="E2289" i="7"/>
  <c r="D2289" i="7"/>
  <c r="C2289" i="7"/>
  <c r="O2288" i="7"/>
  <c r="N2288" i="7"/>
  <c r="M2288" i="7"/>
  <c r="L2288" i="7"/>
  <c r="K2288" i="7"/>
  <c r="J2288" i="7"/>
  <c r="I2288" i="7"/>
  <c r="H2288" i="7"/>
  <c r="G2288" i="7"/>
  <c r="F2288" i="7"/>
  <c r="E2288" i="7"/>
  <c r="D2288" i="7"/>
  <c r="C2288" i="7"/>
  <c r="O2287" i="7"/>
  <c r="N2287" i="7"/>
  <c r="M2287" i="7"/>
  <c r="L2287" i="7"/>
  <c r="K2287" i="7"/>
  <c r="J2287" i="7"/>
  <c r="I2287" i="7"/>
  <c r="H2287" i="7"/>
  <c r="G2287" i="7"/>
  <c r="F2287" i="7"/>
  <c r="E2287" i="7"/>
  <c r="D2287" i="7"/>
  <c r="C2287" i="7"/>
  <c r="O2286" i="7"/>
  <c r="N2286" i="7"/>
  <c r="M2286" i="7"/>
  <c r="L2286" i="7"/>
  <c r="K2286" i="7"/>
  <c r="J2286" i="7"/>
  <c r="I2286" i="7"/>
  <c r="H2286" i="7"/>
  <c r="G2286" i="7"/>
  <c r="F2286" i="7"/>
  <c r="E2286" i="7"/>
  <c r="D2286" i="7"/>
  <c r="C2286" i="7"/>
  <c r="O2285" i="7"/>
  <c r="N2285" i="7"/>
  <c r="M2285" i="7"/>
  <c r="L2285" i="7"/>
  <c r="K2285" i="7"/>
  <c r="J2285" i="7"/>
  <c r="I2285" i="7"/>
  <c r="H2285" i="7"/>
  <c r="G2285" i="7"/>
  <c r="F2285" i="7"/>
  <c r="E2285" i="7"/>
  <c r="D2285" i="7"/>
  <c r="C2285" i="7"/>
  <c r="O2284" i="7"/>
  <c r="N2284" i="7"/>
  <c r="M2284" i="7"/>
  <c r="L2284" i="7"/>
  <c r="K2284" i="7"/>
  <c r="J2284" i="7"/>
  <c r="I2284" i="7"/>
  <c r="H2284" i="7"/>
  <c r="G2284" i="7"/>
  <c r="F2284" i="7"/>
  <c r="E2284" i="7"/>
  <c r="D2284" i="7"/>
  <c r="C2284" i="7"/>
  <c r="O2283" i="7"/>
  <c r="N2283" i="7"/>
  <c r="M2283" i="7"/>
  <c r="L2283" i="7"/>
  <c r="K2283" i="7"/>
  <c r="J2283" i="7"/>
  <c r="I2283" i="7"/>
  <c r="H2283" i="7"/>
  <c r="G2283" i="7"/>
  <c r="F2283" i="7"/>
  <c r="E2283" i="7"/>
  <c r="D2283" i="7"/>
  <c r="C2283" i="7"/>
  <c r="O2282" i="7"/>
  <c r="N2282" i="7"/>
  <c r="M2282" i="7"/>
  <c r="L2282" i="7"/>
  <c r="K2282" i="7"/>
  <c r="J2282" i="7"/>
  <c r="I2282" i="7"/>
  <c r="H2282" i="7"/>
  <c r="G2282" i="7"/>
  <c r="F2282" i="7"/>
  <c r="E2282" i="7"/>
  <c r="D2282" i="7"/>
  <c r="C2282" i="7"/>
  <c r="O2281" i="7"/>
  <c r="N2281" i="7"/>
  <c r="M2281" i="7"/>
  <c r="L2281" i="7"/>
  <c r="K2281" i="7"/>
  <c r="J2281" i="7"/>
  <c r="I2281" i="7"/>
  <c r="H2281" i="7"/>
  <c r="G2281" i="7"/>
  <c r="F2281" i="7"/>
  <c r="E2281" i="7"/>
  <c r="D2281" i="7"/>
  <c r="C2281" i="7"/>
  <c r="O2280" i="7"/>
  <c r="N2280" i="7"/>
  <c r="M2280" i="7"/>
  <c r="L2280" i="7"/>
  <c r="K2280" i="7"/>
  <c r="J2280" i="7"/>
  <c r="I2280" i="7"/>
  <c r="H2280" i="7"/>
  <c r="G2280" i="7"/>
  <c r="F2280" i="7"/>
  <c r="E2280" i="7"/>
  <c r="D2280" i="7"/>
  <c r="C2280" i="7"/>
  <c r="O2279" i="7"/>
  <c r="N2279" i="7"/>
  <c r="M2279" i="7"/>
  <c r="L2279" i="7"/>
  <c r="K2279" i="7"/>
  <c r="J2279" i="7"/>
  <c r="I2279" i="7"/>
  <c r="H2279" i="7"/>
  <c r="G2279" i="7"/>
  <c r="F2279" i="7"/>
  <c r="E2279" i="7"/>
  <c r="D2279" i="7"/>
  <c r="C2279" i="7"/>
  <c r="O2278" i="7"/>
  <c r="N2278" i="7"/>
  <c r="M2278" i="7"/>
  <c r="L2278" i="7"/>
  <c r="K2278" i="7"/>
  <c r="J2278" i="7"/>
  <c r="I2278" i="7"/>
  <c r="H2278" i="7"/>
  <c r="G2278" i="7"/>
  <c r="F2278" i="7"/>
  <c r="E2278" i="7"/>
  <c r="D2278" i="7"/>
  <c r="C2278" i="7"/>
  <c r="O2277" i="7"/>
  <c r="N2277" i="7"/>
  <c r="M2277" i="7"/>
  <c r="L2277" i="7"/>
  <c r="K2277" i="7"/>
  <c r="J2277" i="7"/>
  <c r="I2277" i="7"/>
  <c r="H2277" i="7"/>
  <c r="G2277" i="7"/>
  <c r="F2277" i="7"/>
  <c r="E2277" i="7"/>
  <c r="D2277" i="7"/>
  <c r="C2277" i="7"/>
  <c r="O2276" i="7"/>
  <c r="N2276" i="7"/>
  <c r="M2276" i="7"/>
  <c r="L2276" i="7"/>
  <c r="K2276" i="7"/>
  <c r="J2276" i="7"/>
  <c r="I2276" i="7"/>
  <c r="H2276" i="7"/>
  <c r="G2276" i="7"/>
  <c r="F2276" i="7"/>
  <c r="E2276" i="7"/>
  <c r="D2276" i="7"/>
  <c r="C2276" i="7"/>
  <c r="O2275" i="7"/>
  <c r="N2275" i="7"/>
  <c r="M2275" i="7"/>
  <c r="L2275" i="7"/>
  <c r="K2275" i="7"/>
  <c r="J2275" i="7"/>
  <c r="I2275" i="7"/>
  <c r="H2275" i="7"/>
  <c r="G2275" i="7"/>
  <c r="F2275" i="7"/>
  <c r="E2275" i="7"/>
  <c r="D2275" i="7"/>
  <c r="C2275" i="7"/>
  <c r="O2274" i="7"/>
  <c r="N2274" i="7"/>
  <c r="M2274" i="7"/>
  <c r="L2274" i="7"/>
  <c r="K2274" i="7"/>
  <c r="J2274" i="7"/>
  <c r="I2274" i="7"/>
  <c r="H2274" i="7"/>
  <c r="G2274" i="7"/>
  <c r="F2274" i="7"/>
  <c r="E2274" i="7"/>
  <c r="D2274" i="7"/>
  <c r="C2274" i="7"/>
  <c r="O2273" i="7"/>
  <c r="N2273" i="7"/>
  <c r="M2273" i="7"/>
  <c r="L2273" i="7"/>
  <c r="K2273" i="7"/>
  <c r="J2273" i="7"/>
  <c r="I2273" i="7"/>
  <c r="H2273" i="7"/>
  <c r="G2273" i="7"/>
  <c r="F2273" i="7"/>
  <c r="E2273" i="7"/>
  <c r="D2273" i="7"/>
  <c r="C2273" i="7"/>
  <c r="O2272" i="7"/>
  <c r="N2272" i="7"/>
  <c r="M2272" i="7"/>
  <c r="L2272" i="7"/>
  <c r="K2272" i="7"/>
  <c r="J2272" i="7"/>
  <c r="I2272" i="7"/>
  <c r="H2272" i="7"/>
  <c r="G2272" i="7"/>
  <c r="F2272" i="7"/>
  <c r="E2272" i="7"/>
  <c r="D2272" i="7"/>
  <c r="C2272" i="7"/>
  <c r="O2271" i="7"/>
  <c r="N2271" i="7"/>
  <c r="M2271" i="7"/>
  <c r="L2271" i="7"/>
  <c r="K2271" i="7"/>
  <c r="J2271" i="7"/>
  <c r="I2271" i="7"/>
  <c r="H2271" i="7"/>
  <c r="G2271" i="7"/>
  <c r="F2271" i="7"/>
  <c r="E2271" i="7"/>
  <c r="D2271" i="7"/>
  <c r="C2271" i="7"/>
  <c r="O2270" i="7"/>
  <c r="N2270" i="7"/>
  <c r="M2270" i="7"/>
  <c r="L2270" i="7"/>
  <c r="K2270" i="7"/>
  <c r="J2270" i="7"/>
  <c r="I2270" i="7"/>
  <c r="H2270" i="7"/>
  <c r="G2270" i="7"/>
  <c r="F2270" i="7"/>
  <c r="E2270" i="7"/>
  <c r="D2270" i="7"/>
  <c r="C2270" i="7"/>
  <c r="O2269" i="7"/>
  <c r="N2269" i="7"/>
  <c r="M2269" i="7"/>
  <c r="L2269" i="7"/>
  <c r="K2269" i="7"/>
  <c r="J2269" i="7"/>
  <c r="I2269" i="7"/>
  <c r="H2269" i="7"/>
  <c r="G2269" i="7"/>
  <c r="F2269" i="7"/>
  <c r="E2269" i="7"/>
  <c r="D2269" i="7"/>
  <c r="C2269" i="7"/>
  <c r="O2268" i="7"/>
  <c r="N2268" i="7"/>
  <c r="M2268" i="7"/>
  <c r="L2268" i="7"/>
  <c r="K2268" i="7"/>
  <c r="J2268" i="7"/>
  <c r="I2268" i="7"/>
  <c r="H2268" i="7"/>
  <c r="G2268" i="7"/>
  <c r="F2268" i="7"/>
  <c r="E2268" i="7"/>
  <c r="D2268" i="7"/>
  <c r="C2268" i="7"/>
  <c r="O2267" i="7"/>
  <c r="N2267" i="7"/>
  <c r="M2267" i="7"/>
  <c r="L2267" i="7"/>
  <c r="K2267" i="7"/>
  <c r="J2267" i="7"/>
  <c r="I2267" i="7"/>
  <c r="H2267" i="7"/>
  <c r="G2267" i="7"/>
  <c r="F2267" i="7"/>
  <c r="E2267" i="7"/>
  <c r="D2267" i="7"/>
  <c r="C2267" i="7"/>
  <c r="O2266" i="7"/>
  <c r="N2266" i="7"/>
  <c r="M2266" i="7"/>
  <c r="L2266" i="7"/>
  <c r="K2266" i="7"/>
  <c r="J2266" i="7"/>
  <c r="I2266" i="7"/>
  <c r="H2266" i="7"/>
  <c r="G2266" i="7"/>
  <c r="F2266" i="7"/>
  <c r="E2266" i="7"/>
  <c r="D2266" i="7"/>
  <c r="C2266" i="7"/>
  <c r="O2265" i="7"/>
  <c r="N2265" i="7"/>
  <c r="M2265" i="7"/>
  <c r="L2265" i="7"/>
  <c r="K2265" i="7"/>
  <c r="J2265" i="7"/>
  <c r="I2265" i="7"/>
  <c r="H2265" i="7"/>
  <c r="G2265" i="7"/>
  <c r="F2265" i="7"/>
  <c r="E2265" i="7"/>
  <c r="D2265" i="7"/>
  <c r="C2265" i="7"/>
  <c r="O2264" i="7"/>
  <c r="N2264" i="7"/>
  <c r="M2264" i="7"/>
  <c r="L2264" i="7"/>
  <c r="K2264" i="7"/>
  <c r="J2264" i="7"/>
  <c r="I2264" i="7"/>
  <c r="H2264" i="7"/>
  <c r="G2264" i="7"/>
  <c r="F2264" i="7"/>
  <c r="E2264" i="7"/>
  <c r="D2264" i="7"/>
  <c r="C2264" i="7"/>
  <c r="O2263" i="7"/>
  <c r="N2263" i="7"/>
  <c r="M2263" i="7"/>
  <c r="L2263" i="7"/>
  <c r="K2263" i="7"/>
  <c r="J2263" i="7"/>
  <c r="I2263" i="7"/>
  <c r="H2263" i="7"/>
  <c r="G2263" i="7"/>
  <c r="F2263" i="7"/>
  <c r="E2263" i="7"/>
  <c r="D2263" i="7"/>
  <c r="C2263" i="7"/>
  <c r="O2262" i="7"/>
  <c r="N2262" i="7"/>
  <c r="M2262" i="7"/>
  <c r="L2262" i="7"/>
  <c r="K2262" i="7"/>
  <c r="J2262" i="7"/>
  <c r="I2262" i="7"/>
  <c r="H2262" i="7"/>
  <c r="G2262" i="7"/>
  <c r="F2262" i="7"/>
  <c r="E2262" i="7"/>
  <c r="D2262" i="7"/>
  <c r="C2262" i="7"/>
  <c r="O2261" i="7"/>
  <c r="N2261" i="7"/>
  <c r="M2261" i="7"/>
  <c r="L2261" i="7"/>
  <c r="K2261" i="7"/>
  <c r="J2261" i="7"/>
  <c r="I2261" i="7"/>
  <c r="H2261" i="7"/>
  <c r="G2261" i="7"/>
  <c r="F2261" i="7"/>
  <c r="E2261" i="7"/>
  <c r="D2261" i="7"/>
  <c r="C2261" i="7"/>
  <c r="O2260" i="7"/>
  <c r="N2260" i="7"/>
  <c r="M2260" i="7"/>
  <c r="L2260" i="7"/>
  <c r="K2260" i="7"/>
  <c r="J2260" i="7"/>
  <c r="I2260" i="7"/>
  <c r="H2260" i="7"/>
  <c r="G2260" i="7"/>
  <c r="F2260" i="7"/>
  <c r="E2260" i="7"/>
  <c r="D2260" i="7"/>
  <c r="C2260" i="7"/>
  <c r="O2259" i="7"/>
  <c r="N2259" i="7"/>
  <c r="M2259" i="7"/>
  <c r="L2259" i="7"/>
  <c r="K2259" i="7"/>
  <c r="J2259" i="7"/>
  <c r="I2259" i="7"/>
  <c r="H2259" i="7"/>
  <c r="G2259" i="7"/>
  <c r="F2259" i="7"/>
  <c r="E2259" i="7"/>
  <c r="D2259" i="7"/>
  <c r="C2259" i="7"/>
  <c r="O2258" i="7"/>
  <c r="N2258" i="7"/>
  <c r="M2258" i="7"/>
  <c r="L2258" i="7"/>
  <c r="K2258" i="7"/>
  <c r="J2258" i="7"/>
  <c r="I2258" i="7"/>
  <c r="H2258" i="7"/>
  <c r="G2258" i="7"/>
  <c r="F2258" i="7"/>
  <c r="E2258" i="7"/>
  <c r="D2258" i="7"/>
  <c r="C2258" i="7"/>
  <c r="O2257" i="7"/>
  <c r="N2257" i="7"/>
  <c r="M2257" i="7"/>
  <c r="L2257" i="7"/>
  <c r="K2257" i="7"/>
  <c r="J2257" i="7"/>
  <c r="I2257" i="7"/>
  <c r="H2257" i="7"/>
  <c r="G2257" i="7"/>
  <c r="F2257" i="7"/>
  <c r="E2257" i="7"/>
  <c r="D2257" i="7"/>
  <c r="C2257" i="7"/>
  <c r="O2256" i="7"/>
  <c r="N2256" i="7"/>
  <c r="M2256" i="7"/>
  <c r="L2256" i="7"/>
  <c r="K2256" i="7"/>
  <c r="J2256" i="7"/>
  <c r="I2256" i="7"/>
  <c r="H2256" i="7"/>
  <c r="G2256" i="7"/>
  <c r="F2256" i="7"/>
  <c r="E2256" i="7"/>
  <c r="D2256" i="7"/>
  <c r="C2256" i="7"/>
  <c r="O2255" i="7"/>
  <c r="N2255" i="7"/>
  <c r="M2255" i="7"/>
  <c r="L2255" i="7"/>
  <c r="K2255" i="7"/>
  <c r="J2255" i="7"/>
  <c r="I2255" i="7"/>
  <c r="H2255" i="7"/>
  <c r="G2255" i="7"/>
  <c r="F2255" i="7"/>
  <c r="E2255" i="7"/>
  <c r="D2255" i="7"/>
  <c r="C2255" i="7"/>
  <c r="O2254" i="7"/>
  <c r="N2254" i="7"/>
  <c r="M2254" i="7"/>
  <c r="L2254" i="7"/>
  <c r="K2254" i="7"/>
  <c r="J2254" i="7"/>
  <c r="I2254" i="7"/>
  <c r="H2254" i="7"/>
  <c r="G2254" i="7"/>
  <c r="F2254" i="7"/>
  <c r="E2254" i="7"/>
  <c r="D2254" i="7"/>
  <c r="C2254" i="7"/>
  <c r="O2253" i="7"/>
  <c r="N2253" i="7"/>
  <c r="M2253" i="7"/>
  <c r="L2253" i="7"/>
  <c r="K2253" i="7"/>
  <c r="J2253" i="7"/>
  <c r="I2253" i="7"/>
  <c r="H2253" i="7"/>
  <c r="G2253" i="7"/>
  <c r="F2253" i="7"/>
  <c r="E2253" i="7"/>
  <c r="D2253" i="7"/>
  <c r="C2253" i="7"/>
  <c r="O2252" i="7"/>
  <c r="N2252" i="7"/>
  <c r="M2252" i="7"/>
  <c r="L2252" i="7"/>
  <c r="K2252" i="7"/>
  <c r="J2252" i="7"/>
  <c r="I2252" i="7"/>
  <c r="H2252" i="7"/>
  <c r="G2252" i="7"/>
  <c r="F2252" i="7"/>
  <c r="E2252" i="7"/>
  <c r="D2252" i="7"/>
  <c r="C2252" i="7"/>
  <c r="O2251" i="7"/>
  <c r="N2251" i="7"/>
  <c r="M2251" i="7"/>
  <c r="L2251" i="7"/>
  <c r="K2251" i="7"/>
  <c r="J2251" i="7"/>
  <c r="I2251" i="7"/>
  <c r="H2251" i="7"/>
  <c r="G2251" i="7"/>
  <c r="F2251" i="7"/>
  <c r="E2251" i="7"/>
  <c r="D2251" i="7"/>
  <c r="C2251" i="7"/>
  <c r="O2250" i="7"/>
  <c r="N2250" i="7"/>
  <c r="M2250" i="7"/>
  <c r="L2250" i="7"/>
  <c r="K2250" i="7"/>
  <c r="J2250" i="7"/>
  <c r="I2250" i="7"/>
  <c r="H2250" i="7"/>
  <c r="G2250" i="7"/>
  <c r="F2250" i="7"/>
  <c r="E2250" i="7"/>
  <c r="D2250" i="7"/>
  <c r="C2250" i="7"/>
  <c r="O2249" i="7"/>
  <c r="N2249" i="7"/>
  <c r="M2249" i="7"/>
  <c r="L2249" i="7"/>
  <c r="K2249" i="7"/>
  <c r="J2249" i="7"/>
  <c r="I2249" i="7"/>
  <c r="H2249" i="7"/>
  <c r="G2249" i="7"/>
  <c r="F2249" i="7"/>
  <c r="E2249" i="7"/>
  <c r="D2249" i="7"/>
  <c r="C2249" i="7"/>
  <c r="O2248" i="7"/>
  <c r="N2248" i="7"/>
  <c r="M2248" i="7"/>
  <c r="L2248" i="7"/>
  <c r="K2248" i="7"/>
  <c r="J2248" i="7"/>
  <c r="I2248" i="7"/>
  <c r="H2248" i="7"/>
  <c r="G2248" i="7"/>
  <c r="F2248" i="7"/>
  <c r="E2248" i="7"/>
  <c r="D2248" i="7"/>
  <c r="C2248" i="7"/>
  <c r="O2247" i="7"/>
  <c r="N2247" i="7"/>
  <c r="M2247" i="7"/>
  <c r="L2247" i="7"/>
  <c r="K2247" i="7"/>
  <c r="J2247" i="7"/>
  <c r="I2247" i="7"/>
  <c r="H2247" i="7"/>
  <c r="G2247" i="7"/>
  <c r="F2247" i="7"/>
  <c r="E2247" i="7"/>
  <c r="D2247" i="7"/>
  <c r="C2247" i="7"/>
  <c r="O2246" i="7"/>
  <c r="N2246" i="7"/>
  <c r="M2246" i="7"/>
  <c r="L2246" i="7"/>
  <c r="K2246" i="7"/>
  <c r="J2246" i="7"/>
  <c r="I2246" i="7"/>
  <c r="H2246" i="7"/>
  <c r="G2246" i="7"/>
  <c r="F2246" i="7"/>
  <c r="E2246" i="7"/>
  <c r="D2246" i="7"/>
  <c r="C2246" i="7"/>
  <c r="O2245" i="7"/>
  <c r="N2245" i="7"/>
  <c r="M2245" i="7"/>
  <c r="L2245" i="7"/>
  <c r="K2245" i="7"/>
  <c r="J2245" i="7"/>
  <c r="I2245" i="7"/>
  <c r="H2245" i="7"/>
  <c r="G2245" i="7"/>
  <c r="F2245" i="7"/>
  <c r="E2245" i="7"/>
  <c r="D2245" i="7"/>
  <c r="C2245" i="7"/>
  <c r="O2244" i="7"/>
  <c r="N2244" i="7"/>
  <c r="M2244" i="7"/>
  <c r="L2244" i="7"/>
  <c r="K2244" i="7"/>
  <c r="J2244" i="7"/>
  <c r="I2244" i="7"/>
  <c r="H2244" i="7"/>
  <c r="G2244" i="7"/>
  <c r="F2244" i="7"/>
  <c r="E2244" i="7"/>
  <c r="D2244" i="7"/>
  <c r="C2244" i="7"/>
  <c r="O2243" i="7"/>
  <c r="N2243" i="7"/>
  <c r="M2243" i="7"/>
  <c r="L2243" i="7"/>
  <c r="K2243" i="7"/>
  <c r="J2243" i="7"/>
  <c r="I2243" i="7"/>
  <c r="H2243" i="7"/>
  <c r="G2243" i="7"/>
  <c r="F2243" i="7"/>
  <c r="E2243" i="7"/>
  <c r="D2243" i="7"/>
  <c r="C2243" i="7"/>
  <c r="O2242" i="7"/>
  <c r="N2242" i="7"/>
  <c r="M2242" i="7"/>
  <c r="L2242" i="7"/>
  <c r="K2242" i="7"/>
  <c r="J2242" i="7"/>
  <c r="I2242" i="7"/>
  <c r="H2242" i="7"/>
  <c r="G2242" i="7"/>
  <c r="F2242" i="7"/>
  <c r="E2242" i="7"/>
  <c r="D2242" i="7"/>
  <c r="C2242" i="7"/>
  <c r="O2241" i="7"/>
  <c r="N2241" i="7"/>
  <c r="M2241" i="7"/>
  <c r="L2241" i="7"/>
  <c r="K2241" i="7"/>
  <c r="J2241" i="7"/>
  <c r="I2241" i="7"/>
  <c r="H2241" i="7"/>
  <c r="G2241" i="7"/>
  <c r="F2241" i="7"/>
  <c r="E2241" i="7"/>
  <c r="D2241" i="7"/>
  <c r="C2241" i="7"/>
  <c r="O2240" i="7"/>
  <c r="N2240" i="7"/>
  <c r="M2240" i="7"/>
  <c r="L2240" i="7"/>
  <c r="K2240" i="7"/>
  <c r="J2240" i="7"/>
  <c r="I2240" i="7"/>
  <c r="H2240" i="7"/>
  <c r="G2240" i="7"/>
  <c r="F2240" i="7"/>
  <c r="E2240" i="7"/>
  <c r="D2240" i="7"/>
  <c r="C2240" i="7"/>
  <c r="O2239" i="7"/>
  <c r="N2239" i="7"/>
  <c r="M2239" i="7"/>
  <c r="L2239" i="7"/>
  <c r="K2239" i="7"/>
  <c r="J2239" i="7"/>
  <c r="I2239" i="7"/>
  <c r="H2239" i="7"/>
  <c r="G2239" i="7"/>
  <c r="F2239" i="7"/>
  <c r="E2239" i="7"/>
  <c r="D2239" i="7"/>
  <c r="C2239" i="7"/>
  <c r="O2238" i="7"/>
  <c r="N2238" i="7"/>
  <c r="M2238" i="7"/>
  <c r="L2238" i="7"/>
  <c r="K2238" i="7"/>
  <c r="J2238" i="7"/>
  <c r="I2238" i="7"/>
  <c r="H2238" i="7"/>
  <c r="G2238" i="7"/>
  <c r="F2238" i="7"/>
  <c r="E2238" i="7"/>
  <c r="D2238" i="7"/>
  <c r="C2238" i="7"/>
  <c r="O2237" i="7"/>
  <c r="N2237" i="7"/>
  <c r="M2237" i="7"/>
  <c r="L2237" i="7"/>
  <c r="K2237" i="7"/>
  <c r="J2237" i="7"/>
  <c r="I2237" i="7"/>
  <c r="H2237" i="7"/>
  <c r="G2237" i="7"/>
  <c r="F2237" i="7"/>
  <c r="E2237" i="7"/>
  <c r="D2237" i="7"/>
  <c r="C2237" i="7"/>
  <c r="O2236" i="7"/>
  <c r="N2236" i="7"/>
  <c r="M2236" i="7"/>
  <c r="L2236" i="7"/>
  <c r="K2236" i="7"/>
  <c r="J2236" i="7"/>
  <c r="I2236" i="7"/>
  <c r="H2236" i="7"/>
  <c r="G2236" i="7"/>
  <c r="F2236" i="7"/>
  <c r="E2236" i="7"/>
  <c r="D2236" i="7"/>
  <c r="C2236" i="7"/>
  <c r="O2235" i="7"/>
  <c r="N2235" i="7"/>
  <c r="M2235" i="7"/>
  <c r="L2235" i="7"/>
  <c r="K2235" i="7"/>
  <c r="J2235" i="7"/>
  <c r="I2235" i="7"/>
  <c r="H2235" i="7"/>
  <c r="G2235" i="7"/>
  <c r="F2235" i="7"/>
  <c r="E2235" i="7"/>
  <c r="D2235" i="7"/>
  <c r="C2235" i="7"/>
  <c r="O2234" i="7"/>
  <c r="N2234" i="7"/>
  <c r="M2234" i="7"/>
  <c r="L2234" i="7"/>
  <c r="K2234" i="7"/>
  <c r="J2234" i="7"/>
  <c r="I2234" i="7"/>
  <c r="H2234" i="7"/>
  <c r="G2234" i="7"/>
  <c r="F2234" i="7"/>
  <c r="E2234" i="7"/>
  <c r="D2234" i="7"/>
  <c r="C2234" i="7"/>
  <c r="O2233" i="7"/>
  <c r="N2233" i="7"/>
  <c r="M2233" i="7"/>
  <c r="L2233" i="7"/>
  <c r="K2233" i="7"/>
  <c r="J2233" i="7"/>
  <c r="I2233" i="7"/>
  <c r="H2233" i="7"/>
  <c r="G2233" i="7"/>
  <c r="F2233" i="7"/>
  <c r="E2233" i="7"/>
  <c r="D2233" i="7"/>
  <c r="C2233" i="7"/>
  <c r="O2232" i="7"/>
  <c r="N2232" i="7"/>
  <c r="M2232" i="7"/>
  <c r="L2232" i="7"/>
  <c r="K2232" i="7"/>
  <c r="J2232" i="7"/>
  <c r="I2232" i="7"/>
  <c r="H2232" i="7"/>
  <c r="G2232" i="7"/>
  <c r="F2232" i="7"/>
  <c r="E2232" i="7"/>
  <c r="D2232" i="7"/>
  <c r="C2232" i="7"/>
  <c r="O2231" i="7"/>
  <c r="N2231" i="7"/>
  <c r="M2231" i="7"/>
  <c r="L2231" i="7"/>
  <c r="K2231" i="7"/>
  <c r="J2231" i="7"/>
  <c r="I2231" i="7"/>
  <c r="H2231" i="7"/>
  <c r="G2231" i="7"/>
  <c r="F2231" i="7"/>
  <c r="E2231" i="7"/>
  <c r="D2231" i="7"/>
  <c r="C2231" i="7"/>
  <c r="O2230" i="7"/>
  <c r="N2230" i="7"/>
  <c r="M2230" i="7"/>
  <c r="L2230" i="7"/>
  <c r="K2230" i="7"/>
  <c r="J2230" i="7"/>
  <c r="I2230" i="7"/>
  <c r="H2230" i="7"/>
  <c r="G2230" i="7"/>
  <c r="F2230" i="7"/>
  <c r="E2230" i="7"/>
  <c r="D2230" i="7"/>
  <c r="C2230" i="7"/>
  <c r="O2229" i="7"/>
  <c r="N2229" i="7"/>
  <c r="M2229" i="7"/>
  <c r="L2229" i="7"/>
  <c r="K2229" i="7"/>
  <c r="J2229" i="7"/>
  <c r="I2229" i="7"/>
  <c r="H2229" i="7"/>
  <c r="G2229" i="7"/>
  <c r="F2229" i="7"/>
  <c r="E2229" i="7"/>
  <c r="D2229" i="7"/>
  <c r="C2229" i="7"/>
  <c r="O2228" i="7"/>
  <c r="N2228" i="7"/>
  <c r="M2228" i="7"/>
  <c r="L2228" i="7"/>
  <c r="K2228" i="7"/>
  <c r="J2228" i="7"/>
  <c r="I2228" i="7"/>
  <c r="H2228" i="7"/>
  <c r="G2228" i="7"/>
  <c r="F2228" i="7"/>
  <c r="E2228" i="7"/>
  <c r="D2228" i="7"/>
  <c r="C2228" i="7"/>
  <c r="O2227" i="7"/>
  <c r="N2227" i="7"/>
  <c r="M2227" i="7"/>
  <c r="L2227" i="7"/>
  <c r="K2227" i="7"/>
  <c r="J2227" i="7"/>
  <c r="I2227" i="7"/>
  <c r="H2227" i="7"/>
  <c r="G2227" i="7"/>
  <c r="F2227" i="7"/>
  <c r="E2227" i="7"/>
  <c r="D2227" i="7"/>
  <c r="C2227" i="7"/>
  <c r="O2226" i="7"/>
  <c r="N2226" i="7"/>
  <c r="M2226" i="7"/>
  <c r="L2226" i="7"/>
  <c r="K2226" i="7"/>
  <c r="J2226" i="7"/>
  <c r="I2226" i="7"/>
  <c r="H2226" i="7"/>
  <c r="G2226" i="7"/>
  <c r="F2226" i="7"/>
  <c r="E2226" i="7"/>
  <c r="D2226" i="7"/>
  <c r="C2226" i="7"/>
  <c r="O2221" i="7"/>
  <c r="N2221" i="7"/>
  <c r="M2221" i="7"/>
  <c r="L2221" i="7"/>
  <c r="K2221" i="7"/>
  <c r="J2221" i="7"/>
  <c r="I2221" i="7"/>
  <c r="H2221" i="7"/>
  <c r="G2221" i="7"/>
  <c r="F2221" i="7"/>
  <c r="E2221" i="7"/>
  <c r="D2221" i="7"/>
  <c r="C2221" i="7"/>
  <c r="O2220" i="7"/>
  <c r="N2220" i="7"/>
  <c r="M2220" i="7"/>
  <c r="L2220" i="7"/>
  <c r="K2220" i="7"/>
  <c r="J2220" i="7"/>
  <c r="I2220" i="7"/>
  <c r="G2220" i="7"/>
  <c r="F2220" i="7"/>
  <c r="E2220" i="7"/>
  <c r="D2220" i="7"/>
  <c r="C2220" i="7"/>
  <c r="O2219" i="7"/>
  <c r="N2219" i="7"/>
  <c r="M2219" i="7"/>
  <c r="L2219" i="7"/>
  <c r="K2219" i="7"/>
  <c r="J2219" i="7"/>
  <c r="I2219" i="7"/>
  <c r="H2219" i="7"/>
  <c r="G2219" i="7"/>
  <c r="F2219" i="7"/>
  <c r="E2219" i="7"/>
  <c r="D2219" i="7"/>
  <c r="C2219" i="7"/>
  <c r="O2218" i="7"/>
  <c r="N2218" i="7"/>
  <c r="M2218" i="7"/>
  <c r="L2218" i="7"/>
  <c r="K2218" i="7"/>
  <c r="J2218" i="7"/>
  <c r="I2218" i="7"/>
  <c r="H2218" i="7"/>
  <c r="G2218" i="7"/>
  <c r="F2218" i="7"/>
  <c r="E2218" i="7"/>
  <c r="D2218" i="7"/>
  <c r="C2218" i="7"/>
  <c r="O2217" i="7"/>
  <c r="N2217" i="7"/>
  <c r="M2217" i="7"/>
  <c r="L2217" i="7"/>
  <c r="K2217" i="7"/>
  <c r="J2217" i="7"/>
  <c r="I2217" i="7"/>
  <c r="H2217" i="7"/>
  <c r="G2217" i="7"/>
  <c r="F2217" i="7"/>
  <c r="E2217" i="7"/>
  <c r="D2217" i="7"/>
  <c r="C2217" i="7"/>
  <c r="O2216" i="7"/>
  <c r="N2216" i="7"/>
  <c r="M2216" i="7"/>
  <c r="L2216" i="7"/>
  <c r="K2216" i="7"/>
  <c r="J2216" i="7"/>
  <c r="I2216" i="7"/>
  <c r="H2216" i="7"/>
  <c r="G2216" i="7"/>
  <c r="F2216" i="7"/>
  <c r="E2216" i="7"/>
  <c r="D2216" i="7"/>
  <c r="C2216" i="7"/>
  <c r="O2215" i="7"/>
  <c r="N2215" i="7"/>
  <c r="M2215" i="7"/>
  <c r="L2215" i="7"/>
  <c r="K2215" i="7"/>
  <c r="J2215" i="7"/>
  <c r="I2215" i="7"/>
  <c r="H2215" i="7"/>
  <c r="G2215" i="7"/>
  <c r="F2215" i="7"/>
  <c r="E2215" i="7"/>
  <c r="D2215" i="7"/>
  <c r="C2215" i="7"/>
  <c r="O2214" i="7"/>
  <c r="N2214" i="7"/>
  <c r="M2214" i="7"/>
  <c r="L2214" i="7"/>
  <c r="K2214" i="7"/>
  <c r="J2214" i="7"/>
  <c r="I2214" i="7"/>
  <c r="H2214" i="7"/>
  <c r="G2214" i="7"/>
  <c r="F2214" i="7"/>
  <c r="E2214" i="7"/>
  <c r="D2214" i="7"/>
  <c r="C2214" i="7"/>
  <c r="O2213" i="7"/>
  <c r="N2213" i="7"/>
  <c r="M2213" i="7"/>
  <c r="L2213" i="7"/>
  <c r="K2213" i="7"/>
  <c r="J2213" i="7"/>
  <c r="I2213" i="7"/>
  <c r="H2213" i="7"/>
  <c r="G2213" i="7"/>
  <c r="F2213" i="7"/>
  <c r="E2213" i="7"/>
  <c r="D2213" i="7"/>
  <c r="C2213" i="7"/>
  <c r="O2212" i="7"/>
  <c r="N2212" i="7"/>
  <c r="M2212" i="7"/>
  <c r="L2212" i="7"/>
  <c r="K2212" i="7"/>
  <c r="J2212" i="7"/>
  <c r="I2212" i="7"/>
  <c r="H2212" i="7"/>
  <c r="G2212" i="7"/>
  <c r="F2212" i="7"/>
  <c r="E2212" i="7"/>
  <c r="D2212" i="7"/>
  <c r="C2212" i="7"/>
  <c r="O2211" i="7"/>
  <c r="N2211" i="7"/>
  <c r="M2211" i="7"/>
  <c r="L2211" i="7"/>
  <c r="K2211" i="7"/>
  <c r="J2211" i="7"/>
  <c r="I2211" i="7"/>
  <c r="H2211" i="7"/>
  <c r="G2211" i="7"/>
  <c r="F2211" i="7"/>
  <c r="E2211" i="7"/>
  <c r="D2211" i="7"/>
  <c r="C2211" i="7"/>
  <c r="O2210" i="7"/>
  <c r="N2210" i="7"/>
  <c r="M2210" i="7"/>
  <c r="L2210" i="7"/>
  <c r="K2210" i="7"/>
  <c r="J2210" i="7"/>
  <c r="I2210" i="7"/>
  <c r="H2210" i="7"/>
  <c r="G2210" i="7"/>
  <c r="F2210" i="7"/>
  <c r="E2210" i="7"/>
  <c r="D2210" i="7"/>
  <c r="C2210" i="7"/>
  <c r="O2209" i="7"/>
  <c r="N2209" i="7"/>
  <c r="M2209" i="7"/>
  <c r="L2209" i="7"/>
  <c r="K2209" i="7"/>
  <c r="J2209" i="7"/>
  <c r="I2209" i="7"/>
  <c r="H2209" i="7"/>
  <c r="G2209" i="7"/>
  <c r="F2209" i="7"/>
  <c r="E2209" i="7"/>
  <c r="D2209" i="7"/>
  <c r="C2209" i="7"/>
  <c r="O2208" i="7"/>
  <c r="N2208" i="7"/>
  <c r="M2208" i="7"/>
  <c r="L2208" i="7"/>
  <c r="K2208" i="7"/>
  <c r="J2208" i="7"/>
  <c r="I2208" i="7"/>
  <c r="H2208" i="7"/>
  <c r="G2208" i="7"/>
  <c r="F2208" i="7"/>
  <c r="E2208" i="7"/>
  <c r="D2208" i="7"/>
  <c r="C2208" i="7"/>
  <c r="O2207" i="7"/>
  <c r="N2207" i="7"/>
  <c r="M2207" i="7"/>
  <c r="L2207" i="7"/>
  <c r="K2207" i="7"/>
  <c r="J2207" i="7"/>
  <c r="I2207" i="7"/>
  <c r="H2207" i="7"/>
  <c r="G2207" i="7"/>
  <c r="F2207" i="7"/>
  <c r="E2207" i="7"/>
  <c r="D2207" i="7"/>
  <c r="C2207" i="7"/>
  <c r="O2206" i="7"/>
  <c r="N2206" i="7"/>
  <c r="M2206" i="7"/>
  <c r="L2206" i="7"/>
  <c r="K2206" i="7"/>
  <c r="J2206" i="7"/>
  <c r="I2206" i="7"/>
  <c r="H2206" i="7"/>
  <c r="G2206" i="7"/>
  <c r="F2206" i="7"/>
  <c r="E2206" i="7"/>
  <c r="D2206" i="7"/>
  <c r="C2206" i="7"/>
  <c r="O2205" i="7"/>
  <c r="N2205" i="7"/>
  <c r="M2205" i="7"/>
  <c r="L2205" i="7"/>
  <c r="K2205" i="7"/>
  <c r="J2205" i="7"/>
  <c r="I2205" i="7"/>
  <c r="H2205" i="7"/>
  <c r="G2205" i="7"/>
  <c r="F2205" i="7"/>
  <c r="E2205" i="7"/>
  <c r="D2205" i="7"/>
  <c r="C2205" i="7"/>
  <c r="O2204" i="7"/>
  <c r="N2204" i="7"/>
  <c r="M2204" i="7"/>
  <c r="L2204" i="7"/>
  <c r="K2204" i="7"/>
  <c r="J2204" i="7"/>
  <c r="I2204" i="7"/>
  <c r="H2204" i="7"/>
  <c r="G2204" i="7"/>
  <c r="F2204" i="7"/>
  <c r="E2204" i="7"/>
  <c r="D2204" i="7"/>
  <c r="C2204" i="7"/>
  <c r="O2203" i="7"/>
  <c r="N2203" i="7"/>
  <c r="M2203" i="7"/>
  <c r="L2203" i="7"/>
  <c r="K2203" i="7"/>
  <c r="J2203" i="7"/>
  <c r="I2203" i="7"/>
  <c r="H2203" i="7"/>
  <c r="G2203" i="7"/>
  <c r="F2203" i="7"/>
  <c r="E2203" i="7"/>
  <c r="D2203" i="7"/>
  <c r="C2203" i="7"/>
  <c r="O2202" i="7"/>
  <c r="N2202" i="7"/>
  <c r="M2202" i="7"/>
  <c r="L2202" i="7"/>
  <c r="K2202" i="7"/>
  <c r="J2202" i="7"/>
  <c r="I2202" i="7"/>
  <c r="H2202" i="7"/>
  <c r="G2202" i="7"/>
  <c r="F2202" i="7"/>
  <c r="E2202" i="7"/>
  <c r="D2202" i="7"/>
  <c r="C2202" i="7"/>
  <c r="O2201" i="7"/>
  <c r="N2201" i="7"/>
  <c r="M2201" i="7"/>
  <c r="L2201" i="7"/>
  <c r="K2201" i="7"/>
  <c r="J2201" i="7"/>
  <c r="I2201" i="7"/>
  <c r="H2201" i="7"/>
  <c r="G2201" i="7"/>
  <c r="F2201" i="7"/>
  <c r="E2201" i="7"/>
  <c r="D2201" i="7"/>
  <c r="C2201" i="7"/>
  <c r="O2200" i="7"/>
  <c r="N2200" i="7"/>
  <c r="M2200" i="7"/>
  <c r="L2200" i="7"/>
  <c r="K2200" i="7"/>
  <c r="J2200" i="7"/>
  <c r="I2200" i="7"/>
  <c r="H2200" i="7"/>
  <c r="G2200" i="7"/>
  <c r="F2200" i="7"/>
  <c r="E2200" i="7"/>
  <c r="D2200" i="7"/>
  <c r="C2200" i="7"/>
  <c r="O2199" i="7"/>
  <c r="N2199" i="7"/>
  <c r="M2199" i="7"/>
  <c r="L2199" i="7"/>
  <c r="K2199" i="7"/>
  <c r="J2199" i="7"/>
  <c r="I2199" i="7"/>
  <c r="H2199" i="7"/>
  <c r="G2199" i="7"/>
  <c r="F2199" i="7"/>
  <c r="E2199" i="7"/>
  <c r="D2199" i="7"/>
  <c r="C2199" i="7"/>
  <c r="O2198" i="7"/>
  <c r="N2198" i="7"/>
  <c r="M2198" i="7"/>
  <c r="L2198" i="7"/>
  <c r="K2198" i="7"/>
  <c r="J2198" i="7"/>
  <c r="I2198" i="7"/>
  <c r="H2198" i="7"/>
  <c r="G2198" i="7"/>
  <c r="F2198" i="7"/>
  <c r="E2198" i="7"/>
  <c r="D2198" i="7"/>
  <c r="C2198" i="7"/>
  <c r="O2197" i="7"/>
  <c r="N2197" i="7"/>
  <c r="M2197" i="7"/>
  <c r="L2197" i="7"/>
  <c r="K2197" i="7"/>
  <c r="J2197" i="7"/>
  <c r="I2197" i="7"/>
  <c r="H2197" i="7"/>
  <c r="G2197" i="7"/>
  <c r="F2197" i="7"/>
  <c r="E2197" i="7"/>
  <c r="D2197" i="7"/>
  <c r="C2197" i="7"/>
  <c r="O2196" i="7"/>
  <c r="N2196" i="7"/>
  <c r="M2196" i="7"/>
  <c r="L2196" i="7"/>
  <c r="K2196" i="7"/>
  <c r="J2196" i="7"/>
  <c r="I2196" i="7"/>
  <c r="H2196" i="7"/>
  <c r="G2196" i="7"/>
  <c r="F2196" i="7"/>
  <c r="E2196" i="7"/>
  <c r="D2196" i="7"/>
  <c r="C2196" i="7"/>
  <c r="O2195" i="7"/>
  <c r="N2195" i="7"/>
  <c r="M2195" i="7"/>
  <c r="L2195" i="7"/>
  <c r="K2195" i="7"/>
  <c r="J2195" i="7"/>
  <c r="I2195" i="7"/>
  <c r="H2195" i="7"/>
  <c r="G2195" i="7"/>
  <c r="F2195" i="7"/>
  <c r="E2195" i="7"/>
  <c r="D2195" i="7"/>
  <c r="C2195" i="7"/>
  <c r="O2194" i="7"/>
  <c r="N2194" i="7"/>
  <c r="M2194" i="7"/>
  <c r="L2194" i="7"/>
  <c r="K2194" i="7"/>
  <c r="J2194" i="7"/>
  <c r="I2194" i="7"/>
  <c r="H2194" i="7"/>
  <c r="G2194" i="7"/>
  <c r="F2194" i="7"/>
  <c r="E2194" i="7"/>
  <c r="D2194" i="7"/>
  <c r="C2194" i="7"/>
  <c r="O2193" i="7"/>
  <c r="N2193" i="7"/>
  <c r="M2193" i="7"/>
  <c r="L2193" i="7"/>
  <c r="K2193" i="7"/>
  <c r="J2193" i="7"/>
  <c r="I2193" i="7"/>
  <c r="H2193" i="7"/>
  <c r="G2193" i="7"/>
  <c r="F2193" i="7"/>
  <c r="E2193" i="7"/>
  <c r="D2193" i="7"/>
  <c r="C2193" i="7"/>
  <c r="O2192" i="7"/>
  <c r="N2192" i="7"/>
  <c r="M2192" i="7"/>
  <c r="L2192" i="7"/>
  <c r="K2192" i="7"/>
  <c r="J2192" i="7"/>
  <c r="I2192" i="7"/>
  <c r="H2192" i="7"/>
  <c r="G2192" i="7"/>
  <c r="F2192" i="7"/>
  <c r="E2192" i="7"/>
  <c r="D2192" i="7"/>
  <c r="C2192" i="7"/>
  <c r="O2191" i="7"/>
  <c r="N2191" i="7"/>
  <c r="M2191" i="7"/>
  <c r="L2191" i="7"/>
  <c r="K2191" i="7"/>
  <c r="J2191" i="7"/>
  <c r="I2191" i="7"/>
  <c r="H2191" i="7"/>
  <c r="G2191" i="7"/>
  <c r="F2191" i="7"/>
  <c r="E2191" i="7"/>
  <c r="D2191" i="7"/>
  <c r="C2191" i="7"/>
  <c r="O2190" i="7"/>
  <c r="N2190" i="7"/>
  <c r="M2190" i="7"/>
  <c r="L2190" i="7"/>
  <c r="K2190" i="7"/>
  <c r="J2190" i="7"/>
  <c r="I2190" i="7"/>
  <c r="H2190" i="7"/>
  <c r="G2190" i="7"/>
  <c r="F2190" i="7"/>
  <c r="E2190" i="7"/>
  <c r="D2190" i="7"/>
  <c r="C2190" i="7"/>
  <c r="O2189" i="7"/>
  <c r="N2189" i="7"/>
  <c r="M2189" i="7"/>
  <c r="L2189" i="7"/>
  <c r="K2189" i="7"/>
  <c r="J2189" i="7"/>
  <c r="I2189" i="7"/>
  <c r="H2189" i="7"/>
  <c r="G2189" i="7"/>
  <c r="F2189" i="7"/>
  <c r="E2189" i="7"/>
  <c r="D2189" i="7"/>
  <c r="C2189" i="7"/>
  <c r="O2188" i="7"/>
  <c r="N2188" i="7"/>
  <c r="M2188" i="7"/>
  <c r="L2188" i="7"/>
  <c r="K2188" i="7"/>
  <c r="J2188" i="7"/>
  <c r="I2188" i="7"/>
  <c r="H2188" i="7"/>
  <c r="G2188" i="7"/>
  <c r="F2188" i="7"/>
  <c r="E2188" i="7"/>
  <c r="D2188" i="7"/>
  <c r="C2188" i="7"/>
  <c r="O2187" i="7"/>
  <c r="N2187" i="7"/>
  <c r="M2187" i="7"/>
  <c r="L2187" i="7"/>
  <c r="K2187" i="7"/>
  <c r="J2187" i="7"/>
  <c r="I2187" i="7"/>
  <c r="H2187" i="7"/>
  <c r="G2187" i="7"/>
  <c r="F2187" i="7"/>
  <c r="E2187" i="7"/>
  <c r="D2187" i="7"/>
  <c r="C2187" i="7"/>
  <c r="O2186" i="7"/>
  <c r="N2186" i="7"/>
  <c r="M2186" i="7"/>
  <c r="L2186" i="7"/>
  <c r="K2186" i="7"/>
  <c r="J2186" i="7"/>
  <c r="I2186" i="7"/>
  <c r="H2186" i="7"/>
  <c r="G2186" i="7"/>
  <c r="F2186" i="7"/>
  <c r="E2186" i="7"/>
  <c r="D2186" i="7"/>
  <c r="C2186" i="7"/>
  <c r="O2185" i="7"/>
  <c r="N2185" i="7"/>
  <c r="M2185" i="7"/>
  <c r="L2185" i="7"/>
  <c r="K2185" i="7"/>
  <c r="J2185" i="7"/>
  <c r="I2185" i="7"/>
  <c r="H2185" i="7"/>
  <c r="G2185" i="7"/>
  <c r="F2185" i="7"/>
  <c r="E2185" i="7"/>
  <c r="D2185" i="7"/>
  <c r="C2185" i="7"/>
  <c r="O2184" i="7"/>
  <c r="N2184" i="7"/>
  <c r="M2184" i="7"/>
  <c r="L2184" i="7"/>
  <c r="K2184" i="7"/>
  <c r="J2184" i="7"/>
  <c r="I2184" i="7"/>
  <c r="H2184" i="7"/>
  <c r="G2184" i="7"/>
  <c r="F2184" i="7"/>
  <c r="E2184" i="7"/>
  <c r="D2184" i="7"/>
  <c r="C2184" i="7"/>
  <c r="O2183" i="7"/>
  <c r="N2183" i="7"/>
  <c r="M2183" i="7"/>
  <c r="L2183" i="7"/>
  <c r="K2183" i="7"/>
  <c r="J2183" i="7"/>
  <c r="I2183" i="7"/>
  <c r="H2183" i="7"/>
  <c r="G2183" i="7"/>
  <c r="F2183" i="7"/>
  <c r="E2183" i="7"/>
  <c r="D2183" i="7"/>
  <c r="C2183" i="7"/>
  <c r="O2182" i="7"/>
  <c r="N2182" i="7"/>
  <c r="M2182" i="7"/>
  <c r="L2182" i="7"/>
  <c r="K2182" i="7"/>
  <c r="J2182" i="7"/>
  <c r="I2182" i="7"/>
  <c r="H2182" i="7"/>
  <c r="G2182" i="7"/>
  <c r="F2182" i="7"/>
  <c r="E2182" i="7"/>
  <c r="D2182" i="7"/>
  <c r="C2182" i="7"/>
  <c r="O2181" i="7"/>
  <c r="N2181" i="7"/>
  <c r="M2181" i="7"/>
  <c r="L2181" i="7"/>
  <c r="K2181" i="7"/>
  <c r="J2181" i="7"/>
  <c r="I2181" i="7"/>
  <c r="H2181" i="7"/>
  <c r="G2181" i="7"/>
  <c r="F2181" i="7"/>
  <c r="E2181" i="7"/>
  <c r="D2181" i="7"/>
  <c r="C2181" i="7"/>
  <c r="O2180" i="7"/>
  <c r="N2180" i="7"/>
  <c r="M2180" i="7"/>
  <c r="L2180" i="7"/>
  <c r="K2180" i="7"/>
  <c r="J2180" i="7"/>
  <c r="I2180" i="7"/>
  <c r="H2180" i="7"/>
  <c r="G2180" i="7"/>
  <c r="F2180" i="7"/>
  <c r="E2180" i="7"/>
  <c r="D2180" i="7"/>
  <c r="C2180" i="7"/>
  <c r="O2179" i="7"/>
  <c r="N2179" i="7"/>
  <c r="M2179" i="7"/>
  <c r="L2179" i="7"/>
  <c r="K2179" i="7"/>
  <c r="J2179" i="7"/>
  <c r="I2179" i="7"/>
  <c r="H2179" i="7"/>
  <c r="G2179" i="7"/>
  <c r="F2179" i="7"/>
  <c r="E2179" i="7"/>
  <c r="D2179" i="7"/>
  <c r="C2179" i="7"/>
  <c r="O2178" i="7"/>
  <c r="N2178" i="7"/>
  <c r="M2178" i="7"/>
  <c r="L2178" i="7"/>
  <c r="K2178" i="7"/>
  <c r="J2178" i="7"/>
  <c r="I2178" i="7"/>
  <c r="H2178" i="7"/>
  <c r="G2178" i="7"/>
  <c r="F2178" i="7"/>
  <c r="E2178" i="7"/>
  <c r="D2178" i="7"/>
  <c r="C2178" i="7"/>
  <c r="O2177" i="7"/>
  <c r="N2177" i="7"/>
  <c r="M2177" i="7"/>
  <c r="L2177" i="7"/>
  <c r="K2177" i="7"/>
  <c r="J2177" i="7"/>
  <c r="I2177" i="7"/>
  <c r="H2177" i="7"/>
  <c r="G2177" i="7"/>
  <c r="F2177" i="7"/>
  <c r="E2177" i="7"/>
  <c r="D2177" i="7"/>
  <c r="C2177" i="7"/>
  <c r="O2176" i="7"/>
  <c r="N2176" i="7"/>
  <c r="M2176" i="7"/>
  <c r="L2176" i="7"/>
  <c r="K2176" i="7"/>
  <c r="J2176" i="7"/>
  <c r="I2176" i="7"/>
  <c r="H2176" i="7"/>
  <c r="G2176" i="7"/>
  <c r="F2176" i="7"/>
  <c r="E2176" i="7"/>
  <c r="D2176" i="7"/>
  <c r="C2176" i="7"/>
  <c r="O2175" i="7"/>
  <c r="N2175" i="7"/>
  <c r="M2175" i="7"/>
  <c r="L2175" i="7"/>
  <c r="K2175" i="7"/>
  <c r="J2175" i="7"/>
  <c r="I2175" i="7"/>
  <c r="H2175" i="7"/>
  <c r="G2175" i="7"/>
  <c r="F2175" i="7"/>
  <c r="E2175" i="7"/>
  <c r="D2175" i="7"/>
  <c r="C2175" i="7"/>
  <c r="O2174" i="7"/>
  <c r="N2174" i="7"/>
  <c r="M2174" i="7"/>
  <c r="L2174" i="7"/>
  <c r="K2174" i="7"/>
  <c r="J2174" i="7"/>
  <c r="I2174" i="7"/>
  <c r="H2174" i="7"/>
  <c r="G2174" i="7"/>
  <c r="F2174" i="7"/>
  <c r="E2174" i="7"/>
  <c r="D2174" i="7"/>
  <c r="C2174" i="7"/>
  <c r="O2173" i="7"/>
  <c r="N2173" i="7"/>
  <c r="M2173" i="7"/>
  <c r="L2173" i="7"/>
  <c r="K2173" i="7"/>
  <c r="J2173" i="7"/>
  <c r="I2173" i="7"/>
  <c r="H2173" i="7"/>
  <c r="G2173" i="7"/>
  <c r="F2173" i="7"/>
  <c r="E2173" i="7"/>
  <c r="D2173" i="7"/>
  <c r="C2173" i="7"/>
  <c r="O2172" i="7"/>
  <c r="N2172" i="7"/>
  <c r="M2172" i="7"/>
  <c r="L2172" i="7"/>
  <c r="K2172" i="7"/>
  <c r="J2172" i="7"/>
  <c r="I2172" i="7"/>
  <c r="H2172" i="7"/>
  <c r="G2172" i="7"/>
  <c r="F2172" i="7"/>
  <c r="E2172" i="7"/>
  <c r="D2172" i="7"/>
  <c r="C2172" i="7"/>
  <c r="O2171" i="7"/>
  <c r="N2171" i="7"/>
  <c r="M2171" i="7"/>
  <c r="L2171" i="7"/>
  <c r="K2171" i="7"/>
  <c r="J2171" i="7"/>
  <c r="I2171" i="7"/>
  <c r="H2171" i="7"/>
  <c r="G2171" i="7"/>
  <c r="F2171" i="7"/>
  <c r="E2171" i="7"/>
  <c r="D2171" i="7"/>
  <c r="C2171" i="7"/>
  <c r="O2170" i="7"/>
  <c r="N2170" i="7"/>
  <c r="M2170" i="7"/>
  <c r="L2170" i="7"/>
  <c r="K2170" i="7"/>
  <c r="J2170" i="7"/>
  <c r="I2170" i="7"/>
  <c r="H2170" i="7"/>
  <c r="G2170" i="7"/>
  <c r="F2170" i="7"/>
  <c r="E2170" i="7"/>
  <c r="D2170" i="7"/>
  <c r="C2170" i="7"/>
  <c r="O2169" i="7"/>
  <c r="N2169" i="7"/>
  <c r="M2169" i="7"/>
  <c r="L2169" i="7"/>
  <c r="K2169" i="7"/>
  <c r="J2169" i="7"/>
  <c r="I2169" i="7"/>
  <c r="H2169" i="7"/>
  <c r="G2169" i="7"/>
  <c r="F2169" i="7"/>
  <c r="E2169" i="7"/>
  <c r="D2169" i="7"/>
  <c r="C2169" i="7"/>
  <c r="O2168" i="7"/>
  <c r="N2168" i="7"/>
  <c r="M2168" i="7"/>
  <c r="L2168" i="7"/>
  <c r="K2168" i="7"/>
  <c r="J2168" i="7"/>
  <c r="I2168" i="7"/>
  <c r="H2168" i="7"/>
  <c r="G2168" i="7"/>
  <c r="F2168" i="7"/>
  <c r="E2168" i="7"/>
  <c r="D2168" i="7"/>
  <c r="C2168" i="7"/>
  <c r="O2167" i="7"/>
  <c r="N2167" i="7"/>
  <c r="M2167" i="7"/>
  <c r="L2167" i="7"/>
  <c r="K2167" i="7"/>
  <c r="J2167" i="7"/>
  <c r="I2167" i="7"/>
  <c r="H2167" i="7"/>
  <c r="G2167" i="7"/>
  <c r="F2167" i="7"/>
  <c r="E2167" i="7"/>
  <c r="D2167" i="7"/>
  <c r="C2167" i="7"/>
  <c r="O2166" i="7"/>
  <c r="N2166" i="7"/>
  <c r="M2166" i="7"/>
  <c r="L2166" i="7"/>
  <c r="K2166" i="7"/>
  <c r="J2166" i="7"/>
  <c r="I2166" i="7"/>
  <c r="H2166" i="7"/>
  <c r="G2166" i="7"/>
  <c r="F2166" i="7"/>
  <c r="E2166" i="7"/>
  <c r="D2166" i="7"/>
  <c r="C2166" i="7"/>
  <c r="O2165" i="7"/>
  <c r="N2165" i="7"/>
  <c r="M2165" i="7"/>
  <c r="L2165" i="7"/>
  <c r="K2165" i="7"/>
  <c r="J2165" i="7"/>
  <c r="I2165" i="7"/>
  <c r="H2165" i="7"/>
  <c r="G2165" i="7"/>
  <c r="F2165" i="7"/>
  <c r="E2165" i="7"/>
  <c r="D2165" i="7"/>
  <c r="C2165" i="7"/>
  <c r="O2164" i="7"/>
  <c r="N2164" i="7"/>
  <c r="M2164" i="7"/>
  <c r="L2164" i="7"/>
  <c r="K2164" i="7"/>
  <c r="J2164" i="7"/>
  <c r="I2164" i="7"/>
  <c r="H2164" i="7"/>
  <c r="G2164" i="7"/>
  <c r="F2164" i="7"/>
  <c r="E2164" i="7"/>
  <c r="D2164" i="7"/>
  <c r="C2164" i="7"/>
  <c r="O2163" i="7"/>
  <c r="N2163" i="7"/>
  <c r="M2163" i="7"/>
  <c r="L2163" i="7"/>
  <c r="K2163" i="7"/>
  <c r="J2163" i="7"/>
  <c r="I2163" i="7"/>
  <c r="H2163" i="7"/>
  <c r="G2163" i="7"/>
  <c r="F2163" i="7"/>
  <c r="E2163" i="7"/>
  <c r="D2163" i="7"/>
  <c r="C2163" i="7"/>
  <c r="O2162" i="7"/>
  <c r="N2162" i="7"/>
  <c r="M2162" i="7"/>
  <c r="L2162" i="7"/>
  <c r="K2162" i="7"/>
  <c r="J2162" i="7"/>
  <c r="I2162" i="7"/>
  <c r="H2162" i="7"/>
  <c r="G2162" i="7"/>
  <c r="F2162" i="7"/>
  <c r="E2162" i="7"/>
  <c r="D2162" i="7"/>
  <c r="C2162" i="7"/>
  <c r="O2161" i="7"/>
  <c r="N2161" i="7"/>
  <c r="M2161" i="7"/>
  <c r="L2161" i="7"/>
  <c r="K2161" i="7"/>
  <c r="J2161" i="7"/>
  <c r="I2161" i="7"/>
  <c r="H2161" i="7"/>
  <c r="G2161" i="7"/>
  <c r="F2161" i="7"/>
  <c r="E2161" i="7"/>
  <c r="D2161" i="7"/>
  <c r="C2161" i="7"/>
  <c r="O2160" i="7"/>
  <c r="N2160" i="7"/>
  <c r="M2160" i="7"/>
  <c r="L2160" i="7"/>
  <c r="K2160" i="7"/>
  <c r="J2160" i="7"/>
  <c r="I2160" i="7"/>
  <c r="H2160" i="7"/>
  <c r="G2160" i="7"/>
  <c r="F2160" i="7"/>
  <c r="E2160" i="7"/>
  <c r="D2160" i="7"/>
  <c r="C2160" i="7"/>
  <c r="O2159" i="7"/>
  <c r="N2159" i="7"/>
  <c r="M2159" i="7"/>
  <c r="L2159" i="7"/>
  <c r="K2159" i="7"/>
  <c r="J2159" i="7"/>
  <c r="I2159" i="7"/>
  <c r="H2159" i="7"/>
  <c r="G2159" i="7"/>
  <c r="F2159" i="7"/>
  <c r="E2159" i="7"/>
  <c r="D2159" i="7"/>
  <c r="C2159" i="7"/>
  <c r="O2158" i="7"/>
  <c r="N2158" i="7"/>
  <c r="M2158" i="7"/>
  <c r="L2158" i="7"/>
  <c r="K2158" i="7"/>
  <c r="J2158" i="7"/>
  <c r="I2158" i="7"/>
  <c r="H2158" i="7"/>
  <c r="G2158" i="7"/>
  <c r="F2158" i="7"/>
  <c r="E2158" i="7"/>
  <c r="D2158" i="7"/>
  <c r="C2158" i="7"/>
  <c r="O2157" i="7"/>
  <c r="N2157" i="7"/>
  <c r="M2157" i="7"/>
  <c r="L2157" i="7"/>
  <c r="K2157" i="7"/>
  <c r="J2157" i="7"/>
  <c r="I2157" i="7"/>
  <c r="H2157" i="7"/>
  <c r="G2157" i="7"/>
  <c r="F2157" i="7"/>
  <c r="E2157" i="7"/>
  <c r="D2157" i="7"/>
  <c r="C2157" i="7"/>
  <c r="O2156" i="7"/>
  <c r="N2156" i="7"/>
  <c r="M2156" i="7"/>
  <c r="L2156" i="7"/>
  <c r="K2156" i="7"/>
  <c r="J2156" i="7"/>
  <c r="I2156" i="7"/>
  <c r="H2156" i="7"/>
  <c r="G2156" i="7"/>
  <c r="F2156" i="7"/>
  <c r="E2156" i="7"/>
  <c r="D2156" i="7"/>
  <c r="C2156" i="7"/>
  <c r="O2155" i="7"/>
  <c r="N2155" i="7"/>
  <c r="M2155" i="7"/>
  <c r="L2155" i="7"/>
  <c r="K2155" i="7"/>
  <c r="J2155" i="7"/>
  <c r="I2155" i="7"/>
  <c r="H2155" i="7"/>
  <c r="G2155" i="7"/>
  <c r="F2155" i="7"/>
  <c r="E2155" i="7"/>
  <c r="D2155" i="7"/>
  <c r="C2155" i="7"/>
  <c r="O2154" i="7"/>
  <c r="N2154" i="7"/>
  <c r="M2154" i="7"/>
  <c r="L2154" i="7"/>
  <c r="K2154" i="7"/>
  <c r="J2154" i="7"/>
  <c r="I2154" i="7"/>
  <c r="H2154" i="7"/>
  <c r="G2154" i="7"/>
  <c r="F2154" i="7"/>
  <c r="E2154" i="7"/>
  <c r="D2154" i="7"/>
  <c r="C2154" i="7"/>
  <c r="O2153" i="7"/>
  <c r="N2153" i="7"/>
  <c r="M2153" i="7"/>
  <c r="L2153" i="7"/>
  <c r="K2153" i="7"/>
  <c r="J2153" i="7"/>
  <c r="I2153" i="7"/>
  <c r="H2153" i="7"/>
  <c r="G2153" i="7"/>
  <c r="F2153" i="7"/>
  <c r="E2153" i="7"/>
  <c r="D2153" i="7"/>
  <c r="C2153" i="7"/>
  <c r="O2152" i="7"/>
  <c r="N2152" i="7"/>
  <c r="M2152" i="7"/>
  <c r="L2152" i="7"/>
  <c r="K2152" i="7"/>
  <c r="J2152" i="7"/>
  <c r="I2152" i="7"/>
  <c r="H2152" i="7"/>
  <c r="G2152" i="7"/>
  <c r="F2152" i="7"/>
  <c r="E2152" i="7"/>
  <c r="D2152" i="7"/>
  <c r="C2152" i="7"/>
  <c r="O2151" i="7"/>
  <c r="N2151" i="7"/>
  <c r="M2151" i="7"/>
  <c r="L2151" i="7"/>
  <c r="K2151" i="7"/>
  <c r="J2151" i="7"/>
  <c r="I2151" i="7"/>
  <c r="H2151" i="7"/>
  <c r="G2151" i="7"/>
  <c r="F2151" i="7"/>
  <c r="E2151" i="7"/>
  <c r="D2151" i="7"/>
  <c r="C2151" i="7"/>
  <c r="O2150" i="7"/>
  <c r="N2150" i="7"/>
  <c r="M2150" i="7"/>
  <c r="L2150" i="7"/>
  <c r="K2150" i="7"/>
  <c r="J2150" i="7"/>
  <c r="I2150" i="7"/>
  <c r="H2150" i="7"/>
  <c r="G2150" i="7"/>
  <c r="F2150" i="7"/>
  <c r="E2150" i="7"/>
  <c r="D2150" i="7"/>
  <c r="C2150" i="7"/>
  <c r="O2149" i="7"/>
  <c r="N2149" i="7"/>
  <c r="M2149" i="7"/>
  <c r="L2149" i="7"/>
  <c r="K2149" i="7"/>
  <c r="J2149" i="7"/>
  <c r="I2149" i="7"/>
  <c r="H2149" i="7"/>
  <c r="G2149" i="7"/>
  <c r="F2149" i="7"/>
  <c r="E2149" i="7"/>
  <c r="D2149" i="7"/>
  <c r="C2149" i="7"/>
  <c r="O2148" i="7"/>
  <c r="N2148" i="7"/>
  <c r="M2148" i="7"/>
  <c r="L2148" i="7"/>
  <c r="K2148" i="7"/>
  <c r="J2148" i="7"/>
  <c r="I2148" i="7"/>
  <c r="H2148" i="7"/>
  <c r="G2148" i="7"/>
  <c r="F2148" i="7"/>
  <c r="E2148" i="7"/>
  <c r="D2148" i="7"/>
  <c r="C2148" i="7"/>
  <c r="O2147" i="7"/>
  <c r="N2147" i="7"/>
  <c r="M2147" i="7"/>
  <c r="L2147" i="7"/>
  <c r="K2147" i="7"/>
  <c r="J2147" i="7"/>
  <c r="I2147" i="7"/>
  <c r="H2147" i="7"/>
  <c r="G2147" i="7"/>
  <c r="F2147" i="7"/>
  <c r="E2147" i="7"/>
  <c r="D2147" i="7"/>
  <c r="C2147" i="7"/>
  <c r="O2146" i="7"/>
  <c r="N2146" i="7"/>
  <c r="M2146" i="7"/>
  <c r="L2146" i="7"/>
  <c r="K2146" i="7"/>
  <c r="J2146" i="7"/>
  <c r="I2146" i="7"/>
  <c r="H2146" i="7"/>
  <c r="G2146" i="7"/>
  <c r="F2146" i="7"/>
  <c r="E2146" i="7"/>
  <c r="D2146" i="7"/>
  <c r="C2146" i="7"/>
  <c r="O2145" i="7"/>
  <c r="N2145" i="7"/>
  <c r="M2145" i="7"/>
  <c r="L2145" i="7"/>
  <c r="K2145" i="7"/>
  <c r="J2145" i="7"/>
  <c r="I2145" i="7"/>
  <c r="H2145" i="7"/>
  <c r="G2145" i="7"/>
  <c r="F2145" i="7"/>
  <c r="E2145" i="7"/>
  <c r="D2145" i="7"/>
  <c r="C2145" i="7"/>
  <c r="O2144" i="7"/>
  <c r="N2144" i="7"/>
  <c r="M2144" i="7"/>
  <c r="L2144" i="7"/>
  <c r="K2144" i="7"/>
  <c r="J2144" i="7"/>
  <c r="I2144" i="7"/>
  <c r="H2144" i="7"/>
  <c r="G2144" i="7"/>
  <c r="F2144" i="7"/>
  <c r="E2144" i="7"/>
  <c r="D2144" i="7"/>
  <c r="C2144" i="7"/>
  <c r="O2143" i="7"/>
  <c r="N2143" i="7"/>
  <c r="M2143" i="7"/>
  <c r="L2143" i="7"/>
  <c r="K2143" i="7"/>
  <c r="J2143" i="7"/>
  <c r="I2143" i="7"/>
  <c r="H2143" i="7"/>
  <c r="G2143" i="7"/>
  <c r="F2143" i="7"/>
  <c r="E2143" i="7"/>
  <c r="D2143" i="7"/>
  <c r="C2143" i="7"/>
  <c r="O2142" i="7"/>
  <c r="N2142" i="7"/>
  <c r="M2142" i="7"/>
  <c r="L2142" i="7"/>
  <c r="K2142" i="7"/>
  <c r="J2142" i="7"/>
  <c r="I2142" i="7"/>
  <c r="H2142" i="7"/>
  <c r="G2142" i="7"/>
  <c r="F2142" i="7"/>
  <c r="E2142" i="7"/>
  <c r="D2142" i="7"/>
  <c r="C2142" i="7"/>
  <c r="O2141" i="7"/>
  <c r="N2141" i="7"/>
  <c r="M2141" i="7"/>
  <c r="L2141" i="7"/>
  <c r="K2141" i="7"/>
  <c r="J2141" i="7"/>
  <c r="I2141" i="7"/>
  <c r="H2141" i="7"/>
  <c r="G2141" i="7"/>
  <c r="F2141" i="7"/>
  <c r="E2141" i="7"/>
  <c r="D2141" i="7"/>
  <c r="C2141" i="7"/>
  <c r="O2140" i="7"/>
  <c r="N2140" i="7"/>
  <c r="M2140" i="7"/>
  <c r="L2140" i="7"/>
  <c r="K2140" i="7"/>
  <c r="J2140" i="7"/>
  <c r="I2140" i="7"/>
  <c r="H2140" i="7"/>
  <c r="G2140" i="7"/>
  <c r="F2140" i="7"/>
  <c r="E2140" i="7"/>
  <c r="D2140" i="7"/>
  <c r="C2140" i="7"/>
  <c r="O2139" i="7"/>
  <c r="N2139" i="7"/>
  <c r="M2139" i="7"/>
  <c r="L2139" i="7"/>
  <c r="K2139" i="7"/>
  <c r="J2139" i="7"/>
  <c r="I2139" i="7"/>
  <c r="H2139" i="7"/>
  <c r="G2139" i="7"/>
  <c r="F2139" i="7"/>
  <c r="E2139" i="7"/>
  <c r="D2139" i="7"/>
  <c r="C2139" i="7"/>
  <c r="O2138" i="7"/>
  <c r="N2138" i="7"/>
  <c r="M2138" i="7"/>
  <c r="L2138" i="7"/>
  <c r="K2138" i="7"/>
  <c r="J2138" i="7"/>
  <c r="I2138" i="7"/>
  <c r="H2138" i="7"/>
  <c r="G2138" i="7"/>
  <c r="F2138" i="7"/>
  <c r="E2138" i="7"/>
  <c r="D2138" i="7"/>
  <c r="C2138" i="7"/>
  <c r="O2137" i="7"/>
  <c r="N2137" i="7"/>
  <c r="M2137" i="7"/>
  <c r="L2137" i="7"/>
  <c r="K2137" i="7"/>
  <c r="J2137" i="7"/>
  <c r="I2137" i="7"/>
  <c r="H2137" i="7"/>
  <c r="G2137" i="7"/>
  <c r="F2137" i="7"/>
  <c r="E2137" i="7"/>
  <c r="D2137" i="7"/>
  <c r="C2137" i="7"/>
  <c r="O2136" i="7"/>
  <c r="N2136" i="7"/>
  <c r="M2136" i="7"/>
  <c r="L2136" i="7"/>
  <c r="K2136" i="7"/>
  <c r="J2136" i="7"/>
  <c r="I2136" i="7"/>
  <c r="H2136" i="7"/>
  <c r="G2136" i="7"/>
  <c r="F2136" i="7"/>
  <c r="E2136" i="7"/>
  <c r="D2136" i="7"/>
  <c r="C2136" i="7"/>
  <c r="O2135" i="7"/>
  <c r="N2135" i="7"/>
  <c r="M2135" i="7"/>
  <c r="L2135" i="7"/>
  <c r="K2135" i="7"/>
  <c r="J2135" i="7"/>
  <c r="I2135" i="7"/>
  <c r="H2135" i="7"/>
  <c r="G2135" i="7"/>
  <c r="F2135" i="7"/>
  <c r="E2135" i="7"/>
  <c r="D2135" i="7"/>
  <c r="C2135" i="7"/>
  <c r="O2134" i="7"/>
  <c r="N2134" i="7"/>
  <c r="M2134" i="7"/>
  <c r="L2134" i="7"/>
  <c r="K2134" i="7"/>
  <c r="J2134" i="7"/>
  <c r="I2134" i="7"/>
  <c r="H2134" i="7"/>
  <c r="G2134" i="7"/>
  <c r="F2134" i="7"/>
  <c r="E2134" i="7"/>
  <c r="D2134" i="7"/>
  <c r="C2134" i="7"/>
  <c r="O2133" i="7"/>
  <c r="N2133" i="7"/>
  <c r="M2133" i="7"/>
  <c r="L2133" i="7"/>
  <c r="K2133" i="7"/>
  <c r="J2133" i="7"/>
  <c r="I2133" i="7"/>
  <c r="H2133" i="7"/>
  <c r="G2133" i="7"/>
  <c r="F2133" i="7"/>
  <c r="E2133" i="7"/>
  <c r="D2133" i="7"/>
  <c r="C2133" i="7"/>
  <c r="O2132" i="7"/>
  <c r="N2132" i="7"/>
  <c r="M2132" i="7"/>
  <c r="L2132" i="7"/>
  <c r="K2132" i="7"/>
  <c r="J2132" i="7"/>
  <c r="I2132" i="7"/>
  <c r="H2132" i="7"/>
  <c r="G2132" i="7"/>
  <c r="F2132" i="7"/>
  <c r="E2132" i="7"/>
  <c r="D2132" i="7"/>
  <c r="C2132" i="7"/>
  <c r="O2131" i="7"/>
  <c r="N2131" i="7"/>
  <c r="M2131" i="7"/>
  <c r="L2131" i="7"/>
  <c r="K2131" i="7"/>
  <c r="J2131" i="7"/>
  <c r="I2131" i="7"/>
  <c r="H2131" i="7"/>
  <c r="G2131" i="7"/>
  <c r="F2131" i="7"/>
  <c r="E2131" i="7"/>
  <c r="D2131" i="7"/>
  <c r="C2131" i="7"/>
  <c r="O2130" i="7"/>
  <c r="N2130" i="7"/>
  <c r="M2130" i="7"/>
  <c r="L2130" i="7"/>
  <c r="K2130" i="7"/>
  <c r="J2130" i="7"/>
  <c r="I2130" i="7"/>
  <c r="H2130" i="7"/>
  <c r="G2130" i="7"/>
  <c r="F2130" i="7"/>
  <c r="E2130" i="7"/>
  <c r="D2130" i="7"/>
  <c r="C2130" i="7"/>
  <c r="O2129" i="7"/>
  <c r="N2129" i="7"/>
  <c r="M2129" i="7"/>
  <c r="L2129" i="7"/>
  <c r="K2129" i="7"/>
  <c r="J2129" i="7"/>
  <c r="I2129" i="7"/>
  <c r="H2129" i="7"/>
  <c r="G2129" i="7"/>
  <c r="F2129" i="7"/>
  <c r="E2129" i="7"/>
  <c r="D2129" i="7"/>
  <c r="C2129" i="7"/>
  <c r="O2128" i="7"/>
  <c r="N2128" i="7"/>
  <c r="M2128" i="7"/>
  <c r="L2128" i="7"/>
  <c r="K2128" i="7"/>
  <c r="J2128" i="7"/>
  <c r="I2128" i="7"/>
  <c r="H2128" i="7"/>
  <c r="G2128" i="7"/>
  <c r="F2128" i="7"/>
  <c r="E2128" i="7"/>
  <c r="D2128" i="7"/>
  <c r="C2128" i="7"/>
  <c r="O2127" i="7"/>
  <c r="N2127" i="7"/>
  <c r="M2127" i="7"/>
  <c r="L2127" i="7"/>
  <c r="K2127" i="7"/>
  <c r="J2127" i="7"/>
  <c r="I2127" i="7"/>
  <c r="H2127" i="7"/>
  <c r="G2127" i="7"/>
  <c r="F2127" i="7"/>
  <c r="E2127" i="7"/>
  <c r="D2127" i="7"/>
  <c r="C2127" i="7"/>
  <c r="O2126" i="7"/>
  <c r="N2126" i="7"/>
  <c r="M2126" i="7"/>
  <c r="L2126" i="7"/>
  <c r="K2126" i="7"/>
  <c r="J2126" i="7"/>
  <c r="I2126" i="7"/>
  <c r="H2126" i="7"/>
  <c r="G2126" i="7"/>
  <c r="F2126" i="7"/>
  <c r="E2126" i="7"/>
  <c r="D2126" i="7"/>
  <c r="C2126" i="7"/>
  <c r="O2125" i="7"/>
  <c r="N2125" i="7"/>
  <c r="M2125" i="7"/>
  <c r="L2125" i="7"/>
  <c r="K2125" i="7"/>
  <c r="J2125" i="7"/>
  <c r="I2125" i="7"/>
  <c r="H2125" i="7"/>
  <c r="G2125" i="7"/>
  <c r="F2125" i="7"/>
  <c r="E2125" i="7"/>
  <c r="D2125" i="7"/>
  <c r="C2125" i="7"/>
  <c r="O2124" i="7"/>
  <c r="N2124" i="7"/>
  <c r="M2124" i="7"/>
  <c r="L2124" i="7"/>
  <c r="K2124" i="7"/>
  <c r="J2124" i="7"/>
  <c r="I2124" i="7"/>
  <c r="H2124" i="7"/>
  <c r="G2124" i="7"/>
  <c r="F2124" i="7"/>
  <c r="E2124" i="7"/>
  <c r="D2124" i="7"/>
  <c r="C2124" i="7"/>
  <c r="O2123" i="7"/>
  <c r="N2123" i="7"/>
  <c r="M2123" i="7"/>
  <c r="L2123" i="7"/>
  <c r="K2123" i="7"/>
  <c r="J2123" i="7"/>
  <c r="I2123" i="7"/>
  <c r="H2123" i="7"/>
  <c r="G2123" i="7"/>
  <c r="F2123" i="7"/>
  <c r="E2123" i="7"/>
  <c r="D2123" i="7"/>
  <c r="C2123" i="7"/>
  <c r="O2122" i="7"/>
  <c r="N2122" i="7"/>
  <c r="M2122" i="7"/>
  <c r="L2122" i="7"/>
  <c r="K2122" i="7"/>
  <c r="J2122" i="7"/>
  <c r="I2122" i="7"/>
  <c r="H2122" i="7"/>
  <c r="G2122" i="7"/>
  <c r="F2122" i="7"/>
  <c r="E2122" i="7"/>
  <c r="D2122" i="7"/>
  <c r="C2122" i="7"/>
  <c r="O2121" i="7"/>
  <c r="N2121" i="7"/>
  <c r="M2121" i="7"/>
  <c r="L2121" i="7"/>
  <c r="K2121" i="7"/>
  <c r="J2121" i="7"/>
  <c r="I2121" i="7"/>
  <c r="H2121" i="7"/>
  <c r="G2121" i="7"/>
  <c r="F2121" i="7"/>
  <c r="E2121" i="7"/>
  <c r="D2121" i="7"/>
  <c r="C2121" i="7"/>
  <c r="O2120" i="7"/>
  <c r="N2120" i="7"/>
  <c r="M2120" i="7"/>
  <c r="L2120" i="7"/>
  <c r="K2120" i="7"/>
  <c r="J2120" i="7"/>
  <c r="I2120" i="7"/>
  <c r="H2120" i="7"/>
  <c r="G2120" i="7"/>
  <c r="F2120" i="7"/>
  <c r="E2120" i="7"/>
  <c r="D2120" i="7"/>
  <c r="C2120" i="7"/>
  <c r="O2119" i="7"/>
  <c r="N2119" i="7"/>
  <c r="M2119" i="7"/>
  <c r="L2119" i="7"/>
  <c r="K2119" i="7"/>
  <c r="J2119" i="7"/>
  <c r="I2119" i="7"/>
  <c r="H2119" i="7"/>
  <c r="G2119" i="7"/>
  <c r="F2119" i="7"/>
  <c r="E2119" i="7"/>
  <c r="D2119" i="7"/>
  <c r="C2119" i="7"/>
  <c r="O2118" i="7"/>
  <c r="N2118" i="7"/>
  <c r="M2118" i="7"/>
  <c r="L2118" i="7"/>
  <c r="K2118" i="7"/>
  <c r="J2118" i="7"/>
  <c r="I2118" i="7"/>
  <c r="H2118" i="7"/>
  <c r="G2118" i="7"/>
  <c r="F2118" i="7"/>
  <c r="E2118" i="7"/>
  <c r="D2118" i="7"/>
  <c r="C2118" i="7"/>
  <c r="O2117" i="7"/>
  <c r="N2117" i="7"/>
  <c r="M2117" i="7"/>
  <c r="L2117" i="7"/>
  <c r="K2117" i="7"/>
  <c r="J2117" i="7"/>
  <c r="I2117" i="7"/>
  <c r="H2117" i="7"/>
  <c r="G2117" i="7"/>
  <c r="F2117" i="7"/>
  <c r="E2117" i="7"/>
  <c r="D2117" i="7"/>
  <c r="C2117" i="7"/>
  <c r="O2116" i="7"/>
  <c r="N2116" i="7"/>
  <c r="M2116" i="7"/>
  <c r="L2116" i="7"/>
  <c r="K2116" i="7"/>
  <c r="J2116" i="7"/>
  <c r="I2116" i="7"/>
  <c r="H2116" i="7"/>
  <c r="G2116" i="7"/>
  <c r="F2116" i="7"/>
  <c r="E2116" i="7"/>
  <c r="D2116" i="7"/>
  <c r="C2116" i="7"/>
  <c r="O2115" i="7"/>
  <c r="N2115" i="7"/>
  <c r="M2115" i="7"/>
  <c r="L2115" i="7"/>
  <c r="K2115" i="7"/>
  <c r="J2115" i="7"/>
  <c r="I2115" i="7"/>
  <c r="H2115" i="7"/>
  <c r="G2115" i="7"/>
  <c r="F2115" i="7"/>
  <c r="E2115" i="7"/>
  <c r="D2115" i="7"/>
  <c r="C2115" i="7"/>
  <c r="O2114" i="7"/>
  <c r="N2114" i="7"/>
  <c r="M2114" i="7"/>
  <c r="L2114" i="7"/>
  <c r="K2114" i="7"/>
  <c r="J2114" i="7"/>
  <c r="I2114" i="7"/>
  <c r="H2114" i="7"/>
  <c r="G2114" i="7"/>
  <c r="F2114" i="7"/>
  <c r="E2114" i="7"/>
  <c r="D2114" i="7"/>
  <c r="C2114" i="7"/>
  <c r="O2113" i="7"/>
  <c r="N2113" i="7"/>
  <c r="M2113" i="7"/>
  <c r="L2113" i="7"/>
  <c r="K2113" i="7"/>
  <c r="J2113" i="7"/>
  <c r="I2113" i="7"/>
  <c r="H2113" i="7"/>
  <c r="G2113" i="7"/>
  <c r="F2113" i="7"/>
  <c r="E2113" i="7"/>
  <c r="D2113" i="7"/>
  <c r="C2113" i="7"/>
  <c r="O2112" i="7"/>
  <c r="N2112" i="7"/>
  <c r="M2112" i="7"/>
  <c r="L2112" i="7"/>
  <c r="K2112" i="7"/>
  <c r="J2112" i="7"/>
  <c r="I2112" i="7"/>
  <c r="H2112" i="7"/>
  <c r="G2112" i="7"/>
  <c r="F2112" i="7"/>
  <c r="E2112" i="7"/>
  <c r="D2112" i="7"/>
  <c r="C2112" i="7"/>
  <c r="O2107" i="7"/>
  <c r="N2107" i="7"/>
  <c r="M2107" i="7"/>
  <c r="L2107" i="7"/>
  <c r="K2107" i="7"/>
  <c r="J2107" i="7"/>
  <c r="I2107" i="7"/>
  <c r="H2107" i="7"/>
  <c r="G2107" i="7"/>
  <c r="F2107" i="7"/>
  <c r="E2107" i="7"/>
  <c r="D2107" i="7"/>
  <c r="C2107" i="7"/>
  <c r="O2103" i="7"/>
  <c r="N2103" i="7"/>
  <c r="M2103" i="7"/>
  <c r="L2103" i="7"/>
  <c r="K2103" i="7"/>
  <c r="J2103" i="7"/>
  <c r="I2103" i="7"/>
  <c r="G2103" i="7"/>
  <c r="F2103" i="7"/>
  <c r="E2103" i="7"/>
  <c r="D2103" i="7"/>
  <c r="C2103" i="7"/>
  <c r="O2102" i="7"/>
  <c r="N2102" i="7"/>
  <c r="M2102" i="7"/>
  <c r="L2102" i="7"/>
  <c r="K2102" i="7"/>
  <c r="J2102" i="7"/>
  <c r="I2102" i="7"/>
  <c r="H2102" i="7"/>
  <c r="G2102" i="7"/>
  <c r="F2102" i="7"/>
  <c r="E2102" i="7"/>
  <c r="D2102" i="7"/>
  <c r="C2102" i="7"/>
  <c r="O2101" i="7"/>
  <c r="N2101" i="7"/>
  <c r="M2101" i="7"/>
  <c r="L2101" i="7"/>
  <c r="K2101" i="7"/>
  <c r="J2101" i="7"/>
  <c r="I2101" i="7"/>
  <c r="H2101" i="7"/>
  <c r="G2101" i="7"/>
  <c r="F2101" i="7"/>
  <c r="E2101" i="7"/>
  <c r="D2101" i="7"/>
  <c r="C2101" i="7"/>
  <c r="O2100" i="7"/>
  <c r="N2100" i="7"/>
  <c r="M2100" i="7"/>
  <c r="L2100" i="7"/>
  <c r="K2100" i="7"/>
  <c r="J2100" i="7"/>
  <c r="I2100" i="7"/>
  <c r="H2100" i="7"/>
  <c r="G2100" i="7"/>
  <c r="F2100" i="7"/>
  <c r="E2100" i="7"/>
  <c r="D2100" i="7"/>
  <c r="C2100" i="7"/>
  <c r="O2099" i="7"/>
  <c r="N2099" i="7"/>
  <c r="M2099" i="7"/>
  <c r="L2099" i="7"/>
  <c r="K2099" i="7"/>
  <c r="J2099" i="7"/>
  <c r="I2099" i="7"/>
  <c r="H2099" i="7"/>
  <c r="G2099" i="7"/>
  <c r="F2099" i="7"/>
  <c r="E2099" i="7"/>
  <c r="D2099" i="7"/>
  <c r="C2099" i="7"/>
  <c r="O2098" i="7"/>
  <c r="N2098" i="7"/>
  <c r="M2098" i="7"/>
  <c r="L2098" i="7"/>
  <c r="K2098" i="7"/>
  <c r="J2098" i="7"/>
  <c r="I2098" i="7"/>
  <c r="H2098" i="7"/>
  <c r="G2098" i="7"/>
  <c r="F2098" i="7"/>
  <c r="E2098" i="7"/>
  <c r="D2098" i="7"/>
  <c r="C2098" i="7"/>
  <c r="O2097" i="7"/>
  <c r="N2097" i="7"/>
  <c r="M2097" i="7"/>
  <c r="L2097" i="7"/>
  <c r="K2097" i="7"/>
  <c r="J2097" i="7"/>
  <c r="I2097" i="7"/>
  <c r="H2097" i="7"/>
  <c r="G2097" i="7"/>
  <c r="F2097" i="7"/>
  <c r="E2097" i="7"/>
  <c r="D2097" i="7"/>
  <c r="C2097" i="7"/>
  <c r="O2096" i="7"/>
  <c r="N2096" i="7"/>
  <c r="M2096" i="7"/>
  <c r="L2096" i="7"/>
  <c r="K2096" i="7"/>
  <c r="J2096" i="7"/>
  <c r="I2096" i="7"/>
  <c r="H2096" i="7"/>
  <c r="G2096" i="7"/>
  <c r="F2096" i="7"/>
  <c r="E2096" i="7"/>
  <c r="D2096" i="7"/>
  <c r="C2096" i="7"/>
  <c r="O2095" i="7"/>
  <c r="N2095" i="7"/>
  <c r="M2095" i="7"/>
  <c r="L2095" i="7"/>
  <c r="K2095" i="7"/>
  <c r="J2095" i="7"/>
  <c r="I2095" i="7"/>
  <c r="H2095" i="7"/>
  <c r="G2095" i="7"/>
  <c r="F2095" i="7"/>
  <c r="E2095" i="7"/>
  <c r="D2095" i="7"/>
  <c r="C2095" i="7"/>
  <c r="O2094" i="7"/>
  <c r="N2094" i="7"/>
  <c r="M2094" i="7"/>
  <c r="L2094" i="7"/>
  <c r="K2094" i="7"/>
  <c r="J2094" i="7"/>
  <c r="I2094" i="7"/>
  <c r="H2094" i="7"/>
  <c r="G2094" i="7"/>
  <c r="F2094" i="7"/>
  <c r="E2094" i="7"/>
  <c r="D2094" i="7"/>
  <c r="C2094" i="7"/>
  <c r="O2093" i="7"/>
  <c r="N2093" i="7"/>
  <c r="M2093" i="7"/>
  <c r="L2093" i="7"/>
  <c r="K2093" i="7"/>
  <c r="J2093" i="7"/>
  <c r="I2093" i="7"/>
  <c r="H2093" i="7"/>
  <c r="G2093" i="7"/>
  <c r="F2093" i="7"/>
  <c r="E2093" i="7"/>
  <c r="D2093" i="7"/>
  <c r="C2093" i="7"/>
  <c r="O2092" i="7"/>
  <c r="N2092" i="7"/>
  <c r="M2092" i="7"/>
  <c r="L2092" i="7"/>
  <c r="K2092" i="7"/>
  <c r="J2092" i="7"/>
  <c r="I2092" i="7"/>
  <c r="H2092" i="7"/>
  <c r="G2092" i="7"/>
  <c r="F2092" i="7"/>
  <c r="E2092" i="7"/>
  <c r="D2092" i="7"/>
  <c r="C2092" i="7"/>
  <c r="O2091" i="7"/>
  <c r="N2091" i="7"/>
  <c r="M2091" i="7"/>
  <c r="L2091" i="7"/>
  <c r="K2091" i="7"/>
  <c r="J2091" i="7"/>
  <c r="I2091" i="7"/>
  <c r="H2091" i="7"/>
  <c r="G2091" i="7"/>
  <c r="F2091" i="7"/>
  <c r="E2091" i="7"/>
  <c r="D2091" i="7"/>
  <c r="C2091" i="7"/>
  <c r="O2090" i="7"/>
  <c r="N2090" i="7"/>
  <c r="M2090" i="7"/>
  <c r="L2090" i="7"/>
  <c r="K2090" i="7"/>
  <c r="J2090" i="7"/>
  <c r="I2090" i="7"/>
  <c r="H2090" i="7"/>
  <c r="G2090" i="7"/>
  <c r="F2090" i="7"/>
  <c r="E2090" i="7"/>
  <c r="D2090" i="7"/>
  <c r="C2090" i="7"/>
  <c r="O2089" i="7"/>
  <c r="N2089" i="7"/>
  <c r="M2089" i="7"/>
  <c r="L2089" i="7"/>
  <c r="K2089" i="7"/>
  <c r="J2089" i="7"/>
  <c r="I2089" i="7"/>
  <c r="H2089" i="7"/>
  <c r="G2089" i="7"/>
  <c r="F2089" i="7"/>
  <c r="E2089" i="7"/>
  <c r="D2089" i="7"/>
  <c r="C2089" i="7"/>
  <c r="O2088" i="7"/>
  <c r="N2088" i="7"/>
  <c r="M2088" i="7"/>
  <c r="L2088" i="7"/>
  <c r="K2088" i="7"/>
  <c r="J2088" i="7"/>
  <c r="I2088" i="7"/>
  <c r="H2088" i="7"/>
  <c r="G2088" i="7"/>
  <c r="F2088" i="7"/>
  <c r="E2088" i="7"/>
  <c r="D2088" i="7"/>
  <c r="C2088" i="7"/>
  <c r="O2087" i="7"/>
  <c r="N2087" i="7"/>
  <c r="M2087" i="7"/>
  <c r="L2087" i="7"/>
  <c r="K2087" i="7"/>
  <c r="J2087" i="7"/>
  <c r="I2087" i="7"/>
  <c r="H2087" i="7"/>
  <c r="G2087" i="7"/>
  <c r="F2087" i="7"/>
  <c r="E2087" i="7"/>
  <c r="D2087" i="7"/>
  <c r="C2087" i="7"/>
  <c r="O2086" i="7"/>
  <c r="N2086" i="7"/>
  <c r="M2086" i="7"/>
  <c r="L2086" i="7"/>
  <c r="K2086" i="7"/>
  <c r="J2086" i="7"/>
  <c r="I2086" i="7"/>
  <c r="H2086" i="7"/>
  <c r="G2086" i="7"/>
  <c r="F2086" i="7"/>
  <c r="E2086" i="7"/>
  <c r="D2086" i="7"/>
  <c r="C2086" i="7"/>
  <c r="O2085" i="7"/>
  <c r="N2085" i="7"/>
  <c r="M2085" i="7"/>
  <c r="L2085" i="7"/>
  <c r="K2085" i="7"/>
  <c r="J2085" i="7"/>
  <c r="I2085" i="7"/>
  <c r="H2085" i="7"/>
  <c r="G2085" i="7"/>
  <c r="F2085" i="7"/>
  <c r="E2085" i="7"/>
  <c r="D2085" i="7"/>
  <c r="C2085" i="7"/>
  <c r="O2084" i="7"/>
  <c r="N2084" i="7"/>
  <c r="M2084" i="7"/>
  <c r="L2084" i="7"/>
  <c r="K2084" i="7"/>
  <c r="J2084" i="7"/>
  <c r="I2084" i="7"/>
  <c r="H2084" i="7"/>
  <c r="G2084" i="7"/>
  <c r="F2084" i="7"/>
  <c r="E2084" i="7"/>
  <c r="D2084" i="7"/>
  <c r="C2084" i="7"/>
  <c r="O2083" i="7"/>
  <c r="N2083" i="7"/>
  <c r="M2083" i="7"/>
  <c r="L2083" i="7"/>
  <c r="K2083" i="7"/>
  <c r="J2083" i="7"/>
  <c r="I2083" i="7"/>
  <c r="H2083" i="7"/>
  <c r="G2083" i="7"/>
  <c r="F2083" i="7"/>
  <c r="E2083" i="7"/>
  <c r="D2083" i="7"/>
  <c r="C2083" i="7"/>
  <c r="O2082" i="7"/>
  <c r="N2082" i="7"/>
  <c r="M2082" i="7"/>
  <c r="L2082" i="7"/>
  <c r="K2082" i="7"/>
  <c r="J2082" i="7"/>
  <c r="I2082" i="7"/>
  <c r="H2082" i="7"/>
  <c r="G2082" i="7"/>
  <c r="F2082" i="7"/>
  <c r="E2082" i="7"/>
  <c r="D2082" i="7"/>
  <c r="C2082" i="7"/>
  <c r="O2081" i="7"/>
  <c r="N2081" i="7"/>
  <c r="M2081" i="7"/>
  <c r="L2081" i="7"/>
  <c r="K2081" i="7"/>
  <c r="J2081" i="7"/>
  <c r="I2081" i="7"/>
  <c r="H2081" i="7"/>
  <c r="G2081" i="7"/>
  <c r="F2081" i="7"/>
  <c r="E2081" i="7"/>
  <c r="D2081" i="7"/>
  <c r="C2081" i="7"/>
  <c r="O2080" i="7"/>
  <c r="N2080" i="7"/>
  <c r="M2080" i="7"/>
  <c r="L2080" i="7"/>
  <c r="K2080" i="7"/>
  <c r="J2080" i="7"/>
  <c r="I2080" i="7"/>
  <c r="H2080" i="7"/>
  <c r="G2080" i="7"/>
  <c r="F2080" i="7"/>
  <c r="E2080" i="7"/>
  <c r="D2080" i="7"/>
  <c r="C2080" i="7"/>
  <c r="O2079" i="7"/>
  <c r="N2079" i="7"/>
  <c r="M2079" i="7"/>
  <c r="L2079" i="7"/>
  <c r="K2079" i="7"/>
  <c r="J2079" i="7"/>
  <c r="I2079" i="7"/>
  <c r="H2079" i="7"/>
  <c r="G2079" i="7"/>
  <c r="F2079" i="7"/>
  <c r="E2079" i="7"/>
  <c r="D2079" i="7"/>
  <c r="C2079" i="7"/>
  <c r="O2078" i="7"/>
  <c r="N2078" i="7"/>
  <c r="M2078" i="7"/>
  <c r="L2078" i="7"/>
  <c r="K2078" i="7"/>
  <c r="J2078" i="7"/>
  <c r="I2078" i="7"/>
  <c r="H2078" i="7"/>
  <c r="G2078" i="7"/>
  <c r="F2078" i="7"/>
  <c r="E2078" i="7"/>
  <c r="D2078" i="7"/>
  <c r="C2078" i="7"/>
  <c r="O2077" i="7"/>
  <c r="N2077" i="7"/>
  <c r="M2077" i="7"/>
  <c r="L2077" i="7"/>
  <c r="K2077" i="7"/>
  <c r="J2077" i="7"/>
  <c r="I2077" i="7"/>
  <c r="H2077" i="7"/>
  <c r="G2077" i="7"/>
  <c r="F2077" i="7"/>
  <c r="E2077" i="7"/>
  <c r="D2077" i="7"/>
  <c r="C2077" i="7"/>
  <c r="O2076" i="7"/>
  <c r="N2076" i="7"/>
  <c r="M2076" i="7"/>
  <c r="L2076" i="7"/>
  <c r="K2076" i="7"/>
  <c r="J2076" i="7"/>
  <c r="I2076" i="7"/>
  <c r="H2076" i="7"/>
  <c r="G2076" i="7"/>
  <c r="F2076" i="7"/>
  <c r="E2076" i="7"/>
  <c r="D2076" i="7"/>
  <c r="C2076" i="7"/>
  <c r="O2075" i="7"/>
  <c r="N2075" i="7"/>
  <c r="M2075" i="7"/>
  <c r="L2075" i="7"/>
  <c r="K2075" i="7"/>
  <c r="J2075" i="7"/>
  <c r="I2075" i="7"/>
  <c r="H2075" i="7"/>
  <c r="G2075" i="7"/>
  <c r="F2075" i="7"/>
  <c r="E2075" i="7"/>
  <c r="D2075" i="7"/>
  <c r="C2075" i="7"/>
  <c r="O2074" i="7"/>
  <c r="N2074" i="7"/>
  <c r="M2074" i="7"/>
  <c r="L2074" i="7"/>
  <c r="K2074" i="7"/>
  <c r="J2074" i="7"/>
  <c r="I2074" i="7"/>
  <c r="H2074" i="7"/>
  <c r="G2074" i="7"/>
  <c r="F2074" i="7"/>
  <c r="E2074" i="7"/>
  <c r="D2074" i="7"/>
  <c r="C2074" i="7"/>
  <c r="O2073" i="7"/>
  <c r="N2073" i="7"/>
  <c r="M2073" i="7"/>
  <c r="L2073" i="7"/>
  <c r="K2073" i="7"/>
  <c r="J2073" i="7"/>
  <c r="I2073" i="7"/>
  <c r="H2073" i="7"/>
  <c r="G2073" i="7"/>
  <c r="F2073" i="7"/>
  <c r="E2073" i="7"/>
  <c r="D2073" i="7"/>
  <c r="C2073" i="7"/>
  <c r="O2072" i="7"/>
  <c r="N2072" i="7"/>
  <c r="M2072" i="7"/>
  <c r="L2072" i="7"/>
  <c r="K2072" i="7"/>
  <c r="J2072" i="7"/>
  <c r="I2072" i="7"/>
  <c r="H2072" i="7"/>
  <c r="G2072" i="7"/>
  <c r="F2072" i="7"/>
  <c r="E2072" i="7"/>
  <c r="D2072" i="7"/>
  <c r="C2072" i="7"/>
  <c r="O2071" i="7"/>
  <c r="N2071" i="7"/>
  <c r="M2071" i="7"/>
  <c r="L2071" i="7"/>
  <c r="K2071" i="7"/>
  <c r="J2071" i="7"/>
  <c r="I2071" i="7"/>
  <c r="H2071" i="7"/>
  <c r="G2071" i="7"/>
  <c r="F2071" i="7"/>
  <c r="E2071" i="7"/>
  <c r="D2071" i="7"/>
  <c r="C2071" i="7"/>
  <c r="O2070" i="7"/>
  <c r="N2070" i="7"/>
  <c r="M2070" i="7"/>
  <c r="L2070" i="7"/>
  <c r="K2070" i="7"/>
  <c r="J2070" i="7"/>
  <c r="I2070" i="7"/>
  <c r="H2070" i="7"/>
  <c r="G2070" i="7"/>
  <c r="F2070" i="7"/>
  <c r="E2070" i="7"/>
  <c r="D2070" i="7"/>
  <c r="C2070" i="7"/>
  <c r="O2069" i="7"/>
  <c r="N2069" i="7"/>
  <c r="M2069" i="7"/>
  <c r="L2069" i="7"/>
  <c r="K2069" i="7"/>
  <c r="J2069" i="7"/>
  <c r="I2069" i="7"/>
  <c r="H2069" i="7"/>
  <c r="G2069" i="7"/>
  <c r="F2069" i="7"/>
  <c r="E2069" i="7"/>
  <c r="D2069" i="7"/>
  <c r="C2069" i="7"/>
  <c r="O2068" i="7"/>
  <c r="N2068" i="7"/>
  <c r="M2068" i="7"/>
  <c r="L2068" i="7"/>
  <c r="K2068" i="7"/>
  <c r="J2068" i="7"/>
  <c r="I2068" i="7"/>
  <c r="H2068" i="7"/>
  <c r="G2068" i="7"/>
  <c r="F2068" i="7"/>
  <c r="E2068" i="7"/>
  <c r="D2068" i="7"/>
  <c r="C2068" i="7"/>
  <c r="O2067" i="7"/>
  <c r="N2067" i="7"/>
  <c r="M2067" i="7"/>
  <c r="L2067" i="7"/>
  <c r="K2067" i="7"/>
  <c r="J2067" i="7"/>
  <c r="I2067" i="7"/>
  <c r="H2067" i="7"/>
  <c r="G2067" i="7"/>
  <c r="F2067" i="7"/>
  <c r="E2067" i="7"/>
  <c r="D2067" i="7"/>
  <c r="C2067" i="7"/>
  <c r="O2066" i="7"/>
  <c r="N2066" i="7"/>
  <c r="M2066" i="7"/>
  <c r="L2066" i="7"/>
  <c r="K2066" i="7"/>
  <c r="J2066" i="7"/>
  <c r="I2066" i="7"/>
  <c r="H2066" i="7"/>
  <c r="G2066" i="7"/>
  <c r="F2066" i="7"/>
  <c r="E2066" i="7"/>
  <c r="D2066" i="7"/>
  <c r="C2066" i="7"/>
  <c r="O2065" i="7"/>
  <c r="N2065" i="7"/>
  <c r="M2065" i="7"/>
  <c r="L2065" i="7"/>
  <c r="K2065" i="7"/>
  <c r="J2065" i="7"/>
  <c r="I2065" i="7"/>
  <c r="H2065" i="7"/>
  <c r="G2065" i="7"/>
  <c r="F2065" i="7"/>
  <c r="E2065" i="7"/>
  <c r="D2065" i="7"/>
  <c r="C2065" i="7"/>
  <c r="O2064" i="7"/>
  <c r="N2064" i="7"/>
  <c r="M2064" i="7"/>
  <c r="L2064" i="7"/>
  <c r="K2064" i="7"/>
  <c r="J2064" i="7"/>
  <c r="I2064" i="7"/>
  <c r="H2064" i="7"/>
  <c r="G2064" i="7"/>
  <c r="F2064" i="7"/>
  <c r="E2064" i="7"/>
  <c r="D2064" i="7"/>
  <c r="C2064" i="7"/>
  <c r="O2063" i="7"/>
  <c r="N2063" i="7"/>
  <c r="M2063" i="7"/>
  <c r="L2063" i="7"/>
  <c r="K2063" i="7"/>
  <c r="J2063" i="7"/>
  <c r="I2063" i="7"/>
  <c r="H2063" i="7"/>
  <c r="G2063" i="7"/>
  <c r="F2063" i="7"/>
  <c r="E2063" i="7"/>
  <c r="D2063" i="7"/>
  <c r="C2063" i="7"/>
  <c r="O2062" i="7"/>
  <c r="N2062" i="7"/>
  <c r="M2062" i="7"/>
  <c r="L2062" i="7"/>
  <c r="K2062" i="7"/>
  <c r="J2062" i="7"/>
  <c r="I2062" i="7"/>
  <c r="H2062" i="7"/>
  <c r="G2062" i="7"/>
  <c r="F2062" i="7"/>
  <c r="E2062" i="7"/>
  <c r="D2062" i="7"/>
  <c r="C2062" i="7"/>
  <c r="O2061" i="7"/>
  <c r="N2061" i="7"/>
  <c r="M2061" i="7"/>
  <c r="L2061" i="7"/>
  <c r="K2061" i="7"/>
  <c r="J2061" i="7"/>
  <c r="I2061" i="7"/>
  <c r="H2061" i="7"/>
  <c r="G2061" i="7"/>
  <c r="F2061" i="7"/>
  <c r="E2061" i="7"/>
  <c r="D2061" i="7"/>
  <c r="C2061" i="7"/>
  <c r="O2060" i="7"/>
  <c r="N2060" i="7"/>
  <c r="M2060" i="7"/>
  <c r="L2060" i="7"/>
  <c r="K2060" i="7"/>
  <c r="J2060" i="7"/>
  <c r="I2060" i="7"/>
  <c r="H2060" i="7"/>
  <c r="G2060" i="7"/>
  <c r="F2060" i="7"/>
  <c r="E2060" i="7"/>
  <c r="D2060" i="7"/>
  <c r="C2060" i="7"/>
  <c r="O2059" i="7"/>
  <c r="N2059" i="7"/>
  <c r="M2059" i="7"/>
  <c r="L2059" i="7"/>
  <c r="K2059" i="7"/>
  <c r="J2059" i="7"/>
  <c r="I2059" i="7"/>
  <c r="H2059" i="7"/>
  <c r="G2059" i="7"/>
  <c r="F2059" i="7"/>
  <c r="E2059" i="7"/>
  <c r="D2059" i="7"/>
  <c r="C2059" i="7"/>
  <c r="O2058" i="7"/>
  <c r="N2058" i="7"/>
  <c r="M2058" i="7"/>
  <c r="L2058" i="7"/>
  <c r="K2058" i="7"/>
  <c r="J2058" i="7"/>
  <c r="I2058" i="7"/>
  <c r="H2058" i="7"/>
  <c r="G2058" i="7"/>
  <c r="F2058" i="7"/>
  <c r="E2058" i="7"/>
  <c r="D2058" i="7"/>
  <c r="C2058" i="7"/>
  <c r="O2057" i="7"/>
  <c r="N2057" i="7"/>
  <c r="M2057" i="7"/>
  <c r="L2057" i="7"/>
  <c r="K2057" i="7"/>
  <c r="J2057" i="7"/>
  <c r="I2057" i="7"/>
  <c r="H2057" i="7"/>
  <c r="G2057" i="7"/>
  <c r="F2057" i="7"/>
  <c r="E2057" i="7"/>
  <c r="D2057" i="7"/>
  <c r="C2057" i="7"/>
  <c r="O2056" i="7"/>
  <c r="N2056" i="7"/>
  <c r="M2056" i="7"/>
  <c r="L2056" i="7"/>
  <c r="K2056" i="7"/>
  <c r="J2056" i="7"/>
  <c r="I2056" i="7"/>
  <c r="H2056" i="7"/>
  <c r="G2056" i="7"/>
  <c r="F2056" i="7"/>
  <c r="E2056" i="7"/>
  <c r="D2056" i="7"/>
  <c r="C2056" i="7"/>
  <c r="O2055" i="7"/>
  <c r="N2055" i="7"/>
  <c r="M2055" i="7"/>
  <c r="L2055" i="7"/>
  <c r="K2055" i="7"/>
  <c r="J2055" i="7"/>
  <c r="I2055" i="7"/>
  <c r="H2055" i="7"/>
  <c r="G2055" i="7"/>
  <c r="F2055" i="7"/>
  <c r="E2055" i="7"/>
  <c r="D2055" i="7"/>
  <c r="C2055" i="7"/>
  <c r="O2054" i="7"/>
  <c r="N2054" i="7"/>
  <c r="M2054" i="7"/>
  <c r="L2054" i="7"/>
  <c r="K2054" i="7"/>
  <c r="J2054" i="7"/>
  <c r="I2054" i="7"/>
  <c r="H2054" i="7"/>
  <c r="G2054" i="7"/>
  <c r="F2054" i="7"/>
  <c r="E2054" i="7"/>
  <c r="D2054" i="7"/>
  <c r="C2054" i="7"/>
  <c r="O2053" i="7"/>
  <c r="N2053" i="7"/>
  <c r="M2053" i="7"/>
  <c r="L2053" i="7"/>
  <c r="K2053" i="7"/>
  <c r="J2053" i="7"/>
  <c r="I2053" i="7"/>
  <c r="H2053" i="7"/>
  <c r="G2053" i="7"/>
  <c r="F2053" i="7"/>
  <c r="E2053" i="7"/>
  <c r="D2053" i="7"/>
  <c r="C2053" i="7"/>
  <c r="O2052" i="7"/>
  <c r="N2052" i="7"/>
  <c r="M2052" i="7"/>
  <c r="L2052" i="7"/>
  <c r="K2052" i="7"/>
  <c r="J2052" i="7"/>
  <c r="I2052" i="7"/>
  <c r="H2052" i="7"/>
  <c r="G2052" i="7"/>
  <c r="F2052" i="7"/>
  <c r="E2052" i="7"/>
  <c r="D2052" i="7"/>
  <c r="C2052" i="7"/>
  <c r="O2051" i="7"/>
  <c r="N2051" i="7"/>
  <c r="M2051" i="7"/>
  <c r="L2051" i="7"/>
  <c r="K2051" i="7"/>
  <c r="J2051" i="7"/>
  <c r="I2051" i="7"/>
  <c r="H2051" i="7"/>
  <c r="G2051" i="7"/>
  <c r="F2051" i="7"/>
  <c r="E2051" i="7"/>
  <c r="D2051" i="7"/>
  <c r="C2051" i="7"/>
  <c r="O2050" i="7"/>
  <c r="N2050" i="7"/>
  <c r="M2050" i="7"/>
  <c r="L2050" i="7"/>
  <c r="K2050" i="7"/>
  <c r="J2050" i="7"/>
  <c r="I2050" i="7"/>
  <c r="H2050" i="7"/>
  <c r="G2050" i="7"/>
  <c r="F2050" i="7"/>
  <c r="E2050" i="7"/>
  <c r="D2050" i="7"/>
  <c r="C2050" i="7"/>
  <c r="O2049" i="7"/>
  <c r="N2049" i="7"/>
  <c r="M2049" i="7"/>
  <c r="L2049" i="7"/>
  <c r="K2049" i="7"/>
  <c r="J2049" i="7"/>
  <c r="I2049" i="7"/>
  <c r="H2049" i="7"/>
  <c r="G2049" i="7"/>
  <c r="F2049" i="7"/>
  <c r="E2049" i="7"/>
  <c r="D2049" i="7"/>
  <c r="C2049" i="7"/>
  <c r="O2048" i="7"/>
  <c r="N2048" i="7"/>
  <c r="M2048" i="7"/>
  <c r="L2048" i="7"/>
  <c r="K2048" i="7"/>
  <c r="J2048" i="7"/>
  <c r="I2048" i="7"/>
  <c r="H2048" i="7"/>
  <c r="G2048" i="7"/>
  <c r="F2048" i="7"/>
  <c r="E2048" i="7"/>
  <c r="D2048" i="7"/>
  <c r="C2048" i="7"/>
  <c r="O2047" i="7"/>
  <c r="N2047" i="7"/>
  <c r="M2047" i="7"/>
  <c r="L2047" i="7"/>
  <c r="K2047" i="7"/>
  <c r="J2047" i="7"/>
  <c r="I2047" i="7"/>
  <c r="H2047" i="7"/>
  <c r="G2047" i="7"/>
  <c r="F2047" i="7"/>
  <c r="E2047" i="7"/>
  <c r="D2047" i="7"/>
  <c r="C2047" i="7"/>
  <c r="O2046" i="7"/>
  <c r="N2046" i="7"/>
  <c r="M2046" i="7"/>
  <c r="L2046" i="7"/>
  <c r="K2046" i="7"/>
  <c r="J2046" i="7"/>
  <c r="I2046" i="7"/>
  <c r="H2046" i="7"/>
  <c r="G2046" i="7"/>
  <c r="F2046" i="7"/>
  <c r="E2046" i="7"/>
  <c r="D2046" i="7"/>
  <c r="C2046" i="7"/>
  <c r="O2045" i="7"/>
  <c r="N2045" i="7"/>
  <c r="M2045" i="7"/>
  <c r="L2045" i="7"/>
  <c r="K2045" i="7"/>
  <c r="J2045" i="7"/>
  <c r="I2045" i="7"/>
  <c r="H2045" i="7"/>
  <c r="G2045" i="7"/>
  <c r="F2045" i="7"/>
  <c r="E2045" i="7"/>
  <c r="D2045" i="7"/>
  <c r="C2045" i="7"/>
  <c r="O2044" i="7"/>
  <c r="N2044" i="7"/>
  <c r="M2044" i="7"/>
  <c r="L2044" i="7"/>
  <c r="K2044" i="7"/>
  <c r="J2044" i="7"/>
  <c r="I2044" i="7"/>
  <c r="H2044" i="7"/>
  <c r="G2044" i="7"/>
  <c r="F2044" i="7"/>
  <c r="E2044" i="7"/>
  <c r="D2044" i="7"/>
  <c r="C2044" i="7"/>
  <c r="O2043" i="7"/>
  <c r="N2043" i="7"/>
  <c r="M2043" i="7"/>
  <c r="L2043" i="7"/>
  <c r="K2043" i="7"/>
  <c r="J2043" i="7"/>
  <c r="I2043" i="7"/>
  <c r="H2043" i="7"/>
  <c r="G2043" i="7"/>
  <c r="F2043" i="7"/>
  <c r="E2043" i="7"/>
  <c r="D2043" i="7"/>
  <c r="C2043" i="7"/>
  <c r="O2042" i="7"/>
  <c r="N2042" i="7"/>
  <c r="M2042" i="7"/>
  <c r="L2042" i="7"/>
  <c r="K2042" i="7"/>
  <c r="J2042" i="7"/>
  <c r="I2042" i="7"/>
  <c r="H2042" i="7"/>
  <c r="G2042" i="7"/>
  <c r="F2042" i="7"/>
  <c r="E2042" i="7"/>
  <c r="D2042" i="7"/>
  <c r="C2042" i="7"/>
  <c r="O2041" i="7"/>
  <c r="N2041" i="7"/>
  <c r="M2041" i="7"/>
  <c r="L2041" i="7"/>
  <c r="K2041" i="7"/>
  <c r="J2041" i="7"/>
  <c r="I2041" i="7"/>
  <c r="H2041" i="7"/>
  <c r="G2041" i="7"/>
  <c r="F2041" i="7"/>
  <c r="E2041" i="7"/>
  <c r="D2041" i="7"/>
  <c r="C2041" i="7"/>
  <c r="O2040" i="7"/>
  <c r="N2040" i="7"/>
  <c r="M2040" i="7"/>
  <c r="L2040" i="7"/>
  <c r="K2040" i="7"/>
  <c r="J2040" i="7"/>
  <c r="I2040" i="7"/>
  <c r="H2040" i="7"/>
  <c r="G2040" i="7"/>
  <c r="F2040" i="7"/>
  <c r="E2040" i="7"/>
  <c r="D2040" i="7"/>
  <c r="C2040" i="7"/>
  <c r="O2039" i="7"/>
  <c r="N2039" i="7"/>
  <c r="M2039" i="7"/>
  <c r="L2039" i="7"/>
  <c r="K2039" i="7"/>
  <c r="J2039" i="7"/>
  <c r="I2039" i="7"/>
  <c r="H2039" i="7"/>
  <c r="G2039" i="7"/>
  <c r="F2039" i="7"/>
  <c r="E2039" i="7"/>
  <c r="D2039" i="7"/>
  <c r="C2039" i="7"/>
  <c r="O2038" i="7"/>
  <c r="N2038" i="7"/>
  <c r="M2038" i="7"/>
  <c r="L2038" i="7"/>
  <c r="K2038" i="7"/>
  <c r="J2038" i="7"/>
  <c r="I2038" i="7"/>
  <c r="H2038" i="7"/>
  <c r="G2038" i="7"/>
  <c r="F2038" i="7"/>
  <c r="E2038" i="7"/>
  <c r="D2038" i="7"/>
  <c r="C2038" i="7"/>
  <c r="O2037" i="7"/>
  <c r="N2037" i="7"/>
  <c r="M2037" i="7"/>
  <c r="L2037" i="7"/>
  <c r="K2037" i="7"/>
  <c r="J2037" i="7"/>
  <c r="I2037" i="7"/>
  <c r="H2037" i="7"/>
  <c r="G2037" i="7"/>
  <c r="F2037" i="7"/>
  <c r="E2037" i="7"/>
  <c r="D2037" i="7"/>
  <c r="C2037" i="7"/>
  <c r="O2036" i="7"/>
  <c r="N2036" i="7"/>
  <c r="M2036" i="7"/>
  <c r="L2036" i="7"/>
  <c r="K2036" i="7"/>
  <c r="J2036" i="7"/>
  <c r="I2036" i="7"/>
  <c r="H2036" i="7"/>
  <c r="G2036" i="7"/>
  <c r="F2036" i="7"/>
  <c r="E2036" i="7"/>
  <c r="D2036" i="7"/>
  <c r="C2036" i="7"/>
  <c r="O2035" i="7"/>
  <c r="N2035" i="7"/>
  <c r="M2035" i="7"/>
  <c r="L2035" i="7"/>
  <c r="K2035" i="7"/>
  <c r="J2035" i="7"/>
  <c r="I2035" i="7"/>
  <c r="H2035" i="7"/>
  <c r="G2035" i="7"/>
  <c r="F2035" i="7"/>
  <c r="E2035" i="7"/>
  <c r="D2035" i="7"/>
  <c r="C2035" i="7"/>
  <c r="O2034" i="7"/>
  <c r="N2034" i="7"/>
  <c r="M2034" i="7"/>
  <c r="L2034" i="7"/>
  <c r="K2034" i="7"/>
  <c r="J2034" i="7"/>
  <c r="I2034" i="7"/>
  <c r="H2034" i="7"/>
  <c r="G2034" i="7"/>
  <c r="F2034" i="7"/>
  <c r="E2034" i="7"/>
  <c r="D2034" i="7"/>
  <c r="C2034" i="7"/>
  <c r="O2033" i="7"/>
  <c r="N2033" i="7"/>
  <c r="M2033" i="7"/>
  <c r="L2033" i="7"/>
  <c r="K2033" i="7"/>
  <c r="J2033" i="7"/>
  <c r="I2033" i="7"/>
  <c r="H2033" i="7"/>
  <c r="G2033" i="7"/>
  <c r="F2033" i="7"/>
  <c r="E2033" i="7"/>
  <c r="D2033" i="7"/>
  <c r="C2033" i="7"/>
  <c r="O2032" i="7"/>
  <c r="N2032" i="7"/>
  <c r="M2032" i="7"/>
  <c r="L2032" i="7"/>
  <c r="K2032" i="7"/>
  <c r="J2032" i="7"/>
  <c r="I2032" i="7"/>
  <c r="H2032" i="7"/>
  <c r="G2032" i="7"/>
  <c r="F2032" i="7"/>
  <c r="E2032" i="7"/>
  <c r="D2032" i="7"/>
  <c r="C2032" i="7"/>
  <c r="O2031" i="7"/>
  <c r="N2031" i="7"/>
  <c r="M2031" i="7"/>
  <c r="L2031" i="7"/>
  <c r="K2031" i="7"/>
  <c r="J2031" i="7"/>
  <c r="I2031" i="7"/>
  <c r="H2031" i="7"/>
  <c r="G2031" i="7"/>
  <c r="F2031" i="7"/>
  <c r="E2031" i="7"/>
  <c r="D2031" i="7"/>
  <c r="C2031" i="7"/>
  <c r="O2030" i="7"/>
  <c r="N2030" i="7"/>
  <c r="M2030" i="7"/>
  <c r="L2030" i="7"/>
  <c r="K2030" i="7"/>
  <c r="J2030" i="7"/>
  <c r="I2030" i="7"/>
  <c r="H2030" i="7"/>
  <c r="G2030" i="7"/>
  <c r="F2030" i="7"/>
  <c r="E2030" i="7"/>
  <c r="D2030" i="7"/>
  <c r="C2030" i="7"/>
  <c r="O2029" i="7"/>
  <c r="N2029" i="7"/>
  <c r="M2029" i="7"/>
  <c r="L2029" i="7"/>
  <c r="K2029" i="7"/>
  <c r="J2029" i="7"/>
  <c r="I2029" i="7"/>
  <c r="H2029" i="7"/>
  <c r="G2029" i="7"/>
  <c r="F2029" i="7"/>
  <c r="E2029" i="7"/>
  <c r="D2029" i="7"/>
  <c r="C2029" i="7"/>
  <c r="O2028" i="7"/>
  <c r="N2028" i="7"/>
  <c r="M2028" i="7"/>
  <c r="L2028" i="7"/>
  <c r="K2028" i="7"/>
  <c r="J2028" i="7"/>
  <c r="I2028" i="7"/>
  <c r="H2028" i="7"/>
  <c r="G2028" i="7"/>
  <c r="F2028" i="7"/>
  <c r="E2028" i="7"/>
  <c r="D2028" i="7"/>
  <c r="C2028" i="7"/>
  <c r="O2027" i="7"/>
  <c r="N2027" i="7"/>
  <c r="M2027" i="7"/>
  <c r="L2027" i="7"/>
  <c r="K2027" i="7"/>
  <c r="J2027" i="7"/>
  <c r="I2027" i="7"/>
  <c r="H2027" i="7"/>
  <c r="G2027" i="7"/>
  <c r="F2027" i="7"/>
  <c r="E2027" i="7"/>
  <c r="D2027" i="7"/>
  <c r="C2027" i="7"/>
  <c r="O2026" i="7"/>
  <c r="N2026" i="7"/>
  <c r="M2026" i="7"/>
  <c r="L2026" i="7"/>
  <c r="K2026" i="7"/>
  <c r="J2026" i="7"/>
  <c r="I2026" i="7"/>
  <c r="H2026" i="7"/>
  <c r="G2026" i="7"/>
  <c r="F2026" i="7"/>
  <c r="E2026" i="7"/>
  <c r="D2026" i="7"/>
  <c r="C2026" i="7"/>
  <c r="O2025" i="7"/>
  <c r="N2025" i="7"/>
  <c r="M2025" i="7"/>
  <c r="L2025" i="7"/>
  <c r="K2025" i="7"/>
  <c r="J2025" i="7"/>
  <c r="I2025" i="7"/>
  <c r="H2025" i="7"/>
  <c r="G2025" i="7"/>
  <c r="F2025" i="7"/>
  <c r="E2025" i="7"/>
  <c r="D2025" i="7"/>
  <c r="C2025" i="7"/>
  <c r="O2024" i="7"/>
  <c r="N2024" i="7"/>
  <c r="M2024" i="7"/>
  <c r="L2024" i="7"/>
  <c r="K2024" i="7"/>
  <c r="J2024" i="7"/>
  <c r="I2024" i="7"/>
  <c r="H2024" i="7"/>
  <c r="G2024" i="7"/>
  <c r="F2024" i="7"/>
  <c r="E2024" i="7"/>
  <c r="D2024" i="7"/>
  <c r="C2024" i="7"/>
  <c r="O2023" i="7"/>
  <c r="N2023" i="7"/>
  <c r="M2023" i="7"/>
  <c r="L2023" i="7"/>
  <c r="K2023" i="7"/>
  <c r="J2023" i="7"/>
  <c r="I2023" i="7"/>
  <c r="H2023" i="7"/>
  <c r="G2023" i="7"/>
  <c r="F2023" i="7"/>
  <c r="E2023" i="7"/>
  <c r="D2023" i="7"/>
  <c r="C2023" i="7"/>
  <c r="O2022" i="7"/>
  <c r="N2022" i="7"/>
  <c r="M2022" i="7"/>
  <c r="L2022" i="7"/>
  <c r="K2022" i="7"/>
  <c r="J2022" i="7"/>
  <c r="I2022" i="7"/>
  <c r="H2022" i="7"/>
  <c r="G2022" i="7"/>
  <c r="F2022" i="7"/>
  <c r="E2022" i="7"/>
  <c r="D2022" i="7"/>
  <c r="C2022" i="7"/>
  <c r="O2021" i="7"/>
  <c r="N2021" i="7"/>
  <c r="M2021" i="7"/>
  <c r="L2021" i="7"/>
  <c r="K2021" i="7"/>
  <c r="J2021" i="7"/>
  <c r="I2021" i="7"/>
  <c r="H2021" i="7"/>
  <c r="G2021" i="7"/>
  <c r="F2021" i="7"/>
  <c r="E2021" i="7"/>
  <c r="D2021" i="7"/>
  <c r="C2021" i="7"/>
  <c r="O2020" i="7"/>
  <c r="N2020" i="7"/>
  <c r="M2020" i="7"/>
  <c r="L2020" i="7"/>
  <c r="K2020" i="7"/>
  <c r="J2020" i="7"/>
  <c r="I2020" i="7"/>
  <c r="H2020" i="7"/>
  <c r="G2020" i="7"/>
  <c r="F2020" i="7"/>
  <c r="E2020" i="7"/>
  <c r="D2020" i="7"/>
  <c r="C2020" i="7"/>
  <c r="O2019" i="7"/>
  <c r="N2019" i="7"/>
  <c r="M2019" i="7"/>
  <c r="L2019" i="7"/>
  <c r="K2019" i="7"/>
  <c r="J2019" i="7"/>
  <c r="I2019" i="7"/>
  <c r="H2019" i="7"/>
  <c r="G2019" i="7"/>
  <c r="F2019" i="7"/>
  <c r="E2019" i="7"/>
  <c r="D2019" i="7"/>
  <c r="C2019" i="7"/>
  <c r="O2018" i="7"/>
  <c r="N2018" i="7"/>
  <c r="M2018" i="7"/>
  <c r="L2018" i="7"/>
  <c r="K2018" i="7"/>
  <c r="J2018" i="7"/>
  <c r="I2018" i="7"/>
  <c r="H2018" i="7"/>
  <c r="G2018" i="7"/>
  <c r="F2018" i="7"/>
  <c r="E2018" i="7"/>
  <c r="D2018" i="7"/>
  <c r="C2018" i="7"/>
  <c r="O2017" i="7"/>
  <c r="N2017" i="7"/>
  <c r="M2017" i="7"/>
  <c r="L2017" i="7"/>
  <c r="K2017" i="7"/>
  <c r="J2017" i="7"/>
  <c r="I2017" i="7"/>
  <c r="H2017" i="7"/>
  <c r="G2017" i="7"/>
  <c r="F2017" i="7"/>
  <c r="E2017" i="7"/>
  <c r="D2017" i="7"/>
  <c r="C2017" i="7"/>
  <c r="O2016" i="7"/>
  <c r="N2016" i="7"/>
  <c r="M2016" i="7"/>
  <c r="L2016" i="7"/>
  <c r="K2016" i="7"/>
  <c r="J2016" i="7"/>
  <c r="I2016" i="7"/>
  <c r="H2016" i="7"/>
  <c r="G2016" i="7"/>
  <c r="F2016" i="7"/>
  <c r="E2016" i="7"/>
  <c r="D2016" i="7"/>
  <c r="C2016" i="7"/>
  <c r="O2015" i="7"/>
  <c r="N2015" i="7"/>
  <c r="M2015" i="7"/>
  <c r="L2015" i="7"/>
  <c r="K2015" i="7"/>
  <c r="J2015" i="7"/>
  <c r="I2015" i="7"/>
  <c r="H2015" i="7"/>
  <c r="G2015" i="7"/>
  <c r="F2015" i="7"/>
  <c r="E2015" i="7"/>
  <c r="D2015" i="7"/>
  <c r="C2015" i="7"/>
  <c r="O2014" i="7"/>
  <c r="N2014" i="7"/>
  <c r="M2014" i="7"/>
  <c r="L2014" i="7"/>
  <c r="K2014" i="7"/>
  <c r="J2014" i="7"/>
  <c r="I2014" i="7"/>
  <c r="H2014" i="7"/>
  <c r="G2014" i="7"/>
  <c r="F2014" i="7"/>
  <c r="E2014" i="7"/>
  <c r="D2014" i="7"/>
  <c r="C2014" i="7"/>
  <c r="O2013" i="7"/>
  <c r="N2013" i="7"/>
  <c r="M2013" i="7"/>
  <c r="L2013" i="7"/>
  <c r="K2013" i="7"/>
  <c r="J2013" i="7"/>
  <c r="I2013" i="7"/>
  <c r="H2013" i="7"/>
  <c r="G2013" i="7"/>
  <c r="F2013" i="7"/>
  <c r="E2013" i="7"/>
  <c r="D2013" i="7"/>
  <c r="C2013" i="7"/>
  <c r="O2012" i="7"/>
  <c r="N2012" i="7"/>
  <c r="M2012" i="7"/>
  <c r="L2012" i="7"/>
  <c r="K2012" i="7"/>
  <c r="J2012" i="7"/>
  <c r="I2012" i="7"/>
  <c r="H2012" i="7"/>
  <c r="G2012" i="7"/>
  <c r="F2012" i="7"/>
  <c r="E2012" i="7"/>
  <c r="D2012" i="7"/>
  <c r="C2012" i="7"/>
  <c r="O2011" i="7"/>
  <c r="N2011" i="7"/>
  <c r="M2011" i="7"/>
  <c r="L2011" i="7"/>
  <c r="K2011" i="7"/>
  <c r="J2011" i="7"/>
  <c r="I2011" i="7"/>
  <c r="H2011" i="7"/>
  <c r="G2011" i="7"/>
  <c r="F2011" i="7"/>
  <c r="E2011" i="7"/>
  <c r="D2011" i="7"/>
  <c r="C2011" i="7"/>
  <c r="O2010" i="7"/>
  <c r="N2010" i="7"/>
  <c r="M2010" i="7"/>
  <c r="L2010" i="7"/>
  <c r="K2010" i="7"/>
  <c r="J2010" i="7"/>
  <c r="I2010" i="7"/>
  <c r="H2010" i="7"/>
  <c r="G2010" i="7"/>
  <c r="F2010" i="7"/>
  <c r="E2010" i="7"/>
  <c r="D2010" i="7"/>
  <c r="C2010" i="7"/>
  <c r="O2009" i="7"/>
  <c r="N2009" i="7"/>
  <c r="M2009" i="7"/>
  <c r="L2009" i="7"/>
  <c r="K2009" i="7"/>
  <c r="J2009" i="7"/>
  <c r="I2009" i="7"/>
  <c r="H2009" i="7"/>
  <c r="G2009" i="7"/>
  <c r="F2009" i="7"/>
  <c r="E2009" i="7"/>
  <c r="D2009" i="7"/>
  <c r="C2009" i="7"/>
  <c r="O2008" i="7"/>
  <c r="N2008" i="7"/>
  <c r="M2008" i="7"/>
  <c r="L2008" i="7"/>
  <c r="K2008" i="7"/>
  <c r="J2008" i="7"/>
  <c r="I2008" i="7"/>
  <c r="H2008" i="7"/>
  <c r="G2008" i="7"/>
  <c r="F2008" i="7"/>
  <c r="E2008" i="7"/>
  <c r="D2008" i="7"/>
  <c r="C2008" i="7"/>
  <c r="O2007" i="7"/>
  <c r="N2007" i="7"/>
  <c r="M2007" i="7"/>
  <c r="L2007" i="7"/>
  <c r="K2007" i="7"/>
  <c r="J2007" i="7"/>
  <c r="I2007" i="7"/>
  <c r="H2007" i="7"/>
  <c r="G2007" i="7"/>
  <c r="F2007" i="7"/>
  <c r="E2007" i="7"/>
  <c r="D2007" i="7"/>
  <c r="C2007" i="7"/>
  <c r="O2006" i="7"/>
  <c r="N2006" i="7"/>
  <c r="M2006" i="7"/>
  <c r="L2006" i="7"/>
  <c r="K2006" i="7"/>
  <c r="J2006" i="7"/>
  <c r="I2006" i="7"/>
  <c r="H2006" i="7"/>
  <c r="G2006" i="7"/>
  <c r="F2006" i="7"/>
  <c r="E2006" i="7"/>
  <c r="D2006" i="7"/>
  <c r="C2006" i="7"/>
  <c r="O2005" i="7"/>
  <c r="N2005" i="7"/>
  <c r="M2005" i="7"/>
  <c r="L2005" i="7"/>
  <c r="K2005" i="7"/>
  <c r="J2005" i="7"/>
  <c r="I2005" i="7"/>
  <c r="H2005" i="7"/>
  <c r="G2005" i="7"/>
  <c r="F2005" i="7"/>
  <c r="E2005" i="7"/>
  <c r="D2005" i="7"/>
  <c r="C2005" i="7"/>
  <c r="O2004" i="7"/>
  <c r="N2004" i="7"/>
  <c r="M2004" i="7"/>
  <c r="L2004" i="7"/>
  <c r="K2004" i="7"/>
  <c r="J2004" i="7"/>
  <c r="I2004" i="7"/>
  <c r="H2004" i="7"/>
  <c r="G2004" i="7"/>
  <c r="F2004" i="7"/>
  <c r="E2004" i="7"/>
  <c r="D2004" i="7"/>
  <c r="C2004" i="7"/>
  <c r="O2003" i="7"/>
  <c r="N2003" i="7"/>
  <c r="M2003" i="7"/>
  <c r="L2003" i="7"/>
  <c r="K2003" i="7"/>
  <c r="J2003" i="7"/>
  <c r="I2003" i="7"/>
  <c r="H2003" i="7"/>
  <c r="G2003" i="7"/>
  <c r="F2003" i="7"/>
  <c r="E2003" i="7"/>
  <c r="D2003" i="7"/>
  <c r="C2003" i="7"/>
  <c r="O2002" i="7"/>
  <c r="N2002" i="7"/>
  <c r="M2002" i="7"/>
  <c r="L2002" i="7"/>
  <c r="K2002" i="7"/>
  <c r="J2002" i="7"/>
  <c r="I2002" i="7"/>
  <c r="H2002" i="7"/>
  <c r="G2002" i="7"/>
  <c r="F2002" i="7"/>
  <c r="E2002" i="7"/>
  <c r="D2002" i="7"/>
  <c r="C2002" i="7"/>
  <c r="O2001" i="7"/>
  <c r="N2001" i="7"/>
  <c r="M2001" i="7"/>
  <c r="L2001" i="7"/>
  <c r="K2001" i="7"/>
  <c r="J2001" i="7"/>
  <c r="I2001" i="7"/>
  <c r="H2001" i="7"/>
  <c r="G2001" i="7"/>
  <c r="F2001" i="7"/>
  <c r="E2001" i="7"/>
  <c r="D2001" i="7"/>
  <c r="C2001" i="7"/>
  <c r="O2000" i="7"/>
  <c r="N2000" i="7"/>
  <c r="M2000" i="7"/>
  <c r="L2000" i="7"/>
  <c r="K2000" i="7"/>
  <c r="J2000" i="7"/>
  <c r="I2000" i="7"/>
  <c r="H2000" i="7"/>
  <c r="G2000" i="7"/>
  <c r="F2000" i="7"/>
  <c r="E2000" i="7"/>
  <c r="D2000" i="7"/>
  <c r="C2000" i="7"/>
  <c r="O1999" i="7"/>
  <c r="N1999" i="7"/>
  <c r="M1999" i="7"/>
  <c r="L1999" i="7"/>
  <c r="K1999" i="7"/>
  <c r="J1999" i="7"/>
  <c r="I1999" i="7"/>
  <c r="H1999" i="7"/>
  <c r="G1999" i="7"/>
  <c r="F1999" i="7"/>
  <c r="E1999" i="7"/>
  <c r="D1999" i="7"/>
  <c r="C1999" i="7"/>
  <c r="O1998" i="7"/>
  <c r="N1998" i="7"/>
  <c r="M1998" i="7"/>
  <c r="L1998" i="7"/>
  <c r="K1998" i="7"/>
  <c r="J1998" i="7"/>
  <c r="I1998" i="7"/>
  <c r="H1998" i="7"/>
  <c r="G1998" i="7"/>
  <c r="F1998" i="7"/>
  <c r="E1998" i="7"/>
  <c r="D1998" i="7"/>
  <c r="C1998" i="7"/>
  <c r="O1997" i="7"/>
  <c r="N1997" i="7"/>
  <c r="M1997" i="7"/>
  <c r="L1997" i="7"/>
  <c r="K1997" i="7"/>
  <c r="J1997" i="7"/>
  <c r="I1997" i="7"/>
  <c r="H1997" i="7"/>
  <c r="G1997" i="7"/>
  <c r="F1997" i="7"/>
  <c r="E1997" i="7"/>
  <c r="D1997" i="7"/>
  <c r="C1997" i="7"/>
  <c r="O1996" i="7"/>
  <c r="N1996" i="7"/>
  <c r="M1996" i="7"/>
  <c r="L1996" i="7"/>
  <c r="K1996" i="7"/>
  <c r="J1996" i="7"/>
  <c r="I1996" i="7"/>
  <c r="H1996" i="7"/>
  <c r="G1996" i="7"/>
  <c r="F1996" i="7"/>
  <c r="E1996" i="7"/>
  <c r="D1996" i="7"/>
  <c r="C1996" i="7"/>
  <c r="O1995" i="7"/>
  <c r="N1995" i="7"/>
  <c r="M1995" i="7"/>
  <c r="L1995" i="7"/>
  <c r="K1995" i="7"/>
  <c r="J1995" i="7"/>
  <c r="I1995" i="7"/>
  <c r="H1995" i="7"/>
  <c r="G1995" i="7"/>
  <c r="F1995" i="7"/>
  <c r="E1995" i="7"/>
  <c r="D1995" i="7"/>
  <c r="C1995" i="7"/>
  <c r="O1990" i="7"/>
  <c r="N1990" i="7"/>
  <c r="M1990" i="7"/>
  <c r="L1990" i="7"/>
  <c r="K1990" i="7"/>
  <c r="J1990" i="7"/>
  <c r="I1990" i="7"/>
  <c r="H1990" i="7"/>
  <c r="G1990" i="7"/>
  <c r="F1990" i="7"/>
  <c r="E1990" i="7"/>
  <c r="D1990" i="7"/>
  <c r="C1990" i="7"/>
  <c r="C1989" i="7"/>
  <c r="C1988" i="7"/>
  <c r="C1987" i="7"/>
  <c r="O1986" i="7"/>
  <c r="N1986" i="7"/>
  <c r="M1986" i="7"/>
  <c r="L1986" i="7"/>
  <c r="K1986" i="7"/>
  <c r="J1986" i="7"/>
  <c r="I1986" i="7"/>
  <c r="G1986" i="7"/>
  <c r="F1986" i="7"/>
  <c r="E1986" i="7"/>
  <c r="D1986" i="7"/>
  <c r="C1986" i="7"/>
  <c r="O1985" i="7"/>
  <c r="N1985" i="7"/>
  <c r="M1985" i="7"/>
  <c r="L1985" i="7"/>
  <c r="K1985" i="7"/>
  <c r="J1985" i="7"/>
  <c r="I1985" i="7"/>
  <c r="H1985" i="7"/>
  <c r="G1985" i="7"/>
  <c r="F1985" i="7"/>
  <c r="E1985" i="7"/>
  <c r="D1985" i="7"/>
  <c r="C1985" i="7"/>
  <c r="O1984" i="7"/>
  <c r="N1984" i="7"/>
  <c r="M1984" i="7"/>
  <c r="L1984" i="7"/>
  <c r="K1984" i="7"/>
  <c r="J1984" i="7"/>
  <c r="I1984" i="7"/>
  <c r="H1984" i="7"/>
  <c r="G1984" i="7"/>
  <c r="F1984" i="7"/>
  <c r="E1984" i="7"/>
  <c r="D1984" i="7"/>
  <c r="C1984" i="7"/>
  <c r="O1983" i="7"/>
  <c r="N1983" i="7"/>
  <c r="M1983" i="7"/>
  <c r="L1983" i="7"/>
  <c r="K1983" i="7"/>
  <c r="J1983" i="7"/>
  <c r="I1983" i="7"/>
  <c r="H1983" i="7"/>
  <c r="G1983" i="7"/>
  <c r="F1983" i="7"/>
  <c r="E1983" i="7"/>
  <c r="D1983" i="7"/>
  <c r="C1983" i="7"/>
  <c r="O1982" i="7"/>
  <c r="N1982" i="7"/>
  <c r="M1982" i="7"/>
  <c r="L1982" i="7"/>
  <c r="K1982" i="7"/>
  <c r="J1982" i="7"/>
  <c r="I1982" i="7"/>
  <c r="H1982" i="7"/>
  <c r="G1982" i="7"/>
  <c r="F1982" i="7"/>
  <c r="E1982" i="7"/>
  <c r="D1982" i="7"/>
  <c r="C1982" i="7"/>
  <c r="O1981" i="7"/>
  <c r="N1981" i="7"/>
  <c r="M1981" i="7"/>
  <c r="L1981" i="7"/>
  <c r="K1981" i="7"/>
  <c r="J1981" i="7"/>
  <c r="I1981" i="7"/>
  <c r="H1981" i="7"/>
  <c r="G1981" i="7"/>
  <c r="F1981" i="7"/>
  <c r="E1981" i="7"/>
  <c r="D1981" i="7"/>
  <c r="C1981" i="7"/>
  <c r="O1980" i="7"/>
  <c r="N1980" i="7"/>
  <c r="M1980" i="7"/>
  <c r="L1980" i="7"/>
  <c r="K1980" i="7"/>
  <c r="J1980" i="7"/>
  <c r="I1980" i="7"/>
  <c r="H1980" i="7"/>
  <c r="G1980" i="7"/>
  <c r="F1980" i="7"/>
  <c r="E1980" i="7"/>
  <c r="D1980" i="7"/>
  <c r="C1980" i="7"/>
  <c r="O1979" i="7"/>
  <c r="N1979" i="7"/>
  <c r="M1979" i="7"/>
  <c r="L1979" i="7"/>
  <c r="K1979" i="7"/>
  <c r="J1979" i="7"/>
  <c r="I1979" i="7"/>
  <c r="H1979" i="7"/>
  <c r="G1979" i="7"/>
  <c r="F1979" i="7"/>
  <c r="E1979" i="7"/>
  <c r="D1979" i="7"/>
  <c r="C1979" i="7"/>
  <c r="O1978" i="7"/>
  <c r="N1978" i="7"/>
  <c r="M1978" i="7"/>
  <c r="L1978" i="7"/>
  <c r="K1978" i="7"/>
  <c r="J1978" i="7"/>
  <c r="I1978" i="7"/>
  <c r="H1978" i="7"/>
  <c r="G1978" i="7"/>
  <c r="F1978" i="7"/>
  <c r="E1978" i="7"/>
  <c r="D1978" i="7"/>
  <c r="C1978" i="7"/>
  <c r="O1977" i="7"/>
  <c r="N1977" i="7"/>
  <c r="M1977" i="7"/>
  <c r="L1977" i="7"/>
  <c r="K1977" i="7"/>
  <c r="J1977" i="7"/>
  <c r="I1977" i="7"/>
  <c r="H1977" i="7"/>
  <c r="G1977" i="7"/>
  <c r="F1977" i="7"/>
  <c r="E1977" i="7"/>
  <c r="D1977" i="7"/>
  <c r="C1977" i="7"/>
  <c r="O1976" i="7"/>
  <c r="N1976" i="7"/>
  <c r="M1976" i="7"/>
  <c r="L1976" i="7"/>
  <c r="K1976" i="7"/>
  <c r="J1976" i="7"/>
  <c r="I1976" i="7"/>
  <c r="H1976" i="7"/>
  <c r="G1976" i="7"/>
  <c r="F1976" i="7"/>
  <c r="E1976" i="7"/>
  <c r="D1976" i="7"/>
  <c r="C1976" i="7"/>
  <c r="O1975" i="7"/>
  <c r="N1975" i="7"/>
  <c r="M1975" i="7"/>
  <c r="L1975" i="7"/>
  <c r="K1975" i="7"/>
  <c r="J1975" i="7"/>
  <c r="I1975" i="7"/>
  <c r="H1975" i="7"/>
  <c r="G1975" i="7"/>
  <c r="F1975" i="7"/>
  <c r="E1975" i="7"/>
  <c r="D1975" i="7"/>
  <c r="C1975" i="7"/>
  <c r="O1974" i="7"/>
  <c r="N1974" i="7"/>
  <c r="M1974" i="7"/>
  <c r="L1974" i="7"/>
  <c r="K1974" i="7"/>
  <c r="J1974" i="7"/>
  <c r="I1974" i="7"/>
  <c r="H1974" i="7"/>
  <c r="G1974" i="7"/>
  <c r="F1974" i="7"/>
  <c r="E1974" i="7"/>
  <c r="D1974" i="7"/>
  <c r="C1974" i="7"/>
  <c r="O1973" i="7"/>
  <c r="N1973" i="7"/>
  <c r="M1973" i="7"/>
  <c r="L1973" i="7"/>
  <c r="K1973" i="7"/>
  <c r="J1973" i="7"/>
  <c r="I1973" i="7"/>
  <c r="H1973" i="7"/>
  <c r="G1973" i="7"/>
  <c r="F1973" i="7"/>
  <c r="E1973" i="7"/>
  <c r="D1973" i="7"/>
  <c r="C1973" i="7"/>
  <c r="O1972" i="7"/>
  <c r="N1972" i="7"/>
  <c r="M1972" i="7"/>
  <c r="L1972" i="7"/>
  <c r="K1972" i="7"/>
  <c r="J1972" i="7"/>
  <c r="I1972" i="7"/>
  <c r="H1972" i="7"/>
  <c r="G1972" i="7"/>
  <c r="F1972" i="7"/>
  <c r="E1972" i="7"/>
  <c r="D1972" i="7"/>
  <c r="C1972" i="7"/>
  <c r="O1971" i="7"/>
  <c r="N1971" i="7"/>
  <c r="M1971" i="7"/>
  <c r="L1971" i="7"/>
  <c r="K1971" i="7"/>
  <c r="J1971" i="7"/>
  <c r="I1971" i="7"/>
  <c r="H1971" i="7"/>
  <c r="G1971" i="7"/>
  <c r="F1971" i="7"/>
  <c r="E1971" i="7"/>
  <c r="D1971" i="7"/>
  <c r="C1971" i="7"/>
  <c r="O1970" i="7"/>
  <c r="N1970" i="7"/>
  <c r="M1970" i="7"/>
  <c r="L1970" i="7"/>
  <c r="K1970" i="7"/>
  <c r="J1970" i="7"/>
  <c r="I1970" i="7"/>
  <c r="H1970" i="7"/>
  <c r="G1970" i="7"/>
  <c r="F1970" i="7"/>
  <c r="E1970" i="7"/>
  <c r="D1970" i="7"/>
  <c r="C1970" i="7"/>
  <c r="O1969" i="7"/>
  <c r="N1969" i="7"/>
  <c r="M1969" i="7"/>
  <c r="L1969" i="7"/>
  <c r="K1969" i="7"/>
  <c r="J1969" i="7"/>
  <c r="I1969" i="7"/>
  <c r="H1969" i="7"/>
  <c r="G1969" i="7"/>
  <c r="F1969" i="7"/>
  <c r="E1969" i="7"/>
  <c r="D1969" i="7"/>
  <c r="C1969" i="7"/>
  <c r="O1968" i="7"/>
  <c r="N1968" i="7"/>
  <c r="M1968" i="7"/>
  <c r="L1968" i="7"/>
  <c r="K1968" i="7"/>
  <c r="J1968" i="7"/>
  <c r="I1968" i="7"/>
  <c r="H1968" i="7"/>
  <c r="G1968" i="7"/>
  <c r="F1968" i="7"/>
  <c r="E1968" i="7"/>
  <c r="D1968" i="7"/>
  <c r="C1968" i="7"/>
  <c r="O1967" i="7"/>
  <c r="N1967" i="7"/>
  <c r="M1967" i="7"/>
  <c r="L1967" i="7"/>
  <c r="K1967" i="7"/>
  <c r="J1967" i="7"/>
  <c r="I1967" i="7"/>
  <c r="H1967" i="7"/>
  <c r="G1967" i="7"/>
  <c r="F1967" i="7"/>
  <c r="E1967" i="7"/>
  <c r="D1967" i="7"/>
  <c r="C1967" i="7"/>
  <c r="O1966" i="7"/>
  <c r="N1966" i="7"/>
  <c r="M1966" i="7"/>
  <c r="L1966" i="7"/>
  <c r="K1966" i="7"/>
  <c r="J1966" i="7"/>
  <c r="I1966" i="7"/>
  <c r="H1966" i="7"/>
  <c r="G1966" i="7"/>
  <c r="F1966" i="7"/>
  <c r="E1966" i="7"/>
  <c r="D1966" i="7"/>
  <c r="C1966" i="7"/>
  <c r="O1965" i="7"/>
  <c r="N1965" i="7"/>
  <c r="M1965" i="7"/>
  <c r="L1965" i="7"/>
  <c r="K1965" i="7"/>
  <c r="J1965" i="7"/>
  <c r="I1965" i="7"/>
  <c r="H1965" i="7"/>
  <c r="G1965" i="7"/>
  <c r="F1965" i="7"/>
  <c r="E1965" i="7"/>
  <c r="D1965" i="7"/>
  <c r="C1965" i="7"/>
  <c r="O1964" i="7"/>
  <c r="N1964" i="7"/>
  <c r="M1964" i="7"/>
  <c r="L1964" i="7"/>
  <c r="K1964" i="7"/>
  <c r="J1964" i="7"/>
  <c r="I1964" i="7"/>
  <c r="H1964" i="7"/>
  <c r="G1964" i="7"/>
  <c r="F1964" i="7"/>
  <c r="E1964" i="7"/>
  <c r="D1964" i="7"/>
  <c r="C1964" i="7"/>
  <c r="O1963" i="7"/>
  <c r="N1963" i="7"/>
  <c r="M1963" i="7"/>
  <c r="L1963" i="7"/>
  <c r="K1963" i="7"/>
  <c r="J1963" i="7"/>
  <c r="I1963" i="7"/>
  <c r="H1963" i="7"/>
  <c r="G1963" i="7"/>
  <c r="F1963" i="7"/>
  <c r="E1963" i="7"/>
  <c r="D1963" i="7"/>
  <c r="C1963" i="7"/>
  <c r="O1962" i="7"/>
  <c r="N1962" i="7"/>
  <c r="M1962" i="7"/>
  <c r="L1962" i="7"/>
  <c r="K1962" i="7"/>
  <c r="J1962" i="7"/>
  <c r="I1962" i="7"/>
  <c r="H1962" i="7"/>
  <c r="G1962" i="7"/>
  <c r="F1962" i="7"/>
  <c r="E1962" i="7"/>
  <c r="D1962" i="7"/>
  <c r="C1962" i="7"/>
  <c r="O1961" i="7"/>
  <c r="N1961" i="7"/>
  <c r="M1961" i="7"/>
  <c r="L1961" i="7"/>
  <c r="K1961" i="7"/>
  <c r="J1961" i="7"/>
  <c r="I1961" i="7"/>
  <c r="H1961" i="7"/>
  <c r="G1961" i="7"/>
  <c r="F1961" i="7"/>
  <c r="E1961" i="7"/>
  <c r="D1961" i="7"/>
  <c r="C1961" i="7"/>
  <c r="O1960" i="7"/>
  <c r="N1960" i="7"/>
  <c r="M1960" i="7"/>
  <c r="L1960" i="7"/>
  <c r="K1960" i="7"/>
  <c r="J1960" i="7"/>
  <c r="I1960" i="7"/>
  <c r="H1960" i="7"/>
  <c r="G1960" i="7"/>
  <c r="F1960" i="7"/>
  <c r="E1960" i="7"/>
  <c r="D1960" i="7"/>
  <c r="C1960" i="7"/>
  <c r="O1959" i="7"/>
  <c r="N1959" i="7"/>
  <c r="M1959" i="7"/>
  <c r="L1959" i="7"/>
  <c r="K1959" i="7"/>
  <c r="J1959" i="7"/>
  <c r="I1959" i="7"/>
  <c r="H1959" i="7"/>
  <c r="G1959" i="7"/>
  <c r="F1959" i="7"/>
  <c r="E1959" i="7"/>
  <c r="D1959" i="7"/>
  <c r="C1959" i="7"/>
  <c r="O1958" i="7"/>
  <c r="N1958" i="7"/>
  <c r="M1958" i="7"/>
  <c r="L1958" i="7"/>
  <c r="K1958" i="7"/>
  <c r="J1958" i="7"/>
  <c r="I1958" i="7"/>
  <c r="H1958" i="7"/>
  <c r="G1958" i="7"/>
  <c r="F1958" i="7"/>
  <c r="E1958" i="7"/>
  <c r="D1958" i="7"/>
  <c r="C1958" i="7"/>
  <c r="O1957" i="7"/>
  <c r="N1957" i="7"/>
  <c r="M1957" i="7"/>
  <c r="L1957" i="7"/>
  <c r="K1957" i="7"/>
  <c r="J1957" i="7"/>
  <c r="I1957" i="7"/>
  <c r="H1957" i="7"/>
  <c r="G1957" i="7"/>
  <c r="F1957" i="7"/>
  <c r="E1957" i="7"/>
  <c r="D1957" i="7"/>
  <c r="C1957" i="7"/>
  <c r="O1956" i="7"/>
  <c r="N1956" i="7"/>
  <c r="M1956" i="7"/>
  <c r="L1956" i="7"/>
  <c r="K1956" i="7"/>
  <c r="J1956" i="7"/>
  <c r="I1956" i="7"/>
  <c r="H1956" i="7"/>
  <c r="G1956" i="7"/>
  <c r="F1956" i="7"/>
  <c r="E1956" i="7"/>
  <c r="D1956" i="7"/>
  <c r="C1956" i="7"/>
  <c r="O1955" i="7"/>
  <c r="N1955" i="7"/>
  <c r="M1955" i="7"/>
  <c r="L1955" i="7"/>
  <c r="K1955" i="7"/>
  <c r="J1955" i="7"/>
  <c r="I1955" i="7"/>
  <c r="H1955" i="7"/>
  <c r="G1955" i="7"/>
  <c r="F1955" i="7"/>
  <c r="E1955" i="7"/>
  <c r="D1955" i="7"/>
  <c r="C1955" i="7"/>
  <c r="O1954" i="7"/>
  <c r="N1954" i="7"/>
  <c r="M1954" i="7"/>
  <c r="L1954" i="7"/>
  <c r="K1954" i="7"/>
  <c r="J1954" i="7"/>
  <c r="I1954" i="7"/>
  <c r="H1954" i="7"/>
  <c r="G1954" i="7"/>
  <c r="F1954" i="7"/>
  <c r="E1954" i="7"/>
  <c r="D1954" i="7"/>
  <c r="C1954" i="7"/>
  <c r="O1953" i="7"/>
  <c r="N1953" i="7"/>
  <c r="M1953" i="7"/>
  <c r="L1953" i="7"/>
  <c r="K1953" i="7"/>
  <c r="J1953" i="7"/>
  <c r="I1953" i="7"/>
  <c r="H1953" i="7"/>
  <c r="G1953" i="7"/>
  <c r="F1953" i="7"/>
  <c r="E1953" i="7"/>
  <c r="D1953" i="7"/>
  <c r="C1953" i="7"/>
  <c r="O1952" i="7"/>
  <c r="N1952" i="7"/>
  <c r="M1952" i="7"/>
  <c r="L1952" i="7"/>
  <c r="K1952" i="7"/>
  <c r="J1952" i="7"/>
  <c r="I1952" i="7"/>
  <c r="H1952" i="7"/>
  <c r="G1952" i="7"/>
  <c r="F1952" i="7"/>
  <c r="E1952" i="7"/>
  <c r="D1952" i="7"/>
  <c r="C1952" i="7"/>
  <c r="O1951" i="7"/>
  <c r="N1951" i="7"/>
  <c r="M1951" i="7"/>
  <c r="L1951" i="7"/>
  <c r="K1951" i="7"/>
  <c r="J1951" i="7"/>
  <c r="I1951" i="7"/>
  <c r="H1951" i="7"/>
  <c r="G1951" i="7"/>
  <c r="F1951" i="7"/>
  <c r="E1951" i="7"/>
  <c r="D1951" i="7"/>
  <c r="C1951" i="7"/>
  <c r="O1950" i="7"/>
  <c r="N1950" i="7"/>
  <c r="M1950" i="7"/>
  <c r="L1950" i="7"/>
  <c r="K1950" i="7"/>
  <c r="J1950" i="7"/>
  <c r="I1950" i="7"/>
  <c r="H1950" i="7"/>
  <c r="G1950" i="7"/>
  <c r="F1950" i="7"/>
  <c r="E1950" i="7"/>
  <c r="D1950" i="7"/>
  <c r="C1950" i="7"/>
  <c r="O1949" i="7"/>
  <c r="N1949" i="7"/>
  <c r="M1949" i="7"/>
  <c r="L1949" i="7"/>
  <c r="K1949" i="7"/>
  <c r="J1949" i="7"/>
  <c r="I1949" i="7"/>
  <c r="H1949" i="7"/>
  <c r="G1949" i="7"/>
  <c r="F1949" i="7"/>
  <c r="E1949" i="7"/>
  <c r="D1949" i="7"/>
  <c r="C1949" i="7"/>
  <c r="O1948" i="7"/>
  <c r="N1948" i="7"/>
  <c r="M1948" i="7"/>
  <c r="L1948" i="7"/>
  <c r="K1948" i="7"/>
  <c r="J1948" i="7"/>
  <c r="I1948" i="7"/>
  <c r="H1948" i="7"/>
  <c r="G1948" i="7"/>
  <c r="F1948" i="7"/>
  <c r="E1948" i="7"/>
  <c r="D1948" i="7"/>
  <c r="C1948" i="7"/>
  <c r="O1947" i="7"/>
  <c r="N1947" i="7"/>
  <c r="M1947" i="7"/>
  <c r="L1947" i="7"/>
  <c r="K1947" i="7"/>
  <c r="J1947" i="7"/>
  <c r="I1947" i="7"/>
  <c r="H1947" i="7"/>
  <c r="G1947" i="7"/>
  <c r="F1947" i="7"/>
  <c r="E1947" i="7"/>
  <c r="D1947" i="7"/>
  <c r="C1947" i="7"/>
  <c r="O1946" i="7"/>
  <c r="N1946" i="7"/>
  <c r="M1946" i="7"/>
  <c r="L1946" i="7"/>
  <c r="K1946" i="7"/>
  <c r="J1946" i="7"/>
  <c r="I1946" i="7"/>
  <c r="H1946" i="7"/>
  <c r="G1946" i="7"/>
  <c r="F1946" i="7"/>
  <c r="E1946" i="7"/>
  <c r="D1946" i="7"/>
  <c r="C1946" i="7"/>
  <c r="O1945" i="7"/>
  <c r="N1945" i="7"/>
  <c r="M1945" i="7"/>
  <c r="L1945" i="7"/>
  <c r="K1945" i="7"/>
  <c r="J1945" i="7"/>
  <c r="I1945" i="7"/>
  <c r="H1945" i="7"/>
  <c r="G1945" i="7"/>
  <c r="F1945" i="7"/>
  <c r="E1945" i="7"/>
  <c r="D1945" i="7"/>
  <c r="C1945" i="7"/>
  <c r="O1944" i="7"/>
  <c r="N1944" i="7"/>
  <c r="M1944" i="7"/>
  <c r="L1944" i="7"/>
  <c r="K1944" i="7"/>
  <c r="J1944" i="7"/>
  <c r="I1944" i="7"/>
  <c r="H1944" i="7"/>
  <c r="G1944" i="7"/>
  <c r="F1944" i="7"/>
  <c r="E1944" i="7"/>
  <c r="D1944" i="7"/>
  <c r="C1944" i="7"/>
  <c r="O1943" i="7"/>
  <c r="N1943" i="7"/>
  <c r="M1943" i="7"/>
  <c r="L1943" i="7"/>
  <c r="K1943" i="7"/>
  <c r="J1943" i="7"/>
  <c r="I1943" i="7"/>
  <c r="H1943" i="7"/>
  <c r="G1943" i="7"/>
  <c r="F1943" i="7"/>
  <c r="E1943" i="7"/>
  <c r="D1943" i="7"/>
  <c r="C1943" i="7"/>
  <c r="O1942" i="7"/>
  <c r="N1942" i="7"/>
  <c r="M1942" i="7"/>
  <c r="L1942" i="7"/>
  <c r="K1942" i="7"/>
  <c r="J1942" i="7"/>
  <c r="I1942" i="7"/>
  <c r="H1942" i="7"/>
  <c r="G1942" i="7"/>
  <c r="F1942" i="7"/>
  <c r="E1942" i="7"/>
  <c r="D1942" i="7"/>
  <c r="C1942" i="7"/>
  <c r="O1941" i="7"/>
  <c r="N1941" i="7"/>
  <c r="M1941" i="7"/>
  <c r="L1941" i="7"/>
  <c r="K1941" i="7"/>
  <c r="J1941" i="7"/>
  <c r="I1941" i="7"/>
  <c r="H1941" i="7"/>
  <c r="G1941" i="7"/>
  <c r="F1941" i="7"/>
  <c r="E1941" i="7"/>
  <c r="D1941" i="7"/>
  <c r="C1941" i="7"/>
  <c r="O1940" i="7"/>
  <c r="N1940" i="7"/>
  <c r="M1940" i="7"/>
  <c r="L1940" i="7"/>
  <c r="K1940" i="7"/>
  <c r="J1940" i="7"/>
  <c r="I1940" i="7"/>
  <c r="H1940" i="7"/>
  <c r="G1940" i="7"/>
  <c r="F1940" i="7"/>
  <c r="E1940" i="7"/>
  <c r="D1940" i="7"/>
  <c r="C1940" i="7"/>
  <c r="O1939" i="7"/>
  <c r="N1939" i="7"/>
  <c r="M1939" i="7"/>
  <c r="L1939" i="7"/>
  <c r="K1939" i="7"/>
  <c r="J1939" i="7"/>
  <c r="I1939" i="7"/>
  <c r="H1939" i="7"/>
  <c r="G1939" i="7"/>
  <c r="F1939" i="7"/>
  <c r="E1939" i="7"/>
  <c r="D1939" i="7"/>
  <c r="C1939" i="7"/>
  <c r="O1938" i="7"/>
  <c r="N1938" i="7"/>
  <c r="M1938" i="7"/>
  <c r="L1938" i="7"/>
  <c r="K1938" i="7"/>
  <c r="J1938" i="7"/>
  <c r="I1938" i="7"/>
  <c r="H1938" i="7"/>
  <c r="G1938" i="7"/>
  <c r="F1938" i="7"/>
  <c r="E1938" i="7"/>
  <c r="D1938" i="7"/>
  <c r="C1938" i="7"/>
  <c r="O1937" i="7"/>
  <c r="N1937" i="7"/>
  <c r="M1937" i="7"/>
  <c r="L1937" i="7"/>
  <c r="K1937" i="7"/>
  <c r="J1937" i="7"/>
  <c r="I1937" i="7"/>
  <c r="H1937" i="7"/>
  <c r="G1937" i="7"/>
  <c r="F1937" i="7"/>
  <c r="E1937" i="7"/>
  <c r="D1937" i="7"/>
  <c r="C1937" i="7"/>
  <c r="O1936" i="7"/>
  <c r="N1936" i="7"/>
  <c r="M1936" i="7"/>
  <c r="L1936" i="7"/>
  <c r="K1936" i="7"/>
  <c r="J1936" i="7"/>
  <c r="I1936" i="7"/>
  <c r="H1936" i="7"/>
  <c r="G1936" i="7"/>
  <c r="F1936" i="7"/>
  <c r="E1936" i="7"/>
  <c r="D1936" i="7"/>
  <c r="C1936" i="7"/>
  <c r="O1935" i="7"/>
  <c r="N1935" i="7"/>
  <c r="M1935" i="7"/>
  <c r="L1935" i="7"/>
  <c r="K1935" i="7"/>
  <c r="J1935" i="7"/>
  <c r="I1935" i="7"/>
  <c r="H1935" i="7"/>
  <c r="G1935" i="7"/>
  <c r="F1935" i="7"/>
  <c r="E1935" i="7"/>
  <c r="D1935" i="7"/>
  <c r="C1935" i="7"/>
  <c r="O1934" i="7"/>
  <c r="N1934" i="7"/>
  <c r="M1934" i="7"/>
  <c r="L1934" i="7"/>
  <c r="K1934" i="7"/>
  <c r="J1934" i="7"/>
  <c r="I1934" i="7"/>
  <c r="H1934" i="7"/>
  <c r="G1934" i="7"/>
  <c r="F1934" i="7"/>
  <c r="E1934" i="7"/>
  <c r="D1934" i="7"/>
  <c r="C1934" i="7"/>
  <c r="O1933" i="7"/>
  <c r="N1933" i="7"/>
  <c r="M1933" i="7"/>
  <c r="L1933" i="7"/>
  <c r="K1933" i="7"/>
  <c r="J1933" i="7"/>
  <c r="I1933" i="7"/>
  <c r="H1933" i="7"/>
  <c r="G1933" i="7"/>
  <c r="F1933" i="7"/>
  <c r="E1933" i="7"/>
  <c r="D1933" i="7"/>
  <c r="C1933" i="7"/>
  <c r="O1932" i="7"/>
  <c r="N1932" i="7"/>
  <c r="M1932" i="7"/>
  <c r="L1932" i="7"/>
  <c r="K1932" i="7"/>
  <c r="J1932" i="7"/>
  <c r="I1932" i="7"/>
  <c r="H1932" i="7"/>
  <c r="G1932" i="7"/>
  <c r="F1932" i="7"/>
  <c r="E1932" i="7"/>
  <c r="D1932" i="7"/>
  <c r="C1932" i="7"/>
  <c r="O1931" i="7"/>
  <c r="N1931" i="7"/>
  <c r="M1931" i="7"/>
  <c r="L1931" i="7"/>
  <c r="K1931" i="7"/>
  <c r="J1931" i="7"/>
  <c r="I1931" i="7"/>
  <c r="H1931" i="7"/>
  <c r="G1931" i="7"/>
  <c r="F1931" i="7"/>
  <c r="E1931" i="7"/>
  <c r="D1931" i="7"/>
  <c r="C1931" i="7"/>
  <c r="O1930" i="7"/>
  <c r="N1930" i="7"/>
  <c r="M1930" i="7"/>
  <c r="L1930" i="7"/>
  <c r="K1930" i="7"/>
  <c r="J1930" i="7"/>
  <c r="I1930" i="7"/>
  <c r="H1930" i="7"/>
  <c r="G1930" i="7"/>
  <c r="F1930" i="7"/>
  <c r="E1930" i="7"/>
  <c r="D1930" i="7"/>
  <c r="C1930" i="7"/>
  <c r="O1929" i="7"/>
  <c r="N1929" i="7"/>
  <c r="M1929" i="7"/>
  <c r="L1929" i="7"/>
  <c r="K1929" i="7"/>
  <c r="J1929" i="7"/>
  <c r="I1929" i="7"/>
  <c r="H1929" i="7"/>
  <c r="G1929" i="7"/>
  <c r="F1929" i="7"/>
  <c r="E1929" i="7"/>
  <c r="D1929" i="7"/>
  <c r="C1929" i="7"/>
  <c r="O1928" i="7"/>
  <c r="N1928" i="7"/>
  <c r="M1928" i="7"/>
  <c r="L1928" i="7"/>
  <c r="K1928" i="7"/>
  <c r="J1928" i="7"/>
  <c r="I1928" i="7"/>
  <c r="H1928" i="7"/>
  <c r="G1928" i="7"/>
  <c r="F1928" i="7"/>
  <c r="E1928" i="7"/>
  <c r="D1928" i="7"/>
  <c r="C1928" i="7"/>
  <c r="O1927" i="7"/>
  <c r="N1927" i="7"/>
  <c r="M1927" i="7"/>
  <c r="L1927" i="7"/>
  <c r="K1927" i="7"/>
  <c r="J1927" i="7"/>
  <c r="I1927" i="7"/>
  <c r="H1927" i="7"/>
  <c r="G1927" i="7"/>
  <c r="F1927" i="7"/>
  <c r="E1927" i="7"/>
  <c r="D1927" i="7"/>
  <c r="C1927" i="7"/>
  <c r="O1926" i="7"/>
  <c r="N1926" i="7"/>
  <c r="M1926" i="7"/>
  <c r="L1926" i="7"/>
  <c r="K1926" i="7"/>
  <c r="J1926" i="7"/>
  <c r="I1926" i="7"/>
  <c r="H1926" i="7"/>
  <c r="G1926" i="7"/>
  <c r="F1926" i="7"/>
  <c r="E1926" i="7"/>
  <c r="D1926" i="7"/>
  <c r="C1926" i="7"/>
  <c r="O1925" i="7"/>
  <c r="N1925" i="7"/>
  <c r="M1925" i="7"/>
  <c r="L1925" i="7"/>
  <c r="K1925" i="7"/>
  <c r="J1925" i="7"/>
  <c r="I1925" i="7"/>
  <c r="H1925" i="7"/>
  <c r="G1925" i="7"/>
  <c r="F1925" i="7"/>
  <c r="E1925" i="7"/>
  <c r="D1925" i="7"/>
  <c r="C1925" i="7"/>
  <c r="O1924" i="7"/>
  <c r="N1924" i="7"/>
  <c r="M1924" i="7"/>
  <c r="L1924" i="7"/>
  <c r="K1924" i="7"/>
  <c r="J1924" i="7"/>
  <c r="I1924" i="7"/>
  <c r="H1924" i="7"/>
  <c r="G1924" i="7"/>
  <c r="F1924" i="7"/>
  <c r="E1924" i="7"/>
  <c r="D1924" i="7"/>
  <c r="C1924" i="7"/>
  <c r="O1923" i="7"/>
  <c r="N1923" i="7"/>
  <c r="M1923" i="7"/>
  <c r="L1923" i="7"/>
  <c r="K1923" i="7"/>
  <c r="J1923" i="7"/>
  <c r="I1923" i="7"/>
  <c r="H1923" i="7"/>
  <c r="G1923" i="7"/>
  <c r="F1923" i="7"/>
  <c r="E1923" i="7"/>
  <c r="D1923" i="7"/>
  <c r="C1923" i="7"/>
  <c r="O1922" i="7"/>
  <c r="N1922" i="7"/>
  <c r="M1922" i="7"/>
  <c r="L1922" i="7"/>
  <c r="K1922" i="7"/>
  <c r="J1922" i="7"/>
  <c r="I1922" i="7"/>
  <c r="H1922" i="7"/>
  <c r="G1922" i="7"/>
  <c r="F1922" i="7"/>
  <c r="E1922" i="7"/>
  <c r="D1922" i="7"/>
  <c r="C1922" i="7"/>
  <c r="O1921" i="7"/>
  <c r="N1921" i="7"/>
  <c r="M1921" i="7"/>
  <c r="L1921" i="7"/>
  <c r="K1921" i="7"/>
  <c r="J1921" i="7"/>
  <c r="I1921" i="7"/>
  <c r="H1921" i="7"/>
  <c r="G1921" i="7"/>
  <c r="F1921" i="7"/>
  <c r="E1921" i="7"/>
  <c r="D1921" i="7"/>
  <c r="C1921" i="7"/>
  <c r="O1920" i="7"/>
  <c r="N1920" i="7"/>
  <c r="M1920" i="7"/>
  <c r="L1920" i="7"/>
  <c r="K1920" i="7"/>
  <c r="J1920" i="7"/>
  <c r="I1920" i="7"/>
  <c r="H1920" i="7"/>
  <c r="G1920" i="7"/>
  <c r="F1920" i="7"/>
  <c r="E1920" i="7"/>
  <c r="D1920" i="7"/>
  <c r="C1920" i="7"/>
  <c r="O1919" i="7"/>
  <c r="N1919" i="7"/>
  <c r="M1919" i="7"/>
  <c r="L1919" i="7"/>
  <c r="K1919" i="7"/>
  <c r="J1919" i="7"/>
  <c r="I1919" i="7"/>
  <c r="H1919" i="7"/>
  <c r="G1919" i="7"/>
  <c r="F1919" i="7"/>
  <c r="E1919" i="7"/>
  <c r="D1919" i="7"/>
  <c r="C1919" i="7"/>
  <c r="O1918" i="7"/>
  <c r="N1918" i="7"/>
  <c r="M1918" i="7"/>
  <c r="L1918" i="7"/>
  <c r="K1918" i="7"/>
  <c r="J1918" i="7"/>
  <c r="I1918" i="7"/>
  <c r="H1918" i="7"/>
  <c r="G1918" i="7"/>
  <c r="F1918" i="7"/>
  <c r="E1918" i="7"/>
  <c r="D1918" i="7"/>
  <c r="C1918" i="7"/>
  <c r="O1917" i="7"/>
  <c r="N1917" i="7"/>
  <c r="M1917" i="7"/>
  <c r="L1917" i="7"/>
  <c r="K1917" i="7"/>
  <c r="J1917" i="7"/>
  <c r="I1917" i="7"/>
  <c r="H1917" i="7"/>
  <c r="G1917" i="7"/>
  <c r="F1917" i="7"/>
  <c r="E1917" i="7"/>
  <c r="D1917" i="7"/>
  <c r="C1917" i="7"/>
  <c r="O1916" i="7"/>
  <c r="N1916" i="7"/>
  <c r="M1916" i="7"/>
  <c r="L1916" i="7"/>
  <c r="K1916" i="7"/>
  <c r="J1916" i="7"/>
  <c r="I1916" i="7"/>
  <c r="H1916" i="7"/>
  <c r="G1916" i="7"/>
  <c r="F1916" i="7"/>
  <c r="E1916" i="7"/>
  <c r="D1916" i="7"/>
  <c r="C1916" i="7"/>
  <c r="O1915" i="7"/>
  <c r="N1915" i="7"/>
  <c r="M1915" i="7"/>
  <c r="L1915" i="7"/>
  <c r="K1915" i="7"/>
  <c r="J1915" i="7"/>
  <c r="I1915" i="7"/>
  <c r="H1915" i="7"/>
  <c r="G1915" i="7"/>
  <c r="F1915" i="7"/>
  <c r="E1915" i="7"/>
  <c r="D1915" i="7"/>
  <c r="C1915" i="7"/>
  <c r="O1914" i="7"/>
  <c r="N1914" i="7"/>
  <c r="M1914" i="7"/>
  <c r="L1914" i="7"/>
  <c r="K1914" i="7"/>
  <c r="J1914" i="7"/>
  <c r="I1914" i="7"/>
  <c r="H1914" i="7"/>
  <c r="G1914" i="7"/>
  <c r="F1914" i="7"/>
  <c r="E1914" i="7"/>
  <c r="D1914" i="7"/>
  <c r="C1914" i="7"/>
  <c r="O1913" i="7"/>
  <c r="N1913" i="7"/>
  <c r="M1913" i="7"/>
  <c r="L1913" i="7"/>
  <c r="K1913" i="7"/>
  <c r="J1913" i="7"/>
  <c r="I1913" i="7"/>
  <c r="H1913" i="7"/>
  <c r="G1913" i="7"/>
  <c r="F1913" i="7"/>
  <c r="E1913" i="7"/>
  <c r="D1913" i="7"/>
  <c r="C1913" i="7"/>
  <c r="O1912" i="7"/>
  <c r="N1912" i="7"/>
  <c r="M1912" i="7"/>
  <c r="L1912" i="7"/>
  <c r="K1912" i="7"/>
  <c r="J1912" i="7"/>
  <c r="I1912" i="7"/>
  <c r="H1912" i="7"/>
  <c r="G1912" i="7"/>
  <c r="F1912" i="7"/>
  <c r="E1912" i="7"/>
  <c r="D1912" i="7"/>
  <c r="C1912" i="7"/>
  <c r="O1911" i="7"/>
  <c r="N1911" i="7"/>
  <c r="M1911" i="7"/>
  <c r="L1911" i="7"/>
  <c r="K1911" i="7"/>
  <c r="J1911" i="7"/>
  <c r="I1911" i="7"/>
  <c r="H1911" i="7"/>
  <c r="G1911" i="7"/>
  <c r="F1911" i="7"/>
  <c r="E1911" i="7"/>
  <c r="D1911" i="7"/>
  <c r="C1911" i="7"/>
  <c r="O1910" i="7"/>
  <c r="N1910" i="7"/>
  <c r="M1910" i="7"/>
  <c r="L1910" i="7"/>
  <c r="K1910" i="7"/>
  <c r="J1910" i="7"/>
  <c r="I1910" i="7"/>
  <c r="H1910" i="7"/>
  <c r="G1910" i="7"/>
  <c r="F1910" i="7"/>
  <c r="E1910" i="7"/>
  <c r="D1910" i="7"/>
  <c r="C1910" i="7"/>
  <c r="O1909" i="7"/>
  <c r="N1909" i="7"/>
  <c r="M1909" i="7"/>
  <c r="L1909" i="7"/>
  <c r="K1909" i="7"/>
  <c r="J1909" i="7"/>
  <c r="I1909" i="7"/>
  <c r="H1909" i="7"/>
  <c r="G1909" i="7"/>
  <c r="F1909" i="7"/>
  <c r="E1909" i="7"/>
  <c r="D1909" i="7"/>
  <c r="C1909" i="7"/>
  <c r="O1908" i="7"/>
  <c r="N1908" i="7"/>
  <c r="M1908" i="7"/>
  <c r="L1908" i="7"/>
  <c r="K1908" i="7"/>
  <c r="J1908" i="7"/>
  <c r="I1908" i="7"/>
  <c r="H1908" i="7"/>
  <c r="G1908" i="7"/>
  <c r="F1908" i="7"/>
  <c r="E1908" i="7"/>
  <c r="D1908" i="7"/>
  <c r="C1908" i="7"/>
  <c r="O1907" i="7"/>
  <c r="N1907" i="7"/>
  <c r="M1907" i="7"/>
  <c r="L1907" i="7"/>
  <c r="K1907" i="7"/>
  <c r="J1907" i="7"/>
  <c r="I1907" i="7"/>
  <c r="H1907" i="7"/>
  <c r="G1907" i="7"/>
  <c r="F1907" i="7"/>
  <c r="E1907" i="7"/>
  <c r="D1907" i="7"/>
  <c r="C1907" i="7"/>
  <c r="O1906" i="7"/>
  <c r="N1906" i="7"/>
  <c r="M1906" i="7"/>
  <c r="L1906" i="7"/>
  <c r="K1906" i="7"/>
  <c r="J1906" i="7"/>
  <c r="I1906" i="7"/>
  <c r="H1906" i="7"/>
  <c r="G1906" i="7"/>
  <c r="F1906" i="7"/>
  <c r="E1906" i="7"/>
  <c r="D1906" i="7"/>
  <c r="C1906" i="7"/>
  <c r="O1905" i="7"/>
  <c r="N1905" i="7"/>
  <c r="M1905" i="7"/>
  <c r="L1905" i="7"/>
  <c r="K1905" i="7"/>
  <c r="J1905" i="7"/>
  <c r="I1905" i="7"/>
  <c r="H1905" i="7"/>
  <c r="G1905" i="7"/>
  <c r="F1905" i="7"/>
  <c r="E1905" i="7"/>
  <c r="D1905" i="7"/>
  <c r="C1905" i="7"/>
  <c r="O1904" i="7"/>
  <c r="N1904" i="7"/>
  <c r="M1904" i="7"/>
  <c r="L1904" i="7"/>
  <c r="K1904" i="7"/>
  <c r="J1904" i="7"/>
  <c r="I1904" i="7"/>
  <c r="H1904" i="7"/>
  <c r="G1904" i="7"/>
  <c r="F1904" i="7"/>
  <c r="E1904" i="7"/>
  <c r="D1904" i="7"/>
  <c r="C1904" i="7"/>
  <c r="O1903" i="7"/>
  <c r="N1903" i="7"/>
  <c r="M1903" i="7"/>
  <c r="L1903" i="7"/>
  <c r="K1903" i="7"/>
  <c r="J1903" i="7"/>
  <c r="I1903" i="7"/>
  <c r="H1903" i="7"/>
  <c r="G1903" i="7"/>
  <c r="F1903" i="7"/>
  <c r="E1903" i="7"/>
  <c r="D1903" i="7"/>
  <c r="C1903" i="7"/>
  <c r="O1902" i="7"/>
  <c r="N1902" i="7"/>
  <c r="M1902" i="7"/>
  <c r="L1902" i="7"/>
  <c r="K1902" i="7"/>
  <c r="J1902" i="7"/>
  <c r="I1902" i="7"/>
  <c r="H1902" i="7"/>
  <c r="G1902" i="7"/>
  <c r="F1902" i="7"/>
  <c r="E1902" i="7"/>
  <c r="D1902" i="7"/>
  <c r="C1902" i="7"/>
  <c r="O1901" i="7"/>
  <c r="N1901" i="7"/>
  <c r="M1901" i="7"/>
  <c r="L1901" i="7"/>
  <c r="K1901" i="7"/>
  <c r="J1901" i="7"/>
  <c r="I1901" i="7"/>
  <c r="H1901" i="7"/>
  <c r="G1901" i="7"/>
  <c r="F1901" i="7"/>
  <c r="E1901" i="7"/>
  <c r="D1901" i="7"/>
  <c r="C1901" i="7"/>
  <c r="O1900" i="7"/>
  <c r="N1900" i="7"/>
  <c r="M1900" i="7"/>
  <c r="L1900" i="7"/>
  <c r="K1900" i="7"/>
  <c r="J1900" i="7"/>
  <c r="I1900" i="7"/>
  <c r="H1900" i="7"/>
  <c r="G1900" i="7"/>
  <c r="F1900" i="7"/>
  <c r="E1900" i="7"/>
  <c r="D1900" i="7"/>
  <c r="C1900" i="7"/>
  <c r="O1899" i="7"/>
  <c r="N1899" i="7"/>
  <c r="M1899" i="7"/>
  <c r="L1899" i="7"/>
  <c r="K1899" i="7"/>
  <c r="J1899" i="7"/>
  <c r="I1899" i="7"/>
  <c r="H1899" i="7"/>
  <c r="G1899" i="7"/>
  <c r="F1899" i="7"/>
  <c r="E1899" i="7"/>
  <c r="D1899" i="7"/>
  <c r="C1899" i="7"/>
  <c r="O1898" i="7"/>
  <c r="N1898" i="7"/>
  <c r="M1898" i="7"/>
  <c r="L1898" i="7"/>
  <c r="K1898" i="7"/>
  <c r="J1898" i="7"/>
  <c r="I1898" i="7"/>
  <c r="H1898" i="7"/>
  <c r="G1898" i="7"/>
  <c r="F1898" i="7"/>
  <c r="E1898" i="7"/>
  <c r="D1898" i="7"/>
  <c r="C1898" i="7"/>
  <c r="O1897" i="7"/>
  <c r="N1897" i="7"/>
  <c r="M1897" i="7"/>
  <c r="L1897" i="7"/>
  <c r="K1897" i="7"/>
  <c r="J1897" i="7"/>
  <c r="I1897" i="7"/>
  <c r="H1897" i="7"/>
  <c r="G1897" i="7"/>
  <c r="F1897" i="7"/>
  <c r="E1897" i="7"/>
  <c r="D1897" i="7"/>
  <c r="C1897" i="7"/>
  <c r="O1896" i="7"/>
  <c r="N1896" i="7"/>
  <c r="M1896" i="7"/>
  <c r="L1896" i="7"/>
  <c r="K1896" i="7"/>
  <c r="J1896" i="7"/>
  <c r="I1896" i="7"/>
  <c r="H1896" i="7"/>
  <c r="G1896" i="7"/>
  <c r="F1896" i="7"/>
  <c r="E1896" i="7"/>
  <c r="D1896" i="7"/>
  <c r="C1896" i="7"/>
  <c r="O1895" i="7"/>
  <c r="N1895" i="7"/>
  <c r="M1895" i="7"/>
  <c r="L1895" i="7"/>
  <c r="K1895" i="7"/>
  <c r="J1895" i="7"/>
  <c r="I1895" i="7"/>
  <c r="H1895" i="7"/>
  <c r="G1895" i="7"/>
  <c r="F1895" i="7"/>
  <c r="E1895" i="7"/>
  <c r="D1895" i="7"/>
  <c r="C1895" i="7"/>
  <c r="O1894" i="7"/>
  <c r="N1894" i="7"/>
  <c r="M1894" i="7"/>
  <c r="L1894" i="7"/>
  <c r="K1894" i="7"/>
  <c r="J1894" i="7"/>
  <c r="I1894" i="7"/>
  <c r="H1894" i="7"/>
  <c r="G1894" i="7"/>
  <c r="F1894" i="7"/>
  <c r="E1894" i="7"/>
  <c r="D1894" i="7"/>
  <c r="C1894" i="7"/>
  <c r="O1893" i="7"/>
  <c r="N1893" i="7"/>
  <c r="M1893" i="7"/>
  <c r="L1893" i="7"/>
  <c r="K1893" i="7"/>
  <c r="J1893" i="7"/>
  <c r="I1893" i="7"/>
  <c r="H1893" i="7"/>
  <c r="G1893" i="7"/>
  <c r="F1893" i="7"/>
  <c r="E1893" i="7"/>
  <c r="D1893" i="7"/>
  <c r="C1893" i="7"/>
  <c r="O1892" i="7"/>
  <c r="N1892" i="7"/>
  <c r="M1892" i="7"/>
  <c r="L1892" i="7"/>
  <c r="K1892" i="7"/>
  <c r="J1892" i="7"/>
  <c r="I1892" i="7"/>
  <c r="H1892" i="7"/>
  <c r="G1892" i="7"/>
  <c r="F1892" i="7"/>
  <c r="E1892" i="7"/>
  <c r="D1892" i="7"/>
  <c r="C1892" i="7"/>
  <c r="O1891" i="7"/>
  <c r="N1891" i="7"/>
  <c r="M1891" i="7"/>
  <c r="L1891" i="7"/>
  <c r="K1891" i="7"/>
  <c r="J1891" i="7"/>
  <c r="I1891" i="7"/>
  <c r="H1891" i="7"/>
  <c r="G1891" i="7"/>
  <c r="F1891" i="7"/>
  <c r="E1891" i="7"/>
  <c r="D1891" i="7"/>
  <c r="C1891" i="7"/>
  <c r="O1890" i="7"/>
  <c r="N1890" i="7"/>
  <c r="M1890" i="7"/>
  <c r="L1890" i="7"/>
  <c r="K1890" i="7"/>
  <c r="J1890" i="7"/>
  <c r="I1890" i="7"/>
  <c r="H1890" i="7"/>
  <c r="G1890" i="7"/>
  <c r="F1890" i="7"/>
  <c r="E1890" i="7"/>
  <c r="D1890" i="7"/>
  <c r="C1890" i="7"/>
  <c r="O1889" i="7"/>
  <c r="N1889" i="7"/>
  <c r="M1889" i="7"/>
  <c r="L1889" i="7"/>
  <c r="K1889" i="7"/>
  <c r="J1889" i="7"/>
  <c r="I1889" i="7"/>
  <c r="H1889" i="7"/>
  <c r="G1889" i="7"/>
  <c r="F1889" i="7"/>
  <c r="E1889" i="7"/>
  <c r="D1889" i="7"/>
  <c r="C1889" i="7"/>
  <c r="O1888" i="7"/>
  <c r="N1888" i="7"/>
  <c r="M1888" i="7"/>
  <c r="L1888" i="7"/>
  <c r="K1888" i="7"/>
  <c r="J1888" i="7"/>
  <c r="I1888" i="7"/>
  <c r="H1888" i="7"/>
  <c r="G1888" i="7"/>
  <c r="F1888" i="7"/>
  <c r="E1888" i="7"/>
  <c r="D1888" i="7"/>
  <c r="C1888" i="7"/>
  <c r="O1887" i="7"/>
  <c r="N1887" i="7"/>
  <c r="M1887" i="7"/>
  <c r="L1887" i="7"/>
  <c r="K1887" i="7"/>
  <c r="J1887" i="7"/>
  <c r="I1887" i="7"/>
  <c r="H1887" i="7"/>
  <c r="G1887" i="7"/>
  <c r="F1887" i="7"/>
  <c r="E1887" i="7"/>
  <c r="D1887" i="7"/>
  <c r="C1887" i="7"/>
  <c r="O1886" i="7"/>
  <c r="N1886" i="7"/>
  <c r="M1886" i="7"/>
  <c r="L1886" i="7"/>
  <c r="K1886" i="7"/>
  <c r="J1886" i="7"/>
  <c r="I1886" i="7"/>
  <c r="H1886" i="7"/>
  <c r="G1886" i="7"/>
  <c r="F1886" i="7"/>
  <c r="E1886" i="7"/>
  <c r="D1886" i="7"/>
  <c r="C1886" i="7"/>
  <c r="O1885" i="7"/>
  <c r="N1885" i="7"/>
  <c r="M1885" i="7"/>
  <c r="L1885" i="7"/>
  <c r="K1885" i="7"/>
  <c r="J1885" i="7"/>
  <c r="I1885" i="7"/>
  <c r="H1885" i="7"/>
  <c r="G1885" i="7"/>
  <c r="F1885" i="7"/>
  <c r="E1885" i="7"/>
  <c r="D1885" i="7"/>
  <c r="C1885" i="7"/>
  <c r="O1884" i="7"/>
  <c r="N1884" i="7"/>
  <c r="M1884" i="7"/>
  <c r="L1884" i="7"/>
  <c r="K1884" i="7"/>
  <c r="J1884" i="7"/>
  <c r="I1884" i="7"/>
  <c r="H1884" i="7"/>
  <c r="G1884" i="7"/>
  <c r="F1884" i="7"/>
  <c r="E1884" i="7"/>
  <c r="D1884" i="7"/>
  <c r="C1884" i="7"/>
  <c r="O1883" i="7"/>
  <c r="N1883" i="7"/>
  <c r="M1883" i="7"/>
  <c r="L1883" i="7"/>
  <c r="K1883" i="7"/>
  <c r="J1883" i="7"/>
  <c r="I1883" i="7"/>
  <c r="H1883" i="7"/>
  <c r="G1883" i="7"/>
  <c r="F1883" i="7"/>
  <c r="E1883" i="7"/>
  <c r="D1883" i="7"/>
  <c r="C1883" i="7"/>
  <c r="O1882" i="7"/>
  <c r="N1882" i="7"/>
  <c r="M1882" i="7"/>
  <c r="L1882" i="7"/>
  <c r="K1882" i="7"/>
  <c r="J1882" i="7"/>
  <c r="I1882" i="7"/>
  <c r="H1882" i="7"/>
  <c r="G1882" i="7"/>
  <c r="F1882" i="7"/>
  <c r="E1882" i="7"/>
  <c r="D1882" i="7"/>
  <c r="C1882" i="7"/>
  <c r="O1881" i="7"/>
  <c r="N1881" i="7"/>
  <c r="M1881" i="7"/>
  <c r="L1881" i="7"/>
  <c r="K1881" i="7"/>
  <c r="J1881" i="7"/>
  <c r="I1881" i="7"/>
  <c r="H1881" i="7"/>
  <c r="G1881" i="7"/>
  <c r="F1881" i="7"/>
  <c r="E1881" i="7"/>
  <c r="D1881" i="7"/>
  <c r="C1881" i="7"/>
  <c r="O1880" i="7"/>
  <c r="N1880" i="7"/>
  <c r="M1880" i="7"/>
  <c r="L1880" i="7"/>
  <c r="K1880" i="7"/>
  <c r="J1880" i="7"/>
  <c r="I1880" i="7"/>
  <c r="H1880" i="7"/>
  <c r="G1880" i="7"/>
  <c r="F1880" i="7"/>
  <c r="E1880" i="7"/>
  <c r="D1880" i="7"/>
  <c r="C1880" i="7"/>
  <c r="O1879" i="7"/>
  <c r="N1879" i="7"/>
  <c r="M1879" i="7"/>
  <c r="L1879" i="7"/>
  <c r="K1879" i="7"/>
  <c r="J1879" i="7"/>
  <c r="I1879" i="7"/>
  <c r="H1879" i="7"/>
  <c r="G1879" i="7"/>
  <c r="F1879" i="7"/>
  <c r="E1879" i="7"/>
  <c r="D1879" i="7"/>
  <c r="C1879" i="7"/>
  <c r="O1878" i="7"/>
  <c r="N1878" i="7"/>
  <c r="M1878" i="7"/>
  <c r="L1878" i="7"/>
  <c r="K1878" i="7"/>
  <c r="J1878" i="7"/>
  <c r="I1878" i="7"/>
  <c r="H1878" i="7"/>
  <c r="G1878" i="7"/>
  <c r="F1878" i="7"/>
  <c r="E1878" i="7"/>
  <c r="D1878" i="7"/>
  <c r="C1878" i="7"/>
  <c r="O1873" i="7"/>
  <c r="N1873" i="7"/>
  <c r="M1873" i="7"/>
  <c r="L1873" i="7"/>
  <c r="K1873" i="7"/>
  <c r="J1873" i="7"/>
  <c r="I1873" i="7"/>
  <c r="H1873" i="7"/>
  <c r="G1873" i="7"/>
  <c r="F1873" i="7"/>
  <c r="E1873" i="7"/>
  <c r="D1873" i="7"/>
  <c r="C1873" i="7"/>
  <c r="C1872" i="7"/>
  <c r="C1871" i="7"/>
  <c r="C1870" i="7"/>
  <c r="O1869" i="7"/>
  <c r="N1869" i="7"/>
  <c r="M1869" i="7"/>
  <c r="L1869" i="7"/>
  <c r="K1869" i="7"/>
  <c r="J1869" i="7"/>
  <c r="I1869" i="7"/>
  <c r="G1869" i="7"/>
  <c r="F1869" i="7"/>
  <c r="E1869" i="7"/>
  <c r="D1869" i="7"/>
  <c r="C1869" i="7"/>
  <c r="O1868" i="7"/>
  <c r="N1868" i="7"/>
  <c r="M1868" i="7"/>
  <c r="L1868" i="7"/>
  <c r="K1868" i="7"/>
  <c r="J1868" i="7"/>
  <c r="I1868" i="7"/>
  <c r="H1868" i="7"/>
  <c r="G1868" i="7"/>
  <c r="F1868" i="7"/>
  <c r="E1868" i="7"/>
  <c r="D1868" i="7"/>
  <c r="C1868" i="7"/>
  <c r="O1867" i="7"/>
  <c r="N1867" i="7"/>
  <c r="M1867" i="7"/>
  <c r="L1867" i="7"/>
  <c r="K1867" i="7"/>
  <c r="J1867" i="7"/>
  <c r="I1867" i="7"/>
  <c r="H1867" i="7"/>
  <c r="G1867" i="7"/>
  <c r="F1867" i="7"/>
  <c r="E1867" i="7"/>
  <c r="D1867" i="7"/>
  <c r="C1867" i="7"/>
  <c r="O1866" i="7"/>
  <c r="N1866" i="7"/>
  <c r="M1866" i="7"/>
  <c r="L1866" i="7"/>
  <c r="K1866" i="7"/>
  <c r="J1866" i="7"/>
  <c r="I1866" i="7"/>
  <c r="H1866" i="7"/>
  <c r="G1866" i="7"/>
  <c r="F1866" i="7"/>
  <c r="E1866" i="7"/>
  <c r="D1866" i="7"/>
  <c r="C1866" i="7"/>
  <c r="O1865" i="7"/>
  <c r="N1865" i="7"/>
  <c r="M1865" i="7"/>
  <c r="L1865" i="7"/>
  <c r="K1865" i="7"/>
  <c r="J1865" i="7"/>
  <c r="I1865" i="7"/>
  <c r="H1865" i="7"/>
  <c r="G1865" i="7"/>
  <c r="F1865" i="7"/>
  <c r="E1865" i="7"/>
  <c r="D1865" i="7"/>
  <c r="C1865" i="7"/>
  <c r="O1864" i="7"/>
  <c r="N1864" i="7"/>
  <c r="M1864" i="7"/>
  <c r="L1864" i="7"/>
  <c r="K1864" i="7"/>
  <c r="J1864" i="7"/>
  <c r="I1864" i="7"/>
  <c r="H1864" i="7"/>
  <c r="G1864" i="7"/>
  <c r="F1864" i="7"/>
  <c r="E1864" i="7"/>
  <c r="D1864" i="7"/>
  <c r="C1864" i="7"/>
  <c r="O1863" i="7"/>
  <c r="N1863" i="7"/>
  <c r="M1863" i="7"/>
  <c r="L1863" i="7"/>
  <c r="K1863" i="7"/>
  <c r="J1863" i="7"/>
  <c r="I1863" i="7"/>
  <c r="H1863" i="7"/>
  <c r="G1863" i="7"/>
  <c r="F1863" i="7"/>
  <c r="E1863" i="7"/>
  <c r="D1863" i="7"/>
  <c r="C1863" i="7"/>
  <c r="O1862" i="7"/>
  <c r="N1862" i="7"/>
  <c r="M1862" i="7"/>
  <c r="L1862" i="7"/>
  <c r="K1862" i="7"/>
  <c r="J1862" i="7"/>
  <c r="I1862" i="7"/>
  <c r="H1862" i="7"/>
  <c r="G1862" i="7"/>
  <c r="F1862" i="7"/>
  <c r="E1862" i="7"/>
  <c r="D1862" i="7"/>
  <c r="C1862" i="7"/>
  <c r="O1861" i="7"/>
  <c r="N1861" i="7"/>
  <c r="M1861" i="7"/>
  <c r="L1861" i="7"/>
  <c r="K1861" i="7"/>
  <c r="J1861" i="7"/>
  <c r="I1861" i="7"/>
  <c r="H1861" i="7"/>
  <c r="G1861" i="7"/>
  <c r="F1861" i="7"/>
  <c r="E1861" i="7"/>
  <c r="D1861" i="7"/>
  <c r="C1861" i="7"/>
  <c r="O1860" i="7"/>
  <c r="N1860" i="7"/>
  <c r="M1860" i="7"/>
  <c r="L1860" i="7"/>
  <c r="K1860" i="7"/>
  <c r="J1860" i="7"/>
  <c r="I1860" i="7"/>
  <c r="H1860" i="7"/>
  <c r="G1860" i="7"/>
  <c r="F1860" i="7"/>
  <c r="E1860" i="7"/>
  <c r="D1860" i="7"/>
  <c r="C1860" i="7"/>
  <c r="O1859" i="7"/>
  <c r="N1859" i="7"/>
  <c r="M1859" i="7"/>
  <c r="L1859" i="7"/>
  <c r="K1859" i="7"/>
  <c r="J1859" i="7"/>
  <c r="I1859" i="7"/>
  <c r="H1859" i="7"/>
  <c r="G1859" i="7"/>
  <c r="F1859" i="7"/>
  <c r="E1859" i="7"/>
  <c r="D1859" i="7"/>
  <c r="C1859" i="7"/>
  <c r="O1858" i="7"/>
  <c r="N1858" i="7"/>
  <c r="M1858" i="7"/>
  <c r="L1858" i="7"/>
  <c r="K1858" i="7"/>
  <c r="J1858" i="7"/>
  <c r="I1858" i="7"/>
  <c r="H1858" i="7"/>
  <c r="G1858" i="7"/>
  <c r="F1858" i="7"/>
  <c r="E1858" i="7"/>
  <c r="D1858" i="7"/>
  <c r="C1858" i="7"/>
  <c r="O1857" i="7"/>
  <c r="N1857" i="7"/>
  <c r="M1857" i="7"/>
  <c r="L1857" i="7"/>
  <c r="K1857" i="7"/>
  <c r="J1857" i="7"/>
  <c r="I1857" i="7"/>
  <c r="H1857" i="7"/>
  <c r="G1857" i="7"/>
  <c r="F1857" i="7"/>
  <c r="E1857" i="7"/>
  <c r="D1857" i="7"/>
  <c r="C1857" i="7"/>
  <c r="O1856" i="7"/>
  <c r="N1856" i="7"/>
  <c r="M1856" i="7"/>
  <c r="L1856" i="7"/>
  <c r="K1856" i="7"/>
  <c r="J1856" i="7"/>
  <c r="I1856" i="7"/>
  <c r="H1856" i="7"/>
  <c r="G1856" i="7"/>
  <c r="F1856" i="7"/>
  <c r="E1856" i="7"/>
  <c r="D1856" i="7"/>
  <c r="C1856" i="7"/>
  <c r="O1855" i="7"/>
  <c r="N1855" i="7"/>
  <c r="M1855" i="7"/>
  <c r="L1855" i="7"/>
  <c r="K1855" i="7"/>
  <c r="J1855" i="7"/>
  <c r="I1855" i="7"/>
  <c r="H1855" i="7"/>
  <c r="G1855" i="7"/>
  <c r="F1855" i="7"/>
  <c r="E1855" i="7"/>
  <c r="D1855" i="7"/>
  <c r="C1855" i="7"/>
  <c r="O1854" i="7"/>
  <c r="N1854" i="7"/>
  <c r="M1854" i="7"/>
  <c r="L1854" i="7"/>
  <c r="K1854" i="7"/>
  <c r="J1854" i="7"/>
  <c r="I1854" i="7"/>
  <c r="H1854" i="7"/>
  <c r="G1854" i="7"/>
  <c r="F1854" i="7"/>
  <c r="E1854" i="7"/>
  <c r="D1854" i="7"/>
  <c r="C1854" i="7"/>
  <c r="O1853" i="7"/>
  <c r="N1853" i="7"/>
  <c r="M1853" i="7"/>
  <c r="L1853" i="7"/>
  <c r="K1853" i="7"/>
  <c r="J1853" i="7"/>
  <c r="I1853" i="7"/>
  <c r="H1853" i="7"/>
  <c r="G1853" i="7"/>
  <c r="F1853" i="7"/>
  <c r="E1853" i="7"/>
  <c r="D1853" i="7"/>
  <c r="C1853" i="7"/>
  <c r="O1852" i="7"/>
  <c r="N1852" i="7"/>
  <c r="M1852" i="7"/>
  <c r="L1852" i="7"/>
  <c r="K1852" i="7"/>
  <c r="J1852" i="7"/>
  <c r="I1852" i="7"/>
  <c r="H1852" i="7"/>
  <c r="G1852" i="7"/>
  <c r="F1852" i="7"/>
  <c r="E1852" i="7"/>
  <c r="D1852" i="7"/>
  <c r="C1852" i="7"/>
  <c r="O1851" i="7"/>
  <c r="N1851" i="7"/>
  <c r="M1851" i="7"/>
  <c r="L1851" i="7"/>
  <c r="K1851" i="7"/>
  <c r="J1851" i="7"/>
  <c r="I1851" i="7"/>
  <c r="H1851" i="7"/>
  <c r="G1851" i="7"/>
  <c r="F1851" i="7"/>
  <c r="E1851" i="7"/>
  <c r="D1851" i="7"/>
  <c r="C1851" i="7"/>
  <c r="O1850" i="7"/>
  <c r="N1850" i="7"/>
  <c r="M1850" i="7"/>
  <c r="L1850" i="7"/>
  <c r="K1850" i="7"/>
  <c r="J1850" i="7"/>
  <c r="I1850" i="7"/>
  <c r="H1850" i="7"/>
  <c r="G1850" i="7"/>
  <c r="F1850" i="7"/>
  <c r="E1850" i="7"/>
  <c r="D1850" i="7"/>
  <c r="C1850" i="7"/>
  <c r="O1849" i="7"/>
  <c r="N1849" i="7"/>
  <c r="M1849" i="7"/>
  <c r="L1849" i="7"/>
  <c r="K1849" i="7"/>
  <c r="J1849" i="7"/>
  <c r="I1849" i="7"/>
  <c r="H1849" i="7"/>
  <c r="G1849" i="7"/>
  <c r="F1849" i="7"/>
  <c r="E1849" i="7"/>
  <c r="D1849" i="7"/>
  <c r="C1849" i="7"/>
  <c r="O1848" i="7"/>
  <c r="N1848" i="7"/>
  <c r="M1848" i="7"/>
  <c r="L1848" i="7"/>
  <c r="K1848" i="7"/>
  <c r="J1848" i="7"/>
  <c r="I1848" i="7"/>
  <c r="H1848" i="7"/>
  <c r="G1848" i="7"/>
  <c r="F1848" i="7"/>
  <c r="E1848" i="7"/>
  <c r="D1848" i="7"/>
  <c r="C1848" i="7"/>
  <c r="O1847" i="7"/>
  <c r="N1847" i="7"/>
  <c r="M1847" i="7"/>
  <c r="L1847" i="7"/>
  <c r="K1847" i="7"/>
  <c r="J1847" i="7"/>
  <c r="I1847" i="7"/>
  <c r="H1847" i="7"/>
  <c r="G1847" i="7"/>
  <c r="F1847" i="7"/>
  <c r="E1847" i="7"/>
  <c r="D1847" i="7"/>
  <c r="C1847" i="7"/>
  <c r="O1846" i="7"/>
  <c r="N1846" i="7"/>
  <c r="M1846" i="7"/>
  <c r="L1846" i="7"/>
  <c r="K1846" i="7"/>
  <c r="J1846" i="7"/>
  <c r="I1846" i="7"/>
  <c r="H1846" i="7"/>
  <c r="G1846" i="7"/>
  <c r="F1846" i="7"/>
  <c r="E1846" i="7"/>
  <c r="D1846" i="7"/>
  <c r="C1846" i="7"/>
  <c r="O1845" i="7"/>
  <c r="N1845" i="7"/>
  <c r="M1845" i="7"/>
  <c r="L1845" i="7"/>
  <c r="K1845" i="7"/>
  <c r="J1845" i="7"/>
  <c r="I1845" i="7"/>
  <c r="H1845" i="7"/>
  <c r="G1845" i="7"/>
  <c r="F1845" i="7"/>
  <c r="E1845" i="7"/>
  <c r="D1845" i="7"/>
  <c r="C1845" i="7"/>
  <c r="O1844" i="7"/>
  <c r="N1844" i="7"/>
  <c r="M1844" i="7"/>
  <c r="L1844" i="7"/>
  <c r="K1844" i="7"/>
  <c r="J1844" i="7"/>
  <c r="I1844" i="7"/>
  <c r="H1844" i="7"/>
  <c r="G1844" i="7"/>
  <c r="F1844" i="7"/>
  <c r="E1844" i="7"/>
  <c r="D1844" i="7"/>
  <c r="C1844" i="7"/>
  <c r="O1843" i="7"/>
  <c r="N1843" i="7"/>
  <c r="M1843" i="7"/>
  <c r="L1843" i="7"/>
  <c r="K1843" i="7"/>
  <c r="J1843" i="7"/>
  <c r="I1843" i="7"/>
  <c r="H1843" i="7"/>
  <c r="G1843" i="7"/>
  <c r="F1843" i="7"/>
  <c r="E1843" i="7"/>
  <c r="D1843" i="7"/>
  <c r="C1843" i="7"/>
  <c r="O1842" i="7"/>
  <c r="N1842" i="7"/>
  <c r="M1842" i="7"/>
  <c r="L1842" i="7"/>
  <c r="K1842" i="7"/>
  <c r="J1842" i="7"/>
  <c r="I1842" i="7"/>
  <c r="H1842" i="7"/>
  <c r="G1842" i="7"/>
  <c r="F1842" i="7"/>
  <c r="E1842" i="7"/>
  <c r="D1842" i="7"/>
  <c r="C1842" i="7"/>
  <c r="O1841" i="7"/>
  <c r="N1841" i="7"/>
  <c r="M1841" i="7"/>
  <c r="L1841" i="7"/>
  <c r="K1841" i="7"/>
  <c r="J1841" i="7"/>
  <c r="I1841" i="7"/>
  <c r="H1841" i="7"/>
  <c r="G1841" i="7"/>
  <c r="F1841" i="7"/>
  <c r="E1841" i="7"/>
  <c r="D1841" i="7"/>
  <c r="C1841" i="7"/>
  <c r="O1840" i="7"/>
  <c r="N1840" i="7"/>
  <c r="M1840" i="7"/>
  <c r="L1840" i="7"/>
  <c r="K1840" i="7"/>
  <c r="J1840" i="7"/>
  <c r="I1840" i="7"/>
  <c r="H1840" i="7"/>
  <c r="G1840" i="7"/>
  <c r="F1840" i="7"/>
  <c r="E1840" i="7"/>
  <c r="D1840" i="7"/>
  <c r="C1840" i="7"/>
  <c r="O1839" i="7"/>
  <c r="N1839" i="7"/>
  <c r="M1839" i="7"/>
  <c r="L1839" i="7"/>
  <c r="K1839" i="7"/>
  <c r="J1839" i="7"/>
  <c r="I1839" i="7"/>
  <c r="H1839" i="7"/>
  <c r="G1839" i="7"/>
  <c r="F1839" i="7"/>
  <c r="E1839" i="7"/>
  <c r="D1839" i="7"/>
  <c r="C1839" i="7"/>
  <c r="O1838" i="7"/>
  <c r="N1838" i="7"/>
  <c r="M1838" i="7"/>
  <c r="L1838" i="7"/>
  <c r="K1838" i="7"/>
  <c r="J1838" i="7"/>
  <c r="I1838" i="7"/>
  <c r="H1838" i="7"/>
  <c r="G1838" i="7"/>
  <c r="F1838" i="7"/>
  <c r="E1838" i="7"/>
  <c r="D1838" i="7"/>
  <c r="C1838" i="7"/>
  <c r="O1837" i="7"/>
  <c r="N1837" i="7"/>
  <c r="M1837" i="7"/>
  <c r="L1837" i="7"/>
  <c r="K1837" i="7"/>
  <c r="J1837" i="7"/>
  <c r="I1837" i="7"/>
  <c r="H1837" i="7"/>
  <c r="G1837" i="7"/>
  <c r="F1837" i="7"/>
  <c r="E1837" i="7"/>
  <c r="D1837" i="7"/>
  <c r="C1837" i="7"/>
  <c r="O1836" i="7"/>
  <c r="N1836" i="7"/>
  <c r="M1836" i="7"/>
  <c r="L1836" i="7"/>
  <c r="K1836" i="7"/>
  <c r="J1836" i="7"/>
  <c r="I1836" i="7"/>
  <c r="H1836" i="7"/>
  <c r="G1836" i="7"/>
  <c r="F1836" i="7"/>
  <c r="E1836" i="7"/>
  <c r="D1836" i="7"/>
  <c r="C1836" i="7"/>
  <c r="O1835" i="7"/>
  <c r="N1835" i="7"/>
  <c r="M1835" i="7"/>
  <c r="L1835" i="7"/>
  <c r="K1835" i="7"/>
  <c r="J1835" i="7"/>
  <c r="I1835" i="7"/>
  <c r="H1835" i="7"/>
  <c r="G1835" i="7"/>
  <c r="F1835" i="7"/>
  <c r="E1835" i="7"/>
  <c r="D1835" i="7"/>
  <c r="C1835" i="7"/>
  <c r="O1834" i="7"/>
  <c r="N1834" i="7"/>
  <c r="M1834" i="7"/>
  <c r="L1834" i="7"/>
  <c r="K1834" i="7"/>
  <c r="J1834" i="7"/>
  <c r="I1834" i="7"/>
  <c r="H1834" i="7"/>
  <c r="G1834" i="7"/>
  <c r="F1834" i="7"/>
  <c r="E1834" i="7"/>
  <c r="D1834" i="7"/>
  <c r="C1834" i="7"/>
  <c r="O1833" i="7"/>
  <c r="N1833" i="7"/>
  <c r="M1833" i="7"/>
  <c r="L1833" i="7"/>
  <c r="K1833" i="7"/>
  <c r="J1833" i="7"/>
  <c r="I1833" i="7"/>
  <c r="H1833" i="7"/>
  <c r="G1833" i="7"/>
  <c r="F1833" i="7"/>
  <c r="E1833" i="7"/>
  <c r="D1833" i="7"/>
  <c r="C1833" i="7"/>
  <c r="O1832" i="7"/>
  <c r="N1832" i="7"/>
  <c r="M1832" i="7"/>
  <c r="L1832" i="7"/>
  <c r="K1832" i="7"/>
  <c r="J1832" i="7"/>
  <c r="I1832" i="7"/>
  <c r="H1832" i="7"/>
  <c r="G1832" i="7"/>
  <c r="F1832" i="7"/>
  <c r="E1832" i="7"/>
  <c r="D1832" i="7"/>
  <c r="C1832" i="7"/>
  <c r="O1831" i="7"/>
  <c r="N1831" i="7"/>
  <c r="M1831" i="7"/>
  <c r="L1831" i="7"/>
  <c r="K1831" i="7"/>
  <c r="J1831" i="7"/>
  <c r="I1831" i="7"/>
  <c r="H1831" i="7"/>
  <c r="G1831" i="7"/>
  <c r="F1831" i="7"/>
  <c r="E1831" i="7"/>
  <c r="D1831" i="7"/>
  <c r="C1831" i="7"/>
  <c r="O1830" i="7"/>
  <c r="N1830" i="7"/>
  <c r="M1830" i="7"/>
  <c r="L1830" i="7"/>
  <c r="K1830" i="7"/>
  <c r="J1830" i="7"/>
  <c r="I1830" i="7"/>
  <c r="H1830" i="7"/>
  <c r="G1830" i="7"/>
  <c r="F1830" i="7"/>
  <c r="E1830" i="7"/>
  <c r="D1830" i="7"/>
  <c r="C1830" i="7"/>
  <c r="O1829" i="7"/>
  <c r="N1829" i="7"/>
  <c r="M1829" i="7"/>
  <c r="L1829" i="7"/>
  <c r="K1829" i="7"/>
  <c r="J1829" i="7"/>
  <c r="I1829" i="7"/>
  <c r="H1829" i="7"/>
  <c r="G1829" i="7"/>
  <c r="F1829" i="7"/>
  <c r="E1829" i="7"/>
  <c r="D1829" i="7"/>
  <c r="C1829" i="7"/>
  <c r="O1828" i="7"/>
  <c r="N1828" i="7"/>
  <c r="M1828" i="7"/>
  <c r="L1828" i="7"/>
  <c r="K1828" i="7"/>
  <c r="J1828" i="7"/>
  <c r="I1828" i="7"/>
  <c r="H1828" i="7"/>
  <c r="G1828" i="7"/>
  <c r="F1828" i="7"/>
  <c r="E1828" i="7"/>
  <c r="D1828" i="7"/>
  <c r="C1828" i="7"/>
  <c r="O1827" i="7"/>
  <c r="N1827" i="7"/>
  <c r="M1827" i="7"/>
  <c r="L1827" i="7"/>
  <c r="K1827" i="7"/>
  <c r="J1827" i="7"/>
  <c r="I1827" i="7"/>
  <c r="H1827" i="7"/>
  <c r="G1827" i="7"/>
  <c r="F1827" i="7"/>
  <c r="E1827" i="7"/>
  <c r="D1827" i="7"/>
  <c r="C1827" i="7"/>
  <c r="O1826" i="7"/>
  <c r="N1826" i="7"/>
  <c r="M1826" i="7"/>
  <c r="L1826" i="7"/>
  <c r="K1826" i="7"/>
  <c r="J1826" i="7"/>
  <c r="I1826" i="7"/>
  <c r="H1826" i="7"/>
  <c r="G1826" i="7"/>
  <c r="F1826" i="7"/>
  <c r="E1826" i="7"/>
  <c r="D1826" i="7"/>
  <c r="C1826" i="7"/>
  <c r="O1825" i="7"/>
  <c r="N1825" i="7"/>
  <c r="M1825" i="7"/>
  <c r="L1825" i="7"/>
  <c r="K1825" i="7"/>
  <c r="J1825" i="7"/>
  <c r="I1825" i="7"/>
  <c r="H1825" i="7"/>
  <c r="G1825" i="7"/>
  <c r="F1825" i="7"/>
  <c r="E1825" i="7"/>
  <c r="D1825" i="7"/>
  <c r="C1825" i="7"/>
  <c r="O1824" i="7"/>
  <c r="N1824" i="7"/>
  <c r="M1824" i="7"/>
  <c r="L1824" i="7"/>
  <c r="K1824" i="7"/>
  <c r="J1824" i="7"/>
  <c r="I1824" i="7"/>
  <c r="H1824" i="7"/>
  <c r="G1824" i="7"/>
  <c r="F1824" i="7"/>
  <c r="E1824" i="7"/>
  <c r="D1824" i="7"/>
  <c r="C1824" i="7"/>
  <c r="O1823" i="7"/>
  <c r="N1823" i="7"/>
  <c r="M1823" i="7"/>
  <c r="L1823" i="7"/>
  <c r="K1823" i="7"/>
  <c r="J1823" i="7"/>
  <c r="I1823" i="7"/>
  <c r="H1823" i="7"/>
  <c r="G1823" i="7"/>
  <c r="F1823" i="7"/>
  <c r="E1823" i="7"/>
  <c r="D1823" i="7"/>
  <c r="C1823" i="7"/>
  <c r="O1822" i="7"/>
  <c r="N1822" i="7"/>
  <c r="M1822" i="7"/>
  <c r="L1822" i="7"/>
  <c r="K1822" i="7"/>
  <c r="J1822" i="7"/>
  <c r="I1822" i="7"/>
  <c r="H1822" i="7"/>
  <c r="G1822" i="7"/>
  <c r="F1822" i="7"/>
  <c r="E1822" i="7"/>
  <c r="D1822" i="7"/>
  <c r="C1822" i="7"/>
  <c r="O1821" i="7"/>
  <c r="N1821" i="7"/>
  <c r="M1821" i="7"/>
  <c r="L1821" i="7"/>
  <c r="K1821" i="7"/>
  <c r="J1821" i="7"/>
  <c r="I1821" i="7"/>
  <c r="H1821" i="7"/>
  <c r="G1821" i="7"/>
  <c r="F1821" i="7"/>
  <c r="E1821" i="7"/>
  <c r="D1821" i="7"/>
  <c r="C1821" i="7"/>
  <c r="O1820" i="7"/>
  <c r="N1820" i="7"/>
  <c r="M1820" i="7"/>
  <c r="L1820" i="7"/>
  <c r="K1820" i="7"/>
  <c r="J1820" i="7"/>
  <c r="I1820" i="7"/>
  <c r="H1820" i="7"/>
  <c r="G1820" i="7"/>
  <c r="F1820" i="7"/>
  <c r="E1820" i="7"/>
  <c r="D1820" i="7"/>
  <c r="C1820" i="7"/>
  <c r="O1819" i="7"/>
  <c r="N1819" i="7"/>
  <c r="M1819" i="7"/>
  <c r="L1819" i="7"/>
  <c r="K1819" i="7"/>
  <c r="J1819" i="7"/>
  <c r="I1819" i="7"/>
  <c r="H1819" i="7"/>
  <c r="G1819" i="7"/>
  <c r="F1819" i="7"/>
  <c r="E1819" i="7"/>
  <c r="D1819" i="7"/>
  <c r="C1819" i="7"/>
  <c r="O1818" i="7"/>
  <c r="N1818" i="7"/>
  <c r="M1818" i="7"/>
  <c r="L1818" i="7"/>
  <c r="K1818" i="7"/>
  <c r="J1818" i="7"/>
  <c r="I1818" i="7"/>
  <c r="H1818" i="7"/>
  <c r="G1818" i="7"/>
  <c r="F1818" i="7"/>
  <c r="E1818" i="7"/>
  <c r="D1818" i="7"/>
  <c r="C1818" i="7"/>
  <c r="O1817" i="7"/>
  <c r="N1817" i="7"/>
  <c r="M1817" i="7"/>
  <c r="L1817" i="7"/>
  <c r="K1817" i="7"/>
  <c r="J1817" i="7"/>
  <c r="I1817" i="7"/>
  <c r="H1817" i="7"/>
  <c r="G1817" i="7"/>
  <c r="F1817" i="7"/>
  <c r="E1817" i="7"/>
  <c r="D1817" i="7"/>
  <c r="C1817" i="7"/>
  <c r="O1816" i="7"/>
  <c r="N1816" i="7"/>
  <c r="M1816" i="7"/>
  <c r="L1816" i="7"/>
  <c r="K1816" i="7"/>
  <c r="J1816" i="7"/>
  <c r="I1816" i="7"/>
  <c r="H1816" i="7"/>
  <c r="G1816" i="7"/>
  <c r="F1816" i="7"/>
  <c r="E1816" i="7"/>
  <c r="D1816" i="7"/>
  <c r="C1816" i="7"/>
  <c r="O1815" i="7"/>
  <c r="N1815" i="7"/>
  <c r="M1815" i="7"/>
  <c r="L1815" i="7"/>
  <c r="K1815" i="7"/>
  <c r="J1815" i="7"/>
  <c r="I1815" i="7"/>
  <c r="H1815" i="7"/>
  <c r="G1815" i="7"/>
  <c r="F1815" i="7"/>
  <c r="E1815" i="7"/>
  <c r="D1815" i="7"/>
  <c r="C1815" i="7"/>
  <c r="O1814" i="7"/>
  <c r="N1814" i="7"/>
  <c r="M1814" i="7"/>
  <c r="L1814" i="7"/>
  <c r="K1814" i="7"/>
  <c r="J1814" i="7"/>
  <c r="I1814" i="7"/>
  <c r="H1814" i="7"/>
  <c r="G1814" i="7"/>
  <c r="F1814" i="7"/>
  <c r="E1814" i="7"/>
  <c r="D1814" i="7"/>
  <c r="C1814" i="7"/>
  <c r="O1813" i="7"/>
  <c r="N1813" i="7"/>
  <c r="M1813" i="7"/>
  <c r="L1813" i="7"/>
  <c r="K1813" i="7"/>
  <c r="J1813" i="7"/>
  <c r="I1813" i="7"/>
  <c r="H1813" i="7"/>
  <c r="G1813" i="7"/>
  <c r="F1813" i="7"/>
  <c r="E1813" i="7"/>
  <c r="D1813" i="7"/>
  <c r="C1813" i="7"/>
  <c r="O1812" i="7"/>
  <c r="N1812" i="7"/>
  <c r="M1812" i="7"/>
  <c r="L1812" i="7"/>
  <c r="K1812" i="7"/>
  <c r="J1812" i="7"/>
  <c r="I1812" i="7"/>
  <c r="H1812" i="7"/>
  <c r="G1812" i="7"/>
  <c r="F1812" i="7"/>
  <c r="E1812" i="7"/>
  <c r="D1812" i="7"/>
  <c r="C1812" i="7"/>
  <c r="O1811" i="7"/>
  <c r="N1811" i="7"/>
  <c r="M1811" i="7"/>
  <c r="L1811" i="7"/>
  <c r="K1811" i="7"/>
  <c r="J1811" i="7"/>
  <c r="I1811" i="7"/>
  <c r="H1811" i="7"/>
  <c r="G1811" i="7"/>
  <c r="F1811" i="7"/>
  <c r="E1811" i="7"/>
  <c r="D1811" i="7"/>
  <c r="C1811" i="7"/>
  <c r="O1810" i="7"/>
  <c r="N1810" i="7"/>
  <c r="M1810" i="7"/>
  <c r="L1810" i="7"/>
  <c r="K1810" i="7"/>
  <c r="J1810" i="7"/>
  <c r="I1810" i="7"/>
  <c r="H1810" i="7"/>
  <c r="G1810" i="7"/>
  <c r="F1810" i="7"/>
  <c r="E1810" i="7"/>
  <c r="D1810" i="7"/>
  <c r="C1810" i="7"/>
  <c r="O1809" i="7"/>
  <c r="N1809" i="7"/>
  <c r="M1809" i="7"/>
  <c r="L1809" i="7"/>
  <c r="K1809" i="7"/>
  <c r="J1809" i="7"/>
  <c r="I1809" i="7"/>
  <c r="H1809" i="7"/>
  <c r="G1809" i="7"/>
  <c r="F1809" i="7"/>
  <c r="E1809" i="7"/>
  <c r="D1809" i="7"/>
  <c r="C1809" i="7"/>
  <c r="O1808" i="7"/>
  <c r="N1808" i="7"/>
  <c r="M1808" i="7"/>
  <c r="L1808" i="7"/>
  <c r="K1808" i="7"/>
  <c r="J1808" i="7"/>
  <c r="I1808" i="7"/>
  <c r="H1808" i="7"/>
  <c r="G1808" i="7"/>
  <c r="F1808" i="7"/>
  <c r="E1808" i="7"/>
  <c r="D1808" i="7"/>
  <c r="C1808" i="7"/>
  <c r="O1807" i="7"/>
  <c r="N1807" i="7"/>
  <c r="M1807" i="7"/>
  <c r="L1807" i="7"/>
  <c r="K1807" i="7"/>
  <c r="J1807" i="7"/>
  <c r="I1807" i="7"/>
  <c r="H1807" i="7"/>
  <c r="G1807" i="7"/>
  <c r="F1807" i="7"/>
  <c r="E1807" i="7"/>
  <c r="D1807" i="7"/>
  <c r="C1807" i="7"/>
  <c r="O1806" i="7"/>
  <c r="N1806" i="7"/>
  <c r="M1806" i="7"/>
  <c r="L1806" i="7"/>
  <c r="K1806" i="7"/>
  <c r="J1806" i="7"/>
  <c r="I1806" i="7"/>
  <c r="H1806" i="7"/>
  <c r="G1806" i="7"/>
  <c r="F1806" i="7"/>
  <c r="E1806" i="7"/>
  <c r="D1806" i="7"/>
  <c r="C1806" i="7"/>
  <c r="O1805" i="7"/>
  <c r="N1805" i="7"/>
  <c r="M1805" i="7"/>
  <c r="L1805" i="7"/>
  <c r="K1805" i="7"/>
  <c r="J1805" i="7"/>
  <c r="I1805" i="7"/>
  <c r="H1805" i="7"/>
  <c r="G1805" i="7"/>
  <c r="F1805" i="7"/>
  <c r="E1805" i="7"/>
  <c r="D1805" i="7"/>
  <c r="C1805" i="7"/>
  <c r="O1804" i="7"/>
  <c r="N1804" i="7"/>
  <c r="M1804" i="7"/>
  <c r="L1804" i="7"/>
  <c r="K1804" i="7"/>
  <c r="J1804" i="7"/>
  <c r="I1804" i="7"/>
  <c r="H1804" i="7"/>
  <c r="G1804" i="7"/>
  <c r="F1804" i="7"/>
  <c r="E1804" i="7"/>
  <c r="D1804" i="7"/>
  <c r="C1804" i="7"/>
  <c r="O1803" i="7"/>
  <c r="N1803" i="7"/>
  <c r="M1803" i="7"/>
  <c r="L1803" i="7"/>
  <c r="K1803" i="7"/>
  <c r="J1803" i="7"/>
  <c r="I1803" i="7"/>
  <c r="H1803" i="7"/>
  <c r="G1803" i="7"/>
  <c r="F1803" i="7"/>
  <c r="E1803" i="7"/>
  <c r="D1803" i="7"/>
  <c r="C1803" i="7"/>
  <c r="O1802" i="7"/>
  <c r="N1802" i="7"/>
  <c r="M1802" i="7"/>
  <c r="L1802" i="7"/>
  <c r="K1802" i="7"/>
  <c r="J1802" i="7"/>
  <c r="I1802" i="7"/>
  <c r="H1802" i="7"/>
  <c r="G1802" i="7"/>
  <c r="F1802" i="7"/>
  <c r="E1802" i="7"/>
  <c r="D1802" i="7"/>
  <c r="C1802" i="7"/>
  <c r="O1801" i="7"/>
  <c r="N1801" i="7"/>
  <c r="M1801" i="7"/>
  <c r="L1801" i="7"/>
  <c r="K1801" i="7"/>
  <c r="J1801" i="7"/>
  <c r="I1801" i="7"/>
  <c r="H1801" i="7"/>
  <c r="G1801" i="7"/>
  <c r="F1801" i="7"/>
  <c r="E1801" i="7"/>
  <c r="D1801" i="7"/>
  <c r="C1801" i="7"/>
  <c r="O1800" i="7"/>
  <c r="N1800" i="7"/>
  <c r="M1800" i="7"/>
  <c r="L1800" i="7"/>
  <c r="K1800" i="7"/>
  <c r="J1800" i="7"/>
  <c r="I1800" i="7"/>
  <c r="H1800" i="7"/>
  <c r="G1800" i="7"/>
  <c r="F1800" i="7"/>
  <c r="E1800" i="7"/>
  <c r="D1800" i="7"/>
  <c r="C1800" i="7"/>
  <c r="O1799" i="7"/>
  <c r="N1799" i="7"/>
  <c r="M1799" i="7"/>
  <c r="L1799" i="7"/>
  <c r="K1799" i="7"/>
  <c r="J1799" i="7"/>
  <c r="I1799" i="7"/>
  <c r="H1799" i="7"/>
  <c r="G1799" i="7"/>
  <c r="F1799" i="7"/>
  <c r="E1799" i="7"/>
  <c r="D1799" i="7"/>
  <c r="C1799" i="7"/>
  <c r="O1798" i="7"/>
  <c r="N1798" i="7"/>
  <c r="M1798" i="7"/>
  <c r="L1798" i="7"/>
  <c r="K1798" i="7"/>
  <c r="J1798" i="7"/>
  <c r="I1798" i="7"/>
  <c r="H1798" i="7"/>
  <c r="G1798" i="7"/>
  <c r="F1798" i="7"/>
  <c r="E1798" i="7"/>
  <c r="D1798" i="7"/>
  <c r="C1798" i="7"/>
  <c r="O1797" i="7"/>
  <c r="N1797" i="7"/>
  <c r="M1797" i="7"/>
  <c r="L1797" i="7"/>
  <c r="K1797" i="7"/>
  <c r="J1797" i="7"/>
  <c r="I1797" i="7"/>
  <c r="H1797" i="7"/>
  <c r="G1797" i="7"/>
  <c r="F1797" i="7"/>
  <c r="E1797" i="7"/>
  <c r="D1797" i="7"/>
  <c r="C1797" i="7"/>
  <c r="O1796" i="7"/>
  <c r="N1796" i="7"/>
  <c r="M1796" i="7"/>
  <c r="L1796" i="7"/>
  <c r="K1796" i="7"/>
  <c r="J1796" i="7"/>
  <c r="I1796" i="7"/>
  <c r="H1796" i="7"/>
  <c r="G1796" i="7"/>
  <c r="F1796" i="7"/>
  <c r="E1796" i="7"/>
  <c r="D1796" i="7"/>
  <c r="C1796" i="7"/>
  <c r="O1795" i="7"/>
  <c r="N1795" i="7"/>
  <c r="M1795" i="7"/>
  <c r="L1795" i="7"/>
  <c r="K1795" i="7"/>
  <c r="J1795" i="7"/>
  <c r="I1795" i="7"/>
  <c r="H1795" i="7"/>
  <c r="G1795" i="7"/>
  <c r="F1795" i="7"/>
  <c r="E1795" i="7"/>
  <c r="D1795" i="7"/>
  <c r="C1795" i="7"/>
  <c r="O1794" i="7"/>
  <c r="N1794" i="7"/>
  <c r="M1794" i="7"/>
  <c r="L1794" i="7"/>
  <c r="K1794" i="7"/>
  <c r="J1794" i="7"/>
  <c r="I1794" i="7"/>
  <c r="H1794" i="7"/>
  <c r="G1794" i="7"/>
  <c r="F1794" i="7"/>
  <c r="E1794" i="7"/>
  <c r="D1794" i="7"/>
  <c r="C1794" i="7"/>
  <c r="O1793" i="7"/>
  <c r="N1793" i="7"/>
  <c r="M1793" i="7"/>
  <c r="L1793" i="7"/>
  <c r="K1793" i="7"/>
  <c r="J1793" i="7"/>
  <c r="I1793" i="7"/>
  <c r="H1793" i="7"/>
  <c r="G1793" i="7"/>
  <c r="F1793" i="7"/>
  <c r="E1793" i="7"/>
  <c r="D1793" i="7"/>
  <c r="C1793" i="7"/>
  <c r="O1792" i="7"/>
  <c r="N1792" i="7"/>
  <c r="M1792" i="7"/>
  <c r="L1792" i="7"/>
  <c r="K1792" i="7"/>
  <c r="J1792" i="7"/>
  <c r="I1792" i="7"/>
  <c r="H1792" i="7"/>
  <c r="G1792" i="7"/>
  <c r="F1792" i="7"/>
  <c r="E1792" i="7"/>
  <c r="D1792" i="7"/>
  <c r="C1792" i="7"/>
  <c r="O1791" i="7"/>
  <c r="N1791" i="7"/>
  <c r="M1791" i="7"/>
  <c r="L1791" i="7"/>
  <c r="K1791" i="7"/>
  <c r="J1791" i="7"/>
  <c r="I1791" i="7"/>
  <c r="H1791" i="7"/>
  <c r="G1791" i="7"/>
  <c r="F1791" i="7"/>
  <c r="E1791" i="7"/>
  <c r="D1791" i="7"/>
  <c r="C1791" i="7"/>
  <c r="O1790" i="7"/>
  <c r="N1790" i="7"/>
  <c r="M1790" i="7"/>
  <c r="L1790" i="7"/>
  <c r="K1790" i="7"/>
  <c r="J1790" i="7"/>
  <c r="I1790" i="7"/>
  <c r="H1790" i="7"/>
  <c r="G1790" i="7"/>
  <c r="F1790" i="7"/>
  <c r="E1790" i="7"/>
  <c r="D1790" i="7"/>
  <c r="C1790" i="7"/>
  <c r="O1789" i="7"/>
  <c r="N1789" i="7"/>
  <c r="M1789" i="7"/>
  <c r="L1789" i="7"/>
  <c r="K1789" i="7"/>
  <c r="J1789" i="7"/>
  <c r="I1789" i="7"/>
  <c r="H1789" i="7"/>
  <c r="G1789" i="7"/>
  <c r="F1789" i="7"/>
  <c r="E1789" i="7"/>
  <c r="D1789" i="7"/>
  <c r="C1789" i="7"/>
  <c r="O1788" i="7"/>
  <c r="N1788" i="7"/>
  <c r="M1788" i="7"/>
  <c r="L1788" i="7"/>
  <c r="K1788" i="7"/>
  <c r="J1788" i="7"/>
  <c r="I1788" i="7"/>
  <c r="H1788" i="7"/>
  <c r="G1788" i="7"/>
  <c r="F1788" i="7"/>
  <c r="E1788" i="7"/>
  <c r="D1788" i="7"/>
  <c r="C1788" i="7"/>
  <c r="O1787" i="7"/>
  <c r="N1787" i="7"/>
  <c r="M1787" i="7"/>
  <c r="L1787" i="7"/>
  <c r="K1787" i="7"/>
  <c r="J1787" i="7"/>
  <c r="I1787" i="7"/>
  <c r="H1787" i="7"/>
  <c r="G1787" i="7"/>
  <c r="F1787" i="7"/>
  <c r="E1787" i="7"/>
  <c r="D1787" i="7"/>
  <c r="C1787" i="7"/>
  <c r="O1786" i="7"/>
  <c r="N1786" i="7"/>
  <c r="M1786" i="7"/>
  <c r="L1786" i="7"/>
  <c r="K1786" i="7"/>
  <c r="J1786" i="7"/>
  <c r="I1786" i="7"/>
  <c r="H1786" i="7"/>
  <c r="G1786" i="7"/>
  <c r="F1786" i="7"/>
  <c r="E1786" i="7"/>
  <c r="D1786" i="7"/>
  <c r="C1786" i="7"/>
  <c r="O1785" i="7"/>
  <c r="N1785" i="7"/>
  <c r="M1785" i="7"/>
  <c r="L1785" i="7"/>
  <c r="K1785" i="7"/>
  <c r="J1785" i="7"/>
  <c r="I1785" i="7"/>
  <c r="H1785" i="7"/>
  <c r="G1785" i="7"/>
  <c r="F1785" i="7"/>
  <c r="E1785" i="7"/>
  <c r="D1785" i="7"/>
  <c r="C1785" i="7"/>
  <c r="O1784" i="7"/>
  <c r="N1784" i="7"/>
  <c r="M1784" i="7"/>
  <c r="L1784" i="7"/>
  <c r="K1784" i="7"/>
  <c r="J1784" i="7"/>
  <c r="I1784" i="7"/>
  <c r="H1784" i="7"/>
  <c r="G1784" i="7"/>
  <c r="F1784" i="7"/>
  <c r="E1784" i="7"/>
  <c r="D1784" i="7"/>
  <c r="C1784" i="7"/>
  <c r="O1783" i="7"/>
  <c r="N1783" i="7"/>
  <c r="M1783" i="7"/>
  <c r="L1783" i="7"/>
  <c r="K1783" i="7"/>
  <c r="J1783" i="7"/>
  <c r="I1783" i="7"/>
  <c r="H1783" i="7"/>
  <c r="G1783" i="7"/>
  <c r="F1783" i="7"/>
  <c r="E1783" i="7"/>
  <c r="D1783" i="7"/>
  <c r="C1783" i="7"/>
  <c r="O1782" i="7"/>
  <c r="N1782" i="7"/>
  <c r="M1782" i="7"/>
  <c r="L1782" i="7"/>
  <c r="K1782" i="7"/>
  <c r="J1782" i="7"/>
  <c r="I1782" i="7"/>
  <c r="H1782" i="7"/>
  <c r="G1782" i="7"/>
  <c r="F1782" i="7"/>
  <c r="E1782" i="7"/>
  <c r="D1782" i="7"/>
  <c r="C1782" i="7"/>
  <c r="O1781" i="7"/>
  <c r="N1781" i="7"/>
  <c r="M1781" i="7"/>
  <c r="L1781" i="7"/>
  <c r="K1781" i="7"/>
  <c r="J1781" i="7"/>
  <c r="I1781" i="7"/>
  <c r="H1781" i="7"/>
  <c r="G1781" i="7"/>
  <c r="F1781" i="7"/>
  <c r="E1781" i="7"/>
  <c r="D1781" i="7"/>
  <c r="C1781" i="7"/>
  <c r="O1780" i="7"/>
  <c r="N1780" i="7"/>
  <c r="M1780" i="7"/>
  <c r="L1780" i="7"/>
  <c r="K1780" i="7"/>
  <c r="J1780" i="7"/>
  <c r="I1780" i="7"/>
  <c r="H1780" i="7"/>
  <c r="G1780" i="7"/>
  <c r="F1780" i="7"/>
  <c r="E1780" i="7"/>
  <c r="D1780" i="7"/>
  <c r="C1780" i="7"/>
  <c r="O1779" i="7"/>
  <c r="N1779" i="7"/>
  <c r="M1779" i="7"/>
  <c r="L1779" i="7"/>
  <c r="K1779" i="7"/>
  <c r="J1779" i="7"/>
  <c r="I1779" i="7"/>
  <c r="H1779" i="7"/>
  <c r="G1779" i="7"/>
  <c r="F1779" i="7"/>
  <c r="E1779" i="7"/>
  <c r="D1779" i="7"/>
  <c r="C1779" i="7"/>
  <c r="O1778" i="7"/>
  <c r="N1778" i="7"/>
  <c r="M1778" i="7"/>
  <c r="L1778" i="7"/>
  <c r="K1778" i="7"/>
  <c r="J1778" i="7"/>
  <c r="I1778" i="7"/>
  <c r="H1778" i="7"/>
  <c r="G1778" i="7"/>
  <c r="F1778" i="7"/>
  <c r="E1778" i="7"/>
  <c r="D1778" i="7"/>
  <c r="C1778" i="7"/>
  <c r="O1777" i="7"/>
  <c r="N1777" i="7"/>
  <c r="M1777" i="7"/>
  <c r="L1777" i="7"/>
  <c r="K1777" i="7"/>
  <c r="J1777" i="7"/>
  <c r="I1777" i="7"/>
  <c r="H1777" i="7"/>
  <c r="G1777" i="7"/>
  <c r="F1777" i="7"/>
  <c r="E1777" i="7"/>
  <c r="D1777" i="7"/>
  <c r="C1777" i="7"/>
  <c r="O1776" i="7"/>
  <c r="N1776" i="7"/>
  <c r="M1776" i="7"/>
  <c r="L1776" i="7"/>
  <c r="K1776" i="7"/>
  <c r="J1776" i="7"/>
  <c r="I1776" i="7"/>
  <c r="H1776" i="7"/>
  <c r="G1776" i="7"/>
  <c r="F1776" i="7"/>
  <c r="E1776" i="7"/>
  <c r="D1776" i="7"/>
  <c r="C1776" i="7"/>
  <c r="O1775" i="7"/>
  <c r="N1775" i="7"/>
  <c r="M1775" i="7"/>
  <c r="L1775" i="7"/>
  <c r="K1775" i="7"/>
  <c r="J1775" i="7"/>
  <c r="I1775" i="7"/>
  <c r="H1775" i="7"/>
  <c r="G1775" i="7"/>
  <c r="F1775" i="7"/>
  <c r="E1775" i="7"/>
  <c r="D1775" i="7"/>
  <c r="C1775" i="7"/>
  <c r="O1774" i="7"/>
  <c r="N1774" i="7"/>
  <c r="M1774" i="7"/>
  <c r="L1774" i="7"/>
  <c r="K1774" i="7"/>
  <c r="J1774" i="7"/>
  <c r="I1774" i="7"/>
  <c r="H1774" i="7"/>
  <c r="G1774" i="7"/>
  <c r="F1774" i="7"/>
  <c r="E1774" i="7"/>
  <c r="D1774" i="7"/>
  <c r="C1774" i="7"/>
  <c r="O1773" i="7"/>
  <c r="N1773" i="7"/>
  <c r="M1773" i="7"/>
  <c r="L1773" i="7"/>
  <c r="K1773" i="7"/>
  <c r="J1773" i="7"/>
  <c r="I1773" i="7"/>
  <c r="H1773" i="7"/>
  <c r="G1773" i="7"/>
  <c r="F1773" i="7"/>
  <c r="E1773" i="7"/>
  <c r="D1773" i="7"/>
  <c r="C1773" i="7"/>
  <c r="O1772" i="7"/>
  <c r="N1772" i="7"/>
  <c r="M1772" i="7"/>
  <c r="L1772" i="7"/>
  <c r="K1772" i="7"/>
  <c r="J1772" i="7"/>
  <c r="I1772" i="7"/>
  <c r="H1772" i="7"/>
  <c r="G1772" i="7"/>
  <c r="F1772" i="7"/>
  <c r="E1772" i="7"/>
  <c r="D1772" i="7"/>
  <c r="C1772" i="7"/>
  <c r="O1771" i="7"/>
  <c r="N1771" i="7"/>
  <c r="M1771" i="7"/>
  <c r="L1771" i="7"/>
  <c r="K1771" i="7"/>
  <c r="J1771" i="7"/>
  <c r="I1771" i="7"/>
  <c r="H1771" i="7"/>
  <c r="G1771" i="7"/>
  <c r="F1771" i="7"/>
  <c r="E1771" i="7"/>
  <c r="D1771" i="7"/>
  <c r="C1771" i="7"/>
  <c r="O1770" i="7"/>
  <c r="N1770" i="7"/>
  <c r="M1770" i="7"/>
  <c r="L1770" i="7"/>
  <c r="K1770" i="7"/>
  <c r="J1770" i="7"/>
  <c r="I1770" i="7"/>
  <c r="H1770" i="7"/>
  <c r="G1770" i="7"/>
  <c r="F1770" i="7"/>
  <c r="E1770" i="7"/>
  <c r="D1770" i="7"/>
  <c r="C1770" i="7"/>
  <c r="O1769" i="7"/>
  <c r="N1769" i="7"/>
  <c r="M1769" i="7"/>
  <c r="L1769" i="7"/>
  <c r="K1769" i="7"/>
  <c r="J1769" i="7"/>
  <c r="I1769" i="7"/>
  <c r="H1769" i="7"/>
  <c r="G1769" i="7"/>
  <c r="F1769" i="7"/>
  <c r="E1769" i="7"/>
  <c r="D1769" i="7"/>
  <c r="C1769" i="7"/>
  <c r="O1768" i="7"/>
  <c r="N1768" i="7"/>
  <c r="M1768" i="7"/>
  <c r="L1768" i="7"/>
  <c r="K1768" i="7"/>
  <c r="J1768" i="7"/>
  <c r="I1768" i="7"/>
  <c r="H1768" i="7"/>
  <c r="G1768" i="7"/>
  <c r="F1768" i="7"/>
  <c r="E1768" i="7"/>
  <c r="D1768" i="7"/>
  <c r="C1768" i="7"/>
  <c r="O1767" i="7"/>
  <c r="N1767" i="7"/>
  <c r="M1767" i="7"/>
  <c r="L1767" i="7"/>
  <c r="K1767" i="7"/>
  <c r="J1767" i="7"/>
  <c r="I1767" i="7"/>
  <c r="H1767" i="7"/>
  <c r="G1767" i="7"/>
  <c r="F1767" i="7"/>
  <c r="E1767" i="7"/>
  <c r="D1767" i="7"/>
  <c r="C1767" i="7"/>
  <c r="O1766" i="7"/>
  <c r="N1766" i="7"/>
  <c r="M1766" i="7"/>
  <c r="L1766" i="7"/>
  <c r="K1766" i="7"/>
  <c r="J1766" i="7"/>
  <c r="I1766" i="7"/>
  <c r="H1766" i="7"/>
  <c r="G1766" i="7"/>
  <c r="F1766" i="7"/>
  <c r="E1766" i="7"/>
  <c r="D1766" i="7"/>
  <c r="C1766" i="7"/>
  <c r="O1765" i="7"/>
  <c r="N1765" i="7"/>
  <c r="M1765" i="7"/>
  <c r="L1765" i="7"/>
  <c r="K1765" i="7"/>
  <c r="J1765" i="7"/>
  <c r="I1765" i="7"/>
  <c r="H1765" i="7"/>
  <c r="G1765" i="7"/>
  <c r="F1765" i="7"/>
  <c r="E1765" i="7"/>
  <c r="D1765" i="7"/>
  <c r="C1765" i="7"/>
  <c r="O1764" i="7"/>
  <c r="N1764" i="7"/>
  <c r="M1764" i="7"/>
  <c r="L1764" i="7"/>
  <c r="K1764" i="7"/>
  <c r="J1764" i="7"/>
  <c r="I1764" i="7"/>
  <c r="H1764" i="7"/>
  <c r="G1764" i="7"/>
  <c r="F1764" i="7"/>
  <c r="E1764" i="7"/>
  <c r="D1764" i="7"/>
  <c r="C1764" i="7"/>
  <c r="O1763" i="7"/>
  <c r="N1763" i="7"/>
  <c r="M1763" i="7"/>
  <c r="L1763" i="7"/>
  <c r="K1763" i="7"/>
  <c r="J1763" i="7"/>
  <c r="I1763" i="7"/>
  <c r="H1763" i="7"/>
  <c r="G1763" i="7"/>
  <c r="F1763" i="7"/>
  <c r="E1763" i="7"/>
  <c r="D1763" i="7"/>
  <c r="C1763" i="7"/>
  <c r="O1762" i="7"/>
  <c r="N1762" i="7"/>
  <c r="M1762" i="7"/>
  <c r="L1762" i="7"/>
  <c r="K1762" i="7"/>
  <c r="J1762" i="7"/>
  <c r="I1762" i="7"/>
  <c r="H1762" i="7"/>
  <c r="G1762" i="7"/>
  <c r="F1762" i="7"/>
  <c r="E1762" i="7"/>
  <c r="D1762" i="7"/>
  <c r="C1762" i="7"/>
  <c r="O1761" i="7"/>
  <c r="N1761" i="7"/>
  <c r="M1761" i="7"/>
  <c r="L1761" i="7"/>
  <c r="K1761" i="7"/>
  <c r="J1761" i="7"/>
  <c r="I1761" i="7"/>
  <c r="H1761" i="7"/>
  <c r="G1761" i="7"/>
  <c r="F1761" i="7"/>
  <c r="E1761" i="7"/>
  <c r="D1761" i="7"/>
  <c r="C1761" i="7"/>
  <c r="O1756" i="7"/>
  <c r="N1756" i="7"/>
  <c r="M1756" i="7"/>
  <c r="L1756" i="7"/>
  <c r="K1756" i="7"/>
  <c r="J1756" i="7"/>
  <c r="I1756" i="7"/>
  <c r="H1756" i="7"/>
  <c r="G1756" i="7"/>
  <c r="F1756" i="7"/>
  <c r="E1756" i="7"/>
  <c r="D1756" i="7"/>
  <c r="C1756" i="7"/>
  <c r="C1755" i="7"/>
  <c r="C1754" i="7"/>
  <c r="C1753" i="7"/>
  <c r="O1752" i="7"/>
  <c r="N1752" i="7"/>
  <c r="M1752" i="7"/>
  <c r="L1752" i="7"/>
  <c r="K1752" i="7"/>
  <c r="J1752" i="7"/>
  <c r="I1752" i="7"/>
  <c r="G1752" i="7"/>
  <c r="F1752" i="7"/>
  <c r="E1752" i="7"/>
  <c r="D1752" i="7"/>
  <c r="C1752" i="7"/>
  <c r="O1751" i="7"/>
  <c r="N1751" i="7"/>
  <c r="M1751" i="7"/>
  <c r="L1751" i="7"/>
  <c r="K1751" i="7"/>
  <c r="J1751" i="7"/>
  <c r="I1751" i="7"/>
  <c r="H1751" i="7"/>
  <c r="G1751" i="7"/>
  <c r="F1751" i="7"/>
  <c r="E1751" i="7"/>
  <c r="D1751" i="7"/>
  <c r="C1751" i="7"/>
  <c r="O1750" i="7"/>
  <c r="N1750" i="7"/>
  <c r="M1750" i="7"/>
  <c r="L1750" i="7"/>
  <c r="K1750" i="7"/>
  <c r="J1750" i="7"/>
  <c r="I1750" i="7"/>
  <c r="H1750" i="7"/>
  <c r="G1750" i="7"/>
  <c r="F1750" i="7"/>
  <c r="E1750" i="7"/>
  <c r="D1750" i="7"/>
  <c r="C1750" i="7"/>
  <c r="O1749" i="7"/>
  <c r="N1749" i="7"/>
  <c r="M1749" i="7"/>
  <c r="L1749" i="7"/>
  <c r="K1749" i="7"/>
  <c r="J1749" i="7"/>
  <c r="I1749" i="7"/>
  <c r="H1749" i="7"/>
  <c r="G1749" i="7"/>
  <c r="F1749" i="7"/>
  <c r="E1749" i="7"/>
  <c r="D1749" i="7"/>
  <c r="C1749" i="7"/>
  <c r="O1748" i="7"/>
  <c r="N1748" i="7"/>
  <c r="M1748" i="7"/>
  <c r="L1748" i="7"/>
  <c r="K1748" i="7"/>
  <c r="J1748" i="7"/>
  <c r="I1748" i="7"/>
  <c r="H1748" i="7"/>
  <c r="G1748" i="7"/>
  <c r="F1748" i="7"/>
  <c r="E1748" i="7"/>
  <c r="D1748" i="7"/>
  <c r="C1748" i="7"/>
  <c r="O1747" i="7"/>
  <c r="N1747" i="7"/>
  <c r="M1747" i="7"/>
  <c r="L1747" i="7"/>
  <c r="K1747" i="7"/>
  <c r="J1747" i="7"/>
  <c r="I1747" i="7"/>
  <c r="H1747" i="7"/>
  <c r="G1747" i="7"/>
  <c r="F1747" i="7"/>
  <c r="E1747" i="7"/>
  <c r="D1747" i="7"/>
  <c r="C1747" i="7"/>
  <c r="O1746" i="7"/>
  <c r="N1746" i="7"/>
  <c r="M1746" i="7"/>
  <c r="L1746" i="7"/>
  <c r="K1746" i="7"/>
  <c r="J1746" i="7"/>
  <c r="I1746" i="7"/>
  <c r="H1746" i="7"/>
  <c r="G1746" i="7"/>
  <c r="F1746" i="7"/>
  <c r="E1746" i="7"/>
  <c r="D1746" i="7"/>
  <c r="C1746" i="7"/>
  <c r="O1745" i="7"/>
  <c r="N1745" i="7"/>
  <c r="M1745" i="7"/>
  <c r="L1745" i="7"/>
  <c r="K1745" i="7"/>
  <c r="J1745" i="7"/>
  <c r="I1745" i="7"/>
  <c r="H1745" i="7"/>
  <c r="G1745" i="7"/>
  <c r="F1745" i="7"/>
  <c r="E1745" i="7"/>
  <c r="D1745" i="7"/>
  <c r="C1745" i="7"/>
  <c r="O1744" i="7"/>
  <c r="N1744" i="7"/>
  <c r="M1744" i="7"/>
  <c r="L1744" i="7"/>
  <c r="K1744" i="7"/>
  <c r="J1744" i="7"/>
  <c r="I1744" i="7"/>
  <c r="H1744" i="7"/>
  <c r="G1744" i="7"/>
  <c r="F1744" i="7"/>
  <c r="E1744" i="7"/>
  <c r="D1744" i="7"/>
  <c r="C1744" i="7"/>
  <c r="O1743" i="7"/>
  <c r="N1743" i="7"/>
  <c r="M1743" i="7"/>
  <c r="L1743" i="7"/>
  <c r="K1743" i="7"/>
  <c r="J1743" i="7"/>
  <c r="I1743" i="7"/>
  <c r="H1743" i="7"/>
  <c r="G1743" i="7"/>
  <c r="F1743" i="7"/>
  <c r="E1743" i="7"/>
  <c r="D1743" i="7"/>
  <c r="C1743" i="7"/>
  <c r="O1742" i="7"/>
  <c r="N1742" i="7"/>
  <c r="M1742" i="7"/>
  <c r="L1742" i="7"/>
  <c r="K1742" i="7"/>
  <c r="J1742" i="7"/>
  <c r="I1742" i="7"/>
  <c r="H1742" i="7"/>
  <c r="G1742" i="7"/>
  <c r="F1742" i="7"/>
  <c r="E1742" i="7"/>
  <c r="D1742" i="7"/>
  <c r="C1742" i="7"/>
  <c r="O1741" i="7"/>
  <c r="N1741" i="7"/>
  <c r="M1741" i="7"/>
  <c r="L1741" i="7"/>
  <c r="K1741" i="7"/>
  <c r="J1741" i="7"/>
  <c r="I1741" i="7"/>
  <c r="H1741" i="7"/>
  <c r="G1741" i="7"/>
  <c r="F1741" i="7"/>
  <c r="E1741" i="7"/>
  <c r="D1741" i="7"/>
  <c r="C1741" i="7"/>
  <c r="O1740" i="7"/>
  <c r="N1740" i="7"/>
  <c r="M1740" i="7"/>
  <c r="L1740" i="7"/>
  <c r="K1740" i="7"/>
  <c r="J1740" i="7"/>
  <c r="I1740" i="7"/>
  <c r="H1740" i="7"/>
  <c r="G1740" i="7"/>
  <c r="F1740" i="7"/>
  <c r="E1740" i="7"/>
  <c r="D1740" i="7"/>
  <c r="C1740" i="7"/>
  <c r="O1739" i="7"/>
  <c r="N1739" i="7"/>
  <c r="M1739" i="7"/>
  <c r="L1739" i="7"/>
  <c r="K1739" i="7"/>
  <c r="J1739" i="7"/>
  <c r="I1739" i="7"/>
  <c r="H1739" i="7"/>
  <c r="G1739" i="7"/>
  <c r="F1739" i="7"/>
  <c r="E1739" i="7"/>
  <c r="D1739" i="7"/>
  <c r="C1739" i="7"/>
  <c r="O1738" i="7"/>
  <c r="N1738" i="7"/>
  <c r="M1738" i="7"/>
  <c r="L1738" i="7"/>
  <c r="K1738" i="7"/>
  <c r="J1738" i="7"/>
  <c r="I1738" i="7"/>
  <c r="H1738" i="7"/>
  <c r="G1738" i="7"/>
  <c r="F1738" i="7"/>
  <c r="E1738" i="7"/>
  <c r="D1738" i="7"/>
  <c r="C1738" i="7"/>
  <c r="O1737" i="7"/>
  <c r="N1737" i="7"/>
  <c r="M1737" i="7"/>
  <c r="L1737" i="7"/>
  <c r="K1737" i="7"/>
  <c r="J1737" i="7"/>
  <c r="I1737" i="7"/>
  <c r="H1737" i="7"/>
  <c r="G1737" i="7"/>
  <c r="F1737" i="7"/>
  <c r="E1737" i="7"/>
  <c r="D1737" i="7"/>
  <c r="C1737" i="7"/>
  <c r="O1736" i="7"/>
  <c r="N1736" i="7"/>
  <c r="M1736" i="7"/>
  <c r="L1736" i="7"/>
  <c r="K1736" i="7"/>
  <c r="J1736" i="7"/>
  <c r="I1736" i="7"/>
  <c r="H1736" i="7"/>
  <c r="G1736" i="7"/>
  <c r="F1736" i="7"/>
  <c r="E1736" i="7"/>
  <c r="D1736" i="7"/>
  <c r="C1736" i="7"/>
  <c r="O1735" i="7"/>
  <c r="N1735" i="7"/>
  <c r="M1735" i="7"/>
  <c r="L1735" i="7"/>
  <c r="K1735" i="7"/>
  <c r="J1735" i="7"/>
  <c r="I1735" i="7"/>
  <c r="H1735" i="7"/>
  <c r="G1735" i="7"/>
  <c r="F1735" i="7"/>
  <c r="E1735" i="7"/>
  <c r="D1735" i="7"/>
  <c r="C1735" i="7"/>
  <c r="O1734" i="7"/>
  <c r="N1734" i="7"/>
  <c r="M1734" i="7"/>
  <c r="L1734" i="7"/>
  <c r="K1734" i="7"/>
  <c r="J1734" i="7"/>
  <c r="I1734" i="7"/>
  <c r="H1734" i="7"/>
  <c r="G1734" i="7"/>
  <c r="F1734" i="7"/>
  <c r="E1734" i="7"/>
  <c r="D1734" i="7"/>
  <c r="C1734" i="7"/>
  <c r="O1733" i="7"/>
  <c r="N1733" i="7"/>
  <c r="M1733" i="7"/>
  <c r="L1733" i="7"/>
  <c r="K1733" i="7"/>
  <c r="J1733" i="7"/>
  <c r="I1733" i="7"/>
  <c r="H1733" i="7"/>
  <c r="G1733" i="7"/>
  <c r="F1733" i="7"/>
  <c r="E1733" i="7"/>
  <c r="D1733" i="7"/>
  <c r="C1733" i="7"/>
  <c r="O1732" i="7"/>
  <c r="N1732" i="7"/>
  <c r="M1732" i="7"/>
  <c r="L1732" i="7"/>
  <c r="K1732" i="7"/>
  <c r="J1732" i="7"/>
  <c r="I1732" i="7"/>
  <c r="H1732" i="7"/>
  <c r="G1732" i="7"/>
  <c r="F1732" i="7"/>
  <c r="E1732" i="7"/>
  <c r="D1732" i="7"/>
  <c r="C1732" i="7"/>
  <c r="O1731" i="7"/>
  <c r="N1731" i="7"/>
  <c r="M1731" i="7"/>
  <c r="L1731" i="7"/>
  <c r="K1731" i="7"/>
  <c r="J1731" i="7"/>
  <c r="I1731" i="7"/>
  <c r="H1731" i="7"/>
  <c r="G1731" i="7"/>
  <c r="F1731" i="7"/>
  <c r="E1731" i="7"/>
  <c r="D1731" i="7"/>
  <c r="C1731" i="7"/>
  <c r="O1730" i="7"/>
  <c r="N1730" i="7"/>
  <c r="M1730" i="7"/>
  <c r="L1730" i="7"/>
  <c r="K1730" i="7"/>
  <c r="J1730" i="7"/>
  <c r="I1730" i="7"/>
  <c r="H1730" i="7"/>
  <c r="G1730" i="7"/>
  <c r="F1730" i="7"/>
  <c r="E1730" i="7"/>
  <c r="D1730" i="7"/>
  <c r="C1730" i="7"/>
  <c r="O1729" i="7"/>
  <c r="N1729" i="7"/>
  <c r="M1729" i="7"/>
  <c r="L1729" i="7"/>
  <c r="K1729" i="7"/>
  <c r="J1729" i="7"/>
  <c r="I1729" i="7"/>
  <c r="H1729" i="7"/>
  <c r="G1729" i="7"/>
  <c r="F1729" i="7"/>
  <c r="E1729" i="7"/>
  <c r="D1729" i="7"/>
  <c r="C1729" i="7"/>
  <c r="O1728" i="7"/>
  <c r="N1728" i="7"/>
  <c r="M1728" i="7"/>
  <c r="L1728" i="7"/>
  <c r="K1728" i="7"/>
  <c r="J1728" i="7"/>
  <c r="I1728" i="7"/>
  <c r="H1728" i="7"/>
  <c r="G1728" i="7"/>
  <c r="F1728" i="7"/>
  <c r="E1728" i="7"/>
  <c r="D1728" i="7"/>
  <c r="C1728" i="7"/>
  <c r="O1727" i="7"/>
  <c r="N1727" i="7"/>
  <c r="M1727" i="7"/>
  <c r="L1727" i="7"/>
  <c r="K1727" i="7"/>
  <c r="J1727" i="7"/>
  <c r="I1727" i="7"/>
  <c r="H1727" i="7"/>
  <c r="G1727" i="7"/>
  <c r="F1727" i="7"/>
  <c r="E1727" i="7"/>
  <c r="D1727" i="7"/>
  <c r="C1727" i="7"/>
  <c r="O1726" i="7"/>
  <c r="N1726" i="7"/>
  <c r="M1726" i="7"/>
  <c r="L1726" i="7"/>
  <c r="K1726" i="7"/>
  <c r="J1726" i="7"/>
  <c r="I1726" i="7"/>
  <c r="H1726" i="7"/>
  <c r="G1726" i="7"/>
  <c r="F1726" i="7"/>
  <c r="E1726" i="7"/>
  <c r="D1726" i="7"/>
  <c r="C1726" i="7"/>
  <c r="O1725" i="7"/>
  <c r="N1725" i="7"/>
  <c r="M1725" i="7"/>
  <c r="L1725" i="7"/>
  <c r="K1725" i="7"/>
  <c r="J1725" i="7"/>
  <c r="I1725" i="7"/>
  <c r="H1725" i="7"/>
  <c r="G1725" i="7"/>
  <c r="F1725" i="7"/>
  <c r="E1725" i="7"/>
  <c r="D1725" i="7"/>
  <c r="C1725" i="7"/>
  <c r="O1724" i="7"/>
  <c r="N1724" i="7"/>
  <c r="M1724" i="7"/>
  <c r="L1724" i="7"/>
  <c r="K1724" i="7"/>
  <c r="J1724" i="7"/>
  <c r="I1724" i="7"/>
  <c r="H1724" i="7"/>
  <c r="G1724" i="7"/>
  <c r="F1724" i="7"/>
  <c r="E1724" i="7"/>
  <c r="D1724" i="7"/>
  <c r="C1724" i="7"/>
  <c r="O1723" i="7"/>
  <c r="N1723" i="7"/>
  <c r="M1723" i="7"/>
  <c r="L1723" i="7"/>
  <c r="K1723" i="7"/>
  <c r="J1723" i="7"/>
  <c r="I1723" i="7"/>
  <c r="H1723" i="7"/>
  <c r="G1723" i="7"/>
  <c r="F1723" i="7"/>
  <c r="E1723" i="7"/>
  <c r="D1723" i="7"/>
  <c r="C1723" i="7"/>
  <c r="O1722" i="7"/>
  <c r="N1722" i="7"/>
  <c r="M1722" i="7"/>
  <c r="L1722" i="7"/>
  <c r="K1722" i="7"/>
  <c r="J1722" i="7"/>
  <c r="I1722" i="7"/>
  <c r="H1722" i="7"/>
  <c r="G1722" i="7"/>
  <c r="F1722" i="7"/>
  <c r="E1722" i="7"/>
  <c r="D1722" i="7"/>
  <c r="C1722" i="7"/>
  <c r="O1721" i="7"/>
  <c r="N1721" i="7"/>
  <c r="M1721" i="7"/>
  <c r="L1721" i="7"/>
  <c r="K1721" i="7"/>
  <c r="J1721" i="7"/>
  <c r="I1721" i="7"/>
  <c r="H1721" i="7"/>
  <c r="G1721" i="7"/>
  <c r="F1721" i="7"/>
  <c r="E1721" i="7"/>
  <c r="D1721" i="7"/>
  <c r="C1721" i="7"/>
  <c r="O1720" i="7"/>
  <c r="N1720" i="7"/>
  <c r="M1720" i="7"/>
  <c r="L1720" i="7"/>
  <c r="K1720" i="7"/>
  <c r="J1720" i="7"/>
  <c r="I1720" i="7"/>
  <c r="H1720" i="7"/>
  <c r="G1720" i="7"/>
  <c r="F1720" i="7"/>
  <c r="E1720" i="7"/>
  <c r="D1720" i="7"/>
  <c r="C1720" i="7"/>
  <c r="O1719" i="7"/>
  <c r="N1719" i="7"/>
  <c r="M1719" i="7"/>
  <c r="L1719" i="7"/>
  <c r="K1719" i="7"/>
  <c r="J1719" i="7"/>
  <c r="I1719" i="7"/>
  <c r="H1719" i="7"/>
  <c r="G1719" i="7"/>
  <c r="F1719" i="7"/>
  <c r="E1719" i="7"/>
  <c r="D1719" i="7"/>
  <c r="C1719" i="7"/>
  <c r="O1718" i="7"/>
  <c r="N1718" i="7"/>
  <c r="M1718" i="7"/>
  <c r="L1718" i="7"/>
  <c r="K1718" i="7"/>
  <c r="J1718" i="7"/>
  <c r="I1718" i="7"/>
  <c r="H1718" i="7"/>
  <c r="G1718" i="7"/>
  <c r="F1718" i="7"/>
  <c r="E1718" i="7"/>
  <c r="D1718" i="7"/>
  <c r="C1718" i="7"/>
  <c r="O1717" i="7"/>
  <c r="N1717" i="7"/>
  <c r="M1717" i="7"/>
  <c r="L1717" i="7"/>
  <c r="K1717" i="7"/>
  <c r="J1717" i="7"/>
  <c r="I1717" i="7"/>
  <c r="H1717" i="7"/>
  <c r="G1717" i="7"/>
  <c r="F1717" i="7"/>
  <c r="E1717" i="7"/>
  <c r="D1717" i="7"/>
  <c r="C1717" i="7"/>
  <c r="O1716" i="7"/>
  <c r="N1716" i="7"/>
  <c r="M1716" i="7"/>
  <c r="L1716" i="7"/>
  <c r="K1716" i="7"/>
  <c r="J1716" i="7"/>
  <c r="I1716" i="7"/>
  <c r="H1716" i="7"/>
  <c r="G1716" i="7"/>
  <c r="F1716" i="7"/>
  <c r="E1716" i="7"/>
  <c r="D1716" i="7"/>
  <c r="C1716" i="7"/>
  <c r="O1715" i="7"/>
  <c r="N1715" i="7"/>
  <c r="M1715" i="7"/>
  <c r="L1715" i="7"/>
  <c r="K1715" i="7"/>
  <c r="J1715" i="7"/>
  <c r="I1715" i="7"/>
  <c r="H1715" i="7"/>
  <c r="G1715" i="7"/>
  <c r="F1715" i="7"/>
  <c r="E1715" i="7"/>
  <c r="D1715" i="7"/>
  <c r="C1715" i="7"/>
  <c r="O1714" i="7"/>
  <c r="N1714" i="7"/>
  <c r="M1714" i="7"/>
  <c r="L1714" i="7"/>
  <c r="K1714" i="7"/>
  <c r="J1714" i="7"/>
  <c r="I1714" i="7"/>
  <c r="H1714" i="7"/>
  <c r="G1714" i="7"/>
  <c r="F1714" i="7"/>
  <c r="E1714" i="7"/>
  <c r="D1714" i="7"/>
  <c r="C1714" i="7"/>
  <c r="O1713" i="7"/>
  <c r="N1713" i="7"/>
  <c r="M1713" i="7"/>
  <c r="L1713" i="7"/>
  <c r="K1713" i="7"/>
  <c r="J1713" i="7"/>
  <c r="I1713" i="7"/>
  <c r="H1713" i="7"/>
  <c r="G1713" i="7"/>
  <c r="F1713" i="7"/>
  <c r="E1713" i="7"/>
  <c r="D1713" i="7"/>
  <c r="C1713" i="7"/>
  <c r="O1712" i="7"/>
  <c r="N1712" i="7"/>
  <c r="M1712" i="7"/>
  <c r="L1712" i="7"/>
  <c r="K1712" i="7"/>
  <c r="J1712" i="7"/>
  <c r="I1712" i="7"/>
  <c r="H1712" i="7"/>
  <c r="G1712" i="7"/>
  <c r="F1712" i="7"/>
  <c r="E1712" i="7"/>
  <c r="D1712" i="7"/>
  <c r="C1712" i="7"/>
  <c r="O1711" i="7"/>
  <c r="N1711" i="7"/>
  <c r="M1711" i="7"/>
  <c r="L1711" i="7"/>
  <c r="K1711" i="7"/>
  <c r="J1711" i="7"/>
  <c r="I1711" i="7"/>
  <c r="H1711" i="7"/>
  <c r="G1711" i="7"/>
  <c r="F1711" i="7"/>
  <c r="E1711" i="7"/>
  <c r="D1711" i="7"/>
  <c r="C1711" i="7"/>
  <c r="O1710" i="7"/>
  <c r="N1710" i="7"/>
  <c r="M1710" i="7"/>
  <c r="L1710" i="7"/>
  <c r="K1710" i="7"/>
  <c r="J1710" i="7"/>
  <c r="I1710" i="7"/>
  <c r="H1710" i="7"/>
  <c r="G1710" i="7"/>
  <c r="F1710" i="7"/>
  <c r="E1710" i="7"/>
  <c r="D1710" i="7"/>
  <c r="C1710" i="7"/>
  <c r="O1709" i="7"/>
  <c r="N1709" i="7"/>
  <c r="M1709" i="7"/>
  <c r="L1709" i="7"/>
  <c r="K1709" i="7"/>
  <c r="J1709" i="7"/>
  <c r="I1709" i="7"/>
  <c r="H1709" i="7"/>
  <c r="G1709" i="7"/>
  <c r="F1709" i="7"/>
  <c r="E1709" i="7"/>
  <c r="D1709" i="7"/>
  <c r="C1709" i="7"/>
  <c r="O1708" i="7"/>
  <c r="N1708" i="7"/>
  <c r="M1708" i="7"/>
  <c r="L1708" i="7"/>
  <c r="K1708" i="7"/>
  <c r="J1708" i="7"/>
  <c r="I1708" i="7"/>
  <c r="H1708" i="7"/>
  <c r="G1708" i="7"/>
  <c r="F1708" i="7"/>
  <c r="E1708" i="7"/>
  <c r="D1708" i="7"/>
  <c r="C1708" i="7"/>
  <c r="O1707" i="7"/>
  <c r="N1707" i="7"/>
  <c r="M1707" i="7"/>
  <c r="L1707" i="7"/>
  <c r="K1707" i="7"/>
  <c r="J1707" i="7"/>
  <c r="I1707" i="7"/>
  <c r="H1707" i="7"/>
  <c r="G1707" i="7"/>
  <c r="F1707" i="7"/>
  <c r="E1707" i="7"/>
  <c r="D1707" i="7"/>
  <c r="C1707" i="7"/>
  <c r="O1706" i="7"/>
  <c r="N1706" i="7"/>
  <c r="M1706" i="7"/>
  <c r="L1706" i="7"/>
  <c r="K1706" i="7"/>
  <c r="J1706" i="7"/>
  <c r="I1706" i="7"/>
  <c r="H1706" i="7"/>
  <c r="G1706" i="7"/>
  <c r="F1706" i="7"/>
  <c r="E1706" i="7"/>
  <c r="D1706" i="7"/>
  <c r="C1706" i="7"/>
  <c r="O1705" i="7"/>
  <c r="N1705" i="7"/>
  <c r="M1705" i="7"/>
  <c r="L1705" i="7"/>
  <c r="K1705" i="7"/>
  <c r="J1705" i="7"/>
  <c r="I1705" i="7"/>
  <c r="H1705" i="7"/>
  <c r="G1705" i="7"/>
  <c r="F1705" i="7"/>
  <c r="E1705" i="7"/>
  <c r="D1705" i="7"/>
  <c r="C1705" i="7"/>
  <c r="O1704" i="7"/>
  <c r="N1704" i="7"/>
  <c r="M1704" i="7"/>
  <c r="L1704" i="7"/>
  <c r="K1704" i="7"/>
  <c r="J1704" i="7"/>
  <c r="I1704" i="7"/>
  <c r="H1704" i="7"/>
  <c r="G1704" i="7"/>
  <c r="F1704" i="7"/>
  <c r="E1704" i="7"/>
  <c r="D1704" i="7"/>
  <c r="C1704" i="7"/>
  <c r="O1703" i="7"/>
  <c r="N1703" i="7"/>
  <c r="M1703" i="7"/>
  <c r="L1703" i="7"/>
  <c r="K1703" i="7"/>
  <c r="J1703" i="7"/>
  <c r="I1703" i="7"/>
  <c r="H1703" i="7"/>
  <c r="G1703" i="7"/>
  <c r="F1703" i="7"/>
  <c r="E1703" i="7"/>
  <c r="D1703" i="7"/>
  <c r="C1703" i="7"/>
  <c r="O1702" i="7"/>
  <c r="N1702" i="7"/>
  <c r="M1702" i="7"/>
  <c r="L1702" i="7"/>
  <c r="K1702" i="7"/>
  <c r="J1702" i="7"/>
  <c r="I1702" i="7"/>
  <c r="H1702" i="7"/>
  <c r="G1702" i="7"/>
  <c r="F1702" i="7"/>
  <c r="E1702" i="7"/>
  <c r="D1702" i="7"/>
  <c r="C1702" i="7"/>
  <c r="O1701" i="7"/>
  <c r="N1701" i="7"/>
  <c r="M1701" i="7"/>
  <c r="L1701" i="7"/>
  <c r="K1701" i="7"/>
  <c r="J1701" i="7"/>
  <c r="I1701" i="7"/>
  <c r="H1701" i="7"/>
  <c r="G1701" i="7"/>
  <c r="F1701" i="7"/>
  <c r="E1701" i="7"/>
  <c r="D1701" i="7"/>
  <c r="C1701" i="7"/>
  <c r="O1700" i="7"/>
  <c r="N1700" i="7"/>
  <c r="M1700" i="7"/>
  <c r="L1700" i="7"/>
  <c r="K1700" i="7"/>
  <c r="J1700" i="7"/>
  <c r="I1700" i="7"/>
  <c r="H1700" i="7"/>
  <c r="G1700" i="7"/>
  <c r="F1700" i="7"/>
  <c r="E1700" i="7"/>
  <c r="D1700" i="7"/>
  <c r="C1700" i="7"/>
  <c r="O1699" i="7"/>
  <c r="N1699" i="7"/>
  <c r="M1699" i="7"/>
  <c r="L1699" i="7"/>
  <c r="K1699" i="7"/>
  <c r="J1699" i="7"/>
  <c r="I1699" i="7"/>
  <c r="H1699" i="7"/>
  <c r="G1699" i="7"/>
  <c r="F1699" i="7"/>
  <c r="E1699" i="7"/>
  <c r="D1699" i="7"/>
  <c r="C1699" i="7"/>
  <c r="O1698" i="7"/>
  <c r="N1698" i="7"/>
  <c r="M1698" i="7"/>
  <c r="L1698" i="7"/>
  <c r="K1698" i="7"/>
  <c r="J1698" i="7"/>
  <c r="I1698" i="7"/>
  <c r="H1698" i="7"/>
  <c r="G1698" i="7"/>
  <c r="F1698" i="7"/>
  <c r="E1698" i="7"/>
  <c r="D1698" i="7"/>
  <c r="C1698" i="7"/>
  <c r="O1697" i="7"/>
  <c r="N1697" i="7"/>
  <c r="M1697" i="7"/>
  <c r="L1697" i="7"/>
  <c r="K1697" i="7"/>
  <c r="J1697" i="7"/>
  <c r="I1697" i="7"/>
  <c r="H1697" i="7"/>
  <c r="G1697" i="7"/>
  <c r="F1697" i="7"/>
  <c r="E1697" i="7"/>
  <c r="D1697" i="7"/>
  <c r="C1697" i="7"/>
  <c r="O1696" i="7"/>
  <c r="N1696" i="7"/>
  <c r="M1696" i="7"/>
  <c r="L1696" i="7"/>
  <c r="K1696" i="7"/>
  <c r="J1696" i="7"/>
  <c r="I1696" i="7"/>
  <c r="H1696" i="7"/>
  <c r="G1696" i="7"/>
  <c r="F1696" i="7"/>
  <c r="E1696" i="7"/>
  <c r="D1696" i="7"/>
  <c r="C1696" i="7"/>
  <c r="O1695" i="7"/>
  <c r="N1695" i="7"/>
  <c r="M1695" i="7"/>
  <c r="L1695" i="7"/>
  <c r="K1695" i="7"/>
  <c r="J1695" i="7"/>
  <c r="I1695" i="7"/>
  <c r="H1695" i="7"/>
  <c r="G1695" i="7"/>
  <c r="F1695" i="7"/>
  <c r="E1695" i="7"/>
  <c r="D1695" i="7"/>
  <c r="C1695" i="7"/>
  <c r="O1694" i="7"/>
  <c r="N1694" i="7"/>
  <c r="M1694" i="7"/>
  <c r="L1694" i="7"/>
  <c r="K1694" i="7"/>
  <c r="J1694" i="7"/>
  <c r="I1694" i="7"/>
  <c r="H1694" i="7"/>
  <c r="G1694" i="7"/>
  <c r="F1694" i="7"/>
  <c r="E1694" i="7"/>
  <c r="D1694" i="7"/>
  <c r="C1694" i="7"/>
  <c r="O1693" i="7"/>
  <c r="N1693" i="7"/>
  <c r="M1693" i="7"/>
  <c r="L1693" i="7"/>
  <c r="K1693" i="7"/>
  <c r="J1693" i="7"/>
  <c r="I1693" i="7"/>
  <c r="H1693" i="7"/>
  <c r="G1693" i="7"/>
  <c r="F1693" i="7"/>
  <c r="E1693" i="7"/>
  <c r="D1693" i="7"/>
  <c r="C1693" i="7"/>
  <c r="O1692" i="7"/>
  <c r="N1692" i="7"/>
  <c r="M1692" i="7"/>
  <c r="L1692" i="7"/>
  <c r="K1692" i="7"/>
  <c r="J1692" i="7"/>
  <c r="I1692" i="7"/>
  <c r="H1692" i="7"/>
  <c r="G1692" i="7"/>
  <c r="F1692" i="7"/>
  <c r="E1692" i="7"/>
  <c r="D1692" i="7"/>
  <c r="C1692" i="7"/>
  <c r="O1691" i="7"/>
  <c r="N1691" i="7"/>
  <c r="M1691" i="7"/>
  <c r="L1691" i="7"/>
  <c r="K1691" i="7"/>
  <c r="J1691" i="7"/>
  <c r="I1691" i="7"/>
  <c r="H1691" i="7"/>
  <c r="G1691" i="7"/>
  <c r="F1691" i="7"/>
  <c r="E1691" i="7"/>
  <c r="D1691" i="7"/>
  <c r="C1691" i="7"/>
  <c r="O1690" i="7"/>
  <c r="N1690" i="7"/>
  <c r="M1690" i="7"/>
  <c r="L1690" i="7"/>
  <c r="K1690" i="7"/>
  <c r="J1690" i="7"/>
  <c r="I1690" i="7"/>
  <c r="H1690" i="7"/>
  <c r="G1690" i="7"/>
  <c r="F1690" i="7"/>
  <c r="E1690" i="7"/>
  <c r="D1690" i="7"/>
  <c r="C1690" i="7"/>
  <c r="O1689" i="7"/>
  <c r="N1689" i="7"/>
  <c r="M1689" i="7"/>
  <c r="L1689" i="7"/>
  <c r="K1689" i="7"/>
  <c r="J1689" i="7"/>
  <c r="I1689" i="7"/>
  <c r="H1689" i="7"/>
  <c r="G1689" i="7"/>
  <c r="F1689" i="7"/>
  <c r="E1689" i="7"/>
  <c r="D1689" i="7"/>
  <c r="C1689" i="7"/>
  <c r="O1688" i="7"/>
  <c r="N1688" i="7"/>
  <c r="M1688" i="7"/>
  <c r="L1688" i="7"/>
  <c r="K1688" i="7"/>
  <c r="J1688" i="7"/>
  <c r="I1688" i="7"/>
  <c r="H1688" i="7"/>
  <c r="G1688" i="7"/>
  <c r="F1688" i="7"/>
  <c r="E1688" i="7"/>
  <c r="D1688" i="7"/>
  <c r="C1688" i="7"/>
  <c r="O1687" i="7"/>
  <c r="N1687" i="7"/>
  <c r="M1687" i="7"/>
  <c r="L1687" i="7"/>
  <c r="K1687" i="7"/>
  <c r="J1687" i="7"/>
  <c r="I1687" i="7"/>
  <c r="H1687" i="7"/>
  <c r="G1687" i="7"/>
  <c r="F1687" i="7"/>
  <c r="E1687" i="7"/>
  <c r="D1687" i="7"/>
  <c r="C1687" i="7"/>
  <c r="O1686" i="7"/>
  <c r="N1686" i="7"/>
  <c r="M1686" i="7"/>
  <c r="L1686" i="7"/>
  <c r="K1686" i="7"/>
  <c r="J1686" i="7"/>
  <c r="I1686" i="7"/>
  <c r="H1686" i="7"/>
  <c r="G1686" i="7"/>
  <c r="F1686" i="7"/>
  <c r="E1686" i="7"/>
  <c r="D1686" i="7"/>
  <c r="C1686" i="7"/>
  <c r="O1685" i="7"/>
  <c r="N1685" i="7"/>
  <c r="M1685" i="7"/>
  <c r="L1685" i="7"/>
  <c r="K1685" i="7"/>
  <c r="J1685" i="7"/>
  <c r="I1685" i="7"/>
  <c r="H1685" i="7"/>
  <c r="G1685" i="7"/>
  <c r="F1685" i="7"/>
  <c r="E1685" i="7"/>
  <c r="D1685" i="7"/>
  <c r="C1685" i="7"/>
  <c r="O1684" i="7"/>
  <c r="N1684" i="7"/>
  <c r="M1684" i="7"/>
  <c r="L1684" i="7"/>
  <c r="K1684" i="7"/>
  <c r="J1684" i="7"/>
  <c r="I1684" i="7"/>
  <c r="H1684" i="7"/>
  <c r="G1684" i="7"/>
  <c r="F1684" i="7"/>
  <c r="E1684" i="7"/>
  <c r="D1684" i="7"/>
  <c r="C1684" i="7"/>
  <c r="O1683" i="7"/>
  <c r="N1683" i="7"/>
  <c r="M1683" i="7"/>
  <c r="L1683" i="7"/>
  <c r="K1683" i="7"/>
  <c r="J1683" i="7"/>
  <c r="I1683" i="7"/>
  <c r="H1683" i="7"/>
  <c r="G1683" i="7"/>
  <c r="F1683" i="7"/>
  <c r="E1683" i="7"/>
  <c r="D1683" i="7"/>
  <c r="C1683" i="7"/>
  <c r="O1682" i="7"/>
  <c r="N1682" i="7"/>
  <c r="M1682" i="7"/>
  <c r="L1682" i="7"/>
  <c r="K1682" i="7"/>
  <c r="J1682" i="7"/>
  <c r="I1682" i="7"/>
  <c r="H1682" i="7"/>
  <c r="G1682" i="7"/>
  <c r="F1682" i="7"/>
  <c r="E1682" i="7"/>
  <c r="D1682" i="7"/>
  <c r="C1682" i="7"/>
  <c r="O1681" i="7"/>
  <c r="N1681" i="7"/>
  <c r="M1681" i="7"/>
  <c r="L1681" i="7"/>
  <c r="K1681" i="7"/>
  <c r="J1681" i="7"/>
  <c r="I1681" i="7"/>
  <c r="H1681" i="7"/>
  <c r="G1681" i="7"/>
  <c r="F1681" i="7"/>
  <c r="E1681" i="7"/>
  <c r="D1681" i="7"/>
  <c r="C1681" i="7"/>
  <c r="O1680" i="7"/>
  <c r="N1680" i="7"/>
  <c r="M1680" i="7"/>
  <c r="L1680" i="7"/>
  <c r="K1680" i="7"/>
  <c r="J1680" i="7"/>
  <c r="I1680" i="7"/>
  <c r="H1680" i="7"/>
  <c r="G1680" i="7"/>
  <c r="F1680" i="7"/>
  <c r="E1680" i="7"/>
  <c r="D1680" i="7"/>
  <c r="C1680" i="7"/>
  <c r="O1679" i="7"/>
  <c r="N1679" i="7"/>
  <c r="M1679" i="7"/>
  <c r="L1679" i="7"/>
  <c r="K1679" i="7"/>
  <c r="J1679" i="7"/>
  <c r="I1679" i="7"/>
  <c r="H1679" i="7"/>
  <c r="G1679" i="7"/>
  <c r="F1679" i="7"/>
  <c r="E1679" i="7"/>
  <c r="D1679" i="7"/>
  <c r="C1679" i="7"/>
  <c r="O1678" i="7"/>
  <c r="N1678" i="7"/>
  <c r="M1678" i="7"/>
  <c r="L1678" i="7"/>
  <c r="K1678" i="7"/>
  <c r="J1678" i="7"/>
  <c r="I1678" i="7"/>
  <c r="H1678" i="7"/>
  <c r="G1678" i="7"/>
  <c r="F1678" i="7"/>
  <c r="E1678" i="7"/>
  <c r="D1678" i="7"/>
  <c r="C1678" i="7"/>
  <c r="O1677" i="7"/>
  <c r="N1677" i="7"/>
  <c r="M1677" i="7"/>
  <c r="L1677" i="7"/>
  <c r="K1677" i="7"/>
  <c r="J1677" i="7"/>
  <c r="I1677" i="7"/>
  <c r="H1677" i="7"/>
  <c r="G1677" i="7"/>
  <c r="F1677" i="7"/>
  <c r="E1677" i="7"/>
  <c r="D1677" i="7"/>
  <c r="C1677" i="7"/>
  <c r="O1676" i="7"/>
  <c r="N1676" i="7"/>
  <c r="M1676" i="7"/>
  <c r="L1676" i="7"/>
  <c r="K1676" i="7"/>
  <c r="J1676" i="7"/>
  <c r="I1676" i="7"/>
  <c r="H1676" i="7"/>
  <c r="G1676" i="7"/>
  <c r="F1676" i="7"/>
  <c r="E1676" i="7"/>
  <c r="D1676" i="7"/>
  <c r="C1676" i="7"/>
  <c r="O1675" i="7"/>
  <c r="N1675" i="7"/>
  <c r="M1675" i="7"/>
  <c r="L1675" i="7"/>
  <c r="K1675" i="7"/>
  <c r="J1675" i="7"/>
  <c r="I1675" i="7"/>
  <c r="H1675" i="7"/>
  <c r="G1675" i="7"/>
  <c r="F1675" i="7"/>
  <c r="E1675" i="7"/>
  <c r="D1675" i="7"/>
  <c r="C1675" i="7"/>
  <c r="O1674" i="7"/>
  <c r="N1674" i="7"/>
  <c r="M1674" i="7"/>
  <c r="L1674" i="7"/>
  <c r="K1674" i="7"/>
  <c r="J1674" i="7"/>
  <c r="I1674" i="7"/>
  <c r="H1674" i="7"/>
  <c r="G1674" i="7"/>
  <c r="F1674" i="7"/>
  <c r="E1674" i="7"/>
  <c r="D1674" i="7"/>
  <c r="C1674" i="7"/>
  <c r="O1673" i="7"/>
  <c r="N1673" i="7"/>
  <c r="M1673" i="7"/>
  <c r="L1673" i="7"/>
  <c r="K1673" i="7"/>
  <c r="J1673" i="7"/>
  <c r="I1673" i="7"/>
  <c r="H1673" i="7"/>
  <c r="G1673" i="7"/>
  <c r="F1673" i="7"/>
  <c r="E1673" i="7"/>
  <c r="D1673" i="7"/>
  <c r="C1673" i="7"/>
  <c r="O1672" i="7"/>
  <c r="N1672" i="7"/>
  <c r="M1672" i="7"/>
  <c r="L1672" i="7"/>
  <c r="K1672" i="7"/>
  <c r="J1672" i="7"/>
  <c r="I1672" i="7"/>
  <c r="H1672" i="7"/>
  <c r="G1672" i="7"/>
  <c r="F1672" i="7"/>
  <c r="E1672" i="7"/>
  <c r="D1672" i="7"/>
  <c r="C1672" i="7"/>
  <c r="O1671" i="7"/>
  <c r="N1671" i="7"/>
  <c r="M1671" i="7"/>
  <c r="L1671" i="7"/>
  <c r="K1671" i="7"/>
  <c r="J1671" i="7"/>
  <c r="I1671" i="7"/>
  <c r="H1671" i="7"/>
  <c r="G1671" i="7"/>
  <c r="F1671" i="7"/>
  <c r="E1671" i="7"/>
  <c r="D1671" i="7"/>
  <c r="C1671" i="7"/>
  <c r="O1670" i="7"/>
  <c r="N1670" i="7"/>
  <c r="M1670" i="7"/>
  <c r="L1670" i="7"/>
  <c r="K1670" i="7"/>
  <c r="J1670" i="7"/>
  <c r="I1670" i="7"/>
  <c r="H1670" i="7"/>
  <c r="G1670" i="7"/>
  <c r="F1670" i="7"/>
  <c r="E1670" i="7"/>
  <c r="D1670" i="7"/>
  <c r="C1670" i="7"/>
  <c r="O1669" i="7"/>
  <c r="N1669" i="7"/>
  <c r="M1669" i="7"/>
  <c r="L1669" i="7"/>
  <c r="K1669" i="7"/>
  <c r="J1669" i="7"/>
  <c r="I1669" i="7"/>
  <c r="H1669" i="7"/>
  <c r="G1669" i="7"/>
  <c r="F1669" i="7"/>
  <c r="E1669" i="7"/>
  <c r="D1669" i="7"/>
  <c r="C1669" i="7"/>
  <c r="O1668" i="7"/>
  <c r="N1668" i="7"/>
  <c r="M1668" i="7"/>
  <c r="L1668" i="7"/>
  <c r="K1668" i="7"/>
  <c r="J1668" i="7"/>
  <c r="I1668" i="7"/>
  <c r="H1668" i="7"/>
  <c r="G1668" i="7"/>
  <c r="F1668" i="7"/>
  <c r="E1668" i="7"/>
  <c r="D1668" i="7"/>
  <c r="C1668" i="7"/>
  <c r="O1667" i="7"/>
  <c r="N1667" i="7"/>
  <c r="M1667" i="7"/>
  <c r="L1667" i="7"/>
  <c r="K1667" i="7"/>
  <c r="J1667" i="7"/>
  <c r="I1667" i="7"/>
  <c r="H1667" i="7"/>
  <c r="G1667" i="7"/>
  <c r="F1667" i="7"/>
  <c r="E1667" i="7"/>
  <c r="D1667" i="7"/>
  <c r="C1667" i="7"/>
  <c r="O1666" i="7"/>
  <c r="N1666" i="7"/>
  <c r="M1666" i="7"/>
  <c r="L1666" i="7"/>
  <c r="K1666" i="7"/>
  <c r="J1666" i="7"/>
  <c r="I1666" i="7"/>
  <c r="H1666" i="7"/>
  <c r="G1666" i="7"/>
  <c r="F1666" i="7"/>
  <c r="E1666" i="7"/>
  <c r="D1666" i="7"/>
  <c r="C1666" i="7"/>
  <c r="O1665" i="7"/>
  <c r="N1665" i="7"/>
  <c r="M1665" i="7"/>
  <c r="L1665" i="7"/>
  <c r="K1665" i="7"/>
  <c r="J1665" i="7"/>
  <c r="I1665" i="7"/>
  <c r="H1665" i="7"/>
  <c r="G1665" i="7"/>
  <c r="F1665" i="7"/>
  <c r="E1665" i="7"/>
  <c r="D1665" i="7"/>
  <c r="C1665" i="7"/>
  <c r="O1664" i="7"/>
  <c r="N1664" i="7"/>
  <c r="M1664" i="7"/>
  <c r="L1664" i="7"/>
  <c r="K1664" i="7"/>
  <c r="J1664" i="7"/>
  <c r="I1664" i="7"/>
  <c r="H1664" i="7"/>
  <c r="G1664" i="7"/>
  <c r="F1664" i="7"/>
  <c r="E1664" i="7"/>
  <c r="D1664" i="7"/>
  <c r="C1664" i="7"/>
  <c r="O1663" i="7"/>
  <c r="N1663" i="7"/>
  <c r="M1663" i="7"/>
  <c r="L1663" i="7"/>
  <c r="K1663" i="7"/>
  <c r="J1663" i="7"/>
  <c r="I1663" i="7"/>
  <c r="H1663" i="7"/>
  <c r="G1663" i="7"/>
  <c r="F1663" i="7"/>
  <c r="E1663" i="7"/>
  <c r="D1663" i="7"/>
  <c r="C1663" i="7"/>
  <c r="O1662" i="7"/>
  <c r="N1662" i="7"/>
  <c r="M1662" i="7"/>
  <c r="L1662" i="7"/>
  <c r="K1662" i="7"/>
  <c r="J1662" i="7"/>
  <c r="I1662" i="7"/>
  <c r="H1662" i="7"/>
  <c r="G1662" i="7"/>
  <c r="F1662" i="7"/>
  <c r="E1662" i="7"/>
  <c r="D1662" i="7"/>
  <c r="C1662" i="7"/>
  <c r="O1661" i="7"/>
  <c r="N1661" i="7"/>
  <c r="M1661" i="7"/>
  <c r="L1661" i="7"/>
  <c r="K1661" i="7"/>
  <c r="J1661" i="7"/>
  <c r="I1661" i="7"/>
  <c r="H1661" i="7"/>
  <c r="G1661" i="7"/>
  <c r="F1661" i="7"/>
  <c r="E1661" i="7"/>
  <c r="D1661" i="7"/>
  <c r="C1661" i="7"/>
  <c r="O1660" i="7"/>
  <c r="N1660" i="7"/>
  <c r="M1660" i="7"/>
  <c r="L1660" i="7"/>
  <c r="K1660" i="7"/>
  <c r="J1660" i="7"/>
  <c r="I1660" i="7"/>
  <c r="H1660" i="7"/>
  <c r="G1660" i="7"/>
  <c r="F1660" i="7"/>
  <c r="E1660" i="7"/>
  <c r="D1660" i="7"/>
  <c r="C1660" i="7"/>
  <c r="O1659" i="7"/>
  <c r="N1659" i="7"/>
  <c r="M1659" i="7"/>
  <c r="L1659" i="7"/>
  <c r="K1659" i="7"/>
  <c r="J1659" i="7"/>
  <c r="I1659" i="7"/>
  <c r="H1659" i="7"/>
  <c r="G1659" i="7"/>
  <c r="F1659" i="7"/>
  <c r="E1659" i="7"/>
  <c r="D1659" i="7"/>
  <c r="C1659" i="7"/>
  <c r="O1658" i="7"/>
  <c r="N1658" i="7"/>
  <c r="M1658" i="7"/>
  <c r="L1658" i="7"/>
  <c r="K1658" i="7"/>
  <c r="J1658" i="7"/>
  <c r="I1658" i="7"/>
  <c r="H1658" i="7"/>
  <c r="G1658" i="7"/>
  <c r="F1658" i="7"/>
  <c r="E1658" i="7"/>
  <c r="D1658" i="7"/>
  <c r="C1658" i="7"/>
  <c r="O1657" i="7"/>
  <c r="N1657" i="7"/>
  <c r="M1657" i="7"/>
  <c r="L1657" i="7"/>
  <c r="K1657" i="7"/>
  <c r="J1657" i="7"/>
  <c r="I1657" i="7"/>
  <c r="H1657" i="7"/>
  <c r="G1657" i="7"/>
  <c r="F1657" i="7"/>
  <c r="E1657" i="7"/>
  <c r="D1657" i="7"/>
  <c r="C1657" i="7"/>
  <c r="O1656" i="7"/>
  <c r="N1656" i="7"/>
  <c r="M1656" i="7"/>
  <c r="L1656" i="7"/>
  <c r="K1656" i="7"/>
  <c r="J1656" i="7"/>
  <c r="I1656" i="7"/>
  <c r="H1656" i="7"/>
  <c r="G1656" i="7"/>
  <c r="F1656" i="7"/>
  <c r="E1656" i="7"/>
  <c r="D1656" i="7"/>
  <c r="C1656" i="7"/>
  <c r="O1655" i="7"/>
  <c r="N1655" i="7"/>
  <c r="M1655" i="7"/>
  <c r="L1655" i="7"/>
  <c r="K1655" i="7"/>
  <c r="J1655" i="7"/>
  <c r="I1655" i="7"/>
  <c r="H1655" i="7"/>
  <c r="G1655" i="7"/>
  <c r="F1655" i="7"/>
  <c r="E1655" i="7"/>
  <c r="D1655" i="7"/>
  <c r="C1655" i="7"/>
  <c r="O1654" i="7"/>
  <c r="N1654" i="7"/>
  <c r="M1654" i="7"/>
  <c r="L1654" i="7"/>
  <c r="K1654" i="7"/>
  <c r="J1654" i="7"/>
  <c r="I1654" i="7"/>
  <c r="H1654" i="7"/>
  <c r="G1654" i="7"/>
  <c r="F1654" i="7"/>
  <c r="E1654" i="7"/>
  <c r="D1654" i="7"/>
  <c r="C1654" i="7"/>
  <c r="O1653" i="7"/>
  <c r="N1653" i="7"/>
  <c r="M1653" i="7"/>
  <c r="L1653" i="7"/>
  <c r="K1653" i="7"/>
  <c r="J1653" i="7"/>
  <c r="I1653" i="7"/>
  <c r="H1653" i="7"/>
  <c r="G1653" i="7"/>
  <c r="F1653" i="7"/>
  <c r="E1653" i="7"/>
  <c r="D1653" i="7"/>
  <c r="C1653" i="7"/>
  <c r="O1652" i="7"/>
  <c r="N1652" i="7"/>
  <c r="M1652" i="7"/>
  <c r="L1652" i="7"/>
  <c r="K1652" i="7"/>
  <c r="J1652" i="7"/>
  <c r="I1652" i="7"/>
  <c r="H1652" i="7"/>
  <c r="G1652" i="7"/>
  <c r="F1652" i="7"/>
  <c r="E1652" i="7"/>
  <c r="D1652" i="7"/>
  <c r="C1652" i="7"/>
  <c r="O1651" i="7"/>
  <c r="N1651" i="7"/>
  <c r="M1651" i="7"/>
  <c r="L1651" i="7"/>
  <c r="K1651" i="7"/>
  <c r="J1651" i="7"/>
  <c r="I1651" i="7"/>
  <c r="H1651" i="7"/>
  <c r="G1651" i="7"/>
  <c r="F1651" i="7"/>
  <c r="E1651" i="7"/>
  <c r="D1651" i="7"/>
  <c r="C1651" i="7"/>
  <c r="O1650" i="7"/>
  <c r="N1650" i="7"/>
  <c r="M1650" i="7"/>
  <c r="L1650" i="7"/>
  <c r="K1650" i="7"/>
  <c r="J1650" i="7"/>
  <c r="I1650" i="7"/>
  <c r="H1650" i="7"/>
  <c r="G1650" i="7"/>
  <c r="F1650" i="7"/>
  <c r="E1650" i="7"/>
  <c r="D1650" i="7"/>
  <c r="C1650" i="7"/>
  <c r="O1649" i="7"/>
  <c r="N1649" i="7"/>
  <c r="M1649" i="7"/>
  <c r="L1649" i="7"/>
  <c r="K1649" i="7"/>
  <c r="J1649" i="7"/>
  <c r="I1649" i="7"/>
  <c r="H1649" i="7"/>
  <c r="G1649" i="7"/>
  <c r="F1649" i="7"/>
  <c r="E1649" i="7"/>
  <c r="D1649" i="7"/>
  <c r="C1649" i="7"/>
  <c r="O1648" i="7"/>
  <c r="N1648" i="7"/>
  <c r="M1648" i="7"/>
  <c r="L1648" i="7"/>
  <c r="K1648" i="7"/>
  <c r="J1648" i="7"/>
  <c r="I1648" i="7"/>
  <c r="H1648" i="7"/>
  <c r="G1648" i="7"/>
  <c r="F1648" i="7"/>
  <c r="E1648" i="7"/>
  <c r="D1648" i="7"/>
  <c r="C1648" i="7"/>
  <c r="O1647" i="7"/>
  <c r="N1647" i="7"/>
  <c r="M1647" i="7"/>
  <c r="L1647" i="7"/>
  <c r="K1647" i="7"/>
  <c r="J1647" i="7"/>
  <c r="I1647" i="7"/>
  <c r="H1647" i="7"/>
  <c r="G1647" i="7"/>
  <c r="F1647" i="7"/>
  <c r="E1647" i="7"/>
  <c r="D1647" i="7"/>
  <c r="C1647" i="7"/>
  <c r="O1646" i="7"/>
  <c r="N1646" i="7"/>
  <c r="M1646" i="7"/>
  <c r="L1646" i="7"/>
  <c r="K1646" i="7"/>
  <c r="J1646" i="7"/>
  <c r="I1646" i="7"/>
  <c r="H1646" i="7"/>
  <c r="G1646" i="7"/>
  <c r="F1646" i="7"/>
  <c r="E1646" i="7"/>
  <c r="D1646" i="7"/>
  <c r="C1646" i="7"/>
  <c r="O1645" i="7"/>
  <c r="N1645" i="7"/>
  <c r="M1645" i="7"/>
  <c r="L1645" i="7"/>
  <c r="K1645" i="7"/>
  <c r="J1645" i="7"/>
  <c r="I1645" i="7"/>
  <c r="H1645" i="7"/>
  <c r="G1645" i="7"/>
  <c r="F1645" i="7"/>
  <c r="E1645" i="7"/>
  <c r="D1645" i="7"/>
  <c r="C1645" i="7"/>
  <c r="O1644" i="7"/>
  <c r="N1644" i="7"/>
  <c r="M1644" i="7"/>
  <c r="L1644" i="7"/>
  <c r="K1644" i="7"/>
  <c r="J1644" i="7"/>
  <c r="I1644" i="7"/>
  <c r="H1644" i="7"/>
  <c r="G1644" i="7"/>
  <c r="F1644" i="7"/>
  <c r="E1644" i="7"/>
  <c r="D1644" i="7"/>
  <c r="C1644" i="7"/>
  <c r="O1639" i="7"/>
  <c r="N1639" i="7"/>
  <c r="M1639" i="7"/>
  <c r="L1639" i="7"/>
  <c r="K1639" i="7"/>
  <c r="J1639" i="7"/>
  <c r="I1639" i="7"/>
  <c r="H1639" i="7"/>
  <c r="G1639" i="7"/>
  <c r="F1639" i="7"/>
  <c r="E1639" i="7"/>
  <c r="D1639" i="7"/>
  <c r="C1639" i="7"/>
  <c r="C1638" i="7"/>
  <c r="C1637" i="7"/>
  <c r="C1636" i="7"/>
  <c r="O1635" i="7"/>
  <c r="N1635" i="7"/>
  <c r="M1635" i="7"/>
  <c r="L1635" i="7"/>
  <c r="K1635" i="7"/>
  <c r="J1635" i="7"/>
  <c r="I1635" i="7"/>
  <c r="G1635" i="7"/>
  <c r="F1635" i="7"/>
  <c r="E1635" i="7"/>
  <c r="D1635" i="7"/>
  <c r="C1635" i="7"/>
  <c r="O1634" i="7"/>
  <c r="N1634" i="7"/>
  <c r="M1634" i="7"/>
  <c r="L1634" i="7"/>
  <c r="K1634" i="7"/>
  <c r="J1634" i="7"/>
  <c r="I1634" i="7"/>
  <c r="H1634" i="7"/>
  <c r="G1634" i="7"/>
  <c r="F1634" i="7"/>
  <c r="E1634" i="7"/>
  <c r="D1634" i="7"/>
  <c r="C1634" i="7"/>
  <c r="O1633" i="7"/>
  <c r="N1633" i="7"/>
  <c r="M1633" i="7"/>
  <c r="L1633" i="7"/>
  <c r="K1633" i="7"/>
  <c r="J1633" i="7"/>
  <c r="I1633" i="7"/>
  <c r="H1633" i="7"/>
  <c r="G1633" i="7"/>
  <c r="F1633" i="7"/>
  <c r="E1633" i="7"/>
  <c r="D1633" i="7"/>
  <c r="C1633" i="7"/>
  <c r="O1632" i="7"/>
  <c r="N1632" i="7"/>
  <c r="M1632" i="7"/>
  <c r="L1632" i="7"/>
  <c r="K1632" i="7"/>
  <c r="J1632" i="7"/>
  <c r="I1632" i="7"/>
  <c r="H1632" i="7"/>
  <c r="G1632" i="7"/>
  <c r="F1632" i="7"/>
  <c r="E1632" i="7"/>
  <c r="D1632" i="7"/>
  <c r="C1632" i="7"/>
  <c r="O1631" i="7"/>
  <c r="N1631" i="7"/>
  <c r="M1631" i="7"/>
  <c r="L1631" i="7"/>
  <c r="K1631" i="7"/>
  <c r="J1631" i="7"/>
  <c r="I1631" i="7"/>
  <c r="H1631" i="7"/>
  <c r="G1631" i="7"/>
  <c r="F1631" i="7"/>
  <c r="E1631" i="7"/>
  <c r="D1631" i="7"/>
  <c r="C1631" i="7"/>
  <c r="O1630" i="7"/>
  <c r="N1630" i="7"/>
  <c r="M1630" i="7"/>
  <c r="L1630" i="7"/>
  <c r="K1630" i="7"/>
  <c r="J1630" i="7"/>
  <c r="I1630" i="7"/>
  <c r="H1630" i="7"/>
  <c r="G1630" i="7"/>
  <c r="F1630" i="7"/>
  <c r="E1630" i="7"/>
  <c r="D1630" i="7"/>
  <c r="C1630" i="7"/>
  <c r="O1629" i="7"/>
  <c r="N1629" i="7"/>
  <c r="M1629" i="7"/>
  <c r="L1629" i="7"/>
  <c r="K1629" i="7"/>
  <c r="J1629" i="7"/>
  <c r="I1629" i="7"/>
  <c r="H1629" i="7"/>
  <c r="G1629" i="7"/>
  <c r="F1629" i="7"/>
  <c r="E1629" i="7"/>
  <c r="D1629" i="7"/>
  <c r="C1629" i="7"/>
  <c r="O1628" i="7"/>
  <c r="N1628" i="7"/>
  <c r="M1628" i="7"/>
  <c r="L1628" i="7"/>
  <c r="K1628" i="7"/>
  <c r="J1628" i="7"/>
  <c r="I1628" i="7"/>
  <c r="H1628" i="7"/>
  <c r="G1628" i="7"/>
  <c r="F1628" i="7"/>
  <c r="E1628" i="7"/>
  <c r="D1628" i="7"/>
  <c r="C1628" i="7"/>
  <c r="O1627" i="7"/>
  <c r="N1627" i="7"/>
  <c r="M1627" i="7"/>
  <c r="L1627" i="7"/>
  <c r="K1627" i="7"/>
  <c r="J1627" i="7"/>
  <c r="I1627" i="7"/>
  <c r="H1627" i="7"/>
  <c r="G1627" i="7"/>
  <c r="F1627" i="7"/>
  <c r="E1627" i="7"/>
  <c r="D1627" i="7"/>
  <c r="C1627" i="7"/>
  <c r="O1626" i="7"/>
  <c r="N1626" i="7"/>
  <c r="M1626" i="7"/>
  <c r="L1626" i="7"/>
  <c r="K1626" i="7"/>
  <c r="J1626" i="7"/>
  <c r="I1626" i="7"/>
  <c r="H1626" i="7"/>
  <c r="G1626" i="7"/>
  <c r="F1626" i="7"/>
  <c r="E1626" i="7"/>
  <c r="D1626" i="7"/>
  <c r="C1626" i="7"/>
  <c r="O1625" i="7"/>
  <c r="N1625" i="7"/>
  <c r="M1625" i="7"/>
  <c r="L1625" i="7"/>
  <c r="K1625" i="7"/>
  <c r="J1625" i="7"/>
  <c r="I1625" i="7"/>
  <c r="H1625" i="7"/>
  <c r="G1625" i="7"/>
  <c r="F1625" i="7"/>
  <c r="E1625" i="7"/>
  <c r="D1625" i="7"/>
  <c r="C1625" i="7"/>
  <c r="O1624" i="7"/>
  <c r="N1624" i="7"/>
  <c r="M1624" i="7"/>
  <c r="L1624" i="7"/>
  <c r="K1624" i="7"/>
  <c r="J1624" i="7"/>
  <c r="I1624" i="7"/>
  <c r="H1624" i="7"/>
  <c r="G1624" i="7"/>
  <c r="F1624" i="7"/>
  <c r="E1624" i="7"/>
  <c r="D1624" i="7"/>
  <c r="C1624" i="7"/>
  <c r="O1623" i="7"/>
  <c r="N1623" i="7"/>
  <c r="M1623" i="7"/>
  <c r="L1623" i="7"/>
  <c r="K1623" i="7"/>
  <c r="J1623" i="7"/>
  <c r="I1623" i="7"/>
  <c r="H1623" i="7"/>
  <c r="G1623" i="7"/>
  <c r="F1623" i="7"/>
  <c r="E1623" i="7"/>
  <c r="D1623" i="7"/>
  <c r="C1623" i="7"/>
  <c r="O1622" i="7"/>
  <c r="N1622" i="7"/>
  <c r="M1622" i="7"/>
  <c r="L1622" i="7"/>
  <c r="K1622" i="7"/>
  <c r="J1622" i="7"/>
  <c r="I1622" i="7"/>
  <c r="H1622" i="7"/>
  <c r="G1622" i="7"/>
  <c r="F1622" i="7"/>
  <c r="E1622" i="7"/>
  <c r="D1622" i="7"/>
  <c r="C1622" i="7"/>
  <c r="O1621" i="7"/>
  <c r="N1621" i="7"/>
  <c r="M1621" i="7"/>
  <c r="L1621" i="7"/>
  <c r="K1621" i="7"/>
  <c r="J1621" i="7"/>
  <c r="I1621" i="7"/>
  <c r="H1621" i="7"/>
  <c r="G1621" i="7"/>
  <c r="F1621" i="7"/>
  <c r="E1621" i="7"/>
  <c r="D1621" i="7"/>
  <c r="C1621" i="7"/>
  <c r="O1620" i="7"/>
  <c r="N1620" i="7"/>
  <c r="M1620" i="7"/>
  <c r="L1620" i="7"/>
  <c r="K1620" i="7"/>
  <c r="J1620" i="7"/>
  <c r="I1620" i="7"/>
  <c r="H1620" i="7"/>
  <c r="G1620" i="7"/>
  <c r="F1620" i="7"/>
  <c r="E1620" i="7"/>
  <c r="D1620" i="7"/>
  <c r="C1620" i="7"/>
  <c r="O1619" i="7"/>
  <c r="N1619" i="7"/>
  <c r="M1619" i="7"/>
  <c r="L1619" i="7"/>
  <c r="K1619" i="7"/>
  <c r="J1619" i="7"/>
  <c r="I1619" i="7"/>
  <c r="H1619" i="7"/>
  <c r="G1619" i="7"/>
  <c r="F1619" i="7"/>
  <c r="E1619" i="7"/>
  <c r="D1619" i="7"/>
  <c r="C1619" i="7"/>
  <c r="O1618" i="7"/>
  <c r="N1618" i="7"/>
  <c r="M1618" i="7"/>
  <c r="L1618" i="7"/>
  <c r="K1618" i="7"/>
  <c r="J1618" i="7"/>
  <c r="I1618" i="7"/>
  <c r="H1618" i="7"/>
  <c r="G1618" i="7"/>
  <c r="F1618" i="7"/>
  <c r="E1618" i="7"/>
  <c r="D1618" i="7"/>
  <c r="C1618" i="7"/>
  <c r="O1617" i="7"/>
  <c r="N1617" i="7"/>
  <c r="M1617" i="7"/>
  <c r="L1617" i="7"/>
  <c r="K1617" i="7"/>
  <c r="J1617" i="7"/>
  <c r="I1617" i="7"/>
  <c r="H1617" i="7"/>
  <c r="G1617" i="7"/>
  <c r="F1617" i="7"/>
  <c r="E1617" i="7"/>
  <c r="D1617" i="7"/>
  <c r="C1617" i="7"/>
  <c r="O1616" i="7"/>
  <c r="N1616" i="7"/>
  <c r="M1616" i="7"/>
  <c r="L1616" i="7"/>
  <c r="K1616" i="7"/>
  <c r="J1616" i="7"/>
  <c r="I1616" i="7"/>
  <c r="H1616" i="7"/>
  <c r="G1616" i="7"/>
  <c r="F1616" i="7"/>
  <c r="E1616" i="7"/>
  <c r="D1616" i="7"/>
  <c r="C1616" i="7"/>
  <c r="O1615" i="7"/>
  <c r="N1615" i="7"/>
  <c r="M1615" i="7"/>
  <c r="L1615" i="7"/>
  <c r="K1615" i="7"/>
  <c r="J1615" i="7"/>
  <c r="I1615" i="7"/>
  <c r="H1615" i="7"/>
  <c r="G1615" i="7"/>
  <c r="F1615" i="7"/>
  <c r="E1615" i="7"/>
  <c r="D1615" i="7"/>
  <c r="C1615" i="7"/>
  <c r="O1614" i="7"/>
  <c r="N1614" i="7"/>
  <c r="M1614" i="7"/>
  <c r="L1614" i="7"/>
  <c r="K1614" i="7"/>
  <c r="J1614" i="7"/>
  <c r="I1614" i="7"/>
  <c r="H1614" i="7"/>
  <c r="G1614" i="7"/>
  <c r="F1614" i="7"/>
  <c r="E1614" i="7"/>
  <c r="D1614" i="7"/>
  <c r="C1614" i="7"/>
  <c r="O1613" i="7"/>
  <c r="N1613" i="7"/>
  <c r="M1613" i="7"/>
  <c r="L1613" i="7"/>
  <c r="K1613" i="7"/>
  <c r="J1613" i="7"/>
  <c r="I1613" i="7"/>
  <c r="H1613" i="7"/>
  <c r="G1613" i="7"/>
  <c r="F1613" i="7"/>
  <c r="E1613" i="7"/>
  <c r="D1613" i="7"/>
  <c r="C1613" i="7"/>
  <c r="O1612" i="7"/>
  <c r="N1612" i="7"/>
  <c r="M1612" i="7"/>
  <c r="L1612" i="7"/>
  <c r="K1612" i="7"/>
  <c r="J1612" i="7"/>
  <c r="I1612" i="7"/>
  <c r="H1612" i="7"/>
  <c r="G1612" i="7"/>
  <c r="F1612" i="7"/>
  <c r="E1612" i="7"/>
  <c r="D1612" i="7"/>
  <c r="C1612" i="7"/>
  <c r="O1611" i="7"/>
  <c r="N1611" i="7"/>
  <c r="M1611" i="7"/>
  <c r="L1611" i="7"/>
  <c r="K1611" i="7"/>
  <c r="J1611" i="7"/>
  <c r="I1611" i="7"/>
  <c r="H1611" i="7"/>
  <c r="G1611" i="7"/>
  <c r="F1611" i="7"/>
  <c r="E1611" i="7"/>
  <c r="D1611" i="7"/>
  <c r="C1611" i="7"/>
  <c r="O1610" i="7"/>
  <c r="N1610" i="7"/>
  <c r="M1610" i="7"/>
  <c r="L1610" i="7"/>
  <c r="K1610" i="7"/>
  <c r="J1610" i="7"/>
  <c r="I1610" i="7"/>
  <c r="H1610" i="7"/>
  <c r="G1610" i="7"/>
  <c r="F1610" i="7"/>
  <c r="E1610" i="7"/>
  <c r="D1610" i="7"/>
  <c r="C1610" i="7"/>
  <c r="O1609" i="7"/>
  <c r="N1609" i="7"/>
  <c r="M1609" i="7"/>
  <c r="L1609" i="7"/>
  <c r="K1609" i="7"/>
  <c r="J1609" i="7"/>
  <c r="I1609" i="7"/>
  <c r="H1609" i="7"/>
  <c r="G1609" i="7"/>
  <c r="F1609" i="7"/>
  <c r="E1609" i="7"/>
  <c r="D1609" i="7"/>
  <c r="C1609" i="7"/>
  <c r="O1608" i="7"/>
  <c r="N1608" i="7"/>
  <c r="M1608" i="7"/>
  <c r="L1608" i="7"/>
  <c r="K1608" i="7"/>
  <c r="J1608" i="7"/>
  <c r="I1608" i="7"/>
  <c r="H1608" i="7"/>
  <c r="G1608" i="7"/>
  <c r="F1608" i="7"/>
  <c r="E1608" i="7"/>
  <c r="D1608" i="7"/>
  <c r="C1608" i="7"/>
  <c r="O1607" i="7"/>
  <c r="N1607" i="7"/>
  <c r="M1607" i="7"/>
  <c r="L1607" i="7"/>
  <c r="K1607" i="7"/>
  <c r="J1607" i="7"/>
  <c r="I1607" i="7"/>
  <c r="H1607" i="7"/>
  <c r="G1607" i="7"/>
  <c r="F1607" i="7"/>
  <c r="E1607" i="7"/>
  <c r="D1607" i="7"/>
  <c r="C1607" i="7"/>
  <c r="O1606" i="7"/>
  <c r="N1606" i="7"/>
  <c r="M1606" i="7"/>
  <c r="L1606" i="7"/>
  <c r="K1606" i="7"/>
  <c r="J1606" i="7"/>
  <c r="I1606" i="7"/>
  <c r="H1606" i="7"/>
  <c r="G1606" i="7"/>
  <c r="F1606" i="7"/>
  <c r="E1606" i="7"/>
  <c r="D1606" i="7"/>
  <c r="C1606" i="7"/>
  <c r="O1605" i="7"/>
  <c r="N1605" i="7"/>
  <c r="M1605" i="7"/>
  <c r="L1605" i="7"/>
  <c r="K1605" i="7"/>
  <c r="J1605" i="7"/>
  <c r="I1605" i="7"/>
  <c r="H1605" i="7"/>
  <c r="G1605" i="7"/>
  <c r="F1605" i="7"/>
  <c r="E1605" i="7"/>
  <c r="D1605" i="7"/>
  <c r="C1605" i="7"/>
  <c r="O1604" i="7"/>
  <c r="N1604" i="7"/>
  <c r="M1604" i="7"/>
  <c r="L1604" i="7"/>
  <c r="K1604" i="7"/>
  <c r="J1604" i="7"/>
  <c r="I1604" i="7"/>
  <c r="H1604" i="7"/>
  <c r="G1604" i="7"/>
  <c r="F1604" i="7"/>
  <c r="E1604" i="7"/>
  <c r="D1604" i="7"/>
  <c r="C1604" i="7"/>
  <c r="O1603" i="7"/>
  <c r="N1603" i="7"/>
  <c r="M1603" i="7"/>
  <c r="L1603" i="7"/>
  <c r="K1603" i="7"/>
  <c r="J1603" i="7"/>
  <c r="I1603" i="7"/>
  <c r="H1603" i="7"/>
  <c r="G1603" i="7"/>
  <c r="F1603" i="7"/>
  <c r="E1603" i="7"/>
  <c r="D1603" i="7"/>
  <c r="C1603" i="7"/>
  <c r="O1602" i="7"/>
  <c r="N1602" i="7"/>
  <c r="M1602" i="7"/>
  <c r="L1602" i="7"/>
  <c r="K1602" i="7"/>
  <c r="J1602" i="7"/>
  <c r="I1602" i="7"/>
  <c r="H1602" i="7"/>
  <c r="G1602" i="7"/>
  <c r="F1602" i="7"/>
  <c r="E1602" i="7"/>
  <c r="D1602" i="7"/>
  <c r="C1602" i="7"/>
  <c r="O1601" i="7"/>
  <c r="N1601" i="7"/>
  <c r="M1601" i="7"/>
  <c r="L1601" i="7"/>
  <c r="K1601" i="7"/>
  <c r="J1601" i="7"/>
  <c r="I1601" i="7"/>
  <c r="H1601" i="7"/>
  <c r="G1601" i="7"/>
  <c r="F1601" i="7"/>
  <c r="E1601" i="7"/>
  <c r="D1601" i="7"/>
  <c r="C1601" i="7"/>
  <c r="O1600" i="7"/>
  <c r="N1600" i="7"/>
  <c r="M1600" i="7"/>
  <c r="L1600" i="7"/>
  <c r="K1600" i="7"/>
  <c r="J1600" i="7"/>
  <c r="I1600" i="7"/>
  <c r="H1600" i="7"/>
  <c r="G1600" i="7"/>
  <c r="F1600" i="7"/>
  <c r="E1600" i="7"/>
  <c r="D1600" i="7"/>
  <c r="C1600" i="7"/>
  <c r="O1599" i="7"/>
  <c r="N1599" i="7"/>
  <c r="M1599" i="7"/>
  <c r="L1599" i="7"/>
  <c r="K1599" i="7"/>
  <c r="J1599" i="7"/>
  <c r="I1599" i="7"/>
  <c r="H1599" i="7"/>
  <c r="G1599" i="7"/>
  <c r="F1599" i="7"/>
  <c r="E1599" i="7"/>
  <c r="D1599" i="7"/>
  <c r="C1599" i="7"/>
  <c r="O1598" i="7"/>
  <c r="N1598" i="7"/>
  <c r="M1598" i="7"/>
  <c r="L1598" i="7"/>
  <c r="K1598" i="7"/>
  <c r="J1598" i="7"/>
  <c r="I1598" i="7"/>
  <c r="H1598" i="7"/>
  <c r="G1598" i="7"/>
  <c r="F1598" i="7"/>
  <c r="E1598" i="7"/>
  <c r="D1598" i="7"/>
  <c r="C1598" i="7"/>
  <c r="O1597" i="7"/>
  <c r="N1597" i="7"/>
  <c r="M1597" i="7"/>
  <c r="L1597" i="7"/>
  <c r="K1597" i="7"/>
  <c r="J1597" i="7"/>
  <c r="I1597" i="7"/>
  <c r="H1597" i="7"/>
  <c r="G1597" i="7"/>
  <c r="F1597" i="7"/>
  <c r="E1597" i="7"/>
  <c r="D1597" i="7"/>
  <c r="C1597" i="7"/>
  <c r="O1596" i="7"/>
  <c r="N1596" i="7"/>
  <c r="M1596" i="7"/>
  <c r="L1596" i="7"/>
  <c r="K1596" i="7"/>
  <c r="J1596" i="7"/>
  <c r="I1596" i="7"/>
  <c r="H1596" i="7"/>
  <c r="G1596" i="7"/>
  <c r="F1596" i="7"/>
  <c r="E1596" i="7"/>
  <c r="D1596" i="7"/>
  <c r="C1596" i="7"/>
  <c r="O1595" i="7"/>
  <c r="N1595" i="7"/>
  <c r="M1595" i="7"/>
  <c r="L1595" i="7"/>
  <c r="K1595" i="7"/>
  <c r="J1595" i="7"/>
  <c r="I1595" i="7"/>
  <c r="H1595" i="7"/>
  <c r="G1595" i="7"/>
  <c r="F1595" i="7"/>
  <c r="E1595" i="7"/>
  <c r="D1595" i="7"/>
  <c r="C1595" i="7"/>
  <c r="O1594" i="7"/>
  <c r="N1594" i="7"/>
  <c r="M1594" i="7"/>
  <c r="L1594" i="7"/>
  <c r="K1594" i="7"/>
  <c r="J1594" i="7"/>
  <c r="I1594" i="7"/>
  <c r="H1594" i="7"/>
  <c r="G1594" i="7"/>
  <c r="F1594" i="7"/>
  <c r="E1594" i="7"/>
  <c r="D1594" i="7"/>
  <c r="C1594" i="7"/>
  <c r="O1593" i="7"/>
  <c r="N1593" i="7"/>
  <c r="M1593" i="7"/>
  <c r="L1593" i="7"/>
  <c r="K1593" i="7"/>
  <c r="J1593" i="7"/>
  <c r="I1593" i="7"/>
  <c r="H1593" i="7"/>
  <c r="G1593" i="7"/>
  <c r="F1593" i="7"/>
  <c r="E1593" i="7"/>
  <c r="D1593" i="7"/>
  <c r="C1593" i="7"/>
  <c r="O1592" i="7"/>
  <c r="N1592" i="7"/>
  <c r="M1592" i="7"/>
  <c r="L1592" i="7"/>
  <c r="K1592" i="7"/>
  <c r="J1592" i="7"/>
  <c r="I1592" i="7"/>
  <c r="H1592" i="7"/>
  <c r="G1592" i="7"/>
  <c r="F1592" i="7"/>
  <c r="E1592" i="7"/>
  <c r="D1592" i="7"/>
  <c r="C1592" i="7"/>
  <c r="O1591" i="7"/>
  <c r="N1591" i="7"/>
  <c r="M1591" i="7"/>
  <c r="L1591" i="7"/>
  <c r="K1591" i="7"/>
  <c r="J1591" i="7"/>
  <c r="I1591" i="7"/>
  <c r="H1591" i="7"/>
  <c r="G1591" i="7"/>
  <c r="F1591" i="7"/>
  <c r="E1591" i="7"/>
  <c r="D1591" i="7"/>
  <c r="C1591" i="7"/>
  <c r="O1590" i="7"/>
  <c r="N1590" i="7"/>
  <c r="M1590" i="7"/>
  <c r="L1590" i="7"/>
  <c r="K1590" i="7"/>
  <c r="J1590" i="7"/>
  <c r="I1590" i="7"/>
  <c r="H1590" i="7"/>
  <c r="G1590" i="7"/>
  <c r="F1590" i="7"/>
  <c r="E1590" i="7"/>
  <c r="D1590" i="7"/>
  <c r="C1590" i="7"/>
  <c r="O1589" i="7"/>
  <c r="N1589" i="7"/>
  <c r="M1589" i="7"/>
  <c r="L1589" i="7"/>
  <c r="K1589" i="7"/>
  <c r="J1589" i="7"/>
  <c r="I1589" i="7"/>
  <c r="H1589" i="7"/>
  <c r="G1589" i="7"/>
  <c r="F1589" i="7"/>
  <c r="E1589" i="7"/>
  <c r="D1589" i="7"/>
  <c r="C1589" i="7"/>
  <c r="O1588" i="7"/>
  <c r="N1588" i="7"/>
  <c r="M1588" i="7"/>
  <c r="L1588" i="7"/>
  <c r="K1588" i="7"/>
  <c r="J1588" i="7"/>
  <c r="I1588" i="7"/>
  <c r="H1588" i="7"/>
  <c r="G1588" i="7"/>
  <c r="F1588" i="7"/>
  <c r="E1588" i="7"/>
  <c r="D1588" i="7"/>
  <c r="C1588" i="7"/>
  <c r="O1587" i="7"/>
  <c r="N1587" i="7"/>
  <c r="M1587" i="7"/>
  <c r="L1587" i="7"/>
  <c r="K1587" i="7"/>
  <c r="J1587" i="7"/>
  <c r="I1587" i="7"/>
  <c r="H1587" i="7"/>
  <c r="G1587" i="7"/>
  <c r="F1587" i="7"/>
  <c r="E1587" i="7"/>
  <c r="D1587" i="7"/>
  <c r="C1587" i="7"/>
  <c r="O1586" i="7"/>
  <c r="N1586" i="7"/>
  <c r="M1586" i="7"/>
  <c r="L1586" i="7"/>
  <c r="K1586" i="7"/>
  <c r="J1586" i="7"/>
  <c r="I1586" i="7"/>
  <c r="H1586" i="7"/>
  <c r="G1586" i="7"/>
  <c r="F1586" i="7"/>
  <c r="E1586" i="7"/>
  <c r="D1586" i="7"/>
  <c r="C1586" i="7"/>
  <c r="O1585" i="7"/>
  <c r="N1585" i="7"/>
  <c r="M1585" i="7"/>
  <c r="L1585" i="7"/>
  <c r="K1585" i="7"/>
  <c r="J1585" i="7"/>
  <c r="I1585" i="7"/>
  <c r="H1585" i="7"/>
  <c r="G1585" i="7"/>
  <c r="F1585" i="7"/>
  <c r="E1585" i="7"/>
  <c r="D1585" i="7"/>
  <c r="C1585" i="7"/>
  <c r="O1584" i="7"/>
  <c r="N1584" i="7"/>
  <c r="M1584" i="7"/>
  <c r="L1584" i="7"/>
  <c r="K1584" i="7"/>
  <c r="J1584" i="7"/>
  <c r="I1584" i="7"/>
  <c r="H1584" i="7"/>
  <c r="G1584" i="7"/>
  <c r="F1584" i="7"/>
  <c r="E1584" i="7"/>
  <c r="D1584" i="7"/>
  <c r="C1584" i="7"/>
  <c r="O1583" i="7"/>
  <c r="N1583" i="7"/>
  <c r="M1583" i="7"/>
  <c r="L1583" i="7"/>
  <c r="K1583" i="7"/>
  <c r="J1583" i="7"/>
  <c r="I1583" i="7"/>
  <c r="H1583" i="7"/>
  <c r="G1583" i="7"/>
  <c r="F1583" i="7"/>
  <c r="E1583" i="7"/>
  <c r="D1583" i="7"/>
  <c r="C1583" i="7"/>
  <c r="O1582" i="7"/>
  <c r="N1582" i="7"/>
  <c r="M1582" i="7"/>
  <c r="L1582" i="7"/>
  <c r="K1582" i="7"/>
  <c r="J1582" i="7"/>
  <c r="I1582" i="7"/>
  <c r="H1582" i="7"/>
  <c r="G1582" i="7"/>
  <c r="F1582" i="7"/>
  <c r="E1582" i="7"/>
  <c r="D1582" i="7"/>
  <c r="C1582" i="7"/>
  <c r="O1581" i="7"/>
  <c r="N1581" i="7"/>
  <c r="M1581" i="7"/>
  <c r="L1581" i="7"/>
  <c r="K1581" i="7"/>
  <c r="J1581" i="7"/>
  <c r="I1581" i="7"/>
  <c r="H1581" i="7"/>
  <c r="G1581" i="7"/>
  <c r="F1581" i="7"/>
  <c r="E1581" i="7"/>
  <c r="D1581" i="7"/>
  <c r="C1581" i="7"/>
  <c r="O1580" i="7"/>
  <c r="N1580" i="7"/>
  <c r="M1580" i="7"/>
  <c r="L1580" i="7"/>
  <c r="K1580" i="7"/>
  <c r="J1580" i="7"/>
  <c r="I1580" i="7"/>
  <c r="H1580" i="7"/>
  <c r="G1580" i="7"/>
  <c r="F1580" i="7"/>
  <c r="E1580" i="7"/>
  <c r="D1580" i="7"/>
  <c r="C1580" i="7"/>
  <c r="O1579" i="7"/>
  <c r="N1579" i="7"/>
  <c r="M1579" i="7"/>
  <c r="L1579" i="7"/>
  <c r="K1579" i="7"/>
  <c r="J1579" i="7"/>
  <c r="I1579" i="7"/>
  <c r="H1579" i="7"/>
  <c r="G1579" i="7"/>
  <c r="F1579" i="7"/>
  <c r="E1579" i="7"/>
  <c r="D1579" i="7"/>
  <c r="C1579" i="7"/>
  <c r="O1578" i="7"/>
  <c r="N1578" i="7"/>
  <c r="M1578" i="7"/>
  <c r="L1578" i="7"/>
  <c r="K1578" i="7"/>
  <c r="J1578" i="7"/>
  <c r="I1578" i="7"/>
  <c r="H1578" i="7"/>
  <c r="G1578" i="7"/>
  <c r="F1578" i="7"/>
  <c r="E1578" i="7"/>
  <c r="D1578" i="7"/>
  <c r="C1578" i="7"/>
  <c r="O1577" i="7"/>
  <c r="N1577" i="7"/>
  <c r="M1577" i="7"/>
  <c r="L1577" i="7"/>
  <c r="K1577" i="7"/>
  <c r="J1577" i="7"/>
  <c r="I1577" i="7"/>
  <c r="H1577" i="7"/>
  <c r="G1577" i="7"/>
  <c r="F1577" i="7"/>
  <c r="E1577" i="7"/>
  <c r="D1577" i="7"/>
  <c r="C1577" i="7"/>
  <c r="O1576" i="7"/>
  <c r="N1576" i="7"/>
  <c r="M1576" i="7"/>
  <c r="L1576" i="7"/>
  <c r="K1576" i="7"/>
  <c r="J1576" i="7"/>
  <c r="I1576" i="7"/>
  <c r="H1576" i="7"/>
  <c r="G1576" i="7"/>
  <c r="F1576" i="7"/>
  <c r="E1576" i="7"/>
  <c r="D1576" i="7"/>
  <c r="C1576" i="7"/>
  <c r="O1575" i="7"/>
  <c r="N1575" i="7"/>
  <c r="M1575" i="7"/>
  <c r="L1575" i="7"/>
  <c r="K1575" i="7"/>
  <c r="J1575" i="7"/>
  <c r="I1575" i="7"/>
  <c r="H1575" i="7"/>
  <c r="G1575" i="7"/>
  <c r="F1575" i="7"/>
  <c r="E1575" i="7"/>
  <c r="D1575" i="7"/>
  <c r="C1575" i="7"/>
  <c r="O1574" i="7"/>
  <c r="N1574" i="7"/>
  <c r="M1574" i="7"/>
  <c r="L1574" i="7"/>
  <c r="K1574" i="7"/>
  <c r="J1574" i="7"/>
  <c r="I1574" i="7"/>
  <c r="H1574" i="7"/>
  <c r="G1574" i="7"/>
  <c r="F1574" i="7"/>
  <c r="E1574" i="7"/>
  <c r="D1574" i="7"/>
  <c r="C1574" i="7"/>
  <c r="O1573" i="7"/>
  <c r="N1573" i="7"/>
  <c r="M1573" i="7"/>
  <c r="L1573" i="7"/>
  <c r="K1573" i="7"/>
  <c r="J1573" i="7"/>
  <c r="I1573" i="7"/>
  <c r="H1573" i="7"/>
  <c r="G1573" i="7"/>
  <c r="F1573" i="7"/>
  <c r="E1573" i="7"/>
  <c r="D1573" i="7"/>
  <c r="C1573" i="7"/>
  <c r="O1572" i="7"/>
  <c r="N1572" i="7"/>
  <c r="M1572" i="7"/>
  <c r="L1572" i="7"/>
  <c r="K1572" i="7"/>
  <c r="J1572" i="7"/>
  <c r="I1572" i="7"/>
  <c r="H1572" i="7"/>
  <c r="G1572" i="7"/>
  <c r="F1572" i="7"/>
  <c r="E1572" i="7"/>
  <c r="D1572" i="7"/>
  <c r="C1572" i="7"/>
  <c r="O1571" i="7"/>
  <c r="N1571" i="7"/>
  <c r="M1571" i="7"/>
  <c r="L1571" i="7"/>
  <c r="K1571" i="7"/>
  <c r="J1571" i="7"/>
  <c r="I1571" i="7"/>
  <c r="H1571" i="7"/>
  <c r="G1571" i="7"/>
  <c r="F1571" i="7"/>
  <c r="E1571" i="7"/>
  <c r="D1571" i="7"/>
  <c r="C1571" i="7"/>
  <c r="O1570" i="7"/>
  <c r="N1570" i="7"/>
  <c r="M1570" i="7"/>
  <c r="L1570" i="7"/>
  <c r="K1570" i="7"/>
  <c r="J1570" i="7"/>
  <c r="I1570" i="7"/>
  <c r="H1570" i="7"/>
  <c r="G1570" i="7"/>
  <c r="F1570" i="7"/>
  <c r="E1570" i="7"/>
  <c r="D1570" i="7"/>
  <c r="C1570" i="7"/>
  <c r="O1569" i="7"/>
  <c r="N1569" i="7"/>
  <c r="M1569" i="7"/>
  <c r="L1569" i="7"/>
  <c r="K1569" i="7"/>
  <c r="J1569" i="7"/>
  <c r="I1569" i="7"/>
  <c r="H1569" i="7"/>
  <c r="G1569" i="7"/>
  <c r="F1569" i="7"/>
  <c r="E1569" i="7"/>
  <c r="D1569" i="7"/>
  <c r="C1569" i="7"/>
  <c r="O1568" i="7"/>
  <c r="N1568" i="7"/>
  <c r="M1568" i="7"/>
  <c r="L1568" i="7"/>
  <c r="K1568" i="7"/>
  <c r="J1568" i="7"/>
  <c r="I1568" i="7"/>
  <c r="H1568" i="7"/>
  <c r="G1568" i="7"/>
  <c r="F1568" i="7"/>
  <c r="E1568" i="7"/>
  <c r="D1568" i="7"/>
  <c r="C1568" i="7"/>
  <c r="O1567" i="7"/>
  <c r="N1567" i="7"/>
  <c r="M1567" i="7"/>
  <c r="L1567" i="7"/>
  <c r="K1567" i="7"/>
  <c r="J1567" i="7"/>
  <c r="I1567" i="7"/>
  <c r="H1567" i="7"/>
  <c r="G1567" i="7"/>
  <c r="F1567" i="7"/>
  <c r="E1567" i="7"/>
  <c r="D1567" i="7"/>
  <c r="C1567" i="7"/>
  <c r="O1566" i="7"/>
  <c r="N1566" i="7"/>
  <c r="M1566" i="7"/>
  <c r="L1566" i="7"/>
  <c r="K1566" i="7"/>
  <c r="J1566" i="7"/>
  <c r="I1566" i="7"/>
  <c r="H1566" i="7"/>
  <c r="G1566" i="7"/>
  <c r="F1566" i="7"/>
  <c r="E1566" i="7"/>
  <c r="D1566" i="7"/>
  <c r="C1566" i="7"/>
  <c r="O1565" i="7"/>
  <c r="N1565" i="7"/>
  <c r="M1565" i="7"/>
  <c r="L1565" i="7"/>
  <c r="K1565" i="7"/>
  <c r="J1565" i="7"/>
  <c r="I1565" i="7"/>
  <c r="H1565" i="7"/>
  <c r="G1565" i="7"/>
  <c r="F1565" i="7"/>
  <c r="E1565" i="7"/>
  <c r="D1565" i="7"/>
  <c r="C1565" i="7"/>
  <c r="O1564" i="7"/>
  <c r="N1564" i="7"/>
  <c r="M1564" i="7"/>
  <c r="L1564" i="7"/>
  <c r="K1564" i="7"/>
  <c r="J1564" i="7"/>
  <c r="I1564" i="7"/>
  <c r="H1564" i="7"/>
  <c r="G1564" i="7"/>
  <c r="F1564" i="7"/>
  <c r="E1564" i="7"/>
  <c r="D1564" i="7"/>
  <c r="C1564" i="7"/>
  <c r="O1563" i="7"/>
  <c r="N1563" i="7"/>
  <c r="M1563" i="7"/>
  <c r="L1563" i="7"/>
  <c r="K1563" i="7"/>
  <c r="J1563" i="7"/>
  <c r="I1563" i="7"/>
  <c r="H1563" i="7"/>
  <c r="G1563" i="7"/>
  <c r="F1563" i="7"/>
  <c r="E1563" i="7"/>
  <c r="D1563" i="7"/>
  <c r="C1563" i="7"/>
  <c r="O1562" i="7"/>
  <c r="N1562" i="7"/>
  <c r="M1562" i="7"/>
  <c r="L1562" i="7"/>
  <c r="K1562" i="7"/>
  <c r="J1562" i="7"/>
  <c r="I1562" i="7"/>
  <c r="H1562" i="7"/>
  <c r="G1562" i="7"/>
  <c r="F1562" i="7"/>
  <c r="E1562" i="7"/>
  <c r="D1562" i="7"/>
  <c r="C1562" i="7"/>
  <c r="O1561" i="7"/>
  <c r="N1561" i="7"/>
  <c r="M1561" i="7"/>
  <c r="L1561" i="7"/>
  <c r="K1561" i="7"/>
  <c r="J1561" i="7"/>
  <c r="I1561" i="7"/>
  <c r="H1561" i="7"/>
  <c r="G1561" i="7"/>
  <c r="F1561" i="7"/>
  <c r="E1561" i="7"/>
  <c r="D1561" i="7"/>
  <c r="C1561" i="7"/>
  <c r="O1560" i="7"/>
  <c r="N1560" i="7"/>
  <c r="M1560" i="7"/>
  <c r="L1560" i="7"/>
  <c r="K1560" i="7"/>
  <c r="J1560" i="7"/>
  <c r="I1560" i="7"/>
  <c r="H1560" i="7"/>
  <c r="G1560" i="7"/>
  <c r="F1560" i="7"/>
  <c r="E1560" i="7"/>
  <c r="D1560" i="7"/>
  <c r="C1560" i="7"/>
  <c r="O1559" i="7"/>
  <c r="N1559" i="7"/>
  <c r="M1559" i="7"/>
  <c r="L1559" i="7"/>
  <c r="K1559" i="7"/>
  <c r="J1559" i="7"/>
  <c r="I1559" i="7"/>
  <c r="H1559" i="7"/>
  <c r="G1559" i="7"/>
  <c r="F1559" i="7"/>
  <c r="E1559" i="7"/>
  <c r="D1559" i="7"/>
  <c r="C1559" i="7"/>
  <c r="O1558" i="7"/>
  <c r="N1558" i="7"/>
  <c r="M1558" i="7"/>
  <c r="L1558" i="7"/>
  <c r="K1558" i="7"/>
  <c r="J1558" i="7"/>
  <c r="I1558" i="7"/>
  <c r="H1558" i="7"/>
  <c r="G1558" i="7"/>
  <c r="F1558" i="7"/>
  <c r="E1558" i="7"/>
  <c r="D1558" i="7"/>
  <c r="C1558" i="7"/>
  <c r="O1557" i="7"/>
  <c r="N1557" i="7"/>
  <c r="M1557" i="7"/>
  <c r="L1557" i="7"/>
  <c r="K1557" i="7"/>
  <c r="J1557" i="7"/>
  <c r="I1557" i="7"/>
  <c r="H1557" i="7"/>
  <c r="G1557" i="7"/>
  <c r="F1557" i="7"/>
  <c r="E1557" i="7"/>
  <c r="D1557" i="7"/>
  <c r="C1557" i="7"/>
  <c r="O1556" i="7"/>
  <c r="N1556" i="7"/>
  <c r="M1556" i="7"/>
  <c r="L1556" i="7"/>
  <c r="K1556" i="7"/>
  <c r="J1556" i="7"/>
  <c r="I1556" i="7"/>
  <c r="H1556" i="7"/>
  <c r="G1556" i="7"/>
  <c r="F1556" i="7"/>
  <c r="E1556" i="7"/>
  <c r="D1556" i="7"/>
  <c r="C1556" i="7"/>
  <c r="O1555" i="7"/>
  <c r="N1555" i="7"/>
  <c r="M1555" i="7"/>
  <c r="L1555" i="7"/>
  <c r="K1555" i="7"/>
  <c r="J1555" i="7"/>
  <c r="I1555" i="7"/>
  <c r="H1555" i="7"/>
  <c r="G1555" i="7"/>
  <c r="F1555" i="7"/>
  <c r="E1555" i="7"/>
  <c r="D1555" i="7"/>
  <c r="C1555" i="7"/>
  <c r="O1554" i="7"/>
  <c r="N1554" i="7"/>
  <c r="M1554" i="7"/>
  <c r="L1554" i="7"/>
  <c r="K1554" i="7"/>
  <c r="J1554" i="7"/>
  <c r="I1554" i="7"/>
  <c r="H1554" i="7"/>
  <c r="G1554" i="7"/>
  <c r="F1554" i="7"/>
  <c r="E1554" i="7"/>
  <c r="D1554" i="7"/>
  <c r="C1554" i="7"/>
  <c r="O1553" i="7"/>
  <c r="N1553" i="7"/>
  <c r="M1553" i="7"/>
  <c r="L1553" i="7"/>
  <c r="K1553" i="7"/>
  <c r="J1553" i="7"/>
  <c r="I1553" i="7"/>
  <c r="H1553" i="7"/>
  <c r="G1553" i="7"/>
  <c r="F1553" i="7"/>
  <c r="E1553" i="7"/>
  <c r="D1553" i="7"/>
  <c r="C1553" i="7"/>
  <c r="O1552" i="7"/>
  <c r="N1552" i="7"/>
  <c r="M1552" i="7"/>
  <c r="L1552" i="7"/>
  <c r="K1552" i="7"/>
  <c r="J1552" i="7"/>
  <c r="I1552" i="7"/>
  <c r="H1552" i="7"/>
  <c r="G1552" i="7"/>
  <c r="F1552" i="7"/>
  <c r="E1552" i="7"/>
  <c r="D1552" i="7"/>
  <c r="C1552" i="7"/>
  <c r="O1551" i="7"/>
  <c r="N1551" i="7"/>
  <c r="M1551" i="7"/>
  <c r="L1551" i="7"/>
  <c r="K1551" i="7"/>
  <c r="J1551" i="7"/>
  <c r="I1551" i="7"/>
  <c r="H1551" i="7"/>
  <c r="G1551" i="7"/>
  <c r="F1551" i="7"/>
  <c r="E1551" i="7"/>
  <c r="D1551" i="7"/>
  <c r="C1551" i="7"/>
  <c r="O1550" i="7"/>
  <c r="N1550" i="7"/>
  <c r="M1550" i="7"/>
  <c r="L1550" i="7"/>
  <c r="K1550" i="7"/>
  <c r="J1550" i="7"/>
  <c r="I1550" i="7"/>
  <c r="H1550" i="7"/>
  <c r="G1550" i="7"/>
  <c r="F1550" i="7"/>
  <c r="E1550" i="7"/>
  <c r="D1550" i="7"/>
  <c r="C1550" i="7"/>
  <c r="O1549" i="7"/>
  <c r="N1549" i="7"/>
  <c r="M1549" i="7"/>
  <c r="L1549" i="7"/>
  <c r="K1549" i="7"/>
  <c r="J1549" i="7"/>
  <c r="I1549" i="7"/>
  <c r="H1549" i="7"/>
  <c r="G1549" i="7"/>
  <c r="F1549" i="7"/>
  <c r="E1549" i="7"/>
  <c r="D1549" i="7"/>
  <c r="C1549" i="7"/>
  <c r="O1548" i="7"/>
  <c r="N1548" i="7"/>
  <c r="M1548" i="7"/>
  <c r="L1548" i="7"/>
  <c r="K1548" i="7"/>
  <c r="J1548" i="7"/>
  <c r="I1548" i="7"/>
  <c r="H1548" i="7"/>
  <c r="G1548" i="7"/>
  <c r="F1548" i="7"/>
  <c r="E1548" i="7"/>
  <c r="D1548" i="7"/>
  <c r="C1548" i="7"/>
  <c r="O1547" i="7"/>
  <c r="N1547" i="7"/>
  <c r="M1547" i="7"/>
  <c r="L1547" i="7"/>
  <c r="K1547" i="7"/>
  <c r="J1547" i="7"/>
  <c r="I1547" i="7"/>
  <c r="H1547" i="7"/>
  <c r="G1547" i="7"/>
  <c r="F1547" i="7"/>
  <c r="E1547" i="7"/>
  <c r="D1547" i="7"/>
  <c r="C1547" i="7"/>
  <c r="O1546" i="7"/>
  <c r="N1546" i="7"/>
  <c r="M1546" i="7"/>
  <c r="L1546" i="7"/>
  <c r="K1546" i="7"/>
  <c r="J1546" i="7"/>
  <c r="I1546" i="7"/>
  <c r="H1546" i="7"/>
  <c r="G1546" i="7"/>
  <c r="F1546" i="7"/>
  <c r="E1546" i="7"/>
  <c r="D1546" i="7"/>
  <c r="C1546" i="7"/>
  <c r="O1545" i="7"/>
  <c r="N1545" i="7"/>
  <c r="M1545" i="7"/>
  <c r="L1545" i="7"/>
  <c r="K1545" i="7"/>
  <c r="J1545" i="7"/>
  <c r="I1545" i="7"/>
  <c r="H1545" i="7"/>
  <c r="G1545" i="7"/>
  <c r="F1545" i="7"/>
  <c r="E1545" i="7"/>
  <c r="D1545" i="7"/>
  <c r="C1545" i="7"/>
  <c r="O1544" i="7"/>
  <c r="N1544" i="7"/>
  <c r="M1544" i="7"/>
  <c r="L1544" i="7"/>
  <c r="K1544" i="7"/>
  <c r="J1544" i="7"/>
  <c r="I1544" i="7"/>
  <c r="H1544" i="7"/>
  <c r="G1544" i="7"/>
  <c r="F1544" i="7"/>
  <c r="E1544" i="7"/>
  <c r="D1544" i="7"/>
  <c r="C1544" i="7"/>
  <c r="O1543" i="7"/>
  <c r="N1543" i="7"/>
  <c r="M1543" i="7"/>
  <c r="L1543" i="7"/>
  <c r="K1543" i="7"/>
  <c r="J1543" i="7"/>
  <c r="I1543" i="7"/>
  <c r="H1543" i="7"/>
  <c r="G1543" i="7"/>
  <c r="F1543" i="7"/>
  <c r="E1543" i="7"/>
  <c r="D1543" i="7"/>
  <c r="C1543" i="7"/>
  <c r="O1542" i="7"/>
  <c r="N1542" i="7"/>
  <c r="M1542" i="7"/>
  <c r="L1542" i="7"/>
  <c r="K1542" i="7"/>
  <c r="J1542" i="7"/>
  <c r="I1542" i="7"/>
  <c r="H1542" i="7"/>
  <c r="G1542" i="7"/>
  <c r="F1542" i="7"/>
  <c r="E1542" i="7"/>
  <c r="D1542" i="7"/>
  <c r="C1542" i="7"/>
  <c r="O1541" i="7"/>
  <c r="N1541" i="7"/>
  <c r="M1541" i="7"/>
  <c r="L1541" i="7"/>
  <c r="K1541" i="7"/>
  <c r="J1541" i="7"/>
  <c r="I1541" i="7"/>
  <c r="H1541" i="7"/>
  <c r="G1541" i="7"/>
  <c r="F1541" i="7"/>
  <c r="E1541" i="7"/>
  <c r="D1541" i="7"/>
  <c r="C1541" i="7"/>
  <c r="O1540" i="7"/>
  <c r="N1540" i="7"/>
  <c r="M1540" i="7"/>
  <c r="L1540" i="7"/>
  <c r="K1540" i="7"/>
  <c r="J1540" i="7"/>
  <c r="I1540" i="7"/>
  <c r="H1540" i="7"/>
  <c r="G1540" i="7"/>
  <c r="F1540" i="7"/>
  <c r="E1540" i="7"/>
  <c r="D1540" i="7"/>
  <c r="C1540" i="7"/>
  <c r="O1539" i="7"/>
  <c r="N1539" i="7"/>
  <c r="M1539" i="7"/>
  <c r="L1539" i="7"/>
  <c r="K1539" i="7"/>
  <c r="J1539" i="7"/>
  <c r="I1539" i="7"/>
  <c r="H1539" i="7"/>
  <c r="G1539" i="7"/>
  <c r="F1539" i="7"/>
  <c r="E1539" i="7"/>
  <c r="D1539" i="7"/>
  <c r="C1539" i="7"/>
  <c r="O1538" i="7"/>
  <c r="N1538" i="7"/>
  <c r="M1538" i="7"/>
  <c r="L1538" i="7"/>
  <c r="K1538" i="7"/>
  <c r="J1538" i="7"/>
  <c r="I1538" i="7"/>
  <c r="H1538" i="7"/>
  <c r="G1538" i="7"/>
  <c r="F1538" i="7"/>
  <c r="E1538" i="7"/>
  <c r="D1538" i="7"/>
  <c r="C1538" i="7"/>
  <c r="O1537" i="7"/>
  <c r="N1537" i="7"/>
  <c r="M1537" i="7"/>
  <c r="L1537" i="7"/>
  <c r="K1537" i="7"/>
  <c r="J1537" i="7"/>
  <c r="I1537" i="7"/>
  <c r="H1537" i="7"/>
  <c r="G1537" i="7"/>
  <c r="F1537" i="7"/>
  <c r="E1537" i="7"/>
  <c r="D1537" i="7"/>
  <c r="C1537" i="7"/>
  <c r="O1536" i="7"/>
  <c r="N1536" i="7"/>
  <c r="M1536" i="7"/>
  <c r="L1536" i="7"/>
  <c r="K1536" i="7"/>
  <c r="J1536" i="7"/>
  <c r="I1536" i="7"/>
  <c r="H1536" i="7"/>
  <c r="G1536" i="7"/>
  <c r="F1536" i="7"/>
  <c r="E1536" i="7"/>
  <c r="D1536" i="7"/>
  <c r="C1536" i="7"/>
  <c r="O1535" i="7"/>
  <c r="N1535" i="7"/>
  <c r="M1535" i="7"/>
  <c r="L1535" i="7"/>
  <c r="K1535" i="7"/>
  <c r="J1535" i="7"/>
  <c r="I1535" i="7"/>
  <c r="H1535" i="7"/>
  <c r="G1535" i="7"/>
  <c r="F1535" i="7"/>
  <c r="E1535" i="7"/>
  <c r="D1535" i="7"/>
  <c r="C1535" i="7"/>
  <c r="O1534" i="7"/>
  <c r="N1534" i="7"/>
  <c r="M1534" i="7"/>
  <c r="L1534" i="7"/>
  <c r="K1534" i="7"/>
  <c r="J1534" i="7"/>
  <c r="I1534" i="7"/>
  <c r="H1534" i="7"/>
  <c r="G1534" i="7"/>
  <c r="F1534" i="7"/>
  <c r="E1534" i="7"/>
  <c r="D1534" i="7"/>
  <c r="C1534" i="7"/>
  <c r="O1533" i="7"/>
  <c r="N1533" i="7"/>
  <c r="M1533" i="7"/>
  <c r="L1533" i="7"/>
  <c r="K1533" i="7"/>
  <c r="J1533" i="7"/>
  <c r="I1533" i="7"/>
  <c r="H1533" i="7"/>
  <c r="G1533" i="7"/>
  <c r="F1533" i="7"/>
  <c r="E1533" i="7"/>
  <c r="D1533" i="7"/>
  <c r="C1533" i="7"/>
  <c r="O1532" i="7"/>
  <c r="N1532" i="7"/>
  <c r="M1532" i="7"/>
  <c r="L1532" i="7"/>
  <c r="K1532" i="7"/>
  <c r="J1532" i="7"/>
  <c r="I1532" i="7"/>
  <c r="H1532" i="7"/>
  <c r="G1532" i="7"/>
  <c r="F1532" i="7"/>
  <c r="E1532" i="7"/>
  <c r="D1532" i="7"/>
  <c r="C1532" i="7"/>
  <c r="O1531" i="7"/>
  <c r="N1531" i="7"/>
  <c r="M1531" i="7"/>
  <c r="L1531" i="7"/>
  <c r="K1531" i="7"/>
  <c r="J1531" i="7"/>
  <c r="I1531" i="7"/>
  <c r="H1531" i="7"/>
  <c r="G1531" i="7"/>
  <c r="F1531" i="7"/>
  <c r="E1531" i="7"/>
  <c r="D1531" i="7"/>
  <c r="C1531" i="7"/>
  <c r="O1530" i="7"/>
  <c r="N1530" i="7"/>
  <c r="M1530" i="7"/>
  <c r="L1530" i="7"/>
  <c r="K1530" i="7"/>
  <c r="J1530" i="7"/>
  <c r="I1530" i="7"/>
  <c r="H1530" i="7"/>
  <c r="G1530" i="7"/>
  <c r="F1530" i="7"/>
  <c r="E1530" i="7"/>
  <c r="D1530" i="7"/>
  <c r="C1530" i="7"/>
  <c r="O1529" i="7"/>
  <c r="N1529" i="7"/>
  <c r="M1529" i="7"/>
  <c r="L1529" i="7"/>
  <c r="K1529" i="7"/>
  <c r="J1529" i="7"/>
  <c r="I1529" i="7"/>
  <c r="H1529" i="7"/>
  <c r="G1529" i="7"/>
  <c r="F1529" i="7"/>
  <c r="E1529" i="7"/>
  <c r="D1529" i="7"/>
  <c r="C1529" i="7"/>
  <c r="O1528" i="7"/>
  <c r="N1528" i="7"/>
  <c r="M1528" i="7"/>
  <c r="L1528" i="7"/>
  <c r="K1528" i="7"/>
  <c r="J1528" i="7"/>
  <c r="I1528" i="7"/>
  <c r="H1528" i="7"/>
  <c r="G1528" i="7"/>
  <c r="F1528" i="7"/>
  <c r="E1528" i="7"/>
  <c r="D1528" i="7"/>
  <c r="C1528" i="7"/>
  <c r="O1527" i="7"/>
  <c r="N1527" i="7"/>
  <c r="M1527" i="7"/>
  <c r="L1527" i="7"/>
  <c r="K1527" i="7"/>
  <c r="J1527" i="7"/>
  <c r="I1527" i="7"/>
  <c r="H1527" i="7"/>
  <c r="G1527" i="7"/>
  <c r="F1527" i="7"/>
  <c r="E1527" i="7"/>
  <c r="D1527" i="7"/>
  <c r="C1527" i="7"/>
  <c r="O1522" i="7"/>
  <c r="N1522" i="7"/>
  <c r="M1522" i="7"/>
  <c r="L1522" i="7"/>
  <c r="K1522" i="7"/>
  <c r="J1522" i="7"/>
  <c r="I1522" i="7"/>
  <c r="H1522" i="7"/>
  <c r="G1522" i="7"/>
  <c r="F1522" i="7"/>
  <c r="E1522" i="7"/>
  <c r="D1522" i="7"/>
  <c r="C1522" i="7"/>
  <c r="O1521" i="7"/>
  <c r="C1521" i="7"/>
  <c r="O1520" i="7"/>
  <c r="C1520" i="7"/>
  <c r="O1519" i="7"/>
  <c r="C1519" i="7"/>
  <c r="O1518" i="7"/>
  <c r="N1518" i="7"/>
  <c r="M1518" i="7"/>
  <c r="L1518" i="7"/>
  <c r="K1518" i="7"/>
  <c r="J1518" i="7"/>
  <c r="I1518" i="7"/>
  <c r="G1518" i="7"/>
  <c r="F1518" i="7"/>
  <c r="E1518" i="7"/>
  <c r="D1518" i="7"/>
  <c r="C1518" i="7"/>
  <c r="O1517" i="7"/>
  <c r="N1517" i="7"/>
  <c r="M1517" i="7"/>
  <c r="L1517" i="7"/>
  <c r="K1517" i="7"/>
  <c r="J1517" i="7"/>
  <c r="I1517" i="7"/>
  <c r="H1517" i="7"/>
  <c r="G1517" i="7"/>
  <c r="F1517" i="7"/>
  <c r="E1517" i="7"/>
  <c r="D1517" i="7"/>
  <c r="C1517" i="7"/>
  <c r="O1516" i="7"/>
  <c r="N1516" i="7"/>
  <c r="M1516" i="7"/>
  <c r="L1516" i="7"/>
  <c r="K1516" i="7"/>
  <c r="J1516" i="7"/>
  <c r="I1516" i="7"/>
  <c r="H1516" i="7"/>
  <c r="G1516" i="7"/>
  <c r="F1516" i="7"/>
  <c r="E1516" i="7"/>
  <c r="D1516" i="7"/>
  <c r="C1516" i="7"/>
  <c r="O1515" i="7"/>
  <c r="N1515" i="7"/>
  <c r="M1515" i="7"/>
  <c r="L1515" i="7"/>
  <c r="K1515" i="7"/>
  <c r="J1515" i="7"/>
  <c r="I1515" i="7"/>
  <c r="H1515" i="7"/>
  <c r="G1515" i="7"/>
  <c r="F1515" i="7"/>
  <c r="E1515" i="7"/>
  <c r="D1515" i="7"/>
  <c r="C1515" i="7"/>
  <c r="O1514" i="7"/>
  <c r="N1514" i="7"/>
  <c r="M1514" i="7"/>
  <c r="L1514" i="7"/>
  <c r="K1514" i="7"/>
  <c r="J1514" i="7"/>
  <c r="I1514" i="7"/>
  <c r="H1514" i="7"/>
  <c r="G1514" i="7"/>
  <c r="F1514" i="7"/>
  <c r="E1514" i="7"/>
  <c r="D1514" i="7"/>
  <c r="C1514" i="7"/>
  <c r="O1513" i="7"/>
  <c r="N1513" i="7"/>
  <c r="M1513" i="7"/>
  <c r="L1513" i="7"/>
  <c r="K1513" i="7"/>
  <c r="J1513" i="7"/>
  <c r="I1513" i="7"/>
  <c r="H1513" i="7"/>
  <c r="G1513" i="7"/>
  <c r="F1513" i="7"/>
  <c r="E1513" i="7"/>
  <c r="D1513" i="7"/>
  <c r="C1513" i="7"/>
  <c r="O1512" i="7"/>
  <c r="N1512" i="7"/>
  <c r="M1512" i="7"/>
  <c r="L1512" i="7"/>
  <c r="K1512" i="7"/>
  <c r="J1512" i="7"/>
  <c r="I1512" i="7"/>
  <c r="H1512" i="7"/>
  <c r="G1512" i="7"/>
  <c r="F1512" i="7"/>
  <c r="E1512" i="7"/>
  <c r="D1512" i="7"/>
  <c r="C1512" i="7"/>
  <c r="O1511" i="7"/>
  <c r="N1511" i="7"/>
  <c r="M1511" i="7"/>
  <c r="L1511" i="7"/>
  <c r="K1511" i="7"/>
  <c r="J1511" i="7"/>
  <c r="I1511" i="7"/>
  <c r="H1511" i="7"/>
  <c r="G1511" i="7"/>
  <c r="F1511" i="7"/>
  <c r="E1511" i="7"/>
  <c r="D1511" i="7"/>
  <c r="C1511" i="7"/>
  <c r="O1510" i="7"/>
  <c r="N1510" i="7"/>
  <c r="M1510" i="7"/>
  <c r="L1510" i="7"/>
  <c r="K1510" i="7"/>
  <c r="J1510" i="7"/>
  <c r="I1510" i="7"/>
  <c r="H1510" i="7"/>
  <c r="G1510" i="7"/>
  <c r="F1510" i="7"/>
  <c r="E1510" i="7"/>
  <c r="D1510" i="7"/>
  <c r="C1510" i="7"/>
  <c r="O1509" i="7"/>
  <c r="N1509" i="7"/>
  <c r="M1509" i="7"/>
  <c r="L1509" i="7"/>
  <c r="K1509" i="7"/>
  <c r="J1509" i="7"/>
  <c r="I1509" i="7"/>
  <c r="H1509" i="7"/>
  <c r="G1509" i="7"/>
  <c r="F1509" i="7"/>
  <c r="E1509" i="7"/>
  <c r="D1509" i="7"/>
  <c r="C1509" i="7"/>
  <c r="O1508" i="7"/>
  <c r="N1508" i="7"/>
  <c r="M1508" i="7"/>
  <c r="L1508" i="7"/>
  <c r="K1508" i="7"/>
  <c r="J1508" i="7"/>
  <c r="I1508" i="7"/>
  <c r="H1508" i="7"/>
  <c r="G1508" i="7"/>
  <c r="F1508" i="7"/>
  <c r="E1508" i="7"/>
  <c r="D1508" i="7"/>
  <c r="C1508" i="7"/>
  <c r="O1507" i="7"/>
  <c r="N1507" i="7"/>
  <c r="M1507" i="7"/>
  <c r="L1507" i="7"/>
  <c r="K1507" i="7"/>
  <c r="J1507" i="7"/>
  <c r="I1507" i="7"/>
  <c r="H1507" i="7"/>
  <c r="G1507" i="7"/>
  <c r="F1507" i="7"/>
  <c r="E1507" i="7"/>
  <c r="D1507" i="7"/>
  <c r="C1507" i="7"/>
  <c r="O1506" i="7"/>
  <c r="N1506" i="7"/>
  <c r="M1506" i="7"/>
  <c r="L1506" i="7"/>
  <c r="K1506" i="7"/>
  <c r="J1506" i="7"/>
  <c r="I1506" i="7"/>
  <c r="H1506" i="7"/>
  <c r="G1506" i="7"/>
  <c r="F1506" i="7"/>
  <c r="E1506" i="7"/>
  <c r="D1506" i="7"/>
  <c r="C1506" i="7"/>
  <c r="O1505" i="7"/>
  <c r="N1505" i="7"/>
  <c r="M1505" i="7"/>
  <c r="L1505" i="7"/>
  <c r="K1505" i="7"/>
  <c r="J1505" i="7"/>
  <c r="I1505" i="7"/>
  <c r="H1505" i="7"/>
  <c r="G1505" i="7"/>
  <c r="F1505" i="7"/>
  <c r="E1505" i="7"/>
  <c r="D1505" i="7"/>
  <c r="C1505" i="7"/>
  <c r="O1504" i="7"/>
  <c r="N1504" i="7"/>
  <c r="M1504" i="7"/>
  <c r="L1504" i="7"/>
  <c r="K1504" i="7"/>
  <c r="J1504" i="7"/>
  <c r="I1504" i="7"/>
  <c r="H1504" i="7"/>
  <c r="G1504" i="7"/>
  <c r="F1504" i="7"/>
  <c r="E1504" i="7"/>
  <c r="D1504" i="7"/>
  <c r="C1504" i="7"/>
  <c r="O1503" i="7"/>
  <c r="N1503" i="7"/>
  <c r="M1503" i="7"/>
  <c r="L1503" i="7"/>
  <c r="K1503" i="7"/>
  <c r="J1503" i="7"/>
  <c r="I1503" i="7"/>
  <c r="H1503" i="7"/>
  <c r="G1503" i="7"/>
  <c r="F1503" i="7"/>
  <c r="E1503" i="7"/>
  <c r="D1503" i="7"/>
  <c r="C1503" i="7"/>
  <c r="O1502" i="7"/>
  <c r="N1502" i="7"/>
  <c r="M1502" i="7"/>
  <c r="L1502" i="7"/>
  <c r="K1502" i="7"/>
  <c r="J1502" i="7"/>
  <c r="I1502" i="7"/>
  <c r="H1502" i="7"/>
  <c r="G1502" i="7"/>
  <c r="F1502" i="7"/>
  <c r="E1502" i="7"/>
  <c r="D1502" i="7"/>
  <c r="C1502" i="7"/>
  <c r="O1501" i="7"/>
  <c r="N1501" i="7"/>
  <c r="M1501" i="7"/>
  <c r="L1501" i="7"/>
  <c r="K1501" i="7"/>
  <c r="J1501" i="7"/>
  <c r="I1501" i="7"/>
  <c r="H1501" i="7"/>
  <c r="G1501" i="7"/>
  <c r="F1501" i="7"/>
  <c r="E1501" i="7"/>
  <c r="D1501" i="7"/>
  <c r="C1501" i="7"/>
  <c r="O1500" i="7"/>
  <c r="N1500" i="7"/>
  <c r="M1500" i="7"/>
  <c r="L1500" i="7"/>
  <c r="K1500" i="7"/>
  <c r="J1500" i="7"/>
  <c r="I1500" i="7"/>
  <c r="H1500" i="7"/>
  <c r="G1500" i="7"/>
  <c r="F1500" i="7"/>
  <c r="E1500" i="7"/>
  <c r="D1500" i="7"/>
  <c r="C1500" i="7"/>
  <c r="O1499" i="7"/>
  <c r="N1499" i="7"/>
  <c r="M1499" i="7"/>
  <c r="L1499" i="7"/>
  <c r="K1499" i="7"/>
  <c r="J1499" i="7"/>
  <c r="I1499" i="7"/>
  <c r="H1499" i="7"/>
  <c r="G1499" i="7"/>
  <c r="F1499" i="7"/>
  <c r="E1499" i="7"/>
  <c r="D1499" i="7"/>
  <c r="C1499" i="7"/>
  <c r="O1498" i="7"/>
  <c r="N1498" i="7"/>
  <c r="M1498" i="7"/>
  <c r="L1498" i="7"/>
  <c r="K1498" i="7"/>
  <c r="J1498" i="7"/>
  <c r="I1498" i="7"/>
  <c r="H1498" i="7"/>
  <c r="G1498" i="7"/>
  <c r="F1498" i="7"/>
  <c r="E1498" i="7"/>
  <c r="D1498" i="7"/>
  <c r="C1498" i="7"/>
  <c r="O1497" i="7"/>
  <c r="N1497" i="7"/>
  <c r="M1497" i="7"/>
  <c r="L1497" i="7"/>
  <c r="K1497" i="7"/>
  <c r="J1497" i="7"/>
  <c r="I1497" i="7"/>
  <c r="H1497" i="7"/>
  <c r="G1497" i="7"/>
  <c r="F1497" i="7"/>
  <c r="E1497" i="7"/>
  <c r="D1497" i="7"/>
  <c r="C1497" i="7"/>
  <c r="O1496" i="7"/>
  <c r="N1496" i="7"/>
  <c r="M1496" i="7"/>
  <c r="L1496" i="7"/>
  <c r="K1496" i="7"/>
  <c r="J1496" i="7"/>
  <c r="I1496" i="7"/>
  <c r="H1496" i="7"/>
  <c r="G1496" i="7"/>
  <c r="F1496" i="7"/>
  <c r="E1496" i="7"/>
  <c r="D1496" i="7"/>
  <c r="C1496" i="7"/>
  <c r="O1495" i="7"/>
  <c r="N1495" i="7"/>
  <c r="M1495" i="7"/>
  <c r="L1495" i="7"/>
  <c r="K1495" i="7"/>
  <c r="J1495" i="7"/>
  <c r="I1495" i="7"/>
  <c r="H1495" i="7"/>
  <c r="G1495" i="7"/>
  <c r="F1495" i="7"/>
  <c r="E1495" i="7"/>
  <c r="D1495" i="7"/>
  <c r="C1495" i="7"/>
  <c r="O1494" i="7"/>
  <c r="N1494" i="7"/>
  <c r="M1494" i="7"/>
  <c r="L1494" i="7"/>
  <c r="K1494" i="7"/>
  <c r="J1494" i="7"/>
  <c r="I1494" i="7"/>
  <c r="H1494" i="7"/>
  <c r="G1494" i="7"/>
  <c r="F1494" i="7"/>
  <c r="E1494" i="7"/>
  <c r="D1494" i="7"/>
  <c r="C1494" i="7"/>
  <c r="O1493" i="7"/>
  <c r="N1493" i="7"/>
  <c r="M1493" i="7"/>
  <c r="L1493" i="7"/>
  <c r="K1493" i="7"/>
  <c r="J1493" i="7"/>
  <c r="I1493" i="7"/>
  <c r="H1493" i="7"/>
  <c r="G1493" i="7"/>
  <c r="F1493" i="7"/>
  <c r="E1493" i="7"/>
  <c r="D1493" i="7"/>
  <c r="C1493" i="7"/>
  <c r="O1492" i="7"/>
  <c r="N1492" i="7"/>
  <c r="M1492" i="7"/>
  <c r="L1492" i="7"/>
  <c r="K1492" i="7"/>
  <c r="J1492" i="7"/>
  <c r="I1492" i="7"/>
  <c r="H1492" i="7"/>
  <c r="G1492" i="7"/>
  <c r="F1492" i="7"/>
  <c r="E1492" i="7"/>
  <c r="D1492" i="7"/>
  <c r="C1492" i="7"/>
  <c r="O1491" i="7"/>
  <c r="N1491" i="7"/>
  <c r="M1491" i="7"/>
  <c r="L1491" i="7"/>
  <c r="K1491" i="7"/>
  <c r="J1491" i="7"/>
  <c r="I1491" i="7"/>
  <c r="H1491" i="7"/>
  <c r="G1491" i="7"/>
  <c r="F1491" i="7"/>
  <c r="E1491" i="7"/>
  <c r="D1491" i="7"/>
  <c r="C1491" i="7"/>
  <c r="O1490" i="7"/>
  <c r="N1490" i="7"/>
  <c r="M1490" i="7"/>
  <c r="L1490" i="7"/>
  <c r="K1490" i="7"/>
  <c r="J1490" i="7"/>
  <c r="I1490" i="7"/>
  <c r="H1490" i="7"/>
  <c r="G1490" i="7"/>
  <c r="F1490" i="7"/>
  <c r="E1490" i="7"/>
  <c r="D1490" i="7"/>
  <c r="C1490" i="7"/>
  <c r="O1489" i="7"/>
  <c r="N1489" i="7"/>
  <c r="M1489" i="7"/>
  <c r="L1489" i="7"/>
  <c r="K1489" i="7"/>
  <c r="J1489" i="7"/>
  <c r="I1489" i="7"/>
  <c r="H1489" i="7"/>
  <c r="G1489" i="7"/>
  <c r="F1489" i="7"/>
  <c r="E1489" i="7"/>
  <c r="D1489" i="7"/>
  <c r="C1489" i="7"/>
  <c r="O1488" i="7"/>
  <c r="N1488" i="7"/>
  <c r="M1488" i="7"/>
  <c r="L1488" i="7"/>
  <c r="K1488" i="7"/>
  <c r="J1488" i="7"/>
  <c r="I1488" i="7"/>
  <c r="H1488" i="7"/>
  <c r="G1488" i="7"/>
  <c r="F1488" i="7"/>
  <c r="E1488" i="7"/>
  <c r="D1488" i="7"/>
  <c r="C1488" i="7"/>
  <c r="O1487" i="7"/>
  <c r="N1487" i="7"/>
  <c r="M1487" i="7"/>
  <c r="L1487" i="7"/>
  <c r="K1487" i="7"/>
  <c r="J1487" i="7"/>
  <c r="I1487" i="7"/>
  <c r="H1487" i="7"/>
  <c r="G1487" i="7"/>
  <c r="F1487" i="7"/>
  <c r="E1487" i="7"/>
  <c r="D1487" i="7"/>
  <c r="C1487" i="7"/>
  <c r="O1486" i="7"/>
  <c r="N1486" i="7"/>
  <c r="M1486" i="7"/>
  <c r="L1486" i="7"/>
  <c r="K1486" i="7"/>
  <c r="J1486" i="7"/>
  <c r="I1486" i="7"/>
  <c r="H1486" i="7"/>
  <c r="G1486" i="7"/>
  <c r="F1486" i="7"/>
  <c r="E1486" i="7"/>
  <c r="D1486" i="7"/>
  <c r="C1486" i="7"/>
  <c r="O1485" i="7"/>
  <c r="N1485" i="7"/>
  <c r="M1485" i="7"/>
  <c r="L1485" i="7"/>
  <c r="K1485" i="7"/>
  <c r="J1485" i="7"/>
  <c r="I1485" i="7"/>
  <c r="H1485" i="7"/>
  <c r="G1485" i="7"/>
  <c r="F1485" i="7"/>
  <c r="E1485" i="7"/>
  <c r="D1485" i="7"/>
  <c r="C1485" i="7"/>
  <c r="O1484" i="7"/>
  <c r="N1484" i="7"/>
  <c r="M1484" i="7"/>
  <c r="L1484" i="7"/>
  <c r="K1484" i="7"/>
  <c r="J1484" i="7"/>
  <c r="I1484" i="7"/>
  <c r="H1484" i="7"/>
  <c r="G1484" i="7"/>
  <c r="F1484" i="7"/>
  <c r="E1484" i="7"/>
  <c r="D1484" i="7"/>
  <c r="C1484" i="7"/>
  <c r="O1483" i="7"/>
  <c r="N1483" i="7"/>
  <c r="M1483" i="7"/>
  <c r="L1483" i="7"/>
  <c r="K1483" i="7"/>
  <c r="J1483" i="7"/>
  <c r="I1483" i="7"/>
  <c r="H1483" i="7"/>
  <c r="G1483" i="7"/>
  <c r="F1483" i="7"/>
  <c r="E1483" i="7"/>
  <c r="D1483" i="7"/>
  <c r="C1483" i="7"/>
  <c r="O1482" i="7"/>
  <c r="N1482" i="7"/>
  <c r="M1482" i="7"/>
  <c r="L1482" i="7"/>
  <c r="K1482" i="7"/>
  <c r="J1482" i="7"/>
  <c r="I1482" i="7"/>
  <c r="H1482" i="7"/>
  <c r="G1482" i="7"/>
  <c r="F1482" i="7"/>
  <c r="E1482" i="7"/>
  <c r="D1482" i="7"/>
  <c r="C1482" i="7"/>
  <c r="O1481" i="7"/>
  <c r="N1481" i="7"/>
  <c r="M1481" i="7"/>
  <c r="L1481" i="7"/>
  <c r="K1481" i="7"/>
  <c r="J1481" i="7"/>
  <c r="I1481" i="7"/>
  <c r="H1481" i="7"/>
  <c r="G1481" i="7"/>
  <c r="F1481" i="7"/>
  <c r="E1481" i="7"/>
  <c r="D1481" i="7"/>
  <c r="C1481" i="7"/>
  <c r="O1480" i="7"/>
  <c r="N1480" i="7"/>
  <c r="M1480" i="7"/>
  <c r="L1480" i="7"/>
  <c r="K1480" i="7"/>
  <c r="J1480" i="7"/>
  <c r="I1480" i="7"/>
  <c r="H1480" i="7"/>
  <c r="G1480" i="7"/>
  <c r="F1480" i="7"/>
  <c r="E1480" i="7"/>
  <c r="D1480" i="7"/>
  <c r="C1480" i="7"/>
  <c r="O1479" i="7"/>
  <c r="N1479" i="7"/>
  <c r="M1479" i="7"/>
  <c r="L1479" i="7"/>
  <c r="K1479" i="7"/>
  <c r="J1479" i="7"/>
  <c r="I1479" i="7"/>
  <c r="H1479" i="7"/>
  <c r="G1479" i="7"/>
  <c r="F1479" i="7"/>
  <c r="E1479" i="7"/>
  <c r="D1479" i="7"/>
  <c r="C1479" i="7"/>
  <c r="O1478" i="7"/>
  <c r="N1478" i="7"/>
  <c r="M1478" i="7"/>
  <c r="L1478" i="7"/>
  <c r="K1478" i="7"/>
  <c r="J1478" i="7"/>
  <c r="I1478" i="7"/>
  <c r="H1478" i="7"/>
  <c r="G1478" i="7"/>
  <c r="F1478" i="7"/>
  <c r="E1478" i="7"/>
  <c r="D1478" i="7"/>
  <c r="C1478" i="7"/>
  <c r="O1477" i="7"/>
  <c r="N1477" i="7"/>
  <c r="M1477" i="7"/>
  <c r="L1477" i="7"/>
  <c r="K1477" i="7"/>
  <c r="J1477" i="7"/>
  <c r="I1477" i="7"/>
  <c r="H1477" i="7"/>
  <c r="G1477" i="7"/>
  <c r="F1477" i="7"/>
  <c r="E1477" i="7"/>
  <c r="D1477" i="7"/>
  <c r="C1477" i="7"/>
  <c r="O1476" i="7"/>
  <c r="N1476" i="7"/>
  <c r="M1476" i="7"/>
  <c r="L1476" i="7"/>
  <c r="K1476" i="7"/>
  <c r="J1476" i="7"/>
  <c r="I1476" i="7"/>
  <c r="H1476" i="7"/>
  <c r="G1476" i="7"/>
  <c r="F1476" i="7"/>
  <c r="E1476" i="7"/>
  <c r="D1476" i="7"/>
  <c r="C1476" i="7"/>
  <c r="O1475" i="7"/>
  <c r="N1475" i="7"/>
  <c r="M1475" i="7"/>
  <c r="L1475" i="7"/>
  <c r="K1475" i="7"/>
  <c r="J1475" i="7"/>
  <c r="I1475" i="7"/>
  <c r="H1475" i="7"/>
  <c r="G1475" i="7"/>
  <c r="F1475" i="7"/>
  <c r="E1475" i="7"/>
  <c r="D1475" i="7"/>
  <c r="C1475" i="7"/>
  <c r="O1474" i="7"/>
  <c r="N1474" i="7"/>
  <c r="M1474" i="7"/>
  <c r="L1474" i="7"/>
  <c r="K1474" i="7"/>
  <c r="J1474" i="7"/>
  <c r="I1474" i="7"/>
  <c r="H1474" i="7"/>
  <c r="G1474" i="7"/>
  <c r="F1474" i="7"/>
  <c r="E1474" i="7"/>
  <c r="D1474" i="7"/>
  <c r="C1474" i="7"/>
  <c r="O1473" i="7"/>
  <c r="N1473" i="7"/>
  <c r="M1473" i="7"/>
  <c r="L1473" i="7"/>
  <c r="K1473" i="7"/>
  <c r="J1473" i="7"/>
  <c r="I1473" i="7"/>
  <c r="H1473" i="7"/>
  <c r="G1473" i="7"/>
  <c r="F1473" i="7"/>
  <c r="E1473" i="7"/>
  <c r="D1473" i="7"/>
  <c r="C1473" i="7"/>
  <c r="O1472" i="7"/>
  <c r="N1472" i="7"/>
  <c r="M1472" i="7"/>
  <c r="L1472" i="7"/>
  <c r="K1472" i="7"/>
  <c r="J1472" i="7"/>
  <c r="I1472" i="7"/>
  <c r="H1472" i="7"/>
  <c r="G1472" i="7"/>
  <c r="F1472" i="7"/>
  <c r="E1472" i="7"/>
  <c r="D1472" i="7"/>
  <c r="C1472" i="7"/>
  <c r="O1471" i="7"/>
  <c r="N1471" i="7"/>
  <c r="M1471" i="7"/>
  <c r="L1471" i="7"/>
  <c r="K1471" i="7"/>
  <c r="J1471" i="7"/>
  <c r="I1471" i="7"/>
  <c r="H1471" i="7"/>
  <c r="G1471" i="7"/>
  <c r="F1471" i="7"/>
  <c r="E1471" i="7"/>
  <c r="D1471" i="7"/>
  <c r="C1471" i="7"/>
  <c r="O1470" i="7"/>
  <c r="N1470" i="7"/>
  <c r="M1470" i="7"/>
  <c r="L1470" i="7"/>
  <c r="K1470" i="7"/>
  <c r="J1470" i="7"/>
  <c r="I1470" i="7"/>
  <c r="H1470" i="7"/>
  <c r="G1470" i="7"/>
  <c r="F1470" i="7"/>
  <c r="E1470" i="7"/>
  <c r="D1470" i="7"/>
  <c r="C1470" i="7"/>
  <c r="O1469" i="7"/>
  <c r="N1469" i="7"/>
  <c r="M1469" i="7"/>
  <c r="L1469" i="7"/>
  <c r="K1469" i="7"/>
  <c r="J1469" i="7"/>
  <c r="I1469" i="7"/>
  <c r="H1469" i="7"/>
  <c r="G1469" i="7"/>
  <c r="F1469" i="7"/>
  <c r="E1469" i="7"/>
  <c r="D1469" i="7"/>
  <c r="C1469" i="7"/>
  <c r="O1468" i="7"/>
  <c r="N1468" i="7"/>
  <c r="M1468" i="7"/>
  <c r="L1468" i="7"/>
  <c r="K1468" i="7"/>
  <c r="J1468" i="7"/>
  <c r="I1468" i="7"/>
  <c r="H1468" i="7"/>
  <c r="G1468" i="7"/>
  <c r="F1468" i="7"/>
  <c r="E1468" i="7"/>
  <c r="D1468" i="7"/>
  <c r="C1468" i="7"/>
  <c r="O1467" i="7"/>
  <c r="N1467" i="7"/>
  <c r="M1467" i="7"/>
  <c r="L1467" i="7"/>
  <c r="K1467" i="7"/>
  <c r="J1467" i="7"/>
  <c r="I1467" i="7"/>
  <c r="H1467" i="7"/>
  <c r="G1467" i="7"/>
  <c r="F1467" i="7"/>
  <c r="E1467" i="7"/>
  <c r="D1467" i="7"/>
  <c r="C1467" i="7"/>
  <c r="O1466" i="7"/>
  <c r="N1466" i="7"/>
  <c r="M1466" i="7"/>
  <c r="L1466" i="7"/>
  <c r="K1466" i="7"/>
  <c r="J1466" i="7"/>
  <c r="I1466" i="7"/>
  <c r="H1466" i="7"/>
  <c r="G1466" i="7"/>
  <c r="F1466" i="7"/>
  <c r="E1466" i="7"/>
  <c r="D1466" i="7"/>
  <c r="C1466" i="7"/>
  <c r="O1465" i="7"/>
  <c r="N1465" i="7"/>
  <c r="M1465" i="7"/>
  <c r="L1465" i="7"/>
  <c r="K1465" i="7"/>
  <c r="J1465" i="7"/>
  <c r="I1465" i="7"/>
  <c r="H1465" i="7"/>
  <c r="G1465" i="7"/>
  <c r="F1465" i="7"/>
  <c r="E1465" i="7"/>
  <c r="D1465" i="7"/>
  <c r="C1465" i="7"/>
  <c r="O1464" i="7"/>
  <c r="N1464" i="7"/>
  <c r="M1464" i="7"/>
  <c r="L1464" i="7"/>
  <c r="K1464" i="7"/>
  <c r="J1464" i="7"/>
  <c r="I1464" i="7"/>
  <c r="H1464" i="7"/>
  <c r="G1464" i="7"/>
  <c r="F1464" i="7"/>
  <c r="E1464" i="7"/>
  <c r="D1464" i="7"/>
  <c r="C1464" i="7"/>
  <c r="O1463" i="7"/>
  <c r="N1463" i="7"/>
  <c r="M1463" i="7"/>
  <c r="L1463" i="7"/>
  <c r="K1463" i="7"/>
  <c r="J1463" i="7"/>
  <c r="I1463" i="7"/>
  <c r="H1463" i="7"/>
  <c r="G1463" i="7"/>
  <c r="F1463" i="7"/>
  <c r="E1463" i="7"/>
  <c r="D1463" i="7"/>
  <c r="C1463" i="7"/>
  <c r="O1462" i="7"/>
  <c r="N1462" i="7"/>
  <c r="M1462" i="7"/>
  <c r="L1462" i="7"/>
  <c r="K1462" i="7"/>
  <c r="J1462" i="7"/>
  <c r="I1462" i="7"/>
  <c r="H1462" i="7"/>
  <c r="G1462" i="7"/>
  <c r="F1462" i="7"/>
  <c r="E1462" i="7"/>
  <c r="D1462" i="7"/>
  <c r="C1462" i="7"/>
  <c r="O1461" i="7"/>
  <c r="N1461" i="7"/>
  <c r="M1461" i="7"/>
  <c r="L1461" i="7"/>
  <c r="K1461" i="7"/>
  <c r="J1461" i="7"/>
  <c r="I1461" i="7"/>
  <c r="H1461" i="7"/>
  <c r="G1461" i="7"/>
  <c r="F1461" i="7"/>
  <c r="E1461" i="7"/>
  <c r="D1461" i="7"/>
  <c r="C1461" i="7"/>
  <c r="O1460" i="7"/>
  <c r="N1460" i="7"/>
  <c r="M1460" i="7"/>
  <c r="L1460" i="7"/>
  <c r="K1460" i="7"/>
  <c r="J1460" i="7"/>
  <c r="I1460" i="7"/>
  <c r="H1460" i="7"/>
  <c r="G1460" i="7"/>
  <c r="F1460" i="7"/>
  <c r="E1460" i="7"/>
  <c r="D1460" i="7"/>
  <c r="C1460" i="7"/>
  <c r="O1459" i="7"/>
  <c r="N1459" i="7"/>
  <c r="M1459" i="7"/>
  <c r="L1459" i="7"/>
  <c r="K1459" i="7"/>
  <c r="J1459" i="7"/>
  <c r="I1459" i="7"/>
  <c r="H1459" i="7"/>
  <c r="G1459" i="7"/>
  <c r="F1459" i="7"/>
  <c r="E1459" i="7"/>
  <c r="D1459" i="7"/>
  <c r="C1459" i="7"/>
  <c r="O1458" i="7"/>
  <c r="N1458" i="7"/>
  <c r="M1458" i="7"/>
  <c r="L1458" i="7"/>
  <c r="K1458" i="7"/>
  <c r="J1458" i="7"/>
  <c r="I1458" i="7"/>
  <c r="H1458" i="7"/>
  <c r="G1458" i="7"/>
  <c r="F1458" i="7"/>
  <c r="E1458" i="7"/>
  <c r="D1458" i="7"/>
  <c r="C1458" i="7"/>
  <c r="O1457" i="7"/>
  <c r="N1457" i="7"/>
  <c r="M1457" i="7"/>
  <c r="L1457" i="7"/>
  <c r="K1457" i="7"/>
  <c r="J1457" i="7"/>
  <c r="I1457" i="7"/>
  <c r="H1457" i="7"/>
  <c r="G1457" i="7"/>
  <c r="F1457" i="7"/>
  <c r="E1457" i="7"/>
  <c r="D1457" i="7"/>
  <c r="C1457" i="7"/>
  <c r="O1456" i="7"/>
  <c r="N1456" i="7"/>
  <c r="M1456" i="7"/>
  <c r="L1456" i="7"/>
  <c r="K1456" i="7"/>
  <c r="J1456" i="7"/>
  <c r="I1456" i="7"/>
  <c r="H1456" i="7"/>
  <c r="G1456" i="7"/>
  <c r="F1456" i="7"/>
  <c r="E1456" i="7"/>
  <c r="D1456" i="7"/>
  <c r="C1456" i="7"/>
  <c r="O1455" i="7"/>
  <c r="N1455" i="7"/>
  <c r="M1455" i="7"/>
  <c r="L1455" i="7"/>
  <c r="K1455" i="7"/>
  <c r="J1455" i="7"/>
  <c r="I1455" i="7"/>
  <c r="H1455" i="7"/>
  <c r="G1455" i="7"/>
  <c r="F1455" i="7"/>
  <c r="E1455" i="7"/>
  <c r="D1455" i="7"/>
  <c r="C1455" i="7"/>
  <c r="O1454" i="7"/>
  <c r="N1454" i="7"/>
  <c r="M1454" i="7"/>
  <c r="L1454" i="7"/>
  <c r="K1454" i="7"/>
  <c r="J1454" i="7"/>
  <c r="I1454" i="7"/>
  <c r="H1454" i="7"/>
  <c r="G1454" i="7"/>
  <c r="F1454" i="7"/>
  <c r="E1454" i="7"/>
  <c r="D1454" i="7"/>
  <c r="C1454" i="7"/>
  <c r="O1453" i="7"/>
  <c r="N1453" i="7"/>
  <c r="M1453" i="7"/>
  <c r="L1453" i="7"/>
  <c r="K1453" i="7"/>
  <c r="J1453" i="7"/>
  <c r="I1453" i="7"/>
  <c r="H1453" i="7"/>
  <c r="G1453" i="7"/>
  <c r="F1453" i="7"/>
  <c r="E1453" i="7"/>
  <c r="D1453" i="7"/>
  <c r="C1453" i="7"/>
  <c r="O1452" i="7"/>
  <c r="N1452" i="7"/>
  <c r="M1452" i="7"/>
  <c r="L1452" i="7"/>
  <c r="K1452" i="7"/>
  <c r="J1452" i="7"/>
  <c r="I1452" i="7"/>
  <c r="H1452" i="7"/>
  <c r="G1452" i="7"/>
  <c r="F1452" i="7"/>
  <c r="E1452" i="7"/>
  <c r="D1452" i="7"/>
  <c r="C1452" i="7"/>
  <c r="O1451" i="7"/>
  <c r="N1451" i="7"/>
  <c r="M1451" i="7"/>
  <c r="L1451" i="7"/>
  <c r="K1451" i="7"/>
  <c r="J1451" i="7"/>
  <c r="I1451" i="7"/>
  <c r="H1451" i="7"/>
  <c r="G1451" i="7"/>
  <c r="F1451" i="7"/>
  <c r="E1451" i="7"/>
  <c r="D1451" i="7"/>
  <c r="C1451" i="7"/>
  <c r="O1450" i="7"/>
  <c r="N1450" i="7"/>
  <c r="M1450" i="7"/>
  <c r="L1450" i="7"/>
  <c r="K1450" i="7"/>
  <c r="J1450" i="7"/>
  <c r="I1450" i="7"/>
  <c r="H1450" i="7"/>
  <c r="G1450" i="7"/>
  <c r="F1450" i="7"/>
  <c r="E1450" i="7"/>
  <c r="D1450" i="7"/>
  <c r="C1450" i="7"/>
  <c r="O1449" i="7"/>
  <c r="N1449" i="7"/>
  <c r="M1449" i="7"/>
  <c r="L1449" i="7"/>
  <c r="K1449" i="7"/>
  <c r="J1449" i="7"/>
  <c r="I1449" i="7"/>
  <c r="H1449" i="7"/>
  <c r="G1449" i="7"/>
  <c r="F1449" i="7"/>
  <c r="E1449" i="7"/>
  <c r="D1449" i="7"/>
  <c r="C1449" i="7"/>
  <c r="O1448" i="7"/>
  <c r="N1448" i="7"/>
  <c r="M1448" i="7"/>
  <c r="L1448" i="7"/>
  <c r="K1448" i="7"/>
  <c r="J1448" i="7"/>
  <c r="I1448" i="7"/>
  <c r="H1448" i="7"/>
  <c r="G1448" i="7"/>
  <c r="F1448" i="7"/>
  <c r="E1448" i="7"/>
  <c r="D1448" i="7"/>
  <c r="C1448" i="7"/>
  <c r="O1447" i="7"/>
  <c r="N1447" i="7"/>
  <c r="M1447" i="7"/>
  <c r="L1447" i="7"/>
  <c r="K1447" i="7"/>
  <c r="J1447" i="7"/>
  <c r="I1447" i="7"/>
  <c r="H1447" i="7"/>
  <c r="G1447" i="7"/>
  <c r="F1447" i="7"/>
  <c r="E1447" i="7"/>
  <c r="D1447" i="7"/>
  <c r="C1447" i="7"/>
  <c r="O1446" i="7"/>
  <c r="N1446" i="7"/>
  <c r="M1446" i="7"/>
  <c r="L1446" i="7"/>
  <c r="K1446" i="7"/>
  <c r="J1446" i="7"/>
  <c r="I1446" i="7"/>
  <c r="H1446" i="7"/>
  <c r="G1446" i="7"/>
  <c r="F1446" i="7"/>
  <c r="E1446" i="7"/>
  <c r="D1446" i="7"/>
  <c r="C1446" i="7"/>
  <c r="O1445" i="7"/>
  <c r="N1445" i="7"/>
  <c r="M1445" i="7"/>
  <c r="L1445" i="7"/>
  <c r="K1445" i="7"/>
  <c r="J1445" i="7"/>
  <c r="I1445" i="7"/>
  <c r="H1445" i="7"/>
  <c r="G1445" i="7"/>
  <c r="F1445" i="7"/>
  <c r="E1445" i="7"/>
  <c r="D1445" i="7"/>
  <c r="C1445" i="7"/>
  <c r="O1444" i="7"/>
  <c r="N1444" i="7"/>
  <c r="M1444" i="7"/>
  <c r="L1444" i="7"/>
  <c r="K1444" i="7"/>
  <c r="J1444" i="7"/>
  <c r="I1444" i="7"/>
  <c r="H1444" i="7"/>
  <c r="G1444" i="7"/>
  <c r="F1444" i="7"/>
  <c r="E1444" i="7"/>
  <c r="D1444" i="7"/>
  <c r="C1444" i="7"/>
  <c r="O1443" i="7"/>
  <c r="N1443" i="7"/>
  <c r="M1443" i="7"/>
  <c r="L1443" i="7"/>
  <c r="K1443" i="7"/>
  <c r="J1443" i="7"/>
  <c r="I1443" i="7"/>
  <c r="H1443" i="7"/>
  <c r="G1443" i="7"/>
  <c r="F1443" i="7"/>
  <c r="E1443" i="7"/>
  <c r="D1443" i="7"/>
  <c r="C1443" i="7"/>
  <c r="O1442" i="7"/>
  <c r="N1442" i="7"/>
  <c r="M1442" i="7"/>
  <c r="L1442" i="7"/>
  <c r="K1442" i="7"/>
  <c r="J1442" i="7"/>
  <c r="I1442" i="7"/>
  <c r="H1442" i="7"/>
  <c r="G1442" i="7"/>
  <c r="F1442" i="7"/>
  <c r="E1442" i="7"/>
  <c r="D1442" i="7"/>
  <c r="C1442" i="7"/>
  <c r="O1441" i="7"/>
  <c r="N1441" i="7"/>
  <c r="M1441" i="7"/>
  <c r="L1441" i="7"/>
  <c r="K1441" i="7"/>
  <c r="J1441" i="7"/>
  <c r="I1441" i="7"/>
  <c r="H1441" i="7"/>
  <c r="G1441" i="7"/>
  <c r="F1441" i="7"/>
  <c r="E1441" i="7"/>
  <c r="D1441" i="7"/>
  <c r="C1441" i="7"/>
  <c r="O1440" i="7"/>
  <c r="N1440" i="7"/>
  <c r="M1440" i="7"/>
  <c r="L1440" i="7"/>
  <c r="K1440" i="7"/>
  <c r="J1440" i="7"/>
  <c r="I1440" i="7"/>
  <c r="H1440" i="7"/>
  <c r="G1440" i="7"/>
  <c r="F1440" i="7"/>
  <c r="E1440" i="7"/>
  <c r="D1440" i="7"/>
  <c r="C1440" i="7"/>
  <c r="O1439" i="7"/>
  <c r="N1439" i="7"/>
  <c r="M1439" i="7"/>
  <c r="L1439" i="7"/>
  <c r="K1439" i="7"/>
  <c r="J1439" i="7"/>
  <c r="I1439" i="7"/>
  <c r="H1439" i="7"/>
  <c r="G1439" i="7"/>
  <c r="F1439" i="7"/>
  <c r="E1439" i="7"/>
  <c r="D1439" i="7"/>
  <c r="C1439" i="7"/>
  <c r="O1438" i="7"/>
  <c r="N1438" i="7"/>
  <c r="M1438" i="7"/>
  <c r="L1438" i="7"/>
  <c r="K1438" i="7"/>
  <c r="J1438" i="7"/>
  <c r="I1438" i="7"/>
  <c r="H1438" i="7"/>
  <c r="G1438" i="7"/>
  <c r="F1438" i="7"/>
  <c r="E1438" i="7"/>
  <c r="D1438" i="7"/>
  <c r="C1438" i="7"/>
  <c r="O1437" i="7"/>
  <c r="N1437" i="7"/>
  <c r="M1437" i="7"/>
  <c r="L1437" i="7"/>
  <c r="K1437" i="7"/>
  <c r="J1437" i="7"/>
  <c r="I1437" i="7"/>
  <c r="H1437" i="7"/>
  <c r="G1437" i="7"/>
  <c r="F1437" i="7"/>
  <c r="E1437" i="7"/>
  <c r="D1437" i="7"/>
  <c r="C1437" i="7"/>
  <c r="O1436" i="7"/>
  <c r="N1436" i="7"/>
  <c r="M1436" i="7"/>
  <c r="L1436" i="7"/>
  <c r="K1436" i="7"/>
  <c r="J1436" i="7"/>
  <c r="I1436" i="7"/>
  <c r="H1436" i="7"/>
  <c r="G1436" i="7"/>
  <c r="F1436" i="7"/>
  <c r="E1436" i="7"/>
  <c r="D1436" i="7"/>
  <c r="C1436" i="7"/>
  <c r="O1435" i="7"/>
  <c r="N1435" i="7"/>
  <c r="M1435" i="7"/>
  <c r="L1435" i="7"/>
  <c r="K1435" i="7"/>
  <c r="J1435" i="7"/>
  <c r="I1435" i="7"/>
  <c r="H1435" i="7"/>
  <c r="G1435" i="7"/>
  <c r="F1435" i="7"/>
  <c r="E1435" i="7"/>
  <c r="D1435" i="7"/>
  <c r="C1435" i="7"/>
  <c r="O1434" i="7"/>
  <c r="N1434" i="7"/>
  <c r="M1434" i="7"/>
  <c r="L1434" i="7"/>
  <c r="K1434" i="7"/>
  <c r="J1434" i="7"/>
  <c r="I1434" i="7"/>
  <c r="H1434" i="7"/>
  <c r="G1434" i="7"/>
  <c r="F1434" i="7"/>
  <c r="E1434" i="7"/>
  <c r="D1434" i="7"/>
  <c r="C1434" i="7"/>
  <c r="O1433" i="7"/>
  <c r="N1433" i="7"/>
  <c r="M1433" i="7"/>
  <c r="L1433" i="7"/>
  <c r="K1433" i="7"/>
  <c r="J1433" i="7"/>
  <c r="I1433" i="7"/>
  <c r="H1433" i="7"/>
  <c r="G1433" i="7"/>
  <c r="F1433" i="7"/>
  <c r="E1433" i="7"/>
  <c r="D1433" i="7"/>
  <c r="C1433" i="7"/>
  <c r="O1432" i="7"/>
  <c r="N1432" i="7"/>
  <c r="M1432" i="7"/>
  <c r="L1432" i="7"/>
  <c r="K1432" i="7"/>
  <c r="J1432" i="7"/>
  <c r="I1432" i="7"/>
  <c r="H1432" i="7"/>
  <c r="G1432" i="7"/>
  <c r="F1432" i="7"/>
  <c r="E1432" i="7"/>
  <c r="D1432" i="7"/>
  <c r="C1432" i="7"/>
  <c r="O1431" i="7"/>
  <c r="N1431" i="7"/>
  <c r="M1431" i="7"/>
  <c r="L1431" i="7"/>
  <c r="K1431" i="7"/>
  <c r="J1431" i="7"/>
  <c r="I1431" i="7"/>
  <c r="H1431" i="7"/>
  <c r="G1431" i="7"/>
  <c r="F1431" i="7"/>
  <c r="E1431" i="7"/>
  <c r="D1431" i="7"/>
  <c r="C1431" i="7"/>
  <c r="O1430" i="7"/>
  <c r="N1430" i="7"/>
  <c r="M1430" i="7"/>
  <c r="L1430" i="7"/>
  <c r="K1430" i="7"/>
  <c r="J1430" i="7"/>
  <c r="I1430" i="7"/>
  <c r="H1430" i="7"/>
  <c r="G1430" i="7"/>
  <c r="F1430" i="7"/>
  <c r="E1430" i="7"/>
  <c r="D1430" i="7"/>
  <c r="C1430" i="7"/>
  <c r="O1429" i="7"/>
  <c r="N1429" i="7"/>
  <c r="M1429" i="7"/>
  <c r="L1429" i="7"/>
  <c r="K1429" i="7"/>
  <c r="J1429" i="7"/>
  <c r="I1429" i="7"/>
  <c r="H1429" i="7"/>
  <c r="G1429" i="7"/>
  <c r="F1429" i="7"/>
  <c r="E1429" i="7"/>
  <c r="D1429" i="7"/>
  <c r="C1429" i="7"/>
  <c r="O1428" i="7"/>
  <c r="N1428" i="7"/>
  <c r="M1428" i="7"/>
  <c r="L1428" i="7"/>
  <c r="K1428" i="7"/>
  <c r="J1428" i="7"/>
  <c r="I1428" i="7"/>
  <c r="H1428" i="7"/>
  <c r="G1428" i="7"/>
  <c r="F1428" i="7"/>
  <c r="E1428" i="7"/>
  <c r="D1428" i="7"/>
  <c r="C1428" i="7"/>
  <c r="O1427" i="7"/>
  <c r="N1427" i="7"/>
  <c r="M1427" i="7"/>
  <c r="L1427" i="7"/>
  <c r="K1427" i="7"/>
  <c r="J1427" i="7"/>
  <c r="I1427" i="7"/>
  <c r="H1427" i="7"/>
  <c r="G1427" i="7"/>
  <c r="F1427" i="7"/>
  <c r="E1427" i="7"/>
  <c r="D1427" i="7"/>
  <c r="C1427" i="7"/>
  <c r="O1426" i="7"/>
  <c r="N1426" i="7"/>
  <c r="M1426" i="7"/>
  <c r="L1426" i="7"/>
  <c r="K1426" i="7"/>
  <c r="J1426" i="7"/>
  <c r="I1426" i="7"/>
  <c r="H1426" i="7"/>
  <c r="G1426" i="7"/>
  <c r="F1426" i="7"/>
  <c r="E1426" i="7"/>
  <c r="D1426" i="7"/>
  <c r="C1426" i="7"/>
  <c r="O1425" i="7"/>
  <c r="N1425" i="7"/>
  <c r="M1425" i="7"/>
  <c r="L1425" i="7"/>
  <c r="K1425" i="7"/>
  <c r="J1425" i="7"/>
  <c r="I1425" i="7"/>
  <c r="H1425" i="7"/>
  <c r="G1425" i="7"/>
  <c r="F1425" i="7"/>
  <c r="E1425" i="7"/>
  <c r="D1425" i="7"/>
  <c r="C1425" i="7"/>
  <c r="O1424" i="7"/>
  <c r="N1424" i="7"/>
  <c r="M1424" i="7"/>
  <c r="L1424" i="7"/>
  <c r="K1424" i="7"/>
  <c r="J1424" i="7"/>
  <c r="I1424" i="7"/>
  <c r="H1424" i="7"/>
  <c r="G1424" i="7"/>
  <c r="F1424" i="7"/>
  <c r="E1424" i="7"/>
  <c r="D1424" i="7"/>
  <c r="C1424" i="7"/>
  <c r="O1423" i="7"/>
  <c r="N1423" i="7"/>
  <c r="M1423" i="7"/>
  <c r="L1423" i="7"/>
  <c r="K1423" i="7"/>
  <c r="J1423" i="7"/>
  <c r="I1423" i="7"/>
  <c r="H1423" i="7"/>
  <c r="G1423" i="7"/>
  <c r="F1423" i="7"/>
  <c r="E1423" i="7"/>
  <c r="D1423" i="7"/>
  <c r="C1423" i="7"/>
  <c r="O1422" i="7"/>
  <c r="N1422" i="7"/>
  <c r="M1422" i="7"/>
  <c r="L1422" i="7"/>
  <c r="K1422" i="7"/>
  <c r="J1422" i="7"/>
  <c r="I1422" i="7"/>
  <c r="H1422" i="7"/>
  <c r="G1422" i="7"/>
  <c r="F1422" i="7"/>
  <c r="E1422" i="7"/>
  <c r="D1422" i="7"/>
  <c r="C1422" i="7"/>
  <c r="O1421" i="7"/>
  <c r="N1421" i="7"/>
  <c r="M1421" i="7"/>
  <c r="L1421" i="7"/>
  <c r="K1421" i="7"/>
  <c r="J1421" i="7"/>
  <c r="I1421" i="7"/>
  <c r="H1421" i="7"/>
  <c r="G1421" i="7"/>
  <c r="F1421" i="7"/>
  <c r="E1421" i="7"/>
  <c r="D1421" i="7"/>
  <c r="C1421" i="7"/>
  <c r="O1420" i="7"/>
  <c r="N1420" i="7"/>
  <c r="M1420" i="7"/>
  <c r="L1420" i="7"/>
  <c r="K1420" i="7"/>
  <c r="J1420" i="7"/>
  <c r="I1420" i="7"/>
  <c r="H1420" i="7"/>
  <c r="G1420" i="7"/>
  <c r="F1420" i="7"/>
  <c r="E1420" i="7"/>
  <c r="D1420" i="7"/>
  <c r="C1420" i="7"/>
  <c r="O1419" i="7"/>
  <c r="N1419" i="7"/>
  <c r="M1419" i="7"/>
  <c r="L1419" i="7"/>
  <c r="K1419" i="7"/>
  <c r="J1419" i="7"/>
  <c r="I1419" i="7"/>
  <c r="H1419" i="7"/>
  <c r="G1419" i="7"/>
  <c r="F1419" i="7"/>
  <c r="E1419" i="7"/>
  <c r="D1419" i="7"/>
  <c r="C1419" i="7"/>
  <c r="O1418" i="7"/>
  <c r="N1418" i="7"/>
  <c r="M1418" i="7"/>
  <c r="L1418" i="7"/>
  <c r="K1418" i="7"/>
  <c r="J1418" i="7"/>
  <c r="I1418" i="7"/>
  <c r="H1418" i="7"/>
  <c r="G1418" i="7"/>
  <c r="F1418" i="7"/>
  <c r="E1418" i="7"/>
  <c r="D1418" i="7"/>
  <c r="C1418" i="7"/>
  <c r="O1417" i="7"/>
  <c r="N1417" i="7"/>
  <c r="M1417" i="7"/>
  <c r="L1417" i="7"/>
  <c r="K1417" i="7"/>
  <c r="J1417" i="7"/>
  <c r="I1417" i="7"/>
  <c r="H1417" i="7"/>
  <c r="G1417" i="7"/>
  <c r="F1417" i="7"/>
  <c r="E1417" i="7"/>
  <c r="D1417" i="7"/>
  <c r="C1417" i="7"/>
  <c r="O1416" i="7"/>
  <c r="N1416" i="7"/>
  <c r="M1416" i="7"/>
  <c r="L1416" i="7"/>
  <c r="K1416" i="7"/>
  <c r="J1416" i="7"/>
  <c r="I1416" i="7"/>
  <c r="H1416" i="7"/>
  <c r="G1416" i="7"/>
  <c r="F1416" i="7"/>
  <c r="E1416" i="7"/>
  <c r="D1416" i="7"/>
  <c r="C1416" i="7"/>
  <c r="O1415" i="7"/>
  <c r="N1415" i="7"/>
  <c r="M1415" i="7"/>
  <c r="L1415" i="7"/>
  <c r="K1415" i="7"/>
  <c r="J1415" i="7"/>
  <c r="I1415" i="7"/>
  <c r="H1415" i="7"/>
  <c r="G1415" i="7"/>
  <c r="F1415" i="7"/>
  <c r="E1415" i="7"/>
  <c r="D1415" i="7"/>
  <c r="C1415" i="7"/>
  <c r="O1414" i="7"/>
  <c r="N1414" i="7"/>
  <c r="M1414" i="7"/>
  <c r="L1414" i="7"/>
  <c r="K1414" i="7"/>
  <c r="J1414" i="7"/>
  <c r="I1414" i="7"/>
  <c r="H1414" i="7"/>
  <c r="G1414" i="7"/>
  <c r="F1414" i="7"/>
  <c r="E1414" i="7"/>
  <c r="D1414" i="7"/>
  <c r="C1414" i="7"/>
  <c r="O1413" i="7"/>
  <c r="N1413" i="7"/>
  <c r="M1413" i="7"/>
  <c r="L1413" i="7"/>
  <c r="K1413" i="7"/>
  <c r="J1413" i="7"/>
  <c r="I1413" i="7"/>
  <c r="H1413" i="7"/>
  <c r="G1413" i="7"/>
  <c r="F1413" i="7"/>
  <c r="E1413" i="7"/>
  <c r="D1413" i="7"/>
  <c r="C1413" i="7"/>
  <c r="O1412" i="7"/>
  <c r="N1412" i="7"/>
  <c r="M1412" i="7"/>
  <c r="L1412" i="7"/>
  <c r="K1412" i="7"/>
  <c r="J1412" i="7"/>
  <c r="I1412" i="7"/>
  <c r="H1412" i="7"/>
  <c r="G1412" i="7"/>
  <c r="F1412" i="7"/>
  <c r="E1412" i="7"/>
  <c r="D1412" i="7"/>
  <c r="C1412" i="7"/>
  <c r="O1411" i="7"/>
  <c r="N1411" i="7"/>
  <c r="M1411" i="7"/>
  <c r="L1411" i="7"/>
  <c r="K1411" i="7"/>
  <c r="J1411" i="7"/>
  <c r="I1411" i="7"/>
  <c r="H1411" i="7"/>
  <c r="G1411" i="7"/>
  <c r="F1411" i="7"/>
  <c r="E1411" i="7"/>
  <c r="D1411" i="7"/>
  <c r="C1411" i="7"/>
  <c r="O1410" i="7"/>
  <c r="N1410" i="7"/>
  <c r="M1410" i="7"/>
  <c r="L1410" i="7"/>
  <c r="K1410" i="7"/>
  <c r="J1410" i="7"/>
  <c r="I1410" i="7"/>
  <c r="H1410" i="7"/>
  <c r="G1410" i="7"/>
  <c r="F1410" i="7"/>
  <c r="E1410" i="7"/>
  <c r="D1410" i="7"/>
  <c r="C1410" i="7"/>
  <c r="O1405" i="7"/>
  <c r="N1405" i="7"/>
  <c r="M1405" i="7"/>
  <c r="L1405" i="7"/>
  <c r="K1405" i="7"/>
  <c r="J1405" i="7"/>
  <c r="I1405" i="7"/>
  <c r="H1405" i="7"/>
  <c r="G1405" i="7"/>
  <c r="F1405" i="7"/>
  <c r="E1405" i="7"/>
  <c r="D1405" i="7"/>
  <c r="C1405" i="7"/>
  <c r="C1404" i="7"/>
  <c r="C1403" i="7"/>
  <c r="C1402" i="7"/>
  <c r="O1401" i="7"/>
  <c r="N1401" i="7"/>
  <c r="M1401" i="7"/>
  <c r="L1401" i="7"/>
  <c r="K1401" i="7"/>
  <c r="J1401" i="7"/>
  <c r="I1401" i="7"/>
  <c r="G1401" i="7"/>
  <c r="F1401" i="7"/>
  <c r="E1401" i="7"/>
  <c r="D1401" i="7"/>
  <c r="C1401" i="7"/>
  <c r="O1400" i="7"/>
  <c r="N1400" i="7"/>
  <c r="M1400" i="7"/>
  <c r="L1400" i="7"/>
  <c r="K1400" i="7"/>
  <c r="J1400" i="7"/>
  <c r="I1400" i="7"/>
  <c r="H1400" i="7"/>
  <c r="G1400" i="7"/>
  <c r="F1400" i="7"/>
  <c r="E1400" i="7"/>
  <c r="D1400" i="7"/>
  <c r="C1400" i="7"/>
  <c r="O1399" i="7"/>
  <c r="N1399" i="7"/>
  <c r="M1399" i="7"/>
  <c r="L1399" i="7"/>
  <c r="K1399" i="7"/>
  <c r="J1399" i="7"/>
  <c r="I1399" i="7"/>
  <c r="H1399" i="7"/>
  <c r="G1399" i="7"/>
  <c r="F1399" i="7"/>
  <c r="E1399" i="7"/>
  <c r="D1399" i="7"/>
  <c r="C1399" i="7"/>
  <c r="O1398" i="7"/>
  <c r="N1398" i="7"/>
  <c r="M1398" i="7"/>
  <c r="L1398" i="7"/>
  <c r="K1398" i="7"/>
  <c r="J1398" i="7"/>
  <c r="I1398" i="7"/>
  <c r="H1398" i="7"/>
  <c r="G1398" i="7"/>
  <c r="F1398" i="7"/>
  <c r="E1398" i="7"/>
  <c r="D1398" i="7"/>
  <c r="C1398" i="7"/>
  <c r="O1397" i="7"/>
  <c r="N1397" i="7"/>
  <c r="M1397" i="7"/>
  <c r="L1397" i="7"/>
  <c r="K1397" i="7"/>
  <c r="J1397" i="7"/>
  <c r="I1397" i="7"/>
  <c r="H1397" i="7"/>
  <c r="G1397" i="7"/>
  <c r="F1397" i="7"/>
  <c r="E1397" i="7"/>
  <c r="D1397" i="7"/>
  <c r="C1397" i="7"/>
  <c r="O1396" i="7"/>
  <c r="N1396" i="7"/>
  <c r="M1396" i="7"/>
  <c r="L1396" i="7"/>
  <c r="K1396" i="7"/>
  <c r="J1396" i="7"/>
  <c r="I1396" i="7"/>
  <c r="H1396" i="7"/>
  <c r="G1396" i="7"/>
  <c r="F1396" i="7"/>
  <c r="E1396" i="7"/>
  <c r="D1396" i="7"/>
  <c r="C1396" i="7"/>
  <c r="O1395" i="7"/>
  <c r="N1395" i="7"/>
  <c r="M1395" i="7"/>
  <c r="L1395" i="7"/>
  <c r="K1395" i="7"/>
  <c r="J1395" i="7"/>
  <c r="I1395" i="7"/>
  <c r="H1395" i="7"/>
  <c r="G1395" i="7"/>
  <c r="F1395" i="7"/>
  <c r="E1395" i="7"/>
  <c r="D1395" i="7"/>
  <c r="C1395" i="7"/>
  <c r="O1394" i="7"/>
  <c r="N1394" i="7"/>
  <c r="M1394" i="7"/>
  <c r="L1394" i="7"/>
  <c r="K1394" i="7"/>
  <c r="J1394" i="7"/>
  <c r="I1394" i="7"/>
  <c r="H1394" i="7"/>
  <c r="G1394" i="7"/>
  <c r="F1394" i="7"/>
  <c r="E1394" i="7"/>
  <c r="D1394" i="7"/>
  <c r="C1394" i="7"/>
  <c r="O1393" i="7"/>
  <c r="N1393" i="7"/>
  <c r="M1393" i="7"/>
  <c r="L1393" i="7"/>
  <c r="K1393" i="7"/>
  <c r="J1393" i="7"/>
  <c r="I1393" i="7"/>
  <c r="H1393" i="7"/>
  <c r="G1393" i="7"/>
  <c r="F1393" i="7"/>
  <c r="E1393" i="7"/>
  <c r="D1393" i="7"/>
  <c r="C1393" i="7"/>
  <c r="O1392" i="7"/>
  <c r="N1392" i="7"/>
  <c r="M1392" i="7"/>
  <c r="L1392" i="7"/>
  <c r="K1392" i="7"/>
  <c r="J1392" i="7"/>
  <c r="I1392" i="7"/>
  <c r="H1392" i="7"/>
  <c r="G1392" i="7"/>
  <c r="F1392" i="7"/>
  <c r="E1392" i="7"/>
  <c r="D1392" i="7"/>
  <c r="C1392" i="7"/>
  <c r="O1391" i="7"/>
  <c r="N1391" i="7"/>
  <c r="M1391" i="7"/>
  <c r="L1391" i="7"/>
  <c r="K1391" i="7"/>
  <c r="J1391" i="7"/>
  <c r="I1391" i="7"/>
  <c r="H1391" i="7"/>
  <c r="G1391" i="7"/>
  <c r="F1391" i="7"/>
  <c r="E1391" i="7"/>
  <c r="D1391" i="7"/>
  <c r="C1391" i="7"/>
  <c r="O1390" i="7"/>
  <c r="N1390" i="7"/>
  <c r="M1390" i="7"/>
  <c r="L1390" i="7"/>
  <c r="K1390" i="7"/>
  <c r="J1390" i="7"/>
  <c r="I1390" i="7"/>
  <c r="H1390" i="7"/>
  <c r="G1390" i="7"/>
  <c r="F1390" i="7"/>
  <c r="E1390" i="7"/>
  <c r="D1390" i="7"/>
  <c r="C1390" i="7"/>
  <c r="O1389" i="7"/>
  <c r="N1389" i="7"/>
  <c r="M1389" i="7"/>
  <c r="L1389" i="7"/>
  <c r="K1389" i="7"/>
  <c r="J1389" i="7"/>
  <c r="I1389" i="7"/>
  <c r="H1389" i="7"/>
  <c r="G1389" i="7"/>
  <c r="F1389" i="7"/>
  <c r="E1389" i="7"/>
  <c r="D1389" i="7"/>
  <c r="C1389" i="7"/>
  <c r="O1388" i="7"/>
  <c r="N1388" i="7"/>
  <c r="M1388" i="7"/>
  <c r="L1388" i="7"/>
  <c r="K1388" i="7"/>
  <c r="J1388" i="7"/>
  <c r="I1388" i="7"/>
  <c r="H1388" i="7"/>
  <c r="G1388" i="7"/>
  <c r="F1388" i="7"/>
  <c r="E1388" i="7"/>
  <c r="D1388" i="7"/>
  <c r="C1388" i="7"/>
  <c r="O1387" i="7"/>
  <c r="N1387" i="7"/>
  <c r="M1387" i="7"/>
  <c r="L1387" i="7"/>
  <c r="K1387" i="7"/>
  <c r="J1387" i="7"/>
  <c r="I1387" i="7"/>
  <c r="H1387" i="7"/>
  <c r="G1387" i="7"/>
  <c r="F1387" i="7"/>
  <c r="E1387" i="7"/>
  <c r="D1387" i="7"/>
  <c r="C1387" i="7"/>
  <c r="O1386" i="7"/>
  <c r="N1386" i="7"/>
  <c r="M1386" i="7"/>
  <c r="L1386" i="7"/>
  <c r="K1386" i="7"/>
  <c r="J1386" i="7"/>
  <c r="I1386" i="7"/>
  <c r="H1386" i="7"/>
  <c r="G1386" i="7"/>
  <c r="F1386" i="7"/>
  <c r="E1386" i="7"/>
  <c r="D1386" i="7"/>
  <c r="C1386" i="7"/>
  <c r="O1385" i="7"/>
  <c r="N1385" i="7"/>
  <c r="M1385" i="7"/>
  <c r="L1385" i="7"/>
  <c r="K1385" i="7"/>
  <c r="J1385" i="7"/>
  <c r="I1385" i="7"/>
  <c r="H1385" i="7"/>
  <c r="G1385" i="7"/>
  <c r="F1385" i="7"/>
  <c r="E1385" i="7"/>
  <c r="D1385" i="7"/>
  <c r="C1385" i="7"/>
  <c r="O1384" i="7"/>
  <c r="N1384" i="7"/>
  <c r="M1384" i="7"/>
  <c r="L1384" i="7"/>
  <c r="K1384" i="7"/>
  <c r="J1384" i="7"/>
  <c r="I1384" i="7"/>
  <c r="H1384" i="7"/>
  <c r="G1384" i="7"/>
  <c r="F1384" i="7"/>
  <c r="E1384" i="7"/>
  <c r="D1384" i="7"/>
  <c r="C1384" i="7"/>
  <c r="O1383" i="7"/>
  <c r="N1383" i="7"/>
  <c r="M1383" i="7"/>
  <c r="L1383" i="7"/>
  <c r="K1383" i="7"/>
  <c r="J1383" i="7"/>
  <c r="I1383" i="7"/>
  <c r="H1383" i="7"/>
  <c r="G1383" i="7"/>
  <c r="F1383" i="7"/>
  <c r="E1383" i="7"/>
  <c r="D1383" i="7"/>
  <c r="C1383" i="7"/>
  <c r="O1382" i="7"/>
  <c r="N1382" i="7"/>
  <c r="M1382" i="7"/>
  <c r="L1382" i="7"/>
  <c r="K1382" i="7"/>
  <c r="J1382" i="7"/>
  <c r="I1382" i="7"/>
  <c r="H1382" i="7"/>
  <c r="G1382" i="7"/>
  <c r="F1382" i="7"/>
  <c r="E1382" i="7"/>
  <c r="D1382" i="7"/>
  <c r="C1382" i="7"/>
  <c r="O1381" i="7"/>
  <c r="N1381" i="7"/>
  <c r="M1381" i="7"/>
  <c r="L1381" i="7"/>
  <c r="K1381" i="7"/>
  <c r="J1381" i="7"/>
  <c r="I1381" i="7"/>
  <c r="H1381" i="7"/>
  <c r="G1381" i="7"/>
  <c r="F1381" i="7"/>
  <c r="E1381" i="7"/>
  <c r="D1381" i="7"/>
  <c r="C1381" i="7"/>
  <c r="O1380" i="7"/>
  <c r="N1380" i="7"/>
  <c r="M1380" i="7"/>
  <c r="L1380" i="7"/>
  <c r="K1380" i="7"/>
  <c r="J1380" i="7"/>
  <c r="I1380" i="7"/>
  <c r="H1380" i="7"/>
  <c r="G1380" i="7"/>
  <c r="F1380" i="7"/>
  <c r="E1380" i="7"/>
  <c r="D1380" i="7"/>
  <c r="C1380" i="7"/>
  <c r="O1379" i="7"/>
  <c r="N1379" i="7"/>
  <c r="M1379" i="7"/>
  <c r="L1379" i="7"/>
  <c r="K1379" i="7"/>
  <c r="J1379" i="7"/>
  <c r="I1379" i="7"/>
  <c r="H1379" i="7"/>
  <c r="G1379" i="7"/>
  <c r="F1379" i="7"/>
  <c r="E1379" i="7"/>
  <c r="D1379" i="7"/>
  <c r="C1379" i="7"/>
  <c r="O1378" i="7"/>
  <c r="N1378" i="7"/>
  <c r="M1378" i="7"/>
  <c r="L1378" i="7"/>
  <c r="K1378" i="7"/>
  <c r="J1378" i="7"/>
  <c r="I1378" i="7"/>
  <c r="H1378" i="7"/>
  <c r="G1378" i="7"/>
  <c r="F1378" i="7"/>
  <c r="E1378" i="7"/>
  <c r="D1378" i="7"/>
  <c r="C1378" i="7"/>
  <c r="O1377" i="7"/>
  <c r="N1377" i="7"/>
  <c r="M1377" i="7"/>
  <c r="L1377" i="7"/>
  <c r="K1377" i="7"/>
  <c r="J1377" i="7"/>
  <c r="I1377" i="7"/>
  <c r="H1377" i="7"/>
  <c r="G1377" i="7"/>
  <c r="F1377" i="7"/>
  <c r="E1377" i="7"/>
  <c r="D1377" i="7"/>
  <c r="C1377" i="7"/>
  <c r="O1376" i="7"/>
  <c r="N1376" i="7"/>
  <c r="M1376" i="7"/>
  <c r="L1376" i="7"/>
  <c r="K1376" i="7"/>
  <c r="J1376" i="7"/>
  <c r="I1376" i="7"/>
  <c r="H1376" i="7"/>
  <c r="G1376" i="7"/>
  <c r="F1376" i="7"/>
  <c r="E1376" i="7"/>
  <c r="D1376" i="7"/>
  <c r="C1376" i="7"/>
  <c r="O1375" i="7"/>
  <c r="N1375" i="7"/>
  <c r="M1375" i="7"/>
  <c r="L1375" i="7"/>
  <c r="K1375" i="7"/>
  <c r="J1375" i="7"/>
  <c r="I1375" i="7"/>
  <c r="H1375" i="7"/>
  <c r="G1375" i="7"/>
  <c r="F1375" i="7"/>
  <c r="E1375" i="7"/>
  <c r="D1375" i="7"/>
  <c r="C1375" i="7"/>
  <c r="O1374" i="7"/>
  <c r="N1374" i="7"/>
  <c r="M1374" i="7"/>
  <c r="L1374" i="7"/>
  <c r="K1374" i="7"/>
  <c r="J1374" i="7"/>
  <c r="I1374" i="7"/>
  <c r="H1374" i="7"/>
  <c r="G1374" i="7"/>
  <c r="F1374" i="7"/>
  <c r="E1374" i="7"/>
  <c r="D1374" i="7"/>
  <c r="C1374" i="7"/>
  <c r="O1373" i="7"/>
  <c r="N1373" i="7"/>
  <c r="M1373" i="7"/>
  <c r="L1373" i="7"/>
  <c r="K1373" i="7"/>
  <c r="J1373" i="7"/>
  <c r="I1373" i="7"/>
  <c r="H1373" i="7"/>
  <c r="G1373" i="7"/>
  <c r="F1373" i="7"/>
  <c r="E1373" i="7"/>
  <c r="D1373" i="7"/>
  <c r="C1373" i="7"/>
  <c r="O1372" i="7"/>
  <c r="N1372" i="7"/>
  <c r="M1372" i="7"/>
  <c r="L1372" i="7"/>
  <c r="K1372" i="7"/>
  <c r="J1372" i="7"/>
  <c r="I1372" i="7"/>
  <c r="H1372" i="7"/>
  <c r="G1372" i="7"/>
  <c r="F1372" i="7"/>
  <c r="E1372" i="7"/>
  <c r="D1372" i="7"/>
  <c r="C1372" i="7"/>
  <c r="O1371" i="7"/>
  <c r="N1371" i="7"/>
  <c r="M1371" i="7"/>
  <c r="L1371" i="7"/>
  <c r="K1371" i="7"/>
  <c r="J1371" i="7"/>
  <c r="I1371" i="7"/>
  <c r="H1371" i="7"/>
  <c r="G1371" i="7"/>
  <c r="F1371" i="7"/>
  <c r="E1371" i="7"/>
  <c r="D1371" i="7"/>
  <c r="C1371" i="7"/>
  <c r="O1370" i="7"/>
  <c r="N1370" i="7"/>
  <c r="M1370" i="7"/>
  <c r="L1370" i="7"/>
  <c r="K1370" i="7"/>
  <c r="J1370" i="7"/>
  <c r="I1370" i="7"/>
  <c r="H1370" i="7"/>
  <c r="G1370" i="7"/>
  <c r="F1370" i="7"/>
  <c r="E1370" i="7"/>
  <c r="D1370" i="7"/>
  <c r="C1370" i="7"/>
  <c r="O1369" i="7"/>
  <c r="N1369" i="7"/>
  <c r="M1369" i="7"/>
  <c r="L1369" i="7"/>
  <c r="K1369" i="7"/>
  <c r="J1369" i="7"/>
  <c r="I1369" i="7"/>
  <c r="H1369" i="7"/>
  <c r="G1369" i="7"/>
  <c r="F1369" i="7"/>
  <c r="E1369" i="7"/>
  <c r="D1369" i="7"/>
  <c r="C1369" i="7"/>
  <c r="O1368" i="7"/>
  <c r="N1368" i="7"/>
  <c r="M1368" i="7"/>
  <c r="L1368" i="7"/>
  <c r="K1368" i="7"/>
  <c r="J1368" i="7"/>
  <c r="I1368" i="7"/>
  <c r="H1368" i="7"/>
  <c r="G1368" i="7"/>
  <c r="F1368" i="7"/>
  <c r="E1368" i="7"/>
  <c r="D1368" i="7"/>
  <c r="C1368" i="7"/>
  <c r="O1367" i="7"/>
  <c r="N1367" i="7"/>
  <c r="M1367" i="7"/>
  <c r="L1367" i="7"/>
  <c r="K1367" i="7"/>
  <c r="J1367" i="7"/>
  <c r="I1367" i="7"/>
  <c r="H1367" i="7"/>
  <c r="G1367" i="7"/>
  <c r="F1367" i="7"/>
  <c r="E1367" i="7"/>
  <c r="D1367" i="7"/>
  <c r="C1367" i="7"/>
  <c r="O1366" i="7"/>
  <c r="N1366" i="7"/>
  <c r="M1366" i="7"/>
  <c r="L1366" i="7"/>
  <c r="K1366" i="7"/>
  <c r="J1366" i="7"/>
  <c r="I1366" i="7"/>
  <c r="H1366" i="7"/>
  <c r="G1366" i="7"/>
  <c r="F1366" i="7"/>
  <c r="E1366" i="7"/>
  <c r="D1366" i="7"/>
  <c r="C1366" i="7"/>
  <c r="O1365" i="7"/>
  <c r="N1365" i="7"/>
  <c r="M1365" i="7"/>
  <c r="L1365" i="7"/>
  <c r="K1365" i="7"/>
  <c r="J1365" i="7"/>
  <c r="I1365" i="7"/>
  <c r="H1365" i="7"/>
  <c r="G1365" i="7"/>
  <c r="F1365" i="7"/>
  <c r="E1365" i="7"/>
  <c r="D1365" i="7"/>
  <c r="C1365" i="7"/>
  <c r="O1364" i="7"/>
  <c r="N1364" i="7"/>
  <c r="M1364" i="7"/>
  <c r="L1364" i="7"/>
  <c r="K1364" i="7"/>
  <c r="J1364" i="7"/>
  <c r="I1364" i="7"/>
  <c r="H1364" i="7"/>
  <c r="G1364" i="7"/>
  <c r="F1364" i="7"/>
  <c r="E1364" i="7"/>
  <c r="D1364" i="7"/>
  <c r="C1364" i="7"/>
  <c r="O1363" i="7"/>
  <c r="N1363" i="7"/>
  <c r="M1363" i="7"/>
  <c r="L1363" i="7"/>
  <c r="K1363" i="7"/>
  <c r="J1363" i="7"/>
  <c r="I1363" i="7"/>
  <c r="H1363" i="7"/>
  <c r="G1363" i="7"/>
  <c r="F1363" i="7"/>
  <c r="E1363" i="7"/>
  <c r="D1363" i="7"/>
  <c r="C1363" i="7"/>
  <c r="O1362" i="7"/>
  <c r="N1362" i="7"/>
  <c r="M1362" i="7"/>
  <c r="L1362" i="7"/>
  <c r="K1362" i="7"/>
  <c r="J1362" i="7"/>
  <c r="I1362" i="7"/>
  <c r="H1362" i="7"/>
  <c r="G1362" i="7"/>
  <c r="F1362" i="7"/>
  <c r="E1362" i="7"/>
  <c r="D1362" i="7"/>
  <c r="C1362" i="7"/>
  <c r="O1361" i="7"/>
  <c r="N1361" i="7"/>
  <c r="M1361" i="7"/>
  <c r="L1361" i="7"/>
  <c r="K1361" i="7"/>
  <c r="J1361" i="7"/>
  <c r="I1361" i="7"/>
  <c r="H1361" i="7"/>
  <c r="G1361" i="7"/>
  <c r="F1361" i="7"/>
  <c r="E1361" i="7"/>
  <c r="D1361" i="7"/>
  <c r="C1361" i="7"/>
  <c r="O1360" i="7"/>
  <c r="N1360" i="7"/>
  <c r="M1360" i="7"/>
  <c r="L1360" i="7"/>
  <c r="K1360" i="7"/>
  <c r="J1360" i="7"/>
  <c r="I1360" i="7"/>
  <c r="H1360" i="7"/>
  <c r="G1360" i="7"/>
  <c r="F1360" i="7"/>
  <c r="E1360" i="7"/>
  <c r="D1360" i="7"/>
  <c r="C1360" i="7"/>
  <c r="O1359" i="7"/>
  <c r="N1359" i="7"/>
  <c r="M1359" i="7"/>
  <c r="L1359" i="7"/>
  <c r="K1359" i="7"/>
  <c r="J1359" i="7"/>
  <c r="I1359" i="7"/>
  <c r="H1359" i="7"/>
  <c r="G1359" i="7"/>
  <c r="F1359" i="7"/>
  <c r="E1359" i="7"/>
  <c r="D1359" i="7"/>
  <c r="C1359" i="7"/>
  <c r="O1358" i="7"/>
  <c r="N1358" i="7"/>
  <c r="M1358" i="7"/>
  <c r="L1358" i="7"/>
  <c r="K1358" i="7"/>
  <c r="J1358" i="7"/>
  <c r="I1358" i="7"/>
  <c r="H1358" i="7"/>
  <c r="G1358" i="7"/>
  <c r="F1358" i="7"/>
  <c r="E1358" i="7"/>
  <c r="D1358" i="7"/>
  <c r="C1358" i="7"/>
  <c r="O1357" i="7"/>
  <c r="N1357" i="7"/>
  <c r="M1357" i="7"/>
  <c r="L1357" i="7"/>
  <c r="K1357" i="7"/>
  <c r="J1357" i="7"/>
  <c r="I1357" i="7"/>
  <c r="H1357" i="7"/>
  <c r="G1357" i="7"/>
  <c r="F1357" i="7"/>
  <c r="E1357" i="7"/>
  <c r="D1357" i="7"/>
  <c r="C1357" i="7"/>
  <c r="O1356" i="7"/>
  <c r="N1356" i="7"/>
  <c r="M1356" i="7"/>
  <c r="L1356" i="7"/>
  <c r="K1356" i="7"/>
  <c r="J1356" i="7"/>
  <c r="I1356" i="7"/>
  <c r="H1356" i="7"/>
  <c r="G1356" i="7"/>
  <c r="F1356" i="7"/>
  <c r="E1356" i="7"/>
  <c r="D1356" i="7"/>
  <c r="C1356" i="7"/>
  <c r="O1355" i="7"/>
  <c r="N1355" i="7"/>
  <c r="M1355" i="7"/>
  <c r="L1355" i="7"/>
  <c r="K1355" i="7"/>
  <c r="J1355" i="7"/>
  <c r="I1355" i="7"/>
  <c r="H1355" i="7"/>
  <c r="G1355" i="7"/>
  <c r="F1355" i="7"/>
  <c r="E1355" i="7"/>
  <c r="D1355" i="7"/>
  <c r="C1355" i="7"/>
  <c r="O1354" i="7"/>
  <c r="N1354" i="7"/>
  <c r="M1354" i="7"/>
  <c r="L1354" i="7"/>
  <c r="K1354" i="7"/>
  <c r="J1354" i="7"/>
  <c r="I1354" i="7"/>
  <c r="H1354" i="7"/>
  <c r="G1354" i="7"/>
  <c r="F1354" i="7"/>
  <c r="E1354" i="7"/>
  <c r="D1354" i="7"/>
  <c r="C1354" i="7"/>
  <c r="O1353" i="7"/>
  <c r="N1353" i="7"/>
  <c r="M1353" i="7"/>
  <c r="L1353" i="7"/>
  <c r="K1353" i="7"/>
  <c r="J1353" i="7"/>
  <c r="I1353" i="7"/>
  <c r="H1353" i="7"/>
  <c r="G1353" i="7"/>
  <c r="F1353" i="7"/>
  <c r="E1353" i="7"/>
  <c r="D1353" i="7"/>
  <c r="C1353" i="7"/>
  <c r="O1352" i="7"/>
  <c r="N1352" i="7"/>
  <c r="M1352" i="7"/>
  <c r="L1352" i="7"/>
  <c r="K1352" i="7"/>
  <c r="J1352" i="7"/>
  <c r="I1352" i="7"/>
  <c r="H1352" i="7"/>
  <c r="G1352" i="7"/>
  <c r="F1352" i="7"/>
  <c r="E1352" i="7"/>
  <c r="D1352" i="7"/>
  <c r="C1352" i="7"/>
  <c r="O1351" i="7"/>
  <c r="N1351" i="7"/>
  <c r="M1351" i="7"/>
  <c r="L1351" i="7"/>
  <c r="K1351" i="7"/>
  <c r="J1351" i="7"/>
  <c r="I1351" i="7"/>
  <c r="H1351" i="7"/>
  <c r="G1351" i="7"/>
  <c r="F1351" i="7"/>
  <c r="E1351" i="7"/>
  <c r="D1351" i="7"/>
  <c r="C1351" i="7"/>
  <c r="O1350" i="7"/>
  <c r="N1350" i="7"/>
  <c r="M1350" i="7"/>
  <c r="L1350" i="7"/>
  <c r="K1350" i="7"/>
  <c r="J1350" i="7"/>
  <c r="I1350" i="7"/>
  <c r="H1350" i="7"/>
  <c r="G1350" i="7"/>
  <c r="F1350" i="7"/>
  <c r="E1350" i="7"/>
  <c r="D1350" i="7"/>
  <c r="C1350" i="7"/>
  <c r="O1349" i="7"/>
  <c r="N1349" i="7"/>
  <c r="M1349" i="7"/>
  <c r="L1349" i="7"/>
  <c r="K1349" i="7"/>
  <c r="J1349" i="7"/>
  <c r="I1349" i="7"/>
  <c r="H1349" i="7"/>
  <c r="G1349" i="7"/>
  <c r="F1349" i="7"/>
  <c r="E1349" i="7"/>
  <c r="D1349" i="7"/>
  <c r="C1349" i="7"/>
  <c r="O1348" i="7"/>
  <c r="N1348" i="7"/>
  <c r="M1348" i="7"/>
  <c r="L1348" i="7"/>
  <c r="K1348" i="7"/>
  <c r="J1348" i="7"/>
  <c r="I1348" i="7"/>
  <c r="H1348" i="7"/>
  <c r="G1348" i="7"/>
  <c r="F1348" i="7"/>
  <c r="E1348" i="7"/>
  <c r="D1348" i="7"/>
  <c r="C1348" i="7"/>
  <c r="O1347" i="7"/>
  <c r="N1347" i="7"/>
  <c r="M1347" i="7"/>
  <c r="L1347" i="7"/>
  <c r="K1347" i="7"/>
  <c r="J1347" i="7"/>
  <c r="I1347" i="7"/>
  <c r="H1347" i="7"/>
  <c r="G1347" i="7"/>
  <c r="F1347" i="7"/>
  <c r="E1347" i="7"/>
  <c r="D1347" i="7"/>
  <c r="C1347" i="7"/>
  <c r="O1346" i="7"/>
  <c r="N1346" i="7"/>
  <c r="M1346" i="7"/>
  <c r="L1346" i="7"/>
  <c r="K1346" i="7"/>
  <c r="J1346" i="7"/>
  <c r="I1346" i="7"/>
  <c r="H1346" i="7"/>
  <c r="G1346" i="7"/>
  <c r="F1346" i="7"/>
  <c r="E1346" i="7"/>
  <c r="D1346" i="7"/>
  <c r="C1346" i="7"/>
  <c r="O1345" i="7"/>
  <c r="N1345" i="7"/>
  <c r="M1345" i="7"/>
  <c r="L1345" i="7"/>
  <c r="K1345" i="7"/>
  <c r="J1345" i="7"/>
  <c r="I1345" i="7"/>
  <c r="H1345" i="7"/>
  <c r="G1345" i="7"/>
  <c r="F1345" i="7"/>
  <c r="E1345" i="7"/>
  <c r="D1345" i="7"/>
  <c r="C1345" i="7"/>
  <c r="O1344" i="7"/>
  <c r="N1344" i="7"/>
  <c r="M1344" i="7"/>
  <c r="L1344" i="7"/>
  <c r="K1344" i="7"/>
  <c r="J1344" i="7"/>
  <c r="I1344" i="7"/>
  <c r="H1344" i="7"/>
  <c r="G1344" i="7"/>
  <c r="F1344" i="7"/>
  <c r="E1344" i="7"/>
  <c r="D1344" i="7"/>
  <c r="C1344" i="7"/>
  <c r="O1343" i="7"/>
  <c r="N1343" i="7"/>
  <c r="M1343" i="7"/>
  <c r="L1343" i="7"/>
  <c r="K1343" i="7"/>
  <c r="J1343" i="7"/>
  <c r="I1343" i="7"/>
  <c r="H1343" i="7"/>
  <c r="G1343" i="7"/>
  <c r="F1343" i="7"/>
  <c r="E1343" i="7"/>
  <c r="D1343" i="7"/>
  <c r="C1343" i="7"/>
  <c r="O1342" i="7"/>
  <c r="N1342" i="7"/>
  <c r="M1342" i="7"/>
  <c r="L1342" i="7"/>
  <c r="K1342" i="7"/>
  <c r="J1342" i="7"/>
  <c r="I1342" i="7"/>
  <c r="H1342" i="7"/>
  <c r="G1342" i="7"/>
  <c r="F1342" i="7"/>
  <c r="E1342" i="7"/>
  <c r="D1342" i="7"/>
  <c r="C1342" i="7"/>
  <c r="O1341" i="7"/>
  <c r="N1341" i="7"/>
  <c r="M1341" i="7"/>
  <c r="L1341" i="7"/>
  <c r="K1341" i="7"/>
  <c r="J1341" i="7"/>
  <c r="I1341" i="7"/>
  <c r="H1341" i="7"/>
  <c r="G1341" i="7"/>
  <c r="F1341" i="7"/>
  <c r="E1341" i="7"/>
  <c r="D1341" i="7"/>
  <c r="C1341" i="7"/>
  <c r="O1340" i="7"/>
  <c r="N1340" i="7"/>
  <c r="M1340" i="7"/>
  <c r="L1340" i="7"/>
  <c r="K1340" i="7"/>
  <c r="J1340" i="7"/>
  <c r="I1340" i="7"/>
  <c r="H1340" i="7"/>
  <c r="G1340" i="7"/>
  <c r="F1340" i="7"/>
  <c r="E1340" i="7"/>
  <c r="D1340" i="7"/>
  <c r="C1340" i="7"/>
  <c r="O1339" i="7"/>
  <c r="N1339" i="7"/>
  <c r="M1339" i="7"/>
  <c r="L1339" i="7"/>
  <c r="K1339" i="7"/>
  <c r="J1339" i="7"/>
  <c r="I1339" i="7"/>
  <c r="H1339" i="7"/>
  <c r="G1339" i="7"/>
  <c r="F1339" i="7"/>
  <c r="E1339" i="7"/>
  <c r="D1339" i="7"/>
  <c r="C1339" i="7"/>
  <c r="O1338" i="7"/>
  <c r="N1338" i="7"/>
  <c r="M1338" i="7"/>
  <c r="L1338" i="7"/>
  <c r="K1338" i="7"/>
  <c r="J1338" i="7"/>
  <c r="I1338" i="7"/>
  <c r="H1338" i="7"/>
  <c r="G1338" i="7"/>
  <c r="F1338" i="7"/>
  <c r="E1338" i="7"/>
  <c r="D1338" i="7"/>
  <c r="C1338" i="7"/>
  <c r="O1337" i="7"/>
  <c r="N1337" i="7"/>
  <c r="M1337" i="7"/>
  <c r="L1337" i="7"/>
  <c r="K1337" i="7"/>
  <c r="J1337" i="7"/>
  <c r="I1337" i="7"/>
  <c r="H1337" i="7"/>
  <c r="G1337" i="7"/>
  <c r="F1337" i="7"/>
  <c r="E1337" i="7"/>
  <c r="D1337" i="7"/>
  <c r="C1337" i="7"/>
  <c r="O1336" i="7"/>
  <c r="N1336" i="7"/>
  <c r="M1336" i="7"/>
  <c r="L1336" i="7"/>
  <c r="K1336" i="7"/>
  <c r="J1336" i="7"/>
  <c r="I1336" i="7"/>
  <c r="H1336" i="7"/>
  <c r="G1336" i="7"/>
  <c r="F1336" i="7"/>
  <c r="E1336" i="7"/>
  <c r="D1336" i="7"/>
  <c r="C1336" i="7"/>
  <c r="O1335" i="7"/>
  <c r="N1335" i="7"/>
  <c r="M1335" i="7"/>
  <c r="L1335" i="7"/>
  <c r="K1335" i="7"/>
  <c r="J1335" i="7"/>
  <c r="I1335" i="7"/>
  <c r="H1335" i="7"/>
  <c r="G1335" i="7"/>
  <c r="F1335" i="7"/>
  <c r="E1335" i="7"/>
  <c r="D1335" i="7"/>
  <c r="C1335" i="7"/>
  <c r="O1334" i="7"/>
  <c r="N1334" i="7"/>
  <c r="M1334" i="7"/>
  <c r="L1334" i="7"/>
  <c r="K1334" i="7"/>
  <c r="J1334" i="7"/>
  <c r="I1334" i="7"/>
  <c r="H1334" i="7"/>
  <c r="G1334" i="7"/>
  <c r="F1334" i="7"/>
  <c r="E1334" i="7"/>
  <c r="D1334" i="7"/>
  <c r="C1334" i="7"/>
  <c r="O1333" i="7"/>
  <c r="N1333" i="7"/>
  <c r="M1333" i="7"/>
  <c r="L1333" i="7"/>
  <c r="K1333" i="7"/>
  <c r="J1333" i="7"/>
  <c r="I1333" i="7"/>
  <c r="H1333" i="7"/>
  <c r="G1333" i="7"/>
  <c r="F1333" i="7"/>
  <c r="E1333" i="7"/>
  <c r="D1333" i="7"/>
  <c r="C1333" i="7"/>
  <c r="O1332" i="7"/>
  <c r="N1332" i="7"/>
  <c r="M1332" i="7"/>
  <c r="L1332" i="7"/>
  <c r="K1332" i="7"/>
  <c r="J1332" i="7"/>
  <c r="I1332" i="7"/>
  <c r="H1332" i="7"/>
  <c r="G1332" i="7"/>
  <c r="F1332" i="7"/>
  <c r="E1332" i="7"/>
  <c r="D1332" i="7"/>
  <c r="C1332" i="7"/>
  <c r="O1331" i="7"/>
  <c r="N1331" i="7"/>
  <c r="M1331" i="7"/>
  <c r="L1331" i="7"/>
  <c r="K1331" i="7"/>
  <c r="J1331" i="7"/>
  <c r="I1331" i="7"/>
  <c r="H1331" i="7"/>
  <c r="G1331" i="7"/>
  <c r="F1331" i="7"/>
  <c r="E1331" i="7"/>
  <c r="D1331" i="7"/>
  <c r="C1331" i="7"/>
  <c r="O1330" i="7"/>
  <c r="N1330" i="7"/>
  <c r="M1330" i="7"/>
  <c r="L1330" i="7"/>
  <c r="K1330" i="7"/>
  <c r="J1330" i="7"/>
  <c r="I1330" i="7"/>
  <c r="H1330" i="7"/>
  <c r="G1330" i="7"/>
  <c r="F1330" i="7"/>
  <c r="E1330" i="7"/>
  <c r="D1330" i="7"/>
  <c r="C1330" i="7"/>
  <c r="O1329" i="7"/>
  <c r="N1329" i="7"/>
  <c r="M1329" i="7"/>
  <c r="L1329" i="7"/>
  <c r="K1329" i="7"/>
  <c r="J1329" i="7"/>
  <c r="I1329" i="7"/>
  <c r="H1329" i="7"/>
  <c r="G1329" i="7"/>
  <c r="F1329" i="7"/>
  <c r="E1329" i="7"/>
  <c r="D1329" i="7"/>
  <c r="C1329" i="7"/>
  <c r="O1328" i="7"/>
  <c r="N1328" i="7"/>
  <c r="M1328" i="7"/>
  <c r="L1328" i="7"/>
  <c r="K1328" i="7"/>
  <c r="J1328" i="7"/>
  <c r="I1328" i="7"/>
  <c r="H1328" i="7"/>
  <c r="G1328" i="7"/>
  <c r="F1328" i="7"/>
  <c r="E1328" i="7"/>
  <c r="D1328" i="7"/>
  <c r="C1328" i="7"/>
  <c r="O1327" i="7"/>
  <c r="N1327" i="7"/>
  <c r="M1327" i="7"/>
  <c r="L1327" i="7"/>
  <c r="K1327" i="7"/>
  <c r="J1327" i="7"/>
  <c r="I1327" i="7"/>
  <c r="H1327" i="7"/>
  <c r="G1327" i="7"/>
  <c r="F1327" i="7"/>
  <c r="E1327" i="7"/>
  <c r="D1327" i="7"/>
  <c r="C1327" i="7"/>
  <c r="O1326" i="7"/>
  <c r="N1326" i="7"/>
  <c r="M1326" i="7"/>
  <c r="L1326" i="7"/>
  <c r="K1326" i="7"/>
  <c r="J1326" i="7"/>
  <c r="I1326" i="7"/>
  <c r="H1326" i="7"/>
  <c r="G1326" i="7"/>
  <c r="F1326" i="7"/>
  <c r="E1326" i="7"/>
  <c r="D1326" i="7"/>
  <c r="C1326" i="7"/>
  <c r="O1325" i="7"/>
  <c r="N1325" i="7"/>
  <c r="M1325" i="7"/>
  <c r="L1325" i="7"/>
  <c r="K1325" i="7"/>
  <c r="J1325" i="7"/>
  <c r="I1325" i="7"/>
  <c r="H1325" i="7"/>
  <c r="G1325" i="7"/>
  <c r="F1325" i="7"/>
  <c r="E1325" i="7"/>
  <c r="D1325" i="7"/>
  <c r="C1325" i="7"/>
  <c r="O1324" i="7"/>
  <c r="N1324" i="7"/>
  <c r="M1324" i="7"/>
  <c r="L1324" i="7"/>
  <c r="K1324" i="7"/>
  <c r="J1324" i="7"/>
  <c r="I1324" i="7"/>
  <c r="H1324" i="7"/>
  <c r="G1324" i="7"/>
  <c r="F1324" i="7"/>
  <c r="E1324" i="7"/>
  <c r="D1324" i="7"/>
  <c r="C1324" i="7"/>
  <c r="O1323" i="7"/>
  <c r="N1323" i="7"/>
  <c r="M1323" i="7"/>
  <c r="L1323" i="7"/>
  <c r="K1323" i="7"/>
  <c r="J1323" i="7"/>
  <c r="I1323" i="7"/>
  <c r="H1323" i="7"/>
  <c r="G1323" i="7"/>
  <c r="F1323" i="7"/>
  <c r="E1323" i="7"/>
  <c r="D1323" i="7"/>
  <c r="C1323" i="7"/>
  <c r="O1322" i="7"/>
  <c r="N1322" i="7"/>
  <c r="M1322" i="7"/>
  <c r="L1322" i="7"/>
  <c r="K1322" i="7"/>
  <c r="J1322" i="7"/>
  <c r="I1322" i="7"/>
  <c r="H1322" i="7"/>
  <c r="G1322" i="7"/>
  <c r="F1322" i="7"/>
  <c r="E1322" i="7"/>
  <c r="D1322" i="7"/>
  <c r="C1322" i="7"/>
  <c r="O1321" i="7"/>
  <c r="N1321" i="7"/>
  <c r="M1321" i="7"/>
  <c r="L1321" i="7"/>
  <c r="K1321" i="7"/>
  <c r="J1321" i="7"/>
  <c r="I1321" i="7"/>
  <c r="H1321" i="7"/>
  <c r="G1321" i="7"/>
  <c r="F1321" i="7"/>
  <c r="E1321" i="7"/>
  <c r="D1321" i="7"/>
  <c r="C1321" i="7"/>
  <c r="O1320" i="7"/>
  <c r="N1320" i="7"/>
  <c r="M1320" i="7"/>
  <c r="L1320" i="7"/>
  <c r="K1320" i="7"/>
  <c r="J1320" i="7"/>
  <c r="I1320" i="7"/>
  <c r="H1320" i="7"/>
  <c r="G1320" i="7"/>
  <c r="F1320" i="7"/>
  <c r="E1320" i="7"/>
  <c r="D1320" i="7"/>
  <c r="C1320" i="7"/>
  <c r="O1319" i="7"/>
  <c r="N1319" i="7"/>
  <c r="M1319" i="7"/>
  <c r="L1319" i="7"/>
  <c r="K1319" i="7"/>
  <c r="J1319" i="7"/>
  <c r="I1319" i="7"/>
  <c r="H1319" i="7"/>
  <c r="G1319" i="7"/>
  <c r="F1319" i="7"/>
  <c r="E1319" i="7"/>
  <c r="D1319" i="7"/>
  <c r="C1319" i="7"/>
  <c r="O1318" i="7"/>
  <c r="N1318" i="7"/>
  <c r="M1318" i="7"/>
  <c r="L1318" i="7"/>
  <c r="K1318" i="7"/>
  <c r="J1318" i="7"/>
  <c r="I1318" i="7"/>
  <c r="H1318" i="7"/>
  <c r="G1318" i="7"/>
  <c r="F1318" i="7"/>
  <c r="E1318" i="7"/>
  <c r="D1318" i="7"/>
  <c r="C1318" i="7"/>
  <c r="O1317" i="7"/>
  <c r="N1317" i="7"/>
  <c r="M1317" i="7"/>
  <c r="L1317" i="7"/>
  <c r="K1317" i="7"/>
  <c r="J1317" i="7"/>
  <c r="I1317" i="7"/>
  <c r="H1317" i="7"/>
  <c r="G1317" i="7"/>
  <c r="F1317" i="7"/>
  <c r="E1317" i="7"/>
  <c r="D1317" i="7"/>
  <c r="C1317" i="7"/>
  <c r="O1316" i="7"/>
  <c r="N1316" i="7"/>
  <c r="M1316" i="7"/>
  <c r="L1316" i="7"/>
  <c r="K1316" i="7"/>
  <c r="J1316" i="7"/>
  <c r="I1316" i="7"/>
  <c r="H1316" i="7"/>
  <c r="G1316" i="7"/>
  <c r="F1316" i="7"/>
  <c r="E1316" i="7"/>
  <c r="D1316" i="7"/>
  <c r="C1316" i="7"/>
  <c r="O1315" i="7"/>
  <c r="N1315" i="7"/>
  <c r="M1315" i="7"/>
  <c r="L1315" i="7"/>
  <c r="K1315" i="7"/>
  <c r="J1315" i="7"/>
  <c r="I1315" i="7"/>
  <c r="H1315" i="7"/>
  <c r="G1315" i="7"/>
  <c r="F1315" i="7"/>
  <c r="E1315" i="7"/>
  <c r="D1315" i="7"/>
  <c r="C1315" i="7"/>
  <c r="O1314" i="7"/>
  <c r="N1314" i="7"/>
  <c r="M1314" i="7"/>
  <c r="L1314" i="7"/>
  <c r="K1314" i="7"/>
  <c r="J1314" i="7"/>
  <c r="I1314" i="7"/>
  <c r="H1314" i="7"/>
  <c r="G1314" i="7"/>
  <c r="F1314" i="7"/>
  <c r="E1314" i="7"/>
  <c r="D1314" i="7"/>
  <c r="C1314" i="7"/>
  <c r="O1313" i="7"/>
  <c r="N1313" i="7"/>
  <c r="M1313" i="7"/>
  <c r="L1313" i="7"/>
  <c r="K1313" i="7"/>
  <c r="J1313" i="7"/>
  <c r="I1313" i="7"/>
  <c r="H1313" i="7"/>
  <c r="G1313" i="7"/>
  <c r="F1313" i="7"/>
  <c r="E1313" i="7"/>
  <c r="D1313" i="7"/>
  <c r="C1313" i="7"/>
  <c r="O1312" i="7"/>
  <c r="N1312" i="7"/>
  <c r="M1312" i="7"/>
  <c r="L1312" i="7"/>
  <c r="K1312" i="7"/>
  <c r="J1312" i="7"/>
  <c r="I1312" i="7"/>
  <c r="H1312" i="7"/>
  <c r="G1312" i="7"/>
  <c r="F1312" i="7"/>
  <c r="E1312" i="7"/>
  <c r="D1312" i="7"/>
  <c r="C1312" i="7"/>
  <c r="O1311" i="7"/>
  <c r="N1311" i="7"/>
  <c r="M1311" i="7"/>
  <c r="L1311" i="7"/>
  <c r="K1311" i="7"/>
  <c r="J1311" i="7"/>
  <c r="I1311" i="7"/>
  <c r="H1311" i="7"/>
  <c r="G1311" i="7"/>
  <c r="F1311" i="7"/>
  <c r="E1311" i="7"/>
  <c r="D1311" i="7"/>
  <c r="C1311" i="7"/>
  <c r="O1310" i="7"/>
  <c r="N1310" i="7"/>
  <c r="M1310" i="7"/>
  <c r="L1310" i="7"/>
  <c r="K1310" i="7"/>
  <c r="J1310" i="7"/>
  <c r="I1310" i="7"/>
  <c r="H1310" i="7"/>
  <c r="G1310" i="7"/>
  <c r="F1310" i="7"/>
  <c r="E1310" i="7"/>
  <c r="D1310" i="7"/>
  <c r="C1310" i="7"/>
  <c r="O1309" i="7"/>
  <c r="N1309" i="7"/>
  <c r="M1309" i="7"/>
  <c r="L1309" i="7"/>
  <c r="K1309" i="7"/>
  <c r="J1309" i="7"/>
  <c r="I1309" i="7"/>
  <c r="H1309" i="7"/>
  <c r="G1309" i="7"/>
  <c r="F1309" i="7"/>
  <c r="E1309" i="7"/>
  <c r="D1309" i="7"/>
  <c r="C1309" i="7"/>
  <c r="O1308" i="7"/>
  <c r="N1308" i="7"/>
  <c r="M1308" i="7"/>
  <c r="L1308" i="7"/>
  <c r="K1308" i="7"/>
  <c r="J1308" i="7"/>
  <c r="I1308" i="7"/>
  <c r="H1308" i="7"/>
  <c r="G1308" i="7"/>
  <c r="F1308" i="7"/>
  <c r="E1308" i="7"/>
  <c r="D1308" i="7"/>
  <c r="C1308" i="7"/>
  <c r="O1307" i="7"/>
  <c r="N1307" i="7"/>
  <c r="M1307" i="7"/>
  <c r="L1307" i="7"/>
  <c r="K1307" i="7"/>
  <c r="J1307" i="7"/>
  <c r="I1307" i="7"/>
  <c r="H1307" i="7"/>
  <c r="G1307" i="7"/>
  <c r="F1307" i="7"/>
  <c r="E1307" i="7"/>
  <c r="D1307" i="7"/>
  <c r="C1307" i="7"/>
  <c r="O1306" i="7"/>
  <c r="N1306" i="7"/>
  <c r="M1306" i="7"/>
  <c r="L1306" i="7"/>
  <c r="K1306" i="7"/>
  <c r="J1306" i="7"/>
  <c r="I1306" i="7"/>
  <c r="H1306" i="7"/>
  <c r="G1306" i="7"/>
  <c r="F1306" i="7"/>
  <c r="E1306" i="7"/>
  <c r="D1306" i="7"/>
  <c r="C1306" i="7"/>
  <c r="O1305" i="7"/>
  <c r="N1305" i="7"/>
  <c r="M1305" i="7"/>
  <c r="L1305" i="7"/>
  <c r="K1305" i="7"/>
  <c r="J1305" i="7"/>
  <c r="I1305" i="7"/>
  <c r="H1305" i="7"/>
  <c r="G1305" i="7"/>
  <c r="F1305" i="7"/>
  <c r="E1305" i="7"/>
  <c r="D1305" i="7"/>
  <c r="C1305" i="7"/>
  <c r="O1304" i="7"/>
  <c r="N1304" i="7"/>
  <c r="M1304" i="7"/>
  <c r="L1304" i="7"/>
  <c r="K1304" i="7"/>
  <c r="J1304" i="7"/>
  <c r="I1304" i="7"/>
  <c r="H1304" i="7"/>
  <c r="G1304" i="7"/>
  <c r="F1304" i="7"/>
  <c r="E1304" i="7"/>
  <c r="D1304" i="7"/>
  <c r="C1304" i="7"/>
  <c r="O1303" i="7"/>
  <c r="N1303" i="7"/>
  <c r="M1303" i="7"/>
  <c r="L1303" i="7"/>
  <c r="K1303" i="7"/>
  <c r="J1303" i="7"/>
  <c r="I1303" i="7"/>
  <c r="H1303" i="7"/>
  <c r="G1303" i="7"/>
  <c r="F1303" i="7"/>
  <c r="E1303" i="7"/>
  <c r="D1303" i="7"/>
  <c r="C1303" i="7"/>
  <c r="O1302" i="7"/>
  <c r="N1302" i="7"/>
  <c r="M1302" i="7"/>
  <c r="L1302" i="7"/>
  <c r="K1302" i="7"/>
  <c r="J1302" i="7"/>
  <c r="I1302" i="7"/>
  <c r="H1302" i="7"/>
  <c r="G1302" i="7"/>
  <c r="F1302" i="7"/>
  <c r="E1302" i="7"/>
  <c r="D1302" i="7"/>
  <c r="C1302" i="7"/>
  <c r="O1301" i="7"/>
  <c r="N1301" i="7"/>
  <c r="M1301" i="7"/>
  <c r="L1301" i="7"/>
  <c r="K1301" i="7"/>
  <c r="J1301" i="7"/>
  <c r="I1301" i="7"/>
  <c r="H1301" i="7"/>
  <c r="G1301" i="7"/>
  <c r="F1301" i="7"/>
  <c r="E1301" i="7"/>
  <c r="D1301" i="7"/>
  <c r="C1301" i="7"/>
  <c r="O1300" i="7"/>
  <c r="N1300" i="7"/>
  <c r="M1300" i="7"/>
  <c r="L1300" i="7"/>
  <c r="K1300" i="7"/>
  <c r="J1300" i="7"/>
  <c r="I1300" i="7"/>
  <c r="H1300" i="7"/>
  <c r="G1300" i="7"/>
  <c r="F1300" i="7"/>
  <c r="E1300" i="7"/>
  <c r="D1300" i="7"/>
  <c r="C1300" i="7"/>
  <c r="O1299" i="7"/>
  <c r="N1299" i="7"/>
  <c r="M1299" i="7"/>
  <c r="L1299" i="7"/>
  <c r="K1299" i="7"/>
  <c r="J1299" i="7"/>
  <c r="I1299" i="7"/>
  <c r="H1299" i="7"/>
  <c r="G1299" i="7"/>
  <c r="F1299" i="7"/>
  <c r="E1299" i="7"/>
  <c r="D1299" i="7"/>
  <c r="C1299" i="7"/>
  <c r="O1298" i="7"/>
  <c r="N1298" i="7"/>
  <c r="M1298" i="7"/>
  <c r="L1298" i="7"/>
  <c r="K1298" i="7"/>
  <c r="J1298" i="7"/>
  <c r="I1298" i="7"/>
  <c r="H1298" i="7"/>
  <c r="G1298" i="7"/>
  <c r="F1298" i="7"/>
  <c r="E1298" i="7"/>
  <c r="D1298" i="7"/>
  <c r="C1298" i="7"/>
  <c r="O1297" i="7"/>
  <c r="N1297" i="7"/>
  <c r="M1297" i="7"/>
  <c r="L1297" i="7"/>
  <c r="K1297" i="7"/>
  <c r="J1297" i="7"/>
  <c r="I1297" i="7"/>
  <c r="H1297" i="7"/>
  <c r="G1297" i="7"/>
  <c r="F1297" i="7"/>
  <c r="E1297" i="7"/>
  <c r="D1297" i="7"/>
  <c r="C1297" i="7"/>
  <c r="O1296" i="7"/>
  <c r="N1296" i="7"/>
  <c r="M1296" i="7"/>
  <c r="L1296" i="7"/>
  <c r="K1296" i="7"/>
  <c r="J1296" i="7"/>
  <c r="I1296" i="7"/>
  <c r="H1296" i="7"/>
  <c r="G1296" i="7"/>
  <c r="F1296" i="7"/>
  <c r="E1296" i="7"/>
  <c r="D1296" i="7"/>
  <c r="C1296" i="7"/>
  <c r="O1295" i="7"/>
  <c r="N1295" i="7"/>
  <c r="M1295" i="7"/>
  <c r="L1295" i="7"/>
  <c r="K1295" i="7"/>
  <c r="J1295" i="7"/>
  <c r="I1295" i="7"/>
  <c r="H1295" i="7"/>
  <c r="G1295" i="7"/>
  <c r="F1295" i="7"/>
  <c r="E1295" i="7"/>
  <c r="D1295" i="7"/>
  <c r="C1295" i="7"/>
  <c r="O1294" i="7"/>
  <c r="N1294" i="7"/>
  <c r="M1294" i="7"/>
  <c r="L1294" i="7"/>
  <c r="K1294" i="7"/>
  <c r="J1294" i="7"/>
  <c r="I1294" i="7"/>
  <c r="H1294" i="7"/>
  <c r="G1294" i="7"/>
  <c r="F1294" i="7"/>
  <c r="E1294" i="7"/>
  <c r="D1294" i="7"/>
  <c r="C1294" i="7"/>
  <c r="O1293" i="7"/>
  <c r="N1293" i="7"/>
  <c r="M1293" i="7"/>
  <c r="L1293" i="7"/>
  <c r="K1293" i="7"/>
  <c r="J1293" i="7"/>
  <c r="I1293" i="7"/>
  <c r="H1293" i="7"/>
  <c r="G1293" i="7"/>
  <c r="F1293" i="7"/>
  <c r="E1293" i="7"/>
  <c r="D1293" i="7"/>
  <c r="C1293" i="7"/>
  <c r="O1288" i="7"/>
  <c r="N1288" i="7"/>
  <c r="M1288" i="7"/>
  <c r="L1288" i="7"/>
  <c r="K1288" i="7"/>
  <c r="J1288" i="7"/>
  <c r="I1288" i="7"/>
  <c r="H1288" i="7"/>
  <c r="G1288" i="7"/>
  <c r="F1288" i="7"/>
  <c r="E1288" i="7"/>
  <c r="D1288" i="7"/>
  <c r="C1288" i="7"/>
  <c r="C1287" i="7"/>
  <c r="C1286" i="7"/>
  <c r="C1285" i="7"/>
  <c r="O1284" i="7"/>
  <c r="N1284" i="7"/>
  <c r="M1284" i="7"/>
  <c r="L1284" i="7"/>
  <c r="K1284" i="7"/>
  <c r="J1284" i="7"/>
  <c r="I1284" i="7"/>
  <c r="G1284" i="7"/>
  <c r="F1284" i="7"/>
  <c r="E1284" i="7"/>
  <c r="D1284" i="7"/>
  <c r="C1284" i="7"/>
  <c r="O1283" i="7"/>
  <c r="N1283" i="7"/>
  <c r="M1283" i="7"/>
  <c r="L1283" i="7"/>
  <c r="K1283" i="7"/>
  <c r="J1283" i="7"/>
  <c r="I1283" i="7"/>
  <c r="H1283" i="7"/>
  <c r="G1283" i="7"/>
  <c r="F1283" i="7"/>
  <c r="E1283" i="7"/>
  <c r="D1283" i="7"/>
  <c r="C1283" i="7"/>
  <c r="O1282" i="7"/>
  <c r="N1282" i="7"/>
  <c r="M1282" i="7"/>
  <c r="L1282" i="7"/>
  <c r="K1282" i="7"/>
  <c r="J1282" i="7"/>
  <c r="I1282" i="7"/>
  <c r="H1282" i="7"/>
  <c r="G1282" i="7"/>
  <c r="F1282" i="7"/>
  <c r="E1282" i="7"/>
  <c r="D1282" i="7"/>
  <c r="C1282" i="7"/>
  <c r="O1281" i="7"/>
  <c r="N1281" i="7"/>
  <c r="M1281" i="7"/>
  <c r="L1281" i="7"/>
  <c r="K1281" i="7"/>
  <c r="J1281" i="7"/>
  <c r="I1281" i="7"/>
  <c r="H1281" i="7"/>
  <c r="G1281" i="7"/>
  <c r="F1281" i="7"/>
  <c r="E1281" i="7"/>
  <c r="D1281" i="7"/>
  <c r="C1281" i="7"/>
  <c r="O1280" i="7"/>
  <c r="N1280" i="7"/>
  <c r="M1280" i="7"/>
  <c r="L1280" i="7"/>
  <c r="K1280" i="7"/>
  <c r="J1280" i="7"/>
  <c r="I1280" i="7"/>
  <c r="H1280" i="7"/>
  <c r="G1280" i="7"/>
  <c r="F1280" i="7"/>
  <c r="E1280" i="7"/>
  <c r="D1280" i="7"/>
  <c r="C1280" i="7"/>
  <c r="O1279" i="7"/>
  <c r="N1279" i="7"/>
  <c r="M1279" i="7"/>
  <c r="L1279" i="7"/>
  <c r="K1279" i="7"/>
  <c r="J1279" i="7"/>
  <c r="I1279" i="7"/>
  <c r="H1279" i="7"/>
  <c r="G1279" i="7"/>
  <c r="F1279" i="7"/>
  <c r="E1279" i="7"/>
  <c r="D1279" i="7"/>
  <c r="C1279" i="7"/>
  <c r="O1278" i="7"/>
  <c r="N1278" i="7"/>
  <c r="M1278" i="7"/>
  <c r="L1278" i="7"/>
  <c r="K1278" i="7"/>
  <c r="J1278" i="7"/>
  <c r="I1278" i="7"/>
  <c r="H1278" i="7"/>
  <c r="G1278" i="7"/>
  <c r="F1278" i="7"/>
  <c r="E1278" i="7"/>
  <c r="D1278" i="7"/>
  <c r="C1278" i="7"/>
  <c r="O1277" i="7"/>
  <c r="N1277" i="7"/>
  <c r="M1277" i="7"/>
  <c r="L1277" i="7"/>
  <c r="K1277" i="7"/>
  <c r="J1277" i="7"/>
  <c r="I1277" i="7"/>
  <c r="H1277" i="7"/>
  <c r="G1277" i="7"/>
  <c r="F1277" i="7"/>
  <c r="E1277" i="7"/>
  <c r="D1277" i="7"/>
  <c r="C1277" i="7"/>
  <c r="O1276" i="7"/>
  <c r="N1276" i="7"/>
  <c r="M1276" i="7"/>
  <c r="L1276" i="7"/>
  <c r="K1276" i="7"/>
  <c r="J1276" i="7"/>
  <c r="I1276" i="7"/>
  <c r="H1276" i="7"/>
  <c r="G1276" i="7"/>
  <c r="F1276" i="7"/>
  <c r="E1276" i="7"/>
  <c r="D1276" i="7"/>
  <c r="C1276" i="7"/>
  <c r="O1275" i="7"/>
  <c r="N1275" i="7"/>
  <c r="M1275" i="7"/>
  <c r="L1275" i="7"/>
  <c r="K1275" i="7"/>
  <c r="J1275" i="7"/>
  <c r="I1275" i="7"/>
  <c r="H1275" i="7"/>
  <c r="G1275" i="7"/>
  <c r="F1275" i="7"/>
  <c r="E1275" i="7"/>
  <c r="D1275" i="7"/>
  <c r="C1275" i="7"/>
  <c r="O1274" i="7"/>
  <c r="N1274" i="7"/>
  <c r="M1274" i="7"/>
  <c r="L1274" i="7"/>
  <c r="K1274" i="7"/>
  <c r="J1274" i="7"/>
  <c r="I1274" i="7"/>
  <c r="H1274" i="7"/>
  <c r="G1274" i="7"/>
  <c r="F1274" i="7"/>
  <c r="E1274" i="7"/>
  <c r="D1274" i="7"/>
  <c r="C1274" i="7"/>
  <c r="O1273" i="7"/>
  <c r="N1273" i="7"/>
  <c r="M1273" i="7"/>
  <c r="L1273" i="7"/>
  <c r="K1273" i="7"/>
  <c r="J1273" i="7"/>
  <c r="I1273" i="7"/>
  <c r="H1273" i="7"/>
  <c r="G1273" i="7"/>
  <c r="F1273" i="7"/>
  <c r="E1273" i="7"/>
  <c r="D1273" i="7"/>
  <c r="C1273" i="7"/>
  <c r="O1272" i="7"/>
  <c r="N1272" i="7"/>
  <c r="M1272" i="7"/>
  <c r="L1272" i="7"/>
  <c r="K1272" i="7"/>
  <c r="J1272" i="7"/>
  <c r="I1272" i="7"/>
  <c r="H1272" i="7"/>
  <c r="G1272" i="7"/>
  <c r="F1272" i="7"/>
  <c r="E1272" i="7"/>
  <c r="D1272" i="7"/>
  <c r="C1272" i="7"/>
  <c r="O1271" i="7"/>
  <c r="N1271" i="7"/>
  <c r="M1271" i="7"/>
  <c r="L1271" i="7"/>
  <c r="K1271" i="7"/>
  <c r="J1271" i="7"/>
  <c r="I1271" i="7"/>
  <c r="H1271" i="7"/>
  <c r="G1271" i="7"/>
  <c r="F1271" i="7"/>
  <c r="E1271" i="7"/>
  <c r="D1271" i="7"/>
  <c r="C1271" i="7"/>
  <c r="O1270" i="7"/>
  <c r="N1270" i="7"/>
  <c r="M1270" i="7"/>
  <c r="L1270" i="7"/>
  <c r="K1270" i="7"/>
  <c r="J1270" i="7"/>
  <c r="I1270" i="7"/>
  <c r="H1270" i="7"/>
  <c r="G1270" i="7"/>
  <c r="F1270" i="7"/>
  <c r="E1270" i="7"/>
  <c r="D1270" i="7"/>
  <c r="C1270" i="7"/>
  <c r="O1269" i="7"/>
  <c r="N1269" i="7"/>
  <c r="M1269" i="7"/>
  <c r="L1269" i="7"/>
  <c r="K1269" i="7"/>
  <c r="J1269" i="7"/>
  <c r="I1269" i="7"/>
  <c r="H1269" i="7"/>
  <c r="G1269" i="7"/>
  <c r="F1269" i="7"/>
  <c r="E1269" i="7"/>
  <c r="D1269" i="7"/>
  <c r="C1269" i="7"/>
  <c r="O1268" i="7"/>
  <c r="N1268" i="7"/>
  <c r="M1268" i="7"/>
  <c r="L1268" i="7"/>
  <c r="K1268" i="7"/>
  <c r="J1268" i="7"/>
  <c r="I1268" i="7"/>
  <c r="H1268" i="7"/>
  <c r="G1268" i="7"/>
  <c r="F1268" i="7"/>
  <c r="E1268" i="7"/>
  <c r="D1268" i="7"/>
  <c r="C1268" i="7"/>
  <c r="O1267" i="7"/>
  <c r="N1267" i="7"/>
  <c r="M1267" i="7"/>
  <c r="L1267" i="7"/>
  <c r="K1267" i="7"/>
  <c r="J1267" i="7"/>
  <c r="I1267" i="7"/>
  <c r="H1267" i="7"/>
  <c r="G1267" i="7"/>
  <c r="F1267" i="7"/>
  <c r="E1267" i="7"/>
  <c r="D1267" i="7"/>
  <c r="C1267" i="7"/>
  <c r="O1266" i="7"/>
  <c r="N1266" i="7"/>
  <c r="M1266" i="7"/>
  <c r="L1266" i="7"/>
  <c r="K1266" i="7"/>
  <c r="J1266" i="7"/>
  <c r="I1266" i="7"/>
  <c r="H1266" i="7"/>
  <c r="G1266" i="7"/>
  <c r="F1266" i="7"/>
  <c r="E1266" i="7"/>
  <c r="D1266" i="7"/>
  <c r="C1266" i="7"/>
  <c r="O1265" i="7"/>
  <c r="N1265" i="7"/>
  <c r="M1265" i="7"/>
  <c r="L1265" i="7"/>
  <c r="K1265" i="7"/>
  <c r="J1265" i="7"/>
  <c r="I1265" i="7"/>
  <c r="H1265" i="7"/>
  <c r="G1265" i="7"/>
  <c r="F1265" i="7"/>
  <c r="E1265" i="7"/>
  <c r="D1265" i="7"/>
  <c r="C1265" i="7"/>
  <c r="O1264" i="7"/>
  <c r="N1264" i="7"/>
  <c r="M1264" i="7"/>
  <c r="L1264" i="7"/>
  <c r="K1264" i="7"/>
  <c r="J1264" i="7"/>
  <c r="I1264" i="7"/>
  <c r="H1264" i="7"/>
  <c r="G1264" i="7"/>
  <c r="F1264" i="7"/>
  <c r="E1264" i="7"/>
  <c r="D1264" i="7"/>
  <c r="C1264" i="7"/>
  <c r="O1263" i="7"/>
  <c r="N1263" i="7"/>
  <c r="M1263" i="7"/>
  <c r="L1263" i="7"/>
  <c r="K1263" i="7"/>
  <c r="J1263" i="7"/>
  <c r="I1263" i="7"/>
  <c r="H1263" i="7"/>
  <c r="G1263" i="7"/>
  <c r="F1263" i="7"/>
  <c r="E1263" i="7"/>
  <c r="D1263" i="7"/>
  <c r="C1263" i="7"/>
  <c r="O1262" i="7"/>
  <c r="N1262" i="7"/>
  <c r="M1262" i="7"/>
  <c r="L1262" i="7"/>
  <c r="K1262" i="7"/>
  <c r="J1262" i="7"/>
  <c r="I1262" i="7"/>
  <c r="H1262" i="7"/>
  <c r="G1262" i="7"/>
  <c r="F1262" i="7"/>
  <c r="E1262" i="7"/>
  <c r="D1262" i="7"/>
  <c r="C1262" i="7"/>
  <c r="O1261" i="7"/>
  <c r="N1261" i="7"/>
  <c r="M1261" i="7"/>
  <c r="L1261" i="7"/>
  <c r="K1261" i="7"/>
  <c r="J1261" i="7"/>
  <c r="I1261" i="7"/>
  <c r="H1261" i="7"/>
  <c r="G1261" i="7"/>
  <c r="F1261" i="7"/>
  <c r="E1261" i="7"/>
  <c r="D1261" i="7"/>
  <c r="C1261" i="7"/>
  <c r="O1260" i="7"/>
  <c r="N1260" i="7"/>
  <c r="M1260" i="7"/>
  <c r="L1260" i="7"/>
  <c r="K1260" i="7"/>
  <c r="J1260" i="7"/>
  <c r="I1260" i="7"/>
  <c r="H1260" i="7"/>
  <c r="G1260" i="7"/>
  <c r="F1260" i="7"/>
  <c r="E1260" i="7"/>
  <c r="D1260" i="7"/>
  <c r="C1260" i="7"/>
  <c r="O1259" i="7"/>
  <c r="N1259" i="7"/>
  <c r="M1259" i="7"/>
  <c r="L1259" i="7"/>
  <c r="K1259" i="7"/>
  <c r="J1259" i="7"/>
  <c r="I1259" i="7"/>
  <c r="H1259" i="7"/>
  <c r="G1259" i="7"/>
  <c r="F1259" i="7"/>
  <c r="E1259" i="7"/>
  <c r="D1259" i="7"/>
  <c r="C1259" i="7"/>
  <c r="O1258" i="7"/>
  <c r="N1258" i="7"/>
  <c r="M1258" i="7"/>
  <c r="L1258" i="7"/>
  <c r="K1258" i="7"/>
  <c r="J1258" i="7"/>
  <c r="I1258" i="7"/>
  <c r="H1258" i="7"/>
  <c r="G1258" i="7"/>
  <c r="F1258" i="7"/>
  <c r="E1258" i="7"/>
  <c r="D1258" i="7"/>
  <c r="C1258" i="7"/>
  <c r="O1257" i="7"/>
  <c r="N1257" i="7"/>
  <c r="M1257" i="7"/>
  <c r="L1257" i="7"/>
  <c r="K1257" i="7"/>
  <c r="J1257" i="7"/>
  <c r="I1257" i="7"/>
  <c r="H1257" i="7"/>
  <c r="G1257" i="7"/>
  <c r="F1257" i="7"/>
  <c r="E1257" i="7"/>
  <c r="D1257" i="7"/>
  <c r="C1257" i="7"/>
  <c r="O1256" i="7"/>
  <c r="N1256" i="7"/>
  <c r="M1256" i="7"/>
  <c r="L1256" i="7"/>
  <c r="K1256" i="7"/>
  <c r="J1256" i="7"/>
  <c r="I1256" i="7"/>
  <c r="H1256" i="7"/>
  <c r="G1256" i="7"/>
  <c r="F1256" i="7"/>
  <c r="E1256" i="7"/>
  <c r="D1256" i="7"/>
  <c r="C1256" i="7"/>
  <c r="O1255" i="7"/>
  <c r="N1255" i="7"/>
  <c r="M1255" i="7"/>
  <c r="L1255" i="7"/>
  <c r="K1255" i="7"/>
  <c r="J1255" i="7"/>
  <c r="I1255" i="7"/>
  <c r="H1255" i="7"/>
  <c r="G1255" i="7"/>
  <c r="F1255" i="7"/>
  <c r="E1255" i="7"/>
  <c r="D1255" i="7"/>
  <c r="C1255" i="7"/>
  <c r="O1254" i="7"/>
  <c r="N1254" i="7"/>
  <c r="M1254" i="7"/>
  <c r="L1254" i="7"/>
  <c r="K1254" i="7"/>
  <c r="J1254" i="7"/>
  <c r="I1254" i="7"/>
  <c r="H1254" i="7"/>
  <c r="G1254" i="7"/>
  <c r="F1254" i="7"/>
  <c r="E1254" i="7"/>
  <c r="D1254" i="7"/>
  <c r="C1254" i="7"/>
  <c r="O1253" i="7"/>
  <c r="N1253" i="7"/>
  <c r="M1253" i="7"/>
  <c r="L1253" i="7"/>
  <c r="K1253" i="7"/>
  <c r="J1253" i="7"/>
  <c r="I1253" i="7"/>
  <c r="H1253" i="7"/>
  <c r="G1253" i="7"/>
  <c r="F1253" i="7"/>
  <c r="E1253" i="7"/>
  <c r="D1253" i="7"/>
  <c r="C1253" i="7"/>
  <c r="O1252" i="7"/>
  <c r="N1252" i="7"/>
  <c r="M1252" i="7"/>
  <c r="L1252" i="7"/>
  <c r="K1252" i="7"/>
  <c r="J1252" i="7"/>
  <c r="I1252" i="7"/>
  <c r="H1252" i="7"/>
  <c r="G1252" i="7"/>
  <c r="F1252" i="7"/>
  <c r="E1252" i="7"/>
  <c r="D1252" i="7"/>
  <c r="C1252" i="7"/>
  <c r="O1251" i="7"/>
  <c r="N1251" i="7"/>
  <c r="M1251" i="7"/>
  <c r="L1251" i="7"/>
  <c r="K1251" i="7"/>
  <c r="J1251" i="7"/>
  <c r="I1251" i="7"/>
  <c r="H1251" i="7"/>
  <c r="G1251" i="7"/>
  <c r="F1251" i="7"/>
  <c r="E1251" i="7"/>
  <c r="D1251" i="7"/>
  <c r="C1251" i="7"/>
  <c r="O1250" i="7"/>
  <c r="N1250" i="7"/>
  <c r="M1250" i="7"/>
  <c r="L1250" i="7"/>
  <c r="K1250" i="7"/>
  <c r="J1250" i="7"/>
  <c r="I1250" i="7"/>
  <c r="H1250" i="7"/>
  <c r="G1250" i="7"/>
  <c r="F1250" i="7"/>
  <c r="E1250" i="7"/>
  <c r="D1250" i="7"/>
  <c r="C1250" i="7"/>
  <c r="O1249" i="7"/>
  <c r="N1249" i="7"/>
  <c r="M1249" i="7"/>
  <c r="L1249" i="7"/>
  <c r="K1249" i="7"/>
  <c r="J1249" i="7"/>
  <c r="I1249" i="7"/>
  <c r="H1249" i="7"/>
  <c r="G1249" i="7"/>
  <c r="F1249" i="7"/>
  <c r="E1249" i="7"/>
  <c r="D1249" i="7"/>
  <c r="C1249" i="7"/>
  <c r="O1248" i="7"/>
  <c r="N1248" i="7"/>
  <c r="M1248" i="7"/>
  <c r="L1248" i="7"/>
  <c r="K1248" i="7"/>
  <c r="J1248" i="7"/>
  <c r="I1248" i="7"/>
  <c r="H1248" i="7"/>
  <c r="G1248" i="7"/>
  <c r="F1248" i="7"/>
  <c r="E1248" i="7"/>
  <c r="D1248" i="7"/>
  <c r="C1248" i="7"/>
  <c r="O1247" i="7"/>
  <c r="N1247" i="7"/>
  <c r="M1247" i="7"/>
  <c r="L1247" i="7"/>
  <c r="K1247" i="7"/>
  <c r="J1247" i="7"/>
  <c r="I1247" i="7"/>
  <c r="H1247" i="7"/>
  <c r="G1247" i="7"/>
  <c r="F1247" i="7"/>
  <c r="E1247" i="7"/>
  <c r="D1247" i="7"/>
  <c r="C1247" i="7"/>
  <c r="O1246" i="7"/>
  <c r="N1246" i="7"/>
  <c r="M1246" i="7"/>
  <c r="L1246" i="7"/>
  <c r="K1246" i="7"/>
  <c r="J1246" i="7"/>
  <c r="I1246" i="7"/>
  <c r="H1246" i="7"/>
  <c r="G1246" i="7"/>
  <c r="F1246" i="7"/>
  <c r="E1246" i="7"/>
  <c r="D1246" i="7"/>
  <c r="C1246" i="7"/>
  <c r="O1245" i="7"/>
  <c r="N1245" i="7"/>
  <c r="M1245" i="7"/>
  <c r="L1245" i="7"/>
  <c r="K1245" i="7"/>
  <c r="J1245" i="7"/>
  <c r="I1245" i="7"/>
  <c r="H1245" i="7"/>
  <c r="G1245" i="7"/>
  <c r="F1245" i="7"/>
  <c r="E1245" i="7"/>
  <c r="D1245" i="7"/>
  <c r="C1245" i="7"/>
  <c r="O1244" i="7"/>
  <c r="N1244" i="7"/>
  <c r="M1244" i="7"/>
  <c r="L1244" i="7"/>
  <c r="K1244" i="7"/>
  <c r="J1244" i="7"/>
  <c r="I1244" i="7"/>
  <c r="H1244" i="7"/>
  <c r="G1244" i="7"/>
  <c r="F1244" i="7"/>
  <c r="E1244" i="7"/>
  <c r="D1244" i="7"/>
  <c r="C1244" i="7"/>
  <c r="O1243" i="7"/>
  <c r="N1243" i="7"/>
  <c r="M1243" i="7"/>
  <c r="L1243" i="7"/>
  <c r="K1243" i="7"/>
  <c r="J1243" i="7"/>
  <c r="I1243" i="7"/>
  <c r="H1243" i="7"/>
  <c r="G1243" i="7"/>
  <c r="F1243" i="7"/>
  <c r="E1243" i="7"/>
  <c r="D1243" i="7"/>
  <c r="C1243" i="7"/>
  <c r="O1242" i="7"/>
  <c r="N1242" i="7"/>
  <c r="M1242" i="7"/>
  <c r="L1242" i="7"/>
  <c r="K1242" i="7"/>
  <c r="J1242" i="7"/>
  <c r="I1242" i="7"/>
  <c r="H1242" i="7"/>
  <c r="G1242" i="7"/>
  <c r="F1242" i="7"/>
  <c r="E1242" i="7"/>
  <c r="D1242" i="7"/>
  <c r="C1242" i="7"/>
  <c r="O1241" i="7"/>
  <c r="N1241" i="7"/>
  <c r="M1241" i="7"/>
  <c r="L1241" i="7"/>
  <c r="K1241" i="7"/>
  <c r="J1241" i="7"/>
  <c r="I1241" i="7"/>
  <c r="H1241" i="7"/>
  <c r="G1241" i="7"/>
  <c r="F1241" i="7"/>
  <c r="E1241" i="7"/>
  <c r="D1241" i="7"/>
  <c r="C1241" i="7"/>
  <c r="O1240" i="7"/>
  <c r="N1240" i="7"/>
  <c r="M1240" i="7"/>
  <c r="L1240" i="7"/>
  <c r="K1240" i="7"/>
  <c r="J1240" i="7"/>
  <c r="I1240" i="7"/>
  <c r="H1240" i="7"/>
  <c r="G1240" i="7"/>
  <c r="F1240" i="7"/>
  <c r="E1240" i="7"/>
  <c r="D1240" i="7"/>
  <c r="C1240" i="7"/>
  <c r="O1239" i="7"/>
  <c r="N1239" i="7"/>
  <c r="M1239" i="7"/>
  <c r="L1239" i="7"/>
  <c r="K1239" i="7"/>
  <c r="J1239" i="7"/>
  <c r="I1239" i="7"/>
  <c r="H1239" i="7"/>
  <c r="G1239" i="7"/>
  <c r="F1239" i="7"/>
  <c r="E1239" i="7"/>
  <c r="D1239" i="7"/>
  <c r="C1239" i="7"/>
  <c r="O1238" i="7"/>
  <c r="N1238" i="7"/>
  <c r="M1238" i="7"/>
  <c r="L1238" i="7"/>
  <c r="K1238" i="7"/>
  <c r="J1238" i="7"/>
  <c r="I1238" i="7"/>
  <c r="H1238" i="7"/>
  <c r="G1238" i="7"/>
  <c r="F1238" i="7"/>
  <c r="E1238" i="7"/>
  <c r="D1238" i="7"/>
  <c r="C1238" i="7"/>
  <c r="O1237" i="7"/>
  <c r="N1237" i="7"/>
  <c r="M1237" i="7"/>
  <c r="L1237" i="7"/>
  <c r="K1237" i="7"/>
  <c r="J1237" i="7"/>
  <c r="I1237" i="7"/>
  <c r="H1237" i="7"/>
  <c r="G1237" i="7"/>
  <c r="F1237" i="7"/>
  <c r="E1237" i="7"/>
  <c r="D1237" i="7"/>
  <c r="C1237" i="7"/>
  <c r="O1236" i="7"/>
  <c r="N1236" i="7"/>
  <c r="M1236" i="7"/>
  <c r="L1236" i="7"/>
  <c r="K1236" i="7"/>
  <c r="J1236" i="7"/>
  <c r="I1236" i="7"/>
  <c r="H1236" i="7"/>
  <c r="G1236" i="7"/>
  <c r="F1236" i="7"/>
  <c r="E1236" i="7"/>
  <c r="D1236" i="7"/>
  <c r="C1236" i="7"/>
  <c r="O1235" i="7"/>
  <c r="N1235" i="7"/>
  <c r="M1235" i="7"/>
  <c r="L1235" i="7"/>
  <c r="K1235" i="7"/>
  <c r="J1235" i="7"/>
  <c r="I1235" i="7"/>
  <c r="H1235" i="7"/>
  <c r="G1235" i="7"/>
  <c r="F1235" i="7"/>
  <c r="E1235" i="7"/>
  <c r="D1235" i="7"/>
  <c r="C1235" i="7"/>
  <c r="O1234" i="7"/>
  <c r="N1234" i="7"/>
  <c r="M1234" i="7"/>
  <c r="L1234" i="7"/>
  <c r="K1234" i="7"/>
  <c r="J1234" i="7"/>
  <c r="I1234" i="7"/>
  <c r="H1234" i="7"/>
  <c r="G1234" i="7"/>
  <c r="F1234" i="7"/>
  <c r="E1234" i="7"/>
  <c r="D1234" i="7"/>
  <c r="C1234" i="7"/>
  <c r="O1233" i="7"/>
  <c r="N1233" i="7"/>
  <c r="M1233" i="7"/>
  <c r="L1233" i="7"/>
  <c r="K1233" i="7"/>
  <c r="J1233" i="7"/>
  <c r="I1233" i="7"/>
  <c r="H1233" i="7"/>
  <c r="G1233" i="7"/>
  <c r="F1233" i="7"/>
  <c r="E1233" i="7"/>
  <c r="D1233" i="7"/>
  <c r="C1233" i="7"/>
  <c r="O1232" i="7"/>
  <c r="N1232" i="7"/>
  <c r="M1232" i="7"/>
  <c r="L1232" i="7"/>
  <c r="K1232" i="7"/>
  <c r="J1232" i="7"/>
  <c r="I1232" i="7"/>
  <c r="H1232" i="7"/>
  <c r="G1232" i="7"/>
  <c r="F1232" i="7"/>
  <c r="E1232" i="7"/>
  <c r="D1232" i="7"/>
  <c r="C1232" i="7"/>
  <c r="O1231" i="7"/>
  <c r="N1231" i="7"/>
  <c r="M1231" i="7"/>
  <c r="L1231" i="7"/>
  <c r="K1231" i="7"/>
  <c r="J1231" i="7"/>
  <c r="I1231" i="7"/>
  <c r="H1231" i="7"/>
  <c r="G1231" i="7"/>
  <c r="F1231" i="7"/>
  <c r="E1231" i="7"/>
  <c r="D1231" i="7"/>
  <c r="C1231" i="7"/>
  <c r="O1230" i="7"/>
  <c r="N1230" i="7"/>
  <c r="M1230" i="7"/>
  <c r="L1230" i="7"/>
  <c r="K1230" i="7"/>
  <c r="J1230" i="7"/>
  <c r="I1230" i="7"/>
  <c r="H1230" i="7"/>
  <c r="G1230" i="7"/>
  <c r="F1230" i="7"/>
  <c r="E1230" i="7"/>
  <c r="D1230" i="7"/>
  <c r="C1230" i="7"/>
  <c r="O1229" i="7"/>
  <c r="N1229" i="7"/>
  <c r="M1229" i="7"/>
  <c r="L1229" i="7"/>
  <c r="K1229" i="7"/>
  <c r="J1229" i="7"/>
  <c r="I1229" i="7"/>
  <c r="H1229" i="7"/>
  <c r="G1229" i="7"/>
  <c r="F1229" i="7"/>
  <c r="E1229" i="7"/>
  <c r="D1229" i="7"/>
  <c r="C1229" i="7"/>
  <c r="O1228" i="7"/>
  <c r="N1228" i="7"/>
  <c r="M1228" i="7"/>
  <c r="L1228" i="7"/>
  <c r="K1228" i="7"/>
  <c r="J1228" i="7"/>
  <c r="I1228" i="7"/>
  <c r="H1228" i="7"/>
  <c r="G1228" i="7"/>
  <c r="F1228" i="7"/>
  <c r="E1228" i="7"/>
  <c r="D1228" i="7"/>
  <c r="C1228" i="7"/>
  <c r="O1227" i="7"/>
  <c r="N1227" i="7"/>
  <c r="M1227" i="7"/>
  <c r="L1227" i="7"/>
  <c r="K1227" i="7"/>
  <c r="J1227" i="7"/>
  <c r="I1227" i="7"/>
  <c r="H1227" i="7"/>
  <c r="G1227" i="7"/>
  <c r="F1227" i="7"/>
  <c r="E1227" i="7"/>
  <c r="D1227" i="7"/>
  <c r="C1227" i="7"/>
  <c r="O1226" i="7"/>
  <c r="N1226" i="7"/>
  <c r="M1226" i="7"/>
  <c r="L1226" i="7"/>
  <c r="K1226" i="7"/>
  <c r="J1226" i="7"/>
  <c r="I1226" i="7"/>
  <c r="H1226" i="7"/>
  <c r="G1226" i="7"/>
  <c r="F1226" i="7"/>
  <c r="E1226" i="7"/>
  <c r="D1226" i="7"/>
  <c r="C1226" i="7"/>
  <c r="O1225" i="7"/>
  <c r="N1225" i="7"/>
  <c r="M1225" i="7"/>
  <c r="L1225" i="7"/>
  <c r="K1225" i="7"/>
  <c r="J1225" i="7"/>
  <c r="I1225" i="7"/>
  <c r="H1225" i="7"/>
  <c r="G1225" i="7"/>
  <c r="F1225" i="7"/>
  <c r="E1225" i="7"/>
  <c r="D1225" i="7"/>
  <c r="C1225" i="7"/>
  <c r="O1224" i="7"/>
  <c r="N1224" i="7"/>
  <c r="M1224" i="7"/>
  <c r="L1224" i="7"/>
  <c r="K1224" i="7"/>
  <c r="J1224" i="7"/>
  <c r="I1224" i="7"/>
  <c r="H1224" i="7"/>
  <c r="G1224" i="7"/>
  <c r="F1224" i="7"/>
  <c r="E1224" i="7"/>
  <c r="D1224" i="7"/>
  <c r="C1224" i="7"/>
  <c r="O1223" i="7"/>
  <c r="N1223" i="7"/>
  <c r="M1223" i="7"/>
  <c r="L1223" i="7"/>
  <c r="K1223" i="7"/>
  <c r="J1223" i="7"/>
  <c r="I1223" i="7"/>
  <c r="H1223" i="7"/>
  <c r="G1223" i="7"/>
  <c r="F1223" i="7"/>
  <c r="E1223" i="7"/>
  <c r="D1223" i="7"/>
  <c r="C1223" i="7"/>
  <c r="O1222" i="7"/>
  <c r="N1222" i="7"/>
  <c r="M1222" i="7"/>
  <c r="L1222" i="7"/>
  <c r="K1222" i="7"/>
  <c r="J1222" i="7"/>
  <c r="I1222" i="7"/>
  <c r="H1222" i="7"/>
  <c r="G1222" i="7"/>
  <c r="F1222" i="7"/>
  <c r="E1222" i="7"/>
  <c r="D1222" i="7"/>
  <c r="C1222" i="7"/>
  <c r="O1221" i="7"/>
  <c r="N1221" i="7"/>
  <c r="M1221" i="7"/>
  <c r="L1221" i="7"/>
  <c r="K1221" i="7"/>
  <c r="J1221" i="7"/>
  <c r="I1221" i="7"/>
  <c r="H1221" i="7"/>
  <c r="G1221" i="7"/>
  <c r="F1221" i="7"/>
  <c r="E1221" i="7"/>
  <c r="D1221" i="7"/>
  <c r="C1221" i="7"/>
  <c r="O1220" i="7"/>
  <c r="N1220" i="7"/>
  <c r="M1220" i="7"/>
  <c r="L1220" i="7"/>
  <c r="K1220" i="7"/>
  <c r="J1220" i="7"/>
  <c r="I1220" i="7"/>
  <c r="H1220" i="7"/>
  <c r="G1220" i="7"/>
  <c r="F1220" i="7"/>
  <c r="E1220" i="7"/>
  <c r="D1220" i="7"/>
  <c r="C1220" i="7"/>
  <c r="O1219" i="7"/>
  <c r="N1219" i="7"/>
  <c r="M1219" i="7"/>
  <c r="L1219" i="7"/>
  <c r="K1219" i="7"/>
  <c r="J1219" i="7"/>
  <c r="I1219" i="7"/>
  <c r="H1219" i="7"/>
  <c r="G1219" i="7"/>
  <c r="F1219" i="7"/>
  <c r="E1219" i="7"/>
  <c r="D1219" i="7"/>
  <c r="C1219" i="7"/>
  <c r="O1218" i="7"/>
  <c r="N1218" i="7"/>
  <c r="M1218" i="7"/>
  <c r="L1218" i="7"/>
  <c r="K1218" i="7"/>
  <c r="J1218" i="7"/>
  <c r="I1218" i="7"/>
  <c r="H1218" i="7"/>
  <c r="G1218" i="7"/>
  <c r="F1218" i="7"/>
  <c r="E1218" i="7"/>
  <c r="D1218" i="7"/>
  <c r="C1218" i="7"/>
  <c r="O1217" i="7"/>
  <c r="N1217" i="7"/>
  <c r="M1217" i="7"/>
  <c r="L1217" i="7"/>
  <c r="K1217" i="7"/>
  <c r="J1217" i="7"/>
  <c r="I1217" i="7"/>
  <c r="H1217" i="7"/>
  <c r="G1217" i="7"/>
  <c r="F1217" i="7"/>
  <c r="E1217" i="7"/>
  <c r="D1217" i="7"/>
  <c r="C1217" i="7"/>
  <c r="O1216" i="7"/>
  <c r="N1216" i="7"/>
  <c r="M1216" i="7"/>
  <c r="L1216" i="7"/>
  <c r="K1216" i="7"/>
  <c r="J1216" i="7"/>
  <c r="I1216" i="7"/>
  <c r="H1216" i="7"/>
  <c r="G1216" i="7"/>
  <c r="F1216" i="7"/>
  <c r="E1216" i="7"/>
  <c r="D1216" i="7"/>
  <c r="C1216" i="7"/>
  <c r="O1215" i="7"/>
  <c r="N1215" i="7"/>
  <c r="M1215" i="7"/>
  <c r="L1215" i="7"/>
  <c r="K1215" i="7"/>
  <c r="J1215" i="7"/>
  <c r="I1215" i="7"/>
  <c r="H1215" i="7"/>
  <c r="G1215" i="7"/>
  <c r="F1215" i="7"/>
  <c r="E1215" i="7"/>
  <c r="D1215" i="7"/>
  <c r="C1215" i="7"/>
  <c r="O1214" i="7"/>
  <c r="N1214" i="7"/>
  <c r="M1214" i="7"/>
  <c r="L1214" i="7"/>
  <c r="K1214" i="7"/>
  <c r="J1214" i="7"/>
  <c r="I1214" i="7"/>
  <c r="H1214" i="7"/>
  <c r="G1214" i="7"/>
  <c r="F1214" i="7"/>
  <c r="E1214" i="7"/>
  <c r="D1214" i="7"/>
  <c r="C1214" i="7"/>
  <c r="O1213" i="7"/>
  <c r="N1213" i="7"/>
  <c r="M1213" i="7"/>
  <c r="L1213" i="7"/>
  <c r="K1213" i="7"/>
  <c r="J1213" i="7"/>
  <c r="I1213" i="7"/>
  <c r="H1213" i="7"/>
  <c r="G1213" i="7"/>
  <c r="F1213" i="7"/>
  <c r="E1213" i="7"/>
  <c r="D1213" i="7"/>
  <c r="C1213" i="7"/>
  <c r="O1212" i="7"/>
  <c r="N1212" i="7"/>
  <c r="M1212" i="7"/>
  <c r="L1212" i="7"/>
  <c r="K1212" i="7"/>
  <c r="J1212" i="7"/>
  <c r="I1212" i="7"/>
  <c r="H1212" i="7"/>
  <c r="G1212" i="7"/>
  <c r="F1212" i="7"/>
  <c r="E1212" i="7"/>
  <c r="D1212" i="7"/>
  <c r="C1212" i="7"/>
  <c r="O1211" i="7"/>
  <c r="N1211" i="7"/>
  <c r="M1211" i="7"/>
  <c r="L1211" i="7"/>
  <c r="K1211" i="7"/>
  <c r="J1211" i="7"/>
  <c r="I1211" i="7"/>
  <c r="H1211" i="7"/>
  <c r="G1211" i="7"/>
  <c r="F1211" i="7"/>
  <c r="E1211" i="7"/>
  <c r="D1211" i="7"/>
  <c r="C1211" i="7"/>
  <c r="O1210" i="7"/>
  <c r="N1210" i="7"/>
  <c r="M1210" i="7"/>
  <c r="L1210" i="7"/>
  <c r="K1210" i="7"/>
  <c r="J1210" i="7"/>
  <c r="I1210" i="7"/>
  <c r="H1210" i="7"/>
  <c r="G1210" i="7"/>
  <c r="F1210" i="7"/>
  <c r="E1210" i="7"/>
  <c r="D1210" i="7"/>
  <c r="C1210" i="7"/>
  <c r="O1209" i="7"/>
  <c r="N1209" i="7"/>
  <c r="M1209" i="7"/>
  <c r="L1209" i="7"/>
  <c r="K1209" i="7"/>
  <c r="J1209" i="7"/>
  <c r="I1209" i="7"/>
  <c r="H1209" i="7"/>
  <c r="G1209" i="7"/>
  <c r="F1209" i="7"/>
  <c r="E1209" i="7"/>
  <c r="D1209" i="7"/>
  <c r="C1209" i="7"/>
  <c r="O1208" i="7"/>
  <c r="N1208" i="7"/>
  <c r="M1208" i="7"/>
  <c r="L1208" i="7"/>
  <c r="K1208" i="7"/>
  <c r="J1208" i="7"/>
  <c r="I1208" i="7"/>
  <c r="H1208" i="7"/>
  <c r="G1208" i="7"/>
  <c r="F1208" i="7"/>
  <c r="E1208" i="7"/>
  <c r="D1208" i="7"/>
  <c r="C1208" i="7"/>
  <c r="O1207" i="7"/>
  <c r="N1207" i="7"/>
  <c r="M1207" i="7"/>
  <c r="L1207" i="7"/>
  <c r="K1207" i="7"/>
  <c r="J1207" i="7"/>
  <c r="I1207" i="7"/>
  <c r="H1207" i="7"/>
  <c r="G1207" i="7"/>
  <c r="F1207" i="7"/>
  <c r="E1207" i="7"/>
  <c r="D1207" i="7"/>
  <c r="C1207" i="7"/>
  <c r="O1206" i="7"/>
  <c r="N1206" i="7"/>
  <c r="M1206" i="7"/>
  <c r="L1206" i="7"/>
  <c r="K1206" i="7"/>
  <c r="J1206" i="7"/>
  <c r="I1206" i="7"/>
  <c r="H1206" i="7"/>
  <c r="G1206" i="7"/>
  <c r="F1206" i="7"/>
  <c r="E1206" i="7"/>
  <c r="D1206" i="7"/>
  <c r="C1206" i="7"/>
  <c r="O1205" i="7"/>
  <c r="N1205" i="7"/>
  <c r="M1205" i="7"/>
  <c r="L1205" i="7"/>
  <c r="K1205" i="7"/>
  <c r="J1205" i="7"/>
  <c r="I1205" i="7"/>
  <c r="H1205" i="7"/>
  <c r="G1205" i="7"/>
  <c r="F1205" i="7"/>
  <c r="E1205" i="7"/>
  <c r="D1205" i="7"/>
  <c r="C1205" i="7"/>
  <c r="O1204" i="7"/>
  <c r="N1204" i="7"/>
  <c r="M1204" i="7"/>
  <c r="L1204" i="7"/>
  <c r="K1204" i="7"/>
  <c r="J1204" i="7"/>
  <c r="I1204" i="7"/>
  <c r="H1204" i="7"/>
  <c r="G1204" i="7"/>
  <c r="F1204" i="7"/>
  <c r="E1204" i="7"/>
  <c r="D1204" i="7"/>
  <c r="C1204" i="7"/>
  <c r="O1203" i="7"/>
  <c r="N1203" i="7"/>
  <c r="M1203" i="7"/>
  <c r="L1203" i="7"/>
  <c r="K1203" i="7"/>
  <c r="J1203" i="7"/>
  <c r="I1203" i="7"/>
  <c r="H1203" i="7"/>
  <c r="G1203" i="7"/>
  <c r="F1203" i="7"/>
  <c r="E1203" i="7"/>
  <c r="D1203" i="7"/>
  <c r="C1203" i="7"/>
  <c r="O1202" i="7"/>
  <c r="N1202" i="7"/>
  <c r="M1202" i="7"/>
  <c r="L1202" i="7"/>
  <c r="K1202" i="7"/>
  <c r="J1202" i="7"/>
  <c r="I1202" i="7"/>
  <c r="H1202" i="7"/>
  <c r="G1202" i="7"/>
  <c r="F1202" i="7"/>
  <c r="E1202" i="7"/>
  <c r="D1202" i="7"/>
  <c r="C1202" i="7"/>
  <c r="O1201" i="7"/>
  <c r="N1201" i="7"/>
  <c r="M1201" i="7"/>
  <c r="L1201" i="7"/>
  <c r="K1201" i="7"/>
  <c r="J1201" i="7"/>
  <c r="I1201" i="7"/>
  <c r="H1201" i="7"/>
  <c r="G1201" i="7"/>
  <c r="F1201" i="7"/>
  <c r="E1201" i="7"/>
  <c r="D1201" i="7"/>
  <c r="C1201" i="7"/>
  <c r="O1200" i="7"/>
  <c r="N1200" i="7"/>
  <c r="M1200" i="7"/>
  <c r="L1200" i="7"/>
  <c r="K1200" i="7"/>
  <c r="J1200" i="7"/>
  <c r="I1200" i="7"/>
  <c r="H1200" i="7"/>
  <c r="G1200" i="7"/>
  <c r="F1200" i="7"/>
  <c r="E1200" i="7"/>
  <c r="D1200" i="7"/>
  <c r="C1200" i="7"/>
  <c r="O1199" i="7"/>
  <c r="N1199" i="7"/>
  <c r="M1199" i="7"/>
  <c r="L1199" i="7"/>
  <c r="K1199" i="7"/>
  <c r="J1199" i="7"/>
  <c r="I1199" i="7"/>
  <c r="H1199" i="7"/>
  <c r="G1199" i="7"/>
  <c r="F1199" i="7"/>
  <c r="E1199" i="7"/>
  <c r="D1199" i="7"/>
  <c r="C1199" i="7"/>
  <c r="O1198" i="7"/>
  <c r="N1198" i="7"/>
  <c r="M1198" i="7"/>
  <c r="L1198" i="7"/>
  <c r="K1198" i="7"/>
  <c r="J1198" i="7"/>
  <c r="I1198" i="7"/>
  <c r="H1198" i="7"/>
  <c r="G1198" i="7"/>
  <c r="F1198" i="7"/>
  <c r="E1198" i="7"/>
  <c r="D1198" i="7"/>
  <c r="C1198" i="7"/>
  <c r="O1197" i="7"/>
  <c r="N1197" i="7"/>
  <c r="M1197" i="7"/>
  <c r="L1197" i="7"/>
  <c r="K1197" i="7"/>
  <c r="J1197" i="7"/>
  <c r="I1197" i="7"/>
  <c r="H1197" i="7"/>
  <c r="G1197" i="7"/>
  <c r="F1197" i="7"/>
  <c r="E1197" i="7"/>
  <c r="D1197" i="7"/>
  <c r="C1197" i="7"/>
  <c r="O1196" i="7"/>
  <c r="N1196" i="7"/>
  <c r="M1196" i="7"/>
  <c r="L1196" i="7"/>
  <c r="K1196" i="7"/>
  <c r="J1196" i="7"/>
  <c r="I1196" i="7"/>
  <c r="H1196" i="7"/>
  <c r="G1196" i="7"/>
  <c r="F1196" i="7"/>
  <c r="E1196" i="7"/>
  <c r="D1196" i="7"/>
  <c r="C1196" i="7"/>
  <c r="O1195" i="7"/>
  <c r="N1195" i="7"/>
  <c r="M1195" i="7"/>
  <c r="L1195" i="7"/>
  <c r="K1195" i="7"/>
  <c r="J1195" i="7"/>
  <c r="I1195" i="7"/>
  <c r="H1195" i="7"/>
  <c r="G1195" i="7"/>
  <c r="F1195" i="7"/>
  <c r="E1195" i="7"/>
  <c r="D1195" i="7"/>
  <c r="C1195" i="7"/>
  <c r="O1194" i="7"/>
  <c r="N1194" i="7"/>
  <c r="M1194" i="7"/>
  <c r="L1194" i="7"/>
  <c r="K1194" i="7"/>
  <c r="J1194" i="7"/>
  <c r="I1194" i="7"/>
  <c r="H1194" i="7"/>
  <c r="G1194" i="7"/>
  <c r="F1194" i="7"/>
  <c r="E1194" i="7"/>
  <c r="D1194" i="7"/>
  <c r="C1194" i="7"/>
  <c r="O1193" i="7"/>
  <c r="N1193" i="7"/>
  <c r="M1193" i="7"/>
  <c r="L1193" i="7"/>
  <c r="K1193" i="7"/>
  <c r="J1193" i="7"/>
  <c r="I1193" i="7"/>
  <c r="H1193" i="7"/>
  <c r="G1193" i="7"/>
  <c r="F1193" i="7"/>
  <c r="E1193" i="7"/>
  <c r="D1193" i="7"/>
  <c r="C1193" i="7"/>
  <c r="O1192" i="7"/>
  <c r="N1192" i="7"/>
  <c r="M1192" i="7"/>
  <c r="L1192" i="7"/>
  <c r="K1192" i="7"/>
  <c r="J1192" i="7"/>
  <c r="I1192" i="7"/>
  <c r="H1192" i="7"/>
  <c r="G1192" i="7"/>
  <c r="F1192" i="7"/>
  <c r="E1192" i="7"/>
  <c r="D1192" i="7"/>
  <c r="C1192" i="7"/>
  <c r="O1191" i="7"/>
  <c r="N1191" i="7"/>
  <c r="M1191" i="7"/>
  <c r="L1191" i="7"/>
  <c r="K1191" i="7"/>
  <c r="J1191" i="7"/>
  <c r="I1191" i="7"/>
  <c r="H1191" i="7"/>
  <c r="G1191" i="7"/>
  <c r="F1191" i="7"/>
  <c r="E1191" i="7"/>
  <c r="D1191" i="7"/>
  <c r="C1191" i="7"/>
  <c r="O1190" i="7"/>
  <c r="N1190" i="7"/>
  <c r="M1190" i="7"/>
  <c r="L1190" i="7"/>
  <c r="K1190" i="7"/>
  <c r="J1190" i="7"/>
  <c r="I1190" i="7"/>
  <c r="H1190" i="7"/>
  <c r="G1190" i="7"/>
  <c r="F1190" i="7"/>
  <c r="E1190" i="7"/>
  <c r="D1190" i="7"/>
  <c r="C1190" i="7"/>
  <c r="O1189" i="7"/>
  <c r="N1189" i="7"/>
  <c r="M1189" i="7"/>
  <c r="L1189" i="7"/>
  <c r="K1189" i="7"/>
  <c r="J1189" i="7"/>
  <c r="I1189" i="7"/>
  <c r="H1189" i="7"/>
  <c r="G1189" i="7"/>
  <c r="F1189" i="7"/>
  <c r="E1189" i="7"/>
  <c r="D1189" i="7"/>
  <c r="C1189" i="7"/>
  <c r="O1188" i="7"/>
  <c r="N1188" i="7"/>
  <c r="M1188" i="7"/>
  <c r="L1188" i="7"/>
  <c r="K1188" i="7"/>
  <c r="J1188" i="7"/>
  <c r="I1188" i="7"/>
  <c r="H1188" i="7"/>
  <c r="G1188" i="7"/>
  <c r="F1188" i="7"/>
  <c r="E1188" i="7"/>
  <c r="D1188" i="7"/>
  <c r="C1188" i="7"/>
  <c r="O1187" i="7"/>
  <c r="N1187" i="7"/>
  <c r="M1187" i="7"/>
  <c r="L1187" i="7"/>
  <c r="K1187" i="7"/>
  <c r="J1187" i="7"/>
  <c r="I1187" i="7"/>
  <c r="H1187" i="7"/>
  <c r="G1187" i="7"/>
  <c r="F1187" i="7"/>
  <c r="E1187" i="7"/>
  <c r="D1187" i="7"/>
  <c r="C1187" i="7"/>
  <c r="O1186" i="7"/>
  <c r="N1186" i="7"/>
  <c r="M1186" i="7"/>
  <c r="L1186" i="7"/>
  <c r="K1186" i="7"/>
  <c r="J1186" i="7"/>
  <c r="I1186" i="7"/>
  <c r="H1186" i="7"/>
  <c r="G1186" i="7"/>
  <c r="F1186" i="7"/>
  <c r="E1186" i="7"/>
  <c r="D1186" i="7"/>
  <c r="C1186" i="7"/>
  <c r="O1185" i="7"/>
  <c r="N1185" i="7"/>
  <c r="M1185" i="7"/>
  <c r="L1185" i="7"/>
  <c r="K1185" i="7"/>
  <c r="J1185" i="7"/>
  <c r="I1185" i="7"/>
  <c r="H1185" i="7"/>
  <c r="G1185" i="7"/>
  <c r="F1185" i="7"/>
  <c r="E1185" i="7"/>
  <c r="D1185" i="7"/>
  <c r="C1185" i="7"/>
  <c r="O1184" i="7"/>
  <c r="N1184" i="7"/>
  <c r="M1184" i="7"/>
  <c r="L1184" i="7"/>
  <c r="K1184" i="7"/>
  <c r="J1184" i="7"/>
  <c r="I1184" i="7"/>
  <c r="H1184" i="7"/>
  <c r="G1184" i="7"/>
  <c r="F1184" i="7"/>
  <c r="E1184" i="7"/>
  <c r="D1184" i="7"/>
  <c r="C1184" i="7"/>
  <c r="O1183" i="7"/>
  <c r="N1183" i="7"/>
  <c r="M1183" i="7"/>
  <c r="L1183" i="7"/>
  <c r="K1183" i="7"/>
  <c r="J1183" i="7"/>
  <c r="I1183" i="7"/>
  <c r="H1183" i="7"/>
  <c r="G1183" i="7"/>
  <c r="F1183" i="7"/>
  <c r="E1183" i="7"/>
  <c r="D1183" i="7"/>
  <c r="C1183" i="7"/>
  <c r="O1182" i="7"/>
  <c r="N1182" i="7"/>
  <c r="M1182" i="7"/>
  <c r="L1182" i="7"/>
  <c r="K1182" i="7"/>
  <c r="J1182" i="7"/>
  <c r="I1182" i="7"/>
  <c r="H1182" i="7"/>
  <c r="G1182" i="7"/>
  <c r="F1182" i="7"/>
  <c r="E1182" i="7"/>
  <c r="D1182" i="7"/>
  <c r="C1182" i="7"/>
  <c r="O1181" i="7"/>
  <c r="N1181" i="7"/>
  <c r="M1181" i="7"/>
  <c r="L1181" i="7"/>
  <c r="K1181" i="7"/>
  <c r="J1181" i="7"/>
  <c r="I1181" i="7"/>
  <c r="H1181" i="7"/>
  <c r="G1181" i="7"/>
  <c r="F1181" i="7"/>
  <c r="E1181" i="7"/>
  <c r="D1181" i="7"/>
  <c r="C1181" i="7"/>
  <c r="O1180" i="7"/>
  <c r="N1180" i="7"/>
  <c r="M1180" i="7"/>
  <c r="L1180" i="7"/>
  <c r="K1180" i="7"/>
  <c r="J1180" i="7"/>
  <c r="I1180" i="7"/>
  <c r="H1180" i="7"/>
  <c r="G1180" i="7"/>
  <c r="F1180" i="7"/>
  <c r="E1180" i="7"/>
  <c r="D1180" i="7"/>
  <c r="C1180" i="7"/>
  <c r="O1179" i="7"/>
  <c r="N1179" i="7"/>
  <c r="M1179" i="7"/>
  <c r="L1179" i="7"/>
  <c r="K1179" i="7"/>
  <c r="J1179" i="7"/>
  <c r="I1179" i="7"/>
  <c r="H1179" i="7"/>
  <c r="G1179" i="7"/>
  <c r="F1179" i="7"/>
  <c r="E1179" i="7"/>
  <c r="D1179" i="7"/>
  <c r="C1179" i="7"/>
  <c r="O1178" i="7"/>
  <c r="N1178" i="7"/>
  <c r="M1178" i="7"/>
  <c r="L1178" i="7"/>
  <c r="K1178" i="7"/>
  <c r="J1178" i="7"/>
  <c r="I1178" i="7"/>
  <c r="H1178" i="7"/>
  <c r="G1178" i="7"/>
  <c r="F1178" i="7"/>
  <c r="E1178" i="7"/>
  <c r="D1178" i="7"/>
  <c r="C1178" i="7"/>
  <c r="O1177" i="7"/>
  <c r="N1177" i="7"/>
  <c r="M1177" i="7"/>
  <c r="L1177" i="7"/>
  <c r="K1177" i="7"/>
  <c r="J1177" i="7"/>
  <c r="I1177" i="7"/>
  <c r="H1177" i="7"/>
  <c r="G1177" i="7"/>
  <c r="F1177" i="7"/>
  <c r="E1177" i="7"/>
  <c r="D1177" i="7"/>
  <c r="C1177" i="7"/>
  <c r="O1176" i="7"/>
  <c r="N1176" i="7"/>
  <c r="M1176" i="7"/>
  <c r="L1176" i="7"/>
  <c r="K1176" i="7"/>
  <c r="J1176" i="7"/>
  <c r="I1176" i="7"/>
  <c r="H1176" i="7"/>
  <c r="G1176" i="7"/>
  <c r="F1176" i="7"/>
  <c r="E1176" i="7"/>
  <c r="D1176" i="7"/>
  <c r="C1176" i="7"/>
  <c r="O1171" i="7"/>
  <c r="N1171" i="7"/>
  <c r="M1171" i="7"/>
  <c r="L1171" i="7"/>
  <c r="K1171" i="7"/>
  <c r="J1171" i="7"/>
  <c r="I1171" i="7"/>
  <c r="H1171" i="7"/>
  <c r="G1171" i="7"/>
  <c r="F1171" i="7"/>
  <c r="E1171" i="7"/>
  <c r="D1171" i="7"/>
  <c r="C1171" i="7"/>
  <c r="C1170" i="7"/>
  <c r="C1169" i="7"/>
  <c r="C1168" i="7"/>
  <c r="O1167" i="7"/>
  <c r="N1167" i="7"/>
  <c r="M1167" i="7"/>
  <c r="L1167" i="7"/>
  <c r="K1167" i="7"/>
  <c r="J1167" i="7"/>
  <c r="I1167" i="7"/>
  <c r="G1167" i="7"/>
  <c r="F1167" i="7"/>
  <c r="E1167" i="7"/>
  <c r="D1167" i="7"/>
  <c r="C1167" i="7"/>
  <c r="O1166" i="7"/>
  <c r="N1166" i="7"/>
  <c r="M1166" i="7"/>
  <c r="L1166" i="7"/>
  <c r="K1166" i="7"/>
  <c r="J1166" i="7"/>
  <c r="I1166" i="7"/>
  <c r="H1166" i="7"/>
  <c r="G1166" i="7"/>
  <c r="F1166" i="7"/>
  <c r="E1166" i="7"/>
  <c r="D1166" i="7"/>
  <c r="C1166" i="7"/>
  <c r="O1165" i="7"/>
  <c r="N1165" i="7"/>
  <c r="M1165" i="7"/>
  <c r="L1165" i="7"/>
  <c r="K1165" i="7"/>
  <c r="J1165" i="7"/>
  <c r="I1165" i="7"/>
  <c r="H1165" i="7"/>
  <c r="G1165" i="7"/>
  <c r="F1165" i="7"/>
  <c r="E1165" i="7"/>
  <c r="D1165" i="7"/>
  <c r="C1165" i="7"/>
  <c r="O1164" i="7"/>
  <c r="N1164" i="7"/>
  <c r="M1164" i="7"/>
  <c r="L1164" i="7"/>
  <c r="K1164" i="7"/>
  <c r="J1164" i="7"/>
  <c r="I1164" i="7"/>
  <c r="H1164" i="7"/>
  <c r="G1164" i="7"/>
  <c r="F1164" i="7"/>
  <c r="E1164" i="7"/>
  <c r="D1164" i="7"/>
  <c r="C1164" i="7"/>
  <c r="O1163" i="7"/>
  <c r="N1163" i="7"/>
  <c r="M1163" i="7"/>
  <c r="L1163" i="7"/>
  <c r="K1163" i="7"/>
  <c r="J1163" i="7"/>
  <c r="I1163" i="7"/>
  <c r="H1163" i="7"/>
  <c r="G1163" i="7"/>
  <c r="F1163" i="7"/>
  <c r="E1163" i="7"/>
  <c r="D1163" i="7"/>
  <c r="C1163" i="7"/>
  <c r="O1162" i="7"/>
  <c r="N1162" i="7"/>
  <c r="M1162" i="7"/>
  <c r="L1162" i="7"/>
  <c r="K1162" i="7"/>
  <c r="J1162" i="7"/>
  <c r="I1162" i="7"/>
  <c r="H1162" i="7"/>
  <c r="G1162" i="7"/>
  <c r="F1162" i="7"/>
  <c r="E1162" i="7"/>
  <c r="D1162" i="7"/>
  <c r="C1162" i="7"/>
  <c r="O1161" i="7"/>
  <c r="N1161" i="7"/>
  <c r="M1161" i="7"/>
  <c r="L1161" i="7"/>
  <c r="K1161" i="7"/>
  <c r="J1161" i="7"/>
  <c r="I1161" i="7"/>
  <c r="H1161" i="7"/>
  <c r="G1161" i="7"/>
  <c r="F1161" i="7"/>
  <c r="E1161" i="7"/>
  <c r="D1161" i="7"/>
  <c r="C1161" i="7"/>
  <c r="O1160" i="7"/>
  <c r="N1160" i="7"/>
  <c r="M1160" i="7"/>
  <c r="L1160" i="7"/>
  <c r="K1160" i="7"/>
  <c r="J1160" i="7"/>
  <c r="I1160" i="7"/>
  <c r="H1160" i="7"/>
  <c r="G1160" i="7"/>
  <c r="F1160" i="7"/>
  <c r="E1160" i="7"/>
  <c r="D1160" i="7"/>
  <c r="C1160" i="7"/>
  <c r="O1159" i="7"/>
  <c r="N1159" i="7"/>
  <c r="M1159" i="7"/>
  <c r="L1159" i="7"/>
  <c r="K1159" i="7"/>
  <c r="J1159" i="7"/>
  <c r="I1159" i="7"/>
  <c r="H1159" i="7"/>
  <c r="G1159" i="7"/>
  <c r="F1159" i="7"/>
  <c r="E1159" i="7"/>
  <c r="D1159" i="7"/>
  <c r="C1159" i="7"/>
  <c r="O1158" i="7"/>
  <c r="N1158" i="7"/>
  <c r="M1158" i="7"/>
  <c r="L1158" i="7"/>
  <c r="K1158" i="7"/>
  <c r="J1158" i="7"/>
  <c r="I1158" i="7"/>
  <c r="H1158" i="7"/>
  <c r="G1158" i="7"/>
  <c r="F1158" i="7"/>
  <c r="E1158" i="7"/>
  <c r="D1158" i="7"/>
  <c r="C1158" i="7"/>
  <c r="O1157" i="7"/>
  <c r="N1157" i="7"/>
  <c r="M1157" i="7"/>
  <c r="L1157" i="7"/>
  <c r="K1157" i="7"/>
  <c r="J1157" i="7"/>
  <c r="I1157" i="7"/>
  <c r="H1157" i="7"/>
  <c r="G1157" i="7"/>
  <c r="F1157" i="7"/>
  <c r="E1157" i="7"/>
  <c r="D1157" i="7"/>
  <c r="C1157" i="7"/>
  <c r="O1156" i="7"/>
  <c r="N1156" i="7"/>
  <c r="M1156" i="7"/>
  <c r="L1156" i="7"/>
  <c r="K1156" i="7"/>
  <c r="J1156" i="7"/>
  <c r="I1156" i="7"/>
  <c r="H1156" i="7"/>
  <c r="G1156" i="7"/>
  <c r="F1156" i="7"/>
  <c r="E1156" i="7"/>
  <c r="D1156" i="7"/>
  <c r="C1156" i="7"/>
  <c r="O1155" i="7"/>
  <c r="N1155" i="7"/>
  <c r="M1155" i="7"/>
  <c r="L1155" i="7"/>
  <c r="K1155" i="7"/>
  <c r="J1155" i="7"/>
  <c r="I1155" i="7"/>
  <c r="H1155" i="7"/>
  <c r="G1155" i="7"/>
  <c r="F1155" i="7"/>
  <c r="E1155" i="7"/>
  <c r="D1155" i="7"/>
  <c r="C1155" i="7"/>
  <c r="O1154" i="7"/>
  <c r="N1154" i="7"/>
  <c r="M1154" i="7"/>
  <c r="L1154" i="7"/>
  <c r="K1154" i="7"/>
  <c r="J1154" i="7"/>
  <c r="I1154" i="7"/>
  <c r="H1154" i="7"/>
  <c r="G1154" i="7"/>
  <c r="F1154" i="7"/>
  <c r="E1154" i="7"/>
  <c r="D1154" i="7"/>
  <c r="C1154" i="7"/>
  <c r="O1153" i="7"/>
  <c r="N1153" i="7"/>
  <c r="M1153" i="7"/>
  <c r="L1153" i="7"/>
  <c r="K1153" i="7"/>
  <c r="J1153" i="7"/>
  <c r="I1153" i="7"/>
  <c r="H1153" i="7"/>
  <c r="G1153" i="7"/>
  <c r="F1153" i="7"/>
  <c r="E1153" i="7"/>
  <c r="D1153" i="7"/>
  <c r="C1153" i="7"/>
  <c r="O1152" i="7"/>
  <c r="N1152" i="7"/>
  <c r="M1152" i="7"/>
  <c r="L1152" i="7"/>
  <c r="K1152" i="7"/>
  <c r="J1152" i="7"/>
  <c r="I1152" i="7"/>
  <c r="H1152" i="7"/>
  <c r="G1152" i="7"/>
  <c r="F1152" i="7"/>
  <c r="E1152" i="7"/>
  <c r="D1152" i="7"/>
  <c r="C1152" i="7"/>
  <c r="O1151" i="7"/>
  <c r="N1151" i="7"/>
  <c r="M1151" i="7"/>
  <c r="L1151" i="7"/>
  <c r="K1151" i="7"/>
  <c r="J1151" i="7"/>
  <c r="I1151" i="7"/>
  <c r="H1151" i="7"/>
  <c r="G1151" i="7"/>
  <c r="F1151" i="7"/>
  <c r="E1151" i="7"/>
  <c r="D1151" i="7"/>
  <c r="C1151" i="7"/>
  <c r="O1150" i="7"/>
  <c r="N1150" i="7"/>
  <c r="M1150" i="7"/>
  <c r="L1150" i="7"/>
  <c r="K1150" i="7"/>
  <c r="J1150" i="7"/>
  <c r="I1150" i="7"/>
  <c r="H1150" i="7"/>
  <c r="G1150" i="7"/>
  <c r="F1150" i="7"/>
  <c r="E1150" i="7"/>
  <c r="D1150" i="7"/>
  <c r="C1150" i="7"/>
  <c r="O1149" i="7"/>
  <c r="N1149" i="7"/>
  <c r="M1149" i="7"/>
  <c r="L1149" i="7"/>
  <c r="K1149" i="7"/>
  <c r="J1149" i="7"/>
  <c r="I1149" i="7"/>
  <c r="H1149" i="7"/>
  <c r="G1149" i="7"/>
  <c r="F1149" i="7"/>
  <c r="E1149" i="7"/>
  <c r="D1149" i="7"/>
  <c r="C1149" i="7"/>
  <c r="O1148" i="7"/>
  <c r="N1148" i="7"/>
  <c r="M1148" i="7"/>
  <c r="L1148" i="7"/>
  <c r="K1148" i="7"/>
  <c r="J1148" i="7"/>
  <c r="I1148" i="7"/>
  <c r="H1148" i="7"/>
  <c r="G1148" i="7"/>
  <c r="F1148" i="7"/>
  <c r="E1148" i="7"/>
  <c r="D1148" i="7"/>
  <c r="C1148" i="7"/>
  <c r="O1147" i="7"/>
  <c r="N1147" i="7"/>
  <c r="M1147" i="7"/>
  <c r="L1147" i="7"/>
  <c r="K1147" i="7"/>
  <c r="J1147" i="7"/>
  <c r="I1147" i="7"/>
  <c r="H1147" i="7"/>
  <c r="G1147" i="7"/>
  <c r="F1147" i="7"/>
  <c r="E1147" i="7"/>
  <c r="D1147" i="7"/>
  <c r="C1147" i="7"/>
  <c r="O1146" i="7"/>
  <c r="N1146" i="7"/>
  <c r="M1146" i="7"/>
  <c r="L1146" i="7"/>
  <c r="K1146" i="7"/>
  <c r="J1146" i="7"/>
  <c r="I1146" i="7"/>
  <c r="H1146" i="7"/>
  <c r="G1146" i="7"/>
  <c r="F1146" i="7"/>
  <c r="E1146" i="7"/>
  <c r="D1146" i="7"/>
  <c r="C1146" i="7"/>
  <c r="O1145" i="7"/>
  <c r="N1145" i="7"/>
  <c r="M1145" i="7"/>
  <c r="L1145" i="7"/>
  <c r="K1145" i="7"/>
  <c r="J1145" i="7"/>
  <c r="I1145" i="7"/>
  <c r="H1145" i="7"/>
  <c r="G1145" i="7"/>
  <c r="F1145" i="7"/>
  <c r="E1145" i="7"/>
  <c r="D1145" i="7"/>
  <c r="C1145" i="7"/>
  <c r="O1144" i="7"/>
  <c r="N1144" i="7"/>
  <c r="M1144" i="7"/>
  <c r="L1144" i="7"/>
  <c r="K1144" i="7"/>
  <c r="J1144" i="7"/>
  <c r="I1144" i="7"/>
  <c r="H1144" i="7"/>
  <c r="G1144" i="7"/>
  <c r="F1144" i="7"/>
  <c r="E1144" i="7"/>
  <c r="D1144" i="7"/>
  <c r="C1144" i="7"/>
  <c r="O1143" i="7"/>
  <c r="N1143" i="7"/>
  <c r="M1143" i="7"/>
  <c r="L1143" i="7"/>
  <c r="K1143" i="7"/>
  <c r="J1143" i="7"/>
  <c r="I1143" i="7"/>
  <c r="H1143" i="7"/>
  <c r="G1143" i="7"/>
  <c r="F1143" i="7"/>
  <c r="E1143" i="7"/>
  <c r="D1143" i="7"/>
  <c r="C1143" i="7"/>
  <c r="O1142" i="7"/>
  <c r="N1142" i="7"/>
  <c r="M1142" i="7"/>
  <c r="L1142" i="7"/>
  <c r="K1142" i="7"/>
  <c r="J1142" i="7"/>
  <c r="I1142" i="7"/>
  <c r="H1142" i="7"/>
  <c r="G1142" i="7"/>
  <c r="F1142" i="7"/>
  <c r="E1142" i="7"/>
  <c r="D1142" i="7"/>
  <c r="C1142" i="7"/>
  <c r="O1141" i="7"/>
  <c r="N1141" i="7"/>
  <c r="M1141" i="7"/>
  <c r="L1141" i="7"/>
  <c r="K1141" i="7"/>
  <c r="J1141" i="7"/>
  <c r="I1141" i="7"/>
  <c r="H1141" i="7"/>
  <c r="G1141" i="7"/>
  <c r="F1141" i="7"/>
  <c r="E1141" i="7"/>
  <c r="D1141" i="7"/>
  <c r="C1141" i="7"/>
  <c r="O1140" i="7"/>
  <c r="N1140" i="7"/>
  <c r="M1140" i="7"/>
  <c r="L1140" i="7"/>
  <c r="K1140" i="7"/>
  <c r="J1140" i="7"/>
  <c r="I1140" i="7"/>
  <c r="H1140" i="7"/>
  <c r="G1140" i="7"/>
  <c r="F1140" i="7"/>
  <c r="E1140" i="7"/>
  <c r="D1140" i="7"/>
  <c r="C1140" i="7"/>
  <c r="O1139" i="7"/>
  <c r="N1139" i="7"/>
  <c r="M1139" i="7"/>
  <c r="L1139" i="7"/>
  <c r="K1139" i="7"/>
  <c r="J1139" i="7"/>
  <c r="I1139" i="7"/>
  <c r="H1139" i="7"/>
  <c r="G1139" i="7"/>
  <c r="F1139" i="7"/>
  <c r="E1139" i="7"/>
  <c r="D1139" i="7"/>
  <c r="C1139" i="7"/>
  <c r="O1138" i="7"/>
  <c r="N1138" i="7"/>
  <c r="M1138" i="7"/>
  <c r="L1138" i="7"/>
  <c r="K1138" i="7"/>
  <c r="J1138" i="7"/>
  <c r="I1138" i="7"/>
  <c r="H1138" i="7"/>
  <c r="G1138" i="7"/>
  <c r="F1138" i="7"/>
  <c r="E1138" i="7"/>
  <c r="D1138" i="7"/>
  <c r="C1138" i="7"/>
  <c r="O1137" i="7"/>
  <c r="N1137" i="7"/>
  <c r="M1137" i="7"/>
  <c r="L1137" i="7"/>
  <c r="K1137" i="7"/>
  <c r="J1137" i="7"/>
  <c r="I1137" i="7"/>
  <c r="H1137" i="7"/>
  <c r="G1137" i="7"/>
  <c r="F1137" i="7"/>
  <c r="E1137" i="7"/>
  <c r="D1137" i="7"/>
  <c r="C1137" i="7"/>
  <c r="O1136" i="7"/>
  <c r="N1136" i="7"/>
  <c r="M1136" i="7"/>
  <c r="L1136" i="7"/>
  <c r="K1136" i="7"/>
  <c r="J1136" i="7"/>
  <c r="I1136" i="7"/>
  <c r="H1136" i="7"/>
  <c r="G1136" i="7"/>
  <c r="F1136" i="7"/>
  <c r="E1136" i="7"/>
  <c r="D1136" i="7"/>
  <c r="C1136" i="7"/>
  <c r="O1135" i="7"/>
  <c r="N1135" i="7"/>
  <c r="M1135" i="7"/>
  <c r="L1135" i="7"/>
  <c r="K1135" i="7"/>
  <c r="J1135" i="7"/>
  <c r="I1135" i="7"/>
  <c r="H1135" i="7"/>
  <c r="G1135" i="7"/>
  <c r="F1135" i="7"/>
  <c r="E1135" i="7"/>
  <c r="D1135" i="7"/>
  <c r="C1135" i="7"/>
  <c r="O1134" i="7"/>
  <c r="N1134" i="7"/>
  <c r="M1134" i="7"/>
  <c r="L1134" i="7"/>
  <c r="K1134" i="7"/>
  <c r="J1134" i="7"/>
  <c r="I1134" i="7"/>
  <c r="H1134" i="7"/>
  <c r="G1134" i="7"/>
  <c r="F1134" i="7"/>
  <c r="E1134" i="7"/>
  <c r="D1134" i="7"/>
  <c r="C1134" i="7"/>
  <c r="O1133" i="7"/>
  <c r="N1133" i="7"/>
  <c r="M1133" i="7"/>
  <c r="L1133" i="7"/>
  <c r="K1133" i="7"/>
  <c r="J1133" i="7"/>
  <c r="I1133" i="7"/>
  <c r="H1133" i="7"/>
  <c r="G1133" i="7"/>
  <c r="F1133" i="7"/>
  <c r="E1133" i="7"/>
  <c r="D1133" i="7"/>
  <c r="C1133" i="7"/>
  <c r="O1132" i="7"/>
  <c r="N1132" i="7"/>
  <c r="M1132" i="7"/>
  <c r="L1132" i="7"/>
  <c r="K1132" i="7"/>
  <c r="J1132" i="7"/>
  <c r="I1132" i="7"/>
  <c r="H1132" i="7"/>
  <c r="G1132" i="7"/>
  <c r="F1132" i="7"/>
  <c r="E1132" i="7"/>
  <c r="D1132" i="7"/>
  <c r="C1132" i="7"/>
  <c r="O1131" i="7"/>
  <c r="N1131" i="7"/>
  <c r="M1131" i="7"/>
  <c r="L1131" i="7"/>
  <c r="K1131" i="7"/>
  <c r="J1131" i="7"/>
  <c r="I1131" i="7"/>
  <c r="H1131" i="7"/>
  <c r="G1131" i="7"/>
  <c r="F1131" i="7"/>
  <c r="E1131" i="7"/>
  <c r="D1131" i="7"/>
  <c r="C1131" i="7"/>
  <c r="O1130" i="7"/>
  <c r="N1130" i="7"/>
  <c r="M1130" i="7"/>
  <c r="L1130" i="7"/>
  <c r="K1130" i="7"/>
  <c r="J1130" i="7"/>
  <c r="I1130" i="7"/>
  <c r="H1130" i="7"/>
  <c r="G1130" i="7"/>
  <c r="F1130" i="7"/>
  <c r="E1130" i="7"/>
  <c r="D1130" i="7"/>
  <c r="C1130" i="7"/>
  <c r="O1129" i="7"/>
  <c r="N1129" i="7"/>
  <c r="M1129" i="7"/>
  <c r="L1129" i="7"/>
  <c r="K1129" i="7"/>
  <c r="J1129" i="7"/>
  <c r="I1129" i="7"/>
  <c r="H1129" i="7"/>
  <c r="G1129" i="7"/>
  <c r="F1129" i="7"/>
  <c r="E1129" i="7"/>
  <c r="D1129" i="7"/>
  <c r="C1129" i="7"/>
  <c r="O1128" i="7"/>
  <c r="N1128" i="7"/>
  <c r="M1128" i="7"/>
  <c r="L1128" i="7"/>
  <c r="K1128" i="7"/>
  <c r="J1128" i="7"/>
  <c r="I1128" i="7"/>
  <c r="H1128" i="7"/>
  <c r="G1128" i="7"/>
  <c r="F1128" i="7"/>
  <c r="E1128" i="7"/>
  <c r="D1128" i="7"/>
  <c r="C1128" i="7"/>
  <c r="O1127" i="7"/>
  <c r="N1127" i="7"/>
  <c r="M1127" i="7"/>
  <c r="L1127" i="7"/>
  <c r="K1127" i="7"/>
  <c r="J1127" i="7"/>
  <c r="I1127" i="7"/>
  <c r="H1127" i="7"/>
  <c r="G1127" i="7"/>
  <c r="F1127" i="7"/>
  <c r="E1127" i="7"/>
  <c r="D1127" i="7"/>
  <c r="C1127" i="7"/>
  <c r="O1126" i="7"/>
  <c r="N1126" i="7"/>
  <c r="M1126" i="7"/>
  <c r="L1126" i="7"/>
  <c r="K1126" i="7"/>
  <c r="J1126" i="7"/>
  <c r="I1126" i="7"/>
  <c r="H1126" i="7"/>
  <c r="G1126" i="7"/>
  <c r="F1126" i="7"/>
  <c r="E1126" i="7"/>
  <c r="D1126" i="7"/>
  <c r="C1126" i="7"/>
  <c r="O1125" i="7"/>
  <c r="N1125" i="7"/>
  <c r="M1125" i="7"/>
  <c r="L1125" i="7"/>
  <c r="K1125" i="7"/>
  <c r="J1125" i="7"/>
  <c r="I1125" i="7"/>
  <c r="H1125" i="7"/>
  <c r="G1125" i="7"/>
  <c r="F1125" i="7"/>
  <c r="E1125" i="7"/>
  <c r="D1125" i="7"/>
  <c r="C1125" i="7"/>
  <c r="O1124" i="7"/>
  <c r="N1124" i="7"/>
  <c r="M1124" i="7"/>
  <c r="L1124" i="7"/>
  <c r="K1124" i="7"/>
  <c r="J1124" i="7"/>
  <c r="I1124" i="7"/>
  <c r="H1124" i="7"/>
  <c r="G1124" i="7"/>
  <c r="F1124" i="7"/>
  <c r="E1124" i="7"/>
  <c r="D1124" i="7"/>
  <c r="C1124" i="7"/>
  <c r="O1123" i="7"/>
  <c r="N1123" i="7"/>
  <c r="M1123" i="7"/>
  <c r="L1123" i="7"/>
  <c r="K1123" i="7"/>
  <c r="J1123" i="7"/>
  <c r="I1123" i="7"/>
  <c r="H1123" i="7"/>
  <c r="G1123" i="7"/>
  <c r="F1123" i="7"/>
  <c r="E1123" i="7"/>
  <c r="D1123" i="7"/>
  <c r="C1123" i="7"/>
  <c r="O1122" i="7"/>
  <c r="N1122" i="7"/>
  <c r="M1122" i="7"/>
  <c r="L1122" i="7"/>
  <c r="K1122" i="7"/>
  <c r="J1122" i="7"/>
  <c r="I1122" i="7"/>
  <c r="H1122" i="7"/>
  <c r="G1122" i="7"/>
  <c r="F1122" i="7"/>
  <c r="E1122" i="7"/>
  <c r="D1122" i="7"/>
  <c r="C1122" i="7"/>
  <c r="O1121" i="7"/>
  <c r="N1121" i="7"/>
  <c r="M1121" i="7"/>
  <c r="L1121" i="7"/>
  <c r="K1121" i="7"/>
  <c r="J1121" i="7"/>
  <c r="I1121" i="7"/>
  <c r="H1121" i="7"/>
  <c r="G1121" i="7"/>
  <c r="F1121" i="7"/>
  <c r="E1121" i="7"/>
  <c r="D1121" i="7"/>
  <c r="C1121" i="7"/>
  <c r="O1120" i="7"/>
  <c r="N1120" i="7"/>
  <c r="M1120" i="7"/>
  <c r="L1120" i="7"/>
  <c r="K1120" i="7"/>
  <c r="J1120" i="7"/>
  <c r="I1120" i="7"/>
  <c r="H1120" i="7"/>
  <c r="G1120" i="7"/>
  <c r="F1120" i="7"/>
  <c r="E1120" i="7"/>
  <c r="D1120" i="7"/>
  <c r="C1120" i="7"/>
  <c r="O1119" i="7"/>
  <c r="N1119" i="7"/>
  <c r="M1119" i="7"/>
  <c r="L1119" i="7"/>
  <c r="K1119" i="7"/>
  <c r="J1119" i="7"/>
  <c r="I1119" i="7"/>
  <c r="H1119" i="7"/>
  <c r="G1119" i="7"/>
  <c r="F1119" i="7"/>
  <c r="E1119" i="7"/>
  <c r="D1119" i="7"/>
  <c r="C1119" i="7"/>
  <c r="O1118" i="7"/>
  <c r="N1118" i="7"/>
  <c r="M1118" i="7"/>
  <c r="L1118" i="7"/>
  <c r="K1118" i="7"/>
  <c r="J1118" i="7"/>
  <c r="I1118" i="7"/>
  <c r="H1118" i="7"/>
  <c r="G1118" i="7"/>
  <c r="F1118" i="7"/>
  <c r="E1118" i="7"/>
  <c r="D1118" i="7"/>
  <c r="C1118" i="7"/>
  <c r="O1117" i="7"/>
  <c r="N1117" i="7"/>
  <c r="M1117" i="7"/>
  <c r="L1117" i="7"/>
  <c r="K1117" i="7"/>
  <c r="J1117" i="7"/>
  <c r="I1117" i="7"/>
  <c r="H1117" i="7"/>
  <c r="G1117" i="7"/>
  <c r="F1117" i="7"/>
  <c r="E1117" i="7"/>
  <c r="D1117" i="7"/>
  <c r="C1117" i="7"/>
  <c r="O1116" i="7"/>
  <c r="N1116" i="7"/>
  <c r="M1116" i="7"/>
  <c r="L1116" i="7"/>
  <c r="K1116" i="7"/>
  <c r="J1116" i="7"/>
  <c r="I1116" i="7"/>
  <c r="H1116" i="7"/>
  <c r="G1116" i="7"/>
  <c r="F1116" i="7"/>
  <c r="E1116" i="7"/>
  <c r="D1116" i="7"/>
  <c r="C1116" i="7"/>
  <c r="O1115" i="7"/>
  <c r="N1115" i="7"/>
  <c r="M1115" i="7"/>
  <c r="L1115" i="7"/>
  <c r="K1115" i="7"/>
  <c r="J1115" i="7"/>
  <c r="I1115" i="7"/>
  <c r="H1115" i="7"/>
  <c r="G1115" i="7"/>
  <c r="F1115" i="7"/>
  <c r="E1115" i="7"/>
  <c r="D1115" i="7"/>
  <c r="C1115" i="7"/>
  <c r="O1114" i="7"/>
  <c r="N1114" i="7"/>
  <c r="M1114" i="7"/>
  <c r="L1114" i="7"/>
  <c r="K1114" i="7"/>
  <c r="J1114" i="7"/>
  <c r="I1114" i="7"/>
  <c r="H1114" i="7"/>
  <c r="G1114" i="7"/>
  <c r="F1114" i="7"/>
  <c r="E1114" i="7"/>
  <c r="D1114" i="7"/>
  <c r="C1114" i="7"/>
  <c r="O1113" i="7"/>
  <c r="N1113" i="7"/>
  <c r="M1113" i="7"/>
  <c r="L1113" i="7"/>
  <c r="K1113" i="7"/>
  <c r="J1113" i="7"/>
  <c r="I1113" i="7"/>
  <c r="H1113" i="7"/>
  <c r="G1113" i="7"/>
  <c r="F1113" i="7"/>
  <c r="E1113" i="7"/>
  <c r="D1113" i="7"/>
  <c r="C1113" i="7"/>
  <c r="O1112" i="7"/>
  <c r="N1112" i="7"/>
  <c r="M1112" i="7"/>
  <c r="L1112" i="7"/>
  <c r="K1112" i="7"/>
  <c r="J1112" i="7"/>
  <c r="I1112" i="7"/>
  <c r="H1112" i="7"/>
  <c r="G1112" i="7"/>
  <c r="F1112" i="7"/>
  <c r="E1112" i="7"/>
  <c r="D1112" i="7"/>
  <c r="C1112" i="7"/>
  <c r="O1111" i="7"/>
  <c r="N1111" i="7"/>
  <c r="M1111" i="7"/>
  <c r="L1111" i="7"/>
  <c r="K1111" i="7"/>
  <c r="J1111" i="7"/>
  <c r="I1111" i="7"/>
  <c r="H1111" i="7"/>
  <c r="G1111" i="7"/>
  <c r="F1111" i="7"/>
  <c r="E1111" i="7"/>
  <c r="D1111" i="7"/>
  <c r="C1111" i="7"/>
  <c r="O1110" i="7"/>
  <c r="N1110" i="7"/>
  <c r="M1110" i="7"/>
  <c r="L1110" i="7"/>
  <c r="K1110" i="7"/>
  <c r="J1110" i="7"/>
  <c r="I1110" i="7"/>
  <c r="H1110" i="7"/>
  <c r="G1110" i="7"/>
  <c r="F1110" i="7"/>
  <c r="E1110" i="7"/>
  <c r="D1110" i="7"/>
  <c r="C1110" i="7"/>
  <c r="O1109" i="7"/>
  <c r="N1109" i="7"/>
  <c r="M1109" i="7"/>
  <c r="L1109" i="7"/>
  <c r="K1109" i="7"/>
  <c r="J1109" i="7"/>
  <c r="I1109" i="7"/>
  <c r="H1109" i="7"/>
  <c r="G1109" i="7"/>
  <c r="F1109" i="7"/>
  <c r="E1109" i="7"/>
  <c r="D1109" i="7"/>
  <c r="C1109" i="7"/>
  <c r="O1108" i="7"/>
  <c r="N1108" i="7"/>
  <c r="M1108" i="7"/>
  <c r="L1108" i="7"/>
  <c r="K1108" i="7"/>
  <c r="J1108" i="7"/>
  <c r="I1108" i="7"/>
  <c r="H1108" i="7"/>
  <c r="G1108" i="7"/>
  <c r="F1108" i="7"/>
  <c r="E1108" i="7"/>
  <c r="D1108" i="7"/>
  <c r="C1108" i="7"/>
  <c r="O1107" i="7"/>
  <c r="N1107" i="7"/>
  <c r="M1107" i="7"/>
  <c r="L1107" i="7"/>
  <c r="K1107" i="7"/>
  <c r="J1107" i="7"/>
  <c r="I1107" i="7"/>
  <c r="H1107" i="7"/>
  <c r="G1107" i="7"/>
  <c r="F1107" i="7"/>
  <c r="E1107" i="7"/>
  <c r="D1107" i="7"/>
  <c r="C1107" i="7"/>
  <c r="O1106" i="7"/>
  <c r="N1106" i="7"/>
  <c r="M1106" i="7"/>
  <c r="L1106" i="7"/>
  <c r="K1106" i="7"/>
  <c r="J1106" i="7"/>
  <c r="I1106" i="7"/>
  <c r="H1106" i="7"/>
  <c r="G1106" i="7"/>
  <c r="F1106" i="7"/>
  <c r="E1106" i="7"/>
  <c r="D1106" i="7"/>
  <c r="C1106" i="7"/>
  <c r="O1105" i="7"/>
  <c r="N1105" i="7"/>
  <c r="M1105" i="7"/>
  <c r="L1105" i="7"/>
  <c r="K1105" i="7"/>
  <c r="J1105" i="7"/>
  <c r="I1105" i="7"/>
  <c r="H1105" i="7"/>
  <c r="G1105" i="7"/>
  <c r="F1105" i="7"/>
  <c r="E1105" i="7"/>
  <c r="D1105" i="7"/>
  <c r="C1105" i="7"/>
  <c r="O1104" i="7"/>
  <c r="N1104" i="7"/>
  <c r="M1104" i="7"/>
  <c r="L1104" i="7"/>
  <c r="K1104" i="7"/>
  <c r="J1104" i="7"/>
  <c r="I1104" i="7"/>
  <c r="H1104" i="7"/>
  <c r="G1104" i="7"/>
  <c r="F1104" i="7"/>
  <c r="E1104" i="7"/>
  <c r="D1104" i="7"/>
  <c r="C1104" i="7"/>
  <c r="O1103" i="7"/>
  <c r="N1103" i="7"/>
  <c r="M1103" i="7"/>
  <c r="L1103" i="7"/>
  <c r="K1103" i="7"/>
  <c r="J1103" i="7"/>
  <c r="I1103" i="7"/>
  <c r="H1103" i="7"/>
  <c r="G1103" i="7"/>
  <c r="F1103" i="7"/>
  <c r="E1103" i="7"/>
  <c r="D1103" i="7"/>
  <c r="C1103" i="7"/>
  <c r="O1102" i="7"/>
  <c r="N1102" i="7"/>
  <c r="M1102" i="7"/>
  <c r="L1102" i="7"/>
  <c r="K1102" i="7"/>
  <c r="J1102" i="7"/>
  <c r="I1102" i="7"/>
  <c r="H1102" i="7"/>
  <c r="G1102" i="7"/>
  <c r="F1102" i="7"/>
  <c r="E1102" i="7"/>
  <c r="D1102" i="7"/>
  <c r="C1102" i="7"/>
  <c r="O1101" i="7"/>
  <c r="N1101" i="7"/>
  <c r="M1101" i="7"/>
  <c r="L1101" i="7"/>
  <c r="K1101" i="7"/>
  <c r="J1101" i="7"/>
  <c r="I1101" i="7"/>
  <c r="H1101" i="7"/>
  <c r="G1101" i="7"/>
  <c r="F1101" i="7"/>
  <c r="E1101" i="7"/>
  <c r="D1101" i="7"/>
  <c r="C1101" i="7"/>
  <c r="O1100" i="7"/>
  <c r="N1100" i="7"/>
  <c r="M1100" i="7"/>
  <c r="L1100" i="7"/>
  <c r="K1100" i="7"/>
  <c r="J1100" i="7"/>
  <c r="I1100" i="7"/>
  <c r="H1100" i="7"/>
  <c r="G1100" i="7"/>
  <c r="F1100" i="7"/>
  <c r="E1100" i="7"/>
  <c r="D1100" i="7"/>
  <c r="C1100" i="7"/>
  <c r="O1099" i="7"/>
  <c r="N1099" i="7"/>
  <c r="M1099" i="7"/>
  <c r="L1099" i="7"/>
  <c r="K1099" i="7"/>
  <c r="J1099" i="7"/>
  <c r="I1099" i="7"/>
  <c r="H1099" i="7"/>
  <c r="G1099" i="7"/>
  <c r="F1099" i="7"/>
  <c r="E1099" i="7"/>
  <c r="D1099" i="7"/>
  <c r="C1099" i="7"/>
  <c r="O1098" i="7"/>
  <c r="N1098" i="7"/>
  <c r="M1098" i="7"/>
  <c r="L1098" i="7"/>
  <c r="K1098" i="7"/>
  <c r="J1098" i="7"/>
  <c r="I1098" i="7"/>
  <c r="H1098" i="7"/>
  <c r="G1098" i="7"/>
  <c r="F1098" i="7"/>
  <c r="E1098" i="7"/>
  <c r="D1098" i="7"/>
  <c r="C1098" i="7"/>
  <c r="O1097" i="7"/>
  <c r="N1097" i="7"/>
  <c r="M1097" i="7"/>
  <c r="L1097" i="7"/>
  <c r="K1097" i="7"/>
  <c r="J1097" i="7"/>
  <c r="I1097" i="7"/>
  <c r="H1097" i="7"/>
  <c r="G1097" i="7"/>
  <c r="F1097" i="7"/>
  <c r="E1097" i="7"/>
  <c r="D1097" i="7"/>
  <c r="C1097" i="7"/>
  <c r="O1096" i="7"/>
  <c r="N1096" i="7"/>
  <c r="M1096" i="7"/>
  <c r="L1096" i="7"/>
  <c r="K1096" i="7"/>
  <c r="J1096" i="7"/>
  <c r="I1096" i="7"/>
  <c r="H1096" i="7"/>
  <c r="G1096" i="7"/>
  <c r="F1096" i="7"/>
  <c r="E1096" i="7"/>
  <c r="D1096" i="7"/>
  <c r="C1096" i="7"/>
  <c r="O1095" i="7"/>
  <c r="N1095" i="7"/>
  <c r="M1095" i="7"/>
  <c r="L1095" i="7"/>
  <c r="K1095" i="7"/>
  <c r="J1095" i="7"/>
  <c r="I1095" i="7"/>
  <c r="H1095" i="7"/>
  <c r="G1095" i="7"/>
  <c r="F1095" i="7"/>
  <c r="E1095" i="7"/>
  <c r="D1095" i="7"/>
  <c r="C1095" i="7"/>
  <c r="O1094" i="7"/>
  <c r="N1094" i="7"/>
  <c r="M1094" i="7"/>
  <c r="L1094" i="7"/>
  <c r="K1094" i="7"/>
  <c r="J1094" i="7"/>
  <c r="I1094" i="7"/>
  <c r="H1094" i="7"/>
  <c r="G1094" i="7"/>
  <c r="F1094" i="7"/>
  <c r="E1094" i="7"/>
  <c r="D1094" i="7"/>
  <c r="C1094" i="7"/>
  <c r="O1093" i="7"/>
  <c r="N1093" i="7"/>
  <c r="M1093" i="7"/>
  <c r="L1093" i="7"/>
  <c r="K1093" i="7"/>
  <c r="J1093" i="7"/>
  <c r="I1093" i="7"/>
  <c r="H1093" i="7"/>
  <c r="G1093" i="7"/>
  <c r="F1093" i="7"/>
  <c r="E1093" i="7"/>
  <c r="D1093" i="7"/>
  <c r="C1093" i="7"/>
  <c r="O1092" i="7"/>
  <c r="N1092" i="7"/>
  <c r="M1092" i="7"/>
  <c r="L1092" i="7"/>
  <c r="K1092" i="7"/>
  <c r="J1092" i="7"/>
  <c r="I1092" i="7"/>
  <c r="H1092" i="7"/>
  <c r="G1092" i="7"/>
  <c r="F1092" i="7"/>
  <c r="E1092" i="7"/>
  <c r="D1092" i="7"/>
  <c r="C1092" i="7"/>
  <c r="O1091" i="7"/>
  <c r="N1091" i="7"/>
  <c r="M1091" i="7"/>
  <c r="L1091" i="7"/>
  <c r="K1091" i="7"/>
  <c r="J1091" i="7"/>
  <c r="I1091" i="7"/>
  <c r="H1091" i="7"/>
  <c r="G1091" i="7"/>
  <c r="F1091" i="7"/>
  <c r="E1091" i="7"/>
  <c r="D1091" i="7"/>
  <c r="C1091" i="7"/>
  <c r="O1090" i="7"/>
  <c r="N1090" i="7"/>
  <c r="M1090" i="7"/>
  <c r="L1090" i="7"/>
  <c r="K1090" i="7"/>
  <c r="J1090" i="7"/>
  <c r="I1090" i="7"/>
  <c r="H1090" i="7"/>
  <c r="G1090" i="7"/>
  <c r="F1090" i="7"/>
  <c r="E1090" i="7"/>
  <c r="D1090" i="7"/>
  <c r="C1090" i="7"/>
  <c r="O1089" i="7"/>
  <c r="N1089" i="7"/>
  <c r="M1089" i="7"/>
  <c r="L1089" i="7"/>
  <c r="K1089" i="7"/>
  <c r="J1089" i="7"/>
  <c r="I1089" i="7"/>
  <c r="H1089" i="7"/>
  <c r="G1089" i="7"/>
  <c r="F1089" i="7"/>
  <c r="E1089" i="7"/>
  <c r="D1089" i="7"/>
  <c r="C1089" i="7"/>
  <c r="O1088" i="7"/>
  <c r="N1088" i="7"/>
  <c r="M1088" i="7"/>
  <c r="L1088" i="7"/>
  <c r="K1088" i="7"/>
  <c r="J1088" i="7"/>
  <c r="I1088" i="7"/>
  <c r="H1088" i="7"/>
  <c r="G1088" i="7"/>
  <c r="F1088" i="7"/>
  <c r="E1088" i="7"/>
  <c r="D1088" i="7"/>
  <c r="C1088" i="7"/>
  <c r="O1087" i="7"/>
  <c r="N1087" i="7"/>
  <c r="M1087" i="7"/>
  <c r="L1087" i="7"/>
  <c r="K1087" i="7"/>
  <c r="J1087" i="7"/>
  <c r="I1087" i="7"/>
  <c r="H1087" i="7"/>
  <c r="G1087" i="7"/>
  <c r="F1087" i="7"/>
  <c r="E1087" i="7"/>
  <c r="D1087" i="7"/>
  <c r="C1087" i="7"/>
  <c r="O1086" i="7"/>
  <c r="N1086" i="7"/>
  <c r="M1086" i="7"/>
  <c r="L1086" i="7"/>
  <c r="K1086" i="7"/>
  <c r="J1086" i="7"/>
  <c r="I1086" i="7"/>
  <c r="H1086" i="7"/>
  <c r="G1086" i="7"/>
  <c r="F1086" i="7"/>
  <c r="E1086" i="7"/>
  <c r="D1086" i="7"/>
  <c r="C1086" i="7"/>
  <c r="O1085" i="7"/>
  <c r="N1085" i="7"/>
  <c r="M1085" i="7"/>
  <c r="L1085" i="7"/>
  <c r="K1085" i="7"/>
  <c r="J1085" i="7"/>
  <c r="I1085" i="7"/>
  <c r="H1085" i="7"/>
  <c r="G1085" i="7"/>
  <c r="F1085" i="7"/>
  <c r="E1085" i="7"/>
  <c r="D1085" i="7"/>
  <c r="C1085" i="7"/>
  <c r="O1084" i="7"/>
  <c r="N1084" i="7"/>
  <c r="M1084" i="7"/>
  <c r="L1084" i="7"/>
  <c r="K1084" i="7"/>
  <c r="J1084" i="7"/>
  <c r="I1084" i="7"/>
  <c r="H1084" i="7"/>
  <c r="G1084" i="7"/>
  <c r="F1084" i="7"/>
  <c r="E1084" i="7"/>
  <c r="D1084" i="7"/>
  <c r="C1084" i="7"/>
  <c r="O1083" i="7"/>
  <c r="N1083" i="7"/>
  <c r="M1083" i="7"/>
  <c r="L1083" i="7"/>
  <c r="K1083" i="7"/>
  <c r="J1083" i="7"/>
  <c r="I1083" i="7"/>
  <c r="H1083" i="7"/>
  <c r="G1083" i="7"/>
  <c r="F1083" i="7"/>
  <c r="E1083" i="7"/>
  <c r="D1083" i="7"/>
  <c r="C1083" i="7"/>
  <c r="O1082" i="7"/>
  <c r="N1082" i="7"/>
  <c r="M1082" i="7"/>
  <c r="L1082" i="7"/>
  <c r="K1082" i="7"/>
  <c r="J1082" i="7"/>
  <c r="I1082" i="7"/>
  <c r="H1082" i="7"/>
  <c r="G1082" i="7"/>
  <c r="F1082" i="7"/>
  <c r="E1082" i="7"/>
  <c r="D1082" i="7"/>
  <c r="C1082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C1081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C1076" i="7"/>
  <c r="O1075" i="7"/>
  <c r="N1075" i="7"/>
  <c r="M1075" i="7"/>
  <c r="L1075" i="7"/>
  <c r="K1075" i="7"/>
  <c r="J1075" i="7"/>
  <c r="I1075" i="7"/>
  <c r="H1075" i="7"/>
  <c r="G1075" i="7"/>
  <c r="F1075" i="7"/>
  <c r="E1075" i="7"/>
  <c r="D1075" i="7"/>
  <c r="C1075" i="7"/>
  <c r="O1074" i="7"/>
  <c r="N1074" i="7"/>
  <c r="M1074" i="7"/>
  <c r="L1074" i="7"/>
  <c r="K1074" i="7"/>
  <c r="J1074" i="7"/>
  <c r="I1074" i="7"/>
  <c r="H1074" i="7"/>
  <c r="G1074" i="7"/>
  <c r="F1074" i="7"/>
  <c r="E1074" i="7"/>
  <c r="D1074" i="7"/>
  <c r="C1074" i="7"/>
  <c r="O1073" i="7"/>
  <c r="N1073" i="7"/>
  <c r="M1073" i="7"/>
  <c r="L1073" i="7"/>
  <c r="K1073" i="7"/>
  <c r="J1073" i="7"/>
  <c r="I1073" i="7"/>
  <c r="H1073" i="7"/>
  <c r="G1073" i="7"/>
  <c r="F1073" i="7"/>
  <c r="E1073" i="7"/>
  <c r="D1073" i="7"/>
  <c r="C1073" i="7"/>
  <c r="O1072" i="7"/>
  <c r="N1072" i="7"/>
  <c r="M1072" i="7"/>
  <c r="L1072" i="7"/>
  <c r="K1072" i="7"/>
  <c r="J1072" i="7"/>
  <c r="I1072" i="7"/>
  <c r="H1072" i="7"/>
  <c r="G1072" i="7"/>
  <c r="F1072" i="7"/>
  <c r="E1072" i="7"/>
  <c r="D1072" i="7"/>
  <c r="C1072" i="7"/>
  <c r="O1071" i="7"/>
  <c r="N1071" i="7"/>
  <c r="M1071" i="7"/>
  <c r="L1071" i="7"/>
  <c r="K1071" i="7"/>
  <c r="J1071" i="7"/>
  <c r="I1071" i="7"/>
  <c r="H1071" i="7"/>
  <c r="G1071" i="7"/>
  <c r="F1071" i="7"/>
  <c r="E1071" i="7"/>
  <c r="D1071" i="7"/>
  <c r="C1071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C1070" i="7"/>
  <c r="O1069" i="7"/>
  <c r="N1069" i="7"/>
  <c r="M1069" i="7"/>
  <c r="L1069" i="7"/>
  <c r="K1069" i="7"/>
  <c r="J1069" i="7"/>
  <c r="I1069" i="7"/>
  <c r="H1069" i="7"/>
  <c r="G1069" i="7"/>
  <c r="F1069" i="7"/>
  <c r="E1069" i="7"/>
  <c r="D1069" i="7"/>
  <c r="C1069" i="7"/>
  <c r="O1068" i="7"/>
  <c r="N1068" i="7"/>
  <c r="M1068" i="7"/>
  <c r="L1068" i="7"/>
  <c r="K1068" i="7"/>
  <c r="J1068" i="7"/>
  <c r="I1068" i="7"/>
  <c r="H1068" i="7"/>
  <c r="G1068" i="7"/>
  <c r="F1068" i="7"/>
  <c r="E1068" i="7"/>
  <c r="D1068" i="7"/>
  <c r="C1068" i="7"/>
  <c r="O1067" i="7"/>
  <c r="N1067" i="7"/>
  <c r="M1067" i="7"/>
  <c r="L1067" i="7"/>
  <c r="K1067" i="7"/>
  <c r="J1067" i="7"/>
  <c r="I1067" i="7"/>
  <c r="H1067" i="7"/>
  <c r="G1067" i="7"/>
  <c r="F1067" i="7"/>
  <c r="E1067" i="7"/>
  <c r="D1067" i="7"/>
  <c r="C1067" i="7"/>
  <c r="O1066" i="7"/>
  <c r="N1066" i="7"/>
  <c r="M1066" i="7"/>
  <c r="L1066" i="7"/>
  <c r="K1066" i="7"/>
  <c r="J1066" i="7"/>
  <c r="I1066" i="7"/>
  <c r="H1066" i="7"/>
  <c r="G1066" i="7"/>
  <c r="F1066" i="7"/>
  <c r="E1066" i="7"/>
  <c r="D1066" i="7"/>
  <c r="C1066" i="7"/>
  <c r="O1065" i="7"/>
  <c r="N1065" i="7"/>
  <c r="M1065" i="7"/>
  <c r="L1065" i="7"/>
  <c r="K1065" i="7"/>
  <c r="J1065" i="7"/>
  <c r="I1065" i="7"/>
  <c r="H1065" i="7"/>
  <c r="G1065" i="7"/>
  <c r="F1065" i="7"/>
  <c r="E1065" i="7"/>
  <c r="D1065" i="7"/>
  <c r="C1065" i="7"/>
  <c r="O1064" i="7"/>
  <c r="N1064" i="7"/>
  <c r="M1064" i="7"/>
  <c r="L1064" i="7"/>
  <c r="K1064" i="7"/>
  <c r="J1064" i="7"/>
  <c r="I1064" i="7"/>
  <c r="H1064" i="7"/>
  <c r="G1064" i="7"/>
  <c r="F1064" i="7"/>
  <c r="E1064" i="7"/>
  <c r="D1064" i="7"/>
  <c r="C1064" i="7"/>
  <c r="O1063" i="7"/>
  <c r="N1063" i="7"/>
  <c r="M1063" i="7"/>
  <c r="L1063" i="7"/>
  <c r="K1063" i="7"/>
  <c r="J1063" i="7"/>
  <c r="I1063" i="7"/>
  <c r="H1063" i="7"/>
  <c r="G1063" i="7"/>
  <c r="F1063" i="7"/>
  <c r="E1063" i="7"/>
  <c r="D1063" i="7"/>
  <c r="C1063" i="7"/>
  <c r="O1062" i="7"/>
  <c r="N1062" i="7"/>
  <c r="M1062" i="7"/>
  <c r="L1062" i="7"/>
  <c r="K1062" i="7"/>
  <c r="J1062" i="7"/>
  <c r="I1062" i="7"/>
  <c r="H1062" i="7"/>
  <c r="G1062" i="7"/>
  <c r="F1062" i="7"/>
  <c r="E1062" i="7"/>
  <c r="D1062" i="7"/>
  <c r="C1062" i="7"/>
  <c r="O1061" i="7"/>
  <c r="N1061" i="7"/>
  <c r="M1061" i="7"/>
  <c r="L1061" i="7"/>
  <c r="K1061" i="7"/>
  <c r="J1061" i="7"/>
  <c r="I1061" i="7"/>
  <c r="H1061" i="7"/>
  <c r="G1061" i="7"/>
  <c r="F1061" i="7"/>
  <c r="E1061" i="7"/>
  <c r="D1061" i="7"/>
  <c r="C1061" i="7"/>
  <c r="O1060" i="7"/>
  <c r="N1060" i="7"/>
  <c r="M1060" i="7"/>
  <c r="L1060" i="7"/>
  <c r="K1060" i="7"/>
  <c r="J1060" i="7"/>
  <c r="I1060" i="7"/>
  <c r="H1060" i="7"/>
  <c r="G1060" i="7"/>
  <c r="F1060" i="7"/>
  <c r="E1060" i="7"/>
  <c r="D1060" i="7"/>
  <c r="C1060" i="7"/>
  <c r="O1059" i="7"/>
  <c r="N1059" i="7"/>
  <c r="M1059" i="7"/>
  <c r="L1059" i="7"/>
  <c r="K1059" i="7"/>
  <c r="J1059" i="7"/>
  <c r="I1059" i="7"/>
  <c r="H1059" i="7"/>
  <c r="G1059" i="7"/>
  <c r="F1059" i="7"/>
  <c r="E1059" i="7"/>
  <c r="D1059" i="7"/>
  <c r="C1059" i="7"/>
  <c r="O1054" i="7"/>
  <c r="N1054" i="7"/>
  <c r="M1054" i="7"/>
  <c r="L1054" i="7"/>
  <c r="K1054" i="7"/>
  <c r="J1054" i="7"/>
  <c r="I1054" i="7"/>
  <c r="H1054" i="7"/>
  <c r="G1054" i="7"/>
  <c r="F1054" i="7"/>
  <c r="E1054" i="7"/>
  <c r="D1054" i="7"/>
  <c r="C1054" i="7"/>
  <c r="C1053" i="7"/>
  <c r="C1052" i="7"/>
  <c r="C1051" i="7"/>
  <c r="O1050" i="7"/>
  <c r="N1050" i="7"/>
  <c r="M1050" i="7"/>
  <c r="L1050" i="7"/>
  <c r="K1050" i="7"/>
  <c r="J1050" i="7"/>
  <c r="I1050" i="7"/>
  <c r="G1050" i="7"/>
  <c r="F1050" i="7"/>
  <c r="E1050" i="7"/>
  <c r="D1050" i="7"/>
  <c r="C1050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C1049" i="7"/>
  <c r="O1048" i="7"/>
  <c r="N1048" i="7"/>
  <c r="M1048" i="7"/>
  <c r="L1048" i="7"/>
  <c r="K1048" i="7"/>
  <c r="J1048" i="7"/>
  <c r="I1048" i="7"/>
  <c r="H1048" i="7"/>
  <c r="G1048" i="7"/>
  <c r="F1048" i="7"/>
  <c r="E1048" i="7"/>
  <c r="D1048" i="7"/>
  <c r="C1048" i="7"/>
  <c r="O1047" i="7"/>
  <c r="N1047" i="7"/>
  <c r="M1047" i="7"/>
  <c r="L1047" i="7"/>
  <c r="K1047" i="7"/>
  <c r="J1047" i="7"/>
  <c r="I1047" i="7"/>
  <c r="H1047" i="7"/>
  <c r="G1047" i="7"/>
  <c r="F1047" i="7"/>
  <c r="E1047" i="7"/>
  <c r="D1047" i="7"/>
  <c r="C1047" i="7"/>
  <c r="O1046" i="7"/>
  <c r="N1046" i="7"/>
  <c r="M1046" i="7"/>
  <c r="L1046" i="7"/>
  <c r="K1046" i="7"/>
  <c r="J1046" i="7"/>
  <c r="I1046" i="7"/>
  <c r="H1046" i="7"/>
  <c r="G1046" i="7"/>
  <c r="F1046" i="7"/>
  <c r="E1046" i="7"/>
  <c r="D1046" i="7"/>
  <c r="C1046" i="7"/>
  <c r="O1045" i="7"/>
  <c r="N1045" i="7"/>
  <c r="M1045" i="7"/>
  <c r="L1045" i="7"/>
  <c r="K1045" i="7"/>
  <c r="J1045" i="7"/>
  <c r="I1045" i="7"/>
  <c r="H1045" i="7"/>
  <c r="G1045" i="7"/>
  <c r="F1045" i="7"/>
  <c r="E1045" i="7"/>
  <c r="D1045" i="7"/>
  <c r="C1045" i="7"/>
  <c r="O1044" i="7"/>
  <c r="N1044" i="7"/>
  <c r="M1044" i="7"/>
  <c r="L1044" i="7"/>
  <c r="K1044" i="7"/>
  <c r="J1044" i="7"/>
  <c r="I1044" i="7"/>
  <c r="H1044" i="7"/>
  <c r="G1044" i="7"/>
  <c r="F1044" i="7"/>
  <c r="E1044" i="7"/>
  <c r="D1044" i="7"/>
  <c r="C1044" i="7"/>
  <c r="O1043" i="7"/>
  <c r="N1043" i="7"/>
  <c r="M1043" i="7"/>
  <c r="L1043" i="7"/>
  <c r="K1043" i="7"/>
  <c r="J1043" i="7"/>
  <c r="I1043" i="7"/>
  <c r="H1043" i="7"/>
  <c r="G1043" i="7"/>
  <c r="F1043" i="7"/>
  <c r="E1043" i="7"/>
  <c r="D1043" i="7"/>
  <c r="C1043" i="7"/>
  <c r="O1042" i="7"/>
  <c r="N1042" i="7"/>
  <c r="M1042" i="7"/>
  <c r="L1042" i="7"/>
  <c r="K1042" i="7"/>
  <c r="J1042" i="7"/>
  <c r="I1042" i="7"/>
  <c r="H1042" i="7"/>
  <c r="G1042" i="7"/>
  <c r="F1042" i="7"/>
  <c r="E1042" i="7"/>
  <c r="D1042" i="7"/>
  <c r="C1042" i="7"/>
  <c r="O1041" i="7"/>
  <c r="N1041" i="7"/>
  <c r="M1041" i="7"/>
  <c r="L1041" i="7"/>
  <c r="K1041" i="7"/>
  <c r="J1041" i="7"/>
  <c r="I1041" i="7"/>
  <c r="H1041" i="7"/>
  <c r="G1041" i="7"/>
  <c r="F1041" i="7"/>
  <c r="E1041" i="7"/>
  <c r="D1041" i="7"/>
  <c r="C1041" i="7"/>
  <c r="O1040" i="7"/>
  <c r="N1040" i="7"/>
  <c r="M1040" i="7"/>
  <c r="L1040" i="7"/>
  <c r="K1040" i="7"/>
  <c r="J1040" i="7"/>
  <c r="I1040" i="7"/>
  <c r="H1040" i="7"/>
  <c r="G1040" i="7"/>
  <c r="F1040" i="7"/>
  <c r="E1040" i="7"/>
  <c r="D1040" i="7"/>
  <c r="C1040" i="7"/>
  <c r="O1039" i="7"/>
  <c r="N1039" i="7"/>
  <c r="M1039" i="7"/>
  <c r="L1039" i="7"/>
  <c r="K1039" i="7"/>
  <c r="J1039" i="7"/>
  <c r="I1039" i="7"/>
  <c r="H1039" i="7"/>
  <c r="G1039" i="7"/>
  <c r="F1039" i="7"/>
  <c r="E1039" i="7"/>
  <c r="D1039" i="7"/>
  <c r="C1039" i="7"/>
  <c r="O1038" i="7"/>
  <c r="N1038" i="7"/>
  <c r="M1038" i="7"/>
  <c r="L1038" i="7"/>
  <c r="K1038" i="7"/>
  <c r="J1038" i="7"/>
  <c r="I1038" i="7"/>
  <c r="H1038" i="7"/>
  <c r="G1038" i="7"/>
  <c r="F1038" i="7"/>
  <c r="E1038" i="7"/>
  <c r="D1038" i="7"/>
  <c r="C1038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C1036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C1035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C1034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C1033" i="7"/>
  <c r="O1032" i="7"/>
  <c r="N1032" i="7"/>
  <c r="M1032" i="7"/>
  <c r="L1032" i="7"/>
  <c r="K1032" i="7"/>
  <c r="J1032" i="7"/>
  <c r="I1032" i="7"/>
  <c r="H1032" i="7"/>
  <c r="G1032" i="7"/>
  <c r="F1032" i="7"/>
  <c r="E1032" i="7"/>
  <c r="D1032" i="7"/>
  <c r="C1032" i="7"/>
  <c r="O1031" i="7"/>
  <c r="N1031" i="7"/>
  <c r="M1031" i="7"/>
  <c r="L1031" i="7"/>
  <c r="K1031" i="7"/>
  <c r="J1031" i="7"/>
  <c r="I1031" i="7"/>
  <c r="H1031" i="7"/>
  <c r="G1031" i="7"/>
  <c r="F1031" i="7"/>
  <c r="E1031" i="7"/>
  <c r="D1031" i="7"/>
  <c r="C1031" i="7"/>
  <c r="O1030" i="7"/>
  <c r="N1030" i="7"/>
  <c r="M1030" i="7"/>
  <c r="L1030" i="7"/>
  <c r="K1030" i="7"/>
  <c r="J1030" i="7"/>
  <c r="I1030" i="7"/>
  <c r="H1030" i="7"/>
  <c r="G1030" i="7"/>
  <c r="F1030" i="7"/>
  <c r="E1030" i="7"/>
  <c r="D1030" i="7"/>
  <c r="C1030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C1029" i="7"/>
  <c r="O1028" i="7"/>
  <c r="N1028" i="7"/>
  <c r="M1028" i="7"/>
  <c r="L1028" i="7"/>
  <c r="K1028" i="7"/>
  <c r="J1028" i="7"/>
  <c r="I1028" i="7"/>
  <c r="H1028" i="7"/>
  <c r="G1028" i="7"/>
  <c r="F1028" i="7"/>
  <c r="E1028" i="7"/>
  <c r="D1028" i="7"/>
  <c r="C1028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C1027" i="7"/>
  <c r="O1026" i="7"/>
  <c r="N1026" i="7"/>
  <c r="M1026" i="7"/>
  <c r="L1026" i="7"/>
  <c r="K1026" i="7"/>
  <c r="J1026" i="7"/>
  <c r="I1026" i="7"/>
  <c r="H1026" i="7"/>
  <c r="G1026" i="7"/>
  <c r="F1026" i="7"/>
  <c r="E1026" i="7"/>
  <c r="D1026" i="7"/>
  <c r="C1026" i="7"/>
  <c r="O1025" i="7"/>
  <c r="N1025" i="7"/>
  <c r="M1025" i="7"/>
  <c r="L1025" i="7"/>
  <c r="K1025" i="7"/>
  <c r="J1025" i="7"/>
  <c r="I1025" i="7"/>
  <c r="H1025" i="7"/>
  <c r="G1025" i="7"/>
  <c r="F1025" i="7"/>
  <c r="E1025" i="7"/>
  <c r="D1025" i="7"/>
  <c r="C1025" i="7"/>
  <c r="O1024" i="7"/>
  <c r="N1024" i="7"/>
  <c r="M1024" i="7"/>
  <c r="L1024" i="7"/>
  <c r="K1024" i="7"/>
  <c r="J1024" i="7"/>
  <c r="I1024" i="7"/>
  <c r="H1024" i="7"/>
  <c r="G1024" i="7"/>
  <c r="F1024" i="7"/>
  <c r="E1024" i="7"/>
  <c r="D1024" i="7"/>
  <c r="C1024" i="7"/>
  <c r="O1023" i="7"/>
  <c r="N1023" i="7"/>
  <c r="M1023" i="7"/>
  <c r="L1023" i="7"/>
  <c r="K1023" i="7"/>
  <c r="J1023" i="7"/>
  <c r="I1023" i="7"/>
  <c r="H1023" i="7"/>
  <c r="G1023" i="7"/>
  <c r="F1023" i="7"/>
  <c r="E1023" i="7"/>
  <c r="D1023" i="7"/>
  <c r="C1023" i="7"/>
  <c r="O1022" i="7"/>
  <c r="N1022" i="7"/>
  <c r="M1022" i="7"/>
  <c r="L1022" i="7"/>
  <c r="K1022" i="7"/>
  <c r="J1022" i="7"/>
  <c r="I1022" i="7"/>
  <c r="H1022" i="7"/>
  <c r="G1022" i="7"/>
  <c r="F1022" i="7"/>
  <c r="E1022" i="7"/>
  <c r="D1022" i="7"/>
  <c r="C1022" i="7"/>
  <c r="O1021" i="7"/>
  <c r="N1021" i="7"/>
  <c r="M1021" i="7"/>
  <c r="L1021" i="7"/>
  <c r="K1021" i="7"/>
  <c r="J1021" i="7"/>
  <c r="I1021" i="7"/>
  <c r="H1021" i="7"/>
  <c r="G1021" i="7"/>
  <c r="F1021" i="7"/>
  <c r="E1021" i="7"/>
  <c r="D1021" i="7"/>
  <c r="C1021" i="7"/>
  <c r="O1020" i="7"/>
  <c r="N1020" i="7"/>
  <c r="M1020" i="7"/>
  <c r="L1020" i="7"/>
  <c r="K1020" i="7"/>
  <c r="J1020" i="7"/>
  <c r="I1020" i="7"/>
  <c r="H1020" i="7"/>
  <c r="G1020" i="7"/>
  <c r="F1020" i="7"/>
  <c r="E1020" i="7"/>
  <c r="D1020" i="7"/>
  <c r="C1020" i="7"/>
  <c r="O1019" i="7"/>
  <c r="N1019" i="7"/>
  <c r="M1019" i="7"/>
  <c r="L1019" i="7"/>
  <c r="K1019" i="7"/>
  <c r="J1019" i="7"/>
  <c r="I1019" i="7"/>
  <c r="H1019" i="7"/>
  <c r="G1019" i="7"/>
  <c r="F1019" i="7"/>
  <c r="E1019" i="7"/>
  <c r="D1019" i="7"/>
  <c r="C1019" i="7"/>
  <c r="O1018" i="7"/>
  <c r="N1018" i="7"/>
  <c r="M1018" i="7"/>
  <c r="L1018" i="7"/>
  <c r="K1018" i="7"/>
  <c r="J1018" i="7"/>
  <c r="I1018" i="7"/>
  <c r="H1018" i="7"/>
  <c r="G1018" i="7"/>
  <c r="F1018" i="7"/>
  <c r="E1018" i="7"/>
  <c r="D1018" i="7"/>
  <c r="C1018" i="7"/>
  <c r="O1017" i="7"/>
  <c r="N1017" i="7"/>
  <c r="M1017" i="7"/>
  <c r="L1017" i="7"/>
  <c r="K1017" i="7"/>
  <c r="J1017" i="7"/>
  <c r="I1017" i="7"/>
  <c r="H1017" i="7"/>
  <c r="G1017" i="7"/>
  <c r="F1017" i="7"/>
  <c r="E1017" i="7"/>
  <c r="D1017" i="7"/>
  <c r="C1017" i="7"/>
  <c r="O1016" i="7"/>
  <c r="N1016" i="7"/>
  <c r="M1016" i="7"/>
  <c r="L1016" i="7"/>
  <c r="K1016" i="7"/>
  <c r="J1016" i="7"/>
  <c r="I1016" i="7"/>
  <c r="H1016" i="7"/>
  <c r="G1016" i="7"/>
  <c r="F1016" i="7"/>
  <c r="E1016" i="7"/>
  <c r="D1016" i="7"/>
  <c r="C1016" i="7"/>
  <c r="O1015" i="7"/>
  <c r="N1015" i="7"/>
  <c r="M1015" i="7"/>
  <c r="L1015" i="7"/>
  <c r="K1015" i="7"/>
  <c r="J1015" i="7"/>
  <c r="I1015" i="7"/>
  <c r="H1015" i="7"/>
  <c r="G1015" i="7"/>
  <c r="F1015" i="7"/>
  <c r="E1015" i="7"/>
  <c r="D1015" i="7"/>
  <c r="C1015" i="7"/>
  <c r="O1014" i="7"/>
  <c r="N1014" i="7"/>
  <c r="M1014" i="7"/>
  <c r="L1014" i="7"/>
  <c r="K1014" i="7"/>
  <c r="J1014" i="7"/>
  <c r="I1014" i="7"/>
  <c r="H1014" i="7"/>
  <c r="G1014" i="7"/>
  <c r="F1014" i="7"/>
  <c r="E1014" i="7"/>
  <c r="D1014" i="7"/>
  <c r="C1014" i="7"/>
  <c r="O1013" i="7"/>
  <c r="N1013" i="7"/>
  <c r="M1013" i="7"/>
  <c r="L1013" i="7"/>
  <c r="K1013" i="7"/>
  <c r="J1013" i="7"/>
  <c r="I1013" i="7"/>
  <c r="H1013" i="7"/>
  <c r="G1013" i="7"/>
  <c r="F1013" i="7"/>
  <c r="E1013" i="7"/>
  <c r="D1013" i="7"/>
  <c r="C1013" i="7"/>
  <c r="O1012" i="7"/>
  <c r="N1012" i="7"/>
  <c r="M1012" i="7"/>
  <c r="L1012" i="7"/>
  <c r="K1012" i="7"/>
  <c r="J1012" i="7"/>
  <c r="I1012" i="7"/>
  <c r="H1012" i="7"/>
  <c r="G1012" i="7"/>
  <c r="F1012" i="7"/>
  <c r="E1012" i="7"/>
  <c r="D1012" i="7"/>
  <c r="C1012" i="7"/>
  <c r="O1011" i="7"/>
  <c r="N1011" i="7"/>
  <c r="M1011" i="7"/>
  <c r="L1011" i="7"/>
  <c r="K1011" i="7"/>
  <c r="J1011" i="7"/>
  <c r="I1011" i="7"/>
  <c r="H1011" i="7"/>
  <c r="G1011" i="7"/>
  <c r="F1011" i="7"/>
  <c r="E1011" i="7"/>
  <c r="D1011" i="7"/>
  <c r="C1011" i="7"/>
  <c r="O1010" i="7"/>
  <c r="N1010" i="7"/>
  <c r="M1010" i="7"/>
  <c r="L1010" i="7"/>
  <c r="K1010" i="7"/>
  <c r="J1010" i="7"/>
  <c r="I1010" i="7"/>
  <c r="H1010" i="7"/>
  <c r="G1010" i="7"/>
  <c r="F1010" i="7"/>
  <c r="E1010" i="7"/>
  <c r="D1010" i="7"/>
  <c r="C1010" i="7"/>
  <c r="O1009" i="7"/>
  <c r="N1009" i="7"/>
  <c r="M1009" i="7"/>
  <c r="L1009" i="7"/>
  <c r="K1009" i="7"/>
  <c r="J1009" i="7"/>
  <c r="I1009" i="7"/>
  <c r="H1009" i="7"/>
  <c r="G1009" i="7"/>
  <c r="F1009" i="7"/>
  <c r="E1009" i="7"/>
  <c r="D1009" i="7"/>
  <c r="C1009" i="7"/>
  <c r="O1008" i="7"/>
  <c r="N1008" i="7"/>
  <c r="M1008" i="7"/>
  <c r="L1008" i="7"/>
  <c r="K1008" i="7"/>
  <c r="J1008" i="7"/>
  <c r="I1008" i="7"/>
  <c r="H1008" i="7"/>
  <c r="G1008" i="7"/>
  <c r="F1008" i="7"/>
  <c r="E1008" i="7"/>
  <c r="D1008" i="7"/>
  <c r="C1008" i="7"/>
  <c r="O1007" i="7"/>
  <c r="N1007" i="7"/>
  <c r="M1007" i="7"/>
  <c r="L1007" i="7"/>
  <c r="K1007" i="7"/>
  <c r="J1007" i="7"/>
  <c r="I1007" i="7"/>
  <c r="H1007" i="7"/>
  <c r="G1007" i="7"/>
  <c r="F1007" i="7"/>
  <c r="E1007" i="7"/>
  <c r="D1007" i="7"/>
  <c r="C1007" i="7"/>
  <c r="O1006" i="7"/>
  <c r="N1006" i="7"/>
  <c r="M1006" i="7"/>
  <c r="L1006" i="7"/>
  <c r="K1006" i="7"/>
  <c r="J1006" i="7"/>
  <c r="I1006" i="7"/>
  <c r="H1006" i="7"/>
  <c r="G1006" i="7"/>
  <c r="F1006" i="7"/>
  <c r="E1006" i="7"/>
  <c r="D1006" i="7"/>
  <c r="C1006" i="7"/>
  <c r="O1005" i="7"/>
  <c r="N1005" i="7"/>
  <c r="M1005" i="7"/>
  <c r="L1005" i="7"/>
  <c r="K1005" i="7"/>
  <c r="J1005" i="7"/>
  <c r="I1005" i="7"/>
  <c r="H1005" i="7"/>
  <c r="G1005" i="7"/>
  <c r="F1005" i="7"/>
  <c r="E1005" i="7"/>
  <c r="D1005" i="7"/>
  <c r="C1005" i="7"/>
  <c r="O1004" i="7"/>
  <c r="N1004" i="7"/>
  <c r="M1004" i="7"/>
  <c r="L1004" i="7"/>
  <c r="K1004" i="7"/>
  <c r="J1004" i="7"/>
  <c r="I1004" i="7"/>
  <c r="H1004" i="7"/>
  <c r="G1004" i="7"/>
  <c r="F1004" i="7"/>
  <c r="E1004" i="7"/>
  <c r="D1004" i="7"/>
  <c r="C1004" i="7"/>
  <c r="O1003" i="7"/>
  <c r="N1003" i="7"/>
  <c r="M1003" i="7"/>
  <c r="L1003" i="7"/>
  <c r="K1003" i="7"/>
  <c r="J1003" i="7"/>
  <c r="I1003" i="7"/>
  <c r="H1003" i="7"/>
  <c r="G1003" i="7"/>
  <c r="F1003" i="7"/>
  <c r="E1003" i="7"/>
  <c r="D1003" i="7"/>
  <c r="C1003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O1001" i="7"/>
  <c r="N1001" i="7"/>
  <c r="M1001" i="7"/>
  <c r="L1001" i="7"/>
  <c r="K1001" i="7"/>
  <c r="J1001" i="7"/>
  <c r="I1001" i="7"/>
  <c r="H1001" i="7"/>
  <c r="G1001" i="7"/>
  <c r="F1001" i="7"/>
  <c r="E1001" i="7"/>
  <c r="D1001" i="7"/>
  <c r="C1001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O999" i="7"/>
  <c r="N999" i="7"/>
  <c r="M999" i="7"/>
  <c r="L999" i="7"/>
  <c r="K999" i="7"/>
  <c r="J999" i="7"/>
  <c r="I999" i="7"/>
  <c r="H999" i="7"/>
  <c r="G999" i="7"/>
  <c r="F999" i="7"/>
  <c r="E999" i="7"/>
  <c r="D999" i="7"/>
  <c r="C999" i="7"/>
  <c r="O998" i="7"/>
  <c r="N998" i="7"/>
  <c r="M998" i="7"/>
  <c r="L998" i="7"/>
  <c r="K998" i="7"/>
  <c r="J998" i="7"/>
  <c r="I998" i="7"/>
  <c r="H998" i="7"/>
  <c r="G998" i="7"/>
  <c r="F998" i="7"/>
  <c r="E998" i="7"/>
  <c r="D998" i="7"/>
  <c r="C998" i="7"/>
  <c r="O997" i="7"/>
  <c r="N997" i="7"/>
  <c r="M997" i="7"/>
  <c r="L997" i="7"/>
  <c r="K997" i="7"/>
  <c r="J997" i="7"/>
  <c r="I997" i="7"/>
  <c r="H997" i="7"/>
  <c r="G997" i="7"/>
  <c r="F997" i="7"/>
  <c r="E997" i="7"/>
  <c r="D997" i="7"/>
  <c r="C997" i="7"/>
  <c r="O996" i="7"/>
  <c r="N996" i="7"/>
  <c r="M996" i="7"/>
  <c r="L996" i="7"/>
  <c r="K996" i="7"/>
  <c r="J996" i="7"/>
  <c r="I996" i="7"/>
  <c r="H996" i="7"/>
  <c r="G996" i="7"/>
  <c r="F996" i="7"/>
  <c r="E996" i="7"/>
  <c r="D996" i="7"/>
  <c r="C996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C995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C994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C993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C992" i="7"/>
  <c r="O991" i="7"/>
  <c r="N991" i="7"/>
  <c r="M991" i="7"/>
  <c r="L991" i="7"/>
  <c r="K991" i="7"/>
  <c r="J991" i="7"/>
  <c r="I991" i="7"/>
  <c r="H991" i="7"/>
  <c r="G991" i="7"/>
  <c r="F991" i="7"/>
  <c r="E991" i="7"/>
  <c r="D991" i="7"/>
  <c r="C991" i="7"/>
  <c r="O990" i="7"/>
  <c r="N990" i="7"/>
  <c r="M990" i="7"/>
  <c r="L990" i="7"/>
  <c r="K990" i="7"/>
  <c r="J990" i="7"/>
  <c r="I990" i="7"/>
  <c r="H990" i="7"/>
  <c r="G990" i="7"/>
  <c r="F990" i="7"/>
  <c r="E990" i="7"/>
  <c r="D990" i="7"/>
  <c r="C990" i="7"/>
  <c r="O989" i="7"/>
  <c r="N989" i="7"/>
  <c r="M989" i="7"/>
  <c r="L989" i="7"/>
  <c r="K989" i="7"/>
  <c r="J989" i="7"/>
  <c r="I989" i="7"/>
  <c r="H989" i="7"/>
  <c r="G989" i="7"/>
  <c r="F989" i="7"/>
  <c r="E989" i="7"/>
  <c r="D989" i="7"/>
  <c r="C989" i="7"/>
  <c r="O988" i="7"/>
  <c r="N988" i="7"/>
  <c r="M988" i="7"/>
  <c r="L988" i="7"/>
  <c r="K988" i="7"/>
  <c r="J988" i="7"/>
  <c r="I988" i="7"/>
  <c r="H988" i="7"/>
  <c r="G988" i="7"/>
  <c r="F988" i="7"/>
  <c r="E988" i="7"/>
  <c r="D988" i="7"/>
  <c r="C988" i="7"/>
  <c r="O987" i="7"/>
  <c r="N987" i="7"/>
  <c r="M987" i="7"/>
  <c r="L987" i="7"/>
  <c r="K987" i="7"/>
  <c r="J987" i="7"/>
  <c r="I987" i="7"/>
  <c r="H987" i="7"/>
  <c r="G987" i="7"/>
  <c r="F987" i="7"/>
  <c r="E987" i="7"/>
  <c r="D987" i="7"/>
  <c r="C987" i="7"/>
  <c r="O986" i="7"/>
  <c r="N986" i="7"/>
  <c r="M986" i="7"/>
  <c r="L986" i="7"/>
  <c r="K986" i="7"/>
  <c r="J986" i="7"/>
  <c r="I986" i="7"/>
  <c r="H986" i="7"/>
  <c r="G986" i="7"/>
  <c r="F986" i="7"/>
  <c r="E986" i="7"/>
  <c r="D986" i="7"/>
  <c r="C986" i="7"/>
  <c r="O985" i="7"/>
  <c r="N985" i="7"/>
  <c r="M985" i="7"/>
  <c r="L985" i="7"/>
  <c r="K985" i="7"/>
  <c r="J985" i="7"/>
  <c r="I985" i="7"/>
  <c r="H985" i="7"/>
  <c r="G985" i="7"/>
  <c r="F985" i="7"/>
  <c r="E985" i="7"/>
  <c r="D985" i="7"/>
  <c r="C985" i="7"/>
  <c r="O984" i="7"/>
  <c r="N984" i="7"/>
  <c r="M984" i="7"/>
  <c r="L984" i="7"/>
  <c r="K984" i="7"/>
  <c r="J984" i="7"/>
  <c r="I984" i="7"/>
  <c r="H984" i="7"/>
  <c r="G984" i="7"/>
  <c r="F984" i="7"/>
  <c r="E984" i="7"/>
  <c r="D984" i="7"/>
  <c r="C984" i="7"/>
  <c r="O983" i="7"/>
  <c r="N983" i="7"/>
  <c r="M983" i="7"/>
  <c r="L983" i="7"/>
  <c r="K983" i="7"/>
  <c r="J983" i="7"/>
  <c r="I983" i="7"/>
  <c r="H983" i="7"/>
  <c r="G983" i="7"/>
  <c r="F983" i="7"/>
  <c r="E983" i="7"/>
  <c r="D983" i="7"/>
  <c r="C983" i="7"/>
  <c r="O982" i="7"/>
  <c r="N982" i="7"/>
  <c r="M982" i="7"/>
  <c r="L982" i="7"/>
  <c r="K982" i="7"/>
  <c r="J982" i="7"/>
  <c r="I982" i="7"/>
  <c r="H982" i="7"/>
  <c r="G982" i="7"/>
  <c r="F982" i="7"/>
  <c r="E982" i="7"/>
  <c r="D982" i="7"/>
  <c r="C982" i="7"/>
  <c r="O981" i="7"/>
  <c r="N981" i="7"/>
  <c r="M981" i="7"/>
  <c r="L981" i="7"/>
  <c r="K981" i="7"/>
  <c r="J981" i="7"/>
  <c r="I981" i="7"/>
  <c r="H981" i="7"/>
  <c r="G981" i="7"/>
  <c r="F981" i="7"/>
  <c r="E981" i="7"/>
  <c r="D981" i="7"/>
  <c r="C981" i="7"/>
  <c r="O980" i="7"/>
  <c r="N980" i="7"/>
  <c r="M980" i="7"/>
  <c r="L980" i="7"/>
  <c r="K980" i="7"/>
  <c r="J980" i="7"/>
  <c r="I980" i="7"/>
  <c r="H980" i="7"/>
  <c r="G980" i="7"/>
  <c r="F980" i="7"/>
  <c r="E980" i="7"/>
  <c r="D980" i="7"/>
  <c r="C980" i="7"/>
  <c r="O979" i="7"/>
  <c r="N979" i="7"/>
  <c r="M979" i="7"/>
  <c r="L979" i="7"/>
  <c r="K979" i="7"/>
  <c r="J979" i="7"/>
  <c r="I979" i="7"/>
  <c r="H979" i="7"/>
  <c r="G979" i="7"/>
  <c r="F979" i="7"/>
  <c r="E979" i="7"/>
  <c r="D979" i="7"/>
  <c r="C979" i="7"/>
  <c r="O978" i="7"/>
  <c r="N978" i="7"/>
  <c r="M978" i="7"/>
  <c r="L978" i="7"/>
  <c r="K978" i="7"/>
  <c r="J978" i="7"/>
  <c r="I978" i="7"/>
  <c r="H978" i="7"/>
  <c r="G978" i="7"/>
  <c r="F978" i="7"/>
  <c r="E978" i="7"/>
  <c r="D978" i="7"/>
  <c r="C978" i="7"/>
  <c r="O977" i="7"/>
  <c r="N977" i="7"/>
  <c r="M977" i="7"/>
  <c r="L977" i="7"/>
  <c r="K977" i="7"/>
  <c r="J977" i="7"/>
  <c r="I977" i="7"/>
  <c r="H977" i="7"/>
  <c r="G977" i="7"/>
  <c r="F977" i="7"/>
  <c r="E977" i="7"/>
  <c r="D977" i="7"/>
  <c r="C977" i="7"/>
  <c r="O976" i="7"/>
  <c r="N976" i="7"/>
  <c r="M976" i="7"/>
  <c r="L976" i="7"/>
  <c r="K976" i="7"/>
  <c r="J976" i="7"/>
  <c r="I976" i="7"/>
  <c r="H976" i="7"/>
  <c r="G976" i="7"/>
  <c r="F976" i="7"/>
  <c r="E976" i="7"/>
  <c r="D976" i="7"/>
  <c r="C976" i="7"/>
  <c r="O975" i="7"/>
  <c r="N975" i="7"/>
  <c r="M975" i="7"/>
  <c r="L975" i="7"/>
  <c r="K975" i="7"/>
  <c r="J975" i="7"/>
  <c r="I975" i="7"/>
  <c r="H975" i="7"/>
  <c r="G975" i="7"/>
  <c r="F975" i="7"/>
  <c r="E975" i="7"/>
  <c r="D975" i="7"/>
  <c r="C975" i="7"/>
  <c r="O974" i="7"/>
  <c r="N974" i="7"/>
  <c r="M974" i="7"/>
  <c r="L974" i="7"/>
  <c r="K974" i="7"/>
  <c r="J974" i="7"/>
  <c r="I974" i="7"/>
  <c r="H974" i="7"/>
  <c r="G974" i="7"/>
  <c r="F974" i="7"/>
  <c r="E974" i="7"/>
  <c r="D974" i="7"/>
  <c r="C974" i="7"/>
  <c r="O973" i="7"/>
  <c r="N973" i="7"/>
  <c r="M973" i="7"/>
  <c r="L973" i="7"/>
  <c r="K973" i="7"/>
  <c r="J973" i="7"/>
  <c r="I973" i="7"/>
  <c r="H973" i="7"/>
  <c r="G973" i="7"/>
  <c r="F973" i="7"/>
  <c r="E973" i="7"/>
  <c r="D973" i="7"/>
  <c r="C973" i="7"/>
  <c r="O972" i="7"/>
  <c r="N972" i="7"/>
  <c r="M972" i="7"/>
  <c r="L972" i="7"/>
  <c r="K972" i="7"/>
  <c r="J972" i="7"/>
  <c r="I972" i="7"/>
  <c r="H972" i="7"/>
  <c r="G972" i="7"/>
  <c r="F972" i="7"/>
  <c r="E972" i="7"/>
  <c r="D972" i="7"/>
  <c r="C972" i="7"/>
  <c r="O971" i="7"/>
  <c r="N971" i="7"/>
  <c r="M971" i="7"/>
  <c r="L971" i="7"/>
  <c r="K971" i="7"/>
  <c r="J971" i="7"/>
  <c r="I971" i="7"/>
  <c r="H971" i="7"/>
  <c r="G971" i="7"/>
  <c r="F971" i="7"/>
  <c r="E971" i="7"/>
  <c r="D971" i="7"/>
  <c r="C971" i="7"/>
  <c r="O970" i="7"/>
  <c r="N970" i="7"/>
  <c r="M970" i="7"/>
  <c r="L970" i="7"/>
  <c r="K970" i="7"/>
  <c r="J970" i="7"/>
  <c r="I970" i="7"/>
  <c r="H970" i="7"/>
  <c r="G970" i="7"/>
  <c r="F970" i="7"/>
  <c r="E970" i="7"/>
  <c r="D970" i="7"/>
  <c r="C970" i="7"/>
  <c r="O969" i="7"/>
  <c r="N969" i="7"/>
  <c r="M969" i="7"/>
  <c r="L969" i="7"/>
  <c r="K969" i="7"/>
  <c r="J969" i="7"/>
  <c r="I969" i="7"/>
  <c r="H969" i="7"/>
  <c r="G969" i="7"/>
  <c r="F969" i="7"/>
  <c r="E969" i="7"/>
  <c r="D969" i="7"/>
  <c r="C969" i="7"/>
  <c r="O968" i="7"/>
  <c r="N968" i="7"/>
  <c r="M968" i="7"/>
  <c r="L968" i="7"/>
  <c r="K968" i="7"/>
  <c r="J968" i="7"/>
  <c r="I968" i="7"/>
  <c r="H968" i="7"/>
  <c r="G968" i="7"/>
  <c r="F968" i="7"/>
  <c r="E968" i="7"/>
  <c r="D968" i="7"/>
  <c r="C968" i="7"/>
  <c r="O967" i="7"/>
  <c r="N967" i="7"/>
  <c r="M967" i="7"/>
  <c r="L967" i="7"/>
  <c r="K967" i="7"/>
  <c r="J967" i="7"/>
  <c r="I967" i="7"/>
  <c r="H967" i="7"/>
  <c r="G967" i="7"/>
  <c r="F967" i="7"/>
  <c r="E967" i="7"/>
  <c r="D967" i="7"/>
  <c r="C967" i="7"/>
  <c r="O966" i="7"/>
  <c r="N966" i="7"/>
  <c r="M966" i="7"/>
  <c r="L966" i="7"/>
  <c r="K966" i="7"/>
  <c r="J966" i="7"/>
  <c r="I966" i="7"/>
  <c r="H966" i="7"/>
  <c r="G966" i="7"/>
  <c r="F966" i="7"/>
  <c r="E966" i="7"/>
  <c r="D966" i="7"/>
  <c r="C966" i="7"/>
  <c r="O965" i="7"/>
  <c r="N965" i="7"/>
  <c r="M965" i="7"/>
  <c r="L965" i="7"/>
  <c r="K965" i="7"/>
  <c r="J965" i="7"/>
  <c r="I965" i="7"/>
  <c r="H965" i="7"/>
  <c r="G965" i="7"/>
  <c r="F965" i="7"/>
  <c r="E965" i="7"/>
  <c r="D965" i="7"/>
  <c r="C965" i="7"/>
  <c r="O964" i="7"/>
  <c r="N964" i="7"/>
  <c r="M964" i="7"/>
  <c r="L964" i="7"/>
  <c r="K964" i="7"/>
  <c r="J964" i="7"/>
  <c r="I964" i="7"/>
  <c r="H964" i="7"/>
  <c r="G964" i="7"/>
  <c r="F964" i="7"/>
  <c r="E964" i="7"/>
  <c r="D964" i="7"/>
  <c r="C964" i="7"/>
  <c r="O963" i="7"/>
  <c r="N963" i="7"/>
  <c r="M963" i="7"/>
  <c r="L963" i="7"/>
  <c r="K963" i="7"/>
  <c r="J963" i="7"/>
  <c r="I963" i="7"/>
  <c r="H963" i="7"/>
  <c r="G963" i="7"/>
  <c r="F963" i="7"/>
  <c r="E963" i="7"/>
  <c r="D963" i="7"/>
  <c r="C963" i="7"/>
  <c r="O962" i="7"/>
  <c r="N962" i="7"/>
  <c r="M962" i="7"/>
  <c r="L962" i="7"/>
  <c r="K962" i="7"/>
  <c r="J962" i="7"/>
  <c r="I962" i="7"/>
  <c r="H962" i="7"/>
  <c r="G962" i="7"/>
  <c r="F962" i="7"/>
  <c r="E962" i="7"/>
  <c r="D962" i="7"/>
  <c r="C962" i="7"/>
  <c r="O961" i="7"/>
  <c r="N961" i="7"/>
  <c r="M961" i="7"/>
  <c r="L961" i="7"/>
  <c r="K961" i="7"/>
  <c r="J961" i="7"/>
  <c r="I961" i="7"/>
  <c r="H961" i="7"/>
  <c r="G961" i="7"/>
  <c r="F961" i="7"/>
  <c r="E961" i="7"/>
  <c r="D961" i="7"/>
  <c r="C961" i="7"/>
  <c r="O960" i="7"/>
  <c r="N960" i="7"/>
  <c r="M960" i="7"/>
  <c r="L960" i="7"/>
  <c r="K960" i="7"/>
  <c r="J960" i="7"/>
  <c r="I960" i="7"/>
  <c r="H960" i="7"/>
  <c r="G960" i="7"/>
  <c r="F960" i="7"/>
  <c r="E960" i="7"/>
  <c r="D960" i="7"/>
  <c r="C960" i="7"/>
  <c r="O959" i="7"/>
  <c r="N959" i="7"/>
  <c r="M959" i="7"/>
  <c r="L959" i="7"/>
  <c r="K959" i="7"/>
  <c r="J959" i="7"/>
  <c r="I959" i="7"/>
  <c r="H959" i="7"/>
  <c r="G959" i="7"/>
  <c r="F959" i="7"/>
  <c r="E959" i="7"/>
  <c r="D959" i="7"/>
  <c r="C959" i="7"/>
  <c r="O958" i="7"/>
  <c r="N958" i="7"/>
  <c r="M958" i="7"/>
  <c r="L958" i="7"/>
  <c r="K958" i="7"/>
  <c r="J958" i="7"/>
  <c r="I958" i="7"/>
  <c r="H958" i="7"/>
  <c r="G958" i="7"/>
  <c r="F958" i="7"/>
  <c r="E958" i="7"/>
  <c r="D958" i="7"/>
  <c r="C958" i="7"/>
  <c r="O957" i="7"/>
  <c r="N957" i="7"/>
  <c r="M957" i="7"/>
  <c r="L957" i="7"/>
  <c r="K957" i="7"/>
  <c r="J957" i="7"/>
  <c r="I957" i="7"/>
  <c r="H957" i="7"/>
  <c r="G957" i="7"/>
  <c r="F957" i="7"/>
  <c r="E957" i="7"/>
  <c r="D957" i="7"/>
  <c r="C957" i="7"/>
  <c r="O956" i="7"/>
  <c r="N956" i="7"/>
  <c r="M956" i="7"/>
  <c r="L956" i="7"/>
  <c r="K956" i="7"/>
  <c r="J956" i="7"/>
  <c r="I956" i="7"/>
  <c r="H956" i="7"/>
  <c r="G956" i="7"/>
  <c r="F956" i="7"/>
  <c r="E956" i="7"/>
  <c r="D956" i="7"/>
  <c r="C956" i="7"/>
  <c r="O955" i="7"/>
  <c r="N955" i="7"/>
  <c r="M955" i="7"/>
  <c r="L955" i="7"/>
  <c r="K955" i="7"/>
  <c r="J955" i="7"/>
  <c r="I955" i="7"/>
  <c r="H955" i="7"/>
  <c r="G955" i="7"/>
  <c r="F955" i="7"/>
  <c r="E955" i="7"/>
  <c r="D955" i="7"/>
  <c r="C955" i="7"/>
  <c r="O954" i="7"/>
  <c r="N954" i="7"/>
  <c r="M954" i="7"/>
  <c r="L954" i="7"/>
  <c r="K954" i="7"/>
  <c r="J954" i="7"/>
  <c r="I954" i="7"/>
  <c r="H954" i="7"/>
  <c r="G954" i="7"/>
  <c r="F954" i="7"/>
  <c r="E954" i="7"/>
  <c r="D954" i="7"/>
  <c r="C954" i="7"/>
  <c r="O953" i="7"/>
  <c r="N953" i="7"/>
  <c r="M953" i="7"/>
  <c r="L953" i="7"/>
  <c r="K953" i="7"/>
  <c r="J953" i="7"/>
  <c r="I953" i="7"/>
  <c r="H953" i="7"/>
  <c r="G953" i="7"/>
  <c r="F953" i="7"/>
  <c r="E953" i="7"/>
  <c r="D953" i="7"/>
  <c r="C953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O951" i="7"/>
  <c r="N951" i="7"/>
  <c r="M951" i="7"/>
  <c r="L951" i="7"/>
  <c r="K951" i="7"/>
  <c r="J951" i="7"/>
  <c r="I951" i="7"/>
  <c r="H951" i="7"/>
  <c r="G951" i="7"/>
  <c r="F951" i="7"/>
  <c r="E951" i="7"/>
  <c r="D951" i="7"/>
  <c r="C951" i="7"/>
  <c r="O950" i="7"/>
  <c r="N950" i="7"/>
  <c r="M950" i="7"/>
  <c r="L950" i="7"/>
  <c r="K950" i="7"/>
  <c r="J950" i="7"/>
  <c r="I950" i="7"/>
  <c r="H950" i="7"/>
  <c r="G950" i="7"/>
  <c r="F950" i="7"/>
  <c r="E950" i="7"/>
  <c r="D950" i="7"/>
  <c r="C950" i="7"/>
  <c r="O949" i="7"/>
  <c r="N949" i="7"/>
  <c r="M949" i="7"/>
  <c r="L949" i="7"/>
  <c r="K949" i="7"/>
  <c r="J949" i="7"/>
  <c r="I949" i="7"/>
  <c r="H949" i="7"/>
  <c r="G949" i="7"/>
  <c r="F949" i="7"/>
  <c r="E949" i="7"/>
  <c r="D949" i="7"/>
  <c r="C949" i="7"/>
  <c r="O948" i="7"/>
  <c r="N948" i="7"/>
  <c r="M948" i="7"/>
  <c r="L948" i="7"/>
  <c r="K948" i="7"/>
  <c r="J948" i="7"/>
  <c r="I948" i="7"/>
  <c r="H948" i="7"/>
  <c r="G948" i="7"/>
  <c r="F948" i="7"/>
  <c r="E948" i="7"/>
  <c r="D948" i="7"/>
  <c r="C948" i="7"/>
  <c r="O947" i="7"/>
  <c r="N947" i="7"/>
  <c r="M947" i="7"/>
  <c r="L947" i="7"/>
  <c r="K947" i="7"/>
  <c r="J947" i="7"/>
  <c r="I947" i="7"/>
  <c r="H947" i="7"/>
  <c r="G947" i="7"/>
  <c r="F947" i="7"/>
  <c r="E947" i="7"/>
  <c r="D947" i="7"/>
  <c r="C947" i="7"/>
  <c r="O946" i="7"/>
  <c r="N946" i="7"/>
  <c r="M946" i="7"/>
  <c r="L946" i="7"/>
  <c r="K946" i="7"/>
  <c r="J946" i="7"/>
  <c r="I946" i="7"/>
  <c r="H946" i="7"/>
  <c r="G946" i="7"/>
  <c r="F946" i="7"/>
  <c r="E946" i="7"/>
  <c r="D946" i="7"/>
  <c r="C946" i="7"/>
  <c r="O945" i="7"/>
  <c r="N945" i="7"/>
  <c r="M945" i="7"/>
  <c r="L945" i="7"/>
  <c r="K945" i="7"/>
  <c r="J945" i="7"/>
  <c r="I945" i="7"/>
  <c r="H945" i="7"/>
  <c r="G945" i="7"/>
  <c r="F945" i="7"/>
  <c r="E945" i="7"/>
  <c r="D945" i="7"/>
  <c r="C945" i="7"/>
  <c r="O944" i="7"/>
  <c r="N944" i="7"/>
  <c r="M944" i="7"/>
  <c r="L944" i="7"/>
  <c r="K944" i="7"/>
  <c r="J944" i="7"/>
  <c r="I944" i="7"/>
  <c r="H944" i="7"/>
  <c r="G944" i="7"/>
  <c r="F944" i="7"/>
  <c r="E944" i="7"/>
  <c r="D944" i="7"/>
  <c r="C944" i="7"/>
  <c r="O943" i="7"/>
  <c r="N943" i="7"/>
  <c r="M943" i="7"/>
  <c r="L943" i="7"/>
  <c r="K943" i="7"/>
  <c r="J943" i="7"/>
  <c r="I943" i="7"/>
  <c r="H943" i="7"/>
  <c r="G943" i="7"/>
  <c r="F943" i="7"/>
  <c r="E943" i="7"/>
  <c r="D943" i="7"/>
  <c r="C943" i="7"/>
  <c r="O942" i="7"/>
  <c r="N942" i="7"/>
  <c r="M942" i="7"/>
  <c r="L942" i="7"/>
  <c r="K942" i="7"/>
  <c r="J942" i="7"/>
  <c r="I942" i="7"/>
  <c r="H942" i="7"/>
  <c r="G942" i="7"/>
  <c r="F942" i="7"/>
  <c r="E942" i="7"/>
  <c r="D942" i="7"/>
  <c r="C942" i="7"/>
  <c r="O937" i="7"/>
  <c r="N937" i="7"/>
  <c r="M937" i="7"/>
  <c r="L937" i="7"/>
  <c r="K937" i="7"/>
  <c r="J937" i="7"/>
  <c r="I937" i="7"/>
  <c r="H937" i="7"/>
  <c r="G937" i="7"/>
  <c r="F937" i="7"/>
  <c r="E937" i="7"/>
  <c r="D937" i="7"/>
  <c r="C937" i="7"/>
  <c r="C936" i="7"/>
  <c r="C935" i="7"/>
  <c r="C934" i="7"/>
  <c r="O933" i="7"/>
  <c r="N933" i="7"/>
  <c r="M933" i="7"/>
  <c r="L933" i="7"/>
  <c r="K933" i="7"/>
  <c r="J933" i="7"/>
  <c r="I933" i="7"/>
  <c r="G933" i="7"/>
  <c r="F933" i="7"/>
  <c r="E933" i="7"/>
  <c r="D933" i="7"/>
  <c r="C933" i="7"/>
  <c r="O932" i="7"/>
  <c r="N932" i="7"/>
  <c r="M932" i="7"/>
  <c r="L932" i="7"/>
  <c r="K932" i="7"/>
  <c r="J932" i="7"/>
  <c r="I932" i="7"/>
  <c r="H932" i="7"/>
  <c r="G932" i="7"/>
  <c r="F932" i="7"/>
  <c r="E932" i="7"/>
  <c r="D932" i="7"/>
  <c r="C932" i="7"/>
  <c r="O931" i="7"/>
  <c r="N931" i="7"/>
  <c r="M931" i="7"/>
  <c r="L931" i="7"/>
  <c r="K931" i="7"/>
  <c r="J931" i="7"/>
  <c r="I931" i="7"/>
  <c r="H931" i="7"/>
  <c r="G931" i="7"/>
  <c r="F931" i="7"/>
  <c r="E931" i="7"/>
  <c r="D931" i="7"/>
  <c r="C931" i="7"/>
  <c r="O930" i="7"/>
  <c r="N930" i="7"/>
  <c r="M930" i="7"/>
  <c r="L930" i="7"/>
  <c r="K930" i="7"/>
  <c r="J930" i="7"/>
  <c r="I930" i="7"/>
  <c r="H930" i="7"/>
  <c r="G930" i="7"/>
  <c r="F930" i="7"/>
  <c r="E930" i="7"/>
  <c r="D930" i="7"/>
  <c r="C930" i="7"/>
  <c r="O929" i="7"/>
  <c r="N929" i="7"/>
  <c r="M929" i="7"/>
  <c r="L929" i="7"/>
  <c r="K929" i="7"/>
  <c r="J929" i="7"/>
  <c r="I929" i="7"/>
  <c r="H929" i="7"/>
  <c r="G929" i="7"/>
  <c r="F929" i="7"/>
  <c r="E929" i="7"/>
  <c r="D929" i="7"/>
  <c r="C929" i="7"/>
  <c r="O928" i="7"/>
  <c r="N928" i="7"/>
  <c r="M928" i="7"/>
  <c r="L928" i="7"/>
  <c r="K928" i="7"/>
  <c r="J928" i="7"/>
  <c r="I928" i="7"/>
  <c r="H928" i="7"/>
  <c r="G928" i="7"/>
  <c r="F928" i="7"/>
  <c r="E928" i="7"/>
  <c r="D928" i="7"/>
  <c r="C928" i="7"/>
  <c r="O927" i="7"/>
  <c r="N927" i="7"/>
  <c r="M927" i="7"/>
  <c r="L927" i="7"/>
  <c r="K927" i="7"/>
  <c r="J927" i="7"/>
  <c r="I927" i="7"/>
  <c r="H927" i="7"/>
  <c r="G927" i="7"/>
  <c r="F927" i="7"/>
  <c r="E927" i="7"/>
  <c r="D927" i="7"/>
  <c r="C927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6" i="7"/>
  <c r="O925" i="7"/>
  <c r="N925" i="7"/>
  <c r="M925" i="7"/>
  <c r="L925" i="7"/>
  <c r="K925" i="7"/>
  <c r="J925" i="7"/>
  <c r="I925" i="7"/>
  <c r="H925" i="7"/>
  <c r="G925" i="7"/>
  <c r="F925" i="7"/>
  <c r="E925" i="7"/>
  <c r="D925" i="7"/>
  <c r="C925" i="7"/>
  <c r="O924" i="7"/>
  <c r="N924" i="7"/>
  <c r="M924" i="7"/>
  <c r="L924" i="7"/>
  <c r="K924" i="7"/>
  <c r="J924" i="7"/>
  <c r="I924" i="7"/>
  <c r="H924" i="7"/>
  <c r="G924" i="7"/>
  <c r="F924" i="7"/>
  <c r="E924" i="7"/>
  <c r="D924" i="7"/>
  <c r="C924" i="7"/>
  <c r="O923" i="7"/>
  <c r="N923" i="7"/>
  <c r="M923" i="7"/>
  <c r="L923" i="7"/>
  <c r="K923" i="7"/>
  <c r="J923" i="7"/>
  <c r="I923" i="7"/>
  <c r="H923" i="7"/>
  <c r="G923" i="7"/>
  <c r="F923" i="7"/>
  <c r="E923" i="7"/>
  <c r="D923" i="7"/>
  <c r="C923" i="7"/>
  <c r="O922" i="7"/>
  <c r="N922" i="7"/>
  <c r="M922" i="7"/>
  <c r="L922" i="7"/>
  <c r="K922" i="7"/>
  <c r="J922" i="7"/>
  <c r="I922" i="7"/>
  <c r="H922" i="7"/>
  <c r="G922" i="7"/>
  <c r="F922" i="7"/>
  <c r="E922" i="7"/>
  <c r="D922" i="7"/>
  <c r="C922" i="7"/>
  <c r="O921" i="7"/>
  <c r="N921" i="7"/>
  <c r="M921" i="7"/>
  <c r="L921" i="7"/>
  <c r="K921" i="7"/>
  <c r="J921" i="7"/>
  <c r="I921" i="7"/>
  <c r="H921" i="7"/>
  <c r="G921" i="7"/>
  <c r="F921" i="7"/>
  <c r="E921" i="7"/>
  <c r="D921" i="7"/>
  <c r="C921" i="7"/>
  <c r="O920" i="7"/>
  <c r="N920" i="7"/>
  <c r="M920" i="7"/>
  <c r="L920" i="7"/>
  <c r="K920" i="7"/>
  <c r="J920" i="7"/>
  <c r="I920" i="7"/>
  <c r="H920" i="7"/>
  <c r="G920" i="7"/>
  <c r="F920" i="7"/>
  <c r="E920" i="7"/>
  <c r="D920" i="7"/>
  <c r="C920" i="7"/>
  <c r="O919" i="7"/>
  <c r="N919" i="7"/>
  <c r="M919" i="7"/>
  <c r="L919" i="7"/>
  <c r="K919" i="7"/>
  <c r="J919" i="7"/>
  <c r="I919" i="7"/>
  <c r="H919" i="7"/>
  <c r="G919" i="7"/>
  <c r="F919" i="7"/>
  <c r="E919" i="7"/>
  <c r="D919" i="7"/>
  <c r="C919" i="7"/>
  <c r="O918" i="7"/>
  <c r="N918" i="7"/>
  <c r="M918" i="7"/>
  <c r="L918" i="7"/>
  <c r="K918" i="7"/>
  <c r="J918" i="7"/>
  <c r="I918" i="7"/>
  <c r="H918" i="7"/>
  <c r="G918" i="7"/>
  <c r="F918" i="7"/>
  <c r="E918" i="7"/>
  <c r="D918" i="7"/>
  <c r="C918" i="7"/>
  <c r="O917" i="7"/>
  <c r="N917" i="7"/>
  <c r="M917" i="7"/>
  <c r="L917" i="7"/>
  <c r="K917" i="7"/>
  <c r="J917" i="7"/>
  <c r="I917" i="7"/>
  <c r="H917" i="7"/>
  <c r="G917" i="7"/>
  <c r="F917" i="7"/>
  <c r="E917" i="7"/>
  <c r="D917" i="7"/>
  <c r="C917" i="7"/>
  <c r="O916" i="7"/>
  <c r="N916" i="7"/>
  <c r="M916" i="7"/>
  <c r="L916" i="7"/>
  <c r="K916" i="7"/>
  <c r="J916" i="7"/>
  <c r="I916" i="7"/>
  <c r="H916" i="7"/>
  <c r="G916" i="7"/>
  <c r="F916" i="7"/>
  <c r="E916" i="7"/>
  <c r="D916" i="7"/>
  <c r="C916" i="7"/>
  <c r="O915" i="7"/>
  <c r="N915" i="7"/>
  <c r="M915" i="7"/>
  <c r="L915" i="7"/>
  <c r="K915" i="7"/>
  <c r="J915" i="7"/>
  <c r="I915" i="7"/>
  <c r="H915" i="7"/>
  <c r="G915" i="7"/>
  <c r="F915" i="7"/>
  <c r="E915" i="7"/>
  <c r="D915" i="7"/>
  <c r="C915" i="7"/>
  <c r="O914" i="7"/>
  <c r="N914" i="7"/>
  <c r="M914" i="7"/>
  <c r="L914" i="7"/>
  <c r="K914" i="7"/>
  <c r="J914" i="7"/>
  <c r="I914" i="7"/>
  <c r="H914" i="7"/>
  <c r="G914" i="7"/>
  <c r="F914" i="7"/>
  <c r="E914" i="7"/>
  <c r="D914" i="7"/>
  <c r="C914" i="7"/>
  <c r="O913" i="7"/>
  <c r="N913" i="7"/>
  <c r="M913" i="7"/>
  <c r="L913" i="7"/>
  <c r="K913" i="7"/>
  <c r="J913" i="7"/>
  <c r="I913" i="7"/>
  <c r="H913" i="7"/>
  <c r="G913" i="7"/>
  <c r="F913" i="7"/>
  <c r="E913" i="7"/>
  <c r="D913" i="7"/>
  <c r="C913" i="7"/>
  <c r="O912" i="7"/>
  <c r="N912" i="7"/>
  <c r="M912" i="7"/>
  <c r="L912" i="7"/>
  <c r="K912" i="7"/>
  <c r="J912" i="7"/>
  <c r="I912" i="7"/>
  <c r="H912" i="7"/>
  <c r="G912" i="7"/>
  <c r="F912" i="7"/>
  <c r="E912" i="7"/>
  <c r="D912" i="7"/>
  <c r="C912" i="7"/>
  <c r="O911" i="7"/>
  <c r="N911" i="7"/>
  <c r="M911" i="7"/>
  <c r="L911" i="7"/>
  <c r="K911" i="7"/>
  <c r="J911" i="7"/>
  <c r="I911" i="7"/>
  <c r="H911" i="7"/>
  <c r="G911" i="7"/>
  <c r="F911" i="7"/>
  <c r="E911" i="7"/>
  <c r="D911" i="7"/>
  <c r="C911" i="7"/>
  <c r="O910" i="7"/>
  <c r="N910" i="7"/>
  <c r="M910" i="7"/>
  <c r="L910" i="7"/>
  <c r="K910" i="7"/>
  <c r="J910" i="7"/>
  <c r="I910" i="7"/>
  <c r="H910" i="7"/>
  <c r="G910" i="7"/>
  <c r="F910" i="7"/>
  <c r="E910" i="7"/>
  <c r="D910" i="7"/>
  <c r="C910" i="7"/>
  <c r="O909" i="7"/>
  <c r="N909" i="7"/>
  <c r="M909" i="7"/>
  <c r="L909" i="7"/>
  <c r="K909" i="7"/>
  <c r="J909" i="7"/>
  <c r="I909" i="7"/>
  <c r="H909" i="7"/>
  <c r="G909" i="7"/>
  <c r="F909" i="7"/>
  <c r="E909" i="7"/>
  <c r="D909" i="7"/>
  <c r="C909" i="7"/>
  <c r="O908" i="7"/>
  <c r="N908" i="7"/>
  <c r="M908" i="7"/>
  <c r="L908" i="7"/>
  <c r="K908" i="7"/>
  <c r="J908" i="7"/>
  <c r="I908" i="7"/>
  <c r="H908" i="7"/>
  <c r="G908" i="7"/>
  <c r="F908" i="7"/>
  <c r="E908" i="7"/>
  <c r="D908" i="7"/>
  <c r="C908" i="7"/>
  <c r="O907" i="7"/>
  <c r="N907" i="7"/>
  <c r="M907" i="7"/>
  <c r="L907" i="7"/>
  <c r="K907" i="7"/>
  <c r="J907" i="7"/>
  <c r="I907" i="7"/>
  <c r="H907" i="7"/>
  <c r="G907" i="7"/>
  <c r="F907" i="7"/>
  <c r="E907" i="7"/>
  <c r="D907" i="7"/>
  <c r="C907" i="7"/>
  <c r="O906" i="7"/>
  <c r="N906" i="7"/>
  <c r="M906" i="7"/>
  <c r="L906" i="7"/>
  <c r="K906" i="7"/>
  <c r="J906" i="7"/>
  <c r="I906" i="7"/>
  <c r="H906" i="7"/>
  <c r="G906" i="7"/>
  <c r="F906" i="7"/>
  <c r="E906" i="7"/>
  <c r="D906" i="7"/>
  <c r="C906" i="7"/>
  <c r="O905" i="7"/>
  <c r="N905" i="7"/>
  <c r="M905" i="7"/>
  <c r="L905" i="7"/>
  <c r="K905" i="7"/>
  <c r="J905" i="7"/>
  <c r="I905" i="7"/>
  <c r="H905" i="7"/>
  <c r="G905" i="7"/>
  <c r="F905" i="7"/>
  <c r="E905" i="7"/>
  <c r="D905" i="7"/>
  <c r="C905" i="7"/>
  <c r="O904" i="7"/>
  <c r="N904" i="7"/>
  <c r="M904" i="7"/>
  <c r="L904" i="7"/>
  <c r="K904" i="7"/>
  <c r="J904" i="7"/>
  <c r="I904" i="7"/>
  <c r="H904" i="7"/>
  <c r="G904" i="7"/>
  <c r="F904" i="7"/>
  <c r="E904" i="7"/>
  <c r="D904" i="7"/>
  <c r="C904" i="7"/>
  <c r="O903" i="7"/>
  <c r="N903" i="7"/>
  <c r="M903" i="7"/>
  <c r="L903" i="7"/>
  <c r="K903" i="7"/>
  <c r="J903" i="7"/>
  <c r="I903" i="7"/>
  <c r="H903" i="7"/>
  <c r="G903" i="7"/>
  <c r="F903" i="7"/>
  <c r="E903" i="7"/>
  <c r="D903" i="7"/>
  <c r="C903" i="7"/>
  <c r="O902" i="7"/>
  <c r="N902" i="7"/>
  <c r="M902" i="7"/>
  <c r="L902" i="7"/>
  <c r="K902" i="7"/>
  <c r="J902" i="7"/>
  <c r="I902" i="7"/>
  <c r="H902" i="7"/>
  <c r="G902" i="7"/>
  <c r="F902" i="7"/>
  <c r="E902" i="7"/>
  <c r="D902" i="7"/>
  <c r="C902" i="7"/>
  <c r="O901" i="7"/>
  <c r="N901" i="7"/>
  <c r="M901" i="7"/>
  <c r="L901" i="7"/>
  <c r="K901" i="7"/>
  <c r="J901" i="7"/>
  <c r="I901" i="7"/>
  <c r="H901" i="7"/>
  <c r="G901" i="7"/>
  <c r="F901" i="7"/>
  <c r="E901" i="7"/>
  <c r="D901" i="7"/>
  <c r="C901" i="7"/>
  <c r="O900" i="7"/>
  <c r="N900" i="7"/>
  <c r="M900" i="7"/>
  <c r="L900" i="7"/>
  <c r="K900" i="7"/>
  <c r="J900" i="7"/>
  <c r="I900" i="7"/>
  <c r="H900" i="7"/>
  <c r="G900" i="7"/>
  <c r="F900" i="7"/>
  <c r="E900" i="7"/>
  <c r="D900" i="7"/>
  <c r="C900" i="7"/>
  <c r="O899" i="7"/>
  <c r="N899" i="7"/>
  <c r="M899" i="7"/>
  <c r="L899" i="7"/>
  <c r="K899" i="7"/>
  <c r="J899" i="7"/>
  <c r="I899" i="7"/>
  <c r="H899" i="7"/>
  <c r="G899" i="7"/>
  <c r="F899" i="7"/>
  <c r="E899" i="7"/>
  <c r="D899" i="7"/>
  <c r="C899" i="7"/>
  <c r="O898" i="7"/>
  <c r="N898" i="7"/>
  <c r="M898" i="7"/>
  <c r="L898" i="7"/>
  <c r="K898" i="7"/>
  <c r="J898" i="7"/>
  <c r="I898" i="7"/>
  <c r="H898" i="7"/>
  <c r="G898" i="7"/>
  <c r="F898" i="7"/>
  <c r="E898" i="7"/>
  <c r="D898" i="7"/>
  <c r="C898" i="7"/>
  <c r="O897" i="7"/>
  <c r="N897" i="7"/>
  <c r="M897" i="7"/>
  <c r="L897" i="7"/>
  <c r="K897" i="7"/>
  <c r="J897" i="7"/>
  <c r="I897" i="7"/>
  <c r="H897" i="7"/>
  <c r="G897" i="7"/>
  <c r="F897" i="7"/>
  <c r="E897" i="7"/>
  <c r="D897" i="7"/>
  <c r="C897" i="7"/>
  <c r="O896" i="7"/>
  <c r="N896" i="7"/>
  <c r="M896" i="7"/>
  <c r="L896" i="7"/>
  <c r="K896" i="7"/>
  <c r="J896" i="7"/>
  <c r="I896" i="7"/>
  <c r="H896" i="7"/>
  <c r="G896" i="7"/>
  <c r="F896" i="7"/>
  <c r="E896" i="7"/>
  <c r="D896" i="7"/>
  <c r="C896" i="7"/>
  <c r="O895" i="7"/>
  <c r="N895" i="7"/>
  <c r="M895" i="7"/>
  <c r="L895" i="7"/>
  <c r="K895" i="7"/>
  <c r="J895" i="7"/>
  <c r="I895" i="7"/>
  <c r="H895" i="7"/>
  <c r="G895" i="7"/>
  <c r="F895" i="7"/>
  <c r="E895" i="7"/>
  <c r="D895" i="7"/>
  <c r="C895" i="7"/>
  <c r="O894" i="7"/>
  <c r="N894" i="7"/>
  <c r="M894" i="7"/>
  <c r="L894" i="7"/>
  <c r="K894" i="7"/>
  <c r="J894" i="7"/>
  <c r="I894" i="7"/>
  <c r="H894" i="7"/>
  <c r="G894" i="7"/>
  <c r="F894" i="7"/>
  <c r="E894" i="7"/>
  <c r="D894" i="7"/>
  <c r="C894" i="7"/>
  <c r="O893" i="7"/>
  <c r="N893" i="7"/>
  <c r="M893" i="7"/>
  <c r="L893" i="7"/>
  <c r="K893" i="7"/>
  <c r="J893" i="7"/>
  <c r="I893" i="7"/>
  <c r="H893" i="7"/>
  <c r="G893" i="7"/>
  <c r="F893" i="7"/>
  <c r="E893" i="7"/>
  <c r="D893" i="7"/>
  <c r="C893" i="7"/>
  <c r="O892" i="7"/>
  <c r="N892" i="7"/>
  <c r="M892" i="7"/>
  <c r="L892" i="7"/>
  <c r="K892" i="7"/>
  <c r="J892" i="7"/>
  <c r="I892" i="7"/>
  <c r="H892" i="7"/>
  <c r="G892" i="7"/>
  <c r="F892" i="7"/>
  <c r="E892" i="7"/>
  <c r="D892" i="7"/>
  <c r="C892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O890" i="7"/>
  <c r="N890" i="7"/>
  <c r="M890" i="7"/>
  <c r="L890" i="7"/>
  <c r="K890" i="7"/>
  <c r="J890" i="7"/>
  <c r="I890" i="7"/>
  <c r="H890" i="7"/>
  <c r="G890" i="7"/>
  <c r="F890" i="7"/>
  <c r="E890" i="7"/>
  <c r="D890" i="7"/>
  <c r="C890" i="7"/>
  <c r="O889" i="7"/>
  <c r="N889" i="7"/>
  <c r="M889" i="7"/>
  <c r="L889" i="7"/>
  <c r="K889" i="7"/>
  <c r="J889" i="7"/>
  <c r="I889" i="7"/>
  <c r="H889" i="7"/>
  <c r="G889" i="7"/>
  <c r="F889" i="7"/>
  <c r="E889" i="7"/>
  <c r="D889" i="7"/>
  <c r="C889" i="7"/>
  <c r="O888" i="7"/>
  <c r="N888" i="7"/>
  <c r="M888" i="7"/>
  <c r="L888" i="7"/>
  <c r="K888" i="7"/>
  <c r="J888" i="7"/>
  <c r="I888" i="7"/>
  <c r="H888" i="7"/>
  <c r="G888" i="7"/>
  <c r="F888" i="7"/>
  <c r="E888" i="7"/>
  <c r="D888" i="7"/>
  <c r="C888" i="7"/>
  <c r="O887" i="7"/>
  <c r="N887" i="7"/>
  <c r="M887" i="7"/>
  <c r="L887" i="7"/>
  <c r="K887" i="7"/>
  <c r="J887" i="7"/>
  <c r="I887" i="7"/>
  <c r="H887" i="7"/>
  <c r="G887" i="7"/>
  <c r="F887" i="7"/>
  <c r="E887" i="7"/>
  <c r="D887" i="7"/>
  <c r="C887" i="7"/>
  <c r="O886" i="7"/>
  <c r="N886" i="7"/>
  <c r="M886" i="7"/>
  <c r="L886" i="7"/>
  <c r="K886" i="7"/>
  <c r="J886" i="7"/>
  <c r="I886" i="7"/>
  <c r="H886" i="7"/>
  <c r="G886" i="7"/>
  <c r="F886" i="7"/>
  <c r="E886" i="7"/>
  <c r="D886" i="7"/>
  <c r="C886" i="7"/>
  <c r="O885" i="7"/>
  <c r="N885" i="7"/>
  <c r="M885" i="7"/>
  <c r="L885" i="7"/>
  <c r="K885" i="7"/>
  <c r="J885" i="7"/>
  <c r="I885" i="7"/>
  <c r="H885" i="7"/>
  <c r="G885" i="7"/>
  <c r="F885" i="7"/>
  <c r="E885" i="7"/>
  <c r="D885" i="7"/>
  <c r="C885" i="7"/>
  <c r="O884" i="7"/>
  <c r="N884" i="7"/>
  <c r="M884" i="7"/>
  <c r="L884" i="7"/>
  <c r="K884" i="7"/>
  <c r="J884" i="7"/>
  <c r="I884" i="7"/>
  <c r="H884" i="7"/>
  <c r="G884" i="7"/>
  <c r="F884" i="7"/>
  <c r="E884" i="7"/>
  <c r="D884" i="7"/>
  <c r="C884" i="7"/>
  <c r="O883" i="7"/>
  <c r="N883" i="7"/>
  <c r="M883" i="7"/>
  <c r="L883" i="7"/>
  <c r="K883" i="7"/>
  <c r="J883" i="7"/>
  <c r="I883" i="7"/>
  <c r="H883" i="7"/>
  <c r="G883" i="7"/>
  <c r="F883" i="7"/>
  <c r="E883" i="7"/>
  <c r="D883" i="7"/>
  <c r="C883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O881" i="7"/>
  <c r="N881" i="7"/>
  <c r="M881" i="7"/>
  <c r="L881" i="7"/>
  <c r="K881" i="7"/>
  <c r="J881" i="7"/>
  <c r="I881" i="7"/>
  <c r="H881" i="7"/>
  <c r="G881" i="7"/>
  <c r="F881" i="7"/>
  <c r="E881" i="7"/>
  <c r="D881" i="7"/>
  <c r="C881" i="7"/>
  <c r="O880" i="7"/>
  <c r="N880" i="7"/>
  <c r="M880" i="7"/>
  <c r="L880" i="7"/>
  <c r="K880" i="7"/>
  <c r="J880" i="7"/>
  <c r="I880" i="7"/>
  <c r="H880" i="7"/>
  <c r="G880" i="7"/>
  <c r="F880" i="7"/>
  <c r="E880" i="7"/>
  <c r="D880" i="7"/>
  <c r="C880" i="7"/>
  <c r="O879" i="7"/>
  <c r="N879" i="7"/>
  <c r="M879" i="7"/>
  <c r="L879" i="7"/>
  <c r="K879" i="7"/>
  <c r="J879" i="7"/>
  <c r="I879" i="7"/>
  <c r="H879" i="7"/>
  <c r="G879" i="7"/>
  <c r="F879" i="7"/>
  <c r="E879" i="7"/>
  <c r="D879" i="7"/>
  <c r="C879" i="7"/>
  <c r="O878" i="7"/>
  <c r="N878" i="7"/>
  <c r="M878" i="7"/>
  <c r="L878" i="7"/>
  <c r="K878" i="7"/>
  <c r="J878" i="7"/>
  <c r="I878" i="7"/>
  <c r="H878" i="7"/>
  <c r="G878" i="7"/>
  <c r="F878" i="7"/>
  <c r="E878" i="7"/>
  <c r="D878" i="7"/>
  <c r="C878" i="7"/>
  <c r="O877" i="7"/>
  <c r="N877" i="7"/>
  <c r="M877" i="7"/>
  <c r="L877" i="7"/>
  <c r="K877" i="7"/>
  <c r="J877" i="7"/>
  <c r="I877" i="7"/>
  <c r="H877" i="7"/>
  <c r="G877" i="7"/>
  <c r="F877" i="7"/>
  <c r="E877" i="7"/>
  <c r="D877" i="7"/>
  <c r="C877" i="7"/>
  <c r="O876" i="7"/>
  <c r="N876" i="7"/>
  <c r="M876" i="7"/>
  <c r="L876" i="7"/>
  <c r="K876" i="7"/>
  <c r="J876" i="7"/>
  <c r="I876" i="7"/>
  <c r="H876" i="7"/>
  <c r="G876" i="7"/>
  <c r="F876" i="7"/>
  <c r="E876" i="7"/>
  <c r="D876" i="7"/>
  <c r="C876" i="7"/>
  <c r="O875" i="7"/>
  <c r="N875" i="7"/>
  <c r="M875" i="7"/>
  <c r="L875" i="7"/>
  <c r="K875" i="7"/>
  <c r="J875" i="7"/>
  <c r="I875" i="7"/>
  <c r="H875" i="7"/>
  <c r="G875" i="7"/>
  <c r="F875" i="7"/>
  <c r="E875" i="7"/>
  <c r="D875" i="7"/>
  <c r="C875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O873" i="7"/>
  <c r="N873" i="7"/>
  <c r="M873" i="7"/>
  <c r="L873" i="7"/>
  <c r="K873" i="7"/>
  <c r="J873" i="7"/>
  <c r="I873" i="7"/>
  <c r="H873" i="7"/>
  <c r="G873" i="7"/>
  <c r="F873" i="7"/>
  <c r="E873" i="7"/>
  <c r="D873" i="7"/>
  <c r="C873" i="7"/>
  <c r="O872" i="7"/>
  <c r="N872" i="7"/>
  <c r="M872" i="7"/>
  <c r="L872" i="7"/>
  <c r="K872" i="7"/>
  <c r="J872" i="7"/>
  <c r="I872" i="7"/>
  <c r="H872" i="7"/>
  <c r="G872" i="7"/>
  <c r="F872" i="7"/>
  <c r="E872" i="7"/>
  <c r="D872" i="7"/>
  <c r="C872" i="7"/>
  <c r="O871" i="7"/>
  <c r="N871" i="7"/>
  <c r="M871" i="7"/>
  <c r="L871" i="7"/>
  <c r="K871" i="7"/>
  <c r="J871" i="7"/>
  <c r="I871" i="7"/>
  <c r="H871" i="7"/>
  <c r="G871" i="7"/>
  <c r="F871" i="7"/>
  <c r="E871" i="7"/>
  <c r="D871" i="7"/>
  <c r="C871" i="7"/>
  <c r="O870" i="7"/>
  <c r="N870" i="7"/>
  <c r="M870" i="7"/>
  <c r="L870" i="7"/>
  <c r="K870" i="7"/>
  <c r="J870" i="7"/>
  <c r="I870" i="7"/>
  <c r="H870" i="7"/>
  <c r="G870" i="7"/>
  <c r="F870" i="7"/>
  <c r="E870" i="7"/>
  <c r="D870" i="7"/>
  <c r="C870" i="7"/>
  <c r="O869" i="7"/>
  <c r="N869" i="7"/>
  <c r="M869" i="7"/>
  <c r="L869" i="7"/>
  <c r="K869" i="7"/>
  <c r="J869" i="7"/>
  <c r="I869" i="7"/>
  <c r="H869" i="7"/>
  <c r="G869" i="7"/>
  <c r="F869" i="7"/>
  <c r="E869" i="7"/>
  <c r="D869" i="7"/>
  <c r="C869" i="7"/>
  <c r="O868" i="7"/>
  <c r="N868" i="7"/>
  <c r="M868" i="7"/>
  <c r="L868" i="7"/>
  <c r="K868" i="7"/>
  <c r="J868" i="7"/>
  <c r="I868" i="7"/>
  <c r="H868" i="7"/>
  <c r="G868" i="7"/>
  <c r="F868" i="7"/>
  <c r="E868" i="7"/>
  <c r="D868" i="7"/>
  <c r="C868" i="7"/>
  <c r="O867" i="7"/>
  <c r="N867" i="7"/>
  <c r="M867" i="7"/>
  <c r="L867" i="7"/>
  <c r="K867" i="7"/>
  <c r="J867" i="7"/>
  <c r="I867" i="7"/>
  <c r="H867" i="7"/>
  <c r="G867" i="7"/>
  <c r="F867" i="7"/>
  <c r="E867" i="7"/>
  <c r="D867" i="7"/>
  <c r="C867" i="7"/>
  <c r="O866" i="7"/>
  <c r="N866" i="7"/>
  <c r="M866" i="7"/>
  <c r="L866" i="7"/>
  <c r="K866" i="7"/>
  <c r="J866" i="7"/>
  <c r="I866" i="7"/>
  <c r="H866" i="7"/>
  <c r="G866" i="7"/>
  <c r="F866" i="7"/>
  <c r="E866" i="7"/>
  <c r="D866" i="7"/>
  <c r="C866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O864" i="7"/>
  <c r="N864" i="7"/>
  <c r="M864" i="7"/>
  <c r="L864" i="7"/>
  <c r="K864" i="7"/>
  <c r="J864" i="7"/>
  <c r="I864" i="7"/>
  <c r="H864" i="7"/>
  <c r="G864" i="7"/>
  <c r="F864" i="7"/>
  <c r="E864" i="7"/>
  <c r="D864" i="7"/>
  <c r="C864" i="7"/>
  <c r="O863" i="7"/>
  <c r="N863" i="7"/>
  <c r="M863" i="7"/>
  <c r="L863" i="7"/>
  <c r="K863" i="7"/>
  <c r="J863" i="7"/>
  <c r="I863" i="7"/>
  <c r="H863" i="7"/>
  <c r="G863" i="7"/>
  <c r="F863" i="7"/>
  <c r="E863" i="7"/>
  <c r="D863" i="7"/>
  <c r="C863" i="7"/>
  <c r="O862" i="7"/>
  <c r="N862" i="7"/>
  <c r="M862" i="7"/>
  <c r="L862" i="7"/>
  <c r="K862" i="7"/>
  <c r="J862" i="7"/>
  <c r="I862" i="7"/>
  <c r="H862" i="7"/>
  <c r="G862" i="7"/>
  <c r="F862" i="7"/>
  <c r="E862" i="7"/>
  <c r="D862" i="7"/>
  <c r="C862" i="7"/>
  <c r="O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O860" i="7"/>
  <c r="N860" i="7"/>
  <c r="M860" i="7"/>
  <c r="L860" i="7"/>
  <c r="K860" i="7"/>
  <c r="J860" i="7"/>
  <c r="I860" i="7"/>
  <c r="H860" i="7"/>
  <c r="G860" i="7"/>
  <c r="F860" i="7"/>
  <c r="E860" i="7"/>
  <c r="D860" i="7"/>
  <c r="C860" i="7"/>
  <c r="O859" i="7"/>
  <c r="N859" i="7"/>
  <c r="M859" i="7"/>
  <c r="L859" i="7"/>
  <c r="K859" i="7"/>
  <c r="J859" i="7"/>
  <c r="I859" i="7"/>
  <c r="H859" i="7"/>
  <c r="G859" i="7"/>
  <c r="F859" i="7"/>
  <c r="E859" i="7"/>
  <c r="D859" i="7"/>
  <c r="C859" i="7"/>
  <c r="O858" i="7"/>
  <c r="N858" i="7"/>
  <c r="M858" i="7"/>
  <c r="L858" i="7"/>
  <c r="K858" i="7"/>
  <c r="J858" i="7"/>
  <c r="I858" i="7"/>
  <c r="H858" i="7"/>
  <c r="G858" i="7"/>
  <c r="F858" i="7"/>
  <c r="E858" i="7"/>
  <c r="D858" i="7"/>
  <c r="C858" i="7"/>
  <c r="O857" i="7"/>
  <c r="N857" i="7"/>
  <c r="M857" i="7"/>
  <c r="L857" i="7"/>
  <c r="K857" i="7"/>
  <c r="J857" i="7"/>
  <c r="I857" i="7"/>
  <c r="H857" i="7"/>
  <c r="G857" i="7"/>
  <c r="F857" i="7"/>
  <c r="E857" i="7"/>
  <c r="D857" i="7"/>
  <c r="C857" i="7"/>
  <c r="O856" i="7"/>
  <c r="N856" i="7"/>
  <c r="M856" i="7"/>
  <c r="L856" i="7"/>
  <c r="K856" i="7"/>
  <c r="J856" i="7"/>
  <c r="I856" i="7"/>
  <c r="H856" i="7"/>
  <c r="G856" i="7"/>
  <c r="F856" i="7"/>
  <c r="E856" i="7"/>
  <c r="D856" i="7"/>
  <c r="C856" i="7"/>
  <c r="O855" i="7"/>
  <c r="N855" i="7"/>
  <c r="M855" i="7"/>
  <c r="L855" i="7"/>
  <c r="K855" i="7"/>
  <c r="J855" i="7"/>
  <c r="I855" i="7"/>
  <c r="H855" i="7"/>
  <c r="G855" i="7"/>
  <c r="F855" i="7"/>
  <c r="E855" i="7"/>
  <c r="D855" i="7"/>
  <c r="C855" i="7"/>
  <c r="O854" i="7"/>
  <c r="N854" i="7"/>
  <c r="M854" i="7"/>
  <c r="L854" i="7"/>
  <c r="K854" i="7"/>
  <c r="J854" i="7"/>
  <c r="I854" i="7"/>
  <c r="H854" i="7"/>
  <c r="G854" i="7"/>
  <c r="F854" i="7"/>
  <c r="E854" i="7"/>
  <c r="D854" i="7"/>
  <c r="C854" i="7"/>
  <c r="O853" i="7"/>
  <c r="N853" i="7"/>
  <c r="M853" i="7"/>
  <c r="L853" i="7"/>
  <c r="K853" i="7"/>
  <c r="J853" i="7"/>
  <c r="I853" i="7"/>
  <c r="H853" i="7"/>
  <c r="G853" i="7"/>
  <c r="F853" i="7"/>
  <c r="E853" i="7"/>
  <c r="D853" i="7"/>
  <c r="C853" i="7"/>
  <c r="O852" i="7"/>
  <c r="N852" i="7"/>
  <c r="M852" i="7"/>
  <c r="L852" i="7"/>
  <c r="K852" i="7"/>
  <c r="J852" i="7"/>
  <c r="I852" i="7"/>
  <c r="H852" i="7"/>
  <c r="G852" i="7"/>
  <c r="F852" i="7"/>
  <c r="E852" i="7"/>
  <c r="D852" i="7"/>
  <c r="C852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O850" i="7"/>
  <c r="N850" i="7"/>
  <c r="M850" i="7"/>
  <c r="L850" i="7"/>
  <c r="K850" i="7"/>
  <c r="J850" i="7"/>
  <c r="I850" i="7"/>
  <c r="H850" i="7"/>
  <c r="G850" i="7"/>
  <c r="F850" i="7"/>
  <c r="E850" i="7"/>
  <c r="D850" i="7"/>
  <c r="C850" i="7"/>
  <c r="O849" i="7"/>
  <c r="N849" i="7"/>
  <c r="M849" i="7"/>
  <c r="L849" i="7"/>
  <c r="K849" i="7"/>
  <c r="J849" i="7"/>
  <c r="I849" i="7"/>
  <c r="H849" i="7"/>
  <c r="G849" i="7"/>
  <c r="F849" i="7"/>
  <c r="E849" i="7"/>
  <c r="D849" i="7"/>
  <c r="C849" i="7"/>
  <c r="O848" i="7"/>
  <c r="N848" i="7"/>
  <c r="M848" i="7"/>
  <c r="L848" i="7"/>
  <c r="K848" i="7"/>
  <c r="J848" i="7"/>
  <c r="I848" i="7"/>
  <c r="H848" i="7"/>
  <c r="G848" i="7"/>
  <c r="F848" i="7"/>
  <c r="E848" i="7"/>
  <c r="D848" i="7"/>
  <c r="C848" i="7"/>
  <c r="O847" i="7"/>
  <c r="N847" i="7"/>
  <c r="M847" i="7"/>
  <c r="L847" i="7"/>
  <c r="K847" i="7"/>
  <c r="J847" i="7"/>
  <c r="I847" i="7"/>
  <c r="H847" i="7"/>
  <c r="G847" i="7"/>
  <c r="F847" i="7"/>
  <c r="E847" i="7"/>
  <c r="D847" i="7"/>
  <c r="C847" i="7"/>
  <c r="O846" i="7"/>
  <c r="N846" i="7"/>
  <c r="M846" i="7"/>
  <c r="L846" i="7"/>
  <c r="K846" i="7"/>
  <c r="J846" i="7"/>
  <c r="I846" i="7"/>
  <c r="H846" i="7"/>
  <c r="G846" i="7"/>
  <c r="F846" i="7"/>
  <c r="E846" i="7"/>
  <c r="D846" i="7"/>
  <c r="C846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O843" i="7"/>
  <c r="N843" i="7"/>
  <c r="M843" i="7"/>
  <c r="L843" i="7"/>
  <c r="K843" i="7"/>
  <c r="J843" i="7"/>
  <c r="I843" i="7"/>
  <c r="H843" i="7"/>
  <c r="G843" i="7"/>
  <c r="F843" i="7"/>
  <c r="E843" i="7"/>
  <c r="D843" i="7"/>
  <c r="C843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C842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O839" i="7"/>
  <c r="N839" i="7"/>
  <c r="M839" i="7"/>
  <c r="L839" i="7"/>
  <c r="K839" i="7"/>
  <c r="J839" i="7"/>
  <c r="I839" i="7"/>
  <c r="H839" i="7"/>
  <c r="G839" i="7"/>
  <c r="F839" i="7"/>
  <c r="E839" i="7"/>
  <c r="D839" i="7"/>
  <c r="C839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8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O836" i="7"/>
  <c r="N836" i="7"/>
  <c r="M836" i="7"/>
  <c r="L836" i="7"/>
  <c r="K836" i="7"/>
  <c r="J836" i="7"/>
  <c r="I836" i="7"/>
  <c r="H836" i="7"/>
  <c r="G836" i="7"/>
  <c r="F836" i="7"/>
  <c r="E836" i="7"/>
  <c r="D836" i="7"/>
  <c r="C836" i="7"/>
  <c r="O835" i="7"/>
  <c r="N835" i="7"/>
  <c r="M835" i="7"/>
  <c r="L835" i="7"/>
  <c r="K835" i="7"/>
  <c r="J835" i="7"/>
  <c r="I835" i="7"/>
  <c r="H835" i="7"/>
  <c r="G835" i="7"/>
  <c r="F835" i="7"/>
  <c r="E835" i="7"/>
  <c r="D835" i="7"/>
  <c r="C835" i="7"/>
  <c r="O834" i="7"/>
  <c r="N834" i="7"/>
  <c r="M834" i="7"/>
  <c r="L834" i="7"/>
  <c r="K834" i="7"/>
  <c r="J834" i="7"/>
  <c r="I834" i="7"/>
  <c r="H834" i="7"/>
  <c r="G834" i="7"/>
  <c r="F834" i="7"/>
  <c r="E834" i="7"/>
  <c r="D834" i="7"/>
  <c r="C834" i="7"/>
  <c r="O833" i="7"/>
  <c r="N833" i="7"/>
  <c r="M833" i="7"/>
  <c r="L833" i="7"/>
  <c r="K833" i="7"/>
  <c r="J833" i="7"/>
  <c r="I833" i="7"/>
  <c r="H833" i="7"/>
  <c r="G833" i="7"/>
  <c r="F833" i="7"/>
  <c r="E833" i="7"/>
  <c r="D833" i="7"/>
  <c r="C833" i="7"/>
  <c r="O832" i="7"/>
  <c r="N832" i="7"/>
  <c r="M832" i="7"/>
  <c r="L832" i="7"/>
  <c r="K832" i="7"/>
  <c r="J832" i="7"/>
  <c r="I832" i="7"/>
  <c r="H832" i="7"/>
  <c r="G832" i="7"/>
  <c r="F832" i="7"/>
  <c r="E832" i="7"/>
  <c r="D832" i="7"/>
  <c r="C832" i="7"/>
  <c r="O831" i="7"/>
  <c r="N831" i="7"/>
  <c r="M831" i="7"/>
  <c r="L831" i="7"/>
  <c r="K831" i="7"/>
  <c r="J831" i="7"/>
  <c r="I831" i="7"/>
  <c r="H831" i="7"/>
  <c r="G831" i="7"/>
  <c r="F831" i="7"/>
  <c r="E831" i="7"/>
  <c r="D831" i="7"/>
  <c r="C831" i="7"/>
  <c r="O830" i="7"/>
  <c r="N830" i="7"/>
  <c r="M830" i="7"/>
  <c r="L830" i="7"/>
  <c r="K830" i="7"/>
  <c r="J830" i="7"/>
  <c r="I830" i="7"/>
  <c r="H830" i="7"/>
  <c r="G830" i="7"/>
  <c r="F830" i="7"/>
  <c r="E830" i="7"/>
  <c r="D830" i="7"/>
  <c r="C830" i="7"/>
  <c r="O829" i="7"/>
  <c r="N829" i="7"/>
  <c r="M829" i="7"/>
  <c r="L829" i="7"/>
  <c r="K829" i="7"/>
  <c r="J829" i="7"/>
  <c r="I829" i="7"/>
  <c r="H829" i="7"/>
  <c r="G829" i="7"/>
  <c r="F829" i="7"/>
  <c r="E829" i="7"/>
  <c r="D829" i="7"/>
  <c r="C829" i="7"/>
  <c r="O828" i="7"/>
  <c r="N828" i="7"/>
  <c r="M828" i="7"/>
  <c r="L828" i="7"/>
  <c r="K828" i="7"/>
  <c r="J828" i="7"/>
  <c r="I828" i="7"/>
  <c r="H828" i="7"/>
  <c r="G828" i="7"/>
  <c r="F828" i="7"/>
  <c r="E828" i="7"/>
  <c r="D828" i="7"/>
  <c r="C828" i="7"/>
  <c r="O827" i="7"/>
  <c r="N827" i="7"/>
  <c r="M827" i="7"/>
  <c r="L827" i="7"/>
  <c r="K827" i="7"/>
  <c r="J827" i="7"/>
  <c r="I827" i="7"/>
  <c r="H827" i="7"/>
  <c r="G827" i="7"/>
  <c r="F827" i="7"/>
  <c r="E827" i="7"/>
  <c r="D827" i="7"/>
  <c r="C827" i="7"/>
  <c r="O826" i="7"/>
  <c r="N826" i="7"/>
  <c r="M826" i="7"/>
  <c r="L826" i="7"/>
  <c r="K826" i="7"/>
  <c r="J826" i="7"/>
  <c r="I826" i="7"/>
  <c r="H826" i="7"/>
  <c r="G826" i="7"/>
  <c r="F826" i="7"/>
  <c r="E826" i="7"/>
  <c r="D826" i="7"/>
  <c r="C826" i="7"/>
  <c r="O825" i="7"/>
  <c r="N825" i="7"/>
  <c r="M825" i="7"/>
  <c r="L825" i="7"/>
  <c r="K825" i="7"/>
  <c r="J825" i="7"/>
  <c r="I825" i="7"/>
  <c r="H825" i="7"/>
  <c r="G825" i="7"/>
  <c r="F825" i="7"/>
  <c r="E825" i="7"/>
  <c r="D825" i="7"/>
  <c r="C825" i="7"/>
  <c r="O820" i="7"/>
  <c r="N820" i="7"/>
  <c r="M820" i="7"/>
  <c r="L820" i="7"/>
  <c r="K820" i="7"/>
  <c r="J820" i="7"/>
  <c r="I820" i="7"/>
  <c r="H820" i="7"/>
  <c r="G820" i="7"/>
  <c r="F820" i="7"/>
  <c r="E820" i="7"/>
  <c r="D820" i="7"/>
  <c r="C820" i="7"/>
  <c r="C819" i="7"/>
  <c r="C818" i="7"/>
  <c r="C817" i="7"/>
  <c r="O816" i="7"/>
  <c r="N816" i="7"/>
  <c r="M816" i="7"/>
  <c r="L816" i="7"/>
  <c r="K816" i="7"/>
  <c r="J816" i="7"/>
  <c r="I816" i="7"/>
  <c r="G816" i="7"/>
  <c r="F816" i="7"/>
  <c r="E816" i="7"/>
  <c r="D816" i="7"/>
  <c r="C816" i="7"/>
  <c r="O815" i="7"/>
  <c r="N815" i="7"/>
  <c r="M815" i="7"/>
  <c r="L815" i="7"/>
  <c r="K815" i="7"/>
  <c r="J815" i="7"/>
  <c r="I815" i="7"/>
  <c r="H815" i="7"/>
  <c r="G815" i="7"/>
  <c r="F815" i="7"/>
  <c r="E815" i="7"/>
  <c r="D815" i="7"/>
  <c r="C815" i="7"/>
  <c r="O814" i="7"/>
  <c r="N814" i="7"/>
  <c r="M814" i="7"/>
  <c r="L814" i="7"/>
  <c r="K814" i="7"/>
  <c r="J814" i="7"/>
  <c r="I814" i="7"/>
  <c r="H814" i="7"/>
  <c r="G814" i="7"/>
  <c r="F814" i="7"/>
  <c r="E814" i="7"/>
  <c r="D814" i="7"/>
  <c r="C814" i="7"/>
  <c r="O813" i="7"/>
  <c r="N813" i="7"/>
  <c r="M813" i="7"/>
  <c r="L813" i="7"/>
  <c r="K813" i="7"/>
  <c r="J813" i="7"/>
  <c r="I813" i="7"/>
  <c r="H813" i="7"/>
  <c r="G813" i="7"/>
  <c r="F813" i="7"/>
  <c r="E813" i="7"/>
  <c r="D813" i="7"/>
  <c r="C813" i="7"/>
  <c r="O812" i="7"/>
  <c r="N812" i="7"/>
  <c r="M812" i="7"/>
  <c r="L812" i="7"/>
  <c r="K812" i="7"/>
  <c r="J812" i="7"/>
  <c r="I812" i="7"/>
  <c r="H812" i="7"/>
  <c r="G812" i="7"/>
  <c r="F812" i="7"/>
  <c r="E812" i="7"/>
  <c r="D812" i="7"/>
  <c r="C812" i="7"/>
  <c r="O811" i="7"/>
  <c r="N811" i="7"/>
  <c r="M811" i="7"/>
  <c r="L811" i="7"/>
  <c r="K811" i="7"/>
  <c r="J811" i="7"/>
  <c r="I811" i="7"/>
  <c r="H811" i="7"/>
  <c r="G811" i="7"/>
  <c r="F811" i="7"/>
  <c r="E811" i="7"/>
  <c r="D811" i="7"/>
  <c r="C811" i="7"/>
  <c r="O810" i="7"/>
  <c r="N810" i="7"/>
  <c r="M810" i="7"/>
  <c r="L810" i="7"/>
  <c r="K810" i="7"/>
  <c r="J810" i="7"/>
  <c r="I810" i="7"/>
  <c r="H810" i="7"/>
  <c r="G810" i="7"/>
  <c r="F810" i="7"/>
  <c r="E810" i="7"/>
  <c r="D810" i="7"/>
  <c r="C810" i="7"/>
  <c r="O809" i="7"/>
  <c r="N809" i="7"/>
  <c r="M809" i="7"/>
  <c r="L809" i="7"/>
  <c r="K809" i="7"/>
  <c r="J809" i="7"/>
  <c r="I809" i="7"/>
  <c r="H809" i="7"/>
  <c r="G809" i="7"/>
  <c r="F809" i="7"/>
  <c r="E809" i="7"/>
  <c r="D809" i="7"/>
  <c r="C809" i="7"/>
  <c r="O808" i="7"/>
  <c r="N808" i="7"/>
  <c r="M808" i="7"/>
  <c r="L808" i="7"/>
  <c r="K808" i="7"/>
  <c r="J808" i="7"/>
  <c r="I808" i="7"/>
  <c r="H808" i="7"/>
  <c r="G808" i="7"/>
  <c r="F808" i="7"/>
  <c r="E808" i="7"/>
  <c r="D808" i="7"/>
  <c r="C808" i="7"/>
  <c r="O807" i="7"/>
  <c r="N807" i="7"/>
  <c r="M807" i="7"/>
  <c r="L807" i="7"/>
  <c r="K807" i="7"/>
  <c r="J807" i="7"/>
  <c r="I807" i="7"/>
  <c r="H807" i="7"/>
  <c r="G807" i="7"/>
  <c r="F807" i="7"/>
  <c r="E807" i="7"/>
  <c r="D807" i="7"/>
  <c r="C807" i="7"/>
  <c r="O806" i="7"/>
  <c r="N806" i="7"/>
  <c r="M806" i="7"/>
  <c r="L806" i="7"/>
  <c r="K806" i="7"/>
  <c r="J806" i="7"/>
  <c r="I806" i="7"/>
  <c r="H806" i="7"/>
  <c r="G806" i="7"/>
  <c r="F806" i="7"/>
  <c r="E806" i="7"/>
  <c r="D806" i="7"/>
  <c r="C806" i="7"/>
  <c r="O805" i="7"/>
  <c r="N805" i="7"/>
  <c r="M805" i="7"/>
  <c r="L805" i="7"/>
  <c r="K805" i="7"/>
  <c r="J805" i="7"/>
  <c r="I805" i="7"/>
  <c r="H805" i="7"/>
  <c r="G805" i="7"/>
  <c r="F805" i="7"/>
  <c r="E805" i="7"/>
  <c r="D805" i="7"/>
  <c r="C805" i="7"/>
  <c r="O804" i="7"/>
  <c r="N804" i="7"/>
  <c r="M804" i="7"/>
  <c r="L804" i="7"/>
  <c r="K804" i="7"/>
  <c r="J804" i="7"/>
  <c r="I804" i="7"/>
  <c r="H804" i="7"/>
  <c r="G804" i="7"/>
  <c r="F804" i="7"/>
  <c r="E804" i="7"/>
  <c r="D804" i="7"/>
  <c r="C804" i="7"/>
  <c r="O803" i="7"/>
  <c r="N803" i="7"/>
  <c r="M803" i="7"/>
  <c r="L803" i="7"/>
  <c r="K803" i="7"/>
  <c r="J803" i="7"/>
  <c r="I803" i="7"/>
  <c r="H803" i="7"/>
  <c r="G803" i="7"/>
  <c r="F803" i="7"/>
  <c r="E803" i="7"/>
  <c r="D803" i="7"/>
  <c r="C803" i="7"/>
  <c r="O802" i="7"/>
  <c r="N802" i="7"/>
  <c r="M802" i="7"/>
  <c r="L802" i="7"/>
  <c r="K802" i="7"/>
  <c r="J802" i="7"/>
  <c r="I802" i="7"/>
  <c r="H802" i="7"/>
  <c r="G802" i="7"/>
  <c r="F802" i="7"/>
  <c r="E802" i="7"/>
  <c r="D802" i="7"/>
  <c r="C802" i="7"/>
  <c r="O801" i="7"/>
  <c r="N801" i="7"/>
  <c r="M801" i="7"/>
  <c r="L801" i="7"/>
  <c r="K801" i="7"/>
  <c r="J801" i="7"/>
  <c r="I801" i="7"/>
  <c r="H801" i="7"/>
  <c r="G801" i="7"/>
  <c r="F801" i="7"/>
  <c r="E801" i="7"/>
  <c r="D801" i="7"/>
  <c r="C801" i="7"/>
  <c r="O800" i="7"/>
  <c r="N800" i="7"/>
  <c r="M800" i="7"/>
  <c r="L800" i="7"/>
  <c r="K800" i="7"/>
  <c r="J800" i="7"/>
  <c r="I800" i="7"/>
  <c r="H800" i="7"/>
  <c r="G800" i="7"/>
  <c r="F800" i="7"/>
  <c r="E800" i="7"/>
  <c r="D800" i="7"/>
  <c r="C800" i="7"/>
  <c r="O799" i="7"/>
  <c r="N799" i="7"/>
  <c r="M799" i="7"/>
  <c r="L799" i="7"/>
  <c r="K799" i="7"/>
  <c r="J799" i="7"/>
  <c r="I799" i="7"/>
  <c r="H799" i="7"/>
  <c r="G799" i="7"/>
  <c r="F799" i="7"/>
  <c r="E799" i="7"/>
  <c r="D799" i="7"/>
  <c r="C799" i="7"/>
  <c r="O798" i="7"/>
  <c r="N798" i="7"/>
  <c r="M798" i="7"/>
  <c r="L798" i="7"/>
  <c r="K798" i="7"/>
  <c r="J798" i="7"/>
  <c r="I798" i="7"/>
  <c r="H798" i="7"/>
  <c r="G798" i="7"/>
  <c r="F798" i="7"/>
  <c r="E798" i="7"/>
  <c r="D798" i="7"/>
  <c r="C798" i="7"/>
  <c r="O797" i="7"/>
  <c r="N797" i="7"/>
  <c r="M797" i="7"/>
  <c r="L797" i="7"/>
  <c r="K797" i="7"/>
  <c r="J797" i="7"/>
  <c r="I797" i="7"/>
  <c r="H797" i="7"/>
  <c r="G797" i="7"/>
  <c r="F797" i="7"/>
  <c r="E797" i="7"/>
  <c r="D797" i="7"/>
  <c r="C797" i="7"/>
  <c r="O796" i="7"/>
  <c r="N796" i="7"/>
  <c r="M796" i="7"/>
  <c r="L796" i="7"/>
  <c r="K796" i="7"/>
  <c r="J796" i="7"/>
  <c r="I796" i="7"/>
  <c r="H796" i="7"/>
  <c r="G796" i="7"/>
  <c r="F796" i="7"/>
  <c r="E796" i="7"/>
  <c r="D796" i="7"/>
  <c r="C796" i="7"/>
  <c r="O795" i="7"/>
  <c r="N795" i="7"/>
  <c r="M795" i="7"/>
  <c r="L795" i="7"/>
  <c r="K795" i="7"/>
  <c r="J795" i="7"/>
  <c r="I795" i="7"/>
  <c r="H795" i="7"/>
  <c r="G795" i="7"/>
  <c r="F795" i="7"/>
  <c r="E795" i="7"/>
  <c r="D795" i="7"/>
  <c r="C795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4" i="7"/>
  <c r="O793" i="7"/>
  <c r="N793" i="7"/>
  <c r="M793" i="7"/>
  <c r="L793" i="7"/>
  <c r="K793" i="7"/>
  <c r="J793" i="7"/>
  <c r="I793" i="7"/>
  <c r="H793" i="7"/>
  <c r="G793" i="7"/>
  <c r="F793" i="7"/>
  <c r="E793" i="7"/>
  <c r="D793" i="7"/>
  <c r="C793" i="7"/>
  <c r="O792" i="7"/>
  <c r="N792" i="7"/>
  <c r="M792" i="7"/>
  <c r="L792" i="7"/>
  <c r="K792" i="7"/>
  <c r="J792" i="7"/>
  <c r="I792" i="7"/>
  <c r="H792" i="7"/>
  <c r="G792" i="7"/>
  <c r="F792" i="7"/>
  <c r="E792" i="7"/>
  <c r="D792" i="7"/>
  <c r="C792" i="7"/>
  <c r="O791" i="7"/>
  <c r="N791" i="7"/>
  <c r="M791" i="7"/>
  <c r="L791" i="7"/>
  <c r="K791" i="7"/>
  <c r="J791" i="7"/>
  <c r="I791" i="7"/>
  <c r="H791" i="7"/>
  <c r="G791" i="7"/>
  <c r="F791" i="7"/>
  <c r="E791" i="7"/>
  <c r="D791" i="7"/>
  <c r="C791" i="7"/>
  <c r="O790" i="7"/>
  <c r="N790" i="7"/>
  <c r="M790" i="7"/>
  <c r="L790" i="7"/>
  <c r="K790" i="7"/>
  <c r="J790" i="7"/>
  <c r="I790" i="7"/>
  <c r="H790" i="7"/>
  <c r="G790" i="7"/>
  <c r="F790" i="7"/>
  <c r="E790" i="7"/>
  <c r="D790" i="7"/>
  <c r="C790" i="7"/>
  <c r="O789" i="7"/>
  <c r="N789" i="7"/>
  <c r="M789" i="7"/>
  <c r="L789" i="7"/>
  <c r="K789" i="7"/>
  <c r="J789" i="7"/>
  <c r="I789" i="7"/>
  <c r="H789" i="7"/>
  <c r="G789" i="7"/>
  <c r="F789" i="7"/>
  <c r="E789" i="7"/>
  <c r="D789" i="7"/>
  <c r="C789" i="7"/>
  <c r="O788" i="7"/>
  <c r="N788" i="7"/>
  <c r="M788" i="7"/>
  <c r="L788" i="7"/>
  <c r="K788" i="7"/>
  <c r="J788" i="7"/>
  <c r="I788" i="7"/>
  <c r="H788" i="7"/>
  <c r="G788" i="7"/>
  <c r="F788" i="7"/>
  <c r="E788" i="7"/>
  <c r="D788" i="7"/>
  <c r="C788" i="7"/>
  <c r="O787" i="7"/>
  <c r="N787" i="7"/>
  <c r="M787" i="7"/>
  <c r="L787" i="7"/>
  <c r="K787" i="7"/>
  <c r="J787" i="7"/>
  <c r="I787" i="7"/>
  <c r="H787" i="7"/>
  <c r="G787" i="7"/>
  <c r="F787" i="7"/>
  <c r="E787" i="7"/>
  <c r="D787" i="7"/>
  <c r="C787" i="7"/>
  <c r="O786" i="7"/>
  <c r="N786" i="7"/>
  <c r="M786" i="7"/>
  <c r="L786" i="7"/>
  <c r="K786" i="7"/>
  <c r="J786" i="7"/>
  <c r="I786" i="7"/>
  <c r="H786" i="7"/>
  <c r="G786" i="7"/>
  <c r="F786" i="7"/>
  <c r="E786" i="7"/>
  <c r="D786" i="7"/>
  <c r="C786" i="7"/>
  <c r="O785" i="7"/>
  <c r="N785" i="7"/>
  <c r="M785" i="7"/>
  <c r="L785" i="7"/>
  <c r="K785" i="7"/>
  <c r="J785" i="7"/>
  <c r="I785" i="7"/>
  <c r="H785" i="7"/>
  <c r="G785" i="7"/>
  <c r="F785" i="7"/>
  <c r="E785" i="7"/>
  <c r="D785" i="7"/>
  <c r="C785" i="7"/>
  <c r="O784" i="7"/>
  <c r="N784" i="7"/>
  <c r="M784" i="7"/>
  <c r="L784" i="7"/>
  <c r="K784" i="7"/>
  <c r="J784" i="7"/>
  <c r="I784" i="7"/>
  <c r="H784" i="7"/>
  <c r="G784" i="7"/>
  <c r="F784" i="7"/>
  <c r="E784" i="7"/>
  <c r="D784" i="7"/>
  <c r="C784" i="7"/>
  <c r="O783" i="7"/>
  <c r="N783" i="7"/>
  <c r="M783" i="7"/>
  <c r="L783" i="7"/>
  <c r="K783" i="7"/>
  <c r="J783" i="7"/>
  <c r="I783" i="7"/>
  <c r="H783" i="7"/>
  <c r="G783" i="7"/>
  <c r="F783" i="7"/>
  <c r="E783" i="7"/>
  <c r="D783" i="7"/>
  <c r="C783" i="7"/>
  <c r="O782" i="7"/>
  <c r="N782" i="7"/>
  <c r="M782" i="7"/>
  <c r="L782" i="7"/>
  <c r="K782" i="7"/>
  <c r="J782" i="7"/>
  <c r="I782" i="7"/>
  <c r="H782" i="7"/>
  <c r="G782" i="7"/>
  <c r="F782" i="7"/>
  <c r="E782" i="7"/>
  <c r="D782" i="7"/>
  <c r="C782" i="7"/>
  <c r="O781" i="7"/>
  <c r="N781" i="7"/>
  <c r="M781" i="7"/>
  <c r="L781" i="7"/>
  <c r="K781" i="7"/>
  <c r="J781" i="7"/>
  <c r="I781" i="7"/>
  <c r="H781" i="7"/>
  <c r="G781" i="7"/>
  <c r="F781" i="7"/>
  <c r="E781" i="7"/>
  <c r="D781" i="7"/>
  <c r="C781" i="7"/>
  <c r="O780" i="7"/>
  <c r="N780" i="7"/>
  <c r="M780" i="7"/>
  <c r="L780" i="7"/>
  <c r="K780" i="7"/>
  <c r="J780" i="7"/>
  <c r="I780" i="7"/>
  <c r="H780" i="7"/>
  <c r="G780" i="7"/>
  <c r="F780" i="7"/>
  <c r="E780" i="7"/>
  <c r="D780" i="7"/>
  <c r="C780" i="7"/>
  <c r="O779" i="7"/>
  <c r="N779" i="7"/>
  <c r="M779" i="7"/>
  <c r="L779" i="7"/>
  <c r="K779" i="7"/>
  <c r="J779" i="7"/>
  <c r="I779" i="7"/>
  <c r="H779" i="7"/>
  <c r="G779" i="7"/>
  <c r="F779" i="7"/>
  <c r="E779" i="7"/>
  <c r="D779" i="7"/>
  <c r="C779" i="7"/>
  <c r="O778" i="7"/>
  <c r="N778" i="7"/>
  <c r="M778" i="7"/>
  <c r="L778" i="7"/>
  <c r="K778" i="7"/>
  <c r="J778" i="7"/>
  <c r="I778" i="7"/>
  <c r="H778" i="7"/>
  <c r="G778" i="7"/>
  <c r="F778" i="7"/>
  <c r="E778" i="7"/>
  <c r="D778" i="7"/>
  <c r="C778" i="7"/>
  <c r="O777" i="7"/>
  <c r="N777" i="7"/>
  <c r="M777" i="7"/>
  <c r="L777" i="7"/>
  <c r="K777" i="7"/>
  <c r="J777" i="7"/>
  <c r="I777" i="7"/>
  <c r="H777" i="7"/>
  <c r="G777" i="7"/>
  <c r="F777" i="7"/>
  <c r="E777" i="7"/>
  <c r="D777" i="7"/>
  <c r="C777" i="7"/>
  <c r="O776" i="7"/>
  <c r="N776" i="7"/>
  <c r="M776" i="7"/>
  <c r="L776" i="7"/>
  <c r="K776" i="7"/>
  <c r="J776" i="7"/>
  <c r="I776" i="7"/>
  <c r="H776" i="7"/>
  <c r="G776" i="7"/>
  <c r="F776" i="7"/>
  <c r="E776" i="7"/>
  <c r="D776" i="7"/>
  <c r="C776" i="7"/>
  <c r="O775" i="7"/>
  <c r="N775" i="7"/>
  <c r="M775" i="7"/>
  <c r="L775" i="7"/>
  <c r="K775" i="7"/>
  <c r="J775" i="7"/>
  <c r="I775" i="7"/>
  <c r="H775" i="7"/>
  <c r="G775" i="7"/>
  <c r="F775" i="7"/>
  <c r="E775" i="7"/>
  <c r="D775" i="7"/>
  <c r="C775" i="7"/>
  <c r="O774" i="7"/>
  <c r="N774" i="7"/>
  <c r="M774" i="7"/>
  <c r="L774" i="7"/>
  <c r="K774" i="7"/>
  <c r="J774" i="7"/>
  <c r="I774" i="7"/>
  <c r="H774" i="7"/>
  <c r="G774" i="7"/>
  <c r="F774" i="7"/>
  <c r="E774" i="7"/>
  <c r="D774" i="7"/>
  <c r="C774" i="7"/>
  <c r="O773" i="7"/>
  <c r="N773" i="7"/>
  <c r="M773" i="7"/>
  <c r="L773" i="7"/>
  <c r="K773" i="7"/>
  <c r="J773" i="7"/>
  <c r="I773" i="7"/>
  <c r="H773" i="7"/>
  <c r="G773" i="7"/>
  <c r="F773" i="7"/>
  <c r="E773" i="7"/>
  <c r="D773" i="7"/>
  <c r="C773" i="7"/>
  <c r="O772" i="7"/>
  <c r="N772" i="7"/>
  <c r="M772" i="7"/>
  <c r="L772" i="7"/>
  <c r="K772" i="7"/>
  <c r="J772" i="7"/>
  <c r="I772" i="7"/>
  <c r="H772" i="7"/>
  <c r="G772" i="7"/>
  <c r="F772" i="7"/>
  <c r="E772" i="7"/>
  <c r="D772" i="7"/>
  <c r="C772" i="7"/>
  <c r="O771" i="7"/>
  <c r="N771" i="7"/>
  <c r="M771" i="7"/>
  <c r="L771" i="7"/>
  <c r="K771" i="7"/>
  <c r="J771" i="7"/>
  <c r="I771" i="7"/>
  <c r="H771" i="7"/>
  <c r="G771" i="7"/>
  <c r="F771" i="7"/>
  <c r="E771" i="7"/>
  <c r="D771" i="7"/>
  <c r="C771" i="7"/>
  <c r="O770" i="7"/>
  <c r="N770" i="7"/>
  <c r="M770" i="7"/>
  <c r="L770" i="7"/>
  <c r="K770" i="7"/>
  <c r="J770" i="7"/>
  <c r="I770" i="7"/>
  <c r="H770" i="7"/>
  <c r="G770" i="7"/>
  <c r="F770" i="7"/>
  <c r="E770" i="7"/>
  <c r="D770" i="7"/>
  <c r="C770" i="7"/>
  <c r="O769" i="7"/>
  <c r="N769" i="7"/>
  <c r="M769" i="7"/>
  <c r="L769" i="7"/>
  <c r="K769" i="7"/>
  <c r="J769" i="7"/>
  <c r="I769" i="7"/>
  <c r="H769" i="7"/>
  <c r="G769" i="7"/>
  <c r="F769" i="7"/>
  <c r="E769" i="7"/>
  <c r="D769" i="7"/>
  <c r="C769" i="7"/>
  <c r="O768" i="7"/>
  <c r="N768" i="7"/>
  <c r="M768" i="7"/>
  <c r="L768" i="7"/>
  <c r="K768" i="7"/>
  <c r="J768" i="7"/>
  <c r="I768" i="7"/>
  <c r="H768" i="7"/>
  <c r="G768" i="7"/>
  <c r="F768" i="7"/>
  <c r="E768" i="7"/>
  <c r="D768" i="7"/>
  <c r="C768" i="7"/>
  <c r="O767" i="7"/>
  <c r="N767" i="7"/>
  <c r="M767" i="7"/>
  <c r="L767" i="7"/>
  <c r="K767" i="7"/>
  <c r="J767" i="7"/>
  <c r="I767" i="7"/>
  <c r="H767" i="7"/>
  <c r="G767" i="7"/>
  <c r="F767" i="7"/>
  <c r="E767" i="7"/>
  <c r="D767" i="7"/>
  <c r="C767" i="7"/>
  <c r="O766" i="7"/>
  <c r="N766" i="7"/>
  <c r="M766" i="7"/>
  <c r="L766" i="7"/>
  <c r="K766" i="7"/>
  <c r="J766" i="7"/>
  <c r="I766" i="7"/>
  <c r="H766" i="7"/>
  <c r="G766" i="7"/>
  <c r="F766" i="7"/>
  <c r="E766" i="7"/>
  <c r="D766" i="7"/>
  <c r="C766" i="7"/>
  <c r="O765" i="7"/>
  <c r="N765" i="7"/>
  <c r="M765" i="7"/>
  <c r="L765" i="7"/>
  <c r="K765" i="7"/>
  <c r="J765" i="7"/>
  <c r="I765" i="7"/>
  <c r="H765" i="7"/>
  <c r="G765" i="7"/>
  <c r="F765" i="7"/>
  <c r="E765" i="7"/>
  <c r="D765" i="7"/>
  <c r="C765" i="7"/>
  <c r="O764" i="7"/>
  <c r="N764" i="7"/>
  <c r="M764" i="7"/>
  <c r="L764" i="7"/>
  <c r="K764" i="7"/>
  <c r="J764" i="7"/>
  <c r="I764" i="7"/>
  <c r="H764" i="7"/>
  <c r="G764" i="7"/>
  <c r="F764" i="7"/>
  <c r="E764" i="7"/>
  <c r="D764" i="7"/>
  <c r="C764" i="7"/>
  <c r="O763" i="7"/>
  <c r="N763" i="7"/>
  <c r="M763" i="7"/>
  <c r="L763" i="7"/>
  <c r="K763" i="7"/>
  <c r="J763" i="7"/>
  <c r="I763" i="7"/>
  <c r="H763" i="7"/>
  <c r="G763" i="7"/>
  <c r="F763" i="7"/>
  <c r="E763" i="7"/>
  <c r="D763" i="7"/>
  <c r="C763" i="7"/>
  <c r="O762" i="7"/>
  <c r="N762" i="7"/>
  <c r="M762" i="7"/>
  <c r="L762" i="7"/>
  <c r="K762" i="7"/>
  <c r="J762" i="7"/>
  <c r="I762" i="7"/>
  <c r="H762" i="7"/>
  <c r="G762" i="7"/>
  <c r="F762" i="7"/>
  <c r="E762" i="7"/>
  <c r="D762" i="7"/>
  <c r="C762" i="7"/>
  <c r="O761" i="7"/>
  <c r="N761" i="7"/>
  <c r="M761" i="7"/>
  <c r="L761" i="7"/>
  <c r="K761" i="7"/>
  <c r="J761" i="7"/>
  <c r="I761" i="7"/>
  <c r="H761" i="7"/>
  <c r="G761" i="7"/>
  <c r="F761" i="7"/>
  <c r="E761" i="7"/>
  <c r="D761" i="7"/>
  <c r="C761" i="7"/>
  <c r="O760" i="7"/>
  <c r="N760" i="7"/>
  <c r="M760" i="7"/>
  <c r="L760" i="7"/>
  <c r="K760" i="7"/>
  <c r="J760" i="7"/>
  <c r="I760" i="7"/>
  <c r="H760" i="7"/>
  <c r="G760" i="7"/>
  <c r="F760" i="7"/>
  <c r="E760" i="7"/>
  <c r="D760" i="7"/>
  <c r="C760" i="7"/>
  <c r="O759" i="7"/>
  <c r="N759" i="7"/>
  <c r="M759" i="7"/>
  <c r="L759" i="7"/>
  <c r="K759" i="7"/>
  <c r="J759" i="7"/>
  <c r="I759" i="7"/>
  <c r="H759" i="7"/>
  <c r="G759" i="7"/>
  <c r="F759" i="7"/>
  <c r="E759" i="7"/>
  <c r="D759" i="7"/>
  <c r="C759" i="7"/>
  <c r="O758" i="7"/>
  <c r="N758" i="7"/>
  <c r="M758" i="7"/>
  <c r="L758" i="7"/>
  <c r="K758" i="7"/>
  <c r="J758" i="7"/>
  <c r="I758" i="7"/>
  <c r="H758" i="7"/>
  <c r="G758" i="7"/>
  <c r="F758" i="7"/>
  <c r="E758" i="7"/>
  <c r="D758" i="7"/>
  <c r="C758" i="7"/>
  <c r="O757" i="7"/>
  <c r="N757" i="7"/>
  <c r="M757" i="7"/>
  <c r="L757" i="7"/>
  <c r="K757" i="7"/>
  <c r="J757" i="7"/>
  <c r="I757" i="7"/>
  <c r="H757" i="7"/>
  <c r="G757" i="7"/>
  <c r="F757" i="7"/>
  <c r="E757" i="7"/>
  <c r="D757" i="7"/>
  <c r="C757" i="7"/>
  <c r="O756" i="7"/>
  <c r="N756" i="7"/>
  <c r="M756" i="7"/>
  <c r="L756" i="7"/>
  <c r="K756" i="7"/>
  <c r="J756" i="7"/>
  <c r="I756" i="7"/>
  <c r="H756" i="7"/>
  <c r="G756" i="7"/>
  <c r="F756" i="7"/>
  <c r="E756" i="7"/>
  <c r="D756" i="7"/>
  <c r="C756" i="7"/>
  <c r="O755" i="7"/>
  <c r="N755" i="7"/>
  <c r="M755" i="7"/>
  <c r="L755" i="7"/>
  <c r="K755" i="7"/>
  <c r="J755" i="7"/>
  <c r="I755" i="7"/>
  <c r="H755" i="7"/>
  <c r="G755" i="7"/>
  <c r="F755" i="7"/>
  <c r="E755" i="7"/>
  <c r="D755" i="7"/>
  <c r="C755" i="7"/>
  <c r="O754" i="7"/>
  <c r="N754" i="7"/>
  <c r="M754" i="7"/>
  <c r="L754" i="7"/>
  <c r="K754" i="7"/>
  <c r="J754" i="7"/>
  <c r="I754" i="7"/>
  <c r="H754" i="7"/>
  <c r="G754" i="7"/>
  <c r="F754" i="7"/>
  <c r="E754" i="7"/>
  <c r="D754" i="7"/>
  <c r="C754" i="7"/>
  <c r="O753" i="7"/>
  <c r="N753" i="7"/>
  <c r="M753" i="7"/>
  <c r="L753" i="7"/>
  <c r="K753" i="7"/>
  <c r="J753" i="7"/>
  <c r="I753" i="7"/>
  <c r="H753" i="7"/>
  <c r="G753" i="7"/>
  <c r="F753" i="7"/>
  <c r="E753" i="7"/>
  <c r="D753" i="7"/>
  <c r="C753" i="7"/>
  <c r="O752" i="7"/>
  <c r="N752" i="7"/>
  <c r="M752" i="7"/>
  <c r="L752" i="7"/>
  <c r="K752" i="7"/>
  <c r="J752" i="7"/>
  <c r="I752" i="7"/>
  <c r="H752" i="7"/>
  <c r="G752" i="7"/>
  <c r="F752" i="7"/>
  <c r="E752" i="7"/>
  <c r="D752" i="7"/>
  <c r="C752" i="7"/>
  <c r="O751" i="7"/>
  <c r="N751" i="7"/>
  <c r="M751" i="7"/>
  <c r="L751" i="7"/>
  <c r="K751" i="7"/>
  <c r="J751" i="7"/>
  <c r="I751" i="7"/>
  <c r="H751" i="7"/>
  <c r="G751" i="7"/>
  <c r="F751" i="7"/>
  <c r="E751" i="7"/>
  <c r="D751" i="7"/>
  <c r="C751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50" i="7"/>
  <c r="O749" i="7"/>
  <c r="N749" i="7"/>
  <c r="M749" i="7"/>
  <c r="L749" i="7"/>
  <c r="K749" i="7"/>
  <c r="J749" i="7"/>
  <c r="I749" i="7"/>
  <c r="H749" i="7"/>
  <c r="G749" i="7"/>
  <c r="F749" i="7"/>
  <c r="E749" i="7"/>
  <c r="D749" i="7"/>
  <c r="C749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C748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C747" i="7"/>
  <c r="O746" i="7"/>
  <c r="N746" i="7"/>
  <c r="M746" i="7"/>
  <c r="L746" i="7"/>
  <c r="K746" i="7"/>
  <c r="J746" i="7"/>
  <c r="I746" i="7"/>
  <c r="H746" i="7"/>
  <c r="G746" i="7"/>
  <c r="F746" i="7"/>
  <c r="E746" i="7"/>
  <c r="D746" i="7"/>
  <c r="C746" i="7"/>
  <c r="O745" i="7"/>
  <c r="N745" i="7"/>
  <c r="M745" i="7"/>
  <c r="L745" i="7"/>
  <c r="K745" i="7"/>
  <c r="J745" i="7"/>
  <c r="I745" i="7"/>
  <c r="H745" i="7"/>
  <c r="G745" i="7"/>
  <c r="F745" i="7"/>
  <c r="E745" i="7"/>
  <c r="D745" i="7"/>
  <c r="C745" i="7"/>
  <c r="O744" i="7"/>
  <c r="N744" i="7"/>
  <c r="M744" i="7"/>
  <c r="L744" i="7"/>
  <c r="K744" i="7"/>
  <c r="J744" i="7"/>
  <c r="I744" i="7"/>
  <c r="H744" i="7"/>
  <c r="G744" i="7"/>
  <c r="F744" i="7"/>
  <c r="E744" i="7"/>
  <c r="D744" i="7"/>
  <c r="C744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C743" i="7"/>
  <c r="O742" i="7"/>
  <c r="N742" i="7"/>
  <c r="M742" i="7"/>
  <c r="L742" i="7"/>
  <c r="K742" i="7"/>
  <c r="J742" i="7"/>
  <c r="I742" i="7"/>
  <c r="H742" i="7"/>
  <c r="G742" i="7"/>
  <c r="F742" i="7"/>
  <c r="E742" i="7"/>
  <c r="D742" i="7"/>
  <c r="C742" i="7"/>
  <c r="O741" i="7"/>
  <c r="N741" i="7"/>
  <c r="M741" i="7"/>
  <c r="L741" i="7"/>
  <c r="K741" i="7"/>
  <c r="J741" i="7"/>
  <c r="I741" i="7"/>
  <c r="H741" i="7"/>
  <c r="G741" i="7"/>
  <c r="F741" i="7"/>
  <c r="E741" i="7"/>
  <c r="D741" i="7"/>
  <c r="C741" i="7"/>
  <c r="O740" i="7"/>
  <c r="N740" i="7"/>
  <c r="M740" i="7"/>
  <c r="L740" i="7"/>
  <c r="K740" i="7"/>
  <c r="J740" i="7"/>
  <c r="I740" i="7"/>
  <c r="H740" i="7"/>
  <c r="G740" i="7"/>
  <c r="F740" i="7"/>
  <c r="E740" i="7"/>
  <c r="D740" i="7"/>
  <c r="C740" i="7"/>
  <c r="O739" i="7"/>
  <c r="N739" i="7"/>
  <c r="M739" i="7"/>
  <c r="L739" i="7"/>
  <c r="K739" i="7"/>
  <c r="J739" i="7"/>
  <c r="I739" i="7"/>
  <c r="H739" i="7"/>
  <c r="G739" i="7"/>
  <c r="F739" i="7"/>
  <c r="E739" i="7"/>
  <c r="D739" i="7"/>
  <c r="C739" i="7"/>
  <c r="O738" i="7"/>
  <c r="N738" i="7"/>
  <c r="M738" i="7"/>
  <c r="L738" i="7"/>
  <c r="K738" i="7"/>
  <c r="J738" i="7"/>
  <c r="I738" i="7"/>
  <c r="H738" i="7"/>
  <c r="G738" i="7"/>
  <c r="F738" i="7"/>
  <c r="E738" i="7"/>
  <c r="D738" i="7"/>
  <c r="C738" i="7"/>
  <c r="O737" i="7"/>
  <c r="N737" i="7"/>
  <c r="M737" i="7"/>
  <c r="L737" i="7"/>
  <c r="K737" i="7"/>
  <c r="J737" i="7"/>
  <c r="I737" i="7"/>
  <c r="H737" i="7"/>
  <c r="G737" i="7"/>
  <c r="F737" i="7"/>
  <c r="E737" i="7"/>
  <c r="D737" i="7"/>
  <c r="C737" i="7"/>
  <c r="O736" i="7"/>
  <c r="N736" i="7"/>
  <c r="M736" i="7"/>
  <c r="L736" i="7"/>
  <c r="K736" i="7"/>
  <c r="J736" i="7"/>
  <c r="I736" i="7"/>
  <c r="H736" i="7"/>
  <c r="G736" i="7"/>
  <c r="F736" i="7"/>
  <c r="E736" i="7"/>
  <c r="D736" i="7"/>
  <c r="C736" i="7"/>
  <c r="O735" i="7"/>
  <c r="N735" i="7"/>
  <c r="M735" i="7"/>
  <c r="L735" i="7"/>
  <c r="K735" i="7"/>
  <c r="J735" i="7"/>
  <c r="I735" i="7"/>
  <c r="H735" i="7"/>
  <c r="G735" i="7"/>
  <c r="F735" i="7"/>
  <c r="E735" i="7"/>
  <c r="D735" i="7"/>
  <c r="C735" i="7"/>
  <c r="O734" i="7"/>
  <c r="N734" i="7"/>
  <c r="M734" i="7"/>
  <c r="L734" i="7"/>
  <c r="K734" i="7"/>
  <c r="J734" i="7"/>
  <c r="I734" i="7"/>
  <c r="H734" i="7"/>
  <c r="G734" i="7"/>
  <c r="F734" i="7"/>
  <c r="E734" i="7"/>
  <c r="D734" i="7"/>
  <c r="C734" i="7"/>
  <c r="O733" i="7"/>
  <c r="N733" i="7"/>
  <c r="M733" i="7"/>
  <c r="L733" i="7"/>
  <c r="K733" i="7"/>
  <c r="J733" i="7"/>
  <c r="I733" i="7"/>
  <c r="H733" i="7"/>
  <c r="G733" i="7"/>
  <c r="F733" i="7"/>
  <c r="E733" i="7"/>
  <c r="D733" i="7"/>
  <c r="C733" i="7"/>
  <c r="O732" i="7"/>
  <c r="N732" i="7"/>
  <c r="M732" i="7"/>
  <c r="L732" i="7"/>
  <c r="K732" i="7"/>
  <c r="J732" i="7"/>
  <c r="I732" i="7"/>
  <c r="H732" i="7"/>
  <c r="G732" i="7"/>
  <c r="F732" i="7"/>
  <c r="E732" i="7"/>
  <c r="D732" i="7"/>
  <c r="C732" i="7"/>
  <c r="O731" i="7"/>
  <c r="N731" i="7"/>
  <c r="M731" i="7"/>
  <c r="L731" i="7"/>
  <c r="K731" i="7"/>
  <c r="J731" i="7"/>
  <c r="I731" i="7"/>
  <c r="H731" i="7"/>
  <c r="G731" i="7"/>
  <c r="F731" i="7"/>
  <c r="E731" i="7"/>
  <c r="D731" i="7"/>
  <c r="C731" i="7"/>
  <c r="O730" i="7"/>
  <c r="N730" i="7"/>
  <c r="M730" i="7"/>
  <c r="L730" i="7"/>
  <c r="K730" i="7"/>
  <c r="J730" i="7"/>
  <c r="I730" i="7"/>
  <c r="H730" i="7"/>
  <c r="G730" i="7"/>
  <c r="F730" i="7"/>
  <c r="E730" i="7"/>
  <c r="D730" i="7"/>
  <c r="C730" i="7"/>
  <c r="O729" i="7"/>
  <c r="N729" i="7"/>
  <c r="M729" i="7"/>
  <c r="L729" i="7"/>
  <c r="K729" i="7"/>
  <c r="J729" i="7"/>
  <c r="I729" i="7"/>
  <c r="H729" i="7"/>
  <c r="G729" i="7"/>
  <c r="F729" i="7"/>
  <c r="E729" i="7"/>
  <c r="D729" i="7"/>
  <c r="C729" i="7"/>
  <c r="O728" i="7"/>
  <c r="N728" i="7"/>
  <c r="M728" i="7"/>
  <c r="L728" i="7"/>
  <c r="K728" i="7"/>
  <c r="J728" i="7"/>
  <c r="I728" i="7"/>
  <c r="H728" i="7"/>
  <c r="G728" i="7"/>
  <c r="F728" i="7"/>
  <c r="E728" i="7"/>
  <c r="D728" i="7"/>
  <c r="C728" i="7"/>
  <c r="O727" i="7"/>
  <c r="N727" i="7"/>
  <c r="M727" i="7"/>
  <c r="L727" i="7"/>
  <c r="K727" i="7"/>
  <c r="J727" i="7"/>
  <c r="I727" i="7"/>
  <c r="H727" i="7"/>
  <c r="G727" i="7"/>
  <c r="F727" i="7"/>
  <c r="E727" i="7"/>
  <c r="D727" i="7"/>
  <c r="C727" i="7"/>
  <c r="O726" i="7"/>
  <c r="N726" i="7"/>
  <c r="M726" i="7"/>
  <c r="L726" i="7"/>
  <c r="K726" i="7"/>
  <c r="J726" i="7"/>
  <c r="I726" i="7"/>
  <c r="H726" i="7"/>
  <c r="G726" i="7"/>
  <c r="F726" i="7"/>
  <c r="E726" i="7"/>
  <c r="D726" i="7"/>
  <c r="C726" i="7"/>
  <c r="O725" i="7"/>
  <c r="N725" i="7"/>
  <c r="M725" i="7"/>
  <c r="L725" i="7"/>
  <c r="K725" i="7"/>
  <c r="J725" i="7"/>
  <c r="I725" i="7"/>
  <c r="H725" i="7"/>
  <c r="G725" i="7"/>
  <c r="F725" i="7"/>
  <c r="E725" i="7"/>
  <c r="D725" i="7"/>
  <c r="C725" i="7"/>
  <c r="O724" i="7"/>
  <c r="N724" i="7"/>
  <c r="M724" i="7"/>
  <c r="L724" i="7"/>
  <c r="K724" i="7"/>
  <c r="J724" i="7"/>
  <c r="I724" i="7"/>
  <c r="H724" i="7"/>
  <c r="G724" i="7"/>
  <c r="F724" i="7"/>
  <c r="E724" i="7"/>
  <c r="D724" i="7"/>
  <c r="C724" i="7"/>
  <c r="O723" i="7"/>
  <c r="N723" i="7"/>
  <c r="M723" i="7"/>
  <c r="L723" i="7"/>
  <c r="K723" i="7"/>
  <c r="J723" i="7"/>
  <c r="I723" i="7"/>
  <c r="H723" i="7"/>
  <c r="G723" i="7"/>
  <c r="F723" i="7"/>
  <c r="E723" i="7"/>
  <c r="D723" i="7"/>
  <c r="C723" i="7"/>
  <c r="O722" i="7"/>
  <c r="N722" i="7"/>
  <c r="M722" i="7"/>
  <c r="L722" i="7"/>
  <c r="K722" i="7"/>
  <c r="J722" i="7"/>
  <c r="I722" i="7"/>
  <c r="H722" i="7"/>
  <c r="G722" i="7"/>
  <c r="F722" i="7"/>
  <c r="E722" i="7"/>
  <c r="D722" i="7"/>
  <c r="C722" i="7"/>
  <c r="O721" i="7"/>
  <c r="N721" i="7"/>
  <c r="M721" i="7"/>
  <c r="L721" i="7"/>
  <c r="K721" i="7"/>
  <c r="J721" i="7"/>
  <c r="I721" i="7"/>
  <c r="H721" i="7"/>
  <c r="G721" i="7"/>
  <c r="F721" i="7"/>
  <c r="E721" i="7"/>
  <c r="D721" i="7"/>
  <c r="C721" i="7"/>
  <c r="O720" i="7"/>
  <c r="N720" i="7"/>
  <c r="M720" i="7"/>
  <c r="L720" i="7"/>
  <c r="K720" i="7"/>
  <c r="J720" i="7"/>
  <c r="I720" i="7"/>
  <c r="H720" i="7"/>
  <c r="G720" i="7"/>
  <c r="F720" i="7"/>
  <c r="E720" i="7"/>
  <c r="D720" i="7"/>
  <c r="C720" i="7"/>
  <c r="O719" i="7"/>
  <c r="N719" i="7"/>
  <c r="M719" i="7"/>
  <c r="L719" i="7"/>
  <c r="K719" i="7"/>
  <c r="J719" i="7"/>
  <c r="I719" i="7"/>
  <c r="H719" i="7"/>
  <c r="G719" i="7"/>
  <c r="F719" i="7"/>
  <c r="E719" i="7"/>
  <c r="D719" i="7"/>
  <c r="C719" i="7"/>
  <c r="O718" i="7"/>
  <c r="N718" i="7"/>
  <c r="M718" i="7"/>
  <c r="L718" i="7"/>
  <c r="K718" i="7"/>
  <c r="J718" i="7"/>
  <c r="I718" i="7"/>
  <c r="H718" i="7"/>
  <c r="G718" i="7"/>
  <c r="F718" i="7"/>
  <c r="E718" i="7"/>
  <c r="D718" i="7"/>
  <c r="C718" i="7"/>
  <c r="O717" i="7"/>
  <c r="N717" i="7"/>
  <c r="M717" i="7"/>
  <c r="L717" i="7"/>
  <c r="K717" i="7"/>
  <c r="J717" i="7"/>
  <c r="I717" i="7"/>
  <c r="H717" i="7"/>
  <c r="G717" i="7"/>
  <c r="F717" i="7"/>
  <c r="E717" i="7"/>
  <c r="D717" i="7"/>
  <c r="C717" i="7"/>
  <c r="O716" i="7"/>
  <c r="N716" i="7"/>
  <c r="M716" i="7"/>
  <c r="L716" i="7"/>
  <c r="K716" i="7"/>
  <c r="J716" i="7"/>
  <c r="I716" i="7"/>
  <c r="H716" i="7"/>
  <c r="G716" i="7"/>
  <c r="F716" i="7"/>
  <c r="E716" i="7"/>
  <c r="D716" i="7"/>
  <c r="C716" i="7"/>
  <c r="O715" i="7"/>
  <c r="N715" i="7"/>
  <c r="M715" i="7"/>
  <c r="L715" i="7"/>
  <c r="K715" i="7"/>
  <c r="J715" i="7"/>
  <c r="I715" i="7"/>
  <c r="H715" i="7"/>
  <c r="G715" i="7"/>
  <c r="F715" i="7"/>
  <c r="E715" i="7"/>
  <c r="D715" i="7"/>
  <c r="C715" i="7"/>
  <c r="O714" i="7"/>
  <c r="N714" i="7"/>
  <c r="M714" i="7"/>
  <c r="L714" i="7"/>
  <c r="K714" i="7"/>
  <c r="J714" i="7"/>
  <c r="I714" i="7"/>
  <c r="H714" i="7"/>
  <c r="G714" i="7"/>
  <c r="F714" i="7"/>
  <c r="E714" i="7"/>
  <c r="D714" i="7"/>
  <c r="C714" i="7"/>
  <c r="O713" i="7"/>
  <c r="N713" i="7"/>
  <c r="M713" i="7"/>
  <c r="L713" i="7"/>
  <c r="K713" i="7"/>
  <c r="J713" i="7"/>
  <c r="I713" i="7"/>
  <c r="H713" i="7"/>
  <c r="G713" i="7"/>
  <c r="F713" i="7"/>
  <c r="E713" i="7"/>
  <c r="D713" i="7"/>
  <c r="C713" i="7"/>
  <c r="O712" i="7"/>
  <c r="N712" i="7"/>
  <c r="M712" i="7"/>
  <c r="L712" i="7"/>
  <c r="K712" i="7"/>
  <c r="J712" i="7"/>
  <c r="I712" i="7"/>
  <c r="H712" i="7"/>
  <c r="G712" i="7"/>
  <c r="F712" i="7"/>
  <c r="E712" i="7"/>
  <c r="D712" i="7"/>
  <c r="C712" i="7"/>
  <c r="O711" i="7"/>
  <c r="N711" i="7"/>
  <c r="M711" i="7"/>
  <c r="L711" i="7"/>
  <c r="K711" i="7"/>
  <c r="J711" i="7"/>
  <c r="I711" i="7"/>
  <c r="H711" i="7"/>
  <c r="G711" i="7"/>
  <c r="F711" i="7"/>
  <c r="E711" i="7"/>
  <c r="D711" i="7"/>
  <c r="C711" i="7"/>
  <c r="O710" i="7"/>
  <c r="N710" i="7"/>
  <c r="M710" i="7"/>
  <c r="L710" i="7"/>
  <c r="K710" i="7"/>
  <c r="J710" i="7"/>
  <c r="I710" i="7"/>
  <c r="H710" i="7"/>
  <c r="G710" i="7"/>
  <c r="F710" i="7"/>
  <c r="E710" i="7"/>
  <c r="D710" i="7"/>
  <c r="C710" i="7"/>
  <c r="O709" i="7"/>
  <c r="N709" i="7"/>
  <c r="M709" i="7"/>
  <c r="L709" i="7"/>
  <c r="K709" i="7"/>
  <c r="J709" i="7"/>
  <c r="I709" i="7"/>
  <c r="H709" i="7"/>
  <c r="G709" i="7"/>
  <c r="F709" i="7"/>
  <c r="E709" i="7"/>
  <c r="D709" i="7"/>
  <c r="C709" i="7"/>
  <c r="O708" i="7"/>
  <c r="N708" i="7"/>
  <c r="M708" i="7"/>
  <c r="L708" i="7"/>
  <c r="K708" i="7"/>
  <c r="J708" i="7"/>
  <c r="I708" i="7"/>
  <c r="H708" i="7"/>
  <c r="G708" i="7"/>
  <c r="F708" i="7"/>
  <c r="E708" i="7"/>
  <c r="D708" i="7"/>
  <c r="C708" i="7"/>
  <c r="O703" i="7"/>
  <c r="N703" i="7"/>
  <c r="M703" i="7"/>
  <c r="L703" i="7"/>
  <c r="K703" i="7"/>
  <c r="J703" i="7"/>
  <c r="I703" i="7"/>
  <c r="H703" i="7"/>
  <c r="G703" i="7"/>
  <c r="F703" i="7"/>
  <c r="E703" i="7"/>
  <c r="D703" i="7"/>
  <c r="C703" i="7"/>
  <c r="C702" i="7"/>
  <c r="C701" i="7"/>
  <c r="C700" i="7"/>
  <c r="O699" i="7"/>
  <c r="N699" i="7"/>
  <c r="M699" i="7"/>
  <c r="L699" i="7"/>
  <c r="K699" i="7"/>
  <c r="J699" i="7"/>
  <c r="I699" i="7"/>
  <c r="G699" i="7"/>
  <c r="F699" i="7"/>
  <c r="E699" i="7"/>
  <c r="D699" i="7"/>
  <c r="C699" i="7"/>
  <c r="O698" i="7"/>
  <c r="N698" i="7"/>
  <c r="M698" i="7"/>
  <c r="L698" i="7"/>
  <c r="K698" i="7"/>
  <c r="J698" i="7"/>
  <c r="I698" i="7"/>
  <c r="H698" i="7"/>
  <c r="G698" i="7"/>
  <c r="F698" i="7"/>
  <c r="E698" i="7"/>
  <c r="D698" i="7"/>
  <c r="C698" i="7"/>
  <c r="O697" i="7"/>
  <c r="N697" i="7"/>
  <c r="M697" i="7"/>
  <c r="L697" i="7"/>
  <c r="K697" i="7"/>
  <c r="J697" i="7"/>
  <c r="I697" i="7"/>
  <c r="H697" i="7"/>
  <c r="G697" i="7"/>
  <c r="F697" i="7"/>
  <c r="E697" i="7"/>
  <c r="D697" i="7"/>
  <c r="C697" i="7"/>
  <c r="O696" i="7"/>
  <c r="N696" i="7"/>
  <c r="M696" i="7"/>
  <c r="L696" i="7"/>
  <c r="K696" i="7"/>
  <c r="J696" i="7"/>
  <c r="I696" i="7"/>
  <c r="H696" i="7"/>
  <c r="G696" i="7"/>
  <c r="F696" i="7"/>
  <c r="E696" i="7"/>
  <c r="D696" i="7"/>
  <c r="C696" i="7"/>
  <c r="O695" i="7"/>
  <c r="N695" i="7"/>
  <c r="M695" i="7"/>
  <c r="L695" i="7"/>
  <c r="K695" i="7"/>
  <c r="J695" i="7"/>
  <c r="I695" i="7"/>
  <c r="H695" i="7"/>
  <c r="G695" i="7"/>
  <c r="F695" i="7"/>
  <c r="E695" i="7"/>
  <c r="D695" i="7"/>
  <c r="C695" i="7"/>
  <c r="O694" i="7"/>
  <c r="N694" i="7"/>
  <c r="M694" i="7"/>
  <c r="L694" i="7"/>
  <c r="K694" i="7"/>
  <c r="J694" i="7"/>
  <c r="I694" i="7"/>
  <c r="H694" i="7"/>
  <c r="G694" i="7"/>
  <c r="F694" i="7"/>
  <c r="E694" i="7"/>
  <c r="D694" i="7"/>
  <c r="C694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C693" i="7"/>
  <c r="O692" i="7"/>
  <c r="N692" i="7"/>
  <c r="M692" i="7"/>
  <c r="L692" i="7"/>
  <c r="K692" i="7"/>
  <c r="J692" i="7"/>
  <c r="I692" i="7"/>
  <c r="H692" i="7"/>
  <c r="G692" i="7"/>
  <c r="F692" i="7"/>
  <c r="E692" i="7"/>
  <c r="D692" i="7"/>
  <c r="C692" i="7"/>
  <c r="O691" i="7"/>
  <c r="N691" i="7"/>
  <c r="M691" i="7"/>
  <c r="L691" i="7"/>
  <c r="K691" i="7"/>
  <c r="J691" i="7"/>
  <c r="I691" i="7"/>
  <c r="H691" i="7"/>
  <c r="G691" i="7"/>
  <c r="F691" i="7"/>
  <c r="E691" i="7"/>
  <c r="D691" i="7"/>
  <c r="C691" i="7"/>
  <c r="O690" i="7"/>
  <c r="N690" i="7"/>
  <c r="M690" i="7"/>
  <c r="L690" i="7"/>
  <c r="K690" i="7"/>
  <c r="J690" i="7"/>
  <c r="I690" i="7"/>
  <c r="H690" i="7"/>
  <c r="G690" i="7"/>
  <c r="F690" i="7"/>
  <c r="E690" i="7"/>
  <c r="D690" i="7"/>
  <c r="C690" i="7"/>
  <c r="O689" i="7"/>
  <c r="N689" i="7"/>
  <c r="M689" i="7"/>
  <c r="L689" i="7"/>
  <c r="K689" i="7"/>
  <c r="J689" i="7"/>
  <c r="I689" i="7"/>
  <c r="H689" i="7"/>
  <c r="G689" i="7"/>
  <c r="F689" i="7"/>
  <c r="E689" i="7"/>
  <c r="D689" i="7"/>
  <c r="C689" i="7"/>
  <c r="O688" i="7"/>
  <c r="N688" i="7"/>
  <c r="M688" i="7"/>
  <c r="L688" i="7"/>
  <c r="K688" i="7"/>
  <c r="J688" i="7"/>
  <c r="I688" i="7"/>
  <c r="H688" i="7"/>
  <c r="G688" i="7"/>
  <c r="F688" i="7"/>
  <c r="E688" i="7"/>
  <c r="D688" i="7"/>
  <c r="C688" i="7"/>
  <c r="O687" i="7"/>
  <c r="N687" i="7"/>
  <c r="M687" i="7"/>
  <c r="L687" i="7"/>
  <c r="K687" i="7"/>
  <c r="J687" i="7"/>
  <c r="I687" i="7"/>
  <c r="H687" i="7"/>
  <c r="G687" i="7"/>
  <c r="F687" i="7"/>
  <c r="E687" i="7"/>
  <c r="D687" i="7"/>
  <c r="C687" i="7"/>
  <c r="O686" i="7"/>
  <c r="N686" i="7"/>
  <c r="M686" i="7"/>
  <c r="L686" i="7"/>
  <c r="K686" i="7"/>
  <c r="J686" i="7"/>
  <c r="I686" i="7"/>
  <c r="H686" i="7"/>
  <c r="G686" i="7"/>
  <c r="F686" i="7"/>
  <c r="E686" i="7"/>
  <c r="D686" i="7"/>
  <c r="C686" i="7"/>
  <c r="O685" i="7"/>
  <c r="N685" i="7"/>
  <c r="M685" i="7"/>
  <c r="L685" i="7"/>
  <c r="K685" i="7"/>
  <c r="J685" i="7"/>
  <c r="I685" i="7"/>
  <c r="H685" i="7"/>
  <c r="G685" i="7"/>
  <c r="F685" i="7"/>
  <c r="E685" i="7"/>
  <c r="D685" i="7"/>
  <c r="C685" i="7"/>
  <c r="O684" i="7"/>
  <c r="N684" i="7"/>
  <c r="M684" i="7"/>
  <c r="L684" i="7"/>
  <c r="K684" i="7"/>
  <c r="J684" i="7"/>
  <c r="I684" i="7"/>
  <c r="H684" i="7"/>
  <c r="G684" i="7"/>
  <c r="F684" i="7"/>
  <c r="E684" i="7"/>
  <c r="D684" i="7"/>
  <c r="C684" i="7"/>
  <c r="O683" i="7"/>
  <c r="N683" i="7"/>
  <c r="M683" i="7"/>
  <c r="L683" i="7"/>
  <c r="K683" i="7"/>
  <c r="J683" i="7"/>
  <c r="I683" i="7"/>
  <c r="H683" i="7"/>
  <c r="G683" i="7"/>
  <c r="F683" i="7"/>
  <c r="E683" i="7"/>
  <c r="D683" i="7"/>
  <c r="C683" i="7"/>
  <c r="O682" i="7"/>
  <c r="N682" i="7"/>
  <c r="M682" i="7"/>
  <c r="L682" i="7"/>
  <c r="K682" i="7"/>
  <c r="J682" i="7"/>
  <c r="I682" i="7"/>
  <c r="H682" i="7"/>
  <c r="G682" i="7"/>
  <c r="F682" i="7"/>
  <c r="E682" i="7"/>
  <c r="D682" i="7"/>
  <c r="C682" i="7"/>
  <c r="O681" i="7"/>
  <c r="N681" i="7"/>
  <c r="M681" i="7"/>
  <c r="L681" i="7"/>
  <c r="K681" i="7"/>
  <c r="J681" i="7"/>
  <c r="I681" i="7"/>
  <c r="H681" i="7"/>
  <c r="G681" i="7"/>
  <c r="F681" i="7"/>
  <c r="E681" i="7"/>
  <c r="D681" i="7"/>
  <c r="C681" i="7"/>
  <c r="O680" i="7"/>
  <c r="N680" i="7"/>
  <c r="M680" i="7"/>
  <c r="L680" i="7"/>
  <c r="K680" i="7"/>
  <c r="J680" i="7"/>
  <c r="I680" i="7"/>
  <c r="H680" i="7"/>
  <c r="G680" i="7"/>
  <c r="F680" i="7"/>
  <c r="E680" i="7"/>
  <c r="D680" i="7"/>
  <c r="C680" i="7"/>
  <c r="O679" i="7"/>
  <c r="N679" i="7"/>
  <c r="M679" i="7"/>
  <c r="L679" i="7"/>
  <c r="K679" i="7"/>
  <c r="J679" i="7"/>
  <c r="I679" i="7"/>
  <c r="H679" i="7"/>
  <c r="G679" i="7"/>
  <c r="F679" i="7"/>
  <c r="E679" i="7"/>
  <c r="D679" i="7"/>
  <c r="C679" i="7"/>
  <c r="O678" i="7"/>
  <c r="N678" i="7"/>
  <c r="M678" i="7"/>
  <c r="L678" i="7"/>
  <c r="K678" i="7"/>
  <c r="J678" i="7"/>
  <c r="I678" i="7"/>
  <c r="H678" i="7"/>
  <c r="G678" i="7"/>
  <c r="F678" i="7"/>
  <c r="E678" i="7"/>
  <c r="D678" i="7"/>
  <c r="C678" i="7"/>
  <c r="O677" i="7"/>
  <c r="N677" i="7"/>
  <c r="M677" i="7"/>
  <c r="L677" i="7"/>
  <c r="K677" i="7"/>
  <c r="J677" i="7"/>
  <c r="I677" i="7"/>
  <c r="H677" i="7"/>
  <c r="G677" i="7"/>
  <c r="F677" i="7"/>
  <c r="E677" i="7"/>
  <c r="D677" i="7"/>
  <c r="C677" i="7"/>
  <c r="O676" i="7"/>
  <c r="N676" i="7"/>
  <c r="M676" i="7"/>
  <c r="L676" i="7"/>
  <c r="K676" i="7"/>
  <c r="J676" i="7"/>
  <c r="I676" i="7"/>
  <c r="H676" i="7"/>
  <c r="G676" i="7"/>
  <c r="F676" i="7"/>
  <c r="E676" i="7"/>
  <c r="D676" i="7"/>
  <c r="C676" i="7"/>
  <c r="O675" i="7"/>
  <c r="N675" i="7"/>
  <c r="M675" i="7"/>
  <c r="L675" i="7"/>
  <c r="K675" i="7"/>
  <c r="J675" i="7"/>
  <c r="I675" i="7"/>
  <c r="H675" i="7"/>
  <c r="G675" i="7"/>
  <c r="F675" i="7"/>
  <c r="E675" i="7"/>
  <c r="D675" i="7"/>
  <c r="C675" i="7"/>
  <c r="O674" i="7"/>
  <c r="N674" i="7"/>
  <c r="M674" i="7"/>
  <c r="L674" i="7"/>
  <c r="K674" i="7"/>
  <c r="J674" i="7"/>
  <c r="I674" i="7"/>
  <c r="H674" i="7"/>
  <c r="G674" i="7"/>
  <c r="F674" i="7"/>
  <c r="E674" i="7"/>
  <c r="D674" i="7"/>
  <c r="C674" i="7"/>
  <c r="O673" i="7"/>
  <c r="N673" i="7"/>
  <c r="M673" i="7"/>
  <c r="L673" i="7"/>
  <c r="K673" i="7"/>
  <c r="J673" i="7"/>
  <c r="I673" i="7"/>
  <c r="H673" i="7"/>
  <c r="G673" i="7"/>
  <c r="F673" i="7"/>
  <c r="E673" i="7"/>
  <c r="D673" i="7"/>
  <c r="C673" i="7"/>
  <c r="O672" i="7"/>
  <c r="N672" i="7"/>
  <c r="M672" i="7"/>
  <c r="L672" i="7"/>
  <c r="K672" i="7"/>
  <c r="J672" i="7"/>
  <c r="I672" i="7"/>
  <c r="H672" i="7"/>
  <c r="G672" i="7"/>
  <c r="F672" i="7"/>
  <c r="E672" i="7"/>
  <c r="D672" i="7"/>
  <c r="C672" i="7"/>
  <c r="O671" i="7"/>
  <c r="N671" i="7"/>
  <c r="M671" i="7"/>
  <c r="L671" i="7"/>
  <c r="K671" i="7"/>
  <c r="J671" i="7"/>
  <c r="I671" i="7"/>
  <c r="H671" i="7"/>
  <c r="G671" i="7"/>
  <c r="F671" i="7"/>
  <c r="E671" i="7"/>
  <c r="D671" i="7"/>
  <c r="C671" i="7"/>
  <c r="O670" i="7"/>
  <c r="N670" i="7"/>
  <c r="M670" i="7"/>
  <c r="L670" i="7"/>
  <c r="K670" i="7"/>
  <c r="J670" i="7"/>
  <c r="I670" i="7"/>
  <c r="H670" i="7"/>
  <c r="G670" i="7"/>
  <c r="F670" i="7"/>
  <c r="E670" i="7"/>
  <c r="D670" i="7"/>
  <c r="C670" i="7"/>
  <c r="O669" i="7"/>
  <c r="N669" i="7"/>
  <c r="M669" i="7"/>
  <c r="L669" i="7"/>
  <c r="K669" i="7"/>
  <c r="J669" i="7"/>
  <c r="I669" i="7"/>
  <c r="H669" i="7"/>
  <c r="G669" i="7"/>
  <c r="F669" i="7"/>
  <c r="E669" i="7"/>
  <c r="D669" i="7"/>
  <c r="C669" i="7"/>
  <c r="O668" i="7"/>
  <c r="N668" i="7"/>
  <c r="M668" i="7"/>
  <c r="L668" i="7"/>
  <c r="K668" i="7"/>
  <c r="J668" i="7"/>
  <c r="I668" i="7"/>
  <c r="H668" i="7"/>
  <c r="G668" i="7"/>
  <c r="F668" i="7"/>
  <c r="E668" i="7"/>
  <c r="D668" i="7"/>
  <c r="C668" i="7"/>
  <c r="O667" i="7"/>
  <c r="N667" i="7"/>
  <c r="M667" i="7"/>
  <c r="L667" i="7"/>
  <c r="K667" i="7"/>
  <c r="J667" i="7"/>
  <c r="I667" i="7"/>
  <c r="H667" i="7"/>
  <c r="G667" i="7"/>
  <c r="F667" i="7"/>
  <c r="E667" i="7"/>
  <c r="D667" i="7"/>
  <c r="C667" i="7"/>
  <c r="O666" i="7"/>
  <c r="N666" i="7"/>
  <c r="M666" i="7"/>
  <c r="L666" i="7"/>
  <c r="K666" i="7"/>
  <c r="J666" i="7"/>
  <c r="I666" i="7"/>
  <c r="H666" i="7"/>
  <c r="G666" i="7"/>
  <c r="F666" i="7"/>
  <c r="E666" i="7"/>
  <c r="D666" i="7"/>
  <c r="C666" i="7"/>
  <c r="O665" i="7"/>
  <c r="N665" i="7"/>
  <c r="M665" i="7"/>
  <c r="L665" i="7"/>
  <c r="K665" i="7"/>
  <c r="J665" i="7"/>
  <c r="I665" i="7"/>
  <c r="H665" i="7"/>
  <c r="G665" i="7"/>
  <c r="F665" i="7"/>
  <c r="E665" i="7"/>
  <c r="D665" i="7"/>
  <c r="C665" i="7"/>
  <c r="O664" i="7"/>
  <c r="N664" i="7"/>
  <c r="M664" i="7"/>
  <c r="L664" i="7"/>
  <c r="K664" i="7"/>
  <c r="J664" i="7"/>
  <c r="I664" i="7"/>
  <c r="H664" i="7"/>
  <c r="G664" i="7"/>
  <c r="F664" i="7"/>
  <c r="E664" i="7"/>
  <c r="D664" i="7"/>
  <c r="C664" i="7"/>
  <c r="O663" i="7"/>
  <c r="N663" i="7"/>
  <c r="M663" i="7"/>
  <c r="L663" i="7"/>
  <c r="K663" i="7"/>
  <c r="J663" i="7"/>
  <c r="I663" i="7"/>
  <c r="H663" i="7"/>
  <c r="G663" i="7"/>
  <c r="F663" i="7"/>
  <c r="E663" i="7"/>
  <c r="D663" i="7"/>
  <c r="C663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62" i="7"/>
  <c r="O661" i="7"/>
  <c r="N661" i="7"/>
  <c r="M661" i="7"/>
  <c r="L661" i="7"/>
  <c r="K661" i="7"/>
  <c r="J661" i="7"/>
  <c r="I661" i="7"/>
  <c r="H661" i="7"/>
  <c r="G661" i="7"/>
  <c r="F661" i="7"/>
  <c r="E661" i="7"/>
  <c r="D661" i="7"/>
  <c r="C661" i="7"/>
  <c r="O660" i="7"/>
  <c r="N660" i="7"/>
  <c r="M660" i="7"/>
  <c r="L660" i="7"/>
  <c r="K660" i="7"/>
  <c r="J660" i="7"/>
  <c r="I660" i="7"/>
  <c r="H660" i="7"/>
  <c r="G660" i="7"/>
  <c r="F660" i="7"/>
  <c r="E660" i="7"/>
  <c r="D660" i="7"/>
  <c r="C660" i="7"/>
  <c r="O659" i="7"/>
  <c r="N659" i="7"/>
  <c r="M659" i="7"/>
  <c r="L659" i="7"/>
  <c r="K659" i="7"/>
  <c r="J659" i="7"/>
  <c r="I659" i="7"/>
  <c r="H659" i="7"/>
  <c r="G659" i="7"/>
  <c r="F659" i="7"/>
  <c r="E659" i="7"/>
  <c r="D659" i="7"/>
  <c r="C659" i="7"/>
  <c r="O658" i="7"/>
  <c r="N658" i="7"/>
  <c r="M658" i="7"/>
  <c r="L658" i="7"/>
  <c r="K658" i="7"/>
  <c r="J658" i="7"/>
  <c r="I658" i="7"/>
  <c r="H658" i="7"/>
  <c r="G658" i="7"/>
  <c r="F658" i="7"/>
  <c r="E658" i="7"/>
  <c r="D658" i="7"/>
  <c r="C658" i="7"/>
  <c r="O657" i="7"/>
  <c r="N657" i="7"/>
  <c r="M657" i="7"/>
  <c r="L657" i="7"/>
  <c r="K657" i="7"/>
  <c r="J657" i="7"/>
  <c r="I657" i="7"/>
  <c r="H657" i="7"/>
  <c r="G657" i="7"/>
  <c r="F657" i="7"/>
  <c r="E657" i="7"/>
  <c r="D657" i="7"/>
  <c r="C657" i="7"/>
  <c r="O656" i="7"/>
  <c r="N656" i="7"/>
  <c r="M656" i="7"/>
  <c r="L656" i="7"/>
  <c r="K656" i="7"/>
  <c r="J656" i="7"/>
  <c r="I656" i="7"/>
  <c r="H656" i="7"/>
  <c r="G656" i="7"/>
  <c r="F656" i="7"/>
  <c r="E656" i="7"/>
  <c r="D656" i="7"/>
  <c r="C656" i="7"/>
  <c r="O655" i="7"/>
  <c r="N655" i="7"/>
  <c r="M655" i="7"/>
  <c r="L655" i="7"/>
  <c r="K655" i="7"/>
  <c r="J655" i="7"/>
  <c r="I655" i="7"/>
  <c r="H655" i="7"/>
  <c r="G655" i="7"/>
  <c r="F655" i="7"/>
  <c r="E655" i="7"/>
  <c r="D655" i="7"/>
  <c r="C655" i="7"/>
  <c r="O654" i="7"/>
  <c r="N654" i="7"/>
  <c r="M654" i="7"/>
  <c r="L654" i="7"/>
  <c r="K654" i="7"/>
  <c r="J654" i="7"/>
  <c r="I654" i="7"/>
  <c r="H654" i="7"/>
  <c r="G654" i="7"/>
  <c r="F654" i="7"/>
  <c r="E654" i="7"/>
  <c r="D654" i="7"/>
  <c r="C654" i="7"/>
  <c r="O653" i="7"/>
  <c r="N653" i="7"/>
  <c r="M653" i="7"/>
  <c r="L653" i="7"/>
  <c r="K653" i="7"/>
  <c r="J653" i="7"/>
  <c r="I653" i="7"/>
  <c r="H653" i="7"/>
  <c r="G653" i="7"/>
  <c r="F653" i="7"/>
  <c r="E653" i="7"/>
  <c r="D653" i="7"/>
  <c r="C653" i="7"/>
  <c r="O652" i="7"/>
  <c r="N652" i="7"/>
  <c r="M652" i="7"/>
  <c r="L652" i="7"/>
  <c r="K652" i="7"/>
  <c r="J652" i="7"/>
  <c r="I652" i="7"/>
  <c r="H652" i="7"/>
  <c r="G652" i="7"/>
  <c r="F652" i="7"/>
  <c r="E652" i="7"/>
  <c r="D652" i="7"/>
  <c r="C652" i="7"/>
  <c r="O651" i="7"/>
  <c r="N651" i="7"/>
  <c r="M651" i="7"/>
  <c r="L651" i="7"/>
  <c r="K651" i="7"/>
  <c r="J651" i="7"/>
  <c r="I651" i="7"/>
  <c r="H651" i="7"/>
  <c r="G651" i="7"/>
  <c r="F651" i="7"/>
  <c r="E651" i="7"/>
  <c r="D651" i="7"/>
  <c r="C651" i="7"/>
  <c r="O650" i="7"/>
  <c r="N650" i="7"/>
  <c r="M650" i="7"/>
  <c r="L650" i="7"/>
  <c r="K650" i="7"/>
  <c r="J650" i="7"/>
  <c r="I650" i="7"/>
  <c r="H650" i="7"/>
  <c r="G650" i="7"/>
  <c r="F650" i="7"/>
  <c r="E650" i="7"/>
  <c r="D650" i="7"/>
  <c r="C650" i="7"/>
  <c r="O649" i="7"/>
  <c r="N649" i="7"/>
  <c r="M649" i="7"/>
  <c r="L649" i="7"/>
  <c r="K649" i="7"/>
  <c r="J649" i="7"/>
  <c r="I649" i="7"/>
  <c r="H649" i="7"/>
  <c r="G649" i="7"/>
  <c r="F649" i="7"/>
  <c r="E649" i="7"/>
  <c r="D649" i="7"/>
  <c r="C649" i="7"/>
  <c r="O648" i="7"/>
  <c r="N648" i="7"/>
  <c r="M648" i="7"/>
  <c r="L648" i="7"/>
  <c r="K648" i="7"/>
  <c r="J648" i="7"/>
  <c r="I648" i="7"/>
  <c r="H648" i="7"/>
  <c r="G648" i="7"/>
  <c r="F648" i="7"/>
  <c r="E648" i="7"/>
  <c r="D648" i="7"/>
  <c r="C648" i="7"/>
  <c r="O647" i="7"/>
  <c r="N647" i="7"/>
  <c r="M647" i="7"/>
  <c r="L647" i="7"/>
  <c r="K647" i="7"/>
  <c r="J647" i="7"/>
  <c r="I647" i="7"/>
  <c r="H647" i="7"/>
  <c r="G647" i="7"/>
  <c r="F647" i="7"/>
  <c r="E647" i="7"/>
  <c r="D647" i="7"/>
  <c r="C647" i="7"/>
  <c r="O646" i="7"/>
  <c r="N646" i="7"/>
  <c r="M646" i="7"/>
  <c r="L646" i="7"/>
  <c r="K646" i="7"/>
  <c r="J646" i="7"/>
  <c r="I646" i="7"/>
  <c r="H646" i="7"/>
  <c r="G646" i="7"/>
  <c r="F646" i="7"/>
  <c r="E646" i="7"/>
  <c r="D646" i="7"/>
  <c r="C646" i="7"/>
  <c r="O645" i="7"/>
  <c r="N645" i="7"/>
  <c r="M645" i="7"/>
  <c r="L645" i="7"/>
  <c r="K645" i="7"/>
  <c r="J645" i="7"/>
  <c r="I645" i="7"/>
  <c r="H645" i="7"/>
  <c r="G645" i="7"/>
  <c r="F645" i="7"/>
  <c r="E645" i="7"/>
  <c r="D645" i="7"/>
  <c r="C645" i="7"/>
  <c r="O644" i="7"/>
  <c r="N644" i="7"/>
  <c r="M644" i="7"/>
  <c r="L644" i="7"/>
  <c r="K644" i="7"/>
  <c r="J644" i="7"/>
  <c r="I644" i="7"/>
  <c r="H644" i="7"/>
  <c r="G644" i="7"/>
  <c r="F644" i="7"/>
  <c r="E644" i="7"/>
  <c r="D644" i="7"/>
  <c r="C644" i="7"/>
  <c r="O643" i="7"/>
  <c r="N643" i="7"/>
  <c r="M643" i="7"/>
  <c r="L643" i="7"/>
  <c r="K643" i="7"/>
  <c r="J643" i="7"/>
  <c r="I643" i="7"/>
  <c r="H643" i="7"/>
  <c r="G643" i="7"/>
  <c r="F643" i="7"/>
  <c r="E643" i="7"/>
  <c r="D643" i="7"/>
  <c r="C643" i="7"/>
  <c r="O642" i="7"/>
  <c r="N642" i="7"/>
  <c r="M642" i="7"/>
  <c r="L642" i="7"/>
  <c r="K642" i="7"/>
  <c r="J642" i="7"/>
  <c r="I642" i="7"/>
  <c r="H642" i="7"/>
  <c r="G642" i="7"/>
  <c r="F642" i="7"/>
  <c r="E642" i="7"/>
  <c r="D642" i="7"/>
  <c r="C642" i="7"/>
  <c r="O641" i="7"/>
  <c r="N641" i="7"/>
  <c r="M641" i="7"/>
  <c r="L641" i="7"/>
  <c r="K641" i="7"/>
  <c r="J641" i="7"/>
  <c r="I641" i="7"/>
  <c r="H641" i="7"/>
  <c r="G641" i="7"/>
  <c r="F641" i="7"/>
  <c r="E641" i="7"/>
  <c r="D641" i="7"/>
  <c r="C641" i="7"/>
  <c r="O640" i="7"/>
  <c r="N640" i="7"/>
  <c r="M640" i="7"/>
  <c r="L640" i="7"/>
  <c r="K640" i="7"/>
  <c r="J640" i="7"/>
  <c r="I640" i="7"/>
  <c r="H640" i="7"/>
  <c r="G640" i="7"/>
  <c r="F640" i="7"/>
  <c r="E640" i="7"/>
  <c r="D640" i="7"/>
  <c r="C640" i="7"/>
  <c r="O639" i="7"/>
  <c r="N639" i="7"/>
  <c r="M639" i="7"/>
  <c r="L639" i="7"/>
  <c r="K639" i="7"/>
  <c r="J639" i="7"/>
  <c r="I639" i="7"/>
  <c r="H639" i="7"/>
  <c r="G639" i="7"/>
  <c r="F639" i="7"/>
  <c r="E639" i="7"/>
  <c r="D639" i="7"/>
  <c r="C639" i="7"/>
  <c r="O638" i="7"/>
  <c r="N638" i="7"/>
  <c r="M638" i="7"/>
  <c r="L638" i="7"/>
  <c r="K638" i="7"/>
  <c r="J638" i="7"/>
  <c r="I638" i="7"/>
  <c r="H638" i="7"/>
  <c r="G638" i="7"/>
  <c r="F638" i="7"/>
  <c r="E638" i="7"/>
  <c r="D638" i="7"/>
  <c r="C638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O636" i="7"/>
  <c r="N636" i="7"/>
  <c r="M636" i="7"/>
  <c r="L636" i="7"/>
  <c r="K636" i="7"/>
  <c r="J636" i="7"/>
  <c r="I636" i="7"/>
  <c r="H636" i="7"/>
  <c r="G636" i="7"/>
  <c r="F636" i="7"/>
  <c r="E636" i="7"/>
  <c r="D636" i="7"/>
  <c r="C636" i="7"/>
  <c r="O635" i="7"/>
  <c r="N635" i="7"/>
  <c r="M635" i="7"/>
  <c r="L635" i="7"/>
  <c r="K635" i="7"/>
  <c r="J635" i="7"/>
  <c r="I635" i="7"/>
  <c r="H635" i="7"/>
  <c r="G635" i="7"/>
  <c r="F635" i="7"/>
  <c r="E635" i="7"/>
  <c r="D635" i="7"/>
  <c r="C635" i="7"/>
  <c r="O634" i="7"/>
  <c r="N634" i="7"/>
  <c r="M634" i="7"/>
  <c r="L634" i="7"/>
  <c r="K634" i="7"/>
  <c r="J634" i="7"/>
  <c r="I634" i="7"/>
  <c r="H634" i="7"/>
  <c r="G634" i="7"/>
  <c r="F634" i="7"/>
  <c r="E634" i="7"/>
  <c r="D634" i="7"/>
  <c r="C634" i="7"/>
  <c r="O633" i="7"/>
  <c r="N633" i="7"/>
  <c r="M633" i="7"/>
  <c r="L633" i="7"/>
  <c r="K633" i="7"/>
  <c r="J633" i="7"/>
  <c r="I633" i="7"/>
  <c r="H633" i="7"/>
  <c r="G633" i="7"/>
  <c r="F633" i="7"/>
  <c r="E633" i="7"/>
  <c r="D633" i="7"/>
  <c r="C633" i="7"/>
  <c r="O632" i="7"/>
  <c r="N632" i="7"/>
  <c r="M632" i="7"/>
  <c r="L632" i="7"/>
  <c r="K632" i="7"/>
  <c r="J632" i="7"/>
  <c r="I632" i="7"/>
  <c r="H632" i="7"/>
  <c r="G632" i="7"/>
  <c r="F632" i="7"/>
  <c r="E632" i="7"/>
  <c r="D632" i="7"/>
  <c r="C632" i="7"/>
  <c r="O631" i="7"/>
  <c r="N631" i="7"/>
  <c r="M631" i="7"/>
  <c r="L631" i="7"/>
  <c r="K631" i="7"/>
  <c r="J631" i="7"/>
  <c r="I631" i="7"/>
  <c r="H631" i="7"/>
  <c r="G631" i="7"/>
  <c r="F631" i="7"/>
  <c r="E631" i="7"/>
  <c r="D631" i="7"/>
  <c r="C631" i="7"/>
  <c r="O630" i="7"/>
  <c r="N630" i="7"/>
  <c r="M630" i="7"/>
  <c r="L630" i="7"/>
  <c r="K630" i="7"/>
  <c r="J630" i="7"/>
  <c r="I630" i="7"/>
  <c r="H630" i="7"/>
  <c r="G630" i="7"/>
  <c r="F630" i="7"/>
  <c r="E630" i="7"/>
  <c r="D630" i="7"/>
  <c r="C630" i="7"/>
  <c r="O629" i="7"/>
  <c r="N629" i="7"/>
  <c r="M629" i="7"/>
  <c r="L629" i="7"/>
  <c r="K629" i="7"/>
  <c r="J629" i="7"/>
  <c r="I629" i="7"/>
  <c r="H629" i="7"/>
  <c r="G629" i="7"/>
  <c r="F629" i="7"/>
  <c r="E629" i="7"/>
  <c r="D629" i="7"/>
  <c r="C629" i="7"/>
  <c r="O628" i="7"/>
  <c r="N628" i="7"/>
  <c r="M628" i="7"/>
  <c r="L628" i="7"/>
  <c r="K628" i="7"/>
  <c r="J628" i="7"/>
  <c r="I628" i="7"/>
  <c r="H628" i="7"/>
  <c r="G628" i="7"/>
  <c r="F628" i="7"/>
  <c r="E628" i="7"/>
  <c r="D628" i="7"/>
  <c r="C628" i="7"/>
  <c r="O627" i="7"/>
  <c r="N627" i="7"/>
  <c r="M627" i="7"/>
  <c r="L627" i="7"/>
  <c r="K627" i="7"/>
  <c r="J627" i="7"/>
  <c r="I627" i="7"/>
  <c r="H627" i="7"/>
  <c r="G627" i="7"/>
  <c r="F627" i="7"/>
  <c r="E627" i="7"/>
  <c r="D627" i="7"/>
  <c r="C627" i="7"/>
  <c r="O626" i="7"/>
  <c r="N626" i="7"/>
  <c r="M626" i="7"/>
  <c r="L626" i="7"/>
  <c r="K626" i="7"/>
  <c r="J626" i="7"/>
  <c r="I626" i="7"/>
  <c r="H626" i="7"/>
  <c r="G626" i="7"/>
  <c r="F626" i="7"/>
  <c r="E626" i="7"/>
  <c r="D626" i="7"/>
  <c r="C626" i="7"/>
  <c r="O625" i="7"/>
  <c r="N625" i="7"/>
  <c r="M625" i="7"/>
  <c r="L625" i="7"/>
  <c r="K625" i="7"/>
  <c r="J625" i="7"/>
  <c r="I625" i="7"/>
  <c r="H625" i="7"/>
  <c r="G625" i="7"/>
  <c r="F625" i="7"/>
  <c r="E625" i="7"/>
  <c r="D625" i="7"/>
  <c r="C625" i="7"/>
  <c r="O624" i="7"/>
  <c r="N624" i="7"/>
  <c r="M624" i="7"/>
  <c r="L624" i="7"/>
  <c r="K624" i="7"/>
  <c r="J624" i="7"/>
  <c r="I624" i="7"/>
  <c r="H624" i="7"/>
  <c r="G624" i="7"/>
  <c r="F624" i="7"/>
  <c r="E624" i="7"/>
  <c r="D624" i="7"/>
  <c r="C624" i="7"/>
  <c r="O623" i="7"/>
  <c r="N623" i="7"/>
  <c r="M623" i="7"/>
  <c r="L623" i="7"/>
  <c r="K623" i="7"/>
  <c r="J623" i="7"/>
  <c r="I623" i="7"/>
  <c r="H623" i="7"/>
  <c r="G623" i="7"/>
  <c r="F623" i="7"/>
  <c r="E623" i="7"/>
  <c r="D623" i="7"/>
  <c r="C623" i="7"/>
  <c r="O622" i="7"/>
  <c r="N622" i="7"/>
  <c r="M622" i="7"/>
  <c r="L622" i="7"/>
  <c r="K622" i="7"/>
  <c r="J622" i="7"/>
  <c r="I622" i="7"/>
  <c r="H622" i="7"/>
  <c r="G622" i="7"/>
  <c r="F622" i="7"/>
  <c r="E622" i="7"/>
  <c r="D622" i="7"/>
  <c r="C622" i="7"/>
  <c r="O621" i="7"/>
  <c r="N621" i="7"/>
  <c r="M621" i="7"/>
  <c r="L621" i="7"/>
  <c r="K621" i="7"/>
  <c r="J621" i="7"/>
  <c r="I621" i="7"/>
  <c r="H621" i="7"/>
  <c r="G621" i="7"/>
  <c r="F621" i="7"/>
  <c r="E621" i="7"/>
  <c r="D621" i="7"/>
  <c r="C621" i="7"/>
  <c r="O620" i="7"/>
  <c r="N620" i="7"/>
  <c r="M620" i="7"/>
  <c r="L620" i="7"/>
  <c r="K620" i="7"/>
  <c r="J620" i="7"/>
  <c r="I620" i="7"/>
  <c r="H620" i="7"/>
  <c r="G620" i="7"/>
  <c r="F620" i="7"/>
  <c r="E620" i="7"/>
  <c r="D620" i="7"/>
  <c r="C620" i="7"/>
  <c r="O619" i="7"/>
  <c r="N619" i="7"/>
  <c r="M619" i="7"/>
  <c r="L619" i="7"/>
  <c r="K619" i="7"/>
  <c r="J619" i="7"/>
  <c r="I619" i="7"/>
  <c r="H619" i="7"/>
  <c r="G619" i="7"/>
  <c r="F619" i="7"/>
  <c r="E619" i="7"/>
  <c r="D619" i="7"/>
  <c r="C619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8" i="7"/>
  <c r="O617" i="7"/>
  <c r="N617" i="7"/>
  <c r="M617" i="7"/>
  <c r="L617" i="7"/>
  <c r="K617" i="7"/>
  <c r="J617" i="7"/>
  <c r="I617" i="7"/>
  <c r="H617" i="7"/>
  <c r="G617" i="7"/>
  <c r="F617" i="7"/>
  <c r="E617" i="7"/>
  <c r="D617" i="7"/>
  <c r="C617" i="7"/>
  <c r="O616" i="7"/>
  <c r="N616" i="7"/>
  <c r="M616" i="7"/>
  <c r="L616" i="7"/>
  <c r="K616" i="7"/>
  <c r="J616" i="7"/>
  <c r="I616" i="7"/>
  <c r="H616" i="7"/>
  <c r="G616" i="7"/>
  <c r="F616" i="7"/>
  <c r="E616" i="7"/>
  <c r="D616" i="7"/>
  <c r="C616" i="7"/>
  <c r="O615" i="7"/>
  <c r="N615" i="7"/>
  <c r="M615" i="7"/>
  <c r="L615" i="7"/>
  <c r="K615" i="7"/>
  <c r="J615" i="7"/>
  <c r="I615" i="7"/>
  <c r="H615" i="7"/>
  <c r="G615" i="7"/>
  <c r="F615" i="7"/>
  <c r="E615" i="7"/>
  <c r="D615" i="7"/>
  <c r="C615" i="7"/>
  <c r="O614" i="7"/>
  <c r="N614" i="7"/>
  <c r="M614" i="7"/>
  <c r="L614" i="7"/>
  <c r="K614" i="7"/>
  <c r="J614" i="7"/>
  <c r="I614" i="7"/>
  <c r="H614" i="7"/>
  <c r="G614" i="7"/>
  <c r="F614" i="7"/>
  <c r="E614" i="7"/>
  <c r="D614" i="7"/>
  <c r="C614" i="7"/>
  <c r="O613" i="7"/>
  <c r="N613" i="7"/>
  <c r="M613" i="7"/>
  <c r="L613" i="7"/>
  <c r="K613" i="7"/>
  <c r="J613" i="7"/>
  <c r="I613" i="7"/>
  <c r="H613" i="7"/>
  <c r="G613" i="7"/>
  <c r="F613" i="7"/>
  <c r="E613" i="7"/>
  <c r="D613" i="7"/>
  <c r="C613" i="7"/>
  <c r="O612" i="7"/>
  <c r="N612" i="7"/>
  <c r="M612" i="7"/>
  <c r="L612" i="7"/>
  <c r="K612" i="7"/>
  <c r="J612" i="7"/>
  <c r="I612" i="7"/>
  <c r="H612" i="7"/>
  <c r="G612" i="7"/>
  <c r="F612" i="7"/>
  <c r="E612" i="7"/>
  <c r="D612" i="7"/>
  <c r="C612" i="7"/>
  <c r="O611" i="7"/>
  <c r="N611" i="7"/>
  <c r="M611" i="7"/>
  <c r="L611" i="7"/>
  <c r="K611" i="7"/>
  <c r="J611" i="7"/>
  <c r="I611" i="7"/>
  <c r="H611" i="7"/>
  <c r="G611" i="7"/>
  <c r="F611" i="7"/>
  <c r="E611" i="7"/>
  <c r="D611" i="7"/>
  <c r="C611" i="7"/>
  <c r="O610" i="7"/>
  <c r="N610" i="7"/>
  <c r="M610" i="7"/>
  <c r="L610" i="7"/>
  <c r="K610" i="7"/>
  <c r="J610" i="7"/>
  <c r="I610" i="7"/>
  <c r="H610" i="7"/>
  <c r="G610" i="7"/>
  <c r="F610" i="7"/>
  <c r="E610" i="7"/>
  <c r="D610" i="7"/>
  <c r="C610" i="7"/>
  <c r="O609" i="7"/>
  <c r="N609" i="7"/>
  <c r="M609" i="7"/>
  <c r="L609" i="7"/>
  <c r="K609" i="7"/>
  <c r="J609" i="7"/>
  <c r="I609" i="7"/>
  <c r="H609" i="7"/>
  <c r="G609" i="7"/>
  <c r="F609" i="7"/>
  <c r="E609" i="7"/>
  <c r="D609" i="7"/>
  <c r="C609" i="7"/>
  <c r="O608" i="7"/>
  <c r="N608" i="7"/>
  <c r="M608" i="7"/>
  <c r="L608" i="7"/>
  <c r="K608" i="7"/>
  <c r="J608" i="7"/>
  <c r="I608" i="7"/>
  <c r="H608" i="7"/>
  <c r="G608" i="7"/>
  <c r="F608" i="7"/>
  <c r="E608" i="7"/>
  <c r="D608" i="7"/>
  <c r="C608" i="7"/>
  <c r="O607" i="7"/>
  <c r="N607" i="7"/>
  <c r="M607" i="7"/>
  <c r="L607" i="7"/>
  <c r="K607" i="7"/>
  <c r="J607" i="7"/>
  <c r="I607" i="7"/>
  <c r="H607" i="7"/>
  <c r="G607" i="7"/>
  <c r="F607" i="7"/>
  <c r="E607" i="7"/>
  <c r="D607" i="7"/>
  <c r="C607" i="7"/>
  <c r="O606" i="7"/>
  <c r="N606" i="7"/>
  <c r="M606" i="7"/>
  <c r="L606" i="7"/>
  <c r="K606" i="7"/>
  <c r="J606" i="7"/>
  <c r="I606" i="7"/>
  <c r="H606" i="7"/>
  <c r="G606" i="7"/>
  <c r="F606" i="7"/>
  <c r="E606" i="7"/>
  <c r="D606" i="7"/>
  <c r="C606" i="7"/>
  <c r="O605" i="7"/>
  <c r="N605" i="7"/>
  <c r="M605" i="7"/>
  <c r="L605" i="7"/>
  <c r="K605" i="7"/>
  <c r="J605" i="7"/>
  <c r="I605" i="7"/>
  <c r="H605" i="7"/>
  <c r="G605" i="7"/>
  <c r="F605" i="7"/>
  <c r="E605" i="7"/>
  <c r="D605" i="7"/>
  <c r="C605" i="7"/>
  <c r="O604" i="7"/>
  <c r="N604" i="7"/>
  <c r="M604" i="7"/>
  <c r="L604" i="7"/>
  <c r="K604" i="7"/>
  <c r="J604" i="7"/>
  <c r="I604" i="7"/>
  <c r="H604" i="7"/>
  <c r="G604" i="7"/>
  <c r="F604" i="7"/>
  <c r="E604" i="7"/>
  <c r="D604" i="7"/>
  <c r="C604" i="7"/>
  <c r="O603" i="7"/>
  <c r="N603" i="7"/>
  <c r="M603" i="7"/>
  <c r="L603" i="7"/>
  <c r="K603" i="7"/>
  <c r="J603" i="7"/>
  <c r="I603" i="7"/>
  <c r="H603" i="7"/>
  <c r="G603" i="7"/>
  <c r="F603" i="7"/>
  <c r="E603" i="7"/>
  <c r="D603" i="7"/>
  <c r="C603" i="7"/>
  <c r="O602" i="7"/>
  <c r="N602" i="7"/>
  <c r="M602" i="7"/>
  <c r="L602" i="7"/>
  <c r="K602" i="7"/>
  <c r="J602" i="7"/>
  <c r="I602" i="7"/>
  <c r="H602" i="7"/>
  <c r="G602" i="7"/>
  <c r="F602" i="7"/>
  <c r="E602" i="7"/>
  <c r="D602" i="7"/>
  <c r="C602" i="7"/>
  <c r="O601" i="7"/>
  <c r="N601" i="7"/>
  <c r="M601" i="7"/>
  <c r="L601" i="7"/>
  <c r="K601" i="7"/>
  <c r="J601" i="7"/>
  <c r="I601" i="7"/>
  <c r="H601" i="7"/>
  <c r="G601" i="7"/>
  <c r="F601" i="7"/>
  <c r="E601" i="7"/>
  <c r="D601" i="7"/>
  <c r="C601" i="7"/>
  <c r="O600" i="7"/>
  <c r="N600" i="7"/>
  <c r="M600" i="7"/>
  <c r="L600" i="7"/>
  <c r="K600" i="7"/>
  <c r="J600" i="7"/>
  <c r="I600" i="7"/>
  <c r="H600" i="7"/>
  <c r="G600" i="7"/>
  <c r="F600" i="7"/>
  <c r="E600" i="7"/>
  <c r="D600" i="7"/>
  <c r="C600" i="7"/>
  <c r="O599" i="7"/>
  <c r="N599" i="7"/>
  <c r="M599" i="7"/>
  <c r="L599" i="7"/>
  <c r="K599" i="7"/>
  <c r="J599" i="7"/>
  <c r="I599" i="7"/>
  <c r="H599" i="7"/>
  <c r="G599" i="7"/>
  <c r="F599" i="7"/>
  <c r="E599" i="7"/>
  <c r="D599" i="7"/>
  <c r="C599" i="7"/>
  <c r="O598" i="7"/>
  <c r="N598" i="7"/>
  <c r="M598" i="7"/>
  <c r="L598" i="7"/>
  <c r="K598" i="7"/>
  <c r="J598" i="7"/>
  <c r="I598" i="7"/>
  <c r="H598" i="7"/>
  <c r="G598" i="7"/>
  <c r="F598" i="7"/>
  <c r="E598" i="7"/>
  <c r="D598" i="7"/>
  <c r="C598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O596" i="7"/>
  <c r="N596" i="7"/>
  <c r="M596" i="7"/>
  <c r="L596" i="7"/>
  <c r="K596" i="7"/>
  <c r="J596" i="7"/>
  <c r="I596" i="7"/>
  <c r="H596" i="7"/>
  <c r="G596" i="7"/>
  <c r="F596" i="7"/>
  <c r="E596" i="7"/>
  <c r="D596" i="7"/>
  <c r="C596" i="7"/>
  <c r="O595" i="7"/>
  <c r="N595" i="7"/>
  <c r="M595" i="7"/>
  <c r="L595" i="7"/>
  <c r="K595" i="7"/>
  <c r="J595" i="7"/>
  <c r="I595" i="7"/>
  <c r="H595" i="7"/>
  <c r="G595" i="7"/>
  <c r="F595" i="7"/>
  <c r="E595" i="7"/>
  <c r="D595" i="7"/>
  <c r="C595" i="7"/>
  <c r="O594" i="7"/>
  <c r="N594" i="7"/>
  <c r="M594" i="7"/>
  <c r="L594" i="7"/>
  <c r="K594" i="7"/>
  <c r="J594" i="7"/>
  <c r="I594" i="7"/>
  <c r="H594" i="7"/>
  <c r="G594" i="7"/>
  <c r="F594" i="7"/>
  <c r="E594" i="7"/>
  <c r="D594" i="7"/>
  <c r="C594" i="7"/>
  <c r="O593" i="7"/>
  <c r="N593" i="7"/>
  <c r="M593" i="7"/>
  <c r="L593" i="7"/>
  <c r="K593" i="7"/>
  <c r="J593" i="7"/>
  <c r="I593" i="7"/>
  <c r="H593" i="7"/>
  <c r="G593" i="7"/>
  <c r="F593" i="7"/>
  <c r="E593" i="7"/>
  <c r="D593" i="7"/>
  <c r="C593" i="7"/>
  <c r="O592" i="7"/>
  <c r="N592" i="7"/>
  <c r="M592" i="7"/>
  <c r="L592" i="7"/>
  <c r="K592" i="7"/>
  <c r="J592" i="7"/>
  <c r="I592" i="7"/>
  <c r="H592" i="7"/>
  <c r="G592" i="7"/>
  <c r="F592" i="7"/>
  <c r="E592" i="7"/>
  <c r="D592" i="7"/>
  <c r="C592" i="7"/>
  <c r="O591" i="7"/>
  <c r="N591" i="7"/>
  <c r="M591" i="7"/>
  <c r="L591" i="7"/>
  <c r="K591" i="7"/>
  <c r="J591" i="7"/>
  <c r="I591" i="7"/>
  <c r="H591" i="7"/>
  <c r="G591" i="7"/>
  <c r="F591" i="7"/>
  <c r="E591" i="7"/>
  <c r="D591" i="7"/>
  <c r="C591" i="7"/>
  <c r="O586" i="7"/>
  <c r="N586" i="7"/>
  <c r="M586" i="7"/>
  <c r="L586" i="7"/>
  <c r="K586" i="7"/>
  <c r="J586" i="7"/>
  <c r="I586" i="7"/>
  <c r="H586" i="7"/>
  <c r="G586" i="7"/>
  <c r="F586" i="7"/>
  <c r="E586" i="7"/>
  <c r="D586" i="7"/>
  <c r="C586" i="7"/>
  <c r="C585" i="7"/>
  <c r="C584" i="7"/>
  <c r="C583" i="7"/>
  <c r="O582" i="7"/>
  <c r="N582" i="7"/>
  <c r="M582" i="7"/>
  <c r="L582" i="7"/>
  <c r="K582" i="7"/>
  <c r="J582" i="7"/>
  <c r="I582" i="7"/>
  <c r="G582" i="7"/>
  <c r="F582" i="7"/>
  <c r="E582" i="7"/>
  <c r="D582" i="7"/>
  <c r="C582" i="7"/>
  <c r="O581" i="7"/>
  <c r="N581" i="7"/>
  <c r="M581" i="7"/>
  <c r="L581" i="7"/>
  <c r="K581" i="7"/>
  <c r="J581" i="7"/>
  <c r="I581" i="7"/>
  <c r="H581" i="7"/>
  <c r="G581" i="7"/>
  <c r="F581" i="7"/>
  <c r="E581" i="7"/>
  <c r="D581" i="7"/>
  <c r="C581" i="7"/>
  <c r="O580" i="7"/>
  <c r="N580" i="7"/>
  <c r="M580" i="7"/>
  <c r="L580" i="7"/>
  <c r="K580" i="7"/>
  <c r="J580" i="7"/>
  <c r="I580" i="7"/>
  <c r="H580" i="7"/>
  <c r="G580" i="7"/>
  <c r="F580" i="7"/>
  <c r="E580" i="7"/>
  <c r="D580" i="7"/>
  <c r="C580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O576" i="7"/>
  <c r="N576" i="7"/>
  <c r="M576" i="7"/>
  <c r="L576" i="7"/>
  <c r="K576" i="7"/>
  <c r="J576" i="7"/>
  <c r="I576" i="7"/>
  <c r="H576" i="7"/>
  <c r="G576" i="7"/>
  <c r="F576" i="7"/>
  <c r="E576" i="7"/>
  <c r="D576" i="7"/>
  <c r="C576" i="7"/>
  <c r="O575" i="7"/>
  <c r="N575" i="7"/>
  <c r="M575" i="7"/>
  <c r="L575" i="7"/>
  <c r="K575" i="7"/>
  <c r="J575" i="7"/>
  <c r="I575" i="7"/>
  <c r="H575" i="7"/>
  <c r="G575" i="7"/>
  <c r="F575" i="7"/>
  <c r="E575" i="7"/>
  <c r="D575" i="7"/>
  <c r="C575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4" i="7"/>
  <c r="O573" i="7"/>
  <c r="N573" i="7"/>
  <c r="M573" i="7"/>
  <c r="L573" i="7"/>
  <c r="K573" i="7"/>
  <c r="J573" i="7"/>
  <c r="I573" i="7"/>
  <c r="H573" i="7"/>
  <c r="G573" i="7"/>
  <c r="F573" i="7"/>
  <c r="E573" i="7"/>
  <c r="D573" i="7"/>
  <c r="C573" i="7"/>
  <c r="O572" i="7"/>
  <c r="N572" i="7"/>
  <c r="M572" i="7"/>
  <c r="L572" i="7"/>
  <c r="K572" i="7"/>
  <c r="J572" i="7"/>
  <c r="I572" i="7"/>
  <c r="H572" i="7"/>
  <c r="G572" i="7"/>
  <c r="F572" i="7"/>
  <c r="E572" i="7"/>
  <c r="D572" i="7"/>
  <c r="C572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C568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O562" i="7"/>
  <c r="N562" i="7"/>
  <c r="M562" i="7"/>
  <c r="L562" i="7"/>
  <c r="K562" i="7"/>
  <c r="J562" i="7"/>
  <c r="I562" i="7"/>
  <c r="H562" i="7"/>
  <c r="G562" i="7"/>
  <c r="F562" i="7"/>
  <c r="E562" i="7"/>
  <c r="D562" i="7"/>
  <c r="C562" i="7"/>
  <c r="O561" i="7"/>
  <c r="N561" i="7"/>
  <c r="M561" i="7"/>
  <c r="L561" i="7"/>
  <c r="K561" i="7"/>
  <c r="J561" i="7"/>
  <c r="I561" i="7"/>
  <c r="H561" i="7"/>
  <c r="G561" i="7"/>
  <c r="F561" i="7"/>
  <c r="E561" i="7"/>
  <c r="D561" i="7"/>
  <c r="C561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C555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O552" i="7"/>
  <c r="N552" i="7"/>
  <c r="M552" i="7"/>
  <c r="L552" i="7"/>
  <c r="K552" i="7"/>
  <c r="J552" i="7"/>
  <c r="I552" i="7"/>
  <c r="H552" i="7"/>
  <c r="G552" i="7"/>
  <c r="F552" i="7"/>
  <c r="E552" i="7"/>
  <c r="D552" i="7"/>
  <c r="C552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O549" i="7"/>
  <c r="N549" i="7"/>
  <c r="M549" i="7"/>
  <c r="L549" i="7"/>
  <c r="K549" i="7"/>
  <c r="J549" i="7"/>
  <c r="I549" i="7"/>
  <c r="H549" i="7"/>
  <c r="G549" i="7"/>
  <c r="F549" i="7"/>
  <c r="E549" i="7"/>
  <c r="D549" i="7"/>
  <c r="C549" i="7"/>
  <c r="O548" i="7"/>
  <c r="N548" i="7"/>
  <c r="M548" i="7"/>
  <c r="L548" i="7"/>
  <c r="K548" i="7"/>
  <c r="J548" i="7"/>
  <c r="I548" i="7"/>
  <c r="H548" i="7"/>
  <c r="G548" i="7"/>
  <c r="F548" i="7"/>
  <c r="E548" i="7"/>
  <c r="D548" i="7"/>
  <c r="C548" i="7"/>
  <c r="O547" i="7"/>
  <c r="N547" i="7"/>
  <c r="M547" i="7"/>
  <c r="L547" i="7"/>
  <c r="K547" i="7"/>
  <c r="J547" i="7"/>
  <c r="I547" i="7"/>
  <c r="H547" i="7"/>
  <c r="G547" i="7"/>
  <c r="F547" i="7"/>
  <c r="E547" i="7"/>
  <c r="D547" i="7"/>
  <c r="C547" i="7"/>
  <c r="O546" i="7"/>
  <c r="N546" i="7"/>
  <c r="M546" i="7"/>
  <c r="L546" i="7"/>
  <c r="K546" i="7"/>
  <c r="J546" i="7"/>
  <c r="I546" i="7"/>
  <c r="H546" i="7"/>
  <c r="G546" i="7"/>
  <c r="F546" i="7"/>
  <c r="E546" i="7"/>
  <c r="D546" i="7"/>
  <c r="C546" i="7"/>
  <c r="O545" i="7"/>
  <c r="N545" i="7"/>
  <c r="M545" i="7"/>
  <c r="L545" i="7"/>
  <c r="K545" i="7"/>
  <c r="J545" i="7"/>
  <c r="I545" i="7"/>
  <c r="H545" i="7"/>
  <c r="G545" i="7"/>
  <c r="F545" i="7"/>
  <c r="E545" i="7"/>
  <c r="D545" i="7"/>
  <c r="C545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O541" i="7"/>
  <c r="N541" i="7"/>
  <c r="M541" i="7"/>
  <c r="L541" i="7"/>
  <c r="K541" i="7"/>
  <c r="J541" i="7"/>
  <c r="I541" i="7"/>
  <c r="H541" i="7"/>
  <c r="G541" i="7"/>
  <c r="F541" i="7"/>
  <c r="E541" i="7"/>
  <c r="D541" i="7"/>
  <c r="C541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O539" i="7"/>
  <c r="N539" i="7"/>
  <c r="M539" i="7"/>
  <c r="L539" i="7"/>
  <c r="K539" i="7"/>
  <c r="J539" i="7"/>
  <c r="I539" i="7"/>
  <c r="H539" i="7"/>
  <c r="G539" i="7"/>
  <c r="F539" i="7"/>
  <c r="E539" i="7"/>
  <c r="D539" i="7"/>
  <c r="C539" i="7"/>
  <c r="O538" i="7"/>
  <c r="N538" i="7"/>
  <c r="M538" i="7"/>
  <c r="L538" i="7"/>
  <c r="K538" i="7"/>
  <c r="J538" i="7"/>
  <c r="I538" i="7"/>
  <c r="H538" i="7"/>
  <c r="G538" i="7"/>
  <c r="F538" i="7"/>
  <c r="E538" i="7"/>
  <c r="D538" i="7"/>
  <c r="C538" i="7"/>
  <c r="O537" i="7"/>
  <c r="N537" i="7"/>
  <c r="M537" i="7"/>
  <c r="L537" i="7"/>
  <c r="K537" i="7"/>
  <c r="J537" i="7"/>
  <c r="I537" i="7"/>
  <c r="H537" i="7"/>
  <c r="G537" i="7"/>
  <c r="F537" i="7"/>
  <c r="E537" i="7"/>
  <c r="D537" i="7"/>
  <c r="C537" i="7"/>
  <c r="O536" i="7"/>
  <c r="N536" i="7"/>
  <c r="M536" i="7"/>
  <c r="L536" i="7"/>
  <c r="K536" i="7"/>
  <c r="J536" i="7"/>
  <c r="I536" i="7"/>
  <c r="H536" i="7"/>
  <c r="G536" i="7"/>
  <c r="F536" i="7"/>
  <c r="E536" i="7"/>
  <c r="D536" i="7"/>
  <c r="C536" i="7"/>
  <c r="O535" i="7"/>
  <c r="N535" i="7"/>
  <c r="M535" i="7"/>
  <c r="L535" i="7"/>
  <c r="K535" i="7"/>
  <c r="J535" i="7"/>
  <c r="I535" i="7"/>
  <c r="H535" i="7"/>
  <c r="G535" i="7"/>
  <c r="F535" i="7"/>
  <c r="E535" i="7"/>
  <c r="D535" i="7"/>
  <c r="C535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O533" i="7"/>
  <c r="N533" i="7"/>
  <c r="M533" i="7"/>
  <c r="L533" i="7"/>
  <c r="K533" i="7"/>
  <c r="J533" i="7"/>
  <c r="I533" i="7"/>
  <c r="H533" i="7"/>
  <c r="G533" i="7"/>
  <c r="F533" i="7"/>
  <c r="E533" i="7"/>
  <c r="D533" i="7"/>
  <c r="C533" i="7"/>
  <c r="O532" i="7"/>
  <c r="N532" i="7"/>
  <c r="M532" i="7"/>
  <c r="L532" i="7"/>
  <c r="K532" i="7"/>
  <c r="J532" i="7"/>
  <c r="I532" i="7"/>
  <c r="H532" i="7"/>
  <c r="G532" i="7"/>
  <c r="F532" i="7"/>
  <c r="E532" i="7"/>
  <c r="D532" i="7"/>
  <c r="C532" i="7"/>
  <c r="O531" i="7"/>
  <c r="N531" i="7"/>
  <c r="M531" i="7"/>
  <c r="L531" i="7"/>
  <c r="K531" i="7"/>
  <c r="J531" i="7"/>
  <c r="I531" i="7"/>
  <c r="H531" i="7"/>
  <c r="G531" i="7"/>
  <c r="F531" i="7"/>
  <c r="E531" i="7"/>
  <c r="D531" i="7"/>
  <c r="C531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30" i="7"/>
  <c r="O529" i="7"/>
  <c r="N529" i="7"/>
  <c r="M529" i="7"/>
  <c r="L529" i="7"/>
  <c r="K529" i="7"/>
  <c r="J529" i="7"/>
  <c r="I529" i="7"/>
  <c r="H529" i="7"/>
  <c r="G529" i="7"/>
  <c r="F529" i="7"/>
  <c r="E529" i="7"/>
  <c r="D529" i="7"/>
  <c r="C529" i="7"/>
  <c r="O528" i="7"/>
  <c r="N528" i="7"/>
  <c r="M528" i="7"/>
  <c r="L528" i="7"/>
  <c r="K528" i="7"/>
  <c r="J528" i="7"/>
  <c r="I528" i="7"/>
  <c r="H528" i="7"/>
  <c r="G528" i="7"/>
  <c r="F528" i="7"/>
  <c r="E528" i="7"/>
  <c r="D528" i="7"/>
  <c r="C528" i="7"/>
  <c r="O527" i="7"/>
  <c r="N527" i="7"/>
  <c r="M527" i="7"/>
  <c r="L527" i="7"/>
  <c r="K527" i="7"/>
  <c r="J527" i="7"/>
  <c r="I527" i="7"/>
  <c r="H527" i="7"/>
  <c r="G527" i="7"/>
  <c r="F527" i="7"/>
  <c r="E527" i="7"/>
  <c r="D527" i="7"/>
  <c r="C527" i="7"/>
  <c r="O526" i="7"/>
  <c r="N526" i="7"/>
  <c r="M526" i="7"/>
  <c r="L526" i="7"/>
  <c r="K526" i="7"/>
  <c r="J526" i="7"/>
  <c r="I526" i="7"/>
  <c r="H526" i="7"/>
  <c r="G526" i="7"/>
  <c r="F526" i="7"/>
  <c r="E526" i="7"/>
  <c r="D526" i="7"/>
  <c r="C526" i="7"/>
  <c r="O525" i="7"/>
  <c r="N525" i="7"/>
  <c r="M525" i="7"/>
  <c r="L525" i="7"/>
  <c r="K525" i="7"/>
  <c r="J525" i="7"/>
  <c r="I525" i="7"/>
  <c r="H525" i="7"/>
  <c r="G525" i="7"/>
  <c r="F525" i="7"/>
  <c r="E525" i="7"/>
  <c r="D525" i="7"/>
  <c r="C525" i="7"/>
  <c r="O524" i="7"/>
  <c r="N524" i="7"/>
  <c r="M524" i="7"/>
  <c r="L524" i="7"/>
  <c r="K524" i="7"/>
  <c r="J524" i="7"/>
  <c r="I524" i="7"/>
  <c r="H524" i="7"/>
  <c r="G524" i="7"/>
  <c r="F524" i="7"/>
  <c r="E524" i="7"/>
  <c r="D524" i="7"/>
  <c r="C524" i="7"/>
  <c r="O523" i="7"/>
  <c r="N523" i="7"/>
  <c r="M523" i="7"/>
  <c r="L523" i="7"/>
  <c r="K523" i="7"/>
  <c r="J523" i="7"/>
  <c r="I523" i="7"/>
  <c r="H523" i="7"/>
  <c r="G523" i="7"/>
  <c r="F523" i="7"/>
  <c r="E523" i="7"/>
  <c r="D523" i="7"/>
  <c r="C523" i="7"/>
  <c r="O522" i="7"/>
  <c r="N522" i="7"/>
  <c r="M522" i="7"/>
  <c r="L522" i="7"/>
  <c r="K522" i="7"/>
  <c r="J522" i="7"/>
  <c r="I522" i="7"/>
  <c r="H522" i="7"/>
  <c r="G522" i="7"/>
  <c r="F522" i="7"/>
  <c r="E522" i="7"/>
  <c r="D522" i="7"/>
  <c r="C522" i="7"/>
  <c r="O521" i="7"/>
  <c r="N521" i="7"/>
  <c r="M521" i="7"/>
  <c r="L521" i="7"/>
  <c r="K521" i="7"/>
  <c r="J521" i="7"/>
  <c r="I521" i="7"/>
  <c r="H521" i="7"/>
  <c r="G521" i="7"/>
  <c r="F521" i="7"/>
  <c r="E521" i="7"/>
  <c r="D521" i="7"/>
  <c r="C521" i="7"/>
  <c r="O520" i="7"/>
  <c r="N520" i="7"/>
  <c r="M520" i="7"/>
  <c r="L520" i="7"/>
  <c r="K520" i="7"/>
  <c r="J520" i="7"/>
  <c r="I520" i="7"/>
  <c r="H520" i="7"/>
  <c r="G520" i="7"/>
  <c r="F520" i="7"/>
  <c r="E520" i="7"/>
  <c r="D520" i="7"/>
  <c r="C520" i="7"/>
  <c r="O519" i="7"/>
  <c r="N519" i="7"/>
  <c r="M519" i="7"/>
  <c r="L519" i="7"/>
  <c r="K519" i="7"/>
  <c r="J519" i="7"/>
  <c r="I519" i="7"/>
  <c r="H519" i="7"/>
  <c r="G519" i="7"/>
  <c r="F519" i="7"/>
  <c r="E519" i="7"/>
  <c r="D519" i="7"/>
  <c r="C519" i="7"/>
  <c r="O518" i="7"/>
  <c r="N518" i="7"/>
  <c r="M518" i="7"/>
  <c r="L518" i="7"/>
  <c r="K518" i="7"/>
  <c r="J518" i="7"/>
  <c r="I518" i="7"/>
  <c r="H518" i="7"/>
  <c r="G518" i="7"/>
  <c r="F518" i="7"/>
  <c r="E518" i="7"/>
  <c r="D518" i="7"/>
  <c r="C518" i="7"/>
  <c r="O517" i="7"/>
  <c r="N517" i="7"/>
  <c r="M517" i="7"/>
  <c r="L517" i="7"/>
  <c r="K517" i="7"/>
  <c r="J517" i="7"/>
  <c r="I517" i="7"/>
  <c r="H517" i="7"/>
  <c r="G517" i="7"/>
  <c r="F517" i="7"/>
  <c r="E517" i="7"/>
  <c r="D517" i="7"/>
  <c r="C517" i="7"/>
  <c r="O516" i="7"/>
  <c r="N516" i="7"/>
  <c r="M516" i="7"/>
  <c r="L516" i="7"/>
  <c r="K516" i="7"/>
  <c r="J516" i="7"/>
  <c r="I516" i="7"/>
  <c r="H516" i="7"/>
  <c r="G516" i="7"/>
  <c r="F516" i="7"/>
  <c r="E516" i="7"/>
  <c r="D516" i="7"/>
  <c r="C516" i="7"/>
  <c r="O515" i="7"/>
  <c r="N515" i="7"/>
  <c r="M515" i="7"/>
  <c r="L515" i="7"/>
  <c r="K515" i="7"/>
  <c r="J515" i="7"/>
  <c r="I515" i="7"/>
  <c r="H515" i="7"/>
  <c r="G515" i="7"/>
  <c r="F515" i="7"/>
  <c r="E515" i="7"/>
  <c r="D515" i="7"/>
  <c r="C515" i="7"/>
  <c r="O514" i="7"/>
  <c r="N514" i="7"/>
  <c r="M514" i="7"/>
  <c r="L514" i="7"/>
  <c r="K514" i="7"/>
  <c r="J514" i="7"/>
  <c r="I514" i="7"/>
  <c r="H514" i="7"/>
  <c r="G514" i="7"/>
  <c r="F514" i="7"/>
  <c r="E514" i="7"/>
  <c r="D514" i="7"/>
  <c r="C514" i="7"/>
  <c r="O513" i="7"/>
  <c r="N513" i="7"/>
  <c r="M513" i="7"/>
  <c r="L513" i="7"/>
  <c r="K513" i="7"/>
  <c r="J513" i="7"/>
  <c r="I513" i="7"/>
  <c r="H513" i="7"/>
  <c r="G513" i="7"/>
  <c r="F513" i="7"/>
  <c r="E513" i="7"/>
  <c r="D513" i="7"/>
  <c r="C513" i="7"/>
  <c r="O512" i="7"/>
  <c r="N512" i="7"/>
  <c r="M512" i="7"/>
  <c r="L512" i="7"/>
  <c r="K512" i="7"/>
  <c r="J512" i="7"/>
  <c r="I512" i="7"/>
  <c r="H512" i="7"/>
  <c r="G512" i="7"/>
  <c r="F512" i="7"/>
  <c r="E512" i="7"/>
  <c r="D512" i="7"/>
  <c r="C512" i="7"/>
  <c r="O511" i="7"/>
  <c r="N511" i="7"/>
  <c r="M511" i="7"/>
  <c r="L511" i="7"/>
  <c r="K511" i="7"/>
  <c r="J511" i="7"/>
  <c r="I511" i="7"/>
  <c r="H511" i="7"/>
  <c r="G511" i="7"/>
  <c r="F511" i="7"/>
  <c r="E511" i="7"/>
  <c r="D511" i="7"/>
  <c r="C511" i="7"/>
  <c r="O510" i="7"/>
  <c r="N510" i="7"/>
  <c r="M510" i="7"/>
  <c r="L510" i="7"/>
  <c r="K510" i="7"/>
  <c r="J510" i="7"/>
  <c r="I510" i="7"/>
  <c r="H510" i="7"/>
  <c r="G510" i="7"/>
  <c r="F510" i="7"/>
  <c r="E510" i="7"/>
  <c r="D510" i="7"/>
  <c r="C510" i="7"/>
  <c r="O509" i="7"/>
  <c r="N509" i="7"/>
  <c r="M509" i="7"/>
  <c r="L509" i="7"/>
  <c r="K509" i="7"/>
  <c r="J509" i="7"/>
  <c r="I509" i="7"/>
  <c r="H509" i="7"/>
  <c r="G509" i="7"/>
  <c r="F509" i="7"/>
  <c r="E509" i="7"/>
  <c r="D509" i="7"/>
  <c r="C509" i="7"/>
  <c r="O508" i="7"/>
  <c r="N508" i="7"/>
  <c r="M508" i="7"/>
  <c r="L508" i="7"/>
  <c r="K508" i="7"/>
  <c r="J508" i="7"/>
  <c r="I508" i="7"/>
  <c r="H508" i="7"/>
  <c r="G508" i="7"/>
  <c r="F508" i="7"/>
  <c r="E508" i="7"/>
  <c r="D508" i="7"/>
  <c r="C508" i="7"/>
  <c r="O507" i="7"/>
  <c r="N507" i="7"/>
  <c r="M507" i="7"/>
  <c r="L507" i="7"/>
  <c r="K507" i="7"/>
  <c r="J507" i="7"/>
  <c r="I507" i="7"/>
  <c r="H507" i="7"/>
  <c r="G507" i="7"/>
  <c r="F507" i="7"/>
  <c r="E507" i="7"/>
  <c r="D507" i="7"/>
  <c r="C507" i="7"/>
  <c r="O506" i="7"/>
  <c r="N506" i="7"/>
  <c r="M506" i="7"/>
  <c r="L506" i="7"/>
  <c r="K506" i="7"/>
  <c r="J506" i="7"/>
  <c r="I506" i="7"/>
  <c r="H506" i="7"/>
  <c r="G506" i="7"/>
  <c r="F506" i="7"/>
  <c r="E506" i="7"/>
  <c r="D506" i="7"/>
  <c r="C506" i="7"/>
  <c r="O505" i="7"/>
  <c r="N505" i="7"/>
  <c r="M505" i="7"/>
  <c r="L505" i="7"/>
  <c r="K505" i="7"/>
  <c r="J505" i="7"/>
  <c r="I505" i="7"/>
  <c r="H505" i="7"/>
  <c r="G505" i="7"/>
  <c r="F505" i="7"/>
  <c r="E505" i="7"/>
  <c r="D505" i="7"/>
  <c r="C505" i="7"/>
  <c r="O504" i="7"/>
  <c r="N504" i="7"/>
  <c r="M504" i="7"/>
  <c r="L504" i="7"/>
  <c r="K504" i="7"/>
  <c r="J504" i="7"/>
  <c r="I504" i="7"/>
  <c r="H504" i="7"/>
  <c r="G504" i="7"/>
  <c r="F504" i="7"/>
  <c r="E504" i="7"/>
  <c r="D504" i="7"/>
  <c r="C504" i="7"/>
  <c r="O503" i="7"/>
  <c r="N503" i="7"/>
  <c r="M503" i="7"/>
  <c r="L503" i="7"/>
  <c r="K503" i="7"/>
  <c r="J503" i="7"/>
  <c r="I503" i="7"/>
  <c r="H503" i="7"/>
  <c r="G503" i="7"/>
  <c r="F503" i="7"/>
  <c r="E503" i="7"/>
  <c r="D503" i="7"/>
  <c r="C503" i="7"/>
  <c r="O502" i="7"/>
  <c r="N502" i="7"/>
  <c r="M502" i="7"/>
  <c r="L502" i="7"/>
  <c r="K502" i="7"/>
  <c r="J502" i="7"/>
  <c r="I502" i="7"/>
  <c r="H502" i="7"/>
  <c r="G502" i="7"/>
  <c r="F502" i="7"/>
  <c r="E502" i="7"/>
  <c r="D502" i="7"/>
  <c r="C502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C468" i="7"/>
  <c r="C467" i="7"/>
  <c r="C466" i="7"/>
  <c r="O465" i="7"/>
  <c r="N465" i="7"/>
  <c r="M465" i="7"/>
  <c r="L465" i="7"/>
  <c r="K465" i="7"/>
  <c r="J465" i="7"/>
  <c r="I465" i="7"/>
  <c r="G465" i="7"/>
  <c r="F465" i="7"/>
  <c r="E465" i="7"/>
  <c r="D465" i="7"/>
  <c r="C465" i="7"/>
  <c r="O464" i="7"/>
  <c r="N464" i="7"/>
  <c r="M464" i="7"/>
  <c r="L464" i="7"/>
  <c r="K464" i="7"/>
  <c r="J464" i="7"/>
  <c r="I464" i="7"/>
  <c r="H464" i="7"/>
  <c r="G464" i="7"/>
  <c r="F464" i="7"/>
  <c r="E464" i="7"/>
  <c r="D464" i="7"/>
  <c r="C464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O460" i="7"/>
  <c r="N460" i="7"/>
  <c r="M460" i="7"/>
  <c r="L460" i="7"/>
  <c r="K460" i="7"/>
  <c r="J460" i="7"/>
  <c r="I460" i="7"/>
  <c r="H460" i="7"/>
  <c r="G460" i="7"/>
  <c r="F460" i="7"/>
  <c r="E460" i="7"/>
  <c r="D460" i="7"/>
  <c r="C460" i="7"/>
  <c r="O459" i="7"/>
  <c r="N459" i="7"/>
  <c r="M459" i="7"/>
  <c r="L459" i="7"/>
  <c r="K459" i="7"/>
  <c r="J459" i="7"/>
  <c r="I459" i="7"/>
  <c r="H459" i="7"/>
  <c r="G459" i="7"/>
  <c r="F459" i="7"/>
  <c r="E459" i="7"/>
  <c r="D459" i="7"/>
  <c r="C459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O455" i="7"/>
  <c r="N455" i="7"/>
  <c r="M455" i="7"/>
  <c r="L455" i="7"/>
  <c r="K455" i="7"/>
  <c r="J455" i="7"/>
  <c r="I455" i="7"/>
  <c r="H455" i="7"/>
  <c r="G455" i="7"/>
  <c r="F455" i="7"/>
  <c r="E455" i="7"/>
  <c r="D455" i="7"/>
  <c r="C455" i="7"/>
  <c r="O454" i="7"/>
  <c r="N454" i="7"/>
  <c r="M454" i="7"/>
  <c r="L454" i="7"/>
  <c r="K454" i="7"/>
  <c r="J454" i="7"/>
  <c r="I454" i="7"/>
  <c r="H454" i="7"/>
  <c r="G454" i="7"/>
  <c r="F454" i="7"/>
  <c r="E454" i="7"/>
  <c r="D454" i="7"/>
  <c r="C454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O432" i="7"/>
  <c r="N432" i="7"/>
  <c r="M432" i="7"/>
  <c r="L432" i="7"/>
  <c r="K432" i="7"/>
  <c r="J432" i="7"/>
  <c r="I432" i="7"/>
  <c r="H432" i="7"/>
  <c r="G432" i="7"/>
  <c r="F432" i="7"/>
  <c r="E432" i="7"/>
  <c r="D432" i="7"/>
  <c r="C432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O409" i="7"/>
  <c r="N409" i="7"/>
  <c r="M409" i="7"/>
  <c r="L409" i="7"/>
  <c r="K409" i="7"/>
  <c r="J409" i="7"/>
  <c r="I409" i="7"/>
  <c r="H409" i="7"/>
  <c r="G409" i="7"/>
  <c r="F409" i="7"/>
  <c r="E409" i="7"/>
  <c r="D409" i="7"/>
  <c r="C409" i="7"/>
  <c r="O408" i="7"/>
  <c r="N408" i="7"/>
  <c r="M408" i="7"/>
  <c r="L408" i="7"/>
  <c r="K408" i="7"/>
  <c r="J408" i="7"/>
  <c r="I408" i="7"/>
  <c r="H408" i="7"/>
  <c r="G408" i="7"/>
  <c r="F408" i="7"/>
  <c r="E408" i="7"/>
  <c r="D408" i="7"/>
  <c r="C408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C360" i="7"/>
  <c r="O359" i="7"/>
  <c r="N359" i="7"/>
  <c r="M359" i="7"/>
  <c r="L359" i="7"/>
  <c r="K359" i="7"/>
  <c r="J359" i="7"/>
  <c r="I359" i="7"/>
  <c r="H359" i="7"/>
  <c r="G359" i="7"/>
  <c r="F359" i="7"/>
  <c r="E359" i="7"/>
  <c r="D359" i="7"/>
  <c r="C359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C357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C351" i="7"/>
  <c r="C350" i="7"/>
  <c r="C349" i="7"/>
  <c r="O348" i="7"/>
  <c r="N348" i="7"/>
  <c r="M348" i="7"/>
  <c r="L348" i="7"/>
  <c r="K348" i="7"/>
  <c r="J348" i="7"/>
  <c r="I348" i="7"/>
  <c r="G348" i="7"/>
  <c r="F348" i="7"/>
  <c r="E348" i="7"/>
  <c r="D348" i="7"/>
  <c r="C348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O335" i="7"/>
  <c r="N335" i="7"/>
  <c r="M335" i="7"/>
  <c r="L335" i="7"/>
  <c r="K335" i="7"/>
  <c r="J335" i="7"/>
  <c r="I335" i="7"/>
  <c r="H335" i="7"/>
  <c r="G335" i="7"/>
  <c r="F335" i="7"/>
  <c r="E335" i="7"/>
  <c r="D335" i="7"/>
  <c r="C335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O327" i="7"/>
  <c r="N327" i="7"/>
  <c r="M327" i="7"/>
  <c r="L327" i="7"/>
  <c r="K327" i="7"/>
  <c r="J327" i="7"/>
  <c r="I327" i="7"/>
  <c r="H327" i="7"/>
  <c r="G327" i="7"/>
  <c r="F327" i="7"/>
  <c r="E327" i="7"/>
  <c r="D327" i="7"/>
  <c r="C327" i="7"/>
  <c r="O326" i="7"/>
  <c r="N326" i="7"/>
  <c r="M326" i="7"/>
  <c r="L326" i="7"/>
  <c r="K326" i="7"/>
  <c r="J326" i="7"/>
  <c r="I326" i="7"/>
  <c r="H326" i="7"/>
  <c r="G326" i="7"/>
  <c r="F326" i="7"/>
  <c r="E326" i="7"/>
  <c r="D326" i="7"/>
  <c r="C326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C234" i="7"/>
  <c r="C233" i="7"/>
  <c r="C232" i="7"/>
  <c r="O231" i="7"/>
  <c r="N231" i="7"/>
  <c r="M231" i="7"/>
  <c r="L231" i="7"/>
  <c r="K231" i="7"/>
  <c r="J231" i="7"/>
  <c r="I231" i="7"/>
  <c r="G231" i="7"/>
  <c r="F231" i="7"/>
  <c r="E231" i="7"/>
  <c r="D231" i="7"/>
  <c r="C231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C117" i="7"/>
  <c r="C116" i="7"/>
  <c r="O115" i="7"/>
  <c r="M115" i="7"/>
  <c r="L115" i="7"/>
  <c r="K115" i="7"/>
  <c r="J115" i="7"/>
  <c r="I115" i="7"/>
  <c r="H115" i="7"/>
  <c r="C115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O9" i="7"/>
  <c r="N9" i="7"/>
  <c r="M9" i="7"/>
  <c r="L9" i="7"/>
  <c r="K9" i="7"/>
  <c r="J9" i="7"/>
  <c r="I9" i="7"/>
  <c r="H9" i="7"/>
  <c r="G9" i="7"/>
  <c r="F9" i="7"/>
  <c r="E9" i="7"/>
  <c r="D9" i="7"/>
  <c r="C9" i="7"/>
  <c r="O8" i="7"/>
  <c r="N8" i="7"/>
  <c r="M8" i="7"/>
  <c r="L8" i="7"/>
  <c r="K8" i="7"/>
  <c r="J8" i="7"/>
  <c r="I8" i="7"/>
  <c r="H8" i="7"/>
  <c r="G8" i="7"/>
  <c r="F8" i="7"/>
  <c r="E8" i="7"/>
  <c r="D8" i="7"/>
  <c r="C8" i="7"/>
  <c r="O7" i="7"/>
  <c r="N7" i="7"/>
  <c r="M7" i="7"/>
  <c r="L7" i="7"/>
  <c r="K7" i="7"/>
  <c r="J7" i="7"/>
  <c r="I7" i="7"/>
  <c r="H7" i="7"/>
  <c r="G7" i="7"/>
  <c r="F7" i="7"/>
  <c r="E7" i="7"/>
  <c r="D7" i="7"/>
  <c r="C7" i="7"/>
  <c r="O6" i="7"/>
  <c r="N6" i="7"/>
  <c r="M6" i="7"/>
  <c r="L6" i="7"/>
  <c r="K6" i="7"/>
  <c r="J6" i="7"/>
  <c r="I6" i="7"/>
  <c r="H6" i="7"/>
  <c r="G6" i="7"/>
  <c r="F6" i="7"/>
  <c r="E6" i="7"/>
  <c r="D6" i="7"/>
  <c r="C6" i="7"/>
  <c r="L421" i="28"/>
  <c r="J421" i="28"/>
  <c r="I421" i="28"/>
  <c r="E421" i="28"/>
  <c r="D421" i="28"/>
  <c r="P420" i="28"/>
  <c r="M420" i="28"/>
  <c r="L420" i="28"/>
  <c r="K420" i="28"/>
  <c r="J420" i="28"/>
  <c r="I420" i="28"/>
  <c r="H420" i="28"/>
  <c r="G420" i="28"/>
  <c r="E420" i="28"/>
  <c r="D420" i="28"/>
  <c r="C420" i="28"/>
  <c r="C421" i="28" s="1"/>
  <c r="P419" i="28"/>
  <c r="K419" i="28"/>
  <c r="F419" i="28"/>
  <c r="N419" i="28" s="1"/>
  <c r="P418" i="28"/>
  <c r="K418" i="28"/>
  <c r="F418" i="28"/>
  <c r="N418" i="28" s="1"/>
  <c r="P417" i="28"/>
  <c r="K417" i="28"/>
  <c r="F417" i="28"/>
  <c r="N417" i="28" s="1"/>
  <c r="P416" i="28"/>
  <c r="K416" i="28"/>
  <c r="F416" i="28"/>
  <c r="N416" i="28" s="1"/>
  <c r="P415" i="28"/>
  <c r="K415" i="28"/>
  <c r="F415" i="28"/>
  <c r="N415" i="28" s="1"/>
  <c r="P414" i="28"/>
  <c r="K414" i="28"/>
  <c r="F414" i="28"/>
  <c r="N414" i="28" s="1"/>
  <c r="P413" i="28"/>
  <c r="K413" i="28"/>
  <c r="F413" i="28"/>
  <c r="N413" i="28" s="1"/>
  <c r="P412" i="28"/>
  <c r="K412" i="28"/>
  <c r="F412" i="28"/>
  <c r="N412" i="28" s="1"/>
  <c r="P411" i="28"/>
  <c r="K411" i="28"/>
  <c r="F411" i="28"/>
  <c r="N411" i="28" s="1"/>
  <c r="P410" i="28"/>
  <c r="K410" i="28"/>
  <c r="F410" i="28"/>
  <c r="N410" i="28" s="1"/>
  <c r="P409" i="28"/>
  <c r="K409" i="28"/>
  <c r="F409" i="28"/>
  <c r="N409" i="28" s="1"/>
  <c r="P408" i="28"/>
  <c r="K408" i="28"/>
  <c r="F408" i="28"/>
  <c r="N408" i="28" s="1"/>
  <c r="P407" i="28"/>
  <c r="K407" i="28"/>
  <c r="F407" i="28"/>
  <c r="N407" i="28" s="1"/>
  <c r="P406" i="28"/>
  <c r="K406" i="28"/>
  <c r="F406" i="28"/>
  <c r="N406" i="28" s="1"/>
  <c r="P405" i="28"/>
  <c r="K405" i="28"/>
  <c r="F405" i="28"/>
  <c r="N405" i="28" s="1"/>
  <c r="P404" i="28"/>
  <c r="K404" i="28"/>
  <c r="F404" i="28"/>
  <c r="N404" i="28" s="1"/>
  <c r="P403" i="28"/>
  <c r="K403" i="28"/>
  <c r="F403" i="28"/>
  <c r="N403" i="28" s="1"/>
  <c r="P402" i="28"/>
  <c r="K402" i="28"/>
  <c r="F402" i="28"/>
  <c r="N402" i="28" s="1"/>
  <c r="P401" i="28"/>
  <c r="K401" i="28"/>
  <c r="F401" i="28"/>
  <c r="N401" i="28" s="1"/>
  <c r="P400" i="28"/>
  <c r="K400" i="28"/>
  <c r="F400" i="28"/>
  <c r="N400" i="28" s="1"/>
  <c r="P399" i="28"/>
  <c r="K399" i="28"/>
  <c r="F399" i="28"/>
  <c r="N399" i="28" s="1"/>
  <c r="P398" i="28"/>
  <c r="K398" i="28"/>
  <c r="F398" i="28"/>
  <c r="N398" i="28" s="1"/>
  <c r="P397" i="28"/>
  <c r="K397" i="28"/>
  <c r="F397" i="28"/>
  <c r="N397" i="28" s="1"/>
  <c r="P396" i="28"/>
  <c r="K396" i="28"/>
  <c r="F396" i="28"/>
  <c r="N396" i="28" s="1"/>
  <c r="P395" i="28"/>
  <c r="K395" i="28"/>
  <c r="F395" i="28"/>
  <c r="N395" i="28" s="1"/>
  <c r="P394" i="28"/>
  <c r="K394" i="28"/>
  <c r="F394" i="28"/>
  <c r="N394" i="28" s="1"/>
  <c r="P393" i="28"/>
  <c r="K393" i="28"/>
  <c r="F393" i="28"/>
  <c r="N393" i="28" s="1"/>
  <c r="P392" i="28"/>
  <c r="K392" i="28"/>
  <c r="F392" i="28"/>
  <c r="F420" i="28" s="1"/>
  <c r="F421" i="28" s="1"/>
  <c r="P386" i="28"/>
  <c r="O386" i="28"/>
  <c r="N386" i="28"/>
  <c r="M386" i="28"/>
  <c r="L386" i="28"/>
  <c r="K386" i="28"/>
  <c r="J386" i="28"/>
  <c r="I386" i="28"/>
  <c r="H386" i="28"/>
  <c r="G386" i="28"/>
  <c r="F386" i="28"/>
  <c r="E386" i="28"/>
  <c r="D386" i="28"/>
  <c r="C386" i="28"/>
  <c r="P385" i="28"/>
  <c r="O385" i="28"/>
  <c r="N385" i="28"/>
  <c r="K385" i="28"/>
  <c r="F385" i="28"/>
  <c r="P384" i="28"/>
  <c r="O384" i="28"/>
  <c r="N384" i="28"/>
  <c r="K384" i="28"/>
  <c r="F384" i="28"/>
  <c r="P383" i="28"/>
  <c r="O383" i="28"/>
  <c r="N383" i="28"/>
  <c r="K383" i="28"/>
  <c r="F383" i="28"/>
  <c r="P382" i="28"/>
  <c r="O382" i="28"/>
  <c r="N382" i="28"/>
  <c r="K382" i="28"/>
  <c r="F382" i="28"/>
  <c r="P381" i="28"/>
  <c r="O381" i="28"/>
  <c r="N381" i="28"/>
  <c r="K381" i="28"/>
  <c r="F381" i="28"/>
  <c r="P380" i="28"/>
  <c r="O380" i="28"/>
  <c r="N380" i="28"/>
  <c r="K380" i="28"/>
  <c r="F380" i="28"/>
  <c r="P379" i="28"/>
  <c r="O379" i="28"/>
  <c r="N379" i="28"/>
  <c r="K379" i="28"/>
  <c r="F379" i="28"/>
  <c r="P378" i="28"/>
  <c r="O378" i="28"/>
  <c r="N378" i="28"/>
  <c r="K378" i="28"/>
  <c r="F378" i="28"/>
  <c r="P377" i="28"/>
  <c r="O377" i="28"/>
  <c r="N377" i="28"/>
  <c r="K377" i="28"/>
  <c r="F377" i="28"/>
  <c r="P376" i="28"/>
  <c r="O376" i="28"/>
  <c r="N376" i="28"/>
  <c r="K376" i="28"/>
  <c r="F376" i="28"/>
  <c r="P375" i="28"/>
  <c r="O375" i="28"/>
  <c r="N375" i="28"/>
  <c r="K375" i="28"/>
  <c r="F375" i="28"/>
  <c r="P374" i="28"/>
  <c r="O374" i="28"/>
  <c r="N374" i="28"/>
  <c r="K374" i="28"/>
  <c r="F374" i="28"/>
  <c r="C374" i="28"/>
  <c r="P373" i="28"/>
  <c r="O373" i="28"/>
  <c r="N373" i="28"/>
  <c r="K373" i="28"/>
  <c r="F373" i="28"/>
  <c r="P372" i="28"/>
  <c r="O372" i="28"/>
  <c r="N372" i="28"/>
  <c r="K372" i="28"/>
  <c r="F372" i="28"/>
  <c r="P371" i="28"/>
  <c r="O371" i="28"/>
  <c r="N371" i="28"/>
  <c r="K371" i="28"/>
  <c r="F371" i="28"/>
  <c r="P370" i="28"/>
  <c r="O370" i="28"/>
  <c r="N370" i="28"/>
  <c r="K370" i="28"/>
  <c r="F370" i="28"/>
  <c r="P369" i="28"/>
  <c r="O369" i="28"/>
  <c r="N369" i="28"/>
  <c r="K369" i="28"/>
  <c r="F369" i="28"/>
  <c r="P368" i="28"/>
  <c r="O368" i="28"/>
  <c r="N368" i="28"/>
  <c r="K368" i="28"/>
  <c r="F368" i="28"/>
  <c r="P367" i="28"/>
  <c r="O367" i="28"/>
  <c r="N367" i="28"/>
  <c r="K367" i="28"/>
  <c r="F367" i="28"/>
  <c r="P366" i="28"/>
  <c r="O366" i="28"/>
  <c r="N366" i="28"/>
  <c r="K366" i="28"/>
  <c r="F366" i="28"/>
  <c r="P365" i="28"/>
  <c r="O365" i="28"/>
  <c r="N365" i="28"/>
  <c r="K365" i="28"/>
  <c r="F365" i="28"/>
  <c r="P364" i="28"/>
  <c r="O364" i="28"/>
  <c r="N364" i="28"/>
  <c r="K364" i="28"/>
  <c r="F364" i="28"/>
  <c r="P363" i="28"/>
  <c r="O363" i="28"/>
  <c r="N363" i="28"/>
  <c r="K363" i="28"/>
  <c r="F363" i="28"/>
  <c r="P362" i="28"/>
  <c r="O362" i="28"/>
  <c r="N362" i="28"/>
  <c r="K362" i="28"/>
  <c r="F362" i="28"/>
  <c r="P361" i="28"/>
  <c r="O361" i="28"/>
  <c r="N361" i="28"/>
  <c r="K361" i="28"/>
  <c r="F361" i="28"/>
  <c r="P360" i="28"/>
  <c r="O360" i="28"/>
  <c r="N360" i="28"/>
  <c r="K360" i="28"/>
  <c r="F360" i="28"/>
  <c r="P359" i="28"/>
  <c r="O359" i="28"/>
  <c r="N359" i="28"/>
  <c r="K359" i="28"/>
  <c r="F359" i="28"/>
  <c r="P358" i="28"/>
  <c r="O358" i="28"/>
  <c r="N358" i="28"/>
  <c r="K358" i="28"/>
  <c r="F358" i="28"/>
  <c r="L353" i="28"/>
  <c r="J353" i="28"/>
  <c r="I353" i="28"/>
  <c r="E353" i="28"/>
  <c r="D353" i="28"/>
  <c r="C353" i="28"/>
  <c r="P352" i="28"/>
  <c r="O352" i="28"/>
  <c r="N352" i="28"/>
  <c r="M352" i="28"/>
  <c r="L352" i="28"/>
  <c r="K352" i="28"/>
  <c r="J352" i="28"/>
  <c r="I352" i="28"/>
  <c r="H352" i="28"/>
  <c r="G352" i="28"/>
  <c r="F352" i="28"/>
  <c r="E352" i="28"/>
  <c r="D352" i="28"/>
  <c r="C352" i="28"/>
  <c r="P351" i="28"/>
  <c r="O351" i="28"/>
  <c r="N351" i="28"/>
  <c r="K351" i="28"/>
  <c r="F351" i="28"/>
  <c r="P350" i="28"/>
  <c r="O350" i="28"/>
  <c r="N350" i="28"/>
  <c r="K350" i="28"/>
  <c r="H350" i="28"/>
  <c r="F350" i="28"/>
  <c r="P349" i="28"/>
  <c r="O349" i="28"/>
  <c r="N349" i="28"/>
  <c r="K349" i="28"/>
  <c r="H349" i="28"/>
  <c r="F349" i="28"/>
  <c r="P348" i="28"/>
  <c r="O348" i="28"/>
  <c r="N348" i="28"/>
  <c r="K348" i="28"/>
  <c r="H348" i="28"/>
  <c r="F348" i="28"/>
  <c r="P347" i="28"/>
  <c r="O347" i="28"/>
  <c r="N347" i="28"/>
  <c r="K347" i="28"/>
  <c r="H347" i="28"/>
  <c r="F347" i="28"/>
  <c r="P346" i="28"/>
  <c r="O346" i="28"/>
  <c r="N346" i="28"/>
  <c r="K346" i="28"/>
  <c r="H346" i="28"/>
  <c r="F346" i="28"/>
  <c r="P345" i="28"/>
  <c r="O345" i="28"/>
  <c r="N345" i="28"/>
  <c r="K345" i="28"/>
  <c r="H345" i="28"/>
  <c r="F345" i="28"/>
  <c r="P344" i="28"/>
  <c r="O344" i="28"/>
  <c r="N344" i="28"/>
  <c r="K344" i="28"/>
  <c r="H344" i="28"/>
  <c r="F344" i="28"/>
  <c r="P343" i="28"/>
  <c r="O343" i="28"/>
  <c r="N343" i="28"/>
  <c r="K343" i="28"/>
  <c r="H343" i="28"/>
  <c r="F343" i="28"/>
  <c r="P342" i="28"/>
  <c r="O342" i="28"/>
  <c r="N342" i="28"/>
  <c r="K342" i="28"/>
  <c r="H342" i="28"/>
  <c r="F342" i="28"/>
  <c r="P341" i="28"/>
  <c r="O341" i="28"/>
  <c r="N341" i="28"/>
  <c r="K341" i="28"/>
  <c r="H341" i="28"/>
  <c r="F341" i="28"/>
  <c r="P340" i="28"/>
  <c r="O340" i="28"/>
  <c r="N340" i="28"/>
  <c r="K340" i="28"/>
  <c r="H340" i="28"/>
  <c r="F340" i="28"/>
  <c r="P339" i="28"/>
  <c r="O339" i="28"/>
  <c r="N339" i="28"/>
  <c r="K339" i="28"/>
  <c r="H339" i="28"/>
  <c r="F339" i="28"/>
  <c r="P338" i="28"/>
  <c r="O338" i="28"/>
  <c r="N338" i="28"/>
  <c r="K338" i="28"/>
  <c r="H338" i="28"/>
  <c r="F338" i="28"/>
  <c r="P337" i="28"/>
  <c r="O337" i="28"/>
  <c r="N337" i="28"/>
  <c r="K337" i="28"/>
  <c r="H337" i="28"/>
  <c r="F337" i="28"/>
  <c r="P336" i="28"/>
  <c r="O336" i="28"/>
  <c r="N336" i="28"/>
  <c r="K336" i="28"/>
  <c r="H336" i="28"/>
  <c r="F336" i="28"/>
  <c r="P335" i="28"/>
  <c r="O335" i="28"/>
  <c r="N335" i="28"/>
  <c r="K335" i="28"/>
  <c r="H335" i="28"/>
  <c r="F335" i="28"/>
  <c r="P334" i="28"/>
  <c r="O334" i="28"/>
  <c r="N334" i="28"/>
  <c r="K334" i="28"/>
  <c r="H334" i="28"/>
  <c r="F334" i="28"/>
  <c r="P333" i="28"/>
  <c r="O333" i="28"/>
  <c r="N333" i="28"/>
  <c r="K333" i="28"/>
  <c r="F333" i="28"/>
  <c r="P332" i="28"/>
  <c r="O332" i="28"/>
  <c r="N332" i="28"/>
  <c r="K332" i="28"/>
  <c r="H332" i="28"/>
  <c r="F332" i="28"/>
  <c r="P331" i="28"/>
  <c r="O331" i="28"/>
  <c r="N331" i="28"/>
  <c r="K331" i="28"/>
  <c r="H331" i="28"/>
  <c r="F331" i="28"/>
  <c r="P330" i="28"/>
  <c r="O330" i="28"/>
  <c r="N330" i="28"/>
  <c r="K330" i="28"/>
  <c r="F330" i="28"/>
  <c r="P329" i="28"/>
  <c r="O329" i="28"/>
  <c r="N329" i="28"/>
  <c r="K329" i="28"/>
  <c r="H329" i="28"/>
  <c r="F329" i="28"/>
  <c r="P328" i="28"/>
  <c r="O328" i="28"/>
  <c r="N328" i="28"/>
  <c r="K328" i="28"/>
  <c r="H328" i="28"/>
  <c r="F328" i="28"/>
  <c r="P327" i="28"/>
  <c r="O327" i="28"/>
  <c r="N327" i="28"/>
  <c r="K327" i="28"/>
  <c r="H327" i="28"/>
  <c r="F327" i="28"/>
  <c r="P326" i="28"/>
  <c r="O326" i="28"/>
  <c r="N326" i="28"/>
  <c r="K326" i="28"/>
  <c r="H326" i="28"/>
  <c r="F326" i="28"/>
  <c r="P325" i="28"/>
  <c r="O325" i="28"/>
  <c r="N325" i="28"/>
  <c r="K325" i="28"/>
  <c r="H325" i="28"/>
  <c r="F325" i="28"/>
  <c r="P324" i="28"/>
  <c r="O324" i="28"/>
  <c r="N324" i="28"/>
  <c r="K324" i="28"/>
  <c r="H324" i="28"/>
  <c r="F324" i="28"/>
  <c r="P323" i="28"/>
  <c r="O323" i="28"/>
  <c r="N323" i="28"/>
  <c r="K323" i="28"/>
  <c r="H323" i="28"/>
  <c r="F323" i="28"/>
  <c r="P317" i="28"/>
  <c r="O317" i="28"/>
  <c r="N317" i="28"/>
  <c r="M317" i="28"/>
  <c r="L317" i="28"/>
  <c r="K317" i="28"/>
  <c r="J317" i="28"/>
  <c r="I317" i="28"/>
  <c r="H317" i="28"/>
  <c r="G317" i="28"/>
  <c r="F317" i="28"/>
  <c r="E317" i="28"/>
  <c r="D317" i="28"/>
  <c r="C317" i="28"/>
  <c r="P316" i="28"/>
  <c r="N316" i="28"/>
  <c r="K316" i="28"/>
  <c r="F316" i="28"/>
  <c r="P315" i="28"/>
  <c r="N315" i="28"/>
  <c r="K315" i="28"/>
  <c r="F315" i="28"/>
  <c r="P314" i="28"/>
  <c r="N314" i="28"/>
  <c r="K314" i="28"/>
  <c r="F314" i="28"/>
  <c r="P313" i="28"/>
  <c r="N313" i="28"/>
  <c r="K313" i="28"/>
  <c r="F313" i="28"/>
  <c r="P312" i="28"/>
  <c r="N312" i="28"/>
  <c r="K312" i="28"/>
  <c r="F312" i="28"/>
  <c r="P311" i="28"/>
  <c r="N311" i="28"/>
  <c r="K311" i="28"/>
  <c r="F311" i="28"/>
  <c r="P310" i="28"/>
  <c r="N310" i="28"/>
  <c r="K310" i="28"/>
  <c r="F310" i="28"/>
  <c r="P309" i="28"/>
  <c r="N309" i="28"/>
  <c r="K309" i="28"/>
  <c r="F309" i="28"/>
  <c r="P308" i="28"/>
  <c r="N308" i="28"/>
  <c r="K308" i="28"/>
  <c r="F308" i="28"/>
  <c r="P307" i="28"/>
  <c r="N307" i="28"/>
  <c r="K307" i="28"/>
  <c r="F307" i="28"/>
  <c r="P306" i="28"/>
  <c r="N306" i="28"/>
  <c r="K306" i="28"/>
  <c r="F306" i="28"/>
  <c r="P305" i="28"/>
  <c r="N305" i="28"/>
  <c r="K305" i="28"/>
  <c r="F305" i="28"/>
  <c r="P304" i="28"/>
  <c r="N304" i="28"/>
  <c r="K304" i="28"/>
  <c r="F304" i="28"/>
  <c r="P303" i="28"/>
  <c r="N303" i="28"/>
  <c r="K303" i="28"/>
  <c r="F303" i="28"/>
  <c r="P302" i="28"/>
  <c r="N302" i="28"/>
  <c r="K302" i="28"/>
  <c r="F302" i="28"/>
  <c r="P301" i="28"/>
  <c r="N301" i="28"/>
  <c r="K301" i="28"/>
  <c r="F301" i="28"/>
  <c r="P300" i="28"/>
  <c r="N300" i="28"/>
  <c r="K300" i="28"/>
  <c r="F300" i="28"/>
  <c r="P299" i="28"/>
  <c r="N299" i="28"/>
  <c r="K299" i="28"/>
  <c r="F299" i="28"/>
  <c r="P298" i="28"/>
  <c r="N298" i="28"/>
  <c r="K298" i="28"/>
  <c r="F298" i="28"/>
  <c r="P297" i="28"/>
  <c r="N297" i="28"/>
  <c r="K297" i="28"/>
  <c r="F297" i="28"/>
  <c r="P296" i="28"/>
  <c r="N296" i="28"/>
  <c r="K296" i="28"/>
  <c r="F296" i="28"/>
  <c r="P295" i="28"/>
  <c r="N295" i="28"/>
  <c r="K295" i="28"/>
  <c r="F295" i="28"/>
  <c r="P294" i="28"/>
  <c r="N294" i="28"/>
  <c r="K294" i="28"/>
  <c r="F294" i="28"/>
  <c r="P293" i="28"/>
  <c r="N293" i="28"/>
  <c r="K293" i="28"/>
  <c r="F293" i="28"/>
  <c r="P292" i="28"/>
  <c r="N292" i="28"/>
  <c r="K292" i="28"/>
  <c r="F292" i="28"/>
  <c r="P291" i="28"/>
  <c r="N291" i="28"/>
  <c r="K291" i="28"/>
  <c r="F291" i="28"/>
  <c r="P290" i="28"/>
  <c r="N290" i="28"/>
  <c r="K290" i="28"/>
  <c r="F290" i="28"/>
  <c r="P289" i="28"/>
  <c r="N289" i="28"/>
  <c r="K289" i="28"/>
  <c r="F289" i="28"/>
  <c r="P288" i="28"/>
  <c r="N288" i="28"/>
  <c r="K288" i="28"/>
  <c r="F288" i="28"/>
  <c r="F283" i="28"/>
  <c r="E283" i="28"/>
  <c r="D283" i="28"/>
  <c r="C283" i="28"/>
  <c r="P282" i="28"/>
  <c r="O282" i="28"/>
  <c r="N282" i="28"/>
  <c r="M282" i="28"/>
  <c r="L282" i="28"/>
  <c r="K282" i="28"/>
  <c r="J282" i="28"/>
  <c r="I282" i="28"/>
  <c r="H282" i="28"/>
  <c r="G282" i="28"/>
  <c r="F282" i="28"/>
  <c r="E282" i="28"/>
  <c r="D282" i="28"/>
  <c r="C282" i="28"/>
  <c r="P281" i="28"/>
  <c r="N281" i="28"/>
  <c r="K281" i="28"/>
  <c r="F281" i="28"/>
  <c r="P280" i="28"/>
  <c r="N280" i="28"/>
  <c r="K280" i="28"/>
  <c r="F280" i="28"/>
  <c r="P279" i="28"/>
  <c r="N279" i="28"/>
  <c r="K279" i="28"/>
  <c r="F279" i="28"/>
  <c r="P278" i="28"/>
  <c r="N278" i="28"/>
  <c r="K278" i="28"/>
  <c r="F278" i="28"/>
  <c r="P277" i="28"/>
  <c r="N277" i="28"/>
  <c r="K277" i="28"/>
  <c r="F277" i="28"/>
  <c r="P276" i="28"/>
  <c r="N276" i="28"/>
  <c r="K276" i="28"/>
  <c r="F276" i="28"/>
  <c r="P275" i="28"/>
  <c r="N275" i="28"/>
  <c r="K275" i="28"/>
  <c r="F275" i="28"/>
  <c r="P274" i="28"/>
  <c r="N274" i="28"/>
  <c r="K274" i="28"/>
  <c r="F274" i="28"/>
  <c r="P273" i="28"/>
  <c r="N273" i="28"/>
  <c r="K273" i="28"/>
  <c r="F273" i="28"/>
  <c r="P272" i="28"/>
  <c r="N272" i="28"/>
  <c r="K272" i="28"/>
  <c r="F272" i="28"/>
  <c r="P271" i="28"/>
  <c r="N271" i="28"/>
  <c r="K271" i="28"/>
  <c r="F271" i="28"/>
  <c r="P270" i="28"/>
  <c r="N270" i="28"/>
  <c r="K270" i="28"/>
  <c r="F270" i="28"/>
  <c r="P269" i="28"/>
  <c r="N269" i="28"/>
  <c r="K269" i="28"/>
  <c r="F269" i="28"/>
  <c r="P268" i="28"/>
  <c r="N268" i="28"/>
  <c r="K268" i="28"/>
  <c r="F268" i="28"/>
  <c r="P267" i="28"/>
  <c r="N267" i="28"/>
  <c r="K267" i="28"/>
  <c r="F267" i="28"/>
  <c r="P266" i="28"/>
  <c r="N266" i="28"/>
  <c r="K266" i="28"/>
  <c r="F266" i="28"/>
  <c r="P265" i="28"/>
  <c r="N265" i="28"/>
  <c r="K265" i="28"/>
  <c r="F265" i="28"/>
  <c r="P264" i="28"/>
  <c r="N264" i="28"/>
  <c r="K264" i="28"/>
  <c r="F264" i="28"/>
  <c r="P263" i="28"/>
  <c r="N263" i="28"/>
  <c r="K263" i="28"/>
  <c r="F263" i="28"/>
  <c r="P262" i="28"/>
  <c r="N262" i="28"/>
  <c r="K262" i="28"/>
  <c r="F262" i="28"/>
  <c r="P261" i="28"/>
  <c r="N261" i="28"/>
  <c r="K261" i="28"/>
  <c r="F261" i="28"/>
  <c r="P260" i="28"/>
  <c r="N260" i="28"/>
  <c r="K260" i="28"/>
  <c r="F260" i="28"/>
  <c r="P259" i="28"/>
  <c r="N259" i="28"/>
  <c r="K259" i="28"/>
  <c r="F259" i="28"/>
  <c r="P258" i="28"/>
  <c r="N258" i="28"/>
  <c r="K258" i="28"/>
  <c r="F258" i="28"/>
  <c r="P257" i="28"/>
  <c r="N257" i="28"/>
  <c r="K257" i="28"/>
  <c r="F257" i="28"/>
  <c r="P256" i="28"/>
  <c r="N256" i="28"/>
  <c r="K256" i="28"/>
  <c r="F256" i="28"/>
  <c r="P255" i="28"/>
  <c r="N255" i="28"/>
  <c r="K255" i="28"/>
  <c r="F255" i="28"/>
  <c r="P254" i="28"/>
  <c r="N254" i="28"/>
  <c r="K254" i="28"/>
  <c r="F254" i="28"/>
  <c r="P253" i="28"/>
  <c r="N253" i="28"/>
  <c r="K253" i="28"/>
  <c r="F253" i="28"/>
  <c r="E248" i="28"/>
  <c r="D248" i="28"/>
  <c r="C248" i="28"/>
  <c r="P247" i="28"/>
  <c r="O247" i="28"/>
  <c r="N247" i="28"/>
  <c r="M247" i="28"/>
  <c r="L247" i="28"/>
  <c r="K247" i="28"/>
  <c r="J247" i="28"/>
  <c r="I247" i="28"/>
  <c r="G247" i="28"/>
  <c r="F247" i="28"/>
  <c r="E247" i="28"/>
  <c r="D247" i="28"/>
  <c r="C247" i="28"/>
  <c r="P246" i="28"/>
  <c r="N246" i="28"/>
  <c r="K246" i="28"/>
  <c r="F246" i="28"/>
  <c r="P245" i="28"/>
  <c r="N245" i="28"/>
  <c r="K245" i="28"/>
  <c r="F245" i="28"/>
  <c r="P244" i="28"/>
  <c r="N244" i="28"/>
  <c r="M244" i="28"/>
  <c r="K244" i="28"/>
  <c r="F244" i="28"/>
  <c r="C244" i="28"/>
  <c r="P243" i="28"/>
  <c r="N243" i="28"/>
  <c r="K243" i="28"/>
  <c r="F243" i="28"/>
  <c r="P242" i="28"/>
  <c r="N242" i="28"/>
  <c r="K242" i="28"/>
  <c r="F242" i="28"/>
  <c r="P241" i="28"/>
  <c r="N241" i="28"/>
  <c r="K241" i="28"/>
  <c r="F241" i="28"/>
  <c r="P240" i="28"/>
  <c r="N240" i="28"/>
  <c r="K240" i="28"/>
  <c r="F240" i="28"/>
  <c r="P239" i="28"/>
  <c r="N239" i="28"/>
  <c r="K239" i="28"/>
  <c r="F239" i="28"/>
  <c r="P238" i="28"/>
  <c r="N238" i="28"/>
  <c r="K238" i="28"/>
  <c r="F238" i="28"/>
  <c r="P237" i="28"/>
  <c r="N237" i="28"/>
  <c r="K237" i="28"/>
  <c r="F237" i="28"/>
  <c r="P236" i="28"/>
  <c r="N236" i="28"/>
  <c r="K236" i="28"/>
  <c r="F236" i="28"/>
  <c r="P235" i="28"/>
  <c r="N235" i="28"/>
  <c r="K235" i="28"/>
  <c r="F235" i="28"/>
  <c r="P234" i="28"/>
  <c r="N234" i="28"/>
  <c r="K234" i="28"/>
  <c r="F234" i="28"/>
  <c r="P233" i="28"/>
  <c r="N233" i="28"/>
  <c r="K233" i="28"/>
  <c r="F233" i="28"/>
  <c r="P232" i="28"/>
  <c r="N232" i="28"/>
  <c r="K232" i="28"/>
  <c r="F232" i="28"/>
  <c r="P231" i="28"/>
  <c r="N231" i="28"/>
  <c r="K231" i="28"/>
  <c r="F231" i="28"/>
  <c r="P230" i="28"/>
  <c r="N230" i="28"/>
  <c r="K230" i="28"/>
  <c r="F230" i="28"/>
  <c r="P229" i="28"/>
  <c r="N229" i="28"/>
  <c r="K229" i="28"/>
  <c r="F229" i="28"/>
  <c r="P228" i="28"/>
  <c r="N228" i="28"/>
  <c r="K228" i="28"/>
  <c r="F228" i="28"/>
  <c r="P227" i="28"/>
  <c r="N227" i="28"/>
  <c r="K227" i="28"/>
  <c r="F227" i="28"/>
  <c r="P226" i="28"/>
  <c r="N226" i="28"/>
  <c r="K226" i="28"/>
  <c r="F226" i="28"/>
  <c r="P225" i="28"/>
  <c r="N225" i="28"/>
  <c r="K225" i="28"/>
  <c r="F225" i="28"/>
  <c r="P224" i="28"/>
  <c r="N224" i="28"/>
  <c r="K224" i="28"/>
  <c r="F224" i="28"/>
  <c r="P223" i="28"/>
  <c r="N223" i="28"/>
  <c r="K223" i="28"/>
  <c r="F223" i="28"/>
  <c r="P222" i="28"/>
  <c r="N222" i="28"/>
  <c r="K222" i="28"/>
  <c r="F222" i="28"/>
  <c r="P221" i="28"/>
  <c r="N221" i="28"/>
  <c r="K221" i="28"/>
  <c r="F221" i="28"/>
  <c r="P220" i="28"/>
  <c r="N220" i="28"/>
  <c r="K220" i="28"/>
  <c r="F220" i="28"/>
  <c r="P219" i="28"/>
  <c r="N219" i="28"/>
  <c r="K219" i="28"/>
  <c r="F219" i="28"/>
  <c r="P218" i="28"/>
  <c r="N218" i="28"/>
  <c r="K218" i="28"/>
  <c r="F218" i="28"/>
  <c r="O216" i="28"/>
  <c r="O214" i="28"/>
  <c r="P212" i="28"/>
  <c r="O212" i="28"/>
  <c r="M212" i="28"/>
  <c r="L212" i="28"/>
  <c r="K212" i="28"/>
  <c r="J212" i="28"/>
  <c r="I212" i="28"/>
  <c r="H212" i="28"/>
  <c r="G212" i="28"/>
  <c r="E212" i="28"/>
  <c r="D212" i="28"/>
  <c r="C212" i="28"/>
  <c r="R211" i="28"/>
  <c r="P211" i="28"/>
  <c r="N211" i="28"/>
  <c r="M211" i="28"/>
  <c r="K211" i="28"/>
  <c r="F211" i="28"/>
  <c r="C211" i="28"/>
  <c r="R210" i="28"/>
  <c r="P210" i="28"/>
  <c r="N210" i="28"/>
  <c r="K210" i="28"/>
  <c r="F210" i="28"/>
  <c r="R209" i="28"/>
  <c r="P209" i="28"/>
  <c r="K209" i="28"/>
  <c r="F209" i="28"/>
  <c r="F212" i="28" s="1"/>
  <c r="R208" i="28"/>
  <c r="P208" i="28"/>
  <c r="N208" i="28"/>
  <c r="K208" i="28"/>
  <c r="F208" i="28"/>
  <c r="R207" i="28"/>
  <c r="P207" i="28"/>
  <c r="N207" i="28"/>
  <c r="K207" i="28"/>
  <c r="F207" i="28"/>
  <c r="R206" i="28"/>
  <c r="P206" i="28"/>
  <c r="N206" i="28"/>
  <c r="K206" i="28"/>
  <c r="F206" i="28"/>
  <c r="R205" i="28"/>
  <c r="P205" i="28"/>
  <c r="N205" i="28"/>
  <c r="K205" i="28"/>
  <c r="F205" i="28"/>
  <c r="R204" i="28"/>
  <c r="P204" i="28"/>
  <c r="N204" i="28"/>
  <c r="K204" i="28"/>
  <c r="F204" i="28"/>
  <c r="R203" i="28"/>
  <c r="P203" i="28"/>
  <c r="N203" i="28"/>
  <c r="K203" i="28"/>
  <c r="F203" i="28"/>
  <c r="R202" i="28"/>
  <c r="P202" i="28"/>
  <c r="N202" i="28"/>
  <c r="K202" i="28"/>
  <c r="F202" i="28"/>
  <c r="R201" i="28"/>
  <c r="P201" i="28"/>
  <c r="N201" i="28"/>
  <c r="K201" i="28"/>
  <c r="F201" i="28"/>
  <c r="R200" i="28"/>
  <c r="P200" i="28"/>
  <c r="N200" i="28"/>
  <c r="K200" i="28"/>
  <c r="F200" i="28"/>
  <c r="R199" i="28"/>
  <c r="P199" i="28"/>
  <c r="N199" i="28"/>
  <c r="K199" i="28"/>
  <c r="F199" i="28"/>
  <c r="R198" i="28"/>
  <c r="P198" i="28"/>
  <c r="N198" i="28"/>
  <c r="K198" i="28"/>
  <c r="F198" i="28"/>
  <c r="R197" i="28"/>
  <c r="P197" i="28"/>
  <c r="N197" i="28"/>
  <c r="K197" i="28"/>
  <c r="F197" i="28"/>
  <c r="R196" i="28"/>
  <c r="P196" i="28"/>
  <c r="N196" i="28"/>
  <c r="K196" i="28"/>
  <c r="F196" i="28"/>
  <c r="R195" i="28"/>
  <c r="P195" i="28"/>
  <c r="N195" i="28"/>
  <c r="K195" i="28"/>
  <c r="F195" i="28"/>
  <c r="R194" i="28"/>
  <c r="P194" i="28"/>
  <c r="N194" i="28"/>
  <c r="M194" i="28"/>
  <c r="K194" i="28"/>
  <c r="F194" i="28"/>
  <c r="C194" i="28"/>
  <c r="R193" i="28"/>
  <c r="P193" i="28"/>
  <c r="N193" i="28"/>
  <c r="K193" i="28"/>
  <c r="F193" i="28"/>
  <c r="R192" i="28"/>
  <c r="P192" i="28"/>
  <c r="N192" i="28"/>
  <c r="K192" i="28"/>
  <c r="F192" i="28"/>
  <c r="R191" i="28"/>
  <c r="P191" i="28"/>
  <c r="N191" i="28"/>
  <c r="K191" i="28"/>
  <c r="F191" i="28"/>
  <c r="R190" i="28"/>
  <c r="P190" i="28"/>
  <c r="N190" i="28"/>
  <c r="K190" i="28"/>
  <c r="F190" i="28"/>
  <c r="R189" i="28"/>
  <c r="P189" i="28"/>
  <c r="N189" i="28"/>
  <c r="K189" i="28"/>
  <c r="F189" i="28"/>
  <c r="R188" i="28"/>
  <c r="P188" i="28"/>
  <c r="N188" i="28"/>
  <c r="K188" i="28"/>
  <c r="F188" i="28"/>
  <c r="R187" i="28"/>
  <c r="P187" i="28"/>
  <c r="N187" i="28"/>
  <c r="K187" i="28"/>
  <c r="F187" i="28"/>
  <c r="R186" i="28"/>
  <c r="P186" i="28"/>
  <c r="N186" i="28"/>
  <c r="K186" i="28"/>
  <c r="F186" i="28"/>
  <c r="R185" i="28"/>
  <c r="P185" i="28"/>
  <c r="N185" i="28"/>
  <c r="K185" i="28"/>
  <c r="F185" i="28"/>
  <c r="R184" i="28"/>
  <c r="P184" i="28"/>
  <c r="N184" i="28"/>
  <c r="K184" i="28"/>
  <c r="F184" i="28"/>
  <c r="R183" i="28"/>
  <c r="P183" i="28"/>
  <c r="N183" i="28"/>
  <c r="K183" i="28"/>
  <c r="F183" i="28"/>
  <c r="P177" i="28"/>
  <c r="O177" i="28"/>
  <c r="N177" i="28"/>
  <c r="M177" i="28"/>
  <c r="L177" i="28"/>
  <c r="K177" i="28"/>
  <c r="J177" i="28"/>
  <c r="I177" i="28"/>
  <c r="H177" i="28"/>
  <c r="G177" i="28"/>
  <c r="F177" i="28"/>
  <c r="E177" i="28"/>
  <c r="D177" i="28"/>
  <c r="C177" i="28"/>
  <c r="P176" i="28"/>
  <c r="N176" i="28"/>
  <c r="K176" i="28"/>
  <c r="F176" i="28"/>
  <c r="P175" i="28"/>
  <c r="N175" i="28"/>
  <c r="K175" i="28"/>
  <c r="F175" i="28"/>
  <c r="P174" i="28"/>
  <c r="N174" i="28"/>
  <c r="K174" i="28"/>
  <c r="F174" i="28"/>
  <c r="P173" i="28"/>
  <c r="N173" i="28"/>
  <c r="K173" i="28"/>
  <c r="F173" i="28"/>
  <c r="P172" i="28"/>
  <c r="N172" i="28"/>
  <c r="K172" i="28"/>
  <c r="F172" i="28"/>
  <c r="P171" i="28"/>
  <c r="N171" i="28"/>
  <c r="K171" i="28"/>
  <c r="F171" i="28"/>
  <c r="P170" i="28"/>
  <c r="N170" i="28"/>
  <c r="K170" i="28"/>
  <c r="F170" i="28"/>
  <c r="P169" i="28"/>
  <c r="N169" i="28"/>
  <c r="K169" i="28"/>
  <c r="F169" i="28"/>
  <c r="P168" i="28"/>
  <c r="N168" i="28"/>
  <c r="K168" i="28"/>
  <c r="F168" i="28"/>
  <c r="P167" i="28"/>
  <c r="N167" i="28"/>
  <c r="K167" i="28"/>
  <c r="F167" i="28"/>
  <c r="P166" i="28"/>
  <c r="N166" i="28"/>
  <c r="K166" i="28"/>
  <c r="F166" i="28"/>
  <c r="P165" i="28"/>
  <c r="N165" i="28"/>
  <c r="K165" i="28"/>
  <c r="F165" i="28"/>
  <c r="P164" i="28"/>
  <c r="N164" i="28"/>
  <c r="K164" i="28"/>
  <c r="F164" i="28"/>
  <c r="P163" i="28"/>
  <c r="N163" i="28"/>
  <c r="K163" i="28"/>
  <c r="F163" i="28"/>
  <c r="P162" i="28"/>
  <c r="N162" i="28"/>
  <c r="K162" i="28"/>
  <c r="F162" i="28"/>
  <c r="P161" i="28"/>
  <c r="N161" i="28"/>
  <c r="K161" i="28"/>
  <c r="F161" i="28"/>
  <c r="P160" i="28"/>
  <c r="N160" i="28"/>
  <c r="K160" i="28"/>
  <c r="F160" i="28"/>
  <c r="P159" i="28"/>
  <c r="N159" i="28"/>
  <c r="K159" i="28"/>
  <c r="F159" i="28"/>
  <c r="P158" i="28"/>
  <c r="N158" i="28"/>
  <c r="K158" i="28"/>
  <c r="F158" i="28"/>
  <c r="P157" i="28"/>
  <c r="N157" i="28"/>
  <c r="K157" i="28"/>
  <c r="F157" i="28"/>
  <c r="P156" i="28"/>
  <c r="N156" i="28"/>
  <c r="K156" i="28"/>
  <c r="F156" i="28"/>
  <c r="P155" i="28"/>
  <c r="N155" i="28"/>
  <c r="K155" i="28"/>
  <c r="F155" i="28"/>
  <c r="P154" i="28"/>
  <c r="N154" i="28"/>
  <c r="K154" i="28"/>
  <c r="F154" i="28"/>
  <c r="P153" i="28"/>
  <c r="N153" i="28"/>
  <c r="K153" i="28"/>
  <c r="F153" i="28"/>
  <c r="P152" i="28"/>
  <c r="N152" i="28"/>
  <c r="K152" i="28"/>
  <c r="F152" i="28"/>
  <c r="P151" i="28"/>
  <c r="N151" i="28"/>
  <c r="K151" i="28"/>
  <c r="F151" i="28"/>
  <c r="P150" i="28"/>
  <c r="N150" i="28"/>
  <c r="K150" i="28"/>
  <c r="F150" i="28"/>
  <c r="P149" i="28"/>
  <c r="N149" i="28"/>
  <c r="K149" i="28"/>
  <c r="F149" i="28"/>
  <c r="P148" i="28"/>
  <c r="N148" i="28"/>
  <c r="K148" i="28"/>
  <c r="F148" i="28"/>
  <c r="P142" i="28"/>
  <c r="O142" i="28"/>
  <c r="N142" i="28"/>
  <c r="L142" i="28"/>
  <c r="K142" i="28"/>
  <c r="J142" i="28"/>
  <c r="I142" i="28"/>
  <c r="G142" i="28"/>
  <c r="F142" i="28"/>
  <c r="E142" i="28"/>
  <c r="D142" i="28"/>
  <c r="C142" i="28"/>
  <c r="P141" i="28"/>
  <c r="O141" i="28"/>
  <c r="N141" i="28"/>
  <c r="K141" i="28"/>
  <c r="F141" i="28"/>
  <c r="P140" i="28"/>
  <c r="O140" i="28"/>
  <c r="N140" i="28"/>
  <c r="K140" i="28"/>
  <c r="F140" i="28"/>
  <c r="P139" i="28"/>
  <c r="O139" i="28"/>
  <c r="N139" i="28"/>
  <c r="K139" i="28"/>
  <c r="F139" i="28"/>
  <c r="P138" i="28"/>
  <c r="N138" i="28"/>
  <c r="K138" i="28"/>
  <c r="F138" i="28"/>
  <c r="P137" i="28"/>
  <c r="O137" i="28"/>
  <c r="N137" i="28"/>
  <c r="K137" i="28"/>
  <c r="F137" i="28"/>
  <c r="P136" i="28"/>
  <c r="O136" i="28"/>
  <c r="N136" i="28"/>
  <c r="K136" i="28"/>
  <c r="F136" i="28"/>
  <c r="P135" i="28"/>
  <c r="N135" i="28"/>
  <c r="K135" i="28"/>
  <c r="F135" i="28"/>
  <c r="P134" i="28"/>
  <c r="O134" i="28"/>
  <c r="N134" i="28"/>
  <c r="K134" i="28"/>
  <c r="F134" i="28"/>
  <c r="P133" i="28"/>
  <c r="O133" i="28"/>
  <c r="N133" i="28"/>
  <c r="K133" i="28"/>
  <c r="F133" i="28"/>
  <c r="P132" i="28"/>
  <c r="N132" i="28"/>
  <c r="K132" i="28"/>
  <c r="F132" i="28"/>
  <c r="P131" i="28"/>
  <c r="N131" i="28"/>
  <c r="K131" i="28"/>
  <c r="F131" i="28"/>
  <c r="P130" i="28"/>
  <c r="O130" i="28"/>
  <c r="N130" i="28"/>
  <c r="K130" i="28"/>
  <c r="F130" i="28"/>
  <c r="P129" i="28"/>
  <c r="O129" i="28"/>
  <c r="N129" i="28"/>
  <c r="K129" i="28"/>
  <c r="F129" i="28"/>
  <c r="P128" i="28"/>
  <c r="O128" i="28"/>
  <c r="N128" i="28"/>
  <c r="K128" i="28"/>
  <c r="F128" i="28"/>
  <c r="P127" i="28"/>
  <c r="O127" i="28"/>
  <c r="N127" i="28"/>
  <c r="K127" i="28"/>
  <c r="F127" i="28"/>
  <c r="P126" i="28"/>
  <c r="O126" i="28"/>
  <c r="N126" i="28"/>
  <c r="K126" i="28"/>
  <c r="F126" i="28"/>
  <c r="P125" i="28"/>
  <c r="O125" i="28"/>
  <c r="N125" i="28"/>
  <c r="K125" i="28"/>
  <c r="F125" i="28"/>
  <c r="P124" i="28"/>
  <c r="O124" i="28"/>
  <c r="N124" i="28"/>
  <c r="K124" i="28"/>
  <c r="F124" i="28"/>
  <c r="P123" i="28"/>
  <c r="O123" i="28"/>
  <c r="N123" i="28"/>
  <c r="K123" i="28"/>
  <c r="F123" i="28"/>
  <c r="P122" i="28"/>
  <c r="O122" i="28"/>
  <c r="N122" i="28"/>
  <c r="K122" i="28"/>
  <c r="F122" i="28"/>
  <c r="P121" i="28"/>
  <c r="O121" i="28"/>
  <c r="N121" i="28"/>
  <c r="K121" i="28"/>
  <c r="F121" i="28"/>
  <c r="P120" i="28"/>
  <c r="O120" i="28"/>
  <c r="N120" i="28"/>
  <c r="K120" i="28"/>
  <c r="F120" i="28"/>
  <c r="P119" i="28"/>
  <c r="O119" i="28"/>
  <c r="N119" i="28"/>
  <c r="K119" i="28"/>
  <c r="F119" i="28"/>
  <c r="P118" i="28"/>
  <c r="N118" i="28"/>
  <c r="K118" i="28"/>
  <c r="F118" i="28"/>
  <c r="P117" i="28"/>
  <c r="N117" i="28"/>
  <c r="K117" i="28"/>
  <c r="F117" i="28"/>
  <c r="P116" i="28"/>
  <c r="O116" i="28"/>
  <c r="N116" i="28"/>
  <c r="K116" i="28"/>
  <c r="F116" i="28"/>
  <c r="P115" i="28"/>
  <c r="O115" i="28"/>
  <c r="N115" i="28"/>
  <c r="K115" i="28"/>
  <c r="F115" i="28"/>
  <c r="P114" i="28"/>
  <c r="O114" i="28"/>
  <c r="N114" i="28"/>
  <c r="K114" i="28"/>
  <c r="F114" i="28"/>
  <c r="P113" i="28"/>
  <c r="O113" i="28"/>
  <c r="N113" i="28"/>
  <c r="K113" i="28"/>
  <c r="F113" i="28"/>
  <c r="P108" i="28"/>
  <c r="O108" i="28"/>
  <c r="N108" i="28"/>
  <c r="L108" i="28"/>
  <c r="K108" i="28"/>
  <c r="J108" i="28"/>
  <c r="I108" i="28"/>
  <c r="G108" i="28"/>
  <c r="F108" i="28"/>
  <c r="E108" i="28"/>
  <c r="D108" i="28"/>
  <c r="C108" i="28"/>
  <c r="P107" i="28"/>
  <c r="N107" i="28"/>
  <c r="K107" i="28"/>
  <c r="F107" i="28"/>
  <c r="P106" i="28"/>
  <c r="N106" i="28"/>
  <c r="K106" i="28"/>
  <c r="F106" i="28"/>
  <c r="P105" i="28"/>
  <c r="N105" i="28"/>
  <c r="K105" i="28"/>
  <c r="F105" i="28"/>
  <c r="P104" i="28"/>
  <c r="N104" i="28"/>
  <c r="K104" i="28"/>
  <c r="F104" i="28"/>
  <c r="P103" i="28"/>
  <c r="N103" i="28"/>
  <c r="K103" i="28"/>
  <c r="F103" i="28"/>
  <c r="P102" i="28"/>
  <c r="N102" i="28"/>
  <c r="K102" i="28"/>
  <c r="F102" i="28"/>
  <c r="P101" i="28"/>
  <c r="N101" i="28"/>
  <c r="K101" i="28"/>
  <c r="F101" i="28"/>
  <c r="P100" i="28"/>
  <c r="N100" i="28"/>
  <c r="K100" i="28"/>
  <c r="F100" i="28"/>
  <c r="P99" i="28"/>
  <c r="N99" i="28"/>
  <c r="K99" i="28"/>
  <c r="F99" i="28"/>
  <c r="P98" i="28"/>
  <c r="N98" i="28"/>
  <c r="K98" i="28"/>
  <c r="F98" i="28"/>
  <c r="P97" i="28"/>
  <c r="N97" i="28"/>
  <c r="K97" i="28"/>
  <c r="F97" i="28"/>
  <c r="P96" i="28"/>
  <c r="N96" i="28"/>
  <c r="K96" i="28"/>
  <c r="F96" i="28"/>
  <c r="P95" i="28"/>
  <c r="N95" i="28"/>
  <c r="K95" i="28"/>
  <c r="F95" i="28"/>
  <c r="P94" i="28"/>
  <c r="N94" i="28"/>
  <c r="K94" i="28"/>
  <c r="F94" i="28"/>
  <c r="P93" i="28"/>
  <c r="N93" i="28"/>
  <c r="K93" i="28"/>
  <c r="F93" i="28"/>
  <c r="P92" i="28"/>
  <c r="N92" i="28"/>
  <c r="K92" i="28"/>
  <c r="F92" i="28"/>
  <c r="P91" i="28"/>
  <c r="N91" i="28"/>
  <c r="K91" i="28"/>
  <c r="F91" i="28"/>
  <c r="P90" i="28"/>
  <c r="N90" i="28"/>
  <c r="K90" i="28"/>
  <c r="F90" i="28"/>
  <c r="P89" i="28"/>
  <c r="N89" i="28"/>
  <c r="K89" i="28"/>
  <c r="F89" i="28"/>
  <c r="P88" i="28"/>
  <c r="N88" i="28"/>
  <c r="K88" i="28"/>
  <c r="F88" i="28"/>
  <c r="P87" i="28"/>
  <c r="N87" i="28"/>
  <c r="K87" i="28"/>
  <c r="F87" i="28"/>
  <c r="P86" i="28"/>
  <c r="N86" i="28"/>
  <c r="K86" i="28"/>
  <c r="F86" i="28"/>
  <c r="P85" i="28"/>
  <c r="N85" i="28"/>
  <c r="K85" i="28"/>
  <c r="F85" i="28"/>
  <c r="P84" i="28"/>
  <c r="N84" i="28"/>
  <c r="K84" i="28"/>
  <c r="F84" i="28"/>
  <c r="P83" i="28"/>
  <c r="N83" i="28"/>
  <c r="K83" i="28"/>
  <c r="F83" i="28"/>
  <c r="P82" i="28"/>
  <c r="N82" i="28"/>
  <c r="K82" i="28"/>
  <c r="F82" i="28"/>
  <c r="P81" i="28"/>
  <c r="N81" i="28"/>
  <c r="K81" i="28"/>
  <c r="F81" i="28"/>
  <c r="P80" i="28"/>
  <c r="N80" i="28"/>
  <c r="K80" i="28"/>
  <c r="F80" i="28"/>
  <c r="P79" i="28"/>
  <c r="N79" i="28"/>
  <c r="K79" i="28"/>
  <c r="F79" i="28"/>
  <c r="P73" i="28"/>
  <c r="O73" i="28"/>
  <c r="N73" i="28"/>
  <c r="L73" i="28"/>
  <c r="K73" i="28"/>
  <c r="J73" i="28"/>
  <c r="I73" i="28"/>
  <c r="G73" i="28"/>
  <c r="F73" i="28"/>
  <c r="E73" i="28"/>
  <c r="D73" i="28"/>
  <c r="C73" i="28"/>
  <c r="P72" i="28"/>
  <c r="N72" i="28"/>
  <c r="K72" i="28"/>
  <c r="F72" i="28"/>
  <c r="P71" i="28"/>
  <c r="N71" i="28"/>
  <c r="K71" i="28"/>
  <c r="F71" i="28"/>
  <c r="P70" i="28"/>
  <c r="N70" i="28"/>
  <c r="K70" i="28"/>
  <c r="F70" i="28"/>
  <c r="P69" i="28"/>
  <c r="N69" i="28"/>
  <c r="K69" i="28"/>
  <c r="F69" i="28"/>
  <c r="P68" i="28"/>
  <c r="N68" i="28"/>
  <c r="K68" i="28"/>
  <c r="F68" i="28"/>
  <c r="P67" i="28"/>
  <c r="N67" i="28"/>
  <c r="K67" i="28"/>
  <c r="F67" i="28"/>
  <c r="P66" i="28"/>
  <c r="N66" i="28"/>
  <c r="K66" i="28"/>
  <c r="F66" i="28"/>
  <c r="P65" i="28"/>
  <c r="N65" i="28"/>
  <c r="K65" i="28"/>
  <c r="F65" i="28"/>
  <c r="P64" i="28"/>
  <c r="N64" i="28"/>
  <c r="K64" i="28"/>
  <c r="F64" i="28"/>
  <c r="S63" i="28"/>
  <c r="P63" i="28"/>
  <c r="N63" i="28"/>
  <c r="K63" i="28"/>
  <c r="F63" i="28"/>
  <c r="S62" i="28"/>
  <c r="R62" i="28"/>
  <c r="P62" i="28"/>
  <c r="N62" i="28"/>
  <c r="K62" i="28"/>
  <c r="F62" i="28"/>
  <c r="P61" i="28"/>
  <c r="N61" i="28"/>
  <c r="K61" i="28"/>
  <c r="F61" i="28"/>
  <c r="P60" i="28"/>
  <c r="N60" i="28"/>
  <c r="K60" i="28"/>
  <c r="F60" i="28"/>
  <c r="P59" i="28"/>
  <c r="N59" i="28"/>
  <c r="K59" i="28"/>
  <c r="F59" i="28"/>
  <c r="P58" i="28"/>
  <c r="N58" i="28"/>
  <c r="K58" i="28"/>
  <c r="F58" i="28"/>
  <c r="P57" i="28"/>
  <c r="N57" i="28"/>
  <c r="K57" i="28"/>
  <c r="F57" i="28"/>
  <c r="P56" i="28"/>
  <c r="N56" i="28"/>
  <c r="K56" i="28"/>
  <c r="F56" i="28"/>
  <c r="P55" i="28"/>
  <c r="N55" i="28"/>
  <c r="K55" i="28"/>
  <c r="F55" i="28"/>
  <c r="P54" i="28"/>
  <c r="N54" i="28"/>
  <c r="K54" i="28"/>
  <c r="F54" i="28"/>
  <c r="P53" i="28"/>
  <c r="N53" i="28"/>
  <c r="K53" i="28"/>
  <c r="F53" i="28"/>
  <c r="P52" i="28"/>
  <c r="N52" i="28"/>
  <c r="K52" i="28"/>
  <c r="F52" i="28"/>
  <c r="P51" i="28"/>
  <c r="N51" i="28"/>
  <c r="K51" i="28"/>
  <c r="F51" i="28"/>
  <c r="P50" i="28"/>
  <c r="N50" i="28"/>
  <c r="K50" i="28"/>
  <c r="F50" i="28"/>
  <c r="P49" i="28"/>
  <c r="N49" i="28"/>
  <c r="K49" i="28"/>
  <c r="F49" i="28"/>
  <c r="P48" i="28"/>
  <c r="N48" i="28"/>
  <c r="K48" i="28"/>
  <c r="F48" i="28"/>
  <c r="P47" i="28"/>
  <c r="N47" i="28"/>
  <c r="K47" i="28"/>
  <c r="F47" i="28"/>
  <c r="P46" i="28"/>
  <c r="N46" i="28"/>
  <c r="K46" i="28"/>
  <c r="F46" i="28"/>
  <c r="P45" i="28"/>
  <c r="N45" i="28"/>
  <c r="K45" i="28"/>
  <c r="F45" i="28"/>
  <c r="P44" i="28"/>
  <c r="N44" i="28"/>
  <c r="K44" i="28"/>
  <c r="F44" i="28"/>
  <c r="P43" i="28"/>
  <c r="N43" i="28"/>
  <c r="K43" i="28"/>
  <c r="F43" i="28"/>
  <c r="P38" i="28"/>
  <c r="O38" i="28"/>
  <c r="N38" i="28"/>
  <c r="L38" i="28"/>
  <c r="K38" i="28"/>
  <c r="J38" i="28"/>
  <c r="I38" i="28"/>
  <c r="G38" i="28"/>
  <c r="F38" i="28"/>
  <c r="E38" i="28"/>
  <c r="D38" i="28"/>
  <c r="C38" i="28"/>
  <c r="R37" i="28"/>
  <c r="P37" i="28"/>
  <c r="N37" i="28"/>
  <c r="K37" i="28"/>
  <c r="F37" i="28"/>
  <c r="R36" i="28"/>
  <c r="P36" i="28"/>
  <c r="O36" i="28"/>
  <c r="N36" i="28"/>
  <c r="K36" i="28"/>
  <c r="F36" i="28"/>
  <c r="R35" i="28"/>
  <c r="P35" i="28"/>
  <c r="N35" i="28"/>
  <c r="K35" i="28"/>
  <c r="F35" i="28"/>
  <c r="R34" i="28"/>
  <c r="P34" i="28"/>
  <c r="O34" i="28"/>
  <c r="N34" i="28"/>
  <c r="K34" i="28"/>
  <c r="F34" i="28"/>
  <c r="R33" i="28"/>
  <c r="P33" i="28"/>
  <c r="N33" i="28"/>
  <c r="K33" i="28"/>
  <c r="F33" i="28"/>
  <c r="R32" i="28"/>
  <c r="P32" i="28"/>
  <c r="O32" i="28"/>
  <c r="N32" i="28"/>
  <c r="K32" i="28"/>
  <c r="F32" i="28"/>
  <c r="R31" i="28"/>
  <c r="P31" i="28"/>
  <c r="O31" i="28"/>
  <c r="N31" i="28"/>
  <c r="K31" i="28"/>
  <c r="F31" i="28"/>
  <c r="R30" i="28"/>
  <c r="P30" i="28"/>
  <c r="N30" i="28"/>
  <c r="K30" i="28"/>
  <c r="F30" i="28"/>
  <c r="R29" i="28"/>
  <c r="P29" i="28"/>
  <c r="N29" i="28"/>
  <c r="K29" i="28"/>
  <c r="F29" i="28"/>
  <c r="R28" i="28"/>
  <c r="P28" i="28"/>
  <c r="O28" i="28"/>
  <c r="N28" i="28"/>
  <c r="K28" i="28"/>
  <c r="F28" i="28"/>
  <c r="R27" i="28"/>
  <c r="P27" i="28"/>
  <c r="N27" i="28"/>
  <c r="K27" i="28"/>
  <c r="F27" i="28"/>
  <c r="E27" i="28"/>
  <c r="R26" i="28"/>
  <c r="P26" i="28"/>
  <c r="O26" i="28"/>
  <c r="N26" i="28"/>
  <c r="K26" i="28"/>
  <c r="F26" i="28"/>
  <c r="R25" i="28"/>
  <c r="P25" i="28"/>
  <c r="N25" i="28"/>
  <c r="K25" i="28"/>
  <c r="F25" i="28"/>
  <c r="R24" i="28"/>
  <c r="P24" i="28"/>
  <c r="O24" i="28"/>
  <c r="N24" i="28"/>
  <c r="K24" i="28"/>
  <c r="F24" i="28"/>
  <c r="R23" i="28"/>
  <c r="P23" i="28"/>
  <c r="N23" i="28"/>
  <c r="K23" i="28"/>
  <c r="F23" i="28"/>
  <c r="R22" i="28"/>
  <c r="P22" i="28"/>
  <c r="O22" i="28"/>
  <c r="N22" i="28"/>
  <c r="K22" i="28"/>
  <c r="F22" i="28"/>
  <c r="R21" i="28"/>
  <c r="P21" i="28"/>
  <c r="O21" i="28"/>
  <c r="N21" i="28"/>
  <c r="K21" i="28"/>
  <c r="F21" i="28"/>
  <c r="R20" i="28"/>
  <c r="P20" i="28"/>
  <c r="O20" i="28"/>
  <c r="N20" i="28"/>
  <c r="K20" i="28"/>
  <c r="F20" i="28"/>
  <c r="R19" i="28"/>
  <c r="P19" i="28"/>
  <c r="O19" i="28"/>
  <c r="N19" i="28"/>
  <c r="K19" i="28"/>
  <c r="F19" i="28"/>
  <c r="R18" i="28"/>
  <c r="P18" i="28"/>
  <c r="O18" i="28"/>
  <c r="N18" i="28"/>
  <c r="K18" i="28"/>
  <c r="F18" i="28"/>
  <c r="R17" i="28"/>
  <c r="P17" i="28"/>
  <c r="O17" i="28"/>
  <c r="N17" i="28"/>
  <c r="K17" i="28"/>
  <c r="F17" i="28"/>
  <c r="R16" i="28"/>
  <c r="P16" i="28"/>
  <c r="O16" i="28"/>
  <c r="N16" i="28"/>
  <c r="K16" i="28"/>
  <c r="F16" i="28"/>
  <c r="R15" i="28"/>
  <c r="P15" i="28"/>
  <c r="N15" i="28"/>
  <c r="K15" i="28"/>
  <c r="F15" i="28"/>
  <c r="R14" i="28"/>
  <c r="P14" i="28"/>
  <c r="O14" i="28"/>
  <c r="N14" i="28"/>
  <c r="K14" i="28"/>
  <c r="F14" i="28"/>
  <c r="R13" i="28"/>
  <c r="P13" i="28"/>
  <c r="O13" i="28"/>
  <c r="N13" i="28"/>
  <c r="K13" i="28"/>
  <c r="F13" i="28"/>
  <c r="R12" i="28"/>
  <c r="P12" i="28"/>
  <c r="O12" i="28"/>
  <c r="N12" i="28"/>
  <c r="K12" i="28"/>
  <c r="F12" i="28"/>
  <c r="R11" i="28"/>
  <c r="P11" i="28"/>
  <c r="O11" i="28"/>
  <c r="N11" i="28"/>
  <c r="K11" i="28"/>
  <c r="F11" i="28"/>
  <c r="R10" i="28"/>
  <c r="P10" i="28"/>
  <c r="O10" i="28"/>
  <c r="N10" i="28"/>
  <c r="K10" i="28"/>
  <c r="F10" i="28"/>
  <c r="R9" i="28"/>
  <c r="P9" i="28"/>
  <c r="O9" i="28"/>
  <c r="N9" i="28"/>
  <c r="K9" i="28"/>
  <c r="F9" i="28"/>
  <c r="R8" i="28"/>
  <c r="P8" i="28"/>
  <c r="O8" i="28"/>
  <c r="N8" i="28"/>
  <c r="K8" i="28"/>
  <c r="F8" i="28"/>
  <c r="AH1512" i="75"/>
  <c r="AG1512" i="75"/>
  <c r="AF1512" i="75"/>
  <c r="AE1512" i="75"/>
  <c r="AD1512" i="75"/>
  <c r="AC1512" i="75"/>
  <c r="AB1512" i="75"/>
  <c r="AA1512" i="75"/>
  <c r="Z1512" i="75"/>
  <c r="Y1512" i="75"/>
  <c r="X1512" i="75"/>
  <c r="W1512" i="75"/>
  <c r="V1512" i="75"/>
  <c r="U1512" i="75"/>
  <c r="T1512" i="75"/>
  <c r="S1512" i="75"/>
  <c r="R1512" i="75"/>
  <c r="Q1512" i="75"/>
  <c r="P1512" i="75"/>
  <c r="O1512" i="75"/>
  <c r="N1512" i="75"/>
  <c r="M1512" i="75"/>
  <c r="L1512" i="75"/>
  <c r="K1512" i="75"/>
  <c r="J1512" i="75"/>
  <c r="I1512" i="75"/>
  <c r="H1512" i="75"/>
  <c r="G1512" i="75"/>
  <c r="F1512" i="75"/>
  <c r="E1512" i="75"/>
  <c r="AI1398" i="75"/>
  <c r="AI1385" i="75"/>
  <c r="AH1385" i="75"/>
  <c r="AG1385" i="75"/>
  <c r="AF1385" i="75"/>
  <c r="AE1385" i="75"/>
  <c r="AD1385" i="75"/>
  <c r="AC1385" i="75"/>
  <c r="AB1385" i="75"/>
  <c r="AA1385" i="75"/>
  <c r="Z1385" i="75"/>
  <c r="Y1385" i="75"/>
  <c r="X1385" i="75"/>
  <c r="W1385" i="75"/>
  <c r="V1385" i="75"/>
  <c r="U1385" i="75"/>
  <c r="T1385" i="75"/>
  <c r="S1385" i="75"/>
  <c r="R1385" i="75"/>
  <c r="Q1385" i="75"/>
  <c r="P1385" i="75"/>
  <c r="O1385" i="75"/>
  <c r="N1385" i="75"/>
  <c r="M1385" i="75"/>
  <c r="L1385" i="75"/>
  <c r="K1385" i="75"/>
  <c r="J1385" i="75"/>
  <c r="I1385" i="75"/>
  <c r="H1385" i="75"/>
  <c r="G1385" i="75"/>
  <c r="F1385" i="75"/>
  <c r="E1385" i="75"/>
  <c r="D1385" i="75"/>
  <c r="AI1384" i="75"/>
  <c r="AI1383" i="75"/>
  <c r="AI1382" i="75"/>
  <c r="AI1381" i="75"/>
  <c r="AI1380" i="75"/>
  <c r="AI1379" i="75"/>
  <c r="AI1378" i="75"/>
  <c r="AI1377" i="75"/>
  <c r="AI1376" i="75"/>
  <c r="AI1375" i="75"/>
  <c r="AI1374" i="75"/>
  <c r="AI1373" i="75"/>
  <c r="AI1372" i="75"/>
  <c r="AI1371" i="75"/>
  <c r="AI1370" i="75"/>
  <c r="AI1369" i="75"/>
  <c r="AI1368" i="75"/>
  <c r="AI1367" i="75"/>
  <c r="AI1366" i="75"/>
  <c r="AI1365" i="75"/>
  <c r="AI1364" i="75"/>
  <c r="AI1363" i="75"/>
  <c r="AI1362" i="75"/>
  <c r="AI1361" i="75"/>
  <c r="AI1360" i="75"/>
  <c r="AI1359" i="75"/>
  <c r="AI1358" i="75"/>
  <c r="AI1357" i="75"/>
  <c r="AI1356" i="75"/>
  <c r="AI1355" i="75"/>
  <c r="AI1354" i="75"/>
  <c r="AI1353" i="75"/>
  <c r="AI1352" i="75"/>
  <c r="AI1351" i="75"/>
  <c r="AI1350" i="75"/>
  <c r="AI1349" i="75"/>
  <c r="AI1348" i="75"/>
  <c r="AI1347" i="75"/>
  <c r="AI1346" i="75"/>
  <c r="AI1345" i="75"/>
  <c r="AI1344" i="75"/>
  <c r="AI1343" i="75"/>
  <c r="AI1342" i="75"/>
  <c r="AI1341" i="75"/>
  <c r="AI1340" i="75"/>
  <c r="AI1339" i="75"/>
  <c r="AI1338" i="75"/>
  <c r="AI1337" i="75"/>
  <c r="AI1336" i="75"/>
  <c r="AI1335" i="75"/>
  <c r="AI1334" i="75"/>
  <c r="AI1333" i="75"/>
  <c r="AI1332" i="75"/>
  <c r="AI1331" i="75"/>
  <c r="AI1330" i="75"/>
  <c r="AI1329" i="75"/>
  <c r="AI1328" i="75"/>
  <c r="AI1327" i="75"/>
  <c r="AI1326" i="75"/>
  <c r="AI1325" i="75"/>
  <c r="AI1324" i="75"/>
  <c r="AI1323" i="75"/>
  <c r="AI1322" i="75"/>
  <c r="AI1321" i="75"/>
  <c r="AI1320" i="75"/>
  <c r="AI1319" i="75"/>
  <c r="AI1318" i="75"/>
  <c r="AI1317" i="75"/>
  <c r="AI1316" i="75"/>
  <c r="AI1315" i="75"/>
  <c r="AI1314" i="75"/>
  <c r="AI1313" i="75"/>
  <c r="AI1312" i="75"/>
  <c r="AI1311" i="75"/>
  <c r="AI1310" i="75"/>
  <c r="AE1310" i="75"/>
  <c r="AI1309" i="75"/>
  <c r="AI1308" i="75"/>
  <c r="AI1307" i="75"/>
  <c r="AI1306" i="75"/>
  <c r="AI1305" i="75"/>
  <c r="AI1304" i="75"/>
  <c r="AI1303" i="75"/>
  <c r="AI1302" i="75"/>
  <c r="AI1301" i="75"/>
  <c r="AI1300" i="75"/>
  <c r="AI1299" i="75"/>
  <c r="AI1298" i="75"/>
  <c r="AI1297" i="75"/>
  <c r="AI1296" i="75"/>
  <c r="AI1295" i="75"/>
  <c r="AI1294" i="75"/>
  <c r="AI1293" i="75"/>
  <c r="AI1292" i="75"/>
  <c r="AI1291" i="75"/>
  <c r="AI1290" i="75"/>
  <c r="AI1289" i="75"/>
  <c r="AI1288" i="75"/>
  <c r="O1288" i="75"/>
  <c r="I1288" i="75"/>
  <c r="AI1287" i="75"/>
  <c r="AI1286" i="75"/>
  <c r="AI1285" i="75"/>
  <c r="AI1284" i="75"/>
  <c r="AI1283" i="75"/>
  <c r="AI1282" i="75"/>
  <c r="AI1281" i="75"/>
  <c r="AI1280" i="75"/>
  <c r="AI1279" i="75"/>
  <c r="AI1278" i="75"/>
  <c r="D1278" i="75"/>
  <c r="AI1277" i="75"/>
  <c r="AI1276" i="75"/>
  <c r="AI1275" i="75"/>
  <c r="AI1274" i="75"/>
  <c r="AI1273" i="75"/>
  <c r="AI1272" i="75"/>
  <c r="AE1272" i="75"/>
  <c r="AI1271" i="75"/>
  <c r="AH1258" i="75"/>
  <c r="AG1258" i="75"/>
  <c r="AF1258" i="75"/>
  <c r="AE1258" i="75"/>
  <c r="AD1258" i="75"/>
  <c r="AC1258" i="75"/>
  <c r="AB1258" i="75"/>
  <c r="AA1258" i="75"/>
  <c r="Z1258" i="75"/>
  <c r="Y1258" i="75"/>
  <c r="X1258" i="75"/>
  <c r="W1258" i="75"/>
  <c r="V1258" i="75"/>
  <c r="U1258" i="75"/>
  <c r="T1258" i="75"/>
  <c r="S1258" i="75"/>
  <c r="R1258" i="75"/>
  <c r="Q1258" i="75"/>
  <c r="P1258" i="75"/>
  <c r="O1258" i="75"/>
  <c r="N1258" i="75"/>
  <c r="M1258" i="75"/>
  <c r="L1258" i="75"/>
  <c r="K1258" i="75"/>
  <c r="J1258" i="75"/>
  <c r="I1258" i="75"/>
  <c r="H1258" i="75"/>
  <c r="G1258" i="75"/>
  <c r="F1258" i="75"/>
  <c r="E1258" i="75"/>
  <c r="D1258" i="75"/>
  <c r="AI1257" i="75"/>
  <c r="AI1256" i="75"/>
  <c r="AI1255" i="75"/>
  <c r="AI1254" i="75"/>
  <c r="AI1253" i="75"/>
  <c r="AI1252" i="75"/>
  <c r="AI1251" i="75"/>
  <c r="AI1250" i="75"/>
  <c r="AI1249" i="75"/>
  <c r="AI1248" i="75"/>
  <c r="AI1247" i="75"/>
  <c r="AI1246" i="75"/>
  <c r="AI1245" i="75"/>
  <c r="AI1244" i="75"/>
  <c r="AI1243" i="75"/>
  <c r="AI1242" i="75"/>
  <c r="AI1241" i="75"/>
  <c r="AI1240" i="75"/>
  <c r="AI1239" i="75"/>
  <c r="AI1238" i="75"/>
  <c r="AI1237" i="75"/>
  <c r="AI1236" i="75"/>
  <c r="AI1235" i="75"/>
  <c r="AI1234" i="75"/>
  <c r="AI1233" i="75"/>
  <c r="AI1232" i="75"/>
  <c r="AI1231" i="75"/>
  <c r="AI1230" i="75"/>
  <c r="AI1229" i="75"/>
  <c r="AI1228" i="75"/>
  <c r="AI1227" i="75"/>
  <c r="AI1226" i="75"/>
  <c r="AI1225" i="75"/>
  <c r="AI1224" i="75"/>
  <c r="AI1223" i="75"/>
  <c r="AI1222" i="75"/>
  <c r="AI1221" i="75"/>
  <c r="AI1220" i="75"/>
  <c r="AI1219" i="75"/>
  <c r="AI1218" i="75"/>
  <c r="AI1217" i="75"/>
  <c r="AI1216" i="75"/>
  <c r="AI1215" i="75"/>
  <c r="AI1214" i="75"/>
  <c r="AI1213" i="75"/>
  <c r="AI1212" i="75"/>
  <c r="AI1211" i="75"/>
  <c r="AI1210" i="75"/>
  <c r="AI1209" i="75"/>
  <c r="AI1208" i="75"/>
  <c r="AI1207" i="75"/>
  <c r="AI1206" i="75"/>
  <c r="AI1205" i="75"/>
  <c r="AI1204" i="75"/>
  <c r="AI1203" i="75"/>
  <c r="AI1202" i="75"/>
  <c r="AI1201" i="75"/>
  <c r="AI1200" i="75"/>
  <c r="AI1199" i="75"/>
  <c r="AI1198" i="75"/>
  <c r="AI1197" i="75"/>
  <c r="AI1196" i="75"/>
  <c r="AI1195" i="75"/>
  <c r="AI1194" i="75"/>
  <c r="AI1193" i="75"/>
  <c r="AI1192" i="75"/>
  <c r="AI1191" i="75"/>
  <c r="AI1190" i="75"/>
  <c r="AI1189" i="75"/>
  <c r="AI1188" i="75"/>
  <c r="AI1187" i="75"/>
  <c r="AI1186" i="75"/>
  <c r="AI1185" i="75"/>
  <c r="AI1184" i="75"/>
  <c r="AI1183" i="75"/>
  <c r="AI1182" i="75"/>
  <c r="AI1181" i="75"/>
  <c r="AI1180" i="75"/>
  <c r="AI1179" i="75"/>
  <c r="AI1178" i="75"/>
  <c r="AI1177" i="75"/>
  <c r="AI1176" i="75"/>
  <c r="AI1175" i="75"/>
  <c r="AI1174" i="75"/>
  <c r="AI1173" i="75"/>
  <c r="AI1172" i="75"/>
  <c r="AI1171" i="75"/>
  <c r="AI1170" i="75"/>
  <c r="AI1169" i="75"/>
  <c r="AI1168" i="75"/>
  <c r="AI1167" i="75"/>
  <c r="AI1166" i="75"/>
  <c r="AI1165" i="75"/>
  <c r="AI1164" i="75"/>
  <c r="AI1163" i="75"/>
  <c r="AI1162" i="75"/>
  <c r="AI1161" i="75"/>
  <c r="AI1160" i="75"/>
  <c r="AI1159" i="75"/>
  <c r="AI1158" i="75"/>
  <c r="AI1157" i="75"/>
  <c r="AI1156" i="75"/>
  <c r="AI1155" i="75"/>
  <c r="AI1154" i="75"/>
  <c r="AI1153" i="75"/>
  <c r="AI1152" i="75"/>
  <c r="AI1151" i="75"/>
  <c r="AI1150" i="75"/>
  <c r="AI1149" i="75"/>
  <c r="AI1148" i="75"/>
  <c r="AI1147" i="75"/>
  <c r="AI1146" i="75"/>
  <c r="AI1145" i="75"/>
  <c r="AI1144" i="75"/>
  <c r="AI1132" i="75"/>
  <c r="AD1132" i="75"/>
  <c r="AC1132" i="75"/>
  <c r="AB1132" i="75"/>
  <c r="AA1132" i="75"/>
  <c r="Z1132" i="75"/>
  <c r="Y1132" i="75"/>
  <c r="X1132" i="75"/>
  <c r="W1132" i="75"/>
  <c r="V1132" i="75"/>
  <c r="U1132" i="75"/>
  <c r="T1132" i="75"/>
  <c r="S1132" i="75"/>
  <c r="R1132" i="75"/>
  <c r="Q1132" i="75"/>
  <c r="P1132" i="75"/>
  <c r="O1132" i="75"/>
  <c r="N1132" i="75"/>
  <c r="M1132" i="75"/>
  <c r="L1132" i="75"/>
  <c r="K1132" i="75"/>
  <c r="J1132" i="75"/>
  <c r="I1132" i="75"/>
  <c r="H1132" i="75"/>
  <c r="G1132" i="75"/>
  <c r="F1132" i="75"/>
  <c r="E1132" i="75"/>
  <c r="D1132" i="75"/>
  <c r="AH1131" i="75"/>
  <c r="AG1131" i="75"/>
  <c r="AF1131" i="75"/>
  <c r="AE1131" i="75"/>
  <c r="AD1131" i="75"/>
  <c r="AC1131" i="75"/>
  <c r="AB1131" i="75"/>
  <c r="AA1131" i="75"/>
  <c r="Z1131" i="75"/>
  <c r="Y1131" i="75"/>
  <c r="X1131" i="75"/>
  <c r="W1131" i="75"/>
  <c r="V1131" i="75"/>
  <c r="U1131" i="75"/>
  <c r="T1131" i="75"/>
  <c r="S1131" i="75"/>
  <c r="R1131" i="75"/>
  <c r="Q1131" i="75"/>
  <c r="P1131" i="75"/>
  <c r="O1131" i="75"/>
  <c r="N1131" i="75"/>
  <c r="M1131" i="75"/>
  <c r="L1131" i="75"/>
  <c r="K1131" i="75"/>
  <c r="J1131" i="75"/>
  <c r="I1131" i="75"/>
  <c r="H1131" i="75"/>
  <c r="G1131" i="75"/>
  <c r="F1131" i="75"/>
  <c r="E1131" i="75"/>
  <c r="D1131" i="75"/>
  <c r="AI1130" i="75"/>
  <c r="AI1129" i="75"/>
  <c r="AI1128" i="75"/>
  <c r="AI1127" i="75"/>
  <c r="AI1126" i="75"/>
  <c r="AI1125" i="75"/>
  <c r="AI1124" i="75"/>
  <c r="AI1123" i="75"/>
  <c r="AI1122" i="75"/>
  <c r="AI1121" i="75"/>
  <c r="AI1120" i="75"/>
  <c r="AI1119" i="75"/>
  <c r="AI1118" i="75"/>
  <c r="AI1117" i="75"/>
  <c r="AI1116" i="75"/>
  <c r="AI1115" i="75"/>
  <c r="AI1114" i="75"/>
  <c r="AI1113" i="75"/>
  <c r="AI1112" i="75"/>
  <c r="AI1111" i="75"/>
  <c r="AI1110" i="75"/>
  <c r="AI1109" i="75"/>
  <c r="AI1108" i="75"/>
  <c r="AI1107" i="75"/>
  <c r="AI1106" i="75"/>
  <c r="AI1105" i="75"/>
  <c r="AI1104" i="75"/>
  <c r="AI1103" i="75"/>
  <c r="AI1102" i="75"/>
  <c r="AI1101" i="75"/>
  <c r="AI1100" i="75"/>
  <c r="AI1099" i="75"/>
  <c r="AI1098" i="75"/>
  <c r="AI1097" i="75"/>
  <c r="AI1096" i="75"/>
  <c r="AI1095" i="75"/>
  <c r="AI1094" i="75"/>
  <c r="AI1093" i="75"/>
  <c r="AI1092" i="75"/>
  <c r="AI1091" i="75"/>
  <c r="AI1090" i="75"/>
  <c r="AI1089" i="75"/>
  <c r="AI1088" i="75"/>
  <c r="AI1087" i="75"/>
  <c r="AI1086" i="75"/>
  <c r="AI1085" i="75"/>
  <c r="AI1084" i="75"/>
  <c r="AI1083" i="75"/>
  <c r="AI1082" i="75"/>
  <c r="AI1081" i="75"/>
  <c r="AI1080" i="75"/>
  <c r="AI1079" i="75"/>
  <c r="AI1078" i="75"/>
  <c r="AI1077" i="75"/>
  <c r="AI1076" i="75"/>
  <c r="AI1075" i="75"/>
  <c r="AI1074" i="75"/>
  <c r="AI1073" i="75"/>
  <c r="AI1072" i="75"/>
  <c r="AI1071" i="75"/>
  <c r="AI1070" i="75"/>
  <c r="AI1069" i="75"/>
  <c r="AI1068" i="75"/>
  <c r="AI1067" i="75"/>
  <c r="AI1066" i="75"/>
  <c r="AI1065" i="75"/>
  <c r="AI1064" i="75"/>
  <c r="AI1063" i="75"/>
  <c r="AI1062" i="75"/>
  <c r="AI1061" i="75"/>
  <c r="AI1060" i="75"/>
  <c r="AI1059" i="75"/>
  <c r="AI1058" i="75"/>
  <c r="AI1057" i="75"/>
  <c r="AI1056" i="75"/>
  <c r="AI1055" i="75"/>
  <c r="AI1054" i="75"/>
  <c r="AI1053" i="75"/>
  <c r="AI1052" i="75"/>
  <c r="AI1051" i="75"/>
  <c r="AI1050" i="75"/>
  <c r="AI1049" i="75"/>
  <c r="AI1048" i="75"/>
  <c r="AI1047" i="75"/>
  <c r="AI1046" i="75"/>
  <c r="AI1045" i="75"/>
  <c r="AI1044" i="75"/>
  <c r="AI1043" i="75"/>
  <c r="AI1042" i="75"/>
  <c r="AI1041" i="75"/>
  <c r="AI1040" i="75"/>
  <c r="AI1039" i="75"/>
  <c r="AI1038" i="75"/>
  <c r="AI1037" i="75"/>
  <c r="AI1036" i="75"/>
  <c r="AI1035" i="75"/>
  <c r="AI1034" i="75"/>
  <c r="AI1033" i="75"/>
  <c r="AI1032" i="75"/>
  <c r="AI1031" i="75"/>
  <c r="AI1030" i="75"/>
  <c r="AI1029" i="75"/>
  <c r="AI1028" i="75"/>
  <c r="AI1027" i="75"/>
  <c r="AI1026" i="75"/>
  <c r="AI1025" i="75"/>
  <c r="AI1024" i="75"/>
  <c r="AI1023" i="75"/>
  <c r="AI1022" i="75"/>
  <c r="AI1021" i="75"/>
  <c r="AI1020" i="75"/>
  <c r="AI1019" i="75"/>
  <c r="AI1018" i="75"/>
  <c r="AI1017" i="75"/>
  <c r="AH1004" i="75"/>
  <c r="AG1004" i="75"/>
  <c r="AF1004" i="75"/>
  <c r="AE1004" i="75"/>
  <c r="AD1004" i="75"/>
  <c r="AC1004" i="75"/>
  <c r="AB1004" i="75"/>
  <c r="AA1004" i="75"/>
  <c r="Z1004" i="75"/>
  <c r="Y1004" i="75"/>
  <c r="X1004" i="75"/>
  <c r="W1004" i="75"/>
  <c r="V1004" i="75"/>
  <c r="U1004" i="75"/>
  <c r="T1004" i="75"/>
  <c r="S1004" i="75"/>
  <c r="R1004" i="75"/>
  <c r="Q1004" i="75"/>
  <c r="P1004" i="75"/>
  <c r="O1004" i="75"/>
  <c r="N1004" i="75"/>
  <c r="M1004" i="75"/>
  <c r="L1004" i="75"/>
  <c r="K1004" i="75"/>
  <c r="J1004" i="75"/>
  <c r="I1004" i="75"/>
  <c r="H1004" i="75"/>
  <c r="G1004" i="75"/>
  <c r="F1004" i="75"/>
  <c r="E1004" i="75"/>
  <c r="D1004" i="75"/>
  <c r="AI1003" i="75"/>
  <c r="AI1002" i="75"/>
  <c r="AI1001" i="75"/>
  <c r="AI1000" i="75"/>
  <c r="AI999" i="75"/>
  <c r="AI998" i="75"/>
  <c r="AI997" i="75"/>
  <c r="AI996" i="75"/>
  <c r="AI995" i="75"/>
  <c r="AI994" i="75"/>
  <c r="AI993" i="75"/>
  <c r="AI992" i="75"/>
  <c r="AI991" i="75"/>
  <c r="AI990" i="75"/>
  <c r="AI989" i="75"/>
  <c r="AI988" i="75"/>
  <c r="AI987" i="75"/>
  <c r="AI986" i="75"/>
  <c r="AI985" i="75"/>
  <c r="AI984" i="75"/>
  <c r="AI983" i="75"/>
  <c r="AI982" i="75"/>
  <c r="AI981" i="75"/>
  <c r="AI980" i="75"/>
  <c r="AI979" i="75"/>
  <c r="AI978" i="75"/>
  <c r="AI977" i="75"/>
  <c r="AI976" i="75"/>
  <c r="AI975" i="75"/>
  <c r="AI974" i="75"/>
  <c r="AI973" i="75"/>
  <c r="AI972" i="75"/>
  <c r="AI971" i="75"/>
  <c r="AI970" i="75"/>
  <c r="AI969" i="75"/>
  <c r="AI968" i="75"/>
  <c r="AI967" i="75"/>
  <c r="AI966" i="75"/>
  <c r="AI965" i="75"/>
  <c r="AI964" i="75"/>
  <c r="AI963" i="75"/>
  <c r="AI962" i="75"/>
  <c r="AI961" i="75"/>
  <c r="AI960" i="75"/>
  <c r="AI959" i="75"/>
  <c r="AI958" i="75"/>
  <c r="AI957" i="75"/>
  <c r="AI956" i="75"/>
  <c r="AI955" i="75"/>
  <c r="AI954" i="75"/>
  <c r="AI953" i="75"/>
  <c r="AI952" i="75"/>
  <c r="AI951" i="75"/>
  <c r="AI950" i="75"/>
  <c r="AI949" i="75"/>
  <c r="AI948" i="75"/>
  <c r="AI947" i="75"/>
  <c r="AI946" i="75"/>
  <c r="AI945" i="75"/>
  <c r="AI944" i="75"/>
  <c r="AI943" i="75"/>
  <c r="AI942" i="75"/>
  <c r="AI941" i="75"/>
  <c r="AI940" i="75"/>
  <c r="AI939" i="75"/>
  <c r="AI938" i="75"/>
  <c r="AI937" i="75"/>
  <c r="AI936" i="75"/>
  <c r="AI935" i="75"/>
  <c r="AI934" i="75"/>
  <c r="AI933" i="75"/>
  <c r="AI932" i="75"/>
  <c r="AI931" i="75"/>
  <c r="AI930" i="75"/>
  <c r="AI929" i="75"/>
  <c r="AI928" i="75"/>
  <c r="AI927" i="75"/>
  <c r="AI926" i="75"/>
  <c r="AI925" i="75"/>
  <c r="AI924" i="75"/>
  <c r="AI923" i="75"/>
  <c r="AI922" i="75"/>
  <c r="AI921" i="75"/>
  <c r="AI920" i="75"/>
  <c r="AI919" i="75"/>
  <c r="AI918" i="75"/>
  <c r="AI917" i="75"/>
  <c r="AI916" i="75"/>
  <c r="AI915" i="75"/>
  <c r="AI914" i="75"/>
  <c r="AI913" i="75"/>
  <c r="AI912" i="75"/>
  <c r="AI911" i="75"/>
  <c r="AI910" i="75"/>
  <c r="AI909" i="75"/>
  <c r="AI908" i="75"/>
  <c r="AI907" i="75"/>
  <c r="AI906" i="75"/>
  <c r="AI905" i="75"/>
  <c r="AI904" i="75"/>
  <c r="AI903" i="75"/>
  <c r="AI902" i="75"/>
  <c r="AI901" i="75"/>
  <c r="AI900" i="75"/>
  <c r="AI899" i="75"/>
  <c r="AI898" i="75"/>
  <c r="AI897" i="75"/>
  <c r="AI896" i="75"/>
  <c r="AI895" i="75"/>
  <c r="AI894" i="75"/>
  <c r="AI893" i="75"/>
  <c r="AI892" i="75"/>
  <c r="AI891" i="75"/>
  <c r="AI890" i="75"/>
  <c r="AH877" i="75"/>
  <c r="AG877" i="75"/>
  <c r="AF877" i="75"/>
  <c r="AE877" i="75"/>
  <c r="AD877" i="75"/>
  <c r="AC877" i="75"/>
  <c r="AB877" i="75"/>
  <c r="AA877" i="75"/>
  <c r="Z877" i="75"/>
  <c r="Y877" i="75"/>
  <c r="X877" i="75"/>
  <c r="W877" i="75"/>
  <c r="V877" i="75"/>
  <c r="U877" i="75"/>
  <c r="T877" i="75"/>
  <c r="S877" i="75"/>
  <c r="R877" i="75"/>
  <c r="Q877" i="75"/>
  <c r="P877" i="75"/>
  <c r="O877" i="75"/>
  <c r="N877" i="75"/>
  <c r="M877" i="75"/>
  <c r="L877" i="75"/>
  <c r="K877" i="75"/>
  <c r="J877" i="75"/>
  <c r="I877" i="75"/>
  <c r="H877" i="75"/>
  <c r="G877" i="75"/>
  <c r="F877" i="75"/>
  <c r="E877" i="75"/>
  <c r="D877" i="75"/>
  <c r="AI876" i="75"/>
  <c r="AI875" i="75"/>
  <c r="AI874" i="75"/>
  <c r="AI873" i="75"/>
  <c r="AI872" i="75"/>
  <c r="AI871" i="75"/>
  <c r="AI870" i="75"/>
  <c r="AI869" i="75"/>
  <c r="AI868" i="75"/>
  <c r="AI867" i="75"/>
  <c r="AI866" i="75"/>
  <c r="AI865" i="75"/>
  <c r="AI864" i="75"/>
  <c r="AI863" i="75"/>
  <c r="AI862" i="75"/>
  <c r="AI861" i="75"/>
  <c r="AI860" i="75"/>
  <c r="AI859" i="75"/>
  <c r="AI858" i="75"/>
  <c r="AI857" i="75"/>
  <c r="AI856" i="75"/>
  <c r="AI855" i="75"/>
  <c r="AI854" i="75"/>
  <c r="AI853" i="75"/>
  <c r="AI852" i="75"/>
  <c r="AI851" i="75"/>
  <c r="AI850" i="75"/>
  <c r="AI849" i="75"/>
  <c r="AI848" i="75"/>
  <c r="AI847" i="75"/>
  <c r="AI846" i="75"/>
  <c r="AI845" i="75"/>
  <c r="AI844" i="75"/>
  <c r="AI843" i="75"/>
  <c r="AI842" i="75"/>
  <c r="AI841" i="75"/>
  <c r="AI840" i="75"/>
  <c r="AI839" i="75"/>
  <c r="AI838" i="75"/>
  <c r="AI837" i="75"/>
  <c r="AI836" i="75"/>
  <c r="AI835" i="75"/>
  <c r="AI834" i="75"/>
  <c r="AI833" i="75"/>
  <c r="AI832" i="75"/>
  <c r="AI831" i="75"/>
  <c r="AI830" i="75"/>
  <c r="AI829" i="75"/>
  <c r="AI828" i="75"/>
  <c r="AI827" i="75"/>
  <c r="AI826" i="75"/>
  <c r="AI825" i="75"/>
  <c r="AI824" i="75"/>
  <c r="AI823" i="75"/>
  <c r="AI822" i="75"/>
  <c r="AI821" i="75"/>
  <c r="AI820" i="75"/>
  <c r="AI819" i="75"/>
  <c r="AI818" i="75"/>
  <c r="AI817" i="75"/>
  <c r="AI816" i="75"/>
  <c r="AI815" i="75"/>
  <c r="AI814" i="75"/>
  <c r="AI813" i="75"/>
  <c r="AI812" i="75"/>
  <c r="AI811" i="75"/>
  <c r="AI810" i="75"/>
  <c r="D810" i="75"/>
  <c r="AI809" i="75"/>
  <c r="AI808" i="75"/>
  <c r="AI807" i="75"/>
  <c r="AI806" i="75"/>
  <c r="AI805" i="75"/>
  <c r="AI804" i="75"/>
  <c r="AI803" i="75"/>
  <c r="AI802" i="75"/>
  <c r="AI801" i="75"/>
  <c r="AI800" i="75"/>
  <c r="AI799" i="75"/>
  <c r="AI798" i="75"/>
  <c r="AI797" i="75"/>
  <c r="AI796" i="75"/>
  <c r="AI795" i="75"/>
  <c r="AI794" i="75"/>
  <c r="AI793" i="75"/>
  <c r="AI792" i="75"/>
  <c r="AI791" i="75"/>
  <c r="AI790" i="75"/>
  <c r="AI789" i="75"/>
  <c r="AI788" i="75"/>
  <c r="AI787" i="75"/>
  <c r="AI786" i="75"/>
  <c r="AI785" i="75"/>
  <c r="AI784" i="75"/>
  <c r="AI783" i="75"/>
  <c r="D783" i="75"/>
  <c r="AI782" i="75"/>
  <c r="AI781" i="75"/>
  <c r="AI780" i="75"/>
  <c r="AI779" i="75"/>
  <c r="AI778" i="75"/>
  <c r="AI777" i="75"/>
  <c r="AI776" i="75"/>
  <c r="AI775" i="75"/>
  <c r="AI774" i="75"/>
  <c r="AI773" i="75"/>
  <c r="D773" i="75"/>
  <c r="AI772" i="75"/>
  <c r="AI771" i="75"/>
  <c r="AI770" i="75"/>
  <c r="AI769" i="75"/>
  <c r="AI768" i="75"/>
  <c r="AI767" i="75"/>
  <c r="AI766" i="75"/>
  <c r="AI765" i="75"/>
  <c r="AI764" i="75"/>
  <c r="AI763" i="75"/>
  <c r="D763" i="75"/>
  <c r="AH750" i="75"/>
  <c r="AG750" i="75"/>
  <c r="AF750" i="75"/>
  <c r="AE750" i="75"/>
  <c r="AD750" i="75"/>
  <c r="AC750" i="75"/>
  <c r="AB750" i="75"/>
  <c r="AA750" i="75"/>
  <c r="Z750" i="75"/>
  <c r="Y750" i="75"/>
  <c r="X750" i="75"/>
  <c r="W750" i="75"/>
  <c r="V750" i="75"/>
  <c r="U750" i="75"/>
  <c r="T750" i="75"/>
  <c r="S750" i="75"/>
  <c r="R750" i="75"/>
  <c r="Q750" i="75"/>
  <c r="P750" i="75"/>
  <c r="O750" i="75"/>
  <c r="N750" i="75"/>
  <c r="M750" i="75"/>
  <c r="L750" i="75"/>
  <c r="K750" i="75"/>
  <c r="J750" i="75"/>
  <c r="I750" i="75"/>
  <c r="H750" i="75"/>
  <c r="G750" i="75"/>
  <c r="F750" i="75"/>
  <c r="E750" i="75"/>
  <c r="D750" i="75"/>
  <c r="AI749" i="75"/>
  <c r="AI748" i="75"/>
  <c r="AI747" i="75"/>
  <c r="AI746" i="75"/>
  <c r="AI745" i="75"/>
  <c r="AI744" i="75"/>
  <c r="AI743" i="75"/>
  <c r="AI742" i="75"/>
  <c r="AI741" i="75"/>
  <c r="AI740" i="75"/>
  <c r="AI739" i="75"/>
  <c r="AI738" i="75"/>
  <c r="AI737" i="75"/>
  <c r="AI736" i="75"/>
  <c r="AI735" i="75"/>
  <c r="AI734" i="75"/>
  <c r="AI733" i="75"/>
  <c r="AI732" i="75"/>
  <c r="AI731" i="75"/>
  <c r="AI730" i="75"/>
  <c r="AI729" i="75"/>
  <c r="AI728" i="75"/>
  <c r="AI727" i="75"/>
  <c r="AI726" i="75"/>
  <c r="AI725" i="75"/>
  <c r="AI724" i="75"/>
  <c r="AI723" i="75"/>
  <c r="AI722" i="75"/>
  <c r="AI721" i="75"/>
  <c r="AI720" i="75"/>
  <c r="AI719" i="75"/>
  <c r="AI718" i="75"/>
  <c r="AI717" i="75"/>
  <c r="AI716" i="75"/>
  <c r="AI715" i="75"/>
  <c r="AI714" i="75"/>
  <c r="AI713" i="75"/>
  <c r="AI712" i="75"/>
  <c r="AI711" i="75"/>
  <c r="AI710" i="75"/>
  <c r="AI709" i="75"/>
  <c r="AI708" i="75"/>
  <c r="AI707" i="75"/>
  <c r="AI706" i="75"/>
  <c r="AI705" i="75"/>
  <c r="AI704" i="75"/>
  <c r="AI703" i="75"/>
  <c r="AI702" i="75"/>
  <c r="AI701" i="75"/>
  <c r="AI700" i="75"/>
  <c r="AI699" i="75"/>
  <c r="AI698" i="75"/>
  <c r="AI697" i="75"/>
  <c r="AI696" i="75"/>
  <c r="AI695" i="75"/>
  <c r="AI694" i="75"/>
  <c r="AI693" i="75"/>
  <c r="AI692" i="75"/>
  <c r="AI691" i="75"/>
  <c r="AI690" i="75"/>
  <c r="AI689" i="75"/>
  <c r="AI688" i="75"/>
  <c r="AI687" i="75"/>
  <c r="AI686" i="75"/>
  <c r="AI685" i="75"/>
  <c r="AI684" i="75"/>
  <c r="AI683" i="75"/>
  <c r="AI682" i="75"/>
  <c r="AI681" i="75"/>
  <c r="AI680" i="75"/>
  <c r="AI679" i="75"/>
  <c r="AI678" i="75"/>
  <c r="AI677" i="75"/>
  <c r="AI676" i="75"/>
  <c r="AI675" i="75"/>
  <c r="AI674" i="75"/>
  <c r="AI673" i="75"/>
  <c r="AI672" i="75"/>
  <c r="AI671" i="75"/>
  <c r="AI670" i="75"/>
  <c r="AI669" i="75"/>
  <c r="AI668" i="75"/>
  <c r="AI667" i="75"/>
  <c r="AI666" i="75"/>
  <c r="AI665" i="75"/>
  <c r="AI664" i="75"/>
  <c r="AI663" i="75"/>
  <c r="AI662" i="75"/>
  <c r="AI661" i="75"/>
  <c r="AI660" i="75"/>
  <c r="AI659" i="75"/>
  <c r="AI658" i="75"/>
  <c r="AI657" i="75"/>
  <c r="AI656" i="75"/>
  <c r="AI655" i="75"/>
  <c r="AI654" i="75"/>
  <c r="AI653" i="75"/>
  <c r="AI652" i="75"/>
  <c r="AI651" i="75"/>
  <c r="AI650" i="75"/>
  <c r="AI649" i="75"/>
  <c r="AI648" i="75"/>
  <c r="AI647" i="75"/>
  <c r="AI646" i="75"/>
  <c r="AI645" i="75"/>
  <c r="AI644" i="75"/>
  <c r="AI643" i="75"/>
  <c r="AI642" i="75"/>
  <c r="AI641" i="75"/>
  <c r="AI640" i="75"/>
  <c r="AI639" i="75"/>
  <c r="AI638" i="75"/>
  <c r="AI637" i="75"/>
  <c r="AH624" i="75"/>
  <c r="AG624" i="75"/>
  <c r="AF624" i="75"/>
  <c r="AE624" i="75"/>
  <c r="AD624" i="75"/>
  <c r="AC624" i="75"/>
  <c r="AB624" i="75"/>
  <c r="AA624" i="75"/>
  <c r="Z624" i="75"/>
  <c r="Y624" i="75"/>
  <c r="X624" i="75"/>
  <c r="W624" i="75"/>
  <c r="V624" i="75"/>
  <c r="U624" i="75"/>
  <c r="T624" i="75"/>
  <c r="S624" i="75"/>
  <c r="R624" i="75"/>
  <c r="Q624" i="75"/>
  <c r="P624" i="75"/>
  <c r="O624" i="75"/>
  <c r="N624" i="75"/>
  <c r="M624" i="75"/>
  <c r="L624" i="75"/>
  <c r="K624" i="75"/>
  <c r="J624" i="75"/>
  <c r="I624" i="75"/>
  <c r="H624" i="75"/>
  <c r="G624" i="75"/>
  <c r="F624" i="75"/>
  <c r="E624" i="75"/>
  <c r="D624" i="75"/>
  <c r="AI623" i="75"/>
  <c r="AI622" i="75"/>
  <c r="AI621" i="75"/>
  <c r="AI620" i="75"/>
  <c r="AI619" i="75"/>
  <c r="AI618" i="75"/>
  <c r="AI617" i="75"/>
  <c r="AI616" i="75"/>
  <c r="AI615" i="75"/>
  <c r="AI614" i="75"/>
  <c r="AI613" i="75"/>
  <c r="AI612" i="75"/>
  <c r="AI611" i="75"/>
  <c r="AI610" i="75"/>
  <c r="AI609" i="75"/>
  <c r="AI608" i="75"/>
  <c r="AI607" i="75"/>
  <c r="AI606" i="75"/>
  <c r="AI605" i="75"/>
  <c r="AI604" i="75"/>
  <c r="AI603" i="75"/>
  <c r="AI602" i="75"/>
  <c r="AI601" i="75"/>
  <c r="AI600" i="75"/>
  <c r="AI599" i="75"/>
  <c r="AI598" i="75"/>
  <c r="AI597" i="75"/>
  <c r="AI596" i="75"/>
  <c r="AI595" i="75"/>
  <c r="AI594" i="75"/>
  <c r="AI593" i="75"/>
  <c r="AI592" i="75"/>
  <c r="AI591" i="75"/>
  <c r="AI590" i="75"/>
  <c r="AI589" i="75"/>
  <c r="AI588" i="75"/>
  <c r="AI587" i="75"/>
  <c r="AI586" i="75"/>
  <c r="AI585" i="75"/>
  <c r="AI584" i="75"/>
  <c r="AI583" i="75"/>
  <c r="AI582" i="75"/>
  <c r="AI581" i="75"/>
  <c r="AI580" i="75"/>
  <c r="AI579" i="75"/>
  <c r="AI578" i="75"/>
  <c r="AI577" i="75"/>
  <c r="AI576" i="75"/>
  <c r="AI575" i="75"/>
  <c r="AI574" i="75"/>
  <c r="AI573" i="75"/>
  <c r="AI572" i="75"/>
  <c r="AI571" i="75"/>
  <c r="AI570" i="75"/>
  <c r="AI569" i="75"/>
  <c r="AI568" i="75"/>
  <c r="AI567" i="75"/>
  <c r="AI566" i="75"/>
  <c r="AI565" i="75"/>
  <c r="AI564" i="75"/>
  <c r="AI563" i="75"/>
  <c r="AI562" i="75"/>
  <c r="AI561" i="75"/>
  <c r="AI560" i="75"/>
  <c r="AI559" i="75"/>
  <c r="AI558" i="75"/>
  <c r="AI557" i="75"/>
  <c r="AI556" i="75"/>
  <c r="AI555" i="75"/>
  <c r="AI554" i="75"/>
  <c r="AI553" i="75"/>
  <c r="AI552" i="75"/>
  <c r="AI551" i="75"/>
  <c r="AI550" i="75"/>
  <c r="AI549" i="75"/>
  <c r="AI548" i="75"/>
  <c r="AI547" i="75"/>
  <c r="AI546" i="75"/>
  <c r="AI545" i="75"/>
  <c r="AI544" i="75"/>
  <c r="AI543" i="75"/>
  <c r="AI542" i="75"/>
  <c r="AI541" i="75"/>
  <c r="AI540" i="75"/>
  <c r="AI539" i="75"/>
  <c r="AI538" i="75"/>
  <c r="AI537" i="75"/>
  <c r="AI536" i="75"/>
  <c r="AI535" i="75"/>
  <c r="AI534" i="75"/>
  <c r="AI533" i="75"/>
  <c r="AI532" i="75"/>
  <c r="AI531" i="75"/>
  <c r="AI530" i="75"/>
  <c r="AI529" i="75"/>
  <c r="AI528" i="75"/>
  <c r="AI527" i="75"/>
  <c r="AI526" i="75"/>
  <c r="AI525" i="75"/>
  <c r="AI524" i="75"/>
  <c r="AI523" i="75"/>
  <c r="AI522" i="75"/>
  <c r="AI521" i="75"/>
  <c r="AI520" i="75"/>
  <c r="AI519" i="75"/>
  <c r="AI518" i="75"/>
  <c r="AI517" i="75"/>
  <c r="AI516" i="75"/>
  <c r="AI515" i="75"/>
  <c r="AI514" i="75"/>
  <c r="AI513" i="75"/>
  <c r="AI512" i="75"/>
  <c r="AH499" i="75"/>
  <c r="AG499" i="75"/>
  <c r="AF499" i="75"/>
  <c r="AE499" i="75"/>
  <c r="AD499" i="75"/>
  <c r="AC499" i="75"/>
  <c r="AB499" i="75"/>
  <c r="AA499" i="75"/>
  <c r="Z499" i="75"/>
  <c r="Y499" i="75"/>
  <c r="X499" i="75"/>
  <c r="W499" i="75"/>
  <c r="V499" i="75"/>
  <c r="U499" i="75"/>
  <c r="T499" i="75"/>
  <c r="S499" i="75"/>
  <c r="R499" i="75"/>
  <c r="Q499" i="75"/>
  <c r="P499" i="75"/>
  <c r="O499" i="75"/>
  <c r="N499" i="75"/>
  <c r="M499" i="75"/>
  <c r="L499" i="75"/>
  <c r="K499" i="75"/>
  <c r="J499" i="75"/>
  <c r="I499" i="75"/>
  <c r="H499" i="75"/>
  <c r="G499" i="75"/>
  <c r="F499" i="75"/>
  <c r="E499" i="75"/>
  <c r="D499" i="75"/>
  <c r="AI498" i="75"/>
  <c r="AI497" i="75"/>
  <c r="AI496" i="75"/>
  <c r="AI495" i="75"/>
  <c r="AI494" i="75"/>
  <c r="AI493" i="75"/>
  <c r="AI492" i="75"/>
  <c r="AI491" i="75"/>
  <c r="AI490" i="75"/>
  <c r="AI489" i="75"/>
  <c r="AI488" i="75"/>
  <c r="AI487" i="75"/>
  <c r="AI486" i="75"/>
  <c r="AI485" i="75"/>
  <c r="AI484" i="75"/>
  <c r="AI483" i="75"/>
  <c r="AI482" i="75"/>
  <c r="AI481" i="75"/>
  <c r="AI480" i="75"/>
  <c r="AI479" i="75"/>
  <c r="AI478" i="75"/>
  <c r="AI477" i="75"/>
  <c r="AI476" i="75"/>
  <c r="AI475" i="75"/>
  <c r="AI474" i="75"/>
  <c r="AI473" i="75"/>
  <c r="AI472" i="75"/>
  <c r="AI471" i="75"/>
  <c r="AI470" i="75"/>
  <c r="AI469" i="75"/>
  <c r="AI468" i="75"/>
  <c r="AI467" i="75"/>
  <c r="AI466" i="75"/>
  <c r="AI465" i="75"/>
  <c r="AI464" i="75"/>
  <c r="AI463" i="75"/>
  <c r="AI462" i="75"/>
  <c r="AI461" i="75"/>
  <c r="AI460" i="75"/>
  <c r="AI459" i="75"/>
  <c r="AI458" i="75"/>
  <c r="AI457" i="75"/>
  <c r="AI456" i="75"/>
  <c r="AI455" i="75"/>
  <c r="AI454" i="75"/>
  <c r="AI453" i="75"/>
  <c r="AI452" i="75"/>
  <c r="AI451" i="75"/>
  <c r="AI450" i="75"/>
  <c r="AI449" i="75"/>
  <c r="AI448" i="75"/>
  <c r="AI447" i="75"/>
  <c r="AI446" i="75"/>
  <c r="AI445" i="75"/>
  <c r="AI444" i="75"/>
  <c r="AI443" i="75"/>
  <c r="AI442" i="75"/>
  <c r="AI441" i="75"/>
  <c r="AI440" i="75"/>
  <c r="AI439" i="75"/>
  <c r="AI438" i="75"/>
  <c r="AI437" i="75"/>
  <c r="AI436" i="75"/>
  <c r="AI435" i="75"/>
  <c r="AI434" i="75"/>
  <c r="AI433" i="75"/>
  <c r="AI432" i="75"/>
  <c r="AI431" i="75"/>
  <c r="AI430" i="75"/>
  <c r="AI429" i="75"/>
  <c r="AI428" i="75"/>
  <c r="AI427" i="75"/>
  <c r="AI426" i="75"/>
  <c r="AI425" i="75"/>
  <c r="AI424" i="75"/>
  <c r="AI423" i="75"/>
  <c r="AI422" i="75"/>
  <c r="AI421" i="75"/>
  <c r="AI420" i="75"/>
  <c r="AI419" i="75"/>
  <c r="AI418" i="75"/>
  <c r="AI417" i="75"/>
  <c r="AI416" i="75"/>
  <c r="AI415" i="75"/>
  <c r="AI414" i="75"/>
  <c r="AI413" i="75"/>
  <c r="AI412" i="75"/>
  <c r="AI411" i="75"/>
  <c r="AI410" i="75"/>
  <c r="AI409" i="75"/>
  <c r="AI408" i="75"/>
  <c r="AI407" i="75"/>
  <c r="AI406" i="75"/>
  <c r="AI405" i="75"/>
  <c r="AI404" i="75"/>
  <c r="AI403" i="75"/>
  <c r="AI402" i="75"/>
  <c r="AI401" i="75"/>
  <c r="AI400" i="75"/>
  <c r="AI399" i="75"/>
  <c r="AI398" i="75"/>
  <c r="AI397" i="75"/>
  <c r="AI396" i="75"/>
  <c r="AI395" i="75"/>
  <c r="AI394" i="75"/>
  <c r="AI393" i="75"/>
  <c r="AI392" i="75"/>
  <c r="AI391" i="75"/>
  <c r="AI390" i="75"/>
  <c r="AI389" i="75"/>
  <c r="AI388" i="75"/>
  <c r="AI387" i="75"/>
  <c r="AH374" i="75"/>
  <c r="AG374" i="75"/>
  <c r="AF374" i="75"/>
  <c r="AE374" i="75"/>
  <c r="AD374" i="75"/>
  <c r="AC374" i="75"/>
  <c r="AB374" i="75"/>
  <c r="AA374" i="75"/>
  <c r="Z374" i="75"/>
  <c r="Y374" i="75"/>
  <c r="X374" i="75"/>
  <c r="W374" i="75"/>
  <c r="V374" i="75"/>
  <c r="U374" i="75"/>
  <c r="T374" i="75"/>
  <c r="S374" i="75"/>
  <c r="R374" i="75"/>
  <c r="Q374" i="75"/>
  <c r="P374" i="75"/>
  <c r="O374" i="75"/>
  <c r="N374" i="75"/>
  <c r="M374" i="75"/>
  <c r="L374" i="75"/>
  <c r="K374" i="75"/>
  <c r="J374" i="75"/>
  <c r="I374" i="75"/>
  <c r="H374" i="75"/>
  <c r="G374" i="75"/>
  <c r="F374" i="75"/>
  <c r="E374" i="75"/>
  <c r="D374" i="75"/>
  <c r="AI373" i="75"/>
  <c r="AI372" i="75"/>
  <c r="AI371" i="75"/>
  <c r="AI370" i="75"/>
  <c r="AI369" i="75"/>
  <c r="AI368" i="75"/>
  <c r="AI367" i="75"/>
  <c r="AI366" i="75"/>
  <c r="AI365" i="75"/>
  <c r="AI364" i="75"/>
  <c r="AI363" i="75"/>
  <c r="AI362" i="75"/>
  <c r="AI361" i="75"/>
  <c r="D361" i="75"/>
  <c r="AI360" i="75"/>
  <c r="AI359" i="75"/>
  <c r="AI358" i="75"/>
  <c r="AI357" i="75"/>
  <c r="AI356" i="75"/>
  <c r="AI355" i="75"/>
  <c r="AI354" i="75"/>
  <c r="AI353" i="75"/>
  <c r="AI352" i="75"/>
  <c r="AI351" i="75"/>
  <c r="AI350" i="75"/>
  <c r="AI349" i="75"/>
  <c r="AI348" i="75"/>
  <c r="AI347" i="75"/>
  <c r="AI346" i="75"/>
  <c r="AI345" i="75"/>
  <c r="AI344" i="75"/>
  <c r="AI343" i="75"/>
  <c r="AI342" i="75"/>
  <c r="AI341" i="75"/>
  <c r="AI340" i="75"/>
  <c r="AI339" i="75"/>
  <c r="AI338" i="75"/>
  <c r="AI337" i="75"/>
  <c r="AI336" i="75"/>
  <c r="AI335" i="75"/>
  <c r="AI334" i="75"/>
  <c r="AI333" i="75"/>
  <c r="AI332" i="75"/>
  <c r="AI331" i="75"/>
  <c r="AI330" i="75"/>
  <c r="AI329" i="75"/>
  <c r="AI328" i="75"/>
  <c r="AI327" i="75"/>
  <c r="AI326" i="75"/>
  <c r="AI325" i="75"/>
  <c r="AI324" i="75"/>
  <c r="AI323" i="75"/>
  <c r="AI322" i="75"/>
  <c r="AI321" i="75"/>
  <c r="AI320" i="75"/>
  <c r="AI319" i="75"/>
  <c r="AI318" i="75"/>
  <c r="AI317" i="75"/>
  <c r="AI316" i="75"/>
  <c r="AI315" i="75"/>
  <c r="AI314" i="75"/>
  <c r="AI313" i="75"/>
  <c r="AI312" i="75"/>
  <c r="AI311" i="75"/>
  <c r="AI310" i="75"/>
  <c r="AI309" i="75"/>
  <c r="AI308" i="75"/>
  <c r="AI307" i="75"/>
  <c r="AI306" i="75"/>
  <c r="AI305" i="75"/>
  <c r="AI304" i="75"/>
  <c r="AI303" i="75"/>
  <c r="AI302" i="75"/>
  <c r="AI301" i="75"/>
  <c r="AI300" i="75"/>
  <c r="AI299" i="75"/>
  <c r="AI298" i="75"/>
  <c r="AI297" i="75"/>
  <c r="AI296" i="75"/>
  <c r="AI295" i="75"/>
  <c r="AI294" i="75"/>
  <c r="AI293" i="75"/>
  <c r="AI292" i="75"/>
  <c r="AI291" i="75"/>
  <c r="AI290" i="75"/>
  <c r="AI289" i="75"/>
  <c r="AI288" i="75"/>
  <c r="AI287" i="75"/>
  <c r="AI286" i="75"/>
  <c r="AI285" i="75"/>
  <c r="AI284" i="75"/>
  <c r="AI283" i="75"/>
  <c r="AI282" i="75"/>
  <c r="AI281" i="75"/>
  <c r="AI280" i="75"/>
  <c r="AI279" i="75"/>
  <c r="AI278" i="75"/>
  <c r="AI277" i="75"/>
  <c r="AI276" i="75"/>
  <c r="AI275" i="75"/>
  <c r="AI274" i="75"/>
  <c r="AI273" i="75"/>
  <c r="AI272" i="75"/>
  <c r="AI271" i="75"/>
  <c r="AI270" i="75"/>
  <c r="AI269" i="75"/>
  <c r="AI268" i="75"/>
  <c r="S268" i="75"/>
  <c r="D268" i="75"/>
  <c r="AI267" i="75"/>
  <c r="AI266" i="75"/>
  <c r="AI265" i="75"/>
  <c r="AI264" i="75"/>
  <c r="AI263" i="75"/>
  <c r="AI262" i="75"/>
  <c r="AI261" i="75"/>
  <c r="D248" i="75"/>
  <c r="AI247" i="75"/>
  <c r="AI246" i="75"/>
  <c r="AE246" i="75"/>
  <c r="S246" i="75"/>
  <c r="Q246" i="75"/>
  <c r="P246" i="75"/>
  <c r="O246" i="75"/>
  <c r="M246" i="75"/>
  <c r="H246" i="75"/>
  <c r="F246" i="75"/>
  <c r="E246" i="75"/>
  <c r="AI245" i="75"/>
  <c r="AI244" i="75"/>
  <c r="AI243" i="75"/>
  <c r="AI242" i="75"/>
  <c r="AI241" i="75"/>
  <c r="AI240" i="75"/>
  <c r="AI239" i="75"/>
  <c r="AI238" i="75"/>
  <c r="AI237" i="75"/>
  <c r="AI236" i="75"/>
  <c r="AI235" i="75"/>
  <c r="AI234" i="75"/>
  <c r="AI233" i="75"/>
  <c r="AI232" i="75"/>
  <c r="AI231" i="75"/>
  <c r="AI230" i="75"/>
  <c r="AI229" i="75"/>
  <c r="AI228" i="75"/>
  <c r="AI227" i="75"/>
  <c r="AI226" i="75"/>
  <c r="AI225" i="75"/>
  <c r="AI224" i="75"/>
  <c r="AI223" i="75"/>
  <c r="AI222" i="75"/>
  <c r="AI221" i="75"/>
  <c r="AI220" i="75"/>
  <c r="AI219" i="75"/>
  <c r="AI218" i="75"/>
  <c r="AI217" i="75"/>
  <c r="AI216" i="75"/>
  <c r="AI215" i="75"/>
  <c r="AI214" i="75"/>
  <c r="AI213" i="75"/>
  <c r="AI212" i="75"/>
  <c r="AI211" i="75"/>
  <c r="AI210" i="75"/>
  <c r="AI209" i="75"/>
  <c r="AI208" i="75"/>
  <c r="AI207" i="75"/>
  <c r="AI206" i="75"/>
  <c r="AI205" i="75"/>
  <c r="AI204" i="75"/>
  <c r="AI203" i="75"/>
  <c r="AI202" i="75"/>
  <c r="AI201" i="75"/>
  <c r="AI200" i="75"/>
  <c r="AI199" i="75"/>
  <c r="AI198" i="75"/>
  <c r="AI197" i="75"/>
  <c r="AI196" i="75"/>
  <c r="AI195" i="75"/>
  <c r="AI194" i="75"/>
  <c r="AI193" i="75"/>
  <c r="AI192" i="75"/>
  <c r="AI191" i="75"/>
  <c r="AI190" i="75"/>
  <c r="AI189" i="75"/>
  <c r="AI188" i="75"/>
  <c r="AI187" i="75"/>
  <c r="AI186" i="75"/>
  <c r="AI185" i="75"/>
  <c r="AI184" i="75"/>
  <c r="AI183" i="75"/>
  <c r="AI182" i="75"/>
  <c r="AI181" i="75"/>
  <c r="AI180" i="75"/>
  <c r="AI179" i="75"/>
  <c r="AI178" i="75"/>
  <c r="AI177" i="75"/>
  <c r="AI176" i="75"/>
  <c r="AI175" i="75"/>
  <c r="AI174" i="75"/>
  <c r="AI173" i="75"/>
  <c r="AI172" i="75"/>
  <c r="AI171" i="75"/>
  <c r="AI170" i="75"/>
  <c r="AI169" i="75"/>
  <c r="AI168" i="75"/>
  <c r="AI167" i="75"/>
  <c r="AI166" i="75"/>
  <c r="AI165" i="75"/>
  <c r="AI164" i="75"/>
  <c r="AI163" i="75"/>
  <c r="AI162" i="75"/>
  <c r="AI161" i="75"/>
  <c r="AI160" i="75"/>
  <c r="AI159" i="75"/>
  <c r="AI158" i="75"/>
  <c r="AI157" i="75"/>
  <c r="AI156" i="75"/>
  <c r="AI155" i="75"/>
  <c r="AI154" i="75"/>
  <c r="AI153" i="75"/>
  <c r="AI152" i="75"/>
  <c r="AI151" i="75"/>
  <c r="AI150" i="75"/>
  <c r="AI149" i="75"/>
  <c r="AI148" i="75"/>
  <c r="AI147" i="75"/>
  <c r="AI146" i="75"/>
  <c r="AI145" i="75"/>
  <c r="AI144" i="75"/>
  <c r="AI143" i="75"/>
  <c r="AI142" i="75"/>
  <c r="AI141" i="75"/>
  <c r="AI140" i="75"/>
  <c r="AI139" i="75"/>
  <c r="AI138" i="75"/>
  <c r="AI137" i="75"/>
  <c r="AI136" i="75"/>
  <c r="AI135" i="75"/>
  <c r="AI123" i="75"/>
  <c r="AH123" i="75"/>
  <c r="AG123" i="75"/>
  <c r="AF123" i="75"/>
  <c r="AE123" i="75"/>
  <c r="AD123" i="75"/>
  <c r="AC123" i="75"/>
  <c r="AB123" i="75"/>
  <c r="AA123" i="75"/>
  <c r="Z123" i="75"/>
  <c r="Y123" i="75"/>
  <c r="X123" i="75"/>
  <c r="W123" i="75"/>
  <c r="V123" i="75"/>
  <c r="U123" i="75"/>
  <c r="T123" i="75"/>
  <c r="S123" i="75"/>
  <c r="R123" i="75"/>
  <c r="Q123" i="75"/>
  <c r="P123" i="75"/>
  <c r="O123" i="75"/>
  <c r="N123" i="75"/>
  <c r="M123" i="75"/>
  <c r="L123" i="75"/>
  <c r="K123" i="75"/>
  <c r="J123" i="75"/>
  <c r="I123" i="75"/>
  <c r="H123" i="75"/>
  <c r="G123" i="75"/>
  <c r="F123" i="75"/>
  <c r="E123" i="75"/>
  <c r="D123" i="75"/>
  <c r="AI122" i="75"/>
  <c r="AI121" i="75"/>
  <c r="AE121" i="75"/>
  <c r="Q121" i="75"/>
  <c r="P121" i="75"/>
  <c r="O121" i="75"/>
  <c r="M121" i="75"/>
  <c r="H121" i="75"/>
  <c r="F121" i="75"/>
  <c r="E121" i="75"/>
  <c r="AI120" i="75"/>
  <c r="AI119" i="75"/>
  <c r="AI118" i="75"/>
  <c r="AI117" i="75"/>
  <c r="AI116" i="75"/>
  <c r="AI115" i="75"/>
  <c r="AI114" i="75"/>
  <c r="AI113" i="75"/>
  <c r="AI112" i="75"/>
  <c r="AI111" i="75"/>
  <c r="AI110" i="75"/>
  <c r="AI109" i="75"/>
  <c r="AI108" i="75"/>
  <c r="AI107" i="75"/>
  <c r="AI106" i="75"/>
  <c r="AI105" i="75"/>
  <c r="AI104" i="75"/>
  <c r="AI103" i="75"/>
  <c r="AI102" i="75"/>
  <c r="AI101" i="75"/>
  <c r="AI100" i="75"/>
  <c r="AI99" i="75"/>
  <c r="AI98" i="75"/>
  <c r="AI97" i="75"/>
  <c r="AI96" i="75"/>
  <c r="AI95" i="75"/>
  <c r="AI94" i="75"/>
  <c r="AI93" i="75"/>
  <c r="AI92" i="75"/>
  <c r="AI91" i="75"/>
  <c r="AI90" i="75"/>
  <c r="AI89" i="75"/>
  <c r="AI88" i="75"/>
  <c r="AI87" i="75"/>
  <c r="AI86" i="75"/>
  <c r="AI85" i="75"/>
  <c r="AI84" i="75"/>
  <c r="AI83" i="75"/>
  <c r="AI82" i="75"/>
  <c r="AI81" i="75"/>
  <c r="AI80" i="75"/>
  <c r="AI79" i="75"/>
  <c r="AI78" i="75"/>
  <c r="AI77" i="75"/>
  <c r="AI76" i="75"/>
  <c r="AI75" i="75"/>
  <c r="AI74" i="75"/>
  <c r="AI73" i="75"/>
  <c r="AI72" i="75"/>
  <c r="AI71" i="75"/>
  <c r="AI70" i="75"/>
  <c r="AI69" i="75"/>
  <c r="AI68" i="75"/>
  <c r="AI67" i="75"/>
  <c r="AI66" i="75"/>
  <c r="AI65" i="75"/>
  <c r="AI64" i="75"/>
  <c r="AI63" i="75"/>
  <c r="AI62" i="75"/>
  <c r="AI61" i="75"/>
  <c r="AI60" i="75"/>
  <c r="AI59" i="75"/>
  <c r="AI58" i="75"/>
  <c r="AI57" i="75"/>
  <c r="AI56" i="75"/>
  <c r="AI55" i="75"/>
  <c r="AI54" i="75"/>
  <c r="AI53" i="75"/>
  <c r="AI52" i="75"/>
  <c r="AI51" i="75"/>
  <c r="AI50" i="75"/>
  <c r="AI49" i="75"/>
  <c r="AI48" i="75"/>
  <c r="AI47" i="75"/>
  <c r="AI46" i="75"/>
  <c r="AI45" i="75"/>
  <c r="AI44" i="75"/>
  <c r="AI43" i="75"/>
  <c r="AI42" i="75"/>
  <c r="AI41" i="75"/>
  <c r="AI40" i="75"/>
  <c r="AI39" i="75"/>
  <c r="AI38" i="75"/>
  <c r="AI37" i="75"/>
  <c r="AI36" i="75"/>
  <c r="AI35" i="75"/>
  <c r="AI34" i="75"/>
  <c r="AI33" i="75"/>
  <c r="AI32" i="75"/>
  <c r="AI31" i="75"/>
  <c r="AI30" i="75"/>
  <c r="AI29" i="75"/>
  <c r="AI28" i="75"/>
  <c r="AI27" i="75"/>
  <c r="AI26" i="75"/>
  <c r="AI25" i="75"/>
  <c r="AI24" i="75"/>
  <c r="AI23" i="75"/>
  <c r="AI22" i="75"/>
  <c r="AI21" i="75"/>
  <c r="AI20" i="75"/>
  <c r="AI19" i="75"/>
  <c r="AI18" i="75"/>
  <c r="AI17" i="75"/>
  <c r="AI16" i="75"/>
  <c r="AI15" i="75"/>
  <c r="AI14" i="75"/>
  <c r="AI13" i="75"/>
  <c r="AI12" i="75"/>
  <c r="AI11" i="75"/>
  <c r="AI10" i="75"/>
  <c r="O137" i="81"/>
  <c r="N137" i="81"/>
  <c r="M137" i="81"/>
  <c r="L137" i="81"/>
  <c r="K137" i="81"/>
  <c r="J137" i="81"/>
  <c r="H137" i="81"/>
  <c r="G137" i="81"/>
  <c r="F137" i="81"/>
  <c r="E137" i="81"/>
  <c r="D137" i="81"/>
  <c r="O134" i="81"/>
  <c r="N134" i="81"/>
  <c r="M134" i="81"/>
  <c r="L134" i="81"/>
  <c r="K134" i="81"/>
  <c r="J134" i="81"/>
  <c r="H134" i="81"/>
  <c r="G134" i="81"/>
  <c r="F134" i="81"/>
  <c r="E134" i="81"/>
  <c r="D134" i="81"/>
  <c r="P132" i="81"/>
  <c r="O132" i="81"/>
  <c r="N132" i="81"/>
  <c r="M132" i="81"/>
  <c r="L132" i="81"/>
  <c r="K132" i="81"/>
  <c r="J132" i="81"/>
  <c r="I132" i="81"/>
  <c r="H132" i="81"/>
  <c r="G132" i="81"/>
  <c r="F132" i="81"/>
  <c r="E132" i="81"/>
  <c r="D132" i="81"/>
  <c r="P131" i="81"/>
  <c r="M131" i="81"/>
  <c r="L131" i="81"/>
  <c r="K131" i="81"/>
  <c r="J131" i="81"/>
  <c r="I131" i="81"/>
  <c r="H131" i="81"/>
  <c r="G131" i="81"/>
  <c r="F131" i="81"/>
  <c r="E131" i="81"/>
  <c r="D131" i="81"/>
  <c r="P130" i="81"/>
  <c r="M130" i="81"/>
  <c r="L130" i="81"/>
  <c r="K130" i="81"/>
  <c r="J130" i="81"/>
  <c r="I130" i="81"/>
  <c r="H130" i="81"/>
  <c r="G130" i="81"/>
  <c r="F130" i="81"/>
  <c r="E130" i="81"/>
  <c r="D130" i="81"/>
  <c r="P129" i="81"/>
  <c r="M129" i="81"/>
  <c r="L129" i="81"/>
  <c r="K129" i="81"/>
  <c r="J129" i="81"/>
  <c r="I129" i="81"/>
  <c r="H129" i="81"/>
  <c r="G129" i="81"/>
  <c r="F129" i="81"/>
  <c r="E129" i="81"/>
  <c r="D129" i="81"/>
  <c r="P128" i="81"/>
  <c r="M128" i="81"/>
  <c r="L128" i="81"/>
  <c r="K128" i="81"/>
  <c r="J128" i="81"/>
  <c r="I128" i="81"/>
  <c r="H128" i="81"/>
  <c r="G128" i="81"/>
  <c r="F128" i="81"/>
  <c r="E128" i="81"/>
  <c r="D128" i="81"/>
  <c r="P127" i="81"/>
  <c r="M127" i="81"/>
  <c r="L127" i="81"/>
  <c r="K127" i="81"/>
  <c r="J127" i="81"/>
  <c r="I127" i="81"/>
  <c r="H127" i="81"/>
  <c r="G127" i="81"/>
  <c r="F127" i="81"/>
  <c r="E127" i="81"/>
  <c r="D127" i="81"/>
  <c r="P126" i="81"/>
  <c r="M126" i="81"/>
  <c r="L126" i="81"/>
  <c r="K126" i="81"/>
  <c r="J126" i="81"/>
  <c r="I126" i="81"/>
  <c r="H126" i="81"/>
  <c r="G126" i="81"/>
  <c r="F126" i="81"/>
  <c r="E126" i="81"/>
  <c r="D126" i="81"/>
  <c r="P125" i="81"/>
  <c r="M125" i="81"/>
  <c r="L125" i="81"/>
  <c r="K125" i="81"/>
  <c r="J125" i="81"/>
  <c r="I125" i="81"/>
  <c r="H125" i="81"/>
  <c r="G125" i="81"/>
  <c r="F125" i="81"/>
  <c r="E125" i="81"/>
  <c r="D125" i="81"/>
  <c r="P124" i="81"/>
  <c r="M124" i="81"/>
  <c r="L124" i="81"/>
  <c r="K124" i="81"/>
  <c r="J124" i="81"/>
  <c r="I124" i="81"/>
  <c r="H124" i="81"/>
  <c r="G124" i="81"/>
  <c r="F124" i="81"/>
  <c r="E124" i="81"/>
  <c r="D124" i="81"/>
  <c r="P123" i="81"/>
  <c r="M123" i="81"/>
  <c r="L123" i="81"/>
  <c r="K123" i="81"/>
  <c r="J123" i="81"/>
  <c r="I123" i="81"/>
  <c r="H123" i="81"/>
  <c r="G123" i="81"/>
  <c r="F123" i="81"/>
  <c r="E123" i="81"/>
  <c r="D123" i="81"/>
  <c r="P122" i="81"/>
  <c r="M122" i="81"/>
  <c r="L122" i="81"/>
  <c r="K122" i="81"/>
  <c r="J122" i="81"/>
  <c r="I122" i="81"/>
  <c r="H122" i="81"/>
  <c r="G122" i="81"/>
  <c r="F122" i="81"/>
  <c r="E122" i="81"/>
  <c r="D122" i="81"/>
  <c r="P121" i="81"/>
  <c r="M121" i="81"/>
  <c r="L121" i="81"/>
  <c r="K121" i="81"/>
  <c r="J121" i="81"/>
  <c r="I121" i="81"/>
  <c r="H121" i="81"/>
  <c r="G121" i="81"/>
  <c r="F121" i="81"/>
  <c r="E121" i="81"/>
  <c r="D121" i="81"/>
  <c r="P120" i="81"/>
  <c r="M120" i="81"/>
  <c r="L120" i="81"/>
  <c r="K120" i="81"/>
  <c r="J120" i="81"/>
  <c r="I120" i="81"/>
  <c r="H120" i="81"/>
  <c r="G120" i="81"/>
  <c r="F120" i="81"/>
  <c r="E120" i="81"/>
  <c r="D120" i="81"/>
  <c r="P119" i="81"/>
  <c r="M119" i="81"/>
  <c r="L119" i="81"/>
  <c r="K119" i="81"/>
  <c r="J119" i="81"/>
  <c r="I119" i="81"/>
  <c r="H119" i="81"/>
  <c r="G119" i="81"/>
  <c r="F119" i="81"/>
  <c r="E119" i="81"/>
  <c r="D119" i="81"/>
  <c r="P118" i="81"/>
  <c r="M118" i="81"/>
  <c r="L118" i="81"/>
  <c r="K118" i="81"/>
  <c r="J118" i="81"/>
  <c r="I118" i="81"/>
  <c r="H118" i="81"/>
  <c r="G118" i="81"/>
  <c r="F118" i="81"/>
  <c r="E118" i="81"/>
  <c r="D118" i="81"/>
  <c r="P117" i="81"/>
  <c r="M117" i="81"/>
  <c r="L117" i="81"/>
  <c r="K117" i="81"/>
  <c r="J117" i="81"/>
  <c r="I117" i="81"/>
  <c r="H117" i="81"/>
  <c r="G117" i="81"/>
  <c r="F117" i="81"/>
  <c r="E117" i="81"/>
  <c r="D117" i="81"/>
  <c r="P116" i="81"/>
  <c r="M116" i="81"/>
  <c r="L116" i="81"/>
  <c r="K116" i="81"/>
  <c r="J116" i="81"/>
  <c r="I116" i="81"/>
  <c r="H116" i="81"/>
  <c r="G116" i="81"/>
  <c r="F116" i="81"/>
  <c r="E116" i="81"/>
  <c r="D116" i="81"/>
  <c r="P115" i="81"/>
  <c r="M115" i="81"/>
  <c r="L115" i="81"/>
  <c r="K115" i="81"/>
  <c r="J115" i="81"/>
  <c r="I115" i="81"/>
  <c r="H115" i="81"/>
  <c r="G115" i="81"/>
  <c r="F115" i="81"/>
  <c r="E115" i="81"/>
  <c r="D115" i="81"/>
  <c r="P114" i="81"/>
  <c r="M114" i="81"/>
  <c r="L114" i="81"/>
  <c r="K114" i="81"/>
  <c r="J114" i="81"/>
  <c r="I114" i="81"/>
  <c r="H114" i="81"/>
  <c r="G114" i="81"/>
  <c r="F114" i="81"/>
  <c r="E114" i="81"/>
  <c r="D114" i="81"/>
  <c r="P113" i="81"/>
  <c r="M113" i="81"/>
  <c r="L113" i="81"/>
  <c r="K113" i="81"/>
  <c r="J113" i="81"/>
  <c r="I113" i="81"/>
  <c r="H113" i="81"/>
  <c r="G113" i="81"/>
  <c r="F113" i="81"/>
  <c r="E113" i="81"/>
  <c r="D113" i="81"/>
  <c r="P112" i="81"/>
  <c r="M112" i="81"/>
  <c r="L112" i="81"/>
  <c r="K112" i="81"/>
  <c r="J112" i="81"/>
  <c r="I112" i="81"/>
  <c r="H112" i="81"/>
  <c r="G112" i="81"/>
  <c r="F112" i="81"/>
  <c r="E112" i="81"/>
  <c r="D112" i="81"/>
  <c r="P111" i="81"/>
  <c r="M111" i="81"/>
  <c r="L111" i="81"/>
  <c r="K111" i="81"/>
  <c r="J111" i="81"/>
  <c r="I111" i="81"/>
  <c r="H111" i="81"/>
  <c r="G111" i="81"/>
  <c r="F111" i="81"/>
  <c r="E111" i="81"/>
  <c r="D111" i="81"/>
  <c r="P110" i="81"/>
  <c r="M110" i="81"/>
  <c r="L110" i="81"/>
  <c r="K110" i="81"/>
  <c r="J110" i="81"/>
  <c r="I110" i="81"/>
  <c r="H110" i="81"/>
  <c r="G110" i="81"/>
  <c r="F110" i="81"/>
  <c r="E110" i="81"/>
  <c r="D110" i="81"/>
  <c r="P109" i="81"/>
  <c r="M109" i="81"/>
  <c r="L109" i="81"/>
  <c r="K109" i="81"/>
  <c r="J109" i="81"/>
  <c r="I109" i="81"/>
  <c r="H109" i="81"/>
  <c r="G109" i="81"/>
  <c r="F109" i="81"/>
  <c r="E109" i="81"/>
  <c r="D109" i="81"/>
  <c r="P108" i="81"/>
  <c r="M108" i="81"/>
  <c r="L108" i="81"/>
  <c r="K108" i="81"/>
  <c r="J108" i="81"/>
  <c r="I108" i="81"/>
  <c r="H108" i="81"/>
  <c r="G108" i="81"/>
  <c r="F108" i="81"/>
  <c r="E108" i="81"/>
  <c r="D108" i="81"/>
  <c r="P107" i="81"/>
  <c r="M107" i="81"/>
  <c r="L107" i="81"/>
  <c r="K107" i="81"/>
  <c r="J107" i="81"/>
  <c r="I107" i="81"/>
  <c r="H107" i="81"/>
  <c r="G107" i="81"/>
  <c r="F107" i="81"/>
  <c r="E107" i="81"/>
  <c r="D107" i="81"/>
  <c r="P106" i="81"/>
  <c r="M106" i="81"/>
  <c r="L106" i="81"/>
  <c r="K106" i="81"/>
  <c r="J106" i="81"/>
  <c r="I106" i="81"/>
  <c r="H106" i="81"/>
  <c r="G106" i="81"/>
  <c r="F106" i="81"/>
  <c r="E106" i="81"/>
  <c r="D106" i="81"/>
  <c r="P105" i="81"/>
  <c r="M105" i="81"/>
  <c r="L105" i="81"/>
  <c r="K105" i="81"/>
  <c r="J105" i="81"/>
  <c r="I105" i="81"/>
  <c r="H105" i="81"/>
  <c r="G105" i="81"/>
  <c r="F105" i="81"/>
  <c r="E105" i="81"/>
  <c r="D105" i="81"/>
  <c r="P104" i="81"/>
  <c r="M104" i="81"/>
  <c r="L104" i="81"/>
  <c r="K104" i="81"/>
  <c r="J104" i="81"/>
  <c r="I104" i="81"/>
  <c r="H104" i="81"/>
  <c r="G104" i="81"/>
  <c r="F104" i="81"/>
  <c r="E104" i="81"/>
  <c r="D104" i="81"/>
  <c r="P103" i="81"/>
  <c r="M103" i="81"/>
  <c r="L103" i="81"/>
  <c r="K103" i="81"/>
  <c r="J103" i="81"/>
  <c r="I103" i="81"/>
  <c r="H103" i="81"/>
  <c r="G103" i="81"/>
  <c r="F103" i="81"/>
  <c r="E103" i="81"/>
  <c r="D103" i="81"/>
  <c r="P102" i="81"/>
  <c r="M102" i="81"/>
  <c r="L102" i="81"/>
  <c r="K102" i="81"/>
  <c r="J102" i="81"/>
  <c r="I102" i="81"/>
  <c r="H102" i="81"/>
  <c r="G102" i="81"/>
  <c r="F102" i="81"/>
  <c r="E102" i="81"/>
  <c r="D102" i="81"/>
  <c r="P101" i="81"/>
  <c r="M101" i="81"/>
  <c r="L101" i="81"/>
  <c r="K101" i="81"/>
  <c r="J101" i="81"/>
  <c r="I101" i="81"/>
  <c r="H101" i="81"/>
  <c r="G101" i="81"/>
  <c r="F101" i="81"/>
  <c r="E101" i="81"/>
  <c r="D101" i="81"/>
  <c r="P100" i="81"/>
  <c r="M100" i="81"/>
  <c r="L100" i="81"/>
  <c r="K100" i="81"/>
  <c r="J100" i="81"/>
  <c r="I100" i="81"/>
  <c r="H100" i="81"/>
  <c r="G100" i="81"/>
  <c r="F100" i="81"/>
  <c r="E100" i="81"/>
  <c r="D100" i="81"/>
  <c r="P99" i="81"/>
  <c r="M99" i="81"/>
  <c r="L99" i="81"/>
  <c r="K99" i="81"/>
  <c r="J99" i="81"/>
  <c r="I99" i="81"/>
  <c r="H99" i="81"/>
  <c r="G99" i="81"/>
  <c r="F99" i="81"/>
  <c r="E99" i="81"/>
  <c r="D99" i="81"/>
  <c r="P98" i="81"/>
  <c r="M98" i="81"/>
  <c r="L98" i="81"/>
  <c r="K98" i="81"/>
  <c r="J98" i="81"/>
  <c r="I98" i="81"/>
  <c r="H98" i="81"/>
  <c r="G98" i="81"/>
  <c r="F98" i="81"/>
  <c r="E98" i="81"/>
  <c r="D98" i="81"/>
  <c r="P97" i="81"/>
  <c r="M97" i="81"/>
  <c r="L97" i="81"/>
  <c r="K97" i="81"/>
  <c r="J97" i="81"/>
  <c r="I97" i="81"/>
  <c r="H97" i="81"/>
  <c r="G97" i="81"/>
  <c r="F97" i="81"/>
  <c r="E97" i="81"/>
  <c r="D97" i="81"/>
  <c r="P96" i="81"/>
  <c r="M96" i="81"/>
  <c r="L96" i="81"/>
  <c r="K96" i="81"/>
  <c r="J96" i="81"/>
  <c r="I96" i="81"/>
  <c r="H96" i="81"/>
  <c r="G96" i="81"/>
  <c r="F96" i="81"/>
  <c r="E96" i="81"/>
  <c r="D96" i="81"/>
  <c r="P95" i="81"/>
  <c r="M95" i="81"/>
  <c r="L95" i="81"/>
  <c r="K95" i="81"/>
  <c r="J95" i="81"/>
  <c r="I95" i="81"/>
  <c r="H95" i="81"/>
  <c r="G95" i="81"/>
  <c r="F95" i="81"/>
  <c r="E95" i="81"/>
  <c r="D95" i="81"/>
  <c r="P94" i="81"/>
  <c r="M94" i="81"/>
  <c r="L94" i="81"/>
  <c r="K94" i="81"/>
  <c r="J94" i="81"/>
  <c r="I94" i="81"/>
  <c r="H94" i="81"/>
  <c r="G94" i="81"/>
  <c r="F94" i="81"/>
  <c r="E94" i="81"/>
  <c r="D94" i="81"/>
  <c r="P93" i="81"/>
  <c r="M93" i="81"/>
  <c r="L93" i="81"/>
  <c r="K93" i="81"/>
  <c r="J93" i="81"/>
  <c r="I93" i="81"/>
  <c r="H93" i="81"/>
  <c r="G93" i="81"/>
  <c r="F93" i="81"/>
  <c r="E93" i="81"/>
  <c r="D93" i="81"/>
  <c r="P92" i="81"/>
  <c r="M92" i="81"/>
  <c r="L92" i="81"/>
  <c r="K92" i="81"/>
  <c r="J92" i="81"/>
  <c r="I92" i="81"/>
  <c r="H92" i="81"/>
  <c r="G92" i="81"/>
  <c r="F92" i="81"/>
  <c r="E92" i="81"/>
  <c r="D92" i="81"/>
  <c r="P91" i="81"/>
  <c r="M91" i="81"/>
  <c r="L91" i="81"/>
  <c r="K91" i="81"/>
  <c r="J91" i="81"/>
  <c r="I91" i="81"/>
  <c r="H91" i="81"/>
  <c r="G91" i="81"/>
  <c r="F91" i="81"/>
  <c r="E91" i="81"/>
  <c r="D91" i="81"/>
  <c r="P90" i="81"/>
  <c r="M90" i="81"/>
  <c r="L90" i="81"/>
  <c r="K90" i="81"/>
  <c r="J90" i="81"/>
  <c r="I90" i="81"/>
  <c r="H90" i="81"/>
  <c r="G90" i="81"/>
  <c r="F90" i="81"/>
  <c r="E90" i="81"/>
  <c r="D90" i="81"/>
  <c r="P89" i="81"/>
  <c r="M89" i="81"/>
  <c r="L89" i="81"/>
  <c r="K89" i="81"/>
  <c r="J89" i="81"/>
  <c r="I89" i="81"/>
  <c r="H89" i="81"/>
  <c r="G89" i="81"/>
  <c r="F89" i="81"/>
  <c r="E89" i="81"/>
  <c r="D89" i="81"/>
  <c r="P88" i="81"/>
  <c r="M88" i="81"/>
  <c r="L88" i="81"/>
  <c r="K88" i="81"/>
  <c r="J88" i="81"/>
  <c r="I88" i="81"/>
  <c r="H88" i="81"/>
  <c r="G88" i="81"/>
  <c r="F88" i="81"/>
  <c r="E88" i="81"/>
  <c r="D88" i="81"/>
  <c r="P87" i="81"/>
  <c r="M87" i="81"/>
  <c r="L87" i="81"/>
  <c r="K87" i="81"/>
  <c r="J87" i="81"/>
  <c r="I87" i="81"/>
  <c r="H87" i="81"/>
  <c r="G87" i="81"/>
  <c r="F87" i="81"/>
  <c r="E87" i="81"/>
  <c r="D87" i="81"/>
  <c r="P86" i="81"/>
  <c r="M86" i="81"/>
  <c r="L86" i="81"/>
  <c r="K86" i="81"/>
  <c r="J86" i="81"/>
  <c r="I86" i="81"/>
  <c r="H86" i="81"/>
  <c r="G86" i="81"/>
  <c r="F86" i="81"/>
  <c r="E86" i="81"/>
  <c r="D86" i="81"/>
  <c r="P85" i="81"/>
  <c r="M85" i="81"/>
  <c r="L85" i="81"/>
  <c r="K85" i="81"/>
  <c r="J85" i="81"/>
  <c r="I85" i="81"/>
  <c r="H85" i="81"/>
  <c r="G85" i="81"/>
  <c r="F85" i="81"/>
  <c r="E85" i="81"/>
  <c r="D85" i="81"/>
  <c r="P84" i="81"/>
  <c r="M84" i="81"/>
  <c r="L84" i="81"/>
  <c r="K84" i="81"/>
  <c r="J84" i="81"/>
  <c r="I84" i="81"/>
  <c r="H84" i="81"/>
  <c r="G84" i="81"/>
  <c r="F84" i="81"/>
  <c r="E84" i="81"/>
  <c r="D84" i="81"/>
  <c r="P83" i="81"/>
  <c r="M83" i="81"/>
  <c r="L83" i="81"/>
  <c r="K83" i="81"/>
  <c r="J83" i="81"/>
  <c r="I83" i="81"/>
  <c r="H83" i="81"/>
  <c r="G83" i="81"/>
  <c r="F83" i="81"/>
  <c r="E83" i="81"/>
  <c r="D83" i="81"/>
  <c r="P82" i="81"/>
  <c r="M82" i="81"/>
  <c r="L82" i="81"/>
  <c r="K82" i="81"/>
  <c r="J82" i="81"/>
  <c r="I82" i="81"/>
  <c r="H82" i="81"/>
  <c r="G82" i="81"/>
  <c r="F82" i="81"/>
  <c r="E82" i="81"/>
  <c r="D82" i="81"/>
  <c r="P81" i="81"/>
  <c r="M81" i="81"/>
  <c r="L81" i="81"/>
  <c r="K81" i="81"/>
  <c r="J81" i="81"/>
  <c r="I81" i="81"/>
  <c r="H81" i="81"/>
  <c r="G81" i="81"/>
  <c r="F81" i="81"/>
  <c r="E81" i="81"/>
  <c r="D81" i="81"/>
  <c r="P80" i="81"/>
  <c r="M80" i="81"/>
  <c r="L80" i="81"/>
  <c r="K80" i="81"/>
  <c r="J80" i="81"/>
  <c r="I80" i="81"/>
  <c r="H80" i="81"/>
  <c r="G80" i="81"/>
  <c r="F80" i="81"/>
  <c r="E80" i="81"/>
  <c r="D80" i="81"/>
  <c r="P79" i="81"/>
  <c r="M79" i="81"/>
  <c r="L79" i="81"/>
  <c r="K79" i="81"/>
  <c r="J79" i="81"/>
  <c r="I79" i="81"/>
  <c r="H79" i="81"/>
  <c r="G79" i="81"/>
  <c r="F79" i="81"/>
  <c r="E79" i="81"/>
  <c r="D79" i="81"/>
  <c r="P78" i="81"/>
  <c r="M78" i="81"/>
  <c r="L78" i="81"/>
  <c r="K78" i="81"/>
  <c r="J78" i="81"/>
  <c r="I78" i="81"/>
  <c r="H78" i="81"/>
  <c r="G78" i="81"/>
  <c r="F78" i="81"/>
  <c r="E78" i="81"/>
  <c r="D78" i="81"/>
  <c r="P77" i="81"/>
  <c r="M77" i="81"/>
  <c r="L77" i="81"/>
  <c r="K77" i="81"/>
  <c r="J77" i="81"/>
  <c r="I77" i="81"/>
  <c r="H77" i="81"/>
  <c r="G77" i="81"/>
  <c r="F77" i="81"/>
  <c r="E77" i="81"/>
  <c r="D77" i="81"/>
  <c r="P76" i="81"/>
  <c r="M76" i="81"/>
  <c r="L76" i="81"/>
  <c r="K76" i="81"/>
  <c r="J76" i="81"/>
  <c r="I76" i="81"/>
  <c r="H76" i="81"/>
  <c r="G76" i="81"/>
  <c r="F76" i="81"/>
  <c r="E76" i="81"/>
  <c r="D76" i="81"/>
  <c r="P75" i="81"/>
  <c r="M75" i="81"/>
  <c r="L75" i="81"/>
  <c r="K75" i="81"/>
  <c r="J75" i="81"/>
  <c r="I75" i="81"/>
  <c r="H75" i="81"/>
  <c r="G75" i="81"/>
  <c r="F75" i="81"/>
  <c r="E75" i="81"/>
  <c r="D75" i="81"/>
  <c r="P74" i="81"/>
  <c r="M74" i="81"/>
  <c r="L74" i="81"/>
  <c r="K74" i="81"/>
  <c r="J74" i="81"/>
  <c r="I74" i="81"/>
  <c r="H74" i="81"/>
  <c r="G74" i="81"/>
  <c r="F74" i="81"/>
  <c r="E74" i="81"/>
  <c r="D74" i="81"/>
  <c r="P73" i="81"/>
  <c r="M73" i="81"/>
  <c r="L73" i="81"/>
  <c r="K73" i="81"/>
  <c r="J73" i="81"/>
  <c r="I73" i="81"/>
  <c r="H73" i="81"/>
  <c r="G73" i="81"/>
  <c r="F73" i="81"/>
  <c r="E73" i="81"/>
  <c r="D73" i="81"/>
  <c r="P72" i="81"/>
  <c r="M72" i="81"/>
  <c r="L72" i="81"/>
  <c r="K72" i="81"/>
  <c r="J72" i="81"/>
  <c r="I72" i="81"/>
  <c r="H72" i="81"/>
  <c r="G72" i="81"/>
  <c r="F72" i="81"/>
  <c r="E72" i="81"/>
  <c r="D72" i="81"/>
  <c r="P71" i="81"/>
  <c r="M71" i="81"/>
  <c r="L71" i="81"/>
  <c r="K71" i="81"/>
  <c r="J71" i="81"/>
  <c r="I71" i="81"/>
  <c r="H71" i="81"/>
  <c r="G71" i="81"/>
  <c r="F71" i="81"/>
  <c r="E71" i="81"/>
  <c r="D71" i="81"/>
  <c r="P70" i="81"/>
  <c r="M70" i="81"/>
  <c r="L70" i="81"/>
  <c r="K70" i="81"/>
  <c r="J70" i="81"/>
  <c r="I70" i="81"/>
  <c r="H70" i="81"/>
  <c r="G70" i="81"/>
  <c r="F70" i="81"/>
  <c r="E70" i="81"/>
  <c r="D70" i="81"/>
  <c r="P69" i="81"/>
  <c r="M69" i="81"/>
  <c r="L69" i="81"/>
  <c r="K69" i="81"/>
  <c r="J69" i="81"/>
  <c r="I69" i="81"/>
  <c r="H69" i="81"/>
  <c r="G69" i="81"/>
  <c r="F69" i="81"/>
  <c r="E69" i="81"/>
  <c r="D69" i="81"/>
  <c r="P68" i="81"/>
  <c r="M68" i="81"/>
  <c r="L68" i="81"/>
  <c r="K68" i="81"/>
  <c r="J68" i="81"/>
  <c r="I68" i="81"/>
  <c r="H68" i="81"/>
  <c r="G68" i="81"/>
  <c r="F68" i="81"/>
  <c r="E68" i="81"/>
  <c r="D68" i="81"/>
  <c r="P67" i="81"/>
  <c r="M67" i="81"/>
  <c r="L67" i="81"/>
  <c r="K67" i="81"/>
  <c r="J67" i="81"/>
  <c r="I67" i="81"/>
  <c r="H67" i="81"/>
  <c r="G67" i="81"/>
  <c r="F67" i="81"/>
  <c r="E67" i="81"/>
  <c r="D67" i="81"/>
  <c r="P66" i="81"/>
  <c r="M66" i="81"/>
  <c r="L66" i="81"/>
  <c r="K66" i="81"/>
  <c r="J66" i="81"/>
  <c r="I66" i="81"/>
  <c r="H66" i="81"/>
  <c r="G66" i="81"/>
  <c r="F66" i="81"/>
  <c r="E66" i="81"/>
  <c r="D66" i="81"/>
  <c r="P65" i="81"/>
  <c r="M65" i="81"/>
  <c r="L65" i="81"/>
  <c r="K65" i="81"/>
  <c r="J65" i="81"/>
  <c r="I65" i="81"/>
  <c r="H65" i="81"/>
  <c r="G65" i="81"/>
  <c r="F65" i="81"/>
  <c r="E65" i="81"/>
  <c r="D65" i="81"/>
  <c r="P64" i="81"/>
  <c r="M64" i="81"/>
  <c r="L64" i="81"/>
  <c r="K64" i="81"/>
  <c r="J64" i="81"/>
  <c r="I64" i="81"/>
  <c r="H64" i="81"/>
  <c r="G64" i="81"/>
  <c r="F64" i="81"/>
  <c r="E64" i="81"/>
  <c r="D64" i="81"/>
  <c r="P63" i="81"/>
  <c r="M63" i="81"/>
  <c r="L63" i="81"/>
  <c r="K63" i="81"/>
  <c r="J63" i="81"/>
  <c r="I63" i="81"/>
  <c r="H63" i="81"/>
  <c r="G63" i="81"/>
  <c r="F63" i="81"/>
  <c r="E63" i="81"/>
  <c r="D63" i="81"/>
  <c r="P62" i="81"/>
  <c r="M62" i="81"/>
  <c r="L62" i="81"/>
  <c r="K62" i="81"/>
  <c r="J62" i="81"/>
  <c r="I62" i="81"/>
  <c r="H62" i="81"/>
  <c r="G62" i="81"/>
  <c r="F62" i="81"/>
  <c r="E62" i="81"/>
  <c r="D62" i="81"/>
  <c r="P61" i="81"/>
  <c r="M61" i="81"/>
  <c r="L61" i="81"/>
  <c r="K61" i="81"/>
  <c r="J61" i="81"/>
  <c r="I61" i="81"/>
  <c r="H61" i="81"/>
  <c r="G61" i="81"/>
  <c r="F61" i="81"/>
  <c r="E61" i="81"/>
  <c r="D61" i="81"/>
  <c r="P60" i="81"/>
  <c r="M60" i="81"/>
  <c r="L60" i="81"/>
  <c r="K60" i="81"/>
  <c r="J60" i="81"/>
  <c r="I60" i="81"/>
  <c r="H60" i="81"/>
  <c r="G60" i="81"/>
  <c r="F60" i="81"/>
  <c r="E60" i="81"/>
  <c r="D60" i="81"/>
  <c r="P59" i="81"/>
  <c r="M59" i="81"/>
  <c r="L59" i="81"/>
  <c r="K59" i="81"/>
  <c r="J59" i="81"/>
  <c r="I59" i="81"/>
  <c r="H59" i="81"/>
  <c r="G59" i="81"/>
  <c r="F59" i="81"/>
  <c r="E59" i="81"/>
  <c r="D59" i="81"/>
  <c r="P58" i="81"/>
  <c r="M58" i="81"/>
  <c r="L58" i="81"/>
  <c r="K58" i="81"/>
  <c r="J58" i="81"/>
  <c r="I58" i="81"/>
  <c r="H58" i="81"/>
  <c r="G58" i="81"/>
  <c r="F58" i="81"/>
  <c r="E58" i="81"/>
  <c r="D58" i="81"/>
  <c r="P57" i="81"/>
  <c r="M57" i="81"/>
  <c r="L57" i="81"/>
  <c r="K57" i="81"/>
  <c r="J57" i="81"/>
  <c r="I57" i="81"/>
  <c r="H57" i="81"/>
  <c r="G57" i="81"/>
  <c r="F57" i="81"/>
  <c r="E57" i="81"/>
  <c r="D57" i="81"/>
  <c r="P56" i="81"/>
  <c r="M56" i="81"/>
  <c r="L56" i="81"/>
  <c r="K56" i="81"/>
  <c r="J56" i="81"/>
  <c r="I56" i="81"/>
  <c r="H56" i="81"/>
  <c r="G56" i="81"/>
  <c r="F56" i="81"/>
  <c r="E56" i="81"/>
  <c r="D56" i="81"/>
  <c r="P55" i="81"/>
  <c r="M55" i="81"/>
  <c r="L55" i="81"/>
  <c r="K55" i="81"/>
  <c r="J55" i="81"/>
  <c r="I55" i="81"/>
  <c r="H55" i="81"/>
  <c r="G55" i="81"/>
  <c r="F55" i="81"/>
  <c r="E55" i="81"/>
  <c r="D55" i="81"/>
  <c r="P54" i="81"/>
  <c r="M54" i="81"/>
  <c r="L54" i="81"/>
  <c r="K54" i="81"/>
  <c r="J54" i="81"/>
  <c r="I54" i="81"/>
  <c r="H54" i="81"/>
  <c r="G54" i="81"/>
  <c r="F54" i="81"/>
  <c r="E54" i="81"/>
  <c r="D54" i="81"/>
  <c r="P53" i="81"/>
  <c r="M53" i="81"/>
  <c r="L53" i="81"/>
  <c r="K53" i="81"/>
  <c r="J53" i="81"/>
  <c r="I53" i="81"/>
  <c r="H53" i="81"/>
  <c r="G53" i="81"/>
  <c r="F53" i="81"/>
  <c r="E53" i="81"/>
  <c r="D53" i="81"/>
  <c r="P52" i="81"/>
  <c r="M52" i="81"/>
  <c r="L52" i="81"/>
  <c r="K52" i="81"/>
  <c r="J52" i="81"/>
  <c r="I52" i="81"/>
  <c r="H52" i="81"/>
  <c r="G52" i="81"/>
  <c r="F52" i="81"/>
  <c r="E52" i="81"/>
  <c r="D52" i="81"/>
  <c r="P51" i="81"/>
  <c r="M51" i="81"/>
  <c r="L51" i="81"/>
  <c r="K51" i="81"/>
  <c r="J51" i="81"/>
  <c r="I51" i="81"/>
  <c r="H51" i="81"/>
  <c r="G51" i="81"/>
  <c r="F51" i="81"/>
  <c r="E51" i="81"/>
  <c r="D51" i="81"/>
  <c r="P50" i="81"/>
  <c r="M50" i="81"/>
  <c r="L50" i="81"/>
  <c r="K50" i="81"/>
  <c r="J50" i="81"/>
  <c r="I50" i="81"/>
  <c r="H50" i="81"/>
  <c r="G50" i="81"/>
  <c r="F50" i="81"/>
  <c r="E50" i="81"/>
  <c r="D50" i="81"/>
  <c r="P49" i="81"/>
  <c r="M49" i="81"/>
  <c r="L49" i="81"/>
  <c r="K49" i="81"/>
  <c r="J49" i="81"/>
  <c r="I49" i="81"/>
  <c r="H49" i="81"/>
  <c r="G49" i="81"/>
  <c r="F49" i="81"/>
  <c r="E49" i="81"/>
  <c r="D49" i="81"/>
  <c r="P48" i="81"/>
  <c r="M48" i="81"/>
  <c r="L48" i="81"/>
  <c r="K48" i="81"/>
  <c r="J48" i="81"/>
  <c r="I48" i="81"/>
  <c r="H48" i="81"/>
  <c r="G48" i="81"/>
  <c r="F48" i="81"/>
  <c r="E48" i="81"/>
  <c r="D48" i="81"/>
  <c r="P47" i="81"/>
  <c r="M47" i="81"/>
  <c r="L47" i="81"/>
  <c r="K47" i="81"/>
  <c r="J47" i="81"/>
  <c r="I47" i="81"/>
  <c r="H47" i="81"/>
  <c r="G47" i="81"/>
  <c r="F47" i="81"/>
  <c r="E47" i="81"/>
  <c r="D47" i="81"/>
  <c r="P46" i="81"/>
  <c r="M46" i="81"/>
  <c r="L46" i="81"/>
  <c r="K46" i="81"/>
  <c r="J46" i="81"/>
  <c r="I46" i="81"/>
  <c r="H46" i="81"/>
  <c r="G46" i="81"/>
  <c r="F46" i="81"/>
  <c r="E46" i="81"/>
  <c r="D46" i="81"/>
  <c r="P45" i="81"/>
  <c r="M45" i="81"/>
  <c r="L45" i="81"/>
  <c r="K45" i="81"/>
  <c r="J45" i="81"/>
  <c r="I45" i="81"/>
  <c r="H45" i="81"/>
  <c r="G45" i="81"/>
  <c r="F45" i="81"/>
  <c r="E45" i="81"/>
  <c r="D45" i="81"/>
  <c r="P44" i="81"/>
  <c r="M44" i="81"/>
  <c r="L44" i="81"/>
  <c r="K44" i="81"/>
  <c r="J44" i="81"/>
  <c r="I44" i="81"/>
  <c r="H44" i="81"/>
  <c r="G44" i="81"/>
  <c r="F44" i="81"/>
  <c r="E44" i="81"/>
  <c r="D44" i="81"/>
  <c r="P43" i="81"/>
  <c r="M43" i="81"/>
  <c r="L43" i="81"/>
  <c r="K43" i="81"/>
  <c r="J43" i="81"/>
  <c r="I43" i="81"/>
  <c r="H43" i="81"/>
  <c r="G43" i="81"/>
  <c r="F43" i="81"/>
  <c r="E43" i="81"/>
  <c r="D43" i="81"/>
  <c r="P42" i="81"/>
  <c r="M42" i="81"/>
  <c r="L42" i="81"/>
  <c r="K42" i="81"/>
  <c r="J42" i="81"/>
  <c r="I42" i="81"/>
  <c r="H42" i="81"/>
  <c r="G42" i="81"/>
  <c r="F42" i="81"/>
  <c r="E42" i="81"/>
  <c r="D42" i="81"/>
  <c r="P41" i="81"/>
  <c r="M41" i="81"/>
  <c r="L41" i="81"/>
  <c r="K41" i="81"/>
  <c r="J41" i="81"/>
  <c r="I41" i="81"/>
  <c r="H41" i="81"/>
  <c r="G41" i="81"/>
  <c r="F41" i="81"/>
  <c r="E41" i="81"/>
  <c r="D41" i="81"/>
  <c r="P40" i="81"/>
  <c r="M40" i="81"/>
  <c r="L40" i="81"/>
  <c r="K40" i="81"/>
  <c r="J40" i="81"/>
  <c r="I40" i="81"/>
  <c r="H40" i="81"/>
  <c r="G40" i="81"/>
  <c r="F40" i="81"/>
  <c r="E40" i="81"/>
  <c r="D40" i="81"/>
  <c r="P39" i="81"/>
  <c r="M39" i="81"/>
  <c r="L39" i="81"/>
  <c r="K39" i="81"/>
  <c r="J39" i="81"/>
  <c r="I39" i="81"/>
  <c r="H39" i="81"/>
  <c r="G39" i="81"/>
  <c r="F39" i="81"/>
  <c r="E39" i="81"/>
  <c r="D39" i="81"/>
  <c r="P38" i="81"/>
  <c r="M38" i="81"/>
  <c r="L38" i="81"/>
  <c r="K38" i="81"/>
  <c r="J38" i="81"/>
  <c r="I38" i="81"/>
  <c r="H38" i="81"/>
  <c r="G38" i="81"/>
  <c r="F38" i="81"/>
  <c r="E38" i="81"/>
  <c r="D38" i="81"/>
  <c r="P37" i="81"/>
  <c r="M37" i="81"/>
  <c r="L37" i="81"/>
  <c r="K37" i="81"/>
  <c r="J37" i="81"/>
  <c r="I37" i="81"/>
  <c r="H37" i="81"/>
  <c r="G37" i="81"/>
  <c r="F37" i="81"/>
  <c r="E37" i="81"/>
  <c r="D37" i="81"/>
  <c r="P36" i="81"/>
  <c r="M36" i="81"/>
  <c r="L36" i="81"/>
  <c r="K36" i="81"/>
  <c r="J36" i="81"/>
  <c r="I36" i="81"/>
  <c r="H36" i="81"/>
  <c r="G36" i="81"/>
  <c r="F36" i="81"/>
  <c r="E36" i="81"/>
  <c r="D36" i="81"/>
  <c r="P35" i="81"/>
  <c r="M35" i="81"/>
  <c r="L35" i="81"/>
  <c r="K35" i="81"/>
  <c r="J35" i="81"/>
  <c r="I35" i="81"/>
  <c r="H35" i="81"/>
  <c r="G35" i="81"/>
  <c r="F35" i="81"/>
  <c r="E35" i="81"/>
  <c r="D35" i="81"/>
  <c r="P34" i="81"/>
  <c r="M34" i="81"/>
  <c r="L34" i="81"/>
  <c r="K34" i="81"/>
  <c r="J34" i="81"/>
  <c r="I34" i="81"/>
  <c r="H34" i="81"/>
  <c r="G34" i="81"/>
  <c r="F34" i="81"/>
  <c r="E34" i="81"/>
  <c r="D34" i="81"/>
  <c r="P33" i="81"/>
  <c r="M33" i="81"/>
  <c r="L33" i="81"/>
  <c r="K33" i="81"/>
  <c r="J33" i="81"/>
  <c r="I33" i="81"/>
  <c r="H33" i="81"/>
  <c r="G33" i="81"/>
  <c r="F33" i="81"/>
  <c r="E33" i="81"/>
  <c r="D33" i="81"/>
  <c r="P32" i="81"/>
  <c r="M32" i="81"/>
  <c r="L32" i="81"/>
  <c r="K32" i="81"/>
  <c r="J32" i="81"/>
  <c r="I32" i="81"/>
  <c r="H32" i="81"/>
  <c r="G32" i="81"/>
  <c r="F32" i="81"/>
  <c r="E32" i="81"/>
  <c r="D32" i="81"/>
  <c r="P31" i="81"/>
  <c r="M31" i="81"/>
  <c r="L31" i="81"/>
  <c r="K31" i="81"/>
  <c r="J31" i="81"/>
  <c r="I31" i="81"/>
  <c r="H31" i="81"/>
  <c r="G31" i="81"/>
  <c r="F31" i="81"/>
  <c r="E31" i="81"/>
  <c r="D31" i="81"/>
  <c r="P30" i="81"/>
  <c r="M30" i="81"/>
  <c r="L30" i="81"/>
  <c r="K30" i="81"/>
  <c r="J30" i="81"/>
  <c r="I30" i="81"/>
  <c r="H30" i="81"/>
  <c r="G30" i="81"/>
  <c r="F30" i="81"/>
  <c r="E30" i="81"/>
  <c r="D30" i="81"/>
  <c r="P29" i="81"/>
  <c r="M29" i="81"/>
  <c r="L29" i="81"/>
  <c r="K29" i="81"/>
  <c r="J29" i="81"/>
  <c r="I29" i="81"/>
  <c r="H29" i="81"/>
  <c r="G29" i="81"/>
  <c r="F29" i="81"/>
  <c r="E29" i="81"/>
  <c r="D29" i="81"/>
  <c r="P28" i="81"/>
  <c r="M28" i="81"/>
  <c r="L28" i="81"/>
  <c r="K28" i="81"/>
  <c r="J28" i="81"/>
  <c r="I28" i="81"/>
  <c r="H28" i="81"/>
  <c r="G28" i="81"/>
  <c r="F28" i="81"/>
  <c r="E28" i="81"/>
  <c r="D28" i="81"/>
  <c r="P27" i="81"/>
  <c r="M27" i="81"/>
  <c r="L27" i="81"/>
  <c r="K27" i="81"/>
  <c r="J27" i="81"/>
  <c r="I27" i="81"/>
  <c r="H27" i="81"/>
  <c r="G27" i="81"/>
  <c r="F27" i="81"/>
  <c r="E27" i="81"/>
  <c r="D27" i="81"/>
  <c r="P26" i="81"/>
  <c r="M26" i="81"/>
  <c r="L26" i="81"/>
  <c r="K26" i="81"/>
  <c r="J26" i="81"/>
  <c r="I26" i="81"/>
  <c r="H26" i="81"/>
  <c r="G26" i="81"/>
  <c r="F26" i="81"/>
  <c r="E26" i="81"/>
  <c r="D26" i="81"/>
  <c r="P25" i="81"/>
  <c r="M25" i="81"/>
  <c r="L25" i="81"/>
  <c r="K25" i="81"/>
  <c r="J25" i="81"/>
  <c r="I25" i="81"/>
  <c r="H25" i="81"/>
  <c r="G25" i="81"/>
  <c r="F25" i="81"/>
  <c r="E25" i="81"/>
  <c r="D25" i="81"/>
  <c r="P24" i="81"/>
  <c r="M24" i="81"/>
  <c r="L24" i="81"/>
  <c r="K24" i="81"/>
  <c r="J24" i="81"/>
  <c r="I24" i="81"/>
  <c r="H24" i="81"/>
  <c r="G24" i="81"/>
  <c r="F24" i="81"/>
  <c r="E24" i="81"/>
  <c r="D24" i="81"/>
  <c r="P23" i="81"/>
  <c r="M23" i="81"/>
  <c r="L23" i="81"/>
  <c r="K23" i="81"/>
  <c r="J23" i="81"/>
  <c r="I23" i="81"/>
  <c r="H23" i="81"/>
  <c r="G23" i="81"/>
  <c r="F23" i="81"/>
  <c r="E23" i="81"/>
  <c r="D23" i="81"/>
  <c r="P22" i="81"/>
  <c r="M22" i="81"/>
  <c r="L22" i="81"/>
  <c r="K22" i="81"/>
  <c r="J22" i="81"/>
  <c r="I22" i="81"/>
  <c r="H22" i="81"/>
  <c r="G22" i="81"/>
  <c r="F22" i="81"/>
  <c r="E22" i="81"/>
  <c r="D22" i="81"/>
  <c r="O19" i="81"/>
  <c r="N19" i="81"/>
  <c r="M19" i="81"/>
  <c r="L19" i="81"/>
  <c r="K19" i="81"/>
  <c r="J19" i="81"/>
  <c r="H19" i="81"/>
  <c r="G19" i="81"/>
  <c r="F19" i="81"/>
  <c r="E19" i="81"/>
  <c r="D19" i="81"/>
  <c r="P18" i="81"/>
  <c r="O18" i="81"/>
  <c r="N18" i="81"/>
  <c r="M18" i="81"/>
  <c r="L18" i="81"/>
  <c r="K18" i="81"/>
  <c r="J18" i="81"/>
  <c r="I18" i="81"/>
  <c r="H18" i="81"/>
  <c r="G18" i="81"/>
  <c r="F18" i="81"/>
  <c r="E18" i="81"/>
  <c r="D18" i="81"/>
  <c r="P17" i="81"/>
  <c r="P16" i="81"/>
  <c r="P15" i="81"/>
  <c r="P14" i="81"/>
  <c r="O13" i="81"/>
  <c r="N13" i="81"/>
  <c r="M13" i="81"/>
  <c r="L13" i="81"/>
  <c r="K13" i="81"/>
  <c r="J13" i="81"/>
  <c r="H13" i="81"/>
  <c r="G13" i="81"/>
  <c r="F13" i="81"/>
  <c r="E13" i="81"/>
  <c r="D13" i="81"/>
  <c r="M12" i="81"/>
  <c r="L12" i="81"/>
  <c r="K12" i="81"/>
  <c r="J12" i="81"/>
  <c r="I12" i="81"/>
  <c r="P12" i="81" s="1"/>
  <c r="H12" i="81"/>
  <c r="G12" i="81"/>
  <c r="F12" i="81"/>
  <c r="E12" i="81"/>
  <c r="D12" i="81"/>
  <c r="M11" i="81"/>
  <c r="L11" i="81"/>
  <c r="K11" i="81"/>
  <c r="J11" i="81"/>
  <c r="I11" i="81"/>
  <c r="P11" i="81" s="1"/>
  <c r="H11" i="81"/>
  <c r="G11" i="81"/>
  <c r="F11" i="81"/>
  <c r="E11" i="81"/>
  <c r="D11" i="81"/>
  <c r="M10" i="81"/>
  <c r="L10" i="81"/>
  <c r="K10" i="81"/>
  <c r="J10" i="81"/>
  <c r="I10" i="81"/>
  <c r="P10" i="81" s="1"/>
  <c r="H10" i="81"/>
  <c r="G10" i="81"/>
  <c r="F10" i="81"/>
  <c r="E10" i="81"/>
  <c r="D10" i="81"/>
  <c r="P9" i="81"/>
  <c r="M9" i="81"/>
  <c r="L9" i="81"/>
  <c r="K9" i="81"/>
  <c r="J9" i="81"/>
  <c r="I9" i="81"/>
  <c r="H9" i="81"/>
  <c r="G9" i="81"/>
  <c r="F9" i="81"/>
  <c r="E9" i="81"/>
  <c r="D9" i="81"/>
  <c r="O8" i="81"/>
  <c r="N8" i="81"/>
  <c r="M8" i="81"/>
  <c r="L8" i="81"/>
  <c r="K8" i="81"/>
  <c r="J8" i="81"/>
  <c r="H8" i="81"/>
  <c r="G8" i="81"/>
  <c r="F8" i="81"/>
  <c r="E8" i="81"/>
  <c r="D8" i="81"/>
  <c r="N137" i="80"/>
  <c r="H137" i="80"/>
  <c r="G137" i="80"/>
  <c r="F137" i="80"/>
  <c r="D137" i="80"/>
  <c r="N134" i="80"/>
  <c r="M134" i="80"/>
  <c r="L134" i="80"/>
  <c r="K134" i="80"/>
  <c r="J134" i="80"/>
  <c r="H134" i="80"/>
  <c r="G134" i="80"/>
  <c r="F134" i="80"/>
  <c r="E134" i="80"/>
  <c r="D134" i="80"/>
  <c r="O132" i="80"/>
  <c r="N132" i="80"/>
  <c r="I132" i="80"/>
  <c r="H132" i="80"/>
  <c r="G132" i="80"/>
  <c r="F132" i="80"/>
  <c r="D132" i="80"/>
  <c r="N131" i="80"/>
  <c r="M131" i="80"/>
  <c r="L131" i="80"/>
  <c r="K131" i="80"/>
  <c r="J131" i="80"/>
  <c r="I131" i="80"/>
  <c r="H131" i="80"/>
  <c r="G131" i="80"/>
  <c r="E131" i="80"/>
  <c r="D131" i="80"/>
  <c r="N130" i="80"/>
  <c r="M130" i="80"/>
  <c r="L130" i="80"/>
  <c r="K130" i="80"/>
  <c r="J130" i="80"/>
  <c r="I130" i="80"/>
  <c r="H130" i="80"/>
  <c r="G130" i="80"/>
  <c r="E130" i="80"/>
  <c r="D130" i="80"/>
  <c r="N129" i="80"/>
  <c r="M129" i="80"/>
  <c r="L129" i="80"/>
  <c r="K129" i="80"/>
  <c r="J129" i="80"/>
  <c r="I129" i="80"/>
  <c r="H129" i="80"/>
  <c r="G129" i="80"/>
  <c r="E129" i="80"/>
  <c r="D129" i="80"/>
  <c r="N128" i="80"/>
  <c r="M128" i="80"/>
  <c r="L128" i="80"/>
  <c r="K128" i="80"/>
  <c r="J128" i="80"/>
  <c r="I128" i="80"/>
  <c r="H128" i="80"/>
  <c r="G128" i="80"/>
  <c r="E128" i="80"/>
  <c r="D128" i="80"/>
  <c r="N127" i="80"/>
  <c r="M127" i="80"/>
  <c r="L127" i="80"/>
  <c r="K127" i="80"/>
  <c r="J127" i="80"/>
  <c r="I127" i="80"/>
  <c r="H127" i="80"/>
  <c r="G127" i="80"/>
  <c r="E127" i="80"/>
  <c r="D127" i="80"/>
  <c r="N126" i="80"/>
  <c r="M126" i="80"/>
  <c r="L126" i="80"/>
  <c r="K126" i="80"/>
  <c r="J126" i="80"/>
  <c r="I126" i="80"/>
  <c r="H126" i="80"/>
  <c r="G126" i="80"/>
  <c r="E126" i="80"/>
  <c r="D126" i="80"/>
  <c r="N125" i="80"/>
  <c r="M125" i="80"/>
  <c r="L125" i="80"/>
  <c r="K125" i="80"/>
  <c r="J125" i="80"/>
  <c r="I125" i="80"/>
  <c r="H125" i="80"/>
  <c r="G125" i="80"/>
  <c r="E125" i="80"/>
  <c r="D125" i="80"/>
  <c r="N124" i="80"/>
  <c r="M124" i="80"/>
  <c r="L124" i="80"/>
  <c r="K124" i="80"/>
  <c r="J124" i="80"/>
  <c r="I124" i="80"/>
  <c r="H124" i="80"/>
  <c r="G124" i="80"/>
  <c r="E124" i="80"/>
  <c r="D124" i="80"/>
  <c r="N123" i="80"/>
  <c r="M123" i="80"/>
  <c r="L123" i="80"/>
  <c r="K123" i="80"/>
  <c r="J123" i="80"/>
  <c r="I123" i="80"/>
  <c r="H123" i="80"/>
  <c r="G123" i="80"/>
  <c r="E123" i="80"/>
  <c r="D123" i="80"/>
  <c r="N122" i="80"/>
  <c r="M122" i="80"/>
  <c r="L122" i="80"/>
  <c r="K122" i="80"/>
  <c r="J122" i="80"/>
  <c r="I122" i="80"/>
  <c r="H122" i="80"/>
  <c r="G122" i="80"/>
  <c r="E122" i="80"/>
  <c r="D122" i="80"/>
  <c r="N121" i="80"/>
  <c r="M121" i="80"/>
  <c r="L121" i="80"/>
  <c r="K121" i="80"/>
  <c r="J121" i="80"/>
  <c r="I121" i="80"/>
  <c r="H121" i="80"/>
  <c r="G121" i="80"/>
  <c r="E121" i="80"/>
  <c r="D121" i="80"/>
  <c r="N120" i="80"/>
  <c r="M120" i="80"/>
  <c r="L120" i="80"/>
  <c r="K120" i="80"/>
  <c r="J120" i="80"/>
  <c r="I120" i="80"/>
  <c r="H120" i="80"/>
  <c r="G120" i="80"/>
  <c r="E120" i="80"/>
  <c r="D120" i="80"/>
  <c r="N119" i="80"/>
  <c r="M119" i="80"/>
  <c r="L119" i="80"/>
  <c r="K119" i="80"/>
  <c r="J119" i="80"/>
  <c r="I119" i="80"/>
  <c r="H119" i="80"/>
  <c r="G119" i="80"/>
  <c r="E119" i="80"/>
  <c r="D119" i="80"/>
  <c r="N118" i="80"/>
  <c r="M118" i="80"/>
  <c r="L118" i="80"/>
  <c r="K118" i="80"/>
  <c r="J118" i="80"/>
  <c r="I118" i="80"/>
  <c r="H118" i="80"/>
  <c r="G118" i="80"/>
  <c r="E118" i="80"/>
  <c r="D118" i="80"/>
  <c r="N117" i="80"/>
  <c r="M117" i="80"/>
  <c r="L117" i="80"/>
  <c r="K117" i="80"/>
  <c r="J117" i="80"/>
  <c r="I117" i="80"/>
  <c r="H117" i="80"/>
  <c r="G117" i="80"/>
  <c r="E117" i="80"/>
  <c r="D117" i="80"/>
  <c r="N116" i="80"/>
  <c r="M116" i="80"/>
  <c r="L116" i="80"/>
  <c r="K116" i="80"/>
  <c r="J116" i="80"/>
  <c r="I116" i="80"/>
  <c r="H116" i="80"/>
  <c r="G116" i="80"/>
  <c r="E116" i="80"/>
  <c r="D116" i="80"/>
  <c r="N115" i="80"/>
  <c r="M115" i="80"/>
  <c r="L115" i="80"/>
  <c r="K115" i="80"/>
  <c r="J115" i="80"/>
  <c r="I115" i="80"/>
  <c r="H115" i="80"/>
  <c r="G115" i="80"/>
  <c r="E115" i="80"/>
  <c r="P115" i="80" s="1"/>
  <c r="D115" i="80"/>
  <c r="N114" i="80"/>
  <c r="M114" i="80"/>
  <c r="L114" i="80"/>
  <c r="K114" i="80"/>
  <c r="J114" i="80"/>
  <c r="I114" i="80"/>
  <c r="H114" i="80"/>
  <c r="G114" i="80"/>
  <c r="E114" i="80"/>
  <c r="D114" i="80"/>
  <c r="N113" i="80"/>
  <c r="M113" i="80"/>
  <c r="L113" i="80"/>
  <c r="K113" i="80"/>
  <c r="J113" i="80"/>
  <c r="I113" i="80"/>
  <c r="H113" i="80"/>
  <c r="G113" i="80"/>
  <c r="E113" i="80"/>
  <c r="D113" i="80"/>
  <c r="N112" i="80"/>
  <c r="M112" i="80"/>
  <c r="L112" i="80"/>
  <c r="K112" i="80"/>
  <c r="J112" i="80"/>
  <c r="I112" i="80"/>
  <c r="H112" i="80"/>
  <c r="G112" i="80"/>
  <c r="E112" i="80"/>
  <c r="D112" i="80"/>
  <c r="N111" i="80"/>
  <c r="M111" i="80"/>
  <c r="L111" i="80"/>
  <c r="K111" i="80"/>
  <c r="J111" i="80"/>
  <c r="I111" i="80"/>
  <c r="H111" i="80"/>
  <c r="G111" i="80"/>
  <c r="E111" i="80"/>
  <c r="D111" i="80"/>
  <c r="N110" i="80"/>
  <c r="M110" i="80"/>
  <c r="L110" i="80"/>
  <c r="K110" i="80"/>
  <c r="J110" i="80"/>
  <c r="I110" i="80"/>
  <c r="H110" i="80"/>
  <c r="G110" i="80"/>
  <c r="E110" i="80"/>
  <c r="D110" i="80"/>
  <c r="N109" i="80"/>
  <c r="M109" i="80"/>
  <c r="L109" i="80"/>
  <c r="K109" i="80"/>
  <c r="J109" i="80"/>
  <c r="I109" i="80"/>
  <c r="H109" i="80"/>
  <c r="G109" i="80"/>
  <c r="E109" i="80"/>
  <c r="D109" i="80"/>
  <c r="N108" i="80"/>
  <c r="M108" i="80"/>
  <c r="L108" i="80"/>
  <c r="K108" i="80"/>
  <c r="J108" i="80"/>
  <c r="I108" i="80"/>
  <c r="H108" i="80"/>
  <c r="G108" i="80"/>
  <c r="E108" i="80"/>
  <c r="D108" i="80"/>
  <c r="N107" i="80"/>
  <c r="M107" i="80"/>
  <c r="L107" i="80"/>
  <c r="K107" i="80"/>
  <c r="J107" i="80"/>
  <c r="I107" i="80"/>
  <c r="H107" i="80"/>
  <c r="G107" i="80"/>
  <c r="E107" i="80"/>
  <c r="D107" i="80"/>
  <c r="N106" i="80"/>
  <c r="M106" i="80"/>
  <c r="L106" i="80"/>
  <c r="K106" i="80"/>
  <c r="J106" i="80"/>
  <c r="I106" i="80"/>
  <c r="H106" i="80"/>
  <c r="G106" i="80"/>
  <c r="E106" i="80"/>
  <c r="D106" i="80"/>
  <c r="N105" i="80"/>
  <c r="M105" i="80"/>
  <c r="L105" i="80"/>
  <c r="K105" i="80"/>
  <c r="J105" i="80"/>
  <c r="I105" i="80"/>
  <c r="H105" i="80"/>
  <c r="G105" i="80"/>
  <c r="E105" i="80"/>
  <c r="D105" i="80"/>
  <c r="N104" i="80"/>
  <c r="M104" i="80"/>
  <c r="L104" i="80"/>
  <c r="K104" i="80"/>
  <c r="J104" i="80"/>
  <c r="I104" i="80"/>
  <c r="H104" i="80"/>
  <c r="G104" i="80"/>
  <c r="E104" i="80"/>
  <c r="D104" i="80"/>
  <c r="N103" i="80"/>
  <c r="M103" i="80"/>
  <c r="L103" i="80"/>
  <c r="K103" i="80"/>
  <c r="J103" i="80"/>
  <c r="I103" i="80"/>
  <c r="H103" i="80"/>
  <c r="G103" i="80"/>
  <c r="E103" i="80"/>
  <c r="D103" i="80"/>
  <c r="N102" i="80"/>
  <c r="M102" i="80"/>
  <c r="L102" i="80"/>
  <c r="K102" i="80"/>
  <c r="J102" i="80"/>
  <c r="I102" i="80"/>
  <c r="H102" i="80"/>
  <c r="G102" i="80"/>
  <c r="E102" i="80"/>
  <c r="D102" i="80"/>
  <c r="N101" i="80"/>
  <c r="M101" i="80"/>
  <c r="L101" i="80"/>
  <c r="K101" i="80"/>
  <c r="J101" i="80"/>
  <c r="I101" i="80"/>
  <c r="H101" i="80"/>
  <c r="G101" i="80"/>
  <c r="E101" i="80"/>
  <c r="D101" i="80"/>
  <c r="N100" i="80"/>
  <c r="M100" i="80"/>
  <c r="L100" i="80"/>
  <c r="K100" i="80"/>
  <c r="J100" i="80"/>
  <c r="I100" i="80"/>
  <c r="H100" i="80"/>
  <c r="G100" i="80"/>
  <c r="E100" i="80"/>
  <c r="D100" i="80"/>
  <c r="N99" i="80"/>
  <c r="M99" i="80"/>
  <c r="L99" i="80"/>
  <c r="K99" i="80"/>
  <c r="J99" i="80"/>
  <c r="I99" i="80"/>
  <c r="H99" i="80"/>
  <c r="G99" i="80"/>
  <c r="E99" i="80"/>
  <c r="D99" i="80"/>
  <c r="N98" i="80"/>
  <c r="M98" i="80"/>
  <c r="L98" i="80"/>
  <c r="K98" i="80"/>
  <c r="J98" i="80"/>
  <c r="I98" i="80"/>
  <c r="H98" i="80"/>
  <c r="G98" i="80"/>
  <c r="E98" i="80"/>
  <c r="D98" i="80"/>
  <c r="N97" i="80"/>
  <c r="M97" i="80"/>
  <c r="L97" i="80"/>
  <c r="K97" i="80"/>
  <c r="J97" i="80"/>
  <c r="I97" i="80"/>
  <c r="H97" i="80"/>
  <c r="G97" i="80"/>
  <c r="E97" i="80"/>
  <c r="D97" i="80"/>
  <c r="N96" i="80"/>
  <c r="M96" i="80"/>
  <c r="L96" i="80"/>
  <c r="K96" i="80"/>
  <c r="J96" i="80"/>
  <c r="I96" i="80"/>
  <c r="H96" i="80"/>
  <c r="G96" i="80"/>
  <c r="E96" i="80"/>
  <c r="D96" i="80"/>
  <c r="N95" i="80"/>
  <c r="M95" i="80"/>
  <c r="L95" i="80"/>
  <c r="K95" i="80"/>
  <c r="J95" i="80"/>
  <c r="I95" i="80"/>
  <c r="H95" i="80"/>
  <c r="G95" i="80"/>
  <c r="E95" i="80"/>
  <c r="D95" i="80"/>
  <c r="N94" i="80"/>
  <c r="M94" i="80"/>
  <c r="L94" i="80"/>
  <c r="K94" i="80"/>
  <c r="J94" i="80"/>
  <c r="I94" i="80"/>
  <c r="H94" i="80"/>
  <c r="G94" i="80"/>
  <c r="E94" i="80"/>
  <c r="D94" i="80"/>
  <c r="N93" i="80"/>
  <c r="M93" i="80"/>
  <c r="L93" i="80"/>
  <c r="K93" i="80"/>
  <c r="J93" i="80"/>
  <c r="I93" i="80"/>
  <c r="H93" i="80"/>
  <c r="G93" i="80"/>
  <c r="E93" i="80"/>
  <c r="D93" i="80"/>
  <c r="N92" i="80"/>
  <c r="M92" i="80"/>
  <c r="L92" i="80"/>
  <c r="K92" i="80"/>
  <c r="J92" i="80"/>
  <c r="I92" i="80"/>
  <c r="H92" i="80"/>
  <c r="G92" i="80"/>
  <c r="E92" i="80"/>
  <c r="D92" i="80"/>
  <c r="N91" i="80"/>
  <c r="M91" i="80"/>
  <c r="L91" i="80"/>
  <c r="K91" i="80"/>
  <c r="J91" i="80"/>
  <c r="I91" i="80"/>
  <c r="H91" i="80"/>
  <c r="G91" i="80"/>
  <c r="E91" i="80"/>
  <c r="D91" i="80"/>
  <c r="N90" i="80"/>
  <c r="M90" i="80"/>
  <c r="L90" i="80"/>
  <c r="K90" i="80"/>
  <c r="J90" i="80"/>
  <c r="I90" i="80"/>
  <c r="H90" i="80"/>
  <c r="G90" i="80"/>
  <c r="E90" i="80"/>
  <c r="D90" i="80"/>
  <c r="N89" i="80"/>
  <c r="M89" i="80"/>
  <c r="L89" i="80"/>
  <c r="K89" i="80"/>
  <c r="J89" i="80"/>
  <c r="I89" i="80"/>
  <c r="H89" i="80"/>
  <c r="G89" i="80"/>
  <c r="E89" i="80"/>
  <c r="D89" i="80"/>
  <c r="N88" i="80"/>
  <c r="M88" i="80"/>
  <c r="L88" i="80"/>
  <c r="K88" i="80"/>
  <c r="J88" i="80"/>
  <c r="I88" i="80"/>
  <c r="H88" i="80"/>
  <c r="G88" i="80"/>
  <c r="E88" i="80"/>
  <c r="D88" i="80"/>
  <c r="N87" i="80"/>
  <c r="M87" i="80"/>
  <c r="L87" i="80"/>
  <c r="K87" i="80"/>
  <c r="J87" i="80"/>
  <c r="I87" i="80"/>
  <c r="H87" i="80"/>
  <c r="G87" i="80"/>
  <c r="E87" i="80"/>
  <c r="D87" i="80"/>
  <c r="N86" i="80"/>
  <c r="M86" i="80"/>
  <c r="L86" i="80"/>
  <c r="K86" i="80"/>
  <c r="J86" i="80"/>
  <c r="I86" i="80"/>
  <c r="H86" i="80"/>
  <c r="G86" i="80"/>
  <c r="E86" i="80"/>
  <c r="D86" i="80"/>
  <c r="N85" i="80"/>
  <c r="M85" i="80"/>
  <c r="L85" i="80"/>
  <c r="K85" i="80"/>
  <c r="J85" i="80"/>
  <c r="I85" i="80"/>
  <c r="H85" i="80"/>
  <c r="G85" i="80"/>
  <c r="E85" i="80"/>
  <c r="D85" i="80"/>
  <c r="N84" i="80"/>
  <c r="M84" i="80"/>
  <c r="L84" i="80"/>
  <c r="K84" i="80"/>
  <c r="J84" i="80"/>
  <c r="I84" i="80"/>
  <c r="H84" i="80"/>
  <c r="G84" i="80"/>
  <c r="E84" i="80"/>
  <c r="D84" i="80"/>
  <c r="N83" i="80"/>
  <c r="M83" i="80"/>
  <c r="L83" i="80"/>
  <c r="K83" i="80"/>
  <c r="J83" i="80"/>
  <c r="I83" i="80"/>
  <c r="H83" i="80"/>
  <c r="G83" i="80"/>
  <c r="E83" i="80"/>
  <c r="D83" i="80"/>
  <c r="N82" i="80"/>
  <c r="M82" i="80"/>
  <c r="L82" i="80"/>
  <c r="K82" i="80"/>
  <c r="J82" i="80"/>
  <c r="I82" i="80"/>
  <c r="H82" i="80"/>
  <c r="G82" i="80"/>
  <c r="E82" i="80"/>
  <c r="D82" i="80"/>
  <c r="N81" i="80"/>
  <c r="M81" i="80"/>
  <c r="L81" i="80"/>
  <c r="K81" i="80"/>
  <c r="J81" i="80"/>
  <c r="I81" i="80"/>
  <c r="H81" i="80"/>
  <c r="G81" i="80"/>
  <c r="E81" i="80"/>
  <c r="D81" i="80"/>
  <c r="N80" i="80"/>
  <c r="M80" i="80"/>
  <c r="L80" i="80"/>
  <c r="K80" i="80"/>
  <c r="J80" i="80"/>
  <c r="I80" i="80"/>
  <c r="H80" i="80"/>
  <c r="G80" i="80"/>
  <c r="E80" i="80"/>
  <c r="D80" i="80"/>
  <c r="N79" i="80"/>
  <c r="M79" i="80"/>
  <c r="L79" i="80"/>
  <c r="K79" i="80"/>
  <c r="J79" i="80"/>
  <c r="I79" i="80"/>
  <c r="H79" i="80"/>
  <c r="G79" i="80"/>
  <c r="E79" i="80"/>
  <c r="D79" i="80"/>
  <c r="N78" i="80"/>
  <c r="M78" i="80"/>
  <c r="L78" i="80"/>
  <c r="K78" i="80"/>
  <c r="J78" i="80"/>
  <c r="I78" i="80"/>
  <c r="H78" i="80"/>
  <c r="G78" i="80"/>
  <c r="E78" i="80"/>
  <c r="D78" i="80"/>
  <c r="N77" i="80"/>
  <c r="M77" i="80"/>
  <c r="L77" i="80"/>
  <c r="K77" i="80"/>
  <c r="J77" i="80"/>
  <c r="I77" i="80"/>
  <c r="H77" i="80"/>
  <c r="G77" i="80"/>
  <c r="E77" i="80"/>
  <c r="D77" i="80"/>
  <c r="N76" i="80"/>
  <c r="M76" i="80"/>
  <c r="L76" i="80"/>
  <c r="K76" i="80"/>
  <c r="J76" i="80"/>
  <c r="I76" i="80"/>
  <c r="H76" i="80"/>
  <c r="G76" i="80"/>
  <c r="E76" i="80"/>
  <c r="D76" i="80"/>
  <c r="P75" i="80"/>
  <c r="N75" i="80"/>
  <c r="M75" i="80"/>
  <c r="L75" i="80"/>
  <c r="K75" i="80"/>
  <c r="J75" i="80"/>
  <c r="I75" i="80"/>
  <c r="H75" i="80"/>
  <c r="G75" i="80"/>
  <c r="E75" i="80"/>
  <c r="D75" i="80"/>
  <c r="N74" i="80"/>
  <c r="M74" i="80"/>
  <c r="L74" i="80"/>
  <c r="K74" i="80"/>
  <c r="J74" i="80"/>
  <c r="I74" i="80"/>
  <c r="H74" i="80"/>
  <c r="G74" i="80"/>
  <c r="E74" i="80"/>
  <c r="D74" i="80"/>
  <c r="N73" i="80"/>
  <c r="M73" i="80"/>
  <c r="L73" i="80"/>
  <c r="K73" i="80"/>
  <c r="J73" i="80"/>
  <c r="I73" i="80"/>
  <c r="H73" i="80"/>
  <c r="G73" i="80"/>
  <c r="E73" i="80"/>
  <c r="D73" i="80"/>
  <c r="N72" i="80"/>
  <c r="M72" i="80"/>
  <c r="L72" i="80"/>
  <c r="K72" i="80"/>
  <c r="J72" i="80"/>
  <c r="I72" i="80"/>
  <c r="H72" i="80"/>
  <c r="G72" i="80"/>
  <c r="E72" i="80"/>
  <c r="D72" i="80"/>
  <c r="N71" i="80"/>
  <c r="M71" i="80"/>
  <c r="L71" i="80"/>
  <c r="K71" i="80"/>
  <c r="J71" i="80"/>
  <c r="I71" i="80"/>
  <c r="H71" i="80"/>
  <c r="G71" i="80"/>
  <c r="E71" i="80"/>
  <c r="D71" i="80"/>
  <c r="N70" i="80"/>
  <c r="M70" i="80"/>
  <c r="L70" i="80"/>
  <c r="K70" i="80"/>
  <c r="J70" i="80"/>
  <c r="I70" i="80"/>
  <c r="H70" i="80"/>
  <c r="G70" i="80"/>
  <c r="E70" i="80"/>
  <c r="D70" i="80"/>
  <c r="N69" i="80"/>
  <c r="M69" i="80"/>
  <c r="L69" i="80"/>
  <c r="K69" i="80"/>
  <c r="J69" i="80"/>
  <c r="I69" i="80"/>
  <c r="H69" i="80"/>
  <c r="G69" i="80"/>
  <c r="E69" i="80"/>
  <c r="D69" i="80"/>
  <c r="N68" i="80"/>
  <c r="M68" i="80"/>
  <c r="L68" i="80"/>
  <c r="K68" i="80"/>
  <c r="J68" i="80"/>
  <c r="I68" i="80"/>
  <c r="H68" i="80"/>
  <c r="G68" i="80"/>
  <c r="E68" i="80"/>
  <c r="D68" i="80"/>
  <c r="N67" i="80"/>
  <c r="M67" i="80"/>
  <c r="L67" i="80"/>
  <c r="K67" i="80"/>
  <c r="J67" i="80"/>
  <c r="I67" i="80"/>
  <c r="H67" i="80"/>
  <c r="G67" i="80"/>
  <c r="E67" i="80"/>
  <c r="D67" i="80"/>
  <c r="N66" i="80"/>
  <c r="M66" i="80"/>
  <c r="L66" i="80"/>
  <c r="K66" i="80"/>
  <c r="J66" i="80"/>
  <c r="I66" i="80"/>
  <c r="H66" i="80"/>
  <c r="G66" i="80"/>
  <c r="E66" i="80"/>
  <c r="D66" i="80"/>
  <c r="N65" i="80"/>
  <c r="M65" i="80"/>
  <c r="L65" i="80"/>
  <c r="K65" i="80"/>
  <c r="J65" i="80"/>
  <c r="I65" i="80"/>
  <c r="H65" i="80"/>
  <c r="G65" i="80"/>
  <c r="E65" i="80"/>
  <c r="D65" i="80"/>
  <c r="N64" i="80"/>
  <c r="M64" i="80"/>
  <c r="L64" i="80"/>
  <c r="K64" i="80"/>
  <c r="J64" i="80"/>
  <c r="I64" i="80"/>
  <c r="H64" i="80"/>
  <c r="G64" i="80"/>
  <c r="E64" i="80"/>
  <c r="D64" i="80"/>
  <c r="N63" i="80"/>
  <c r="M63" i="80"/>
  <c r="L63" i="80"/>
  <c r="K63" i="80"/>
  <c r="J63" i="80"/>
  <c r="I63" i="80"/>
  <c r="H63" i="80"/>
  <c r="G63" i="80"/>
  <c r="E63" i="80"/>
  <c r="D63" i="80"/>
  <c r="N62" i="80"/>
  <c r="M62" i="80"/>
  <c r="L62" i="80"/>
  <c r="K62" i="80"/>
  <c r="J62" i="80"/>
  <c r="I62" i="80"/>
  <c r="H62" i="80"/>
  <c r="G62" i="80"/>
  <c r="E62" i="80"/>
  <c r="P62" i="80" s="1"/>
  <c r="D62" i="80"/>
  <c r="N61" i="80"/>
  <c r="M61" i="80"/>
  <c r="L61" i="80"/>
  <c r="K61" i="80"/>
  <c r="J61" i="80"/>
  <c r="I61" i="80"/>
  <c r="H61" i="80"/>
  <c r="G61" i="80"/>
  <c r="E61" i="80"/>
  <c r="D61" i="80"/>
  <c r="N60" i="80"/>
  <c r="M60" i="80"/>
  <c r="L60" i="80"/>
  <c r="K60" i="80"/>
  <c r="J60" i="80"/>
  <c r="I60" i="80"/>
  <c r="H60" i="80"/>
  <c r="G60" i="80"/>
  <c r="E60" i="80"/>
  <c r="D60" i="80"/>
  <c r="N59" i="80"/>
  <c r="M59" i="80"/>
  <c r="L59" i="80"/>
  <c r="K59" i="80"/>
  <c r="J59" i="80"/>
  <c r="I59" i="80"/>
  <c r="H59" i="80"/>
  <c r="G59" i="80"/>
  <c r="E59" i="80"/>
  <c r="D59" i="80"/>
  <c r="N58" i="80"/>
  <c r="M58" i="80"/>
  <c r="L58" i="80"/>
  <c r="K58" i="80"/>
  <c r="J58" i="80"/>
  <c r="I58" i="80"/>
  <c r="H58" i="80"/>
  <c r="G58" i="80"/>
  <c r="E58" i="80"/>
  <c r="D58" i="80"/>
  <c r="N57" i="80"/>
  <c r="M57" i="80"/>
  <c r="L57" i="80"/>
  <c r="K57" i="80"/>
  <c r="J57" i="80"/>
  <c r="I57" i="80"/>
  <c r="H57" i="80"/>
  <c r="G57" i="80"/>
  <c r="E57" i="80"/>
  <c r="D57" i="80"/>
  <c r="N56" i="80"/>
  <c r="M56" i="80"/>
  <c r="L56" i="80"/>
  <c r="K56" i="80"/>
  <c r="J56" i="80"/>
  <c r="I56" i="80"/>
  <c r="H56" i="80"/>
  <c r="G56" i="80"/>
  <c r="E56" i="80"/>
  <c r="D56" i="80"/>
  <c r="N55" i="80"/>
  <c r="M55" i="80"/>
  <c r="L55" i="80"/>
  <c r="K55" i="80"/>
  <c r="J55" i="80"/>
  <c r="I55" i="80"/>
  <c r="H55" i="80"/>
  <c r="G55" i="80"/>
  <c r="E55" i="80"/>
  <c r="D55" i="80"/>
  <c r="N54" i="80"/>
  <c r="M54" i="80"/>
  <c r="L54" i="80"/>
  <c r="K54" i="80"/>
  <c r="J54" i="80"/>
  <c r="I54" i="80"/>
  <c r="H54" i="80"/>
  <c r="G54" i="80"/>
  <c r="E54" i="80"/>
  <c r="D54" i="80"/>
  <c r="N53" i="80"/>
  <c r="M53" i="80"/>
  <c r="L53" i="80"/>
  <c r="K53" i="80"/>
  <c r="J53" i="80"/>
  <c r="I53" i="80"/>
  <c r="H53" i="80"/>
  <c r="G53" i="80"/>
  <c r="E53" i="80"/>
  <c r="D53" i="80"/>
  <c r="N52" i="80"/>
  <c r="M52" i="80"/>
  <c r="L52" i="80"/>
  <c r="K52" i="80"/>
  <c r="J52" i="80"/>
  <c r="I52" i="80"/>
  <c r="H52" i="80"/>
  <c r="G52" i="80"/>
  <c r="E52" i="80"/>
  <c r="D52" i="80"/>
  <c r="N51" i="80"/>
  <c r="M51" i="80"/>
  <c r="L51" i="80"/>
  <c r="K51" i="80"/>
  <c r="J51" i="80"/>
  <c r="I51" i="80"/>
  <c r="H51" i="80"/>
  <c r="G51" i="80"/>
  <c r="E51" i="80"/>
  <c r="D51" i="80"/>
  <c r="N50" i="80"/>
  <c r="M50" i="80"/>
  <c r="L50" i="80"/>
  <c r="K50" i="80"/>
  <c r="J50" i="80"/>
  <c r="I50" i="80"/>
  <c r="H50" i="80"/>
  <c r="G50" i="80"/>
  <c r="E50" i="80"/>
  <c r="D50" i="80"/>
  <c r="N49" i="80"/>
  <c r="M49" i="80"/>
  <c r="L49" i="80"/>
  <c r="K49" i="80"/>
  <c r="J49" i="80"/>
  <c r="I49" i="80"/>
  <c r="H49" i="80"/>
  <c r="G49" i="80"/>
  <c r="E49" i="80"/>
  <c r="D49" i="80"/>
  <c r="N48" i="80"/>
  <c r="M48" i="80"/>
  <c r="L48" i="80"/>
  <c r="K48" i="80"/>
  <c r="J48" i="80"/>
  <c r="I48" i="80"/>
  <c r="H48" i="80"/>
  <c r="G48" i="80"/>
  <c r="E48" i="80"/>
  <c r="D48" i="80"/>
  <c r="N47" i="80"/>
  <c r="M47" i="80"/>
  <c r="L47" i="80"/>
  <c r="K47" i="80"/>
  <c r="J47" i="80"/>
  <c r="I47" i="80"/>
  <c r="H47" i="80"/>
  <c r="G47" i="80"/>
  <c r="E47" i="80"/>
  <c r="D47" i="80"/>
  <c r="N46" i="80"/>
  <c r="M46" i="80"/>
  <c r="L46" i="80"/>
  <c r="K46" i="80"/>
  <c r="J46" i="80"/>
  <c r="I46" i="80"/>
  <c r="H46" i="80"/>
  <c r="G46" i="80"/>
  <c r="E46" i="80"/>
  <c r="D46" i="80"/>
  <c r="N45" i="80"/>
  <c r="M45" i="80"/>
  <c r="L45" i="80"/>
  <c r="K45" i="80"/>
  <c r="J45" i="80"/>
  <c r="P45" i="80" s="1"/>
  <c r="I45" i="80"/>
  <c r="H45" i="80"/>
  <c r="G45" i="80"/>
  <c r="E45" i="80"/>
  <c r="D45" i="80"/>
  <c r="N44" i="80"/>
  <c r="M44" i="80"/>
  <c r="L44" i="80"/>
  <c r="K44" i="80"/>
  <c r="J44" i="80"/>
  <c r="I44" i="80"/>
  <c r="H44" i="80"/>
  <c r="G44" i="80"/>
  <c r="E44" i="80"/>
  <c r="D44" i="80"/>
  <c r="N43" i="80"/>
  <c r="M43" i="80"/>
  <c r="L43" i="80"/>
  <c r="K43" i="80"/>
  <c r="J43" i="80"/>
  <c r="I43" i="80"/>
  <c r="H43" i="80"/>
  <c r="G43" i="80"/>
  <c r="E43" i="80"/>
  <c r="P43" i="80" s="1"/>
  <c r="D43" i="80"/>
  <c r="N42" i="80"/>
  <c r="M42" i="80"/>
  <c r="L42" i="80"/>
  <c r="K42" i="80"/>
  <c r="J42" i="80"/>
  <c r="I42" i="80"/>
  <c r="H42" i="80"/>
  <c r="G42" i="80"/>
  <c r="E42" i="80"/>
  <c r="D42" i="80"/>
  <c r="N41" i="80"/>
  <c r="M41" i="80"/>
  <c r="L41" i="80"/>
  <c r="K41" i="80"/>
  <c r="J41" i="80"/>
  <c r="I41" i="80"/>
  <c r="H41" i="80"/>
  <c r="G41" i="80"/>
  <c r="E41" i="80"/>
  <c r="D41" i="80"/>
  <c r="N40" i="80"/>
  <c r="M40" i="80"/>
  <c r="L40" i="80"/>
  <c r="K40" i="80"/>
  <c r="J40" i="80"/>
  <c r="I40" i="80"/>
  <c r="H40" i="80"/>
  <c r="G40" i="80"/>
  <c r="E40" i="80"/>
  <c r="D40" i="80"/>
  <c r="N39" i="80"/>
  <c r="M39" i="80"/>
  <c r="L39" i="80"/>
  <c r="K39" i="80"/>
  <c r="J39" i="80"/>
  <c r="I39" i="80"/>
  <c r="H39" i="80"/>
  <c r="G39" i="80"/>
  <c r="E39" i="80"/>
  <c r="D39" i="80"/>
  <c r="N38" i="80"/>
  <c r="M38" i="80"/>
  <c r="L38" i="80"/>
  <c r="K38" i="80"/>
  <c r="J38" i="80"/>
  <c r="I38" i="80"/>
  <c r="H38" i="80"/>
  <c r="G38" i="80"/>
  <c r="E38" i="80"/>
  <c r="D38" i="80"/>
  <c r="N37" i="80"/>
  <c r="M37" i="80"/>
  <c r="L37" i="80"/>
  <c r="K37" i="80"/>
  <c r="J37" i="80"/>
  <c r="I37" i="80"/>
  <c r="H37" i="80"/>
  <c r="G37" i="80"/>
  <c r="E37" i="80"/>
  <c r="D37" i="80"/>
  <c r="N36" i="80"/>
  <c r="M36" i="80"/>
  <c r="L36" i="80"/>
  <c r="K36" i="80"/>
  <c r="J36" i="80"/>
  <c r="I36" i="80"/>
  <c r="H36" i="80"/>
  <c r="G36" i="80"/>
  <c r="E36" i="80"/>
  <c r="D36" i="80"/>
  <c r="N35" i="80"/>
  <c r="M35" i="80"/>
  <c r="L35" i="80"/>
  <c r="K35" i="80"/>
  <c r="J35" i="80"/>
  <c r="I35" i="80"/>
  <c r="H35" i="80"/>
  <c r="G35" i="80"/>
  <c r="E35" i="80"/>
  <c r="D35" i="80"/>
  <c r="N34" i="80"/>
  <c r="M34" i="80"/>
  <c r="L34" i="80"/>
  <c r="K34" i="80"/>
  <c r="J34" i="80"/>
  <c r="I34" i="80"/>
  <c r="H34" i="80"/>
  <c r="G34" i="80"/>
  <c r="E34" i="80"/>
  <c r="D34" i="80"/>
  <c r="N33" i="80"/>
  <c r="M33" i="80"/>
  <c r="L33" i="80"/>
  <c r="K33" i="80"/>
  <c r="J33" i="80"/>
  <c r="I33" i="80"/>
  <c r="H33" i="80"/>
  <c r="G33" i="80"/>
  <c r="E33" i="80"/>
  <c r="D33" i="80"/>
  <c r="N32" i="80"/>
  <c r="M32" i="80"/>
  <c r="L32" i="80"/>
  <c r="K32" i="80"/>
  <c r="J32" i="80"/>
  <c r="I32" i="80"/>
  <c r="H32" i="80"/>
  <c r="G32" i="80"/>
  <c r="E32" i="80"/>
  <c r="D32" i="80"/>
  <c r="N31" i="80"/>
  <c r="M31" i="80"/>
  <c r="L31" i="80"/>
  <c r="K31" i="80"/>
  <c r="J31" i="80"/>
  <c r="I31" i="80"/>
  <c r="H31" i="80"/>
  <c r="G31" i="80"/>
  <c r="E31" i="80"/>
  <c r="D31" i="80"/>
  <c r="N30" i="80"/>
  <c r="M30" i="80"/>
  <c r="L30" i="80"/>
  <c r="K30" i="80"/>
  <c r="J30" i="80"/>
  <c r="I30" i="80"/>
  <c r="H30" i="80"/>
  <c r="G30" i="80"/>
  <c r="E30" i="80"/>
  <c r="P30" i="80" s="1"/>
  <c r="D30" i="80"/>
  <c r="N29" i="80"/>
  <c r="M29" i="80"/>
  <c r="L29" i="80"/>
  <c r="K29" i="80"/>
  <c r="J29" i="80"/>
  <c r="I29" i="80"/>
  <c r="H29" i="80"/>
  <c r="G29" i="80"/>
  <c r="E29" i="80"/>
  <c r="D29" i="80"/>
  <c r="N28" i="80"/>
  <c r="M28" i="80"/>
  <c r="L28" i="80"/>
  <c r="K28" i="80"/>
  <c r="J28" i="80"/>
  <c r="I28" i="80"/>
  <c r="H28" i="80"/>
  <c r="G28" i="80"/>
  <c r="E28" i="80"/>
  <c r="D28" i="80"/>
  <c r="N27" i="80"/>
  <c r="M27" i="80"/>
  <c r="L27" i="80"/>
  <c r="K27" i="80"/>
  <c r="J27" i="80"/>
  <c r="I27" i="80"/>
  <c r="H27" i="80"/>
  <c r="G27" i="80"/>
  <c r="E27" i="80"/>
  <c r="D27" i="80"/>
  <c r="N26" i="80"/>
  <c r="M26" i="80"/>
  <c r="L26" i="80"/>
  <c r="K26" i="80"/>
  <c r="J26" i="80"/>
  <c r="I26" i="80"/>
  <c r="H26" i="80"/>
  <c r="G26" i="80"/>
  <c r="E26" i="80"/>
  <c r="D26" i="80"/>
  <c r="N25" i="80"/>
  <c r="M25" i="80"/>
  <c r="L25" i="80"/>
  <c r="K25" i="80"/>
  <c r="J25" i="80"/>
  <c r="I25" i="80"/>
  <c r="H25" i="80"/>
  <c r="G25" i="80"/>
  <c r="E25" i="80"/>
  <c r="D25" i="80"/>
  <c r="N24" i="80"/>
  <c r="M24" i="80"/>
  <c r="M132" i="80" s="1"/>
  <c r="M137" i="80" s="1"/>
  <c r="M141" i="80" s="1"/>
  <c r="L24" i="80"/>
  <c r="K24" i="80"/>
  <c r="J24" i="80"/>
  <c r="I24" i="80"/>
  <c r="H24" i="80"/>
  <c r="G24" i="80"/>
  <c r="E24" i="80"/>
  <c r="D24" i="80"/>
  <c r="N23" i="80"/>
  <c r="M23" i="80"/>
  <c r="L23" i="80"/>
  <c r="K23" i="80"/>
  <c r="J23" i="80"/>
  <c r="I23" i="80"/>
  <c r="H23" i="80"/>
  <c r="G23" i="80"/>
  <c r="E23" i="80"/>
  <c r="D23" i="80"/>
  <c r="N22" i="80"/>
  <c r="M22" i="80"/>
  <c r="L22" i="80"/>
  <c r="L132" i="80" s="1"/>
  <c r="L137" i="80" s="1"/>
  <c r="K22" i="80"/>
  <c r="J22" i="80"/>
  <c r="J132" i="80" s="1"/>
  <c r="J137" i="80" s="1"/>
  <c r="I22" i="80"/>
  <c r="H22" i="80"/>
  <c r="G22" i="80"/>
  <c r="E22" i="80"/>
  <c r="D22" i="80"/>
  <c r="N19" i="80"/>
  <c r="M19" i="80"/>
  <c r="L19" i="80"/>
  <c r="K19" i="80"/>
  <c r="J19" i="80"/>
  <c r="H19" i="80"/>
  <c r="G19" i="80"/>
  <c r="F19" i="80"/>
  <c r="E19" i="80"/>
  <c r="D19" i="80"/>
  <c r="P18" i="80"/>
  <c r="O18" i="80"/>
  <c r="N18" i="80"/>
  <c r="M18" i="80"/>
  <c r="L18" i="80"/>
  <c r="K18" i="80"/>
  <c r="J18" i="80"/>
  <c r="I18" i="80"/>
  <c r="H18" i="80"/>
  <c r="G18" i="80"/>
  <c r="F18" i="80"/>
  <c r="E18" i="80"/>
  <c r="D18" i="80"/>
  <c r="P17" i="80"/>
  <c r="P16" i="80"/>
  <c r="P15" i="80"/>
  <c r="P14" i="80"/>
  <c r="N13" i="80"/>
  <c r="M13" i="80"/>
  <c r="L13" i="80"/>
  <c r="K13" i="80"/>
  <c r="J13" i="80"/>
  <c r="H13" i="80"/>
  <c r="G13" i="80"/>
  <c r="F13" i="80"/>
  <c r="E13" i="80"/>
  <c r="D13" i="80"/>
  <c r="N12" i="80"/>
  <c r="M12" i="80"/>
  <c r="L12" i="80"/>
  <c r="K12" i="80"/>
  <c r="J12" i="80"/>
  <c r="I12" i="80"/>
  <c r="H12" i="80"/>
  <c r="G12" i="80"/>
  <c r="E12" i="80"/>
  <c r="D12" i="80"/>
  <c r="N11" i="80"/>
  <c r="M11" i="80"/>
  <c r="L11" i="80"/>
  <c r="K11" i="80"/>
  <c r="J11" i="80"/>
  <c r="I11" i="80"/>
  <c r="P11" i="80" s="1"/>
  <c r="H11" i="80"/>
  <c r="G11" i="80"/>
  <c r="E11" i="80"/>
  <c r="D11" i="80"/>
  <c r="N10" i="80"/>
  <c r="M10" i="80"/>
  <c r="L10" i="80"/>
  <c r="K10" i="80"/>
  <c r="J10" i="80"/>
  <c r="I10" i="80"/>
  <c r="P10" i="80" s="1"/>
  <c r="H10" i="80"/>
  <c r="G10" i="80"/>
  <c r="E10" i="80"/>
  <c r="D10" i="80"/>
  <c r="N9" i="80"/>
  <c r="M9" i="80"/>
  <c r="L9" i="80"/>
  <c r="K9" i="80"/>
  <c r="J9" i="80"/>
  <c r="I9" i="80"/>
  <c r="H9" i="80"/>
  <c r="G9" i="80"/>
  <c r="E9" i="80"/>
  <c r="D9" i="80"/>
  <c r="O8" i="80"/>
  <c r="O13" i="80" s="1"/>
  <c r="N8" i="80"/>
  <c r="M8" i="80"/>
  <c r="L8" i="80"/>
  <c r="K8" i="80"/>
  <c r="J8" i="80"/>
  <c r="H8" i="80"/>
  <c r="G8" i="80"/>
  <c r="F8" i="80"/>
  <c r="E8" i="80"/>
  <c r="D8" i="80"/>
  <c r="C71" i="38"/>
  <c r="D70" i="38"/>
  <c r="C70" i="38"/>
  <c r="D69" i="38"/>
  <c r="B69" i="38"/>
  <c r="D68" i="38"/>
  <c r="B68" i="38"/>
  <c r="D67" i="38"/>
  <c r="B67" i="38"/>
  <c r="D66" i="38"/>
  <c r="B66" i="38"/>
  <c r="D64" i="38"/>
  <c r="B64" i="38"/>
  <c r="D63" i="38"/>
  <c r="B63" i="38"/>
  <c r="D62" i="38"/>
  <c r="B62" i="38"/>
  <c r="D61" i="38"/>
  <c r="B61" i="38"/>
  <c r="D60" i="38"/>
  <c r="B60" i="38"/>
  <c r="D59" i="38"/>
  <c r="B59" i="38"/>
  <c r="D58" i="38"/>
  <c r="B58" i="38"/>
  <c r="D57" i="38"/>
  <c r="B57" i="38"/>
  <c r="D56" i="38"/>
  <c r="B56" i="38"/>
  <c r="D55" i="38"/>
  <c r="B55" i="38"/>
  <c r="D54" i="38"/>
  <c r="B54" i="38"/>
  <c r="D53" i="38"/>
  <c r="B53" i="38"/>
  <c r="D52" i="38"/>
  <c r="B52" i="38"/>
  <c r="D51" i="38"/>
  <c r="B51" i="38"/>
  <c r="D50" i="38"/>
  <c r="B50" i="38"/>
  <c r="D49" i="38"/>
  <c r="B49" i="38"/>
  <c r="D48" i="38"/>
  <c r="B48" i="38"/>
  <c r="D47" i="38"/>
  <c r="B47" i="38"/>
  <c r="D46" i="38"/>
  <c r="B46" i="38"/>
  <c r="D45" i="38"/>
  <c r="B45" i="38"/>
  <c r="D44" i="38"/>
  <c r="B44" i="38"/>
  <c r="D43" i="38"/>
  <c r="B43" i="38"/>
  <c r="D42" i="38"/>
  <c r="B42" i="38"/>
  <c r="D41" i="38"/>
  <c r="B41" i="38"/>
  <c r="D40" i="38"/>
  <c r="B40" i="38"/>
  <c r="D39" i="38"/>
  <c r="B39" i="38"/>
  <c r="V36" i="38"/>
  <c r="U36" i="38"/>
  <c r="S36" i="38"/>
  <c r="R36" i="38"/>
  <c r="Q36" i="38"/>
  <c r="P36" i="38"/>
  <c r="N36" i="38"/>
  <c r="I36" i="38"/>
  <c r="H36" i="38"/>
  <c r="G36" i="38"/>
  <c r="C36" i="38"/>
  <c r="B36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K35" i="38"/>
  <c r="J35" i="38"/>
  <c r="I35" i="38"/>
  <c r="H35" i="38"/>
  <c r="G35" i="38"/>
  <c r="F35" i="38"/>
  <c r="E35" i="38"/>
  <c r="D35" i="38"/>
  <c r="C35" i="38"/>
  <c r="B35" i="38"/>
  <c r="Y34" i="38"/>
  <c r="X34" i="38"/>
  <c r="W34" i="38"/>
  <c r="Y33" i="38"/>
  <c r="X33" i="38"/>
  <c r="W33" i="38"/>
  <c r="Y32" i="38"/>
  <c r="X32" i="38"/>
  <c r="W32" i="38"/>
  <c r="Y31" i="38"/>
  <c r="X31" i="38"/>
  <c r="W31" i="38"/>
  <c r="P31" i="38"/>
  <c r="Y30" i="38"/>
  <c r="X30" i="38"/>
  <c r="W30" i="38"/>
  <c r="Y29" i="38"/>
  <c r="X29" i="38"/>
  <c r="W29" i="38"/>
  <c r="Y28" i="38"/>
  <c r="X28" i="38"/>
  <c r="W28" i="38"/>
  <c r="Y27" i="38"/>
  <c r="X27" i="38"/>
  <c r="W27" i="38"/>
  <c r="Y26" i="38"/>
  <c r="X26" i="38"/>
  <c r="W26" i="38"/>
  <c r="Y25" i="38"/>
  <c r="X25" i="38"/>
  <c r="W25" i="38"/>
  <c r="Y24" i="38"/>
  <c r="X24" i="38"/>
  <c r="W24" i="38"/>
  <c r="Y23" i="38"/>
  <c r="X23" i="38"/>
  <c r="W23" i="38"/>
  <c r="Y22" i="38"/>
  <c r="X22" i="38"/>
  <c r="W22" i="38"/>
  <c r="Y21" i="38"/>
  <c r="X21" i="38"/>
  <c r="W21" i="38"/>
  <c r="Y20" i="38"/>
  <c r="X20" i="38"/>
  <c r="W20" i="38"/>
  <c r="Y19" i="38"/>
  <c r="X19" i="38"/>
  <c r="W19" i="38"/>
  <c r="P19" i="38"/>
  <c r="Y18" i="38"/>
  <c r="X18" i="38"/>
  <c r="W18" i="38"/>
  <c r="Y17" i="38"/>
  <c r="X17" i="38"/>
  <c r="W17" i="38"/>
  <c r="P17" i="38"/>
  <c r="Y16" i="38"/>
  <c r="X16" i="38"/>
  <c r="W16" i="38"/>
  <c r="P16" i="38"/>
  <c r="Y15" i="38"/>
  <c r="X15" i="38"/>
  <c r="W15" i="38"/>
  <c r="P15" i="38"/>
  <c r="Y14" i="38"/>
  <c r="X14" i="38"/>
  <c r="W14" i="38"/>
  <c r="Y13" i="38"/>
  <c r="X13" i="38"/>
  <c r="W13" i="38"/>
  <c r="Y12" i="38"/>
  <c r="X12" i="38"/>
  <c r="W12" i="38"/>
  <c r="Y11" i="38"/>
  <c r="X11" i="38"/>
  <c r="W11" i="38"/>
  <c r="Y10" i="38"/>
  <c r="X10" i="38"/>
  <c r="W10" i="38"/>
  <c r="Y9" i="38"/>
  <c r="X9" i="38"/>
  <c r="W9" i="38"/>
  <c r="Y8" i="38"/>
  <c r="X8" i="38"/>
  <c r="W8" i="38"/>
  <c r="P8" i="38"/>
  <c r="Y7" i="38"/>
  <c r="X7" i="38"/>
  <c r="W7" i="38"/>
  <c r="P7" i="38"/>
  <c r="Y6" i="38"/>
  <c r="X6" i="38"/>
  <c r="W6" i="38"/>
  <c r="P6" i="38"/>
  <c r="Y5" i="38"/>
  <c r="X5" i="38"/>
  <c r="W5" i="38"/>
  <c r="P5" i="38"/>
  <c r="Y4" i="38"/>
  <c r="X4" i="38"/>
  <c r="W4" i="38"/>
  <c r="K4" i="38"/>
  <c r="J4" i="38"/>
  <c r="N137" i="79"/>
  <c r="H137" i="79"/>
  <c r="F137" i="79"/>
  <c r="D137" i="79"/>
  <c r="N134" i="79"/>
  <c r="M134" i="79"/>
  <c r="L134" i="79"/>
  <c r="K134" i="79"/>
  <c r="J134" i="79"/>
  <c r="H134" i="79"/>
  <c r="G134" i="79"/>
  <c r="F134" i="79"/>
  <c r="E134" i="79"/>
  <c r="D134" i="79"/>
  <c r="O132" i="79"/>
  <c r="N132" i="79"/>
  <c r="I132" i="79"/>
  <c r="H132" i="79"/>
  <c r="F132" i="79"/>
  <c r="D132" i="79"/>
  <c r="N131" i="79"/>
  <c r="M131" i="79"/>
  <c r="L131" i="79"/>
  <c r="K131" i="79"/>
  <c r="J131" i="79"/>
  <c r="I131" i="79"/>
  <c r="H131" i="79"/>
  <c r="G131" i="79"/>
  <c r="E131" i="79"/>
  <c r="D131" i="79"/>
  <c r="N130" i="79"/>
  <c r="M130" i="79"/>
  <c r="L130" i="79"/>
  <c r="K130" i="79"/>
  <c r="J130" i="79"/>
  <c r="I130" i="79"/>
  <c r="H130" i="79"/>
  <c r="G130" i="79"/>
  <c r="E130" i="79"/>
  <c r="D130" i="79"/>
  <c r="N129" i="79"/>
  <c r="M129" i="79"/>
  <c r="L129" i="79"/>
  <c r="K129" i="79"/>
  <c r="J129" i="79"/>
  <c r="I129" i="79"/>
  <c r="H129" i="79"/>
  <c r="G129" i="79"/>
  <c r="E129" i="79"/>
  <c r="D129" i="79"/>
  <c r="N128" i="79"/>
  <c r="M128" i="79"/>
  <c r="L128" i="79"/>
  <c r="K128" i="79"/>
  <c r="J128" i="79"/>
  <c r="I128" i="79"/>
  <c r="H128" i="79"/>
  <c r="G128" i="79"/>
  <c r="E128" i="79"/>
  <c r="D128" i="79"/>
  <c r="N127" i="79"/>
  <c r="M127" i="79"/>
  <c r="L127" i="79"/>
  <c r="K127" i="79"/>
  <c r="J127" i="79"/>
  <c r="I127" i="79"/>
  <c r="H127" i="79"/>
  <c r="G127" i="79"/>
  <c r="E127" i="79"/>
  <c r="D127" i="79"/>
  <c r="N126" i="79"/>
  <c r="M126" i="79"/>
  <c r="L126" i="79"/>
  <c r="K126" i="79"/>
  <c r="J126" i="79"/>
  <c r="I126" i="79"/>
  <c r="H126" i="79"/>
  <c r="G126" i="79"/>
  <c r="E126" i="79"/>
  <c r="D126" i="79"/>
  <c r="N125" i="79"/>
  <c r="M125" i="79"/>
  <c r="L125" i="79"/>
  <c r="K125" i="79"/>
  <c r="J125" i="79"/>
  <c r="I125" i="79"/>
  <c r="H125" i="79"/>
  <c r="G125" i="79"/>
  <c r="E125" i="79"/>
  <c r="D125" i="79"/>
  <c r="N124" i="79"/>
  <c r="M124" i="79"/>
  <c r="L124" i="79"/>
  <c r="K124" i="79"/>
  <c r="J124" i="79"/>
  <c r="I124" i="79"/>
  <c r="H124" i="79"/>
  <c r="G124" i="79"/>
  <c r="E124" i="79"/>
  <c r="D124" i="79"/>
  <c r="N123" i="79"/>
  <c r="M123" i="79"/>
  <c r="L123" i="79"/>
  <c r="K123" i="79"/>
  <c r="J123" i="79"/>
  <c r="I123" i="79"/>
  <c r="H123" i="79"/>
  <c r="G123" i="79"/>
  <c r="E123" i="79"/>
  <c r="D123" i="79"/>
  <c r="N122" i="79"/>
  <c r="M122" i="79"/>
  <c r="L122" i="79"/>
  <c r="K122" i="79"/>
  <c r="J122" i="79"/>
  <c r="I122" i="79"/>
  <c r="H122" i="79"/>
  <c r="G122" i="79"/>
  <c r="E122" i="79"/>
  <c r="D122" i="79"/>
  <c r="N121" i="79"/>
  <c r="M121" i="79"/>
  <c r="L121" i="79"/>
  <c r="K121" i="79"/>
  <c r="J121" i="79"/>
  <c r="I121" i="79"/>
  <c r="H121" i="79"/>
  <c r="G121" i="79"/>
  <c r="E121" i="79"/>
  <c r="D121" i="79"/>
  <c r="N120" i="79"/>
  <c r="M120" i="79"/>
  <c r="L120" i="79"/>
  <c r="K120" i="79"/>
  <c r="J120" i="79"/>
  <c r="I120" i="79"/>
  <c r="H120" i="79"/>
  <c r="G120" i="79"/>
  <c r="E120" i="79"/>
  <c r="D120" i="79"/>
  <c r="N119" i="79"/>
  <c r="M119" i="79"/>
  <c r="L119" i="79"/>
  <c r="K119" i="79"/>
  <c r="J119" i="79"/>
  <c r="I119" i="79"/>
  <c r="H119" i="79"/>
  <c r="G119" i="79"/>
  <c r="E119" i="79"/>
  <c r="D119" i="79"/>
  <c r="N118" i="79"/>
  <c r="M118" i="79"/>
  <c r="L118" i="79"/>
  <c r="K118" i="79"/>
  <c r="J118" i="79"/>
  <c r="I118" i="79"/>
  <c r="H118" i="79"/>
  <c r="G118" i="79"/>
  <c r="E118" i="79"/>
  <c r="D118" i="79"/>
  <c r="N117" i="79"/>
  <c r="M117" i="79"/>
  <c r="L117" i="79"/>
  <c r="K117" i="79"/>
  <c r="J117" i="79"/>
  <c r="I117" i="79"/>
  <c r="H117" i="79"/>
  <c r="G117" i="79"/>
  <c r="E117" i="79"/>
  <c r="D117" i="79"/>
  <c r="N116" i="79"/>
  <c r="M116" i="79"/>
  <c r="L116" i="79"/>
  <c r="K116" i="79"/>
  <c r="J116" i="79"/>
  <c r="I116" i="79"/>
  <c r="H116" i="79"/>
  <c r="G116" i="79"/>
  <c r="E116" i="79"/>
  <c r="D116" i="79"/>
  <c r="N115" i="79"/>
  <c r="M115" i="79"/>
  <c r="L115" i="79"/>
  <c r="K115" i="79"/>
  <c r="J115" i="79"/>
  <c r="I115" i="79"/>
  <c r="H115" i="79"/>
  <c r="G115" i="79"/>
  <c r="E115" i="79"/>
  <c r="D115" i="79"/>
  <c r="N114" i="79"/>
  <c r="M114" i="79"/>
  <c r="L114" i="79"/>
  <c r="K114" i="79"/>
  <c r="J114" i="79"/>
  <c r="I114" i="79"/>
  <c r="H114" i="79"/>
  <c r="G114" i="79"/>
  <c r="E114" i="79"/>
  <c r="D114" i="79"/>
  <c r="N113" i="79"/>
  <c r="M113" i="79"/>
  <c r="L113" i="79"/>
  <c r="K113" i="79"/>
  <c r="J113" i="79"/>
  <c r="I113" i="79"/>
  <c r="H113" i="79"/>
  <c r="G113" i="79"/>
  <c r="E113" i="79"/>
  <c r="D113" i="79"/>
  <c r="N112" i="79"/>
  <c r="M112" i="79"/>
  <c r="L112" i="79"/>
  <c r="K112" i="79"/>
  <c r="J112" i="79"/>
  <c r="I112" i="79"/>
  <c r="H112" i="79"/>
  <c r="G112" i="79"/>
  <c r="E112" i="79"/>
  <c r="D112" i="79"/>
  <c r="N111" i="79"/>
  <c r="M111" i="79"/>
  <c r="L111" i="79"/>
  <c r="K111" i="79"/>
  <c r="J111" i="79"/>
  <c r="I111" i="79"/>
  <c r="H111" i="79"/>
  <c r="G111" i="79"/>
  <c r="E111" i="79"/>
  <c r="D111" i="79"/>
  <c r="N110" i="79"/>
  <c r="M110" i="79"/>
  <c r="L110" i="79"/>
  <c r="K110" i="79"/>
  <c r="J110" i="79"/>
  <c r="I110" i="79"/>
  <c r="H110" i="79"/>
  <c r="G110" i="79"/>
  <c r="E110" i="79"/>
  <c r="D110" i="79"/>
  <c r="N109" i="79"/>
  <c r="M109" i="79"/>
  <c r="L109" i="79"/>
  <c r="K109" i="79"/>
  <c r="J109" i="79"/>
  <c r="I109" i="79"/>
  <c r="H109" i="79"/>
  <c r="G109" i="79"/>
  <c r="E109" i="79"/>
  <c r="D109" i="79"/>
  <c r="N108" i="79"/>
  <c r="M108" i="79"/>
  <c r="L108" i="79"/>
  <c r="K108" i="79"/>
  <c r="J108" i="79"/>
  <c r="I108" i="79"/>
  <c r="H108" i="79"/>
  <c r="G108" i="79"/>
  <c r="E108" i="79"/>
  <c r="D108" i="79"/>
  <c r="N107" i="79"/>
  <c r="M107" i="79"/>
  <c r="L107" i="79"/>
  <c r="K107" i="79"/>
  <c r="J107" i="79"/>
  <c r="I107" i="79"/>
  <c r="H107" i="79"/>
  <c r="G107" i="79"/>
  <c r="E107" i="79"/>
  <c r="D107" i="79"/>
  <c r="N106" i="79"/>
  <c r="M106" i="79"/>
  <c r="L106" i="79"/>
  <c r="K106" i="79"/>
  <c r="J106" i="79"/>
  <c r="I106" i="79"/>
  <c r="H106" i="79"/>
  <c r="G106" i="79"/>
  <c r="E106" i="79"/>
  <c r="D106" i="79"/>
  <c r="N105" i="79"/>
  <c r="M105" i="79"/>
  <c r="L105" i="79"/>
  <c r="K105" i="79"/>
  <c r="J105" i="79"/>
  <c r="I105" i="79"/>
  <c r="H105" i="79"/>
  <c r="G105" i="79"/>
  <c r="E105" i="79"/>
  <c r="D105" i="79"/>
  <c r="N104" i="79"/>
  <c r="M104" i="79"/>
  <c r="L104" i="79"/>
  <c r="K104" i="79"/>
  <c r="J104" i="79"/>
  <c r="I104" i="79"/>
  <c r="H104" i="79"/>
  <c r="G104" i="79"/>
  <c r="E104" i="79"/>
  <c r="D104" i="79"/>
  <c r="N103" i="79"/>
  <c r="M103" i="79"/>
  <c r="L103" i="79"/>
  <c r="K103" i="79"/>
  <c r="J103" i="79"/>
  <c r="I103" i="79"/>
  <c r="H103" i="79"/>
  <c r="G103" i="79"/>
  <c r="E103" i="79"/>
  <c r="D103" i="79"/>
  <c r="N102" i="79"/>
  <c r="M102" i="79"/>
  <c r="L102" i="79"/>
  <c r="K102" i="79"/>
  <c r="J102" i="79"/>
  <c r="I102" i="79"/>
  <c r="H102" i="79"/>
  <c r="G102" i="79"/>
  <c r="E102" i="79"/>
  <c r="D102" i="79"/>
  <c r="N101" i="79"/>
  <c r="M101" i="79"/>
  <c r="L101" i="79"/>
  <c r="K101" i="79"/>
  <c r="J101" i="79"/>
  <c r="I101" i="79"/>
  <c r="H101" i="79"/>
  <c r="G101" i="79"/>
  <c r="E101" i="79"/>
  <c r="D101" i="79"/>
  <c r="N100" i="79"/>
  <c r="M100" i="79"/>
  <c r="L100" i="79"/>
  <c r="K100" i="79"/>
  <c r="J100" i="79"/>
  <c r="I100" i="79"/>
  <c r="H100" i="79"/>
  <c r="G100" i="79"/>
  <c r="E100" i="79"/>
  <c r="D100" i="79"/>
  <c r="N99" i="79"/>
  <c r="M99" i="79"/>
  <c r="L99" i="79"/>
  <c r="K99" i="79"/>
  <c r="J99" i="79"/>
  <c r="I99" i="79"/>
  <c r="H99" i="79"/>
  <c r="G99" i="79"/>
  <c r="E99" i="79"/>
  <c r="D99" i="79"/>
  <c r="N98" i="79"/>
  <c r="M98" i="79"/>
  <c r="L98" i="79"/>
  <c r="K98" i="79"/>
  <c r="J98" i="79"/>
  <c r="I98" i="79"/>
  <c r="H98" i="79"/>
  <c r="G98" i="79"/>
  <c r="E98" i="79"/>
  <c r="D98" i="79"/>
  <c r="N97" i="79"/>
  <c r="M97" i="79"/>
  <c r="L97" i="79"/>
  <c r="K97" i="79"/>
  <c r="J97" i="79"/>
  <c r="I97" i="79"/>
  <c r="H97" i="79"/>
  <c r="G97" i="79"/>
  <c r="E97" i="79"/>
  <c r="D97" i="79"/>
  <c r="N96" i="79"/>
  <c r="M96" i="79"/>
  <c r="L96" i="79"/>
  <c r="K96" i="79"/>
  <c r="J96" i="79"/>
  <c r="I96" i="79"/>
  <c r="H96" i="79"/>
  <c r="G96" i="79"/>
  <c r="E96" i="79"/>
  <c r="D96" i="79"/>
  <c r="N95" i="79"/>
  <c r="M95" i="79"/>
  <c r="L95" i="79"/>
  <c r="K95" i="79"/>
  <c r="J95" i="79"/>
  <c r="I95" i="79"/>
  <c r="H95" i="79"/>
  <c r="G95" i="79"/>
  <c r="E95" i="79"/>
  <c r="D95" i="79"/>
  <c r="N94" i="79"/>
  <c r="M94" i="79"/>
  <c r="L94" i="79"/>
  <c r="K94" i="79"/>
  <c r="J94" i="79"/>
  <c r="I94" i="79"/>
  <c r="H94" i="79"/>
  <c r="G94" i="79"/>
  <c r="E94" i="79"/>
  <c r="D94" i="79"/>
  <c r="N93" i="79"/>
  <c r="M93" i="79"/>
  <c r="L93" i="79"/>
  <c r="K93" i="79"/>
  <c r="J93" i="79"/>
  <c r="I93" i="79"/>
  <c r="H93" i="79"/>
  <c r="G93" i="79"/>
  <c r="E93" i="79"/>
  <c r="D93" i="79"/>
  <c r="N92" i="79"/>
  <c r="M92" i="79"/>
  <c r="L92" i="79"/>
  <c r="K92" i="79"/>
  <c r="J92" i="79"/>
  <c r="I92" i="79"/>
  <c r="H92" i="79"/>
  <c r="G92" i="79"/>
  <c r="E92" i="79"/>
  <c r="D92" i="79"/>
  <c r="N91" i="79"/>
  <c r="M91" i="79"/>
  <c r="L91" i="79"/>
  <c r="K91" i="79"/>
  <c r="J91" i="79"/>
  <c r="I91" i="79"/>
  <c r="H91" i="79"/>
  <c r="G91" i="79"/>
  <c r="E91" i="79"/>
  <c r="D91" i="79"/>
  <c r="N90" i="79"/>
  <c r="M90" i="79"/>
  <c r="L90" i="79"/>
  <c r="K90" i="79"/>
  <c r="J90" i="79"/>
  <c r="I90" i="79"/>
  <c r="H90" i="79"/>
  <c r="G90" i="79"/>
  <c r="E90" i="79"/>
  <c r="D90" i="79"/>
  <c r="N89" i="79"/>
  <c r="M89" i="79"/>
  <c r="L89" i="79"/>
  <c r="K89" i="79"/>
  <c r="J89" i="79"/>
  <c r="I89" i="79"/>
  <c r="H89" i="79"/>
  <c r="G89" i="79"/>
  <c r="E89" i="79"/>
  <c r="D89" i="79"/>
  <c r="N88" i="79"/>
  <c r="M88" i="79"/>
  <c r="L88" i="79"/>
  <c r="K88" i="79"/>
  <c r="J88" i="79"/>
  <c r="I88" i="79"/>
  <c r="H88" i="79"/>
  <c r="G88" i="79"/>
  <c r="E88" i="79"/>
  <c r="D88" i="79"/>
  <c r="N87" i="79"/>
  <c r="M87" i="79"/>
  <c r="L87" i="79"/>
  <c r="K87" i="79"/>
  <c r="J87" i="79"/>
  <c r="I87" i="79"/>
  <c r="H87" i="79"/>
  <c r="G87" i="79"/>
  <c r="E87" i="79"/>
  <c r="D87" i="79"/>
  <c r="N86" i="79"/>
  <c r="M86" i="79"/>
  <c r="L86" i="79"/>
  <c r="K86" i="79"/>
  <c r="J86" i="79"/>
  <c r="I86" i="79"/>
  <c r="H86" i="79"/>
  <c r="G86" i="79"/>
  <c r="E86" i="79"/>
  <c r="D86" i="79"/>
  <c r="N85" i="79"/>
  <c r="M85" i="79"/>
  <c r="L85" i="79"/>
  <c r="K85" i="79"/>
  <c r="J85" i="79"/>
  <c r="I85" i="79"/>
  <c r="H85" i="79"/>
  <c r="G85" i="79"/>
  <c r="E85" i="79"/>
  <c r="D85" i="79"/>
  <c r="N84" i="79"/>
  <c r="M84" i="79"/>
  <c r="L84" i="79"/>
  <c r="K84" i="79"/>
  <c r="J84" i="79"/>
  <c r="I84" i="79"/>
  <c r="H84" i="79"/>
  <c r="G84" i="79"/>
  <c r="E84" i="79"/>
  <c r="D84" i="79"/>
  <c r="N83" i="79"/>
  <c r="M83" i="79"/>
  <c r="L83" i="79"/>
  <c r="K83" i="79"/>
  <c r="J83" i="79"/>
  <c r="I83" i="79"/>
  <c r="H83" i="79"/>
  <c r="G83" i="79"/>
  <c r="E83" i="79"/>
  <c r="D83" i="79"/>
  <c r="N82" i="79"/>
  <c r="M82" i="79"/>
  <c r="L82" i="79"/>
  <c r="K82" i="79"/>
  <c r="J82" i="79"/>
  <c r="I82" i="79"/>
  <c r="H82" i="79"/>
  <c r="G82" i="79"/>
  <c r="E82" i="79"/>
  <c r="D82" i="79"/>
  <c r="N81" i="79"/>
  <c r="M81" i="79"/>
  <c r="L81" i="79"/>
  <c r="K81" i="79"/>
  <c r="J81" i="79"/>
  <c r="I81" i="79"/>
  <c r="H81" i="79"/>
  <c r="G81" i="79"/>
  <c r="E81" i="79"/>
  <c r="D81" i="79"/>
  <c r="N80" i="79"/>
  <c r="M80" i="79"/>
  <c r="L80" i="79"/>
  <c r="K80" i="79"/>
  <c r="J80" i="79"/>
  <c r="I80" i="79"/>
  <c r="H80" i="79"/>
  <c r="G80" i="79"/>
  <c r="E80" i="79"/>
  <c r="D80" i="79"/>
  <c r="N79" i="79"/>
  <c r="M79" i="79"/>
  <c r="L79" i="79"/>
  <c r="K79" i="79"/>
  <c r="J79" i="79"/>
  <c r="I79" i="79"/>
  <c r="H79" i="79"/>
  <c r="G79" i="79"/>
  <c r="E79" i="79"/>
  <c r="D79" i="79"/>
  <c r="N78" i="79"/>
  <c r="M78" i="79"/>
  <c r="L78" i="79"/>
  <c r="K78" i="79"/>
  <c r="J78" i="79"/>
  <c r="I78" i="79"/>
  <c r="H78" i="79"/>
  <c r="G78" i="79"/>
  <c r="E78" i="79"/>
  <c r="D78" i="79"/>
  <c r="N77" i="79"/>
  <c r="M77" i="79"/>
  <c r="L77" i="79"/>
  <c r="K77" i="79"/>
  <c r="J77" i="79"/>
  <c r="I77" i="79"/>
  <c r="H77" i="79"/>
  <c r="G77" i="79"/>
  <c r="E77" i="79"/>
  <c r="D77" i="79"/>
  <c r="N76" i="79"/>
  <c r="M76" i="79"/>
  <c r="L76" i="79"/>
  <c r="K76" i="79"/>
  <c r="J76" i="79"/>
  <c r="I76" i="79"/>
  <c r="H76" i="79"/>
  <c r="G76" i="79"/>
  <c r="E76" i="79"/>
  <c r="D76" i="79"/>
  <c r="N75" i="79"/>
  <c r="M75" i="79"/>
  <c r="L75" i="79"/>
  <c r="K75" i="79"/>
  <c r="J75" i="79"/>
  <c r="I75" i="79"/>
  <c r="H75" i="79"/>
  <c r="G75" i="79"/>
  <c r="E75" i="79"/>
  <c r="D75" i="79"/>
  <c r="N74" i="79"/>
  <c r="M74" i="79"/>
  <c r="L74" i="79"/>
  <c r="K74" i="79"/>
  <c r="J74" i="79"/>
  <c r="I74" i="79"/>
  <c r="H74" i="79"/>
  <c r="G74" i="79"/>
  <c r="E74" i="79"/>
  <c r="D74" i="79"/>
  <c r="N73" i="79"/>
  <c r="M73" i="79"/>
  <c r="L73" i="79"/>
  <c r="K73" i="79"/>
  <c r="J73" i="79"/>
  <c r="I73" i="79"/>
  <c r="H73" i="79"/>
  <c r="G73" i="79"/>
  <c r="E73" i="79"/>
  <c r="D73" i="79"/>
  <c r="N72" i="79"/>
  <c r="M72" i="79"/>
  <c r="L72" i="79"/>
  <c r="K72" i="79"/>
  <c r="J72" i="79"/>
  <c r="I72" i="79"/>
  <c r="H72" i="79"/>
  <c r="G72" i="79"/>
  <c r="E72" i="79"/>
  <c r="D72" i="79"/>
  <c r="N71" i="79"/>
  <c r="M71" i="79"/>
  <c r="L71" i="79"/>
  <c r="K71" i="79"/>
  <c r="J71" i="79"/>
  <c r="I71" i="79"/>
  <c r="H71" i="79"/>
  <c r="G71" i="79"/>
  <c r="E71" i="79"/>
  <c r="D71" i="79"/>
  <c r="N70" i="79"/>
  <c r="M70" i="79"/>
  <c r="L70" i="79"/>
  <c r="K70" i="79"/>
  <c r="J70" i="79"/>
  <c r="I70" i="79"/>
  <c r="H70" i="79"/>
  <c r="G70" i="79"/>
  <c r="E70" i="79"/>
  <c r="D70" i="79"/>
  <c r="N69" i="79"/>
  <c r="M69" i="79"/>
  <c r="L69" i="79"/>
  <c r="K69" i="79"/>
  <c r="J69" i="79"/>
  <c r="I69" i="79"/>
  <c r="H69" i="79"/>
  <c r="G69" i="79"/>
  <c r="E69" i="79"/>
  <c r="D69" i="79"/>
  <c r="N68" i="79"/>
  <c r="M68" i="79"/>
  <c r="L68" i="79"/>
  <c r="K68" i="79"/>
  <c r="J68" i="79"/>
  <c r="I68" i="79"/>
  <c r="H68" i="79"/>
  <c r="G68" i="79"/>
  <c r="E68" i="79"/>
  <c r="D68" i="79"/>
  <c r="N67" i="79"/>
  <c r="M67" i="79"/>
  <c r="L67" i="79"/>
  <c r="K67" i="79"/>
  <c r="J67" i="79"/>
  <c r="I67" i="79"/>
  <c r="H67" i="79"/>
  <c r="G67" i="79"/>
  <c r="E67" i="79"/>
  <c r="D67" i="79"/>
  <c r="N66" i="79"/>
  <c r="M66" i="79"/>
  <c r="L66" i="79"/>
  <c r="K66" i="79"/>
  <c r="J66" i="79"/>
  <c r="I66" i="79"/>
  <c r="H66" i="79"/>
  <c r="G66" i="79"/>
  <c r="E66" i="79"/>
  <c r="D66" i="79"/>
  <c r="N65" i="79"/>
  <c r="M65" i="79"/>
  <c r="L65" i="79"/>
  <c r="K65" i="79"/>
  <c r="J65" i="79"/>
  <c r="I65" i="79"/>
  <c r="H65" i="79"/>
  <c r="G65" i="79"/>
  <c r="E65" i="79"/>
  <c r="D65" i="79"/>
  <c r="N64" i="79"/>
  <c r="M64" i="79"/>
  <c r="L64" i="79"/>
  <c r="K64" i="79"/>
  <c r="J64" i="79"/>
  <c r="I64" i="79"/>
  <c r="H64" i="79"/>
  <c r="G64" i="79"/>
  <c r="E64" i="79"/>
  <c r="D64" i="79"/>
  <c r="N63" i="79"/>
  <c r="M63" i="79"/>
  <c r="L63" i="79"/>
  <c r="K63" i="79"/>
  <c r="J63" i="79"/>
  <c r="I63" i="79"/>
  <c r="H63" i="79"/>
  <c r="G63" i="79"/>
  <c r="E63" i="79"/>
  <c r="D63" i="79"/>
  <c r="N62" i="79"/>
  <c r="M62" i="79"/>
  <c r="L62" i="79"/>
  <c r="K62" i="79"/>
  <c r="J62" i="79"/>
  <c r="I62" i="79"/>
  <c r="H62" i="79"/>
  <c r="G62" i="79"/>
  <c r="E62" i="79"/>
  <c r="D62" i="79"/>
  <c r="N61" i="79"/>
  <c r="M61" i="79"/>
  <c r="L61" i="79"/>
  <c r="K61" i="79"/>
  <c r="J61" i="79"/>
  <c r="I61" i="79"/>
  <c r="H61" i="79"/>
  <c r="G61" i="79"/>
  <c r="E61" i="79"/>
  <c r="D61" i="79"/>
  <c r="N60" i="79"/>
  <c r="M60" i="79"/>
  <c r="L60" i="79"/>
  <c r="K60" i="79"/>
  <c r="J60" i="79"/>
  <c r="I60" i="79"/>
  <c r="H60" i="79"/>
  <c r="G60" i="79"/>
  <c r="E60" i="79"/>
  <c r="D60" i="79"/>
  <c r="N59" i="79"/>
  <c r="M59" i="79"/>
  <c r="L59" i="79"/>
  <c r="K59" i="79"/>
  <c r="J59" i="79"/>
  <c r="I59" i="79"/>
  <c r="H59" i="79"/>
  <c r="G59" i="79"/>
  <c r="E59" i="79"/>
  <c r="D59" i="79"/>
  <c r="N58" i="79"/>
  <c r="M58" i="79"/>
  <c r="L58" i="79"/>
  <c r="K58" i="79"/>
  <c r="J58" i="79"/>
  <c r="I58" i="79"/>
  <c r="H58" i="79"/>
  <c r="G58" i="79"/>
  <c r="E58" i="79"/>
  <c r="D58" i="79"/>
  <c r="N57" i="79"/>
  <c r="M57" i="79"/>
  <c r="L57" i="79"/>
  <c r="K57" i="79"/>
  <c r="J57" i="79"/>
  <c r="I57" i="79"/>
  <c r="H57" i="79"/>
  <c r="G57" i="79"/>
  <c r="E57" i="79"/>
  <c r="D57" i="79"/>
  <c r="N56" i="79"/>
  <c r="M56" i="79"/>
  <c r="L56" i="79"/>
  <c r="K56" i="79"/>
  <c r="J56" i="79"/>
  <c r="I56" i="79"/>
  <c r="H56" i="79"/>
  <c r="G56" i="79"/>
  <c r="E56" i="79"/>
  <c r="D56" i="79"/>
  <c r="N55" i="79"/>
  <c r="M55" i="79"/>
  <c r="L55" i="79"/>
  <c r="K55" i="79"/>
  <c r="J55" i="79"/>
  <c r="I55" i="79"/>
  <c r="H55" i="79"/>
  <c r="G55" i="79"/>
  <c r="E55" i="79"/>
  <c r="D55" i="79"/>
  <c r="N54" i="79"/>
  <c r="M54" i="79"/>
  <c r="L54" i="79"/>
  <c r="K54" i="79"/>
  <c r="J54" i="79"/>
  <c r="I54" i="79"/>
  <c r="H54" i="79"/>
  <c r="G54" i="79"/>
  <c r="E54" i="79"/>
  <c r="D54" i="79"/>
  <c r="N53" i="79"/>
  <c r="M53" i="79"/>
  <c r="L53" i="79"/>
  <c r="K53" i="79"/>
  <c r="J53" i="79"/>
  <c r="I53" i="79"/>
  <c r="H53" i="79"/>
  <c r="G53" i="79"/>
  <c r="E53" i="79"/>
  <c r="D53" i="79"/>
  <c r="N52" i="79"/>
  <c r="M52" i="79"/>
  <c r="L52" i="79"/>
  <c r="K52" i="79"/>
  <c r="J52" i="79"/>
  <c r="I52" i="79"/>
  <c r="H52" i="79"/>
  <c r="G52" i="79"/>
  <c r="E52" i="79"/>
  <c r="D52" i="79"/>
  <c r="N51" i="79"/>
  <c r="M51" i="79"/>
  <c r="L51" i="79"/>
  <c r="K51" i="79"/>
  <c r="J51" i="79"/>
  <c r="I51" i="79"/>
  <c r="H51" i="79"/>
  <c r="G51" i="79"/>
  <c r="E51" i="79"/>
  <c r="D51" i="79"/>
  <c r="N50" i="79"/>
  <c r="M50" i="79"/>
  <c r="L50" i="79"/>
  <c r="K50" i="79"/>
  <c r="J50" i="79"/>
  <c r="I50" i="79"/>
  <c r="H50" i="79"/>
  <c r="G50" i="79"/>
  <c r="E50" i="79"/>
  <c r="D50" i="79"/>
  <c r="N49" i="79"/>
  <c r="M49" i="79"/>
  <c r="L49" i="79"/>
  <c r="K49" i="79"/>
  <c r="J49" i="79"/>
  <c r="I49" i="79"/>
  <c r="H49" i="79"/>
  <c r="G49" i="79"/>
  <c r="E49" i="79"/>
  <c r="D49" i="79"/>
  <c r="N48" i="79"/>
  <c r="M48" i="79"/>
  <c r="L48" i="79"/>
  <c r="K48" i="79"/>
  <c r="J48" i="79"/>
  <c r="I48" i="79"/>
  <c r="H48" i="79"/>
  <c r="G48" i="79"/>
  <c r="E48" i="79"/>
  <c r="D48" i="79"/>
  <c r="N47" i="79"/>
  <c r="M47" i="79"/>
  <c r="L47" i="79"/>
  <c r="K47" i="79"/>
  <c r="J47" i="79"/>
  <c r="I47" i="79"/>
  <c r="H47" i="79"/>
  <c r="G47" i="79"/>
  <c r="E47" i="79"/>
  <c r="D47" i="79"/>
  <c r="N46" i="79"/>
  <c r="M46" i="79"/>
  <c r="L46" i="79"/>
  <c r="K46" i="79"/>
  <c r="J46" i="79"/>
  <c r="I46" i="79"/>
  <c r="H46" i="79"/>
  <c r="G46" i="79"/>
  <c r="E46" i="79"/>
  <c r="D46" i="79"/>
  <c r="N45" i="79"/>
  <c r="M45" i="79"/>
  <c r="L45" i="79"/>
  <c r="K45" i="79"/>
  <c r="J45" i="79"/>
  <c r="I45" i="79"/>
  <c r="H45" i="79"/>
  <c r="G45" i="79"/>
  <c r="E45" i="79"/>
  <c r="D45" i="79"/>
  <c r="N44" i="79"/>
  <c r="M44" i="79"/>
  <c r="L44" i="79"/>
  <c r="K44" i="79"/>
  <c r="J44" i="79"/>
  <c r="I44" i="79"/>
  <c r="H44" i="79"/>
  <c r="G44" i="79"/>
  <c r="E44" i="79"/>
  <c r="D44" i="79"/>
  <c r="N43" i="79"/>
  <c r="M43" i="79"/>
  <c r="L43" i="79"/>
  <c r="K43" i="79"/>
  <c r="J43" i="79"/>
  <c r="I43" i="79"/>
  <c r="H43" i="79"/>
  <c r="G43" i="79"/>
  <c r="E43" i="79"/>
  <c r="D43" i="79"/>
  <c r="N42" i="79"/>
  <c r="M42" i="79"/>
  <c r="L42" i="79"/>
  <c r="K42" i="79"/>
  <c r="J42" i="79"/>
  <c r="I42" i="79"/>
  <c r="H42" i="79"/>
  <c r="G42" i="79"/>
  <c r="E42" i="79"/>
  <c r="D42" i="79"/>
  <c r="N41" i="79"/>
  <c r="M41" i="79"/>
  <c r="L41" i="79"/>
  <c r="K41" i="79"/>
  <c r="J41" i="79"/>
  <c r="I41" i="79"/>
  <c r="H41" i="79"/>
  <c r="G41" i="79"/>
  <c r="E41" i="79"/>
  <c r="D41" i="79"/>
  <c r="N40" i="79"/>
  <c r="M40" i="79"/>
  <c r="L40" i="79"/>
  <c r="K40" i="79"/>
  <c r="J40" i="79"/>
  <c r="I40" i="79"/>
  <c r="H40" i="79"/>
  <c r="G40" i="79"/>
  <c r="E40" i="79"/>
  <c r="D40" i="79"/>
  <c r="N39" i="79"/>
  <c r="M39" i="79"/>
  <c r="L39" i="79"/>
  <c r="K39" i="79"/>
  <c r="J39" i="79"/>
  <c r="I39" i="79"/>
  <c r="H39" i="79"/>
  <c r="G39" i="79"/>
  <c r="E39" i="79"/>
  <c r="D39" i="79"/>
  <c r="N38" i="79"/>
  <c r="M38" i="79"/>
  <c r="L38" i="79"/>
  <c r="K38" i="79"/>
  <c r="J38" i="79"/>
  <c r="I38" i="79"/>
  <c r="H38" i="79"/>
  <c r="G38" i="79"/>
  <c r="E38" i="79"/>
  <c r="D38" i="79"/>
  <c r="N37" i="79"/>
  <c r="M37" i="79"/>
  <c r="L37" i="79"/>
  <c r="K37" i="79"/>
  <c r="J37" i="79"/>
  <c r="I37" i="79"/>
  <c r="H37" i="79"/>
  <c r="G37" i="79"/>
  <c r="E37" i="79"/>
  <c r="D37" i="79"/>
  <c r="N36" i="79"/>
  <c r="M36" i="79"/>
  <c r="L36" i="79"/>
  <c r="K36" i="79"/>
  <c r="J36" i="79"/>
  <c r="I36" i="79"/>
  <c r="H36" i="79"/>
  <c r="G36" i="79"/>
  <c r="E36" i="79"/>
  <c r="D36" i="79"/>
  <c r="N35" i="79"/>
  <c r="M35" i="79"/>
  <c r="L35" i="79"/>
  <c r="K35" i="79"/>
  <c r="J35" i="79"/>
  <c r="I35" i="79"/>
  <c r="H35" i="79"/>
  <c r="G35" i="79"/>
  <c r="E35" i="79"/>
  <c r="D35" i="79"/>
  <c r="N34" i="79"/>
  <c r="M34" i="79"/>
  <c r="L34" i="79"/>
  <c r="K34" i="79"/>
  <c r="J34" i="79"/>
  <c r="I34" i="79"/>
  <c r="H34" i="79"/>
  <c r="G34" i="79"/>
  <c r="E34" i="79"/>
  <c r="D34" i="79"/>
  <c r="N33" i="79"/>
  <c r="M33" i="79"/>
  <c r="L33" i="79"/>
  <c r="K33" i="79"/>
  <c r="J33" i="79"/>
  <c r="I33" i="79"/>
  <c r="H33" i="79"/>
  <c r="G33" i="79"/>
  <c r="E33" i="79"/>
  <c r="D33" i="79"/>
  <c r="N32" i="79"/>
  <c r="M32" i="79"/>
  <c r="L32" i="79"/>
  <c r="K32" i="79"/>
  <c r="J32" i="79"/>
  <c r="I32" i="79"/>
  <c r="H32" i="79"/>
  <c r="G32" i="79"/>
  <c r="E32" i="79"/>
  <c r="D32" i="79"/>
  <c r="N31" i="79"/>
  <c r="M31" i="79"/>
  <c r="L31" i="79"/>
  <c r="K31" i="79"/>
  <c r="J31" i="79"/>
  <c r="I31" i="79"/>
  <c r="H31" i="79"/>
  <c r="G31" i="79"/>
  <c r="E31" i="79"/>
  <c r="D31" i="79"/>
  <c r="N30" i="79"/>
  <c r="M30" i="79"/>
  <c r="L30" i="79"/>
  <c r="K30" i="79"/>
  <c r="J30" i="79"/>
  <c r="I30" i="79"/>
  <c r="H30" i="79"/>
  <c r="G30" i="79"/>
  <c r="E30" i="79"/>
  <c r="D30" i="79"/>
  <c r="N29" i="79"/>
  <c r="M29" i="79"/>
  <c r="L29" i="79"/>
  <c r="K29" i="79"/>
  <c r="J29" i="79"/>
  <c r="I29" i="79"/>
  <c r="H29" i="79"/>
  <c r="G29" i="79"/>
  <c r="E29" i="79"/>
  <c r="D29" i="79"/>
  <c r="N28" i="79"/>
  <c r="M28" i="79"/>
  <c r="L28" i="79"/>
  <c r="K28" i="79"/>
  <c r="J28" i="79"/>
  <c r="I28" i="79"/>
  <c r="H28" i="79"/>
  <c r="G28" i="79"/>
  <c r="E28" i="79"/>
  <c r="D28" i="79"/>
  <c r="N27" i="79"/>
  <c r="M27" i="79"/>
  <c r="L27" i="79"/>
  <c r="K27" i="79"/>
  <c r="J27" i="79"/>
  <c r="I27" i="79"/>
  <c r="H27" i="79"/>
  <c r="G27" i="79"/>
  <c r="E27" i="79"/>
  <c r="D27" i="79"/>
  <c r="N26" i="79"/>
  <c r="M26" i="79"/>
  <c r="L26" i="79"/>
  <c r="K26" i="79"/>
  <c r="J26" i="79"/>
  <c r="I26" i="79"/>
  <c r="H26" i="79"/>
  <c r="G26" i="79"/>
  <c r="E26" i="79"/>
  <c r="D26" i="79"/>
  <c r="N25" i="79"/>
  <c r="M25" i="79"/>
  <c r="L25" i="79"/>
  <c r="K25" i="79"/>
  <c r="J25" i="79"/>
  <c r="I25" i="79"/>
  <c r="H25" i="79"/>
  <c r="G25" i="79"/>
  <c r="E25" i="79"/>
  <c r="D25" i="79"/>
  <c r="N24" i="79"/>
  <c r="M24" i="79"/>
  <c r="L24" i="79"/>
  <c r="K24" i="79"/>
  <c r="J24" i="79"/>
  <c r="I24" i="79"/>
  <c r="H24" i="79"/>
  <c r="G24" i="79"/>
  <c r="E24" i="79"/>
  <c r="D24" i="79"/>
  <c r="N23" i="79"/>
  <c r="M23" i="79"/>
  <c r="L23" i="79"/>
  <c r="K23" i="79"/>
  <c r="J23" i="79"/>
  <c r="I23" i="79"/>
  <c r="H23" i="79"/>
  <c r="G23" i="79"/>
  <c r="E23" i="79"/>
  <c r="D23" i="79"/>
  <c r="N22" i="79"/>
  <c r="M22" i="79"/>
  <c r="M132" i="79" s="1"/>
  <c r="M137" i="79" s="1"/>
  <c r="M141" i="79" s="1"/>
  <c r="L22" i="79"/>
  <c r="L132" i="79" s="1"/>
  <c r="L137" i="79" s="1"/>
  <c r="K22" i="79"/>
  <c r="K132" i="79" s="1"/>
  <c r="K137" i="79" s="1"/>
  <c r="K141" i="79" s="1"/>
  <c r="J22" i="79"/>
  <c r="J132" i="79" s="1"/>
  <c r="J137" i="79" s="1"/>
  <c r="I22" i="79"/>
  <c r="H22" i="79"/>
  <c r="G22" i="79"/>
  <c r="E22" i="79"/>
  <c r="D22" i="79"/>
  <c r="N19" i="79"/>
  <c r="M19" i="79"/>
  <c r="L19" i="79"/>
  <c r="K19" i="79"/>
  <c r="J19" i="79"/>
  <c r="H19" i="79"/>
  <c r="G19" i="79"/>
  <c r="F19" i="79"/>
  <c r="E19" i="79"/>
  <c r="D19" i="79"/>
  <c r="O18" i="79"/>
  <c r="P18" i="79" s="1"/>
  <c r="N18" i="79"/>
  <c r="M18" i="79"/>
  <c r="L18" i="79"/>
  <c r="K18" i="79"/>
  <c r="J18" i="79"/>
  <c r="I18" i="79"/>
  <c r="H18" i="79"/>
  <c r="G18" i="79"/>
  <c r="F18" i="79"/>
  <c r="E18" i="79"/>
  <c r="D18" i="79"/>
  <c r="P17" i="79"/>
  <c r="P16" i="79"/>
  <c r="P15" i="79"/>
  <c r="P14" i="79"/>
  <c r="N13" i="79"/>
  <c r="M13" i="79"/>
  <c r="L13" i="79"/>
  <c r="K13" i="79"/>
  <c r="J13" i="79"/>
  <c r="H13" i="79"/>
  <c r="G13" i="79"/>
  <c r="F13" i="79"/>
  <c r="E13" i="79"/>
  <c r="D13" i="79"/>
  <c r="N12" i="79"/>
  <c r="M12" i="79"/>
  <c r="L12" i="79"/>
  <c r="K12" i="79"/>
  <c r="J12" i="79"/>
  <c r="I12" i="79"/>
  <c r="H12" i="79"/>
  <c r="G12" i="79"/>
  <c r="E12" i="79"/>
  <c r="D12" i="79"/>
  <c r="N11" i="79"/>
  <c r="M11" i="79"/>
  <c r="L11" i="79"/>
  <c r="K11" i="79"/>
  <c r="J11" i="79"/>
  <c r="I11" i="79"/>
  <c r="P11" i="79" s="1"/>
  <c r="H11" i="79"/>
  <c r="G11" i="79"/>
  <c r="E11" i="79"/>
  <c r="D11" i="79"/>
  <c r="N10" i="79"/>
  <c r="M10" i="79"/>
  <c r="L10" i="79"/>
  <c r="K10" i="79"/>
  <c r="J10" i="79"/>
  <c r="I10" i="79"/>
  <c r="P10" i="79" s="1"/>
  <c r="H10" i="79"/>
  <c r="G10" i="79"/>
  <c r="E10" i="79"/>
  <c r="D10" i="79"/>
  <c r="N9" i="79"/>
  <c r="M9" i="79"/>
  <c r="L9" i="79"/>
  <c r="K9" i="79"/>
  <c r="J9" i="79"/>
  <c r="I9" i="79"/>
  <c r="P9" i="79" s="1"/>
  <c r="H9" i="79"/>
  <c r="G9" i="79"/>
  <c r="E9" i="79"/>
  <c r="D9" i="79"/>
  <c r="O8" i="79"/>
  <c r="O13" i="79" s="1"/>
  <c r="N8" i="79"/>
  <c r="M8" i="79"/>
  <c r="L8" i="79"/>
  <c r="K8" i="79"/>
  <c r="J8" i="79"/>
  <c r="H8" i="79"/>
  <c r="G8" i="79"/>
  <c r="F8" i="79"/>
  <c r="E8" i="79"/>
  <c r="D8" i="79"/>
  <c r="N139" i="82"/>
  <c r="H139" i="82"/>
  <c r="G139" i="82"/>
  <c r="F139" i="82"/>
  <c r="D139" i="82"/>
  <c r="N136" i="82"/>
  <c r="M136" i="82"/>
  <c r="L136" i="82"/>
  <c r="K136" i="82"/>
  <c r="J136" i="82"/>
  <c r="H136" i="82"/>
  <c r="G136" i="82"/>
  <c r="F136" i="82"/>
  <c r="E136" i="82"/>
  <c r="D136" i="82"/>
  <c r="G135" i="82"/>
  <c r="O134" i="82"/>
  <c r="N134" i="82"/>
  <c r="H134" i="82"/>
  <c r="G134" i="82"/>
  <c r="F134" i="82"/>
  <c r="D134" i="82"/>
  <c r="N133" i="82"/>
  <c r="M133" i="82"/>
  <c r="L133" i="82"/>
  <c r="K133" i="82"/>
  <c r="J133" i="82"/>
  <c r="N132" i="82"/>
  <c r="M132" i="82"/>
  <c r="L132" i="82"/>
  <c r="K132" i="82"/>
  <c r="J132" i="82"/>
  <c r="I132" i="82"/>
  <c r="H132" i="82"/>
  <c r="G132" i="82"/>
  <c r="E132" i="82"/>
  <c r="D132" i="82"/>
  <c r="N131" i="82"/>
  <c r="M131" i="82"/>
  <c r="L131" i="82"/>
  <c r="K131" i="82"/>
  <c r="J131" i="82"/>
  <c r="I131" i="82"/>
  <c r="H131" i="82"/>
  <c r="G131" i="82"/>
  <c r="E131" i="82"/>
  <c r="D131" i="82"/>
  <c r="N130" i="82"/>
  <c r="M130" i="82"/>
  <c r="L130" i="82"/>
  <c r="K130" i="82"/>
  <c r="J130" i="82"/>
  <c r="I130" i="82"/>
  <c r="H130" i="82"/>
  <c r="G130" i="82"/>
  <c r="E130" i="82"/>
  <c r="D130" i="82"/>
  <c r="N129" i="82"/>
  <c r="M129" i="82"/>
  <c r="L129" i="82"/>
  <c r="K129" i="82"/>
  <c r="J129" i="82"/>
  <c r="I129" i="82"/>
  <c r="H129" i="82"/>
  <c r="G129" i="82"/>
  <c r="E129" i="82"/>
  <c r="D129" i="82"/>
  <c r="N128" i="82"/>
  <c r="M128" i="82"/>
  <c r="L128" i="82"/>
  <c r="K128" i="82"/>
  <c r="J128" i="82"/>
  <c r="I128" i="82"/>
  <c r="H128" i="82"/>
  <c r="G128" i="82"/>
  <c r="E128" i="82"/>
  <c r="D128" i="82"/>
  <c r="N127" i="82"/>
  <c r="M127" i="82"/>
  <c r="L127" i="82"/>
  <c r="K127" i="82"/>
  <c r="J127" i="82"/>
  <c r="I127" i="82"/>
  <c r="H127" i="82"/>
  <c r="G127" i="82"/>
  <c r="E127" i="82"/>
  <c r="D127" i="82"/>
  <c r="N126" i="82"/>
  <c r="M126" i="82"/>
  <c r="L126" i="82"/>
  <c r="K126" i="82"/>
  <c r="J126" i="82"/>
  <c r="I126" i="82"/>
  <c r="H126" i="82"/>
  <c r="G126" i="82"/>
  <c r="E126" i="82"/>
  <c r="D126" i="82"/>
  <c r="N125" i="82"/>
  <c r="M125" i="82"/>
  <c r="L125" i="82"/>
  <c r="K125" i="82"/>
  <c r="J125" i="82"/>
  <c r="I125" i="82"/>
  <c r="H125" i="82"/>
  <c r="G125" i="82"/>
  <c r="E125" i="82"/>
  <c r="D125" i="82"/>
  <c r="N124" i="82"/>
  <c r="M124" i="82"/>
  <c r="L124" i="82"/>
  <c r="K124" i="82"/>
  <c r="J124" i="82"/>
  <c r="I124" i="82"/>
  <c r="H124" i="82"/>
  <c r="G124" i="82"/>
  <c r="E124" i="82"/>
  <c r="D124" i="82"/>
  <c r="N123" i="82"/>
  <c r="M123" i="82"/>
  <c r="L123" i="82"/>
  <c r="K123" i="82"/>
  <c r="J123" i="82"/>
  <c r="I123" i="82"/>
  <c r="H123" i="82"/>
  <c r="G123" i="82"/>
  <c r="E123" i="82"/>
  <c r="D123" i="82"/>
  <c r="N122" i="82"/>
  <c r="M122" i="82"/>
  <c r="L122" i="82"/>
  <c r="K122" i="82"/>
  <c r="J122" i="82"/>
  <c r="I122" i="82"/>
  <c r="H122" i="82"/>
  <c r="G122" i="82"/>
  <c r="E122" i="82"/>
  <c r="D122" i="82"/>
  <c r="N121" i="82"/>
  <c r="M121" i="82"/>
  <c r="L121" i="82"/>
  <c r="K121" i="82"/>
  <c r="J121" i="82"/>
  <c r="I121" i="82"/>
  <c r="H121" i="82"/>
  <c r="G121" i="82"/>
  <c r="E121" i="82"/>
  <c r="D121" i="82"/>
  <c r="N120" i="82"/>
  <c r="M120" i="82"/>
  <c r="L120" i="82"/>
  <c r="K120" i="82"/>
  <c r="J120" i="82"/>
  <c r="I120" i="82"/>
  <c r="H120" i="82"/>
  <c r="G120" i="82"/>
  <c r="E120" i="82"/>
  <c r="D120" i="82"/>
  <c r="N119" i="82"/>
  <c r="M119" i="82"/>
  <c r="L119" i="82"/>
  <c r="K119" i="82"/>
  <c r="J119" i="82"/>
  <c r="I119" i="82"/>
  <c r="H119" i="82"/>
  <c r="G119" i="82"/>
  <c r="E119" i="82"/>
  <c r="D119" i="82"/>
  <c r="N118" i="82"/>
  <c r="M118" i="82"/>
  <c r="L118" i="82"/>
  <c r="K118" i="82"/>
  <c r="J118" i="82"/>
  <c r="I118" i="82"/>
  <c r="H118" i="82"/>
  <c r="G118" i="82"/>
  <c r="E118" i="82"/>
  <c r="D118" i="82"/>
  <c r="N117" i="82"/>
  <c r="M117" i="82"/>
  <c r="L117" i="82"/>
  <c r="K117" i="82"/>
  <c r="J117" i="82"/>
  <c r="I117" i="82"/>
  <c r="H117" i="82"/>
  <c r="G117" i="82"/>
  <c r="E117" i="82"/>
  <c r="D117" i="82"/>
  <c r="N116" i="82"/>
  <c r="M116" i="82"/>
  <c r="L116" i="82"/>
  <c r="K116" i="82"/>
  <c r="J116" i="82"/>
  <c r="I116" i="82"/>
  <c r="H116" i="82"/>
  <c r="G116" i="82"/>
  <c r="E116" i="82"/>
  <c r="D116" i="82"/>
  <c r="N115" i="82"/>
  <c r="M115" i="82"/>
  <c r="L115" i="82"/>
  <c r="K115" i="82"/>
  <c r="J115" i="82"/>
  <c r="I115" i="82"/>
  <c r="H115" i="82"/>
  <c r="G115" i="82"/>
  <c r="E115" i="82"/>
  <c r="D115" i="82"/>
  <c r="N114" i="82"/>
  <c r="M114" i="82"/>
  <c r="L114" i="82"/>
  <c r="K114" i="82"/>
  <c r="J114" i="82"/>
  <c r="I114" i="82"/>
  <c r="H114" i="82"/>
  <c r="G114" i="82"/>
  <c r="E114" i="82"/>
  <c r="D114" i="82"/>
  <c r="N113" i="82"/>
  <c r="M113" i="82"/>
  <c r="L113" i="82"/>
  <c r="K113" i="82"/>
  <c r="J113" i="82"/>
  <c r="I113" i="82"/>
  <c r="H113" i="82"/>
  <c r="G113" i="82"/>
  <c r="E113" i="82"/>
  <c r="D113" i="82"/>
  <c r="N112" i="82"/>
  <c r="M112" i="82"/>
  <c r="L112" i="82"/>
  <c r="K112" i="82"/>
  <c r="J112" i="82"/>
  <c r="I112" i="82"/>
  <c r="H112" i="82"/>
  <c r="G112" i="82"/>
  <c r="E112" i="82"/>
  <c r="D112" i="82"/>
  <c r="N111" i="82"/>
  <c r="M111" i="82"/>
  <c r="L111" i="82"/>
  <c r="K111" i="82"/>
  <c r="J111" i="82"/>
  <c r="I111" i="82"/>
  <c r="H111" i="82"/>
  <c r="G111" i="82"/>
  <c r="E111" i="82"/>
  <c r="D111" i="82"/>
  <c r="N110" i="82"/>
  <c r="M110" i="82"/>
  <c r="L110" i="82"/>
  <c r="K110" i="82"/>
  <c r="J110" i="82"/>
  <c r="I110" i="82"/>
  <c r="H110" i="82"/>
  <c r="G110" i="82"/>
  <c r="E110" i="82"/>
  <c r="D110" i="82"/>
  <c r="N109" i="82"/>
  <c r="M109" i="82"/>
  <c r="L109" i="82"/>
  <c r="K109" i="82"/>
  <c r="J109" i="82"/>
  <c r="I109" i="82"/>
  <c r="H109" i="82"/>
  <c r="G109" i="82"/>
  <c r="E109" i="82"/>
  <c r="D109" i="82"/>
  <c r="N108" i="82"/>
  <c r="M108" i="82"/>
  <c r="L108" i="82"/>
  <c r="K108" i="82"/>
  <c r="J108" i="82"/>
  <c r="I108" i="82"/>
  <c r="H108" i="82"/>
  <c r="G108" i="82"/>
  <c r="E108" i="82"/>
  <c r="D108" i="82"/>
  <c r="N107" i="82"/>
  <c r="M107" i="82"/>
  <c r="L107" i="82"/>
  <c r="K107" i="82"/>
  <c r="J107" i="82"/>
  <c r="I107" i="82"/>
  <c r="H107" i="82"/>
  <c r="G107" i="82"/>
  <c r="E107" i="82"/>
  <c r="D107" i="82"/>
  <c r="N106" i="82"/>
  <c r="M106" i="82"/>
  <c r="L106" i="82"/>
  <c r="K106" i="82"/>
  <c r="J106" i="82"/>
  <c r="I106" i="82"/>
  <c r="H106" i="82"/>
  <c r="G106" i="82"/>
  <c r="E106" i="82"/>
  <c r="D106" i="82"/>
  <c r="N105" i="82"/>
  <c r="M105" i="82"/>
  <c r="L105" i="82"/>
  <c r="K105" i="82"/>
  <c r="J105" i="82"/>
  <c r="I105" i="82"/>
  <c r="H105" i="82"/>
  <c r="G105" i="82"/>
  <c r="E105" i="82"/>
  <c r="D105" i="82"/>
  <c r="N104" i="82"/>
  <c r="M104" i="82"/>
  <c r="L104" i="82"/>
  <c r="K104" i="82"/>
  <c r="J104" i="82"/>
  <c r="I104" i="82"/>
  <c r="H104" i="82"/>
  <c r="G104" i="82"/>
  <c r="E104" i="82"/>
  <c r="D104" i="82"/>
  <c r="N103" i="82"/>
  <c r="M103" i="82"/>
  <c r="L103" i="82"/>
  <c r="K103" i="82"/>
  <c r="J103" i="82"/>
  <c r="I103" i="82"/>
  <c r="H103" i="82"/>
  <c r="G103" i="82"/>
  <c r="E103" i="82"/>
  <c r="D103" i="82"/>
  <c r="N102" i="82"/>
  <c r="M102" i="82"/>
  <c r="L102" i="82"/>
  <c r="K102" i="82"/>
  <c r="J102" i="82"/>
  <c r="I102" i="82"/>
  <c r="H102" i="82"/>
  <c r="G102" i="82"/>
  <c r="E102" i="82"/>
  <c r="D102" i="82"/>
  <c r="N101" i="82"/>
  <c r="M101" i="82"/>
  <c r="L101" i="82"/>
  <c r="K101" i="82"/>
  <c r="J101" i="82"/>
  <c r="I101" i="82"/>
  <c r="H101" i="82"/>
  <c r="G101" i="82"/>
  <c r="E101" i="82"/>
  <c r="D101" i="82"/>
  <c r="N100" i="82"/>
  <c r="M100" i="82"/>
  <c r="L100" i="82"/>
  <c r="K100" i="82"/>
  <c r="J100" i="82"/>
  <c r="I100" i="82"/>
  <c r="H100" i="82"/>
  <c r="G100" i="82"/>
  <c r="E100" i="82"/>
  <c r="D100" i="82"/>
  <c r="N99" i="82"/>
  <c r="M99" i="82"/>
  <c r="L99" i="82"/>
  <c r="K99" i="82"/>
  <c r="J99" i="82"/>
  <c r="I99" i="82"/>
  <c r="H99" i="82"/>
  <c r="G99" i="82"/>
  <c r="E99" i="82"/>
  <c r="D99" i="82"/>
  <c r="N98" i="82"/>
  <c r="M98" i="82"/>
  <c r="L98" i="82"/>
  <c r="K98" i="82"/>
  <c r="J98" i="82"/>
  <c r="I98" i="82"/>
  <c r="H98" i="82"/>
  <c r="G98" i="82"/>
  <c r="E98" i="82"/>
  <c r="D98" i="82"/>
  <c r="N97" i="82"/>
  <c r="M97" i="82"/>
  <c r="L97" i="82"/>
  <c r="K97" i="82"/>
  <c r="J97" i="82"/>
  <c r="I97" i="82"/>
  <c r="H97" i="82"/>
  <c r="G97" i="82"/>
  <c r="E97" i="82"/>
  <c r="P97" i="82" s="1"/>
  <c r="D97" i="82"/>
  <c r="N96" i="82"/>
  <c r="M96" i="82"/>
  <c r="L96" i="82"/>
  <c r="K96" i="82"/>
  <c r="J96" i="82"/>
  <c r="I96" i="82"/>
  <c r="H96" i="82"/>
  <c r="G96" i="82"/>
  <c r="E96" i="82"/>
  <c r="D96" i="82"/>
  <c r="N95" i="82"/>
  <c r="M95" i="82"/>
  <c r="L95" i="82"/>
  <c r="K95" i="82"/>
  <c r="J95" i="82"/>
  <c r="I95" i="82"/>
  <c r="H95" i="82"/>
  <c r="G95" i="82"/>
  <c r="E95" i="82"/>
  <c r="D95" i="82"/>
  <c r="N94" i="82"/>
  <c r="M94" i="82"/>
  <c r="L94" i="82"/>
  <c r="K94" i="82"/>
  <c r="J94" i="82"/>
  <c r="I94" i="82"/>
  <c r="H94" i="82"/>
  <c r="G94" i="82"/>
  <c r="E94" i="82"/>
  <c r="D94" i="82"/>
  <c r="N93" i="82"/>
  <c r="M93" i="82"/>
  <c r="L93" i="82"/>
  <c r="K93" i="82"/>
  <c r="J93" i="82"/>
  <c r="I93" i="82"/>
  <c r="H93" i="82"/>
  <c r="G93" i="82"/>
  <c r="E93" i="82"/>
  <c r="D93" i="82"/>
  <c r="N92" i="82"/>
  <c r="M92" i="82"/>
  <c r="L92" i="82"/>
  <c r="K92" i="82"/>
  <c r="J92" i="82"/>
  <c r="I92" i="82"/>
  <c r="H92" i="82"/>
  <c r="G92" i="82"/>
  <c r="E92" i="82"/>
  <c r="D92" i="82"/>
  <c r="N91" i="82"/>
  <c r="M91" i="82"/>
  <c r="L91" i="82"/>
  <c r="K91" i="82"/>
  <c r="J91" i="82"/>
  <c r="I91" i="82"/>
  <c r="H91" i="82"/>
  <c r="G91" i="82"/>
  <c r="E91" i="82"/>
  <c r="D91" i="82"/>
  <c r="N90" i="82"/>
  <c r="M90" i="82"/>
  <c r="L90" i="82"/>
  <c r="K90" i="82"/>
  <c r="J90" i="82"/>
  <c r="I90" i="82"/>
  <c r="H90" i="82"/>
  <c r="G90" i="82"/>
  <c r="E90" i="82"/>
  <c r="D90" i="82"/>
  <c r="N89" i="82"/>
  <c r="M89" i="82"/>
  <c r="L89" i="82"/>
  <c r="K89" i="82"/>
  <c r="J89" i="82"/>
  <c r="I89" i="82"/>
  <c r="H89" i="82"/>
  <c r="G89" i="82"/>
  <c r="E89" i="82"/>
  <c r="D89" i="82"/>
  <c r="N88" i="82"/>
  <c r="M88" i="82"/>
  <c r="L88" i="82"/>
  <c r="K88" i="82"/>
  <c r="J88" i="82"/>
  <c r="I88" i="82"/>
  <c r="H88" i="82"/>
  <c r="G88" i="82"/>
  <c r="E88" i="82"/>
  <c r="D88" i="82"/>
  <c r="N87" i="82"/>
  <c r="M87" i="82"/>
  <c r="L87" i="82"/>
  <c r="K87" i="82"/>
  <c r="J87" i="82"/>
  <c r="I87" i="82"/>
  <c r="H87" i="82"/>
  <c r="G87" i="82"/>
  <c r="E87" i="82"/>
  <c r="D87" i="82"/>
  <c r="N86" i="82"/>
  <c r="M86" i="82"/>
  <c r="L86" i="82"/>
  <c r="K86" i="82"/>
  <c r="J86" i="82"/>
  <c r="I86" i="82"/>
  <c r="H86" i="82"/>
  <c r="G86" i="82"/>
  <c r="E86" i="82"/>
  <c r="D86" i="82"/>
  <c r="N85" i="82"/>
  <c r="M85" i="82"/>
  <c r="L85" i="82"/>
  <c r="K85" i="82"/>
  <c r="J85" i="82"/>
  <c r="I85" i="82"/>
  <c r="H85" i="82"/>
  <c r="G85" i="82"/>
  <c r="E85" i="82"/>
  <c r="D85" i="82"/>
  <c r="N84" i="82"/>
  <c r="M84" i="82"/>
  <c r="L84" i="82"/>
  <c r="K84" i="82"/>
  <c r="J84" i="82"/>
  <c r="I84" i="82"/>
  <c r="H84" i="82"/>
  <c r="G84" i="82"/>
  <c r="E84" i="82"/>
  <c r="D84" i="82"/>
  <c r="N83" i="82"/>
  <c r="M83" i="82"/>
  <c r="L83" i="82"/>
  <c r="K83" i="82"/>
  <c r="J83" i="82"/>
  <c r="I83" i="82"/>
  <c r="H83" i="82"/>
  <c r="G83" i="82"/>
  <c r="E83" i="82"/>
  <c r="D83" i="82"/>
  <c r="N82" i="82"/>
  <c r="M82" i="82"/>
  <c r="L82" i="82"/>
  <c r="K82" i="82"/>
  <c r="J82" i="82"/>
  <c r="I82" i="82"/>
  <c r="H82" i="82"/>
  <c r="G82" i="82"/>
  <c r="E82" i="82"/>
  <c r="D82" i="82"/>
  <c r="N81" i="82"/>
  <c r="M81" i="82"/>
  <c r="L81" i="82"/>
  <c r="K81" i="82"/>
  <c r="J81" i="82"/>
  <c r="I81" i="82"/>
  <c r="H81" i="82"/>
  <c r="G81" i="82"/>
  <c r="E81" i="82"/>
  <c r="D81" i="82"/>
  <c r="N80" i="82"/>
  <c r="M80" i="82"/>
  <c r="L80" i="82"/>
  <c r="K80" i="82"/>
  <c r="J80" i="82"/>
  <c r="I80" i="82"/>
  <c r="H80" i="82"/>
  <c r="G80" i="82"/>
  <c r="E80" i="82"/>
  <c r="D80" i="82"/>
  <c r="N79" i="82"/>
  <c r="M79" i="82"/>
  <c r="L79" i="82"/>
  <c r="K79" i="82"/>
  <c r="J79" i="82"/>
  <c r="I79" i="82"/>
  <c r="H79" i="82"/>
  <c r="G79" i="82"/>
  <c r="E79" i="82"/>
  <c r="D79" i="82"/>
  <c r="N78" i="82"/>
  <c r="M78" i="82"/>
  <c r="L78" i="82"/>
  <c r="K78" i="82"/>
  <c r="J78" i="82"/>
  <c r="I78" i="82"/>
  <c r="H78" i="82"/>
  <c r="G78" i="82"/>
  <c r="E78" i="82"/>
  <c r="D78" i="82"/>
  <c r="N77" i="82"/>
  <c r="M77" i="82"/>
  <c r="L77" i="82"/>
  <c r="K77" i="82"/>
  <c r="J77" i="82"/>
  <c r="I77" i="82"/>
  <c r="H77" i="82"/>
  <c r="G77" i="82"/>
  <c r="E77" i="82"/>
  <c r="D77" i="82"/>
  <c r="N76" i="82"/>
  <c r="M76" i="82"/>
  <c r="L76" i="82"/>
  <c r="K76" i="82"/>
  <c r="J76" i="82"/>
  <c r="I76" i="82"/>
  <c r="H76" i="82"/>
  <c r="G76" i="82"/>
  <c r="E76" i="82"/>
  <c r="D76" i="82"/>
  <c r="N75" i="82"/>
  <c r="M75" i="82"/>
  <c r="L75" i="82"/>
  <c r="K75" i="82"/>
  <c r="J75" i="82"/>
  <c r="I75" i="82"/>
  <c r="H75" i="82"/>
  <c r="G75" i="82"/>
  <c r="E75" i="82"/>
  <c r="D75" i="82"/>
  <c r="N74" i="82"/>
  <c r="M74" i="82"/>
  <c r="L74" i="82"/>
  <c r="K74" i="82"/>
  <c r="J74" i="82"/>
  <c r="I74" i="82"/>
  <c r="H74" i="82"/>
  <c r="G74" i="82"/>
  <c r="E74" i="82"/>
  <c r="D74" i="82"/>
  <c r="N73" i="82"/>
  <c r="M73" i="82"/>
  <c r="L73" i="82"/>
  <c r="K73" i="82"/>
  <c r="J73" i="82"/>
  <c r="I73" i="82"/>
  <c r="H73" i="82"/>
  <c r="G73" i="82"/>
  <c r="E73" i="82"/>
  <c r="D73" i="82"/>
  <c r="N72" i="82"/>
  <c r="M72" i="82"/>
  <c r="L72" i="82"/>
  <c r="K72" i="82"/>
  <c r="J72" i="82"/>
  <c r="I72" i="82"/>
  <c r="H72" i="82"/>
  <c r="G72" i="82"/>
  <c r="E72" i="82"/>
  <c r="D72" i="82"/>
  <c r="N71" i="82"/>
  <c r="M71" i="82"/>
  <c r="L71" i="82"/>
  <c r="K71" i="82"/>
  <c r="J71" i="82"/>
  <c r="I71" i="82"/>
  <c r="H71" i="82"/>
  <c r="G71" i="82"/>
  <c r="E71" i="82"/>
  <c r="D71" i="82"/>
  <c r="N70" i="82"/>
  <c r="M70" i="82"/>
  <c r="L70" i="82"/>
  <c r="K70" i="82"/>
  <c r="J70" i="82"/>
  <c r="I70" i="82"/>
  <c r="H70" i="82"/>
  <c r="G70" i="82"/>
  <c r="E70" i="82"/>
  <c r="D70" i="82"/>
  <c r="N69" i="82"/>
  <c r="M69" i="82"/>
  <c r="L69" i="82"/>
  <c r="K69" i="82"/>
  <c r="J69" i="82"/>
  <c r="I69" i="82"/>
  <c r="H69" i="82"/>
  <c r="G69" i="82"/>
  <c r="E69" i="82"/>
  <c r="D69" i="82"/>
  <c r="N68" i="82"/>
  <c r="M68" i="82"/>
  <c r="L68" i="82"/>
  <c r="K68" i="82"/>
  <c r="J68" i="82"/>
  <c r="I68" i="82"/>
  <c r="H68" i="82"/>
  <c r="G68" i="82"/>
  <c r="E68" i="82"/>
  <c r="D68" i="82"/>
  <c r="N67" i="82"/>
  <c r="M67" i="82"/>
  <c r="L67" i="82"/>
  <c r="K67" i="82"/>
  <c r="J67" i="82"/>
  <c r="I67" i="82"/>
  <c r="H67" i="82"/>
  <c r="G67" i="82"/>
  <c r="E67" i="82"/>
  <c r="D67" i="82"/>
  <c r="N66" i="82"/>
  <c r="M66" i="82"/>
  <c r="L66" i="82"/>
  <c r="K66" i="82"/>
  <c r="J66" i="82"/>
  <c r="I66" i="82"/>
  <c r="H66" i="82"/>
  <c r="G66" i="82"/>
  <c r="E66" i="82"/>
  <c r="D66" i="82"/>
  <c r="N65" i="82"/>
  <c r="M65" i="82"/>
  <c r="L65" i="82"/>
  <c r="K65" i="82"/>
  <c r="J65" i="82"/>
  <c r="I65" i="82"/>
  <c r="H65" i="82"/>
  <c r="G65" i="82"/>
  <c r="E65" i="82"/>
  <c r="D65" i="82"/>
  <c r="N64" i="82"/>
  <c r="M64" i="82"/>
  <c r="L64" i="82"/>
  <c r="K64" i="82"/>
  <c r="J64" i="82"/>
  <c r="I64" i="82"/>
  <c r="H64" i="82"/>
  <c r="G64" i="82"/>
  <c r="E64" i="82"/>
  <c r="D64" i="82"/>
  <c r="N63" i="82"/>
  <c r="M63" i="82"/>
  <c r="L63" i="82"/>
  <c r="K63" i="82"/>
  <c r="J63" i="82"/>
  <c r="I63" i="82"/>
  <c r="H63" i="82"/>
  <c r="G63" i="82"/>
  <c r="E63" i="82"/>
  <c r="D63" i="82"/>
  <c r="N62" i="82"/>
  <c r="M62" i="82"/>
  <c r="L62" i="82"/>
  <c r="K62" i="82"/>
  <c r="J62" i="82"/>
  <c r="I62" i="82"/>
  <c r="H62" i="82"/>
  <c r="G62" i="82"/>
  <c r="E62" i="82"/>
  <c r="D62" i="82"/>
  <c r="N61" i="82"/>
  <c r="M61" i="82"/>
  <c r="L61" i="82"/>
  <c r="K61" i="82"/>
  <c r="J61" i="82"/>
  <c r="I61" i="82"/>
  <c r="H61" i="82"/>
  <c r="G61" i="82"/>
  <c r="E61" i="82"/>
  <c r="D61" i="82"/>
  <c r="N60" i="82"/>
  <c r="M60" i="82"/>
  <c r="L60" i="82"/>
  <c r="K60" i="82"/>
  <c r="J60" i="82"/>
  <c r="I60" i="82"/>
  <c r="H60" i="82"/>
  <c r="G60" i="82"/>
  <c r="E60" i="82"/>
  <c r="D60" i="82"/>
  <c r="N59" i="82"/>
  <c r="M59" i="82"/>
  <c r="L59" i="82"/>
  <c r="K59" i="82"/>
  <c r="J59" i="82"/>
  <c r="I59" i="82"/>
  <c r="H59" i="82"/>
  <c r="G59" i="82"/>
  <c r="E59" i="82"/>
  <c r="D59" i="82"/>
  <c r="N58" i="82"/>
  <c r="M58" i="82"/>
  <c r="L58" i="82"/>
  <c r="K58" i="82"/>
  <c r="J58" i="82"/>
  <c r="I58" i="82"/>
  <c r="H58" i="82"/>
  <c r="G58" i="82"/>
  <c r="E58" i="82"/>
  <c r="D58" i="82"/>
  <c r="N57" i="82"/>
  <c r="M57" i="82"/>
  <c r="L57" i="82"/>
  <c r="K57" i="82"/>
  <c r="J57" i="82"/>
  <c r="I57" i="82"/>
  <c r="H57" i="82"/>
  <c r="G57" i="82"/>
  <c r="E57" i="82"/>
  <c r="P57" i="82" s="1"/>
  <c r="D57" i="82"/>
  <c r="N56" i="82"/>
  <c r="M56" i="82"/>
  <c r="L56" i="82"/>
  <c r="K56" i="82"/>
  <c r="J56" i="82"/>
  <c r="I56" i="82"/>
  <c r="H56" i="82"/>
  <c r="G56" i="82"/>
  <c r="E56" i="82"/>
  <c r="D56" i="82"/>
  <c r="N55" i="82"/>
  <c r="M55" i="82"/>
  <c r="L55" i="82"/>
  <c r="K55" i="82"/>
  <c r="J55" i="82"/>
  <c r="I55" i="82"/>
  <c r="H55" i="82"/>
  <c r="G55" i="82"/>
  <c r="E55" i="82"/>
  <c r="D55" i="82"/>
  <c r="N54" i="82"/>
  <c r="M54" i="82"/>
  <c r="L54" i="82"/>
  <c r="K54" i="82"/>
  <c r="J54" i="82"/>
  <c r="I54" i="82"/>
  <c r="H54" i="82"/>
  <c r="G54" i="82"/>
  <c r="E54" i="82"/>
  <c r="D54" i="82"/>
  <c r="N53" i="82"/>
  <c r="M53" i="82"/>
  <c r="L53" i="82"/>
  <c r="K53" i="82"/>
  <c r="J53" i="82"/>
  <c r="I53" i="82"/>
  <c r="H53" i="82"/>
  <c r="G53" i="82"/>
  <c r="E53" i="82"/>
  <c r="D53" i="82"/>
  <c r="N52" i="82"/>
  <c r="M52" i="82"/>
  <c r="L52" i="82"/>
  <c r="K52" i="82"/>
  <c r="J52" i="82"/>
  <c r="I52" i="82"/>
  <c r="H52" i="82"/>
  <c r="G52" i="82"/>
  <c r="E52" i="82"/>
  <c r="D52" i="82"/>
  <c r="N51" i="82"/>
  <c r="M51" i="82"/>
  <c r="L51" i="82"/>
  <c r="K51" i="82"/>
  <c r="J51" i="82"/>
  <c r="I51" i="82"/>
  <c r="H51" i="82"/>
  <c r="G51" i="82"/>
  <c r="E51" i="82"/>
  <c r="D51" i="82"/>
  <c r="N50" i="82"/>
  <c r="M50" i="82"/>
  <c r="L50" i="82"/>
  <c r="K50" i="82"/>
  <c r="J50" i="82"/>
  <c r="I50" i="82"/>
  <c r="H50" i="82"/>
  <c r="G50" i="82"/>
  <c r="E50" i="82"/>
  <c r="D50" i="82"/>
  <c r="N49" i="82"/>
  <c r="M49" i="82"/>
  <c r="L49" i="82"/>
  <c r="K49" i="82"/>
  <c r="J49" i="82"/>
  <c r="I49" i="82"/>
  <c r="H49" i="82"/>
  <c r="G49" i="82"/>
  <c r="E49" i="82"/>
  <c r="D49" i="82"/>
  <c r="N48" i="82"/>
  <c r="M48" i="82"/>
  <c r="L48" i="82"/>
  <c r="K48" i="82"/>
  <c r="J48" i="82"/>
  <c r="I48" i="82"/>
  <c r="H48" i="82"/>
  <c r="G48" i="82"/>
  <c r="E48" i="82"/>
  <c r="D48" i="82"/>
  <c r="N47" i="82"/>
  <c r="M47" i="82"/>
  <c r="L47" i="82"/>
  <c r="K47" i="82"/>
  <c r="J47" i="82"/>
  <c r="I47" i="82"/>
  <c r="H47" i="82"/>
  <c r="G47" i="82"/>
  <c r="E47" i="82"/>
  <c r="D47" i="82"/>
  <c r="N46" i="82"/>
  <c r="M46" i="82"/>
  <c r="L46" i="82"/>
  <c r="K46" i="82"/>
  <c r="J46" i="82"/>
  <c r="I46" i="82"/>
  <c r="H46" i="82"/>
  <c r="G46" i="82"/>
  <c r="E46" i="82"/>
  <c r="D46" i="82"/>
  <c r="N45" i="82"/>
  <c r="M45" i="82"/>
  <c r="L45" i="82"/>
  <c r="K45" i="82"/>
  <c r="J45" i="82"/>
  <c r="I45" i="82"/>
  <c r="H45" i="82"/>
  <c r="G45" i="82"/>
  <c r="E45" i="82"/>
  <c r="D45" i="82"/>
  <c r="N44" i="82"/>
  <c r="M44" i="82"/>
  <c r="L44" i="82"/>
  <c r="K44" i="82"/>
  <c r="J44" i="82"/>
  <c r="I44" i="82"/>
  <c r="H44" i="82"/>
  <c r="G44" i="82"/>
  <c r="E44" i="82"/>
  <c r="D44" i="82"/>
  <c r="N43" i="82"/>
  <c r="M43" i="82"/>
  <c r="L43" i="82"/>
  <c r="K43" i="82"/>
  <c r="J43" i="82"/>
  <c r="I43" i="82"/>
  <c r="H43" i="82"/>
  <c r="G43" i="82"/>
  <c r="E43" i="82"/>
  <c r="D43" i="82"/>
  <c r="N42" i="82"/>
  <c r="M42" i="82"/>
  <c r="L42" i="82"/>
  <c r="K42" i="82"/>
  <c r="J42" i="82"/>
  <c r="I42" i="82"/>
  <c r="H42" i="82"/>
  <c r="G42" i="82"/>
  <c r="E42" i="82"/>
  <c r="D42" i="82"/>
  <c r="N41" i="82"/>
  <c r="M41" i="82"/>
  <c r="L41" i="82"/>
  <c r="K41" i="82"/>
  <c r="J41" i="82"/>
  <c r="I41" i="82"/>
  <c r="H41" i="82"/>
  <c r="G41" i="82"/>
  <c r="E41" i="82"/>
  <c r="D41" i="82"/>
  <c r="N40" i="82"/>
  <c r="M40" i="82"/>
  <c r="L40" i="82"/>
  <c r="K40" i="82"/>
  <c r="J40" i="82"/>
  <c r="I40" i="82"/>
  <c r="H40" i="82"/>
  <c r="G40" i="82"/>
  <c r="E40" i="82"/>
  <c r="D40" i="82"/>
  <c r="N39" i="82"/>
  <c r="M39" i="82"/>
  <c r="L39" i="82"/>
  <c r="K39" i="82"/>
  <c r="J39" i="82"/>
  <c r="I39" i="82"/>
  <c r="H39" i="82"/>
  <c r="G39" i="82"/>
  <c r="E39" i="82"/>
  <c r="D39" i="82"/>
  <c r="N38" i="82"/>
  <c r="M38" i="82"/>
  <c r="L38" i="82"/>
  <c r="K38" i="82"/>
  <c r="J38" i="82"/>
  <c r="I38" i="82"/>
  <c r="H38" i="82"/>
  <c r="G38" i="82"/>
  <c r="E38" i="82"/>
  <c r="D38" i="82"/>
  <c r="N37" i="82"/>
  <c r="M37" i="82"/>
  <c r="L37" i="82"/>
  <c r="K37" i="82"/>
  <c r="J37" i="82"/>
  <c r="I37" i="82"/>
  <c r="H37" i="82"/>
  <c r="G37" i="82"/>
  <c r="E37" i="82"/>
  <c r="D37" i="82"/>
  <c r="N36" i="82"/>
  <c r="M36" i="82"/>
  <c r="L36" i="82"/>
  <c r="K36" i="82"/>
  <c r="J36" i="82"/>
  <c r="I36" i="82"/>
  <c r="H36" i="82"/>
  <c r="G36" i="82"/>
  <c r="E36" i="82"/>
  <c r="D36" i="82"/>
  <c r="N35" i="82"/>
  <c r="M35" i="82"/>
  <c r="L35" i="82"/>
  <c r="K35" i="82"/>
  <c r="J35" i="82"/>
  <c r="I35" i="82"/>
  <c r="H35" i="82"/>
  <c r="G35" i="82"/>
  <c r="E35" i="82"/>
  <c r="D35" i="82"/>
  <c r="N34" i="82"/>
  <c r="M34" i="82"/>
  <c r="L34" i="82"/>
  <c r="K34" i="82"/>
  <c r="J34" i="82"/>
  <c r="I34" i="82"/>
  <c r="H34" i="82"/>
  <c r="G34" i="82"/>
  <c r="E34" i="82"/>
  <c r="D34" i="82"/>
  <c r="N33" i="82"/>
  <c r="M33" i="82"/>
  <c r="P33" i="82" s="1"/>
  <c r="L33" i="82"/>
  <c r="K33" i="82"/>
  <c r="J33" i="82"/>
  <c r="I33" i="82"/>
  <c r="H33" i="82"/>
  <c r="G33" i="82"/>
  <c r="E33" i="82"/>
  <c r="D33" i="82"/>
  <c r="N32" i="82"/>
  <c r="M32" i="82"/>
  <c r="L32" i="82"/>
  <c r="K32" i="82"/>
  <c r="J32" i="82"/>
  <c r="I32" i="82"/>
  <c r="H32" i="82"/>
  <c r="G32" i="82"/>
  <c r="E32" i="82"/>
  <c r="D32" i="82"/>
  <c r="N31" i="82"/>
  <c r="M31" i="82"/>
  <c r="L31" i="82"/>
  <c r="K31" i="82"/>
  <c r="J31" i="82"/>
  <c r="I31" i="82"/>
  <c r="H31" i="82"/>
  <c r="G31" i="82"/>
  <c r="E31" i="82"/>
  <c r="D31" i="82"/>
  <c r="N30" i="82"/>
  <c r="M30" i="82"/>
  <c r="L30" i="82"/>
  <c r="K30" i="82"/>
  <c r="J30" i="82"/>
  <c r="I30" i="82"/>
  <c r="H30" i="82"/>
  <c r="G30" i="82"/>
  <c r="E30" i="82"/>
  <c r="P30" i="82" s="1"/>
  <c r="D30" i="82"/>
  <c r="N29" i="82"/>
  <c r="M29" i="82"/>
  <c r="L29" i="82"/>
  <c r="K29" i="82"/>
  <c r="J29" i="82"/>
  <c r="I29" i="82"/>
  <c r="H29" i="82"/>
  <c r="G29" i="82"/>
  <c r="E29" i="82"/>
  <c r="D29" i="82"/>
  <c r="N28" i="82"/>
  <c r="M28" i="82"/>
  <c r="L28" i="82"/>
  <c r="K28" i="82"/>
  <c r="J28" i="82"/>
  <c r="I28" i="82"/>
  <c r="H28" i="82"/>
  <c r="G28" i="82"/>
  <c r="E28" i="82"/>
  <c r="D28" i="82"/>
  <c r="N27" i="82"/>
  <c r="M27" i="82"/>
  <c r="L27" i="82"/>
  <c r="K27" i="82"/>
  <c r="J27" i="82"/>
  <c r="I27" i="82"/>
  <c r="H27" i="82"/>
  <c r="G27" i="82"/>
  <c r="E27" i="82"/>
  <c r="D27" i="82"/>
  <c r="N26" i="82"/>
  <c r="M26" i="82"/>
  <c r="L26" i="82"/>
  <c r="K26" i="82"/>
  <c r="J26" i="82"/>
  <c r="I26" i="82"/>
  <c r="H26" i="82"/>
  <c r="G26" i="82"/>
  <c r="E26" i="82"/>
  <c r="D26" i="82"/>
  <c r="N25" i="82"/>
  <c r="M25" i="82"/>
  <c r="L25" i="82"/>
  <c r="K25" i="82"/>
  <c r="J25" i="82"/>
  <c r="I25" i="82"/>
  <c r="H25" i="82"/>
  <c r="G25" i="82"/>
  <c r="E25" i="82"/>
  <c r="D25" i="82"/>
  <c r="N24" i="82"/>
  <c r="M24" i="82"/>
  <c r="L24" i="82"/>
  <c r="K24" i="82"/>
  <c r="J24" i="82"/>
  <c r="I24" i="82"/>
  <c r="H24" i="82"/>
  <c r="G24" i="82"/>
  <c r="E24" i="82"/>
  <c r="D24" i="82"/>
  <c r="N23" i="82"/>
  <c r="M23" i="82"/>
  <c r="L23" i="82"/>
  <c r="K23" i="82"/>
  <c r="J23" i="82"/>
  <c r="J134" i="82" s="1"/>
  <c r="J139" i="82" s="1"/>
  <c r="J143" i="82" s="1"/>
  <c r="I23" i="82"/>
  <c r="H23" i="82"/>
  <c r="G23" i="82"/>
  <c r="E23" i="82"/>
  <c r="D23" i="82"/>
  <c r="N22" i="82"/>
  <c r="M22" i="82"/>
  <c r="M134" i="82" s="1"/>
  <c r="M139" i="82" s="1"/>
  <c r="L22" i="82"/>
  <c r="K22" i="82"/>
  <c r="K134" i="82" s="1"/>
  <c r="K139" i="82" s="1"/>
  <c r="K143" i="82" s="1"/>
  <c r="J22" i="82"/>
  <c r="I22" i="82"/>
  <c r="I134" i="82" s="1"/>
  <c r="H22" i="82"/>
  <c r="G22" i="82"/>
  <c r="E22" i="82"/>
  <c r="D22" i="82"/>
  <c r="G21" i="82"/>
  <c r="F21" i="82"/>
  <c r="E21" i="82"/>
  <c r="D21" i="82"/>
  <c r="N19" i="82"/>
  <c r="M19" i="82"/>
  <c r="L19" i="82"/>
  <c r="K19" i="82"/>
  <c r="J19" i="82"/>
  <c r="H19" i="82"/>
  <c r="G19" i="82"/>
  <c r="F19" i="82"/>
  <c r="E19" i="82"/>
  <c r="D19" i="82"/>
  <c r="O18" i="82"/>
  <c r="N18" i="82"/>
  <c r="M18" i="82"/>
  <c r="L18" i="82"/>
  <c r="K18" i="82"/>
  <c r="J18" i="82"/>
  <c r="I18" i="82"/>
  <c r="H18" i="82"/>
  <c r="G18" i="82"/>
  <c r="F18" i="82"/>
  <c r="E18" i="82"/>
  <c r="D18" i="82"/>
  <c r="P17" i="82"/>
  <c r="P16" i="82"/>
  <c r="P15" i="82"/>
  <c r="P14" i="82"/>
  <c r="N13" i="82"/>
  <c r="M13" i="82"/>
  <c r="L13" i="82"/>
  <c r="K13" i="82"/>
  <c r="J13" i="82"/>
  <c r="H13" i="82"/>
  <c r="G13" i="82"/>
  <c r="F13" i="82"/>
  <c r="E13" i="82"/>
  <c r="D13" i="82"/>
  <c r="N12" i="82"/>
  <c r="M12" i="82"/>
  <c r="L12" i="82"/>
  <c r="K12" i="82"/>
  <c r="J12" i="82"/>
  <c r="I12" i="82"/>
  <c r="P12" i="82" s="1"/>
  <c r="H12" i="82"/>
  <c r="G12" i="82"/>
  <c r="E12" i="82"/>
  <c r="D12" i="82"/>
  <c r="N11" i="82"/>
  <c r="M11" i="82"/>
  <c r="L11" i="82"/>
  <c r="K11" i="82"/>
  <c r="J11" i="82"/>
  <c r="I11" i="82"/>
  <c r="P11" i="82" s="1"/>
  <c r="H11" i="82"/>
  <c r="G11" i="82"/>
  <c r="E11" i="82"/>
  <c r="D11" i="82"/>
  <c r="N10" i="82"/>
  <c r="M10" i="82"/>
  <c r="L10" i="82"/>
  <c r="K10" i="82"/>
  <c r="J10" i="82"/>
  <c r="I10" i="82"/>
  <c r="P10" i="82" s="1"/>
  <c r="H10" i="82"/>
  <c r="G10" i="82"/>
  <c r="E10" i="82"/>
  <c r="D10" i="82"/>
  <c r="N9" i="82"/>
  <c r="M9" i="82"/>
  <c r="L9" i="82"/>
  <c r="K9" i="82"/>
  <c r="J9" i="82"/>
  <c r="I9" i="82"/>
  <c r="P9" i="82" s="1"/>
  <c r="H9" i="82"/>
  <c r="G9" i="82"/>
  <c r="E9" i="82"/>
  <c r="D9" i="82"/>
  <c r="O8" i="82"/>
  <c r="O13" i="82" s="1"/>
  <c r="N8" i="82"/>
  <c r="M8" i="82"/>
  <c r="L8" i="82"/>
  <c r="K8" i="82"/>
  <c r="J8" i="82"/>
  <c r="H8" i="82"/>
  <c r="G8" i="82"/>
  <c r="F8" i="82"/>
  <c r="E8" i="82"/>
  <c r="D8" i="82"/>
  <c r="O137" i="71"/>
  <c r="N137" i="71"/>
  <c r="M137" i="71"/>
  <c r="L137" i="71"/>
  <c r="K137" i="71"/>
  <c r="J137" i="71"/>
  <c r="H137" i="71"/>
  <c r="G137" i="71"/>
  <c r="F137" i="71"/>
  <c r="E137" i="71"/>
  <c r="D137" i="71"/>
  <c r="O134" i="71"/>
  <c r="N134" i="71"/>
  <c r="M134" i="71"/>
  <c r="L134" i="71"/>
  <c r="K134" i="71"/>
  <c r="J134" i="71"/>
  <c r="H134" i="71"/>
  <c r="G134" i="71"/>
  <c r="F134" i="71"/>
  <c r="E134" i="71"/>
  <c r="D134" i="71"/>
  <c r="P132" i="71"/>
  <c r="O132" i="71"/>
  <c r="N132" i="71"/>
  <c r="M132" i="71"/>
  <c r="L132" i="71"/>
  <c r="K132" i="71"/>
  <c r="J132" i="71"/>
  <c r="I132" i="71"/>
  <c r="H132" i="71"/>
  <c r="G132" i="71"/>
  <c r="F132" i="71"/>
  <c r="E132" i="71"/>
  <c r="D132" i="71"/>
  <c r="P131" i="71"/>
  <c r="M131" i="71"/>
  <c r="L131" i="71"/>
  <c r="K131" i="71"/>
  <c r="J131" i="71"/>
  <c r="I131" i="71"/>
  <c r="H131" i="71"/>
  <c r="G131" i="71"/>
  <c r="F131" i="71"/>
  <c r="E131" i="71"/>
  <c r="D131" i="71"/>
  <c r="P130" i="71"/>
  <c r="M130" i="71"/>
  <c r="L130" i="71"/>
  <c r="K130" i="71"/>
  <c r="J130" i="71"/>
  <c r="I130" i="71"/>
  <c r="H130" i="71"/>
  <c r="G130" i="71"/>
  <c r="F130" i="71"/>
  <c r="E130" i="71"/>
  <c r="D130" i="71"/>
  <c r="P129" i="71"/>
  <c r="M129" i="71"/>
  <c r="L129" i="71"/>
  <c r="K129" i="71"/>
  <c r="J129" i="71"/>
  <c r="I129" i="71"/>
  <c r="H129" i="71"/>
  <c r="G129" i="71"/>
  <c r="F129" i="71"/>
  <c r="E129" i="71"/>
  <c r="D129" i="71"/>
  <c r="P128" i="71"/>
  <c r="M128" i="71"/>
  <c r="L128" i="71"/>
  <c r="K128" i="71"/>
  <c r="J128" i="71"/>
  <c r="I128" i="71"/>
  <c r="H128" i="71"/>
  <c r="G128" i="71"/>
  <c r="F128" i="71"/>
  <c r="E128" i="71"/>
  <c r="D128" i="71"/>
  <c r="P127" i="71"/>
  <c r="M127" i="71"/>
  <c r="L127" i="71"/>
  <c r="K127" i="71"/>
  <c r="J127" i="71"/>
  <c r="I127" i="71"/>
  <c r="H127" i="71"/>
  <c r="G127" i="71"/>
  <c r="F127" i="71"/>
  <c r="E127" i="71"/>
  <c r="D127" i="71"/>
  <c r="P126" i="71"/>
  <c r="M126" i="71"/>
  <c r="L126" i="71"/>
  <c r="K126" i="71"/>
  <c r="J126" i="71"/>
  <c r="I126" i="71"/>
  <c r="H126" i="71"/>
  <c r="G126" i="71"/>
  <c r="F126" i="71"/>
  <c r="E126" i="71"/>
  <c r="D126" i="71"/>
  <c r="P125" i="71"/>
  <c r="M125" i="71"/>
  <c r="L125" i="71"/>
  <c r="K125" i="71"/>
  <c r="J125" i="71"/>
  <c r="I125" i="71"/>
  <c r="H125" i="71"/>
  <c r="G125" i="71"/>
  <c r="F125" i="71"/>
  <c r="E125" i="71"/>
  <c r="D125" i="71"/>
  <c r="P124" i="71"/>
  <c r="M124" i="71"/>
  <c r="L124" i="71"/>
  <c r="K124" i="71"/>
  <c r="J124" i="71"/>
  <c r="I124" i="71"/>
  <c r="H124" i="71"/>
  <c r="G124" i="71"/>
  <c r="F124" i="71"/>
  <c r="E124" i="71"/>
  <c r="D124" i="71"/>
  <c r="P123" i="71"/>
  <c r="M123" i="71"/>
  <c r="L123" i="71"/>
  <c r="K123" i="71"/>
  <c r="J123" i="71"/>
  <c r="I123" i="71"/>
  <c r="H123" i="71"/>
  <c r="G123" i="71"/>
  <c r="F123" i="71"/>
  <c r="E123" i="71"/>
  <c r="D123" i="71"/>
  <c r="P122" i="71"/>
  <c r="M122" i="71"/>
  <c r="L122" i="71"/>
  <c r="K122" i="71"/>
  <c r="J122" i="71"/>
  <c r="I122" i="71"/>
  <c r="H122" i="71"/>
  <c r="G122" i="71"/>
  <c r="F122" i="71"/>
  <c r="E122" i="71"/>
  <c r="D122" i="71"/>
  <c r="P121" i="71"/>
  <c r="M121" i="71"/>
  <c r="L121" i="71"/>
  <c r="K121" i="71"/>
  <c r="J121" i="71"/>
  <c r="I121" i="71"/>
  <c r="H121" i="71"/>
  <c r="G121" i="71"/>
  <c r="F121" i="71"/>
  <c r="E121" i="71"/>
  <c r="D121" i="71"/>
  <c r="P120" i="71"/>
  <c r="M120" i="71"/>
  <c r="L120" i="71"/>
  <c r="K120" i="71"/>
  <c r="J120" i="71"/>
  <c r="I120" i="71"/>
  <c r="H120" i="71"/>
  <c r="G120" i="71"/>
  <c r="F120" i="71"/>
  <c r="E120" i="71"/>
  <c r="D120" i="71"/>
  <c r="P119" i="71"/>
  <c r="M119" i="71"/>
  <c r="L119" i="71"/>
  <c r="K119" i="71"/>
  <c r="J119" i="71"/>
  <c r="I119" i="71"/>
  <c r="H119" i="71"/>
  <c r="G119" i="71"/>
  <c r="F119" i="71"/>
  <c r="E119" i="71"/>
  <c r="D119" i="71"/>
  <c r="P118" i="71"/>
  <c r="M118" i="71"/>
  <c r="L118" i="71"/>
  <c r="K118" i="71"/>
  <c r="J118" i="71"/>
  <c r="I118" i="71"/>
  <c r="H118" i="71"/>
  <c r="G118" i="71"/>
  <c r="F118" i="71"/>
  <c r="E118" i="71"/>
  <c r="D118" i="71"/>
  <c r="P117" i="71"/>
  <c r="M117" i="71"/>
  <c r="L117" i="71"/>
  <c r="K117" i="71"/>
  <c r="J117" i="71"/>
  <c r="I117" i="71"/>
  <c r="H117" i="71"/>
  <c r="G117" i="71"/>
  <c r="F117" i="71"/>
  <c r="E117" i="71"/>
  <c r="D117" i="71"/>
  <c r="P116" i="71"/>
  <c r="M116" i="71"/>
  <c r="L116" i="71"/>
  <c r="K116" i="71"/>
  <c r="J116" i="71"/>
  <c r="I116" i="71"/>
  <c r="H116" i="71"/>
  <c r="G116" i="71"/>
  <c r="F116" i="71"/>
  <c r="E116" i="71"/>
  <c r="D116" i="71"/>
  <c r="P115" i="71"/>
  <c r="M115" i="71"/>
  <c r="L115" i="71"/>
  <c r="K115" i="71"/>
  <c r="J115" i="71"/>
  <c r="I115" i="71"/>
  <c r="H115" i="71"/>
  <c r="G115" i="71"/>
  <c r="F115" i="71"/>
  <c r="E115" i="71"/>
  <c r="D115" i="71"/>
  <c r="P114" i="71"/>
  <c r="M114" i="71"/>
  <c r="L114" i="71"/>
  <c r="K114" i="71"/>
  <c r="J114" i="71"/>
  <c r="I114" i="71"/>
  <c r="H114" i="71"/>
  <c r="G114" i="71"/>
  <c r="F114" i="71"/>
  <c r="E114" i="71"/>
  <c r="D114" i="71"/>
  <c r="P113" i="71"/>
  <c r="M113" i="71"/>
  <c r="L113" i="71"/>
  <c r="K113" i="71"/>
  <c r="J113" i="71"/>
  <c r="I113" i="71"/>
  <c r="H113" i="71"/>
  <c r="G113" i="71"/>
  <c r="F113" i="71"/>
  <c r="E113" i="71"/>
  <c r="D113" i="71"/>
  <c r="P112" i="71"/>
  <c r="M112" i="71"/>
  <c r="L112" i="71"/>
  <c r="K112" i="71"/>
  <c r="J112" i="71"/>
  <c r="I112" i="71"/>
  <c r="H112" i="71"/>
  <c r="G112" i="71"/>
  <c r="F112" i="71"/>
  <c r="E112" i="71"/>
  <c r="D112" i="71"/>
  <c r="P111" i="71"/>
  <c r="M111" i="71"/>
  <c r="L111" i="71"/>
  <c r="K111" i="71"/>
  <c r="J111" i="71"/>
  <c r="I111" i="71"/>
  <c r="H111" i="71"/>
  <c r="G111" i="71"/>
  <c r="F111" i="71"/>
  <c r="E111" i="71"/>
  <c r="D111" i="71"/>
  <c r="P110" i="71"/>
  <c r="M110" i="71"/>
  <c r="L110" i="71"/>
  <c r="K110" i="71"/>
  <c r="J110" i="71"/>
  <c r="I110" i="71"/>
  <c r="H110" i="71"/>
  <c r="G110" i="71"/>
  <c r="F110" i="71"/>
  <c r="E110" i="71"/>
  <c r="D110" i="71"/>
  <c r="P109" i="71"/>
  <c r="M109" i="71"/>
  <c r="L109" i="71"/>
  <c r="K109" i="71"/>
  <c r="J109" i="71"/>
  <c r="I109" i="71"/>
  <c r="H109" i="71"/>
  <c r="G109" i="71"/>
  <c r="F109" i="71"/>
  <c r="E109" i="71"/>
  <c r="D109" i="71"/>
  <c r="P108" i="71"/>
  <c r="M108" i="71"/>
  <c r="L108" i="71"/>
  <c r="K108" i="71"/>
  <c r="J108" i="71"/>
  <c r="I108" i="71"/>
  <c r="H108" i="71"/>
  <c r="G108" i="71"/>
  <c r="F108" i="71"/>
  <c r="E108" i="71"/>
  <c r="D108" i="71"/>
  <c r="P107" i="71"/>
  <c r="M107" i="71"/>
  <c r="L107" i="71"/>
  <c r="K107" i="71"/>
  <c r="J107" i="71"/>
  <c r="I107" i="71"/>
  <c r="H107" i="71"/>
  <c r="G107" i="71"/>
  <c r="F107" i="71"/>
  <c r="E107" i="71"/>
  <c r="D107" i="71"/>
  <c r="P106" i="71"/>
  <c r="M106" i="71"/>
  <c r="L106" i="71"/>
  <c r="K106" i="71"/>
  <c r="J106" i="71"/>
  <c r="I106" i="71"/>
  <c r="H106" i="71"/>
  <c r="G106" i="71"/>
  <c r="F106" i="71"/>
  <c r="E106" i="71"/>
  <c r="D106" i="71"/>
  <c r="P105" i="71"/>
  <c r="M105" i="71"/>
  <c r="L105" i="71"/>
  <c r="K105" i="71"/>
  <c r="J105" i="71"/>
  <c r="I105" i="71"/>
  <c r="H105" i="71"/>
  <c r="G105" i="71"/>
  <c r="F105" i="71"/>
  <c r="E105" i="71"/>
  <c r="D105" i="71"/>
  <c r="P104" i="71"/>
  <c r="M104" i="71"/>
  <c r="L104" i="71"/>
  <c r="K104" i="71"/>
  <c r="J104" i="71"/>
  <c r="I104" i="71"/>
  <c r="H104" i="71"/>
  <c r="G104" i="71"/>
  <c r="F104" i="71"/>
  <c r="E104" i="71"/>
  <c r="D104" i="71"/>
  <c r="P103" i="71"/>
  <c r="M103" i="71"/>
  <c r="L103" i="71"/>
  <c r="K103" i="71"/>
  <c r="J103" i="71"/>
  <c r="I103" i="71"/>
  <c r="H103" i="71"/>
  <c r="G103" i="71"/>
  <c r="F103" i="71"/>
  <c r="E103" i="71"/>
  <c r="D103" i="71"/>
  <c r="P102" i="71"/>
  <c r="M102" i="71"/>
  <c r="L102" i="71"/>
  <c r="K102" i="71"/>
  <c r="J102" i="71"/>
  <c r="I102" i="71"/>
  <c r="H102" i="71"/>
  <c r="G102" i="71"/>
  <c r="F102" i="71"/>
  <c r="E102" i="71"/>
  <c r="D102" i="71"/>
  <c r="P101" i="71"/>
  <c r="M101" i="71"/>
  <c r="L101" i="71"/>
  <c r="K101" i="71"/>
  <c r="J101" i="71"/>
  <c r="I101" i="71"/>
  <c r="H101" i="71"/>
  <c r="G101" i="71"/>
  <c r="F101" i="71"/>
  <c r="E101" i="71"/>
  <c r="D101" i="71"/>
  <c r="P100" i="71"/>
  <c r="M100" i="71"/>
  <c r="L100" i="71"/>
  <c r="K100" i="71"/>
  <c r="J100" i="71"/>
  <c r="I100" i="71"/>
  <c r="H100" i="71"/>
  <c r="G100" i="71"/>
  <c r="F100" i="71"/>
  <c r="E100" i="71"/>
  <c r="D100" i="71"/>
  <c r="P99" i="71"/>
  <c r="M99" i="71"/>
  <c r="L99" i="71"/>
  <c r="K99" i="71"/>
  <c r="J99" i="71"/>
  <c r="I99" i="71"/>
  <c r="H99" i="71"/>
  <c r="G99" i="71"/>
  <c r="F99" i="71"/>
  <c r="E99" i="71"/>
  <c r="D99" i="71"/>
  <c r="P98" i="71"/>
  <c r="M98" i="71"/>
  <c r="L98" i="71"/>
  <c r="K98" i="71"/>
  <c r="J98" i="71"/>
  <c r="I98" i="71"/>
  <c r="H98" i="71"/>
  <c r="G98" i="71"/>
  <c r="F98" i="71"/>
  <c r="E98" i="71"/>
  <c r="D98" i="71"/>
  <c r="P97" i="71"/>
  <c r="M97" i="71"/>
  <c r="L97" i="71"/>
  <c r="K97" i="71"/>
  <c r="J97" i="71"/>
  <c r="I97" i="71"/>
  <c r="H97" i="71"/>
  <c r="G97" i="71"/>
  <c r="F97" i="71"/>
  <c r="E97" i="71"/>
  <c r="D97" i="71"/>
  <c r="P96" i="71"/>
  <c r="M96" i="71"/>
  <c r="L96" i="71"/>
  <c r="K96" i="71"/>
  <c r="J96" i="71"/>
  <c r="I96" i="71"/>
  <c r="H96" i="71"/>
  <c r="G96" i="71"/>
  <c r="F96" i="71"/>
  <c r="E96" i="71"/>
  <c r="D96" i="71"/>
  <c r="P95" i="71"/>
  <c r="M95" i="71"/>
  <c r="L95" i="71"/>
  <c r="K95" i="71"/>
  <c r="J95" i="71"/>
  <c r="I95" i="71"/>
  <c r="H95" i="71"/>
  <c r="G95" i="71"/>
  <c r="F95" i="71"/>
  <c r="E95" i="71"/>
  <c r="D95" i="71"/>
  <c r="P94" i="71"/>
  <c r="M94" i="71"/>
  <c r="L94" i="71"/>
  <c r="K94" i="71"/>
  <c r="J94" i="71"/>
  <c r="I94" i="71"/>
  <c r="H94" i="71"/>
  <c r="G94" i="71"/>
  <c r="F94" i="71"/>
  <c r="E94" i="71"/>
  <c r="D94" i="71"/>
  <c r="P93" i="71"/>
  <c r="M93" i="71"/>
  <c r="L93" i="71"/>
  <c r="K93" i="71"/>
  <c r="J93" i="71"/>
  <c r="I93" i="71"/>
  <c r="H93" i="71"/>
  <c r="G93" i="71"/>
  <c r="F93" i="71"/>
  <c r="E93" i="71"/>
  <c r="D93" i="71"/>
  <c r="P92" i="71"/>
  <c r="M92" i="71"/>
  <c r="L92" i="71"/>
  <c r="K92" i="71"/>
  <c r="J92" i="71"/>
  <c r="I92" i="71"/>
  <c r="H92" i="71"/>
  <c r="G92" i="71"/>
  <c r="F92" i="71"/>
  <c r="E92" i="71"/>
  <c r="D92" i="71"/>
  <c r="P91" i="71"/>
  <c r="M91" i="71"/>
  <c r="L91" i="71"/>
  <c r="K91" i="71"/>
  <c r="J91" i="71"/>
  <c r="I91" i="71"/>
  <c r="H91" i="71"/>
  <c r="G91" i="71"/>
  <c r="F91" i="71"/>
  <c r="E91" i="71"/>
  <c r="D91" i="71"/>
  <c r="P90" i="71"/>
  <c r="M90" i="71"/>
  <c r="L90" i="71"/>
  <c r="K90" i="71"/>
  <c r="J90" i="71"/>
  <c r="I90" i="71"/>
  <c r="H90" i="71"/>
  <c r="G90" i="71"/>
  <c r="F90" i="71"/>
  <c r="E90" i="71"/>
  <c r="D90" i="71"/>
  <c r="P89" i="71"/>
  <c r="M89" i="71"/>
  <c r="L89" i="71"/>
  <c r="K89" i="71"/>
  <c r="J89" i="71"/>
  <c r="I89" i="71"/>
  <c r="H89" i="71"/>
  <c r="G89" i="71"/>
  <c r="F89" i="71"/>
  <c r="E89" i="71"/>
  <c r="D89" i="71"/>
  <c r="P88" i="71"/>
  <c r="M88" i="71"/>
  <c r="L88" i="71"/>
  <c r="K88" i="71"/>
  <c r="J88" i="71"/>
  <c r="I88" i="71"/>
  <c r="H88" i="71"/>
  <c r="G88" i="71"/>
  <c r="F88" i="71"/>
  <c r="E88" i="71"/>
  <c r="D88" i="71"/>
  <c r="P87" i="71"/>
  <c r="M87" i="71"/>
  <c r="L87" i="71"/>
  <c r="K87" i="71"/>
  <c r="J87" i="71"/>
  <c r="I87" i="71"/>
  <c r="H87" i="71"/>
  <c r="G87" i="71"/>
  <c r="F87" i="71"/>
  <c r="E87" i="71"/>
  <c r="D87" i="71"/>
  <c r="P86" i="71"/>
  <c r="M86" i="71"/>
  <c r="L86" i="71"/>
  <c r="K86" i="71"/>
  <c r="J86" i="71"/>
  <c r="I86" i="71"/>
  <c r="H86" i="71"/>
  <c r="G86" i="71"/>
  <c r="F86" i="71"/>
  <c r="E86" i="71"/>
  <c r="D86" i="71"/>
  <c r="P85" i="71"/>
  <c r="M85" i="71"/>
  <c r="L85" i="71"/>
  <c r="K85" i="71"/>
  <c r="J85" i="71"/>
  <c r="I85" i="71"/>
  <c r="H85" i="71"/>
  <c r="G85" i="71"/>
  <c r="F85" i="71"/>
  <c r="E85" i="71"/>
  <c r="D85" i="71"/>
  <c r="P84" i="71"/>
  <c r="M84" i="71"/>
  <c r="L84" i="71"/>
  <c r="K84" i="71"/>
  <c r="J84" i="71"/>
  <c r="I84" i="71"/>
  <c r="H84" i="71"/>
  <c r="G84" i="71"/>
  <c r="F84" i="71"/>
  <c r="E84" i="71"/>
  <c r="D84" i="71"/>
  <c r="P83" i="71"/>
  <c r="M83" i="71"/>
  <c r="L83" i="71"/>
  <c r="K83" i="71"/>
  <c r="J83" i="71"/>
  <c r="I83" i="71"/>
  <c r="H83" i="71"/>
  <c r="G83" i="71"/>
  <c r="F83" i="71"/>
  <c r="E83" i="71"/>
  <c r="D83" i="71"/>
  <c r="P82" i="71"/>
  <c r="M82" i="71"/>
  <c r="L82" i="71"/>
  <c r="K82" i="71"/>
  <c r="J82" i="71"/>
  <c r="I82" i="71"/>
  <c r="H82" i="71"/>
  <c r="G82" i="71"/>
  <c r="F82" i="71"/>
  <c r="E82" i="71"/>
  <c r="D82" i="71"/>
  <c r="P81" i="71"/>
  <c r="M81" i="71"/>
  <c r="L81" i="71"/>
  <c r="K81" i="71"/>
  <c r="J81" i="71"/>
  <c r="I81" i="71"/>
  <c r="H81" i="71"/>
  <c r="G81" i="71"/>
  <c r="F81" i="71"/>
  <c r="E81" i="71"/>
  <c r="D81" i="71"/>
  <c r="P80" i="71"/>
  <c r="M80" i="71"/>
  <c r="L80" i="71"/>
  <c r="K80" i="71"/>
  <c r="J80" i="71"/>
  <c r="I80" i="71"/>
  <c r="H80" i="71"/>
  <c r="G80" i="71"/>
  <c r="F80" i="71"/>
  <c r="E80" i="71"/>
  <c r="D80" i="71"/>
  <c r="P79" i="71"/>
  <c r="M79" i="71"/>
  <c r="L79" i="71"/>
  <c r="K79" i="71"/>
  <c r="J79" i="71"/>
  <c r="I79" i="71"/>
  <c r="H79" i="71"/>
  <c r="G79" i="71"/>
  <c r="F79" i="71"/>
  <c r="E79" i="71"/>
  <c r="D79" i="71"/>
  <c r="P78" i="71"/>
  <c r="M78" i="71"/>
  <c r="L78" i="71"/>
  <c r="K78" i="71"/>
  <c r="J78" i="71"/>
  <c r="I78" i="71"/>
  <c r="H78" i="71"/>
  <c r="G78" i="71"/>
  <c r="F78" i="71"/>
  <c r="E78" i="71"/>
  <c r="D78" i="71"/>
  <c r="P77" i="71"/>
  <c r="M77" i="71"/>
  <c r="L77" i="71"/>
  <c r="K77" i="71"/>
  <c r="J77" i="71"/>
  <c r="I77" i="71"/>
  <c r="H77" i="71"/>
  <c r="G77" i="71"/>
  <c r="F77" i="71"/>
  <c r="E77" i="71"/>
  <c r="D77" i="71"/>
  <c r="P76" i="71"/>
  <c r="M76" i="71"/>
  <c r="L76" i="71"/>
  <c r="K76" i="71"/>
  <c r="J76" i="71"/>
  <c r="I76" i="71"/>
  <c r="H76" i="71"/>
  <c r="G76" i="71"/>
  <c r="F76" i="71"/>
  <c r="E76" i="71"/>
  <c r="D76" i="71"/>
  <c r="P75" i="71"/>
  <c r="M75" i="71"/>
  <c r="L75" i="71"/>
  <c r="K75" i="71"/>
  <c r="J75" i="71"/>
  <c r="I75" i="71"/>
  <c r="H75" i="71"/>
  <c r="G75" i="71"/>
  <c r="F75" i="71"/>
  <c r="E75" i="71"/>
  <c r="D75" i="71"/>
  <c r="P74" i="71"/>
  <c r="M74" i="71"/>
  <c r="L74" i="71"/>
  <c r="K74" i="71"/>
  <c r="J74" i="71"/>
  <c r="I74" i="71"/>
  <c r="H74" i="71"/>
  <c r="G74" i="71"/>
  <c r="F74" i="71"/>
  <c r="E74" i="71"/>
  <c r="D74" i="71"/>
  <c r="P73" i="71"/>
  <c r="M73" i="71"/>
  <c r="L73" i="71"/>
  <c r="K73" i="71"/>
  <c r="J73" i="71"/>
  <c r="I73" i="71"/>
  <c r="H73" i="71"/>
  <c r="G73" i="71"/>
  <c r="F73" i="71"/>
  <c r="E73" i="71"/>
  <c r="D73" i="71"/>
  <c r="P72" i="71"/>
  <c r="M72" i="71"/>
  <c r="L72" i="71"/>
  <c r="K72" i="71"/>
  <c r="J72" i="71"/>
  <c r="I72" i="71"/>
  <c r="H72" i="71"/>
  <c r="G72" i="71"/>
  <c r="F72" i="71"/>
  <c r="E72" i="71"/>
  <c r="D72" i="71"/>
  <c r="P71" i="71"/>
  <c r="M71" i="71"/>
  <c r="L71" i="71"/>
  <c r="K71" i="71"/>
  <c r="J71" i="71"/>
  <c r="I71" i="71"/>
  <c r="H71" i="71"/>
  <c r="G71" i="71"/>
  <c r="F71" i="71"/>
  <c r="E71" i="71"/>
  <c r="D71" i="71"/>
  <c r="P70" i="71"/>
  <c r="M70" i="71"/>
  <c r="L70" i="71"/>
  <c r="K70" i="71"/>
  <c r="J70" i="71"/>
  <c r="I70" i="71"/>
  <c r="H70" i="71"/>
  <c r="G70" i="71"/>
  <c r="F70" i="71"/>
  <c r="E70" i="71"/>
  <c r="D70" i="71"/>
  <c r="P69" i="71"/>
  <c r="M69" i="71"/>
  <c r="L69" i="71"/>
  <c r="K69" i="71"/>
  <c r="J69" i="71"/>
  <c r="I69" i="71"/>
  <c r="H69" i="71"/>
  <c r="G69" i="71"/>
  <c r="F69" i="71"/>
  <c r="E69" i="71"/>
  <c r="D69" i="71"/>
  <c r="P68" i="71"/>
  <c r="M68" i="71"/>
  <c r="L68" i="71"/>
  <c r="K68" i="71"/>
  <c r="J68" i="71"/>
  <c r="I68" i="71"/>
  <c r="H68" i="71"/>
  <c r="G68" i="71"/>
  <c r="F68" i="71"/>
  <c r="E68" i="71"/>
  <c r="D68" i="71"/>
  <c r="P67" i="71"/>
  <c r="M67" i="71"/>
  <c r="L67" i="71"/>
  <c r="K67" i="71"/>
  <c r="J67" i="71"/>
  <c r="I67" i="71"/>
  <c r="H67" i="71"/>
  <c r="G67" i="71"/>
  <c r="F67" i="71"/>
  <c r="E67" i="71"/>
  <c r="D67" i="71"/>
  <c r="P66" i="71"/>
  <c r="M66" i="71"/>
  <c r="L66" i="71"/>
  <c r="K66" i="71"/>
  <c r="J66" i="71"/>
  <c r="I66" i="71"/>
  <c r="H66" i="71"/>
  <c r="G66" i="71"/>
  <c r="F66" i="71"/>
  <c r="E66" i="71"/>
  <c r="D66" i="71"/>
  <c r="P65" i="71"/>
  <c r="M65" i="71"/>
  <c r="L65" i="71"/>
  <c r="K65" i="71"/>
  <c r="J65" i="71"/>
  <c r="I65" i="71"/>
  <c r="H65" i="71"/>
  <c r="G65" i="71"/>
  <c r="F65" i="71"/>
  <c r="E65" i="71"/>
  <c r="D65" i="71"/>
  <c r="P64" i="71"/>
  <c r="M64" i="71"/>
  <c r="L64" i="71"/>
  <c r="K64" i="71"/>
  <c r="J64" i="71"/>
  <c r="I64" i="71"/>
  <c r="H64" i="71"/>
  <c r="G64" i="71"/>
  <c r="F64" i="71"/>
  <c r="E64" i="71"/>
  <c r="D64" i="71"/>
  <c r="P63" i="71"/>
  <c r="M63" i="71"/>
  <c r="L63" i="71"/>
  <c r="K63" i="71"/>
  <c r="J63" i="71"/>
  <c r="I63" i="71"/>
  <c r="H63" i="71"/>
  <c r="G63" i="71"/>
  <c r="F63" i="71"/>
  <c r="E63" i="71"/>
  <c r="D63" i="71"/>
  <c r="P62" i="71"/>
  <c r="M62" i="71"/>
  <c r="L62" i="71"/>
  <c r="K62" i="71"/>
  <c r="J62" i="71"/>
  <c r="I62" i="71"/>
  <c r="H62" i="71"/>
  <c r="G62" i="71"/>
  <c r="F62" i="71"/>
  <c r="E62" i="71"/>
  <c r="D62" i="71"/>
  <c r="P61" i="71"/>
  <c r="M61" i="71"/>
  <c r="L61" i="71"/>
  <c r="K61" i="71"/>
  <c r="J61" i="71"/>
  <c r="I61" i="71"/>
  <c r="H61" i="71"/>
  <c r="G61" i="71"/>
  <c r="F61" i="71"/>
  <c r="E61" i="71"/>
  <c r="D61" i="71"/>
  <c r="P60" i="71"/>
  <c r="M60" i="71"/>
  <c r="L60" i="71"/>
  <c r="K60" i="71"/>
  <c r="J60" i="71"/>
  <c r="I60" i="71"/>
  <c r="H60" i="71"/>
  <c r="G60" i="71"/>
  <c r="F60" i="71"/>
  <c r="E60" i="71"/>
  <c r="D60" i="71"/>
  <c r="P59" i="71"/>
  <c r="M59" i="71"/>
  <c r="L59" i="71"/>
  <c r="K59" i="71"/>
  <c r="J59" i="71"/>
  <c r="I59" i="71"/>
  <c r="H59" i="71"/>
  <c r="G59" i="71"/>
  <c r="F59" i="71"/>
  <c r="E59" i="71"/>
  <c r="D59" i="71"/>
  <c r="P58" i="71"/>
  <c r="M58" i="71"/>
  <c r="L58" i="71"/>
  <c r="K58" i="71"/>
  <c r="J58" i="71"/>
  <c r="I58" i="71"/>
  <c r="H58" i="71"/>
  <c r="G58" i="71"/>
  <c r="F58" i="71"/>
  <c r="E58" i="71"/>
  <c r="D58" i="71"/>
  <c r="P57" i="71"/>
  <c r="M57" i="71"/>
  <c r="L57" i="71"/>
  <c r="K57" i="71"/>
  <c r="J57" i="71"/>
  <c r="I57" i="71"/>
  <c r="H57" i="71"/>
  <c r="G57" i="71"/>
  <c r="F57" i="71"/>
  <c r="E57" i="71"/>
  <c r="D57" i="71"/>
  <c r="P56" i="71"/>
  <c r="M56" i="71"/>
  <c r="L56" i="71"/>
  <c r="K56" i="71"/>
  <c r="J56" i="71"/>
  <c r="I56" i="71"/>
  <c r="H56" i="71"/>
  <c r="G56" i="71"/>
  <c r="F56" i="71"/>
  <c r="E56" i="71"/>
  <c r="D56" i="71"/>
  <c r="P55" i="71"/>
  <c r="M55" i="71"/>
  <c r="L55" i="71"/>
  <c r="K55" i="71"/>
  <c r="J55" i="71"/>
  <c r="I55" i="71"/>
  <c r="H55" i="71"/>
  <c r="G55" i="71"/>
  <c r="F55" i="71"/>
  <c r="E55" i="71"/>
  <c r="D55" i="71"/>
  <c r="P54" i="71"/>
  <c r="M54" i="71"/>
  <c r="L54" i="71"/>
  <c r="K54" i="71"/>
  <c r="J54" i="71"/>
  <c r="I54" i="71"/>
  <c r="H54" i="71"/>
  <c r="G54" i="71"/>
  <c r="F54" i="71"/>
  <c r="E54" i="71"/>
  <c r="D54" i="71"/>
  <c r="P53" i="71"/>
  <c r="M53" i="71"/>
  <c r="L53" i="71"/>
  <c r="K53" i="71"/>
  <c r="J53" i="71"/>
  <c r="I53" i="71"/>
  <c r="H53" i="71"/>
  <c r="G53" i="71"/>
  <c r="F53" i="71"/>
  <c r="E53" i="71"/>
  <c r="D53" i="71"/>
  <c r="P52" i="71"/>
  <c r="M52" i="71"/>
  <c r="L52" i="71"/>
  <c r="K52" i="71"/>
  <c r="J52" i="71"/>
  <c r="I52" i="71"/>
  <c r="H52" i="71"/>
  <c r="G52" i="71"/>
  <c r="F52" i="71"/>
  <c r="E52" i="71"/>
  <c r="D52" i="71"/>
  <c r="P51" i="71"/>
  <c r="M51" i="71"/>
  <c r="L51" i="71"/>
  <c r="K51" i="71"/>
  <c r="J51" i="71"/>
  <c r="I51" i="71"/>
  <c r="H51" i="71"/>
  <c r="G51" i="71"/>
  <c r="F51" i="71"/>
  <c r="E51" i="71"/>
  <c r="D51" i="71"/>
  <c r="P50" i="71"/>
  <c r="M50" i="71"/>
  <c r="L50" i="71"/>
  <c r="K50" i="71"/>
  <c r="J50" i="71"/>
  <c r="I50" i="71"/>
  <c r="H50" i="71"/>
  <c r="G50" i="71"/>
  <c r="F50" i="71"/>
  <c r="E50" i="71"/>
  <c r="D50" i="71"/>
  <c r="P49" i="71"/>
  <c r="M49" i="71"/>
  <c r="L49" i="71"/>
  <c r="K49" i="71"/>
  <c r="J49" i="71"/>
  <c r="I49" i="71"/>
  <c r="H49" i="71"/>
  <c r="G49" i="71"/>
  <c r="F49" i="71"/>
  <c r="E49" i="71"/>
  <c r="D49" i="71"/>
  <c r="P48" i="71"/>
  <c r="M48" i="71"/>
  <c r="L48" i="71"/>
  <c r="K48" i="71"/>
  <c r="J48" i="71"/>
  <c r="I48" i="71"/>
  <c r="H48" i="71"/>
  <c r="G48" i="71"/>
  <c r="F48" i="71"/>
  <c r="E48" i="71"/>
  <c r="D48" i="71"/>
  <c r="P47" i="71"/>
  <c r="M47" i="71"/>
  <c r="L47" i="71"/>
  <c r="K47" i="71"/>
  <c r="J47" i="71"/>
  <c r="I47" i="71"/>
  <c r="H47" i="71"/>
  <c r="G47" i="71"/>
  <c r="F47" i="71"/>
  <c r="E47" i="71"/>
  <c r="D47" i="71"/>
  <c r="P46" i="71"/>
  <c r="M46" i="71"/>
  <c r="L46" i="71"/>
  <c r="K46" i="71"/>
  <c r="J46" i="71"/>
  <c r="I46" i="71"/>
  <c r="H46" i="71"/>
  <c r="G46" i="71"/>
  <c r="F46" i="71"/>
  <c r="E46" i="71"/>
  <c r="D46" i="71"/>
  <c r="P45" i="71"/>
  <c r="M45" i="71"/>
  <c r="L45" i="71"/>
  <c r="K45" i="71"/>
  <c r="J45" i="71"/>
  <c r="I45" i="71"/>
  <c r="H45" i="71"/>
  <c r="G45" i="71"/>
  <c r="F45" i="71"/>
  <c r="E45" i="71"/>
  <c r="D45" i="71"/>
  <c r="P44" i="71"/>
  <c r="M44" i="71"/>
  <c r="L44" i="71"/>
  <c r="K44" i="71"/>
  <c r="J44" i="71"/>
  <c r="I44" i="71"/>
  <c r="H44" i="71"/>
  <c r="G44" i="71"/>
  <c r="F44" i="71"/>
  <c r="E44" i="71"/>
  <c r="D44" i="71"/>
  <c r="P43" i="71"/>
  <c r="M43" i="71"/>
  <c r="L43" i="71"/>
  <c r="K43" i="71"/>
  <c r="J43" i="71"/>
  <c r="I43" i="71"/>
  <c r="H43" i="71"/>
  <c r="G43" i="71"/>
  <c r="F43" i="71"/>
  <c r="E43" i="71"/>
  <c r="D43" i="71"/>
  <c r="P42" i="71"/>
  <c r="M42" i="71"/>
  <c r="L42" i="71"/>
  <c r="K42" i="71"/>
  <c r="J42" i="71"/>
  <c r="I42" i="71"/>
  <c r="H42" i="71"/>
  <c r="G42" i="71"/>
  <c r="F42" i="71"/>
  <c r="E42" i="71"/>
  <c r="D42" i="71"/>
  <c r="P41" i="71"/>
  <c r="M41" i="71"/>
  <c r="L41" i="71"/>
  <c r="K41" i="71"/>
  <c r="J41" i="71"/>
  <c r="I41" i="71"/>
  <c r="H41" i="71"/>
  <c r="G41" i="71"/>
  <c r="F41" i="71"/>
  <c r="E41" i="71"/>
  <c r="D41" i="71"/>
  <c r="P40" i="71"/>
  <c r="M40" i="71"/>
  <c r="L40" i="71"/>
  <c r="K40" i="71"/>
  <c r="J40" i="71"/>
  <c r="I40" i="71"/>
  <c r="H40" i="71"/>
  <c r="G40" i="71"/>
  <c r="F40" i="71"/>
  <c r="E40" i="71"/>
  <c r="D40" i="71"/>
  <c r="P39" i="71"/>
  <c r="M39" i="71"/>
  <c r="L39" i="71"/>
  <c r="K39" i="71"/>
  <c r="J39" i="71"/>
  <c r="I39" i="71"/>
  <c r="H39" i="71"/>
  <c r="G39" i="71"/>
  <c r="F39" i="71"/>
  <c r="E39" i="71"/>
  <c r="D39" i="71"/>
  <c r="P38" i="71"/>
  <c r="M38" i="71"/>
  <c r="L38" i="71"/>
  <c r="K38" i="71"/>
  <c r="J38" i="71"/>
  <c r="I38" i="71"/>
  <c r="H38" i="71"/>
  <c r="G38" i="71"/>
  <c r="F38" i="71"/>
  <c r="E38" i="71"/>
  <c r="D38" i="71"/>
  <c r="P37" i="71"/>
  <c r="M37" i="71"/>
  <c r="L37" i="71"/>
  <c r="K37" i="71"/>
  <c r="J37" i="71"/>
  <c r="I37" i="71"/>
  <c r="H37" i="71"/>
  <c r="G37" i="71"/>
  <c r="F37" i="71"/>
  <c r="E37" i="71"/>
  <c r="D37" i="71"/>
  <c r="P36" i="71"/>
  <c r="M36" i="71"/>
  <c r="L36" i="71"/>
  <c r="K36" i="71"/>
  <c r="J36" i="71"/>
  <c r="I36" i="71"/>
  <c r="H36" i="71"/>
  <c r="G36" i="71"/>
  <c r="F36" i="71"/>
  <c r="E36" i="71"/>
  <c r="D36" i="71"/>
  <c r="P35" i="71"/>
  <c r="M35" i="71"/>
  <c r="L35" i="71"/>
  <c r="K35" i="71"/>
  <c r="J35" i="71"/>
  <c r="I35" i="71"/>
  <c r="H35" i="71"/>
  <c r="G35" i="71"/>
  <c r="F35" i="71"/>
  <c r="E35" i="71"/>
  <c r="D35" i="71"/>
  <c r="P34" i="71"/>
  <c r="M34" i="71"/>
  <c r="L34" i="71"/>
  <c r="K34" i="71"/>
  <c r="J34" i="71"/>
  <c r="I34" i="71"/>
  <c r="H34" i="71"/>
  <c r="G34" i="71"/>
  <c r="F34" i="71"/>
  <c r="E34" i="71"/>
  <c r="D34" i="71"/>
  <c r="P33" i="71"/>
  <c r="M33" i="71"/>
  <c r="L33" i="71"/>
  <c r="K33" i="71"/>
  <c r="J33" i="71"/>
  <c r="I33" i="71"/>
  <c r="H33" i="71"/>
  <c r="G33" i="71"/>
  <c r="F33" i="71"/>
  <c r="E33" i="71"/>
  <c r="D33" i="71"/>
  <c r="P32" i="71"/>
  <c r="M32" i="71"/>
  <c r="L32" i="71"/>
  <c r="K32" i="71"/>
  <c r="J32" i="71"/>
  <c r="I32" i="71"/>
  <c r="H32" i="71"/>
  <c r="G32" i="71"/>
  <c r="F32" i="71"/>
  <c r="E32" i="71"/>
  <c r="D32" i="71"/>
  <c r="P31" i="71"/>
  <c r="M31" i="71"/>
  <c r="L31" i="71"/>
  <c r="K31" i="71"/>
  <c r="J31" i="71"/>
  <c r="I31" i="71"/>
  <c r="H31" i="71"/>
  <c r="G31" i="71"/>
  <c r="F31" i="71"/>
  <c r="E31" i="71"/>
  <c r="D31" i="71"/>
  <c r="P30" i="71"/>
  <c r="M30" i="71"/>
  <c r="L30" i="71"/>
  <c r="K30" i="71"/>
  <c r="J30" i="71"/>
  <c r="I30" i="71"/>
  <c r="H30" i="71"/>
  <c r="G30" i="71"/>
  <c r="F30" i="71"/>
  <c r="E30" i="71"/>
  <c r="D30" i="71"/>
  <c r="P29" i="71"/>
  <c r="M29" i="71"/>
  <c r="L29" i="71"/>
  <c r="K29" i="71"/>
  <c r="J29" i="71"/>
  <c r="I29" i="71"/>
  <c r="H29" i="71"/>
  <c r="G29" i="71"/>
  <c r="F29" i="71"/>
  <c r="E29" i="71"/>
  <c r="D29" i="71"/>
  <c r="P28" i="71"/>
  <c r="M28" i="71"/>
  <c r="L28" i="71"/>
  <c r="K28" i="71"/>
  <c r="J28" i="71"/>
  <c r="I28" i="71"/>
  <c r="H28" i="71"/>
  <c r="G28" i="71"/>
  <c r="F28" i="71"/>
  <c r="E28" i="71"/>
  <c r="D28" i="71"/>
  <c r="P27" i="71"/>
  <c r="M27" i="71"/>
  <c r="L27" i="71"/>
  <c r="K27" i="71"/>
  <c r="J27" i="71"/>
  <c r="I27" i="71"/>
  <c r="H27" i="71"/>
  <c r="G27" i="71"/>
  <c r="F27" i="71"/>
  <c r="E27" i="71"/>
  <c r="D27" i="71"/>
  <c r="P26" i="71"/>
  <c r="M26" i="71"/>
  <c r="L26" i="71"/>
  <c r="K26" i="71"/>
  <c r="J26" i="71"/>
  <c r="I26" i="71"/>
  <c r="H26" i="71"/>
  <c r="G26" i="71"/>
  <c r="F26" i="71"/>
  <c r="E26" i="71"/>
  <c r="D26" i="71"/>
  <c r="P25" i="71"/>
  <c r="M25" i="71"/>
  <c r="L25" i="71"/>
  <c r="K25" i="71"/>
  <c r="J25" i="71"/>
  <c r="I25" i="71"/>
  <c r="H25" i="71"/>
  <c r="G25" i="71"/>
  <c r="F25" i="71"/>
  <c r="E25" i="71"/>
  <c r="D25" i="71"/>
  <c r="P24" i="71"/>
  <c r="M24" i="71"/>
  <c r="L24" i="71"/>
  <c r="K24" i="71"/>
  <c r="J24" i="71"/>
  <c r="I24" i="71"/>
  <c r="H24" i="71"/>
  <c r="G24" i="71"/>
  <c r="F24" i="71"/>
  <c r="E24" i="71"/>
  <c r="D24" i="71"/>
  <c r="P23" i="71"/>
  <c r="M23" i="71"/>
  <c r="L23" i="71"/>
  <c r="K23" i="71"/>
  <c r="J23" i="71"/>
  <c r="I23" i="71"/>
  <c r="H23" i="71"/>
  <c r="G23" i="71"/>
  <c r="F23" i="71"/>
  <c r="E23" i="71"/>
  <c r="D23" i="71"/>
  <c r="P22" i="71"/>
  <c r="M22" i="71"/>
  <c r="L22" i="71"/>
  <c r="K22" i="71"/>
  <c r="J22" i="71"/>
  <c r="I22" i="71"/>
  <c r="H22" i="71"/>
  <c r="G22" i="71"/>
  <c r="F22" i="71"/>
  <c r="E22" i="71"/>
  <c r="D22" i="71"/>
  <c r="O19" i="71"/>
  <c r="N19" i="71"/>
  <c r="M19" i="71"/>
  <c r="L19" i="71"/>
  <c r="K19" i="71"/>
  <c r="J19" i="71"/>
  <c r="H19" i="71"/>
  <c r="G19" i="71"/>
  <c r="F19" i="71"/>
  <c r="E19" i="71"/>
  <c r="D19" i="71"/>
  <c r="P18" i="71"/>
  <c r="O18" i="71"/>
  <c r="N18" i="71"/>
  <c r="M18" i="71"/>
  <c r="L18" i="71"/>
  <c r="K18" i="71"/>
  <c r="J18" i="71"/>
  <c r="I18" i="71"/>
  <c r="H18" i="71"/>
  <c r="G18" i="71"/>
  <c r="F18" i="71"/>
  <c r="E18" i="71"/>
  <c r="D18" i="71"/>
  <c r="P17" i="71"/>
  <c r="P16" i="71"/>
  <c r="P15" i="71"/>
  <c r="P14" i="71"/>
  <c r="O13" i="71"/>
  <c r="N13" i="71"/>
  <c r="M13" i="71"/>
  <c r="L13" i="71"/>
  <c r="K13" i="71"/>
  <c r="J13" i="71"/>
  <c r="H13" i="71"/>
  <c r="G13" i="71"/>
  <c r="F13" i="71"/>
  <c r="E13" i="71"/>
  <c r="D13" i="71"/>
  <c r="M12" i="71"/>
  <c r="L12" i="71"/>
  <c r="K12" i="71"/>
  <c r="J12" i="71"/>
  <c r="I12" i="71"/>
  <c r="P12" i="71" s="1"/>
  <c r="H12" i="71"/>
  <c r="G12" i="71"/>
  <c r="F12" i="71"/>
  <c r="E12" i="71"/>
  <c r="D12" i="71"/>
  <c r="M11" i="71"/>
  <c r="L11" i="71"/>
  <c r="K11" i="71"/>
  <c r="J11" i="71"/>
  <c r="I11" i="71"/>
  <c r="P11" i="71" s="1"/>
  <c r="H11" i="71"/>
  <c r="G11" i="71"/>
  <c r="F11" i="71"/>
  <c r="E11" i="71"/>
  <c r="D11" i="71"/>
  <c r="M10" i="71"/>
  <c r="L10" i="71"/>
  <c r="K10" i="71"/>
  <c r="J10" i="71"/>
  <c r="I10" i="71"/>
  <c r="P10" i="71" s="1"/>
  <c r="H10" i="71"/>
  <c r="G10" i="71"/>
  <c r="F10" i="71"/>
  <c r="E10" i="71"/>
  <c r="D10" i="71"/>
  <c r="M9" i="71"/>
  <c r="L9" i="71"/>
  <c r="K9" i="71"/>
  <c r="J9" i="71"/>
  <c r="I9" i="71"/>
  <c r="I8" i="71" s="1"/>
  <c r="P8" i="71" s="1"/>
  <c r="H9" i="71"/>
  <c r="G9" i="71"/>
  <c r="F9" i="71"/>
  <c r="E9" i="71"/>
  <c r="D9" i="71"/>
  <c r="O8" i="71"/>
  <c r="N8" i="71"/>
  <c r="M8" i="71"/>
  <c r="L8" i="71"/>
  <c r="K8" i="71"/>
  <c r="J8" i="71"/>
  <c r="H8" i="71"/>
  <c r="G8" i="71"/>
  <c r="F8" i="71"/>
  <c r="E8" i="71"/>
  <c r="D8" i="71"/>
  <c r="M141" i="70"/>
  <c r="N137" i="70"/>
  <c r="M137" i="70"/>
  <c r="L137" i="70"/>
  <c r="K137" i="70"/>
  <c r="J137" i="70"/>
  <c r="H137" i="70"/>
  <c r="G137" i="70"/>
  <c r="F137" i="70"/>
  <c r="E137" i="70"/>
  <c r="D137" i="70"/>
  <c r="N134" i="70"/>
  <c r="M134" i="70"/>
  <c r="L134" i="70"/>
  <c r="K134" i="70"/>
  <c r="J134" i="70"/>
  <c r="H134" i="70"/>
  <c r="G134" i="70"/>
  <c r="F134" i="70"/>
  <c r="E134" i="70"/>
  <c r="D134" i="70"/>
  <c r="O132" i="70"/>
  <c r="P132" i="70" s="1"/>
  <c r="N132" i="70"/>
  <c r="M132" i="70"/>
  <c r="L132" i="70"/>
  <c r="K132" i="70"/>
  <c r="J132" i="70"/>
  <c r="I132" i="70"/>
  <c r="H132" i="70"/>
  <c r="G132" i="70"/>
  <c r="F132" i="70"/>
  <c r="E132" i="70"/>
  <c r="D132" i="70"/>
  <c r="P131" i="70"/>
  <c r="N131" i="70"/>
  <c r="M131" i="70"/>
  <c r="L131" i="70"/>
  <c r="K131" i="70"/>
  <c r="J131" i="70"/>
  <c r="I131" i="70"/>
  <c r="H131" i="70"/>
  <c r="G131" i="70"/>
  <c r="F131" i="70"/>
  <c r="E131" i="70"/>
  <c r="D131" i="70"/>
  <c r="P130" i="70"/>
  <c r="N130" i="70"/>
  <c r="M130" i="70"/>
  <c r="L130" i="70"/>
  <c r="K130" i="70"/>
  <c r="J130" i="70"/>
  <c r="I130" i="70"/>
  <c r="H130" i="70"/>
  <c r="G130" i="70"/>
  <c r="F130" i="70"/>
  <c r="E130" i="70"/>
  <c r="D130" i="70"/>
  <c r="P129" i="70"/>
  <c r="N129" i="70"/>
  <c r="M129" i="70"/>
  <c r="L129" i="70"/>
  <c r="K129" i="70"/>
  <c r="J129" i="70"/>
  <c r="I129" i="70"/>
  <c r="H129" i="70"/>
  <c r="G129" i="70"/>
  <c r="F129" i="70"/>
  <c r="E129" i="70"/>
  <c r="D129" i="70"/>
  <c r="P128" i="70"/>
  <c r="N128" i="70"/>
  <c r="M128" i="70"/>
  <c r="L128" i="70"/>
  <c r="K128" i="70"/>
  <c r="J128" i="70"/>
  <c r="I128" i="70"/>
  <c r="H128" i="70"/>
  <c r="G128" i="70"/>
  <c r="F128" i="70"/>
  <c r="E128" i="70"/>
  <c r="D128" i="70"/>
  <c r="P127" i="70"/>
  <c r="N127" i="70"/>
  <c r="M127" i="70"/>
  <c r="L127" i="70"/>
  <c r="K127" i="70"/>
  <c r="J127" i="70"/>
  <c r="I127" i="70"/>
  <c r="H127" i="70"/>
  <c r="G127" i="70"/>
  <c r="F127" i="70"/>
  <c r="E127" i="70"/>
  <c r="D127" i="70"/>
  <c r="P126" i="70"/>
  <c r="N126" i="70"/>
  <c r="M126" i="70"/>
  <c r="L126" i="70"/>
  <c r="K126" i="70"/>
  <c r="J126" i="70"/>
  <c r="I126" i="70"/>
  <c r="H126" i="70"/>
  <c r="G126" i="70"/>
  <c r="F126" i="70"/>
  <c r="E126" i="70"/>
  <c r="D126" i="70"/>
  <c r="P125" i="70"/>
  <c r="N125" i="70"/>
  <c r="M125" i="70"/>
  <c r="L125" i="70"/>
  <c r="K125" i="70"/>
  <c r="J125" i="70"/>
  <c r="I125" i="70"/>
  <c r="H125" i="70"/>
  <c r="G125" i="70"/>
  <c r="F125" i="70"/>
  <c r="E125" i="70"/>
  <c r="D125" i="70"/>
  <c r="P124" i="70"/>
  <c r="N124" i="70"/>
  <c r="M124" i="70"/>
  <c r="L124" i="70"/>
  <c r="K124" i="70"/>
  <c r="J124" i="70"/>
  <c r="I124" i="70"/>
  <c r="H124" i="70"/>
  <c r="G124" i="70"/>
  <c r="F124" i="70"/>
  <c r="E124" i="70"/>
  <c r="D124" i="70"/>
  <c r="P123" i="70"/>
  <c r="N123" i="70"/>
  <c r="M123" i="70"/>
  <c r="L123" i="70"/>
  <c r="K123" i="70"/>
  <c r="J123" i="70"/>
  <c r="I123" i="70"/>
  <c r="H123" i="70"/>
  <c r="G123" i="70"/>
  <c r="F123" i="70"/>
  <c r="E123" i="70"/>
  <c r="D123" i="70"/>
  <c r="P122" i="70"/>
  <c r="N122" i="70"/>
  <c r="M122" i="70"/>
  <c r="L122" i="70"/>
  <c r="K122" i="70"/>
  <c r="J122" i="70"/>
  <c r="I122" i="70"/>
  <c r="H122" i="70"/>
  <c r="G122" i="70"/>
  <c r="F122" i="70"/>
  <c r="E122" i="70"/>
  <c r="D122" i="70"/>
  <c r="P121" i="70"/>
  <c r="N121" i="70"/>
  <c r="M121" i="70"/>
  <c r="L121" i="70"/>
  <c r="K121" i="70"/>
  <c r="J121" i="70"/>
  <c r="I121" i="70"/>
  <c r="H121" i="70"/>
  <c r="G121" i="70"/>
  <c r="F121" i="70"/>
  <c r="E121" i="70"/>
  <c r="D121" i="70"/>
  <c r="P120" i="70"/>
  <c r="N120" i="70"/>
  <c r="M120" i="70"/>
  <c r="L120" i="70"/>
  <c r="K120" i="70"/>
  <c r="J120" i="70"/>
  <c r="I120" i="70"/>
  <c r="H120" i="70"/>
  <c r="G120" i="70"/>
  <c r="F120" i="70"/>
  <c r="E120" i="70"/>
  <c r="D120" i="70"/>
  <c r="P119" i="70"/>
  <c r="N119" i="70"/>
  <c r="M119" i="70"/>
  <c r="L119" i="70"/>
  <c r="K119" i="70"/>
  <c r="J119" i="70"/>
  <c r="I119" i="70"/>
  <c r="H119" i="70"/>
  <c r="G119" i="70"/>
  <c r="F119" i="70"/>
  <c r="E119" i="70"/>
  <c r="D119" i="70"/>
  <c r="P118" i="70"/>
  <c r="N118" i="70"/>
  <c r="M118" i="70"/>
  <c r="L118" i="70"/>
  <c r="K118" i="70"/>
  <c r="J118" i="70"/>
  <c r="I118" i="70"/>
  <c r="H118" i="70"/>
  <c r="G118" i="70"/>
  <c r="F118" i="70"/>
  <c r="E118" i="70"/>
  <c r="D118" i="70"/>
  <c r="P117" i="70"/>
  <c r="N117" i="70"/>
  <c r="M117" i="70"/>
  <c r="L117" i="70"/>
  <c r="K117" i="70"/>
  <c r="J117" i="70"/>
  <c r="I117" i="70"/>
  <c r="H117" i="70"/>
  <c r="G117" i="70"/>
  <c r="F117" i="70"/>
  <c r="E117" i="70"/>
  <c r="D117" i="70"/>
  <c r="P116" i="70"/>
  <c r="N116" i="70"/>
  <c r="M116" i="70"/>
  <c r="L116" i="70"/>
  <c r="K116" i="70"/>
  <c r="J116" i="70"/>
  <c r="I116" i="70"/>
  <c r="H116" i="70"/>
  <c r="G116" i="70"/>
  <c r="F116" i="70"/>
  <c r="E116" i="70"/>
  <c r="D116" i="70"/>
  <c r="P115" i="70"/>
  <c r="N115" i="70"/>
  <c r="M115" i="70"/>
  <c r="L115" i="70"/>
  <c r="K115" i="70"/>
  <c r="J115" i="70"/>
  <c r="I115" i="70"/>
  <c r="H115" i="70"/>
  <c r="G115" i="70"/>
  <c r="F115" i="70"/>
  <c r="E115" i="70"/>
  <c r="D115" i="70"/>
  <c r="P114" i="70"/>
  <c r="N114" i="70"/>
  <c r="M114" i="70"/>
  <c r="L114" i="70"/>
  <c r="K114" i="70"/>
  <c r="J114" i="70"/>
  <c r="I114" i="70"/>
  <c r="H114" i="70"/>
  <c r="G114" i="70"/>
  <c r="F114" i="70"/>
  <c r="E114" i="70"/>
  <c r="D114" i="70"/>
  <c r="P113" i="70"/>
  <c r="N113" i="70"/>
  <c r="M113" i="70"/>
  <c r="L113" i="70"/>
  <c r="K113" i="70"/>
  <c r="J113" i="70"/>
  <c r="I113" i="70"/>
  <c r="H113" i="70"/>
  <c r="G113" i="70"/>
  <c r="F113" i="70"/>
  <c r="E113" i="70"/>
  <c r="D113" i="70"/>
  <c r="P112" i="70"/>
  <c r="N112" i="70"/>
  <c r="M112" i="70"/>
  <c r="L112" i="70"/>
  <c r="K112" i="70"/>
  <c r="J112" i="70"/>
  <c r="I112" i="70"/>
  <c r="H112" i="70"/>
  <c r="G112" i="70"/>
  <c r="F112" i="70"/>
  <c r="E112" i="70"/>
  <c r="D112" i="70"/>
  <c r="P111" i="70"/>
  <c r="N111" i="70"/>
  <c r="M111" i="70"/>
  <c r="L111" i="70"/>
  <c r="K111" i="70"/>
  <c r="J111" i="70"/>
  <c r="I111" i="70"/>
  <c r="H111" i="70"/>
  <c r="G111" i="70"/>
  <c r="F111" i="70"/>
  <c r="E111" i="70"/>
  <c r="D111" i="70"/>
  <c r="P110" i="70"/>
  <c r="N110" i="70"/>
  <c r="M110" i="70"/>
  <c r="L110" i="70"/>
  <c r="K110" i="70"/>
  <c r="J110" i="70"/>
  <c r="I110" i="70"/>
  <c r="H110" i="70"/>
  <c r="G110" i="70"/>
  <c r="F110" i="70"/>
  <c r="E110" i="70"/>
  <c r="D110" i="70"/>
  <c r="P109" i="70"/>
  <c r="N109" i="70"/>
  <c r="M109" i="70"/>
  <c r="L109" i="70"/>
  <c r="K109" i="70"/>
  <c r="J109" i="70"/>
  <c r="I109" i="70"/>
  <c r="H109" i="70"/>
  <c r="G109" i="70"/>
  <c r="F109" i="70"/>
  <c r="E109" i="70"/>
  <c r="D109" i="70"/>
  <c r="P108" i="70"/>
  <c r="N108" i="70"/>
  <c r="M108" i="70"/>
  <c r="L108" i="70"/>
  <c r="K108" i="70"/>
  <c r="J108" i="70"/>
  <c r="I108" i="70"/>
  <c r="H108" i="70"/>
  <c r="G108" i="70"/>
  <c r="F108" i="70"/>
  <c r="E108" i="70"/>
  <c r="D108" i="70"/>
  <c r="P107" i="70"/>
  <c r="N107" i="70"/>
  <c r="M107" i="70"/>
  <c r="L107" i="70"/>
  <c r="K107" i="70"/>
  <c r="J107" i="70"/>
  <c r="I107" i="70"/>
  <c r="H107" i="70"/>
  <c r="G107" i="70"/>
  <c r="F107" i="70"/>
  <c r="E107" i="70"/>
  <c r="D107" i="70"/>
  <c r="P106" i="70"/>
  <c r="N106" i="70"/>
  <c r="M106" i="70"/>
  <c r="L106" i="70"/>
  <c r="K106" i="70"/>
  <c r="J106" i="70"/>
  <c r="I106" i="70"/>
  <c r="H106" i="70"/>
  <c r="G106" i="70"/>
  <c r="F106" i="70"/>
  <c r="E106" i="70"/>
  <c r="D106" i="70"/>
  <c r="P105" i="70"/>
  <c r="N105" i="70"/>
  <c r="M105" i="70"/>
  <c r="L105" i="70"/>
  <c r="K105" i="70"/>
  <c r="J105" i="70"/>
  <c r="I105" i="70"/>
  <c r="H105" i="70"/>
  <c r="G105" i="70"/>
  <c r="F105" i="70"/>
  <c r="E105" i="70"/>
  <c r="D105" i="70"/>
  <c r="P104" i="70"/>
  <c r="N104" i="70"/>
  <c r="M104" i="70"/>
  <c r="L104" i="70"/>
  <c r="K104" i="70"/>
  <c r="J104" i="70"/>
  <c r="I104" i="70"/>
  <c r="H104" i="70"/>
  <c r="G104" i="70"/>
  <c r="F104" i="70"/>
  <c r="E104" i="70"/>
  <c r="D104" i="70"/>
  <c r="P103" i="70"/>
  <c r="N103" i="70"/>
  <c r="M103" i="70"/>
  <c r="L103" i="70"/>
  <c r="K103" i="70"/>
  <c r="J103" i="70"/>
  <c r="I103" i="70"/>
  <c r="H103" i="70"/>
  <c r="G103" i="70"/>
  <c r="F103" i="70"/>
  <c r="E103" i="70"/>
  <c r="D103" i="70"/>
  <c r="P102" i="70"/>
  <c r="N102" i="70"/>
  <c r="M102" i="70"/>
  <c r="L102" i="70"/>
  <c r="K102" i="70"/>
  <c r="J102" i="70"/>
  <c r="I102" i="70"/>
  <c r="H102" i="70"/>
  <c r="G102" i="70"/>
  <c r="F102" i="70"/>
  <c r="E102" i="70"/>
  <c r="D102" i="70"/>
  <c r="P101" i="70"/>
  <c r="N101" i="70"/>
  <c r="M101" i="70"/>
  <c r="L101" i="70"/>
  <c r="K101" i="70"/>
  <c r="J101" i="70"/>
  <c r="I101" i="70"/>
  <c r="H101" i="70"/>
  <c r="G101" i="70"/>
  <c r="F101" i="70"/>
  <c r="E101" i="70"/>
  <c r="D101" i="70"/>
  <c r="P100" i="70"/>
  <c r="N100" i="70"/>
  <c r="M100" i="70"/>
  <c r="L100" i="70"/>
  <c r="K100" i="70"/>
  <c r="J100" i="70"/>
  <c r="I100" i="70"/>
  <c r="H100" i="70"/>
  <c r="G100" i="70"/>
  <c r="F100" i="70"/>
  <c r="E100" i="70"/>
  <c r="D100" i="70"/>
  <c r="P99" i="70"/>
  <c r="N99" i="70"/>
  <c r="M99" i="70"/>
  <c r="L99" i="70"/>
  <c r="K99" i="70"/>
  <c r="J99" i="70"/>
  <c r="I99" i="70"/>
  <c r="H99" i="70"/>
  <c r="G99" i="70"/>
  <c r="F99" i="70"/>
  <c r="E99" i="70"/>
  <c r="D99" i="70"/>
  <c r="P98" i="70"/>
  <c r="N98" i="70"/>
  <c r="M98" i="70"/>
  <c r="L98" i="70"/>
  <c r="K98" i="70"/>
  <c r="J98" i="70"/>
  <c r="I98" i="70"/>
  <c r="H98" i="70"/>
  <c r="G98" i="70"/>
  <c r="F98" i="70"/>
  <c r="E98" i="70"/>
  <c r="D98" i="70"/>
  <c r="P97" i="70"/>
  <c r="N97" i="70"/>
  <c r="M97" i="70"/>
  <c r="L97" i="70"/>
  <c r="K97" i="70"/>
  <c r="J97" i="70"/>
  <c r="I97" i="70"/>
  <c r="H97" i="70"/>
  <c r="G97" i="70"/>
  <c r="F97" i="70"/>
  <c r="E97" i="70"/>
  <c r="D97" i="70"/>
  <c r="P96" i="70"/>
  <c r="N96" i="70"/>
  <c r="M96" i="70"/>
  <c r="L96" i="70"/>
  <c r="K96" i="70"/>
  <c r="J96" i="70"/>
  <c r="I96" i="70"/>
  <c r="H96" i="70"/>
  <c r="G96" i="70"/>
  <c r="F96" i="70"/>
  <c r="E96" i="70"/>
  <c r="D96" i="70"/>
  <c r="P95" i="70"/>
  <c r="N95" i="70"/>
  <c r="M95" i="70"/>
  <c r="L95" i="70"/>
  <c r="K95" i="70"/>
  <c r="J95" i="70"/>
  <c r="I95" i="70"/>
  <c r="H95" i="70"/>
  <c r="G95" i="70"/>
  <c r="F95" i="70"/>
  <c r="E95" i="70"/>
  <c r="D95" i="70"/>
  <c r="P94" i="70"/>
  <c r="N94" i="70"/>
  <c r="M94" i="70"/>
  <c r="L94" i="70"/>
  <c r="K94" i="70"/>
  <c r="J94" i="70"/>
  <c r="I94" i="70"/>
  <c r="H94" i="70"/>
  <c r="G94" i="70"/>
  <c r="F94" i="70"/>
  <c r="E94" i="70"/>
  <c r="D94" i="70"/>
  <c r="P93" i="70"/>
  <c r="N93" i="70"/>
  <c r="M93" i="70"/>
  <c r="L93" i="70"/>
  <c r="K93" i="70"/>
  <c r="J93" i="70"/>
  <c r="I93" i="70"/>
  <c r="H93" i="70"/>
  <c r="G93" i="70"/>
  <c r="F93" i="70"/>
  <c r="E93" i="70"/>
  <c r="D93" i="70"/>
  <c r="P92" i="70"/>
  <c r="N92" i="70"/>
  <c r="M92" i="70"/>
  <c r="L92" i="70"/>
  <c r="K92" i="70"/>
  <c r="J92" i="70"/>
  <c r="I92" i="70"/>
  <c r="H92" i="70"/>
  <c r="G92" i="70"/>
  <c r="F92" i="70"/>
  <c r="E92" i="70"/>
  <c r="D92" i="70"/>
  <c r="P91" i="70"/>
  <c r="N91" i="70"/>
  <c r="M91" i="70"/>
  <c r="L91" i="70"/>
  <c r="K91" i="70"/>
  <c r="J91" i="70"/>
  <c r="I91" i="70"/>
  <c r="H91" i="70"/>
  <c r="G91" i="70"/>
  <c r="F91" i="70"/>
  <c r="E91" i="70"/>
  <c r="D91" i="70"/>
  <c r="P90" i="70"/>
  <c r="N90" i="70"/>
  <c r="M90" i="70"/>
  <c r="L90" i="70"/>
  <c r="K90" i="70"/>
  <c r="J90" i="70"/>
  <c r="I90" i="70"/>
  <c r="H90" i="70"/>
  <c r="G90" i="70"/>
  <c r="F90" i="70"/>
  <c r="E90" i="70"/>
  <c r="D90" i="70"/>
  <c r="P89" i="70"/>
  <c r="N89" i="70"/>
  <c r="M89" i="70"/>
  <c r="L89" i="70"/>
  <c r="K89" i="70"/>
  <c r="J89" i="70"/>
  <c r="I89" i="70"/>
  <c r="H89" i="70"/>
  <c r="G89" i="70"/>
  <c r="F89" i="70"/>
  <c r="E89" i="70"/>
  <c r="D89" i="70"/>
  <c r="P88" i="70"/>
  <c r="N88" i="70"/>
  <c r="M88" i="70"/>
  <c r="L88" i="70"/>
  <c r="K88" i="70"/>
  <c r="J88" i="70"/>
  <c r="I88" i="70"/>
  <c r="H88" i="70"/>
  <c r="G88" i="70"/>
  <c r="F88" i="70"/>
  <c r="E88" i="70"/>
  <c r="D88" i="70"/>
  <c r="P87" i="70"/>
  <c r="N87" i="70"/>
  <c r="M87" i="70"/>
  <c r="L87" i="70"/>
  <c r="K87" i="70"/>
  <c r="J87" i="70"/>
  <c r="I87" i="70"/>
  <c r="H87" i="70"/>
  <c r="G87" i="70"/>
  <c r="F87" i="70"/>
  <c r="E87" i="70"/>
  <c r="D87" i="70"/>
  <c r="P86" i="70"/>
  <c r="N86" i="70"/>
  <c r="M86" i="70"/>
  <c r="L86" i="70"/>
  <c r="K86" i="70"/>
  <c r="J86" i="70"/>
  <c r="I86" i="70"/>
  <c r="H86" i="70"/>
  <c r="G86" i="70"/>
  <c r="F86" i="70"/>
  <c r="E86" i="70"/>
  <c r="D86" i="70"/>
  <c r="P85" i="70"/>
  <c r="N85" i="70"/>
  <c r="M85" i="70"/>
  <c r="L85" i="70"/>
  <c r="K85" i="70"/>
  <c r="J85" i="70"/>
  <c r="I85" i="70"/>
  <c r="H85" i="70"/>
  <c r="G85" i="70"/>
  <c r="F85" i="70"/>
  <c r="E85" i="70"/>
  <c r="D85" i="70"/>
  <c r="P84" i="70"/>
  <c r="N84" i="70"/>
  <c r="M84" i="70"/>
  <c r="L84" i="70"/>
  <c r="K84" i="70"/>
  <c r="J84" i="70"/>
  <c r="I84" i="70"/>
  <c r="H84" i="70"/>
  <c r="G84" i="70"/>
  <c r="F84" i="70"/>
  <c r="E84" i="70"/>
  <c r="D84" i="70"/>
  <c r="P83" i="70"/>
  <c r="N83" i="70"/>
  <c r="M83" i="70"/>
  <c r="L83" i="70"/>
  <c r="K83" i="70"/>
  <c r="J83" i="70"/>
  <c r="I83" i="70"/>
  <c r="H83" i="70"/>
  <c r="G83" i="70"/>
  <c r="F83" i="70"/>
  <c r="E83" i="70"/>
  <c r="D83" i="70"/>
  <c r="P82" i="70"/>
  <c r="N82" i="70"/>
  <c r="M82" i="70"/>
  <c r="L82" i="70"/>
  <c r="K82" i="70"/>
  <c r="J82" i="70"/>
  <c r="I82" i="70"/>
  <c r="H82" i="70"/>
  <c r="G82" i="70"/>
  <c r="F82" i="70"/>
  <c r="E82" i="70"/>
  <c r="D82" i="70"/>
  <c r="P81" i="70"/>
  <c r="N81" i="70"/>
  <c r="M81" i="70"/>
  <c r="L81" i="70"/>
  <c r="K81" i="70"/>
  <c r="J81" i="70"/>
  <c r="I81" i="70"/>
  <c r="H81" i="70"/>
  <c r="G81" i="70"/>
  <c r="F81" i="70"/>
  <c r="E81" i="70"/>
  <c r="D81" i="70"/>
  <c r="P80" i="70"/>
  <c r="N80" i="70"/>
  <c r="M80" i="70"/>
  <c r="L80" i="70"/>
  <c r="K80" i="70"/>
  <c r="J80" i="70"/>
  <c r="I80" i="70"/>
  <c r="H80" i="70"/>
  <c r="G80" i="70"/>
  <c r="F80" i="70"/>
  <c r="E80" i="70"/>
  <c r="D80" i="70"/>
  <c r="P79" i="70"/>
  <c r="N79" i="70"/>
  <c r="M79" i="70"/>
  <c r="L79" i="70"/>
  <c r="K79" i="70"/>
  <c r="J79" i="70"/>
  <c r="I79" i="70"/>
  <c r="H79" i="70"/>
  <c r="G79" i="70"/>
  <c r="F79" i="70"/>
  <c r="E79" i="70"/>
  <c r="D79" i="70"/>
  <c r="P78" i="70"/>
  <c r="N78" i="70"/>
  <c r="M78" i="70"/>
  <c r="L78" i="70"/>
  <c r="K78" i="70"/>
  <c r="J78" i="70"/>
  <c r="I78" i="70"/>
  <c r="H78" i="70"/>
  <c r="G78" i="70"/>
  <c r="F78" i="70"/>
  <c r="E78" i="70"/>
  <c r="D78" i="70"/>
  <c r="P77" i="70"/>
  <c r="N77" i="70"/>
  <c r="M77" i="70"/>
  <c r="L77" i="70"/>
  <c r="K77" i="70"/>
  <c r="J77" i="70"/>
  <c r="I77" i="70"/>
  <c r="H77" i="70"/>
  <c r="G77" i="70"/>
  <c r="F77" i="70"/>
  <c r="E77" i="70"/>
  <c r="D77" i="70"/>
  <c r="P76" i="70"/>
  <c r="N76" i="70"/>
  <c r="M76" i="70"/>
  <c r="L76" i="70"/>
  <c r="K76" i="70"/>
  <c r="J76" i="70"/>
  <c r="I76" i="70"/>
  <c r="H76" i="70"/>
  <c r="G76" i="70"/>
  <c r="F76" i="70"/>
  <c r="E76" i="70"/>
  <c r="D76" i="70"/>
  <c r="P75" i="70"/>
  <c r="N75" i="70"/>
  <c r="M75" i="70"/>
  <c r="L75" i="70"/>
  <c r="K75" i="70"/>
  <c r="J75" i="70"/>
  <c r="I75" i="70"/>
  <c r="H75" i="70"/>
  <c r="G75" i="70"/>
  <c r="F75" i="70"/>
  <c r="E75" i="70"/>
  <c r="D75" i="70"/>
  <c r="P74" i="70"/>
  <c r="N74" i="70"/>
  <c r="M74" i="70"/>
  <c r="L74" i="70"/>
  <c r="K74" i="70"/>
  <c r="J74" i="70"/>
  <c r="I74" i="70"/>
  <c r="H74" i="70"/>
  <c r="G74" i="70"/>
  <c r="F74" i="70"/>
  <c r="E74" i="70"/>
  <c r="D74" i="70"/>
  <c r="P73" i="70"/>
  <c r="N73" i="70"/>
  <c r="M73" i="70"/>
  <c r="L73" i="70"/>
  <c r="K73" i="70"/>
  <c r="J73" i="70"/>
  <c r="I73" i="70"/>
  <c r="H73" i="70"/>
  <c r="G73" i="70"/>
  <c r="F73" i="70"/>
  <c r="E73" i="70"/>
  <c r="D73" i="70"/>
  <c r="P72" i="70"/>
  <c r="N72" i="70"/>
  <c r="M72" i="70"/>
  <c r="L72" i="70"/>
  <c r="K72" i="70"/>
  <c r="J72" i="70"/>
  <c r="I72" i="70"/>
  <c r="H72" i="70"/>
  <c r="G72" i="70"/>
  <c r="F72" i="70"/>
  <c r="E72" i="70"/>
  <c r="D72" i="70"/>
  <c r="P71" i="70"/>
  <c r="N71" i="70"/>
  <c r="M71" i="70"/>
  <c r="L71" i="70"/>
  <c r="K71" i="70"/>
  <c r="J71" i="70"/>
  <c r="I71" i="70"/>
  <c r="H71" i="70"/>
  <c r="G71" i="70"/>
  <c r="F71" i="70"/>
  <c r="E71" i="70"/>
  <c r="D71" i="70"/>
  <c r="P70" i="70"/>
  <c r="N70" i="70"/>
  <c r="M70" i="70"/>
  <c r="L70" i="70"/>
  <c r="K70" i="70"/>
  <c r="J70" i="70"/>
  <c r="I70" i="70"/>
  <c r="H70" i="70"/>
  <c r="G70" i="70"/>
  <c r="F70" i="70"/>
  <c r="E70" i="70"/>
  <c r="D70" i="70"/>
  <c r="P69" i="70"/>
  <c r="N69" i="70"/>
  <c r="M69" i="70"/>
  <c r="L69" i="70"/>
  <c r="K69" i="70"/>
  <c r="J69" i="70"/>
  <c r="I69" i="70"/>
  <c r="H69" i="70"/>
  <c r="G69" i="70"/>
  <c r="F69" i="70"/>
  <c r="E69" i="70"/>
  <c r="D69" i="70"/>
  <c r="P68" i="70"/>
  <c r="N68" i="70"/>
  <c r="M68" i="70"/>
  <c r="L68" i="70"/>
  <c r="K68" i="70"/>
  <c r="J68" i="70"/>
  <c r="I68" i="70"/>
  <c r="H68" i="70"/>
  <c r="G68" i="70"/>
  <c r="F68" i="70"/>
  <c r="E68" i="70"/>
  <c r="D68" i="70"/>
  <c r="P67" i="70"/>
  <c r="N67" i="70"/>
  <c r="M67" i="70"/>
  <c r="L67" i="70"/>
  <c r="K67" i="70"/>
  <c r="J67" i="70"/>
  <c r="I67" i="70"/>
  <c r="H67" i="70"/>
  <c r="G67" i="70"/>
  <c r="F67" i="70"/>
  <c r="E67" i="70"/>
  <c r="D67" i="70"/>
  <c r="P66" i="70"/>
  <c r="N66" i="70"/>
  <c r="M66" i="70"/>
  <c r="L66" i="70"/>
  <c r="K66" i="70"/>
  <c r="J66" i="70"/>
  <c r="I66" i="70"/>
  <c r="H66" i="70"/>
  <c r="G66" i="70"/>
  <c r="F66" i="70"/>
  <c r="E66" i="70"/>
  <c r="D66" i="70"/>
  <c r="P65" i="70"/>
  <c r="N65" i="70"/>
  <c r="M65" i="70"/>
  <c r="L65" i="70"/>
  <c r="K65" i="70"/>
  <c r="J65" i="70"/>
  <c r="I65" i="70"/>
  <c r="H65" i="70"/>
  <c r="G65" i="70"/>
  <c r="F65" i="70"/>
  <c r="E65" i="70"/>
  <c r="D65" i="70"/>
  <c r="P64" i="70"/>
  <c r="N64" i="70"/>
  <c r="M64" i="70"/>
  <c r="L64" i="70"/>
  <c r="K64" i="70"/>
  <c r="J64" i="70"/>
  <c r="I64" i="70"/>
  <c r="H64" i="70"/>
  <c r="G64" i="70"/>
  <c r="F64" i="70"/>
  <c r="E64" i="70"/>
  <c r="D64" i="70"/>
  <c r="P63" i="70"/>
  <c r="N63" i="70"/>
  <c r="M63" i="70"/>
  <c r="L63" i="70"/>
  <c r="K63" i="70"/>
  <c r="J63" i="70"/>
  <c r="I63" i="70"/>
  <c r="H63" i="70"/>
  <c r="G63" i="70"/>
  <c r="F63" i="70"/>
  <c r="E63" i="70"/>
  <c r="D63" i="70"/>
  <c r="P62" i="70"/>
  <c r="N62" i="70"/>
  <c r="M62" i="70"/>
  <c r="L62" i="70"/>
  <c r="K62" i="70"/>
  <c r="J62" i="70"/>
  <c r="I62" i="70"/>
  <c r="H62" i="70"/>
  <c r="G62" i="70"/>
  <c r="F62" i="70"/>
  <c r="E62" i="70"/>
  <c r="D62" i="70"/>
  <c r="P61" i="70"/>
  <c r="N61" i="70"/>
  <c r="M61" i="70"/>
  <c r="L61" i="70"/>
  <c r="K61" i="70"/>
  <c r="J61" i="70"/>
  <c r="I61" i="70"/>
  <c r="H61" i="70"/>
  <c r="G61" i="70"/>
  <c r="F61" i="70"/>
  <c r="E61" i="70"/>
  <c r="D61" i="70"/>
  <c r="P60" i="70"/>
  <c r="N60" i="70"/>
  <c r="M60" i="70"/>
  <c r="L60" i="70"/>
  <c r="K60" i="70"/>
  <c r="J60" i="70"/>
  <c r="I60" i="70"/>
  <c r="H60" i="70"/>
  <c r="G60" i="70"/>
  <c r="F60" i="70"/>
  <c r="E60" i="70"/>
  <c r="D60" i="70"/>
  <c r="P59" i="70"/>
  <c r="N59" i="70"/>
  <c r="M59" i="70"/>
  <c r="L59" i="70"/>
  <c r="K59" i="70"/>
  <c r="J59" i="70"/>
  <c r="I59" i="70"/>
  <c r="H59" i="70"/>
  <c r="G59" i="70"/>
  <c r="F59" i="70"/>
  <c r="E59" i="70"/>
  <c r="D59" i="70"/>
  <c r="P58" i="70"/>
  <c r="N58" i="70"/>
  <c r="M58" i="70"/>
  <c r="L58" i="70"/>
  <c r="K58" i="70"/>
  <c r="J58" i="70"/>
  <c r="I58" i="70"/>
  <c r="H58" i="70"/>
  <c r="G58" i="70"/>
  <c r="F58" i="70"/>
  <c r="E58" i="70"/>
  <c r="D58" i="70"/>
  <c r="P57" i="70"/>
  <c r="N57" i="70"/>
  <c r="M57" i="70"/>
  <c r="L57" i="70"/>
  <c r="K57" i="70"/>
  <c r="J57" i="70"/>
  <c r="I57" i="70"/>
  <c r="H57" i="70"/>
  <c r="G57" i="70"/>
  <c r="F57" i="70"/>
  <c r="E57" i="70"/>
  <c r="D57" i="70"/>
  <c r="P56" i="70"/>
  <c r="N56" i="70"/>
  <c r="M56" i="70"/>
  <c r="L56" i="70"/>
  <c r="K56" i="70"/>
  <c r="J56" i="70"/>
  <c r="I56" i="70"/>
  <c r="H56" i="70"/>
  <c r="G56" i="70"/>
  <c r="F56" i="70"/>
  <c r="E56" i="70"/>
  <c r="D56" i="70"/>
  <c r="P55" i="70"/>
  <c r="N55" i="70"/>
  <c r="M55" i="70"/>
  <c r="L55" i="70"/>
  <c r="K55" i="70"/>
  <c r="J55" i="70"/>
  <c r="I55" i="70"/>
  <c r="H55" i="70"/>
  <c r="G55" i="70"/>
  <c r="F55" i="70"/>
  <c r="E55" i="70"/>
  <c r="D55" i="70"/>
  <c r="P54" i="70"/>
  <c r="N54" i="70"/>
  <c r="M54" i="70"/>
  <c r="L54" i="70"/>
  <c r="K54" i="70"/>
  <c r="J54" i="70"/>
  <c r="I54" i="70"/>
  <c r="H54" i="70"/>
  <c r="G54" i="70"/>
  <c r="F54" i="70"/>
  <c r="E54" i="70"/>
  <c r="D54" i="70"/>
  <c r="P53" i="70"/>
  <c r="N53" i="70"/>
  <c r="M53" i="70"/>
  <c r="L53" i="70"/>
  <c r="K53" i="70"/>
  <c r="J53" i="70"/>
  <c r="I53" i="70"/>
  <c r="H53" i="70"/>
  <c r="G53" i="70"/>
  <c r="F53" i="70"/>
  <c r="E53" i="70"/>
  <c r="D53" i="70"/>
  <c r="P52" i="70"/>
  <c r="N52" i="70"/>
  <c r="M52" i="70"/>
  <c r="L52" i="70"/>
  <c r="K52" i="70"/>
  <c r="J52" i="70"/>
  <c r="I52" i="70"/>
  <c r="H52" i="70"/>
  <c r="G52" i="70"/>
  <c r="F52" i="70"/>
  <c r="E52" i="70"/>
  <c r="D52" i="70"/>
  <c r="P51" i="70"/>
  <c r="N51" i="70"/>
  <c r="M51" i="70"/>
  <c r="L51" i="70"/>
  <c r="K51" i="70"/>
  <c r="J51" i="70"/>
  <c r="I51" i="70"/>
  <c r="H51" i="70"/>
  <c r="G51" i="70"/>
  <c r="F51" i="70"/>
  <c r="E51" i="70"/>
  <c r="D51" i="70"/>
  <c r="P50" i="70"/>
  <c r="N50" i="70"/>
  <c r="M50" i="70"/>
  <c r="L50" i="70"/>
  <c r="K50" i="70"/>
  <c r="J50" i="70"/>
  <c r="I50" i="70"/>
  <c r="H50" i="70"/>
  <c r="G50" i="70"/>
  <c r="F50" i="70"/>
  <c r="E50" i="70"/>
  <c r="D50" i="70"/>
  <c r="P49" i="70"/>
  <c r="N49" i="70"/>
  <c r="M49" i="70"/>
  <c r="L49" i="70"/>
  <c r="K49" i="70"/>
  <c r="J49" i="70"/>
  <c r="I49" i="70"/>
  <c r="H49" i="70"/>
  <c r="G49" i="70"/>
  <c r="F49" i="70"/>
  <c r="E49" i="70"/>
  <c r="D49" i="70"/>
  <c r="P48" i="70"/>
  <c r="N48" i="70"/>
  <c r="M48" i="70"/>
  <c r="L48" i="70"/>
  <c r="K48" i="70"/>
  <c r="J48" i="70"/>
  <c r="I48" i="70"/>
  <c r="H48" i="70"/>
  <c r="G48" i="70"/>
  <c r="F48" i="70"/>
  <c r="E48" i="70"/>
  <c r="D48" i="70"/>
  <c r="P47" i="70"/>
  <c r="N47" i="70"/>
  <c r="M47" i="70"/>
  <c r="L47" i="70"/>
  <c r="K47" i="70"/>
  <c r="J47" i="70"/>
  <c r="I47" i="70"/>
  <c r="H47" i="70"/>
  <c r="G47" i="70"/>
  <c r="F47" i="70"/>
  <c r="E47" i="70"/>
  <c r="D47" i="70"/>
  <c r="P46" i="70"/>
  <c r="N46" i="70"/>
  <c r="M46" i="70"/>
  <c r="L46" i="70"/>
  <c r="K46" i="70"/>
  <c r="J46" i="70"/>
  <c r="I46" i="70"/>
  <c r="H46" i="70"/>
  <c r="G46" i="70"/>
  <c r="F46" i="70"/>
  <c r="E46" i="70"/>
  <c r="D46" i="70"/>
  <c r="P45" i="70"/>
  <c r="N45" i="70"/>
  <c r="M45" i="70"/>
  <c r="L45" i="70"/>
  <c r="K45" i="70"/>
  <c r="J45" i="70"/>
  <c r="I45" i="70"/>
  <c r="H45" i="70"/>
  <c r="G45" i="70"/>
  <c r="F45" i="70"/>
  <c r="E45" i="70"/>
  <c r="D45" i="70"/>
  <c r="P44" i="70"/>
  <c r="N44" i="70"/>
  <c r="M44" i="70"/>
  <c r="L44" i="70"/>
  <c r="K44" i="70"/>
  <c r="J44" i="70"/>
  <c r="I44" i="70"/>
  <c r="H44" i="70"/>
  <c r="G44" i="70"/>
  <c r="F44" i="70"/>
  <c r="E44" i="70"/>
  <c r="D44" i="70"/>
  <c r="P43" i="70"/>
  <c r="N43" i="70"/>
  <c r="M43" i="70"/>
  <c r="L43" i="70"/>
  <c r="K43" i="70"/>
  <c r="J43" i="70"/>
  <c r="I43" i="70"/>
  <c r="H43" i="70"/>
  <c r="G43" i="70"/>
  <c r="F43" i="70"/>
  <c r="E43" i="70"/>
  <c r="D43" i="70"/>
  <c r="P42" i="70"/>
  <c r="N42" i="70"/>
  <c r="M42" i="70"/>
  <c r="L42" i="70"/>
  <c r="K42" i="70"/>
  <c r="J42" i="70"/>
  <c r="I42" i="70"/>
  <c r="H42" i="70"/>
  <c r="G42" i="70"/>
  <c r="F42" i="70"/>
  <c r="E42" i="70"/>
  <c r="D42" i="70"/>
  <c r="P41" i="70"/>
  <c r="N41" i="70"/>
  <c r="M41" i="70"/>
  <c r="L41" i="70"/>
  <c r="K41" i="70"/>
  <c r="J41" i="70"/>
  <c r="I41" i="70"/>
  <c r="H41" i="70"/>
  <c r="G41" i="70"/>
  <c r="F41" i="70"/>
  <c r="E41" i="70"/>
  <c r="D41" i="70"/>
  <c r="P40" i="70"/>
  <c r="N40" i="70"/>
  <c r="M40" i="70"/>
  <c r="L40" i="70"/>
  <c r="K40" i="70"/>
  <c r="J40" i="70"/>
  <c r="I40" i="70"/>
  <c r="H40" i="70"/>
  <c r="G40" i="70"/>
  <c r="F40" i="70"/>
  <c r="E40" i="70"/>
  <c r="D40" i="70"/>
  <c r="P39" i="70"/>
  <c r="N39" i="70"/>
  <c r="M39" i="70"/>
  <c r="L39" i="70"/>
  <c r="K39" i="70"/>
  <c r="J39" i="70"/>
  <c r="I39" i="70"/>
  <c r="H39" i="70"/>
  <c r="G39" i="70"/>
  <c r="F39" i="70"/>
  <c r="E39" i="70"/>
  <c r="D39" i="70"/>
  <c r="P38" i="70"/>
  <c r="N38" i="70"/>
  <c r="M38" i="70"/>
  <c r="L38" i="70"/>
  <c r="K38" i="70"/>
  <c r="J38" i="70"/>
  <c r="I38" i="70"/>
  <c r="H38" i="70"/>
  <c r="G38" i="70"/>
  <c r="F38" i="70"/>
  <c r="E38" i="70"/>
  <c r="D38" i="70"/>
  <c r="P37" i="70"/>
  <c r="N37" i="70"/>
  <c r="M37" i="70"/>
  <c r="L37" i="70"/>
  <c r="K37" i="70"/>
  <c r="J37" i="70"/>
  <c r="I37" i="70"/>
  <c r="H37" i="70"/>
  <c r="G37" i="70"/>
  <c r="F37" i="70"/>
  <c r="E37" i="70"/>
  <c r="D37" i="70"/>
  <c r="P36" i="70"/>
  <c r="N36" i="70"/>
  <c r="M36" i="70"/>
  <c r="L36" i="70"/>
  <c r="K36" i="70"/>
  <c r="J36" i="70"/>
  <c r="I36" i="70"/>
  <c r="H36" i="70"/>
  <c r="G36" i="70"/>
  <c r="F36" i="70"/>
  <c r="E36" i="70"/>
  <c r="D36" i="70"/>
  <c r="P35" i="70"/>
  <c r="N35" i="70"/>
  <c r="M35" i="70"/>
  <c r="L35" i="70"/>
  <c r="K35" i="70"/>
  <c r="J35" i="70"/>
  <c r="I35" i="70"/>
  <c r="H35" i="70"/>
  <c r="G35" i="70"/>
  <c r="F35" i="70"/>
  <c r="E35" i="70"/>
  <c r="D35" i="70"/>
  <c r="P34" i="70"/>
  <c r="N34" i="70"/>
  <c r="M34" i="70"/>
  <c r="L34" i="70"/>
  <c r="K34" i="70"/>
  <c r="J34" i="70"/>
  <c r="I34" i="70"/>
  <c r="H34" i="70"/>
  <c r="G34" i="70"/>
  <c r="F34" i="70"/>
  <c r="E34" i="70"/>
  <c r="D34" i="70"/>
  <c r="P33" i="70"/>
  <c r="N33" i="70"/>
  <c r="M33" i="70"/>
  <c r="L33" i="70"/>
  <c r="K33" i="70"/>
  <c r="J33" i="70"/>
  <c r="I33" i="70"/>
  <c r="H33" i="70"/>
  <c r="G33" i="70"/>
  <c r="F33" i="70"/>
  <c r="E33" i="70"/>
  <c r="D33" i="70"/>
  <c r="P32" i="70"/>
  <c r="N32" i="70"/>
  <c r="M32" i="70"/>
  <c r="L32" i="70"/>
  <c r="K32" i="70"/>
  <c r="J32" i="70"/>
  <c r="I32" i="70"/>
  <c r="H32" i="70"/>
  <c r="G32" i="70"/>
  <c r="F32" i="70"/>
  <c r="E32" i="70"/>
  <c r="D32" i="70"/>
  <c r="P31" i="70"/>
  <c r="N31" i="70"/>
  <c r="M31" i="70"/>
  <c r="L31" i="70"/>
  <c r="K31" i="70"/>
  <c r="J31" i="70"/>
  <c r="I31" i="70"/>
  <c r="H31" i="70"/>
  <c r="G31" i="70"/>
  <c r="F31" i="70"/>
  <c r="E31" i="70"/>
  <c r="D31" i="70"/>
  <c r="P30" i="70"/>
  <c r="N30" i="70"/>
  <c r="M30" i="70"/>
  <c r="L30" i="70"/>
  <c r="K30" i="70"/>
  <c r="J30" i="70"/>
  <c r="I30" i="70"/>
  <c r="H30" i="70"/>
  <c r="G30" i="70"/>
  <c r="F30" i="70"/>
  <c r="E30" i="70"/>
  <c r="D30" i="70"/>
  <c r="P29" i="70"/>
  <c r="N29" i="70"/>
  <c r="M29" i="70"/>
  <c r="L29" i="70"/>
  <c r="K29" i="70"/>
  <c r="J29" i="70"/>
  <c r="I29" i="70"/>
  <c r="H29" i="70"/>
  <c r="G29" i="70"/>
  <c r="F29" i="70"/>
  <c r="E29" i="70"/>
  <c r="D29" i="70"/>
  <c r="P28" i="70"/>
  <c r="N28" i="70"/>
  <c r="M28" i="70"/>
  <c r="L28" i="70"/>
  <c r="K28" i="70"/>
  <c r="J28" i="70"/>
  <c r="I28" i="70"/>
  <c r="H28" i="70"/>
  <c r="G28" i="70"/>
  <c r="F28" i="70"/>
  <c r="E28" i="70"/>
  <c r="D28" i="70"/>
  <c r="P27" i="70"/>
  <c r="N27" i="70"/>
  <c r="M27" i="70"/>
  <c r="L27" i="70"/>
  <c r="K27" i="70"/>
  <c r="J27" i="70"/>
  <c r="I27" i="70"/>
  <c r="H27" i="70"/>
  <c r="G27" i="70"/>
  <c r="F27" i="70"/>
  <c r="E27" i="70"/>
  <c r="D27" i="70"/>
  <c r="P26" i="70"/>
  <c r="N26" i="70"/>
  <c r="M26" i="70"/>
  <c r="L26" i="70"/>
  <c r="K26" i="70"/>
  <c r="J26" i="70"/>
  <c r="I26" i="70"/>
  <c r="H26" i="70"/>
  <c r="G26" i="70"/>
  <c r="F26" i="70"/>
  <c r="E26" i="70"/>
  <c r="D26" i="70"/>
  <c r="P25" i="70"/>
  <c r="N25" i="70"/>
  <c r="M25" i="70"/>
  <c r="L25" i="70"/>
  <c r="K25" i="70"/>
  <c r="J25" i="70"/>
  <c r="I25" i="70"/>
  <c r="H25" i="70"/>
  <c r="G25" i="70"/>
  <c r="F25" i="70"/>
  <c r="E25" i="70"/>
  <c r="D25" i="70"/>
  <c r="P24" i="70"/>
  <c r="N24" i="70"/>
  <c r="M24" i="70"/>
  <c r="L24" i="70"/>
  <c r="K24" i="70"/>
  <c r="J24" i="70"/>
  <c r="I24" i="70"/>
  <c r="H24" i="70"/>
  <c r="G24" i="70"/>
  <c r="F24" i="70"/>
  <c r="E24" i="70"/>
  <c r="D24" i="70"/>
  <c r="P23" i="70"/>
  <c r="N23" i="70"/>
  <c r="M23" i="70"/>
  <c r="L23" i="70"/>
  <c r="K23" i="70"/>
  <c r="J23" i="70"/>
  <c r="I23" i="70"/>
  <c r="H23" i="70"/>
  <c r="G23" i="70"/>
  <c r="F23" i="70"/>
  <c r="E23" i="70"/>
  <c r="D23" i="70"/>
  <c r="P22" i="70"/>
  <c r="N22" i="70"/>
  <c r="M22" i="70"/>
  <c r="L22" i="70"/>
  <c r="K22" i="70"/>
  <c r="J22" i="70"/>
  <c r="I22" i="70"/>
  <c r="H22" i="70"/>
  <c r="G22" i="70"/>
  <c r="F22" i="70"/>
  <c r="E22" i="70"/>
  <c r="D22" i="70"/>
  <c r="N19" i="70"/>
  <c r="M19" i="70"/>
  <c r="L19" i="70"/>
  <c r="K19" i="70"/>
  <c r="J19" i="70"/>
  <c r="H19" i="70"/>
  <c r="G19" i="70"/>
  <c r="F19" i="70"/>
  <c r="E19" i="70"/>
  <c r="D19" i="70"/>
  <c r="P18" i="70"/>
  <c r="O18" i="70"/>
  <c r="N18" i="70"/>
  <c r="M18" i="70"/>
  <c r="L18" i="70"/>
  <c r="K18" i="70"/>
  <c r="J18" i="70"/>
  <c r="I18" i="70"/>
  <c r="H18" i="70"/>
  <c r="G18" i="70"/>
  <c r="F18" i="70"/>
  <c r="E18" i="70"/>
  <c r="D18" i="70"/>
  <c r="P17" i="70"/>
  <c r="P16" i="70"/>
  <c r="P15" i="70"/>
  <c r="P14" i="70"/>
  <c r="N13" i="70"/>
  <c r="M13" i="70"/>
  <c r="L13" i="70"/>
  <c r="K13" i="70"/>
  <c r="J13" i="70"/>
  <c r="H13" i="70"/>
  <c r="G13" i="70"/>
  <c r="F13" i="70"/>
  <c r="E13" i="70"/>
  <c r="D13" i="70"/>
  <c r="N12" i="70"/>
  <c r="M12" i="70"/>
  <c r="L12" i="70"/>
  <c r="K12" i="70"/>
  <c r="J12" i="70"/>
  <c r="I12" i="70"/>
  <c r="P12" i="70" s="1"/>
  <c r="H12" i="70"/>
  <c r="G12" i="70"/>
  <c r="F12" i="70"/>
  <c r="E12" i="70"/>
  <c r="D12" i="70"/>
  <c r="N11" i="70"/>
  <c r="M11" i="70"/>
  <c r="L11" i="70"/>
  <c r="K11" i="70"/>
  <c r="J11" i="70"/>
  <c r="I11" i="70"/>
  <c r="P11" i="70" s="1"/>
  <c r="H11" i="70"/>
  <c r="G11" i="70"/>
  <c r="F11" i="70"/>
  <c r="E11" i="70"/>
  <c r="D11" i="70"/>
  <c r="N10" i="70"/>
  <c r="M10" i="70"/>
  <c r="L10" i="70"/>
  <c r="K10" i="70"/>
  <c r="J10" i="70"/>
  <c r="I10" i="70"/>
  <c r="P10" i="70" s="1"/>
  <c r="H10" i="70"/>
  <c r="G10" i="70"/>
  <c r="F10" i="70"/>
  <c r="E10" i="70"/>
  <c r="D10" i="70"/>
  <c r="N9" i="70"/>
  <c r="M9" i="70"/>
  <c r="L9" i="70"/>
  <c r="K9" i="70"/>
  <c r="J9" i="70"/>
  <c r="I9" i="70"/>
  <c r="P9" i="70" s="1"/>
  <c r="H9" i="70"/>
  <c r="G9" i="70"/>
  <c r="F9" i="70"/>
  <c r="E9" i="70"/>
  <c r="D9" i="70"/>
  <c r="O8" i="70"/>
  <c r="N8" i="70"/>
  <c r="M8" i="70"/>
  <c r="L8" i="70"/>
  <c r="K8" i="70"/>
  <c r="J8" i="70"/>
  <c r="H8" i="70"/>
  <c r="G8" i="70"/>
  <c r="F8" i="70"/>
  <c r="E8" i="70"/>
  <c r="D8" i="70"/>
  <c r="N137" i="69"/>
  <c r="M137" i="69"/>
  <c r="L137" i="69"/>
  <c r="K137" i="69"/>
  <c r="J137" i="69"/>
  <c r="H137" i="69"/>
  <c r="G137" i="69"/>
  <c r="F137" i="69"/>
  <c r="E137" i="69"/>
  <c r="D137" i="69"/>
  <c r="N134" i="69"/>
  <c r="M134" i="69"/>
  <c r="L134" i="69"/>
  <c r="K134" i="69"/>
  <c r="J134" i="69"/>
  <c r="H134" i="69"/>
  <c r="G134" i="69"/>
  <c r="F134" i="69"/>
  <c r="E134" i="69"/>
  <c r="D134" i="69"/>
  <c r="O132" i="69"/>
  <c r="P132" i="69" s="1"/>
  <c r="N132" i="69"/>
  <c r="M132" i="69"/>
  <c r="L132" i="69"/>
  <c r="K132" i="69"/>
  <c r="J132" i="69"/>
  <c r="I132" i="69"/>
  <c r="H132" i="69"/>
  <c r="G132" i="69"/>
  <c r="F132" i="69"/>
  <c r="E132" i="69"/>
  <c r="D132" i="69"/>
  <c r="P131" i="69"/>
  <c r="N131" i="69"/>
  <c r="M131" i="69"/>
  <c r="L131" i="69"/>
  <c r="K131" i="69"/>
  <c r="J131" i="69"/>
  <c r="I131" i="69"/>
  <c r="H131" i="69"/>
  <c r="G131" i="69"/>
  <c r="F131" i="69"/>
  <c r="E131" i="69"/>
  <c r="D131" i="69"/>
  <c r="P130" i="69"/>
  <c r="N130" i="69"/>
  <c r="M130" i="69"/>
  <c r="L130" i="69"/>
  <c r="K130" i="69"/>
  <c r="J130" i="69"/>
  <c r="I130" i="69"/>
  <c r="H130" i="69"/>
  <c r="G130" i="69"/>
  <c r="F130" i="69"/>
  <c r="E130" i="69"/>
  <c r="D130" i="69"/>
  <c r="P129" i="69"/>
  <c r="N129" i="69"/>
  <c r="M129" i="69"/>
  <c r="L129" i="69"/>
  <c r="K129" i="69"/>
  <c r="J129" i="69"/>
  <c r="I129" i="69"/>
  <c r="H129" i="69"/>
  <c r="G129" i="69"/>
  <c r="F129" i="69"/>
  <c r="E129" i="69"/>
  <c r="D129" i="69"/>
  <c r="P128" i="69"/>
  <c r="N128" i="69"/>
  <c r="M128" i="69"/>
  <c r="L128" i="69"/>
  <c r="K128" i="69"/>
  <c r="J128" i="69"/>
  <c r="I128" i="69"/>
  <c r="H128" i="69"/>
  <c r="G128" i="69"/>
  <c r="F128" i="69"/>
  <c r="E128" i="69"/>
  <c r="D128" i="69"/>
  <c r="P127" i="69"/>
  <c r="N127" i="69"/>
  <c r="M127" i="69"/>
  <c r="L127" i="69"/>
  <c r="K127" i="69"/>
  <c r="J127" i="69"/>
  <c r="I127" i="69"/>
  <c r="H127" i="69"/>
  <c r="G127" i="69"/>
  <c r="F127" i="69"/>
  <c r="E127" i="69"/>
  <c r="D127" i="69"/>
  <c r="P126" i="69"/>
  <c r="N126" i="69"/>
  <c r="M126" i="69"/>
  <c r="L126" i="69"/>
  <c r="K126" i="69"/>
  <c r="J126" i="69"/>
  <c r="I126" i="69"/>
  <c r="H126" i="69"/>
  <c r="G126" i="69"/>
  <c r="F126" i="69"/>
  <c r="E126" i="69"/>
  <c r="D126" i="69"/>
  <c r="P125" i="69"/>
  <c r="N125" i="69"/>
  <c r="M125" i="69"/>
  <c r="L125" i="69"/>
  <c r="K125" i="69"/>
  <c r="J125" i="69"/>
  <c r="I125" i="69"/>
  <c r="H125" i="69"/>
  <c r="G125" i="69"/>
  <c r="F125" i="69"/>
  <c r="E125" i="69"/>
  <c r="D125" i="69"/>
  <c r="P124" i="69"/>
  <c r="N124" i="69"/>
  <c r="M124" i="69"/>
  <c r="L124" i="69"/>
  <c r="K124" i="69"/>
  <c r="J124" i="69"/>
  <c r="I124" i="69"/>
  <c r="H124" i="69"/>
  <c r="G124" i="69"/>
  <c r="F124" i="69"/>
  <c r="E124" i="69"/>
  <c r="D124" i="69"/>
  <c r="P123" i="69"/>
  <c r="N123" i="69"/>
  <c r="M123" i="69"/>
  <c r="L123" i="69"/>
  <c r="K123" i="69"/>
  <c r="J123" i="69"/>
  <c r="I123" i="69"/>
  <c r="H123" i="69"/>
  <c r="G123" i="69"/>
  <c r="F123" i="69"/>
  <c r="E123" i="69"/>
  <c r="D123" i="69"/>
  <c r="P122" i="69"/>
  <c r="N122" i="69"/>
  <c r="M122" i="69"/>
  <c r="L122" i="69"/>
  <c r="K122" i="69"/>
  <c r="J122" i="69"/>
  <c r="I122" i="69"/>
  <c r="H122" i="69"/>
  <c r="G122" i="69"/>
  <c r="F122" i="69"/>
  <c r="E122" i="69"/>
  <c r="D122" i="69"/>
  <c r="P121" i="69"/>
  <c r="N121" i="69"/>
  <c r="M121" i="69"/>
  <c r="L121" i="69"/>
  <c r="K121" i="69"/>
  <c r="J121" i="69"/>
  <c r="I121" i="69"/>
  <c r="H121" i="69"/>
  <c r="G121" i="69"/>
  <c r="F121" i="69"/>
  <c r="E121" i="69"/>
  <c r="D121" i="69"/>
  <c r="P120" i="69"/>
  <c r="N120" i="69"/>
  <c r="M120" i="69"/>
  <c r="L120" i="69"/>
  <c r="K120" i="69"/>
  <c r="J120" i="69"/>
  <c r="I120" i="69"/>
  <c r="H120" i="69"/>
  <c r="G120" i="69"/>
  <c r="F120" i="69"/>
  <c r="E120" i="69"/>
  <c r="D120" i="69"/>
  <c r="P119" i="69"/>
  <c r="N119" i="69"/>
  <c r="M119" i="69"/>
  <c r="L119" i="69"/>
  <c r="K119" i="69"/>
  <c r="J119" i="69"/>
  <c r="I119" i="69"/>
  <c r="H119" i="69"/>
  <c r="G119" i="69"/>
  <c r="F119" i="69"/>
  <c r="E119" i="69"/>
  <c r="D119" i="69"/>
  <c r="P118" i="69"/>
  <c r="N118" i="69"/>
  <c r="M118" i="69"/>
  <c r="L118" i="69"/>
  <c r="K118" i="69"/>
  <c r="J118" i="69"/>
  <c r="I118" i="69"/>
  <c r="H118" i="69"/>
  <c r="G118" i="69"/>
  <c r="F118" i="69"/>
  <c r="E118" i="69"/>
  <c r="D118" i="69"/>
  <c r="P117" i="69"/>
  <c r="N117" i="69"/>
  <c r="M117" i="69"/>
  <c r="L117" i="69"/>
  <c r="K117" i="69"/>
  <c r="J117" i="69"/>
  <c r="I117" i="69"/>
  <c r="H117" i="69"/>
  <c r="G117" i="69"/>
  <c r="F117" i="69"/>
  <c r="E117" i="69"/>
  <c r="D117" i="69"/>
  <c r="P116" i="69"/>
  <c r="N116" i="69"/>
  <c r="M116" i="69"/>
  <c r="L116" i="69"/>
  <c r="K116" i="69"/>
  <c r="J116" i="69"/>
  <c r="I116" i="69"/>
  <c r="H116" i="69"/>
  <c r="G116" i="69"/>
  <c r="F116" i="69"/>
  <c r="E116" i="69"/>
  <c r="D116" i="69"/>
  <c r="P115" i="69"/>
  <c r="N115" i="69"/>
  <c r="M115" i="69"/>
  <c r="L115" i="69"/>
  <c r="K115" i="69"/>
  <c r="J115" i="69"/>
  <c r="I115" i="69"/>
  <c r="H115" i="69"/>
  <c r="G115" i="69"/>
  <c r="F115" i="69"/>
  <c r="E115" i="69"/>
  <c r="D115" i="69"/>
  <c r="P114" i="69"/>
  <c r="N114" i="69"/>
  <c r="M114" i="69"/>
  <c r="L114" i="69"/>
  <c r="K114" i="69"/>
  <c r="J114" i="69"/>
  <c r="I114" i="69"/>
  <c r="H114" i="69"/>
  <c r="G114" i="69"/>
  <c r="F114" i="69"/>
  <c r="E114" i="69"/>
  <c r="D114" i="69"/>
  <c r="P113" i="69"/>
  <c r="N113" i="69"/>
  <c r="M113" i="69"/>
  <c r="L113" i="69"/>
  <c r="K113" i="69"/>
  <c r="J113" i="69"/>
  <c r="I113" i="69"/>
  <c r="H113" i="69"/>
  <c r="G113" i="69"/>
  <c r="F113" i="69"/>
  <c r="E113" i="69"/>
  <c r="D113" i="69"/>
  <c r="P112" i="69"/>
  <c r="N112" i="69"/>
  <c r="M112" i="69"/>
  <c r="L112" i="69"/>
  <c r="K112" i="69"/>
  <c r="J112" i="69"/>
  <c r="I112" i="69"/>
  <c r="H112" i="69"/>
  <c r="G112" i="69"/>
  <c r="F112" i="69"/>
  <c r="E112" i="69"/>
  <c r="D112" i="69"/>
  <c r="P111" i="69"/>
  <c r="N111" i="69"/>
  <c r="M111" i="69"/>
  <c r="L111" i="69"/>
  <c r="K111" i="69"/>
  <c r="J111" i="69"/>
  <c r="I111" i="69"/>
  <c r="H111" i="69"/>
  <c r="G111" i="69"/>
  <c r="F111" i="69"/>
  <c r="E111" i="69"/>
  <c r="D111" i="69"/>
  <c r="P110" i="69"/>
  <c r="N110" i="69"/>
  <c r="M110" i="69"/>
  <c r="L110" i="69"/>
  <c r="K110" i="69"/>
  <c r="J110" i="69"/>
  <c r="I110" i="69"/>
  <c r="H110" i="69"/>
  <c r="G110" i="69"/>
  <c r="F110" i="69"/>
  <c r="E110" i="69"/>
  <c r="D110" i="69"/>
  <c r="P109" i="69"/>
  <c r="N109" i="69"/>
  <c r="M109" i="69"/>
  <c r="L109" i="69"/>
  <c r="K109" i="69"/>
  <c r="J109" i="69"/>
  <c r="I109" i="69"/>
  <c r="H109" i="69"/>
  <c r="G109" i="69"/>
  <c r="F109" i="69"/>
  <c r="E109" i="69"/>
  <c r="D109" i="69"/>
  <c r="P108" i="69"/>
  <c r="N108" i="69"/>
  <c r="M108" i="69"/>
  <c r="L108" i="69"/>
  <c r="K108" i="69"/>
  <c r="J108" i="69"/>
  <c r="I108" i="69"/>
  <c r="H108" i="69"/>
  <c r="G108" i="69"/>
  <c r="F108" i="69"/>
  <c r="E108" i="69"/>
  <c r="D108" i="69"/>
  <c r="P107" i="69"/>
  <c r="N107" i="69"/>
  <c r="M107" i="69"/>
  <c r="L107" i="69"/>
  <c r="K107" i="69"/>
  <c r="J107" i="69"/>
  <c r="I107" i="69"/>
  <c r="H107" i="69"/>
  <c r="G107" i="69"/>
  <c r="F107" i="69"/>
  <c r="E107" i="69"/>
  <c r="D107" i="69"/>
  <c r="P106" i="69"/>
  <c r="N106" i="69"/>
  <c r="M106" i="69"/>
  <c r="L106" i="69"/>
  <c r="K106" i="69"/>
  <c r="J106" i="69"/>
  <c r="I106" i="69"/>
  <c r="H106" i="69"/>
  <c r="G106" i="69"/>
  <c r="F106" i="69"/>
  <c r="E106" i="69"/>
  <c r="D106" i="69"/>
  <c r="P105" i="69"/>
  <c r="N105" i="69"/>
  <c r="M105" i="69"/>
  <c r="L105" i="69"/>
  <c r="K105" i="69"/>
  <c r="J105" i="69"/>
  <c r="I105" i="69"/>
  <c r="H105" i="69"/>
  <c r="G105" i="69"/>
  <c r="F105" i="69"/>
  <c r="E105" i="69"/>
  <c r="D105" i="69"/>
  <c r="P104" i="69"/>
  <c r="N104" i="69"/>
  <c r="M104" i="69"/>
  <c r="L104" i="69"/>
  <c r="K104" i="69"/>
  <c r="J104" i="69"/>
  <c r="I104" i="69"/>
  <c r="H104" i="69"/>
  <c r="G104" i="69"/>
  <c r="F104" i="69"/>
  <c r="E104" i="69"/>
  <c r="D104" i="69"/>
  <c r="P103" i="69"/>
  <c r="N103" i="69"/>
  <c r="M103" i="69"/>
  <c r="L103" i="69"/>
  <c r="K103" i="69"/>
  <c r="J103" i="69"/>
  <c r="I103" i="69"/>
  <c r="H103" i="69"/>
  <c r="G103" i="69"/>
  <c r="F103" i="69"/>
  <c r="E103" i="69"/>
  <c r="D103" i="69"/>
  <c r="P102" i="69"/>
  <c r="N102" i="69"/>
  <c r="M102" i="69"/>
  <c r="L102" i="69"/>
  <c r="K102" i="69"/>
  <c r="J102" i="69"/>
  <c r="I102" i="69"/>
  <c r="H102" i="69"/>
  <c r="G102" i="69"/>
  <c r="F102" i="69"/>
  <c r="E102" i="69"/>
  <c r="D102" i="69"/>
  <c r="P101" i="69"/>
  <c r="N101" i="69"/>
  <c r="M101" i="69"/>
  <c r="L101" i="69"/>
  <c r="K101" i="69"/>
  <c r="J101" i="69"/>
  <c r="I101" i="69"/>
  <c r="H101" i="69"/>
  <c r="G101" i="69"/>
  <c r="F101" i="69"/>
  <c r="E101" i="69"/>
  <c r="D101" i="69"/>
  <c r="P100" i="69"/>
  <c r="N100" i="69"/>
  <c r="M100" i="69"/>
  <c r="L100" i="69"/>
  <c r="K100" i="69"/>
  <c r="J100" i="69"/>
  <c r="I100" i="69"/>
  <c r="H100" i="69"/>
  <c r="G100" i="69"/>
  <c r="F100" i="69"/>
  <c r="E100" i="69"/>
  <c r="D100" i="69"/>
  <c r="P99" i="69"/>
  <c r="N99" i="69"/>
  <c r="M99" i="69"/>
  <c r="L99" i="69"/>
  <c r="K99" i="69"/>
  <c r="J99" i="69"/>
  <c r="I99" i="69"/>
  <c r="H99" i="69"/>
  <c r="G99" i="69"/>
  <c r="F99" i="69"/>
  <c r="E99" i="69"/>
  <c r="D99" i="69"/>
  <c r="P98" i="69"/>
  <c r="N98" i="69"/>
  <c r="M98" i="69"/>
  <c r="L98" i="69"/>
  <c r="K98" i="69"/>
  <c r="J98" i="69"/>
  <c r="I98" i="69"/>
  <c r="H98" i="69"/>
  <c r="G98" i="69"/>
  <c r="F98" i="69"/>
  <c r="E98" i="69"/>
  <c r="D98" i="69"/>
  <c r="P97" i="69"/>
  <c r="N97" i="69"/>
  <c r="M97" i="69"/>
  <c r="L97" i="69"/>
  <c r="K97" i="69"/>
  <c r="J97" i="69"/>
  <c r="I97" i="69"/>
  <c r="H97" i="69"/>
  <c r="G97" i="69"/>
  <c r="F97" i="69"/>
  <c r="E97" i="69"/>
  <c r="D97" i="69"/>
  <c r="P96" i="69"/>
  <c r="N96" i="69"/>
  <c r="M96" i="69"/>
  <c r="L96" i="69"/>
  <c r="K96" i="69"/>
  <c r="J96" i="69"/>
  <c r="I96" i="69"/>
  <c r="H96" i="69"/>
  <c r="G96" i="69"/>
  <c r="F96" i="69"/>
  <c r="E96" i="69"/>
  <c r="D96" i="69"/>
  <c r="P95" i="69"/>
  <c r="N95" i="69"/>
  <c r="M95" i="69"/>
  <c r="L95" i="69"/>
  <c r="K95" i="69"/>
  <c r="J95" i="69"/>
  <c r="I95" i="69"/>
  <c r="H95" i="69"/>
  <c r="G95" i="69"/>
  <c r="F95" i="69"/>
  <c r="E95" i="69"/>
  <c r="D95" i="69"/>
  <c r="P94" i="69"/>
  <c r="N94" i="69"/>
  <c r="M94" i="69"/>
  <c r="L94" i="69"/>
  <c r="K94" i="69"/>
  <c r="J94" i="69"/>
  <c r="I94" i="69"/>
  <c r="H94" i="69"/>
  <c r="G94" i="69"/>
  <c r="F94" i="69"/>
  <c r="E94" i="69"/>
  <c r="D94" i="69"/>
  <c r="P93" i="69"/>
  <c r="N93" i="69"/>
  <c r="M93" i="69"/>
  <c r="L93" i="69"/>
  <c r="K93" i="69"/>
  <c r="J93" i="69"/>
  <c r="I93" i="69"/>
  <c r="H93" i="69"/>
  <c r="G93" i="69"/>
  <c r="F93" i="69"/>
  <c r="E93" i="69"/>
  <c r="D93" i="69"/>
  <c r="P92" i="69"/>
  <c r="N92" i="69"/>
  <c r="M92" i="69"/>
  <c r="L92" i="69"/>
  <c r="K92" i="69"/>
  <c r="J92" i="69"/>
  <c r="I92" i="69"/>
  <c r="H92" i="69"/>
  <c r="G92" i="69"/>
  <c r="F92" i="69"/>
  <c r="E92" i="69"/>
  <c r="D92" i="69"/>
  <c r="P91" i="69"/>
  <c r="N91" i="69"/>
  <c r="M91" i="69"/>
  <c r="L91" i="69"/>
  <c r="K91" i="69"/>
  <c r="J91" i="69"/>
  <c r="I91" i="69"/>
  <c r="H91" i="69"/>
  <c r="G91" i="69"/>
  <c r="F91" i="69"/>
  <c r="E91" i="69"/>
  <c r="D91" i="69"/>
  <c r="P90" i="69"/>
  <c r="N90" i="69"/>
  <c r="M90" i="69"/>
  <c r="L90" i="69"/>
  <c r="K90" i="69"/>
  <c r="J90" i="69"/>
  <c r="I90" i="69"/>
  <c r="H90" i="69"/>
  <c r="G90" i="69"/>
  <c r="F90" i="69"/>
  <c r="E90" i="69"/>
  <c r="D90" i="69"/>
  <c r="P89" i="69"/>
  <c r="N89" i="69"/>
  <c r="M89" i="69"/>
  <c r="L89" i="69"/>
  <c r="K89" i="69"/>
  <c r="J89" i="69"/>
  <c r="I89" i="69"/>
  <c r="H89" i="69"/>
  <c r="G89" i="69"/>
  <c r="F89" i="69"/>
  <c r="E89" i="69"/>
  <c r="D89" i="69"/>
  <c r="P88" i="69"/>
  <c r="N88" i="69"/>
  <c r="M88" i="69"/>
  <c r="L88" i="69"/>
  <c r="K88" i="69"/>
  <c r="J88" i="69"/>
  <c r="I88" i="69"/>
  <c r="H88" i="69"/>
  <c r="G88" i="69"/>
  <c r="F88" i="69"/>
  <c r="E88" i="69"/>
  <c r="D88" i="69"/>
  <c r="P87" i="69"/>
  <c r="N87" i="69"/>
  <c r="M87" i="69"/>
  <c r="L87" i="69"/>
  <c r="K87" i="69"/>
  <c r="J87" i="69"/>
  <c r="I87" i="69"/>
  <c r="H87" i="69"/>
  <c r="G87" i="69"/>
  <c r="F87" i="69"/>
  <c r="E87" i="69"/>
  <c r="D87" i="69"/>
  <c r="P86" i="69"/>
  <c r="N86" i="69"/>
  <c r="M86" i="69"/>
  <c r="L86" i="69"/>
  <c r="K86" i="69"/>
  <c r="J86" i="69"/>
  <c r="I86" i="69"/>
  <c r="H86" i="69"/>
  <c r="G86" i="69"/>
  <c r="F86" i="69"/>
  <c r="E86" i="69"/>
  <c r="D86" i="69"/>
  <c r="P85" i="69"/>
  <c r="N85" i="69"/>
  <c r="M85" i="69"/>
  <c r="L85" i="69"/>
  <c r="K85" i="69"/>
  <c r="J85" i="69"/>
  <c r="I85" i="69"/>
  <c r="H85" i="69"/>
  <c r="G85" i="69"/>
  <c r="F85" i="69"/>
  <c r="E85" i="69"/>
  <c r="D85" i="69"/>
  <c r="P84" i="69"/>
  <c r="N84" i="69"/>
  <c r="M84" i="69"/>
  <c r="L84" i="69"/>
  <c r="K84" i="69"/>
  <c r="J84" i="69"/>
  <c r="I84" i="69"/>
  <c r="H84" i="69"/>
  <c r="G84" i="69"/>
  <c r="F84" i="69"/>
  <c r="E84" i="69"/>
  <c r="D84" i="69"/>
  <c r="P83" i="69"/>
  <c r="N83" i="69"/>
  <c r="M83" i="69"/>
  <c r="L83" i="69"/>
  <c r="K83" i="69"/>
  <c r="J83" i="69"/>
  <c r="I83" i="69"/>
  <c r="H83" i="69"/>
  <c r="G83" i="69"/>
  <c r="F83" i="69"/>
  <c r="E83" i="69"/>
  <c r="D83" i="69"/>
  <c r="P82" i="69"/>
  <c r="N82" i="69"/>
  <c r="M82" i="69"/>
  <c r="L82" i="69"/>
  <c r="K82" i="69"/>
  <c r="J82" i="69"/>
  <c r="I82" i="69"/>
  <c r="H82" i="69"/>
  <c r="G82" i="69"/>
  <c r="F82" i="69"/>
  <c r="E82" i="69"/>
  <c r="D82" i="69"/>
  <c r="P81" i="69"/>
  <c r="N81" i="69"/>
  <c r="M81" i="69"/>
  <c r="L81" i="69"/>
  <c r="K81" i="69"/>
  <c r="J81" i="69"/>
  <c r="I81" i="69"/>
  <c r="H81" i="69"/>
  <c r="G81" i="69"/>
  <c r="F81" i="69"/>
  <c r="E81" i="69"/>
  <c r="D81" i="69"/>
  <c r="P80" i="69"/>
  <c r="N80" i="69"/>
  <c r="M80" i="69"/>
  <c r="L80" i="69"/>
  <c r="K80" i="69"/>
  <c r="J80" i="69"/>
  <c r="I80" i="69"/>
  <c r="H80" i="69"/>
  <c r="G80" i="69"/>
  <c r="F80" i="69"/>
  <c r="E80" i="69"/>
  <c r="D80" i="69"/>
  <c r="P79" i="69"/>
  <c r="N79" i="69"/>
  <c r="M79" i="69"/>
  <c r="L79" i="69"/>
  <c r="K79" i="69"/>
  <c r="J79" i="69"/>
  <c r="I79" i="69"/>
  <c r="H79" i="69"/>
  <c r="G79" i="69"/>
  <c r="F79" i="69"/>
  <c r="E79" i="69"/>
  <c r="D79" i="69"/>
  <c r="P78" i="69"/>
  <c r="N78" i="69"/>
  <c r="M78" i="69"/>
  <c r="L78" i="69"/>
  <c r="K78" i="69"/>
  <c r="J78" i="69"/>
  <c r="I78" i="69"/>
  <c r="H78" i="69"/>
  <c r="G78" i="69"/>
  <c r="F78" i="69"/>
  <c r="E78" i="69"/>
  <c r="D78" i="69"/>
  <c r="P77" i="69"/>
  <c r="N77" i="69"/>
  <c r="M77" i="69"/>
  <c r="L77" i="69"/>
  <c r="K77" i="69"/>
  <c r="J77" i="69"/>
  <c r="I77" i="69"/>
  <c r="H77" i="69"/>
  <c r="G77" i="69"/>
  <c r="F77" i="69"/>
  <c r="E77" i="69"/>
  <c r="D77" i="69"/>
  <c r="P76" i="69"/>
  <c r="N76" i="69"/>
  <c r="M76" i="69"/>
  <c r="L76" i="69"/>
  <c r="K76" i="69"/>
  <c r="J76" i="69"/>
  <c r="I76" i="69"/>
  <c r="H76" i="69"/>
  <c r="G76" i="69"/>
  <c r="F76" i="69"/>
  <c r="E76" i="69"/>
  <c r="D76" i="69"/>
  <c r="P75" i="69"/>
  <c r="N75" i="69"/>
  <c r="M75" i="69"/>
  <c r="L75" i="69"/>
  <c r="K75" i="69"/>
  <c r="J75" i="69"/>
  <c r="I75" i="69"/>
  <c r="H75" i="69"/>
  <c r="G75" i="69"/>
  <c r="F75" i="69"/>
  <c r="E75" i="69"/>
  <c r="D75" i="69"/>
  <c r="P74" i="69"/>
  <c r="N74" i="69"/>
  <c r="M74" i="69"/>
  <c r="L74" i="69"/>
  <c r="K74" i="69"/>
  <c r="J74" i="69"/>
  <c r="I74" i="69"/>
  <c r="H74" i="69"/>
  <c r="G74" i="69"/>
  <c r="F74" i="69"/>
  <c r="E74" i="69"/>
  <c r="D74" i="69"/>
  <c r="P73" i="69"/>
  <c r="N73" i="69"/>
  <c r="M73" i="69"/>
  <c r="L73" i="69"/>
  <c r="K73" i="69"/>
  <c r="J73" i="69"/>
  <c r="I73" i="69"/>
  <c r="H73" i="69"/>
  <c r="G73" i="69"/>
  <c r="F73" i="69"/>
  <c r="E73" i="69"/>
  <c r="D73" i="69"/>
  <c r="P72" i="69"/>
  <c r="N72" i="69"/>
  <c r="M72" i="69"/>
  <c r="L72" i="69"/>
  <c r="K72" i="69"/>
  <c r="J72" i="69"/>
  <c r="I72" i="69"/>
  <c r="H72" i="69"/>
  <c r="G72" i="69"/>
  <c r="F72" i="69"/>
  <c r="E72" i="69"/>
  <c r="D72" i="69"/>
  <c r="P71" i="69"/>
  <c r="N71" i="69"/>
  <c r="M71" i="69"/>
  <c r="L71" i="69"/>
  <c r="K71" i="69"/>
  <c r="J71" i="69"/>
  <c r="I71" i="69"/>
  <c r="H71" i="69"/>
  <c r="G71" i="69"/>
  <c r="F71" i="69"/>
  <c r="E71" i="69"/>
  <c r="D71" i="69"/>
  <c r="P70" i="69"/>
  <c r="N70" i="69"/>
  <c r="M70" i="69"/>
  <c r="L70" i="69"/>
  <c r="K70" i="69"/>
  <c r="J70" i="69"/>
  <c r="I70" i="69"/>
  <c r="H70" i="69"/>
  <c r="G70" i="69"/>
  <c r="F70" i="69"/>
  <c r="E70" i="69"/>
  <c r="D70" i="69"/>
  <c r="P69" i="69"/>
  <c r="N69" i="69"/>
  <c r="M69" i="69"/>
  <c r="L69" i="69"/>
  <c r="K69" i="69"/>
  <c r="J69" i="69"/>
  <c r="I69" i="69"/>
  <c r="H69" i="69"/>
  <c r="G69" i="69"/>
  <c r="F69" i="69"/>
  <c r="E69" i="69"/>
  <c r="D69" i="69"/>
  <c r="P68" i="69"/>
  <c r="N68" i="69"/>
  <c r="M68" i="69"/>
  <c r="L68" i="69"/>
  <c r="K68" i="69"/>
  <c r="J68" i="69"/>
  <c r="I68" i="69"/>
  <c r="H68" i="69"/>
  <c r="G68" i="69"/>
  <c r="F68" i="69"/>
  <c r="E68" i="69"/>
  <c r="D68" i="69"/>
  <c r="P67" i="69"/>
  <c r="N67" i="69"/>
  <c r="M67" i="69"/>
  <c r="L67" i="69"/>
  <c r="K67" i="69"/>
  <c r="J67" i="69"/>
  <c r="I67" i="69"/>
  <c r="H67" i="69"/>
  <c r="G67" i="69"/>
  <c r="F67" i="69"/>
  <c r="E67" i="69"/>
  <c r="D67" i="69"/>
  <c r="P66" i="69"/>
  <c r="N66" i="69"/>
  <c r="M66" i="69"/>
  <c r="L66" i="69"/>
  <c r="K66" i="69"/>
  <c r="J66" i="69"/>
  <c r="I66" i="69"/>
  <c r="H66" i="69"/>
  <c r="G66" i="69"/>
  <c r="F66" i="69"/>
  <c r="E66" i="69"/>
  <c r="D66" i="69"/>
  <c r="P65" i="69"/>
  <c r="N65" i="69"/>
  <c r="M65" i="69"/>
  <c r="L65" i="69"/>
  <c r="K65" i="69"/>
  <c r="J65" i="69"/>
  <c r="I65" i="69"/>
  <c r="H65" i="69"/>
  <c r="G65" i="69"/>
  <c r="F65" i="69"/>
  <c r="E65" i="69"/>
  <c r="D65" i="69"/>
  <c r="P64" i="69"/>
  <c r="N64" i="69"/>
  <c r="M64" i="69"/>
  <c r="L64" i="69"/>
  <c r="K64" i="69"/>
  <c r="J64" i="69"/>
  <c r="I64" i="69"/>
  <c r="H64" i="69"/>
  <c r="G64" i="69"/>
  <c r="F64" i="69"/>
  <c r="E64" i="69"/>
  <c r="D64" i="69"/>
  <c r="P63" i="69"/>
  <c r="N63" i="69"/>
  <c r="M63" i="69"/>
  <c r="L63" i="69"/>
  <c r="K63" i="69"/>
  <c r="J63" i="69"/>
  <c r="I63" i="69"/>
  <c r="H63" i="69"/>
  <c r="G63" i="69"/>
  <c r="F63" i="69"/>
  <c r="E63" i="69"/>
  <c r="D63" i="69"/>
  <c r="P62" i="69"/>
  <c r="N62" i="69"/>
  <c r="M62" i="69"/>
  <c r="L62" i="69"/>
  <c r="K62" i="69"/>
  <c r="J62" i="69"/>
  <c r="I62" i="69"/>
  <c r="H62" i="69"/>
  <c r="G62" i="69"/>
  <c r="F62" i="69"/>
  <c r="E62" i="69"/>
  <c r="D62" i="69"/>
  <c r="P61" i="69"/>
  <c r="N61" i="69"/>
  <c r="M61" i="69"/>
  <c r="L61" i="69"/>
  <c r="K61" i="69"/>
  <c r="J61" i="69"/>
  <c r="I61" i="69"/>
  <c r="H61" i="69"/>
  <c r="G61" i="69"/>
  <c r="F61" i="69"/>
  <c r="E61" i="69"/>
  <c r="D61" i="69"/>
  <c r="P60" i="69"/>
  <c r="N60" i="69"/>
  <c r="M60" i="69"/>
  <c r="L60" i="69"/>
  <c r="K60" i="69"/>
  <c r="J60" i="69"/>
  <c r="I60" i="69"/>
  <c r="H60" i="69"/>
  <c r="G60" i="69"/>
  <c r="F60" i="69"/>
  <c r="E60" i="69"/>
  <c r="D60" i="69"/>
  <c r="P59" i="69"/>
  <c r="N59" i="69"/>
  <c r="M59" i="69"/>
  <c r="L59" i="69"/>
  <c r="K59" i="69"/>
  <c r="J59" i="69"/>
  <c r="I59" i="69"/>
  <c r="H59" i="69"/>
  <c r="G59" i="69"/>
  <c r="F59" i="69"/>
  <c r="E59" i="69"/>
  <c r="D59" i="69"/>
  <c r="P58" i="69"/>
  <c r="N58" i="69"/>
  <c r="M58" i="69"/>
  <c r="L58" i="69"/>
  <c r="K58" i="69"/>
  <c r="J58" i="69"/>
  <c r="I58" i="69"/>
  <c r="H58" i="69"/>
  <c r="G58" i="69"/>
  <c r="F58" i="69"/>
  <c r="E58" i="69"/>
  <c r="D58" i="69"/>
  <c r="P57" i="69"/>
  <c r="N57" i="69"/>
  <c r="M57" i="69"/>
  <c r="L57" i="69"/>
  <c r="K57" i="69"/>
  <c r="J57" i="69"/>
  <c r="I57" i="69"/>
  <c r="H57" i="69"/>
  <c r="G57" i="69"/>
  <c r="F57" i="69"/>
  <c r="E57" i="69"/>
  <c r="D57" i="69"/>
  <c r="P56" i="69"/>
  <c r="N56" i="69"/>
  <c r="M56" i="69"/>
  <c r="L56" i="69"/>
  <c r="K56" i="69"/>
  <c r="J56" i="69"/>
  <c r="I56" i="69"/>
  <c r="H56" i="69"/>
  <c r="G56" i="69"/>
  <c r="F56" i="69"/>
  <c r="E56" i="69"/>
  <c r="D56" i="69"/>
  <c r="P55" i="69"/>
  <c r="N55" i="69"/>
  <c r="M55" i="69"/>
  <c r="L55" i="69"/>
  <c r="K55" i="69"/>
  <c r="J55" i="69"/>
  <c r="I55" i="69"/>
  <c r="H55" i="69"/>
  <c r="G55" i="69"/>
  <c r="F55" i="69"/>
  <c r="E55" i="69"/>
  <c r="D55" i="69"/>
  <c r="P54" i="69"/>
  <c r="N54" i="69"/>
  <c r="M54" i="69"/>
  <c r="L54" i="69"/>
  <c r="K54" i="69"/>
  <c r="J54" i="69"/>
  <c r="I54" i="69"/>
  <c r="H54" i="69"/>
  <c r="G54" i="69"/>
  <c r="F54" i="69"/>
  <c r="E54" i="69"/>
  <c r="D54" i="69"/>
  <c r="P53" i="69"/>
  <c r="N53" i="69"/>
  <c r="M53" i="69"/>
  <c r="L53" i="69"/>
  <c r="K53" i="69"/>
  <c r="J53" i="69"/>
  <c r="I53" i="69"/>
  <c r="H53" i="69"/>
  <c r="G53" i="69"/>
  <c r="F53" i="69"/>
  <c r="E53" i="69"/>
  <c r="D53" i="69"/>
  <c r="P52" i="69"/>
  <c r="N52" i="69"/>
  <c r="M52" i="69"/>
  <c r="L52" i="69"/>
  <c r="K52" i="69"/>
  <c r="J52" i="69"/>
  <c r="I52" i="69"/>
  <c r="H52" i="69"/>
  <c r="G52" i="69"/>
  <c r="F52" i="69"/>
  <c r="E52" i="69"/>
  <c r="D52" i="69"/>
  <c r="P51" i="69"/>
  <c r="N51" i="69"/>
  <c r="M51" i="69"/>
  <c r="L51" i="69"/>
  <c r="K51" i="69"/>
  <c r="J51" i="69"/>
  <c r="I51" i="69"/>
  <c r="H51" i="69"/>
  <c r="G51" i="69"/>
  <c r="F51" i="69"/>
  <c r="E51" i="69"/>
  <c r="D51" i="69"/>
  <c r="P50" i="69"/>
  <c r="N50" i="69"/>
  <c r="M50" i="69"/>
  <c r="L50" i="69"/>
  <c r="K50" i="69"/>
  <c r="J50" i="69"/>
  <c r="I50" i="69"/>
  <c r="H50" i="69"/>
  <c r="G50" i="69"/>
  <c r="F50" i="69"/>
  <c r="E50" i="69"/>
  <c r="D50" i="69"/>
  <c r="P49" i="69"/>
  <c r="N49" i="69"/>
  <c r="M49" i="69"/>
  <c r="L49" i="69"/>
  <c r="K49" i="69"/>
  <c r="J49" i="69"/>
  <c r="I49" i="69"/>
  <c r="H49" i="69"/>
  <c r="G49" i="69"/>
  <c r="F49" i="69"/>
  <c r="E49" i="69"/>
  <c r="D49" i="69"/>
  <c r="P48" i="69"/>
  <c r="N48" i="69"/>
  <c r="M48" i="69"/>
  <c r="L48" i="69"/>
  <c r="K48" i="69"/>
  <c r="J48" i="69"/>
  <c r="I48" i="69"/>
  <c r="H48" i="69"/>
  <c r="G48" i="69"/>
  <c r="F48" i="69"/>
  <c r="E48" i="69"/>
  <c r="D48" i="69"/>
  <c r="P47" i="69"/>
  <c r="N47" i="69"/>
  <c r="M47" i="69"/>
  <c r="L47" i="69"/>
  <c r="K47" i="69"/>
  <c r="J47" i="69"/>
  <c r="I47" i="69"/>
  <c r="H47" i="69"/>
  <c r="G47" i="69"/>
  <c r="F47" i="69"/>
  <c r="E47" i="69"/>
  <c r="D47" i="69"/>
  <c r="P46" i="69"/>
  <c r="N46" i="69"/>
  <c r="M46" i="69"/>
  <c r="L46" i="69"/>
  <c r="K46" i="69"/>
  <c r="J46" i="69"/>
  <c r="I46" i="69"/>
  <c r="H46" i="69"/>
  <c r="G46" i="69"/>
  <c r="F46" i="69"/>
  <c r="E46" i="69"/>
  <c r="D46" i="69"/>
  <c r="P45" i="69"/>
  <c r="N45" i="69"/>
  <c r="M45" i="69"/>
  <c r="L45" i="69"/>
  <c r="K45" i="69"/>
  <c r="J45" i="69"/>
  <c r="I45" i="69"/>
  <c r="H45" i="69"/>
  <c r="G45" i="69"/>
  <c r="F45" i="69"/>
  <c r="E45" i="69"/>
  <c r="D45" i="69"/>
  <c r="P44" i="69"/>
  <c r="N44" i="69"/>
  <c r="M44" i="69"/>
  <c r="L44" i="69"/>
  <c r="K44" i="69"/>
  <c r="J44" i="69"/>
  <c r="I44" i="69"/>
  <c r="H44" i="69"/>
  <c r="G44" i="69"/>
  <c r="F44" i="69"/>
  <c r="E44" i="69"/>
  <c r="D44" i="69"/>
  <c r="P43" i="69"/>
  <c r="N43" i="69"/>
  <c r="M43" i="69"/>
  <c r="L43" i="69"/>
  <c r="K43" i="69"/>
  <c r="J43" i="69"/>
  <c r="I43" i="69"/>
  <c r="H43" i="69"/>
  <c r="G43" i="69"/>
  <c r="F43" i="69"/>
  <c r="E43" i="69"/>
  <c r="D43" i="69"/>
  <c r="P42" i="69"/>
  <c r="N42" i="69"/>
  <c r="M42" i="69"/>
  <c r="L42" i="69"/>
  <c r="K42" i="69"/>
  <c r="J42" i="69"/>
  <c r="I42" i="69"/>
  <c r="H42" i="69"/>
  <c r="G42" i="69"/>
  <c r="F42" i="69"/>
  <c r="E42" i="69"/>
  <c r="D42" i="69"/>
  <c r="P41" i="69"/>
  <c r="N41" i="69"/>
  <c r="M41" i="69"/>
  <c r="L41" i="69"/>
  <c r="K41" i="69"/>
  <c r="J41" i="69"/>
  <c r="I41" i="69"/>
  <c r="H41" i="69"/>
  <c r="G41" i="69"/>
  <c r="F41" i="69"/>
  <c r="E41" i="69"/>
  <c r="D41" i="69"/>
  <c r="P40" i="69"/>
  <c r="N40" i="69"/>
  <c r="M40" i="69"/>
  <c r="L40" i="69"/>
  <c r="K40" i="69"/>
  <c r="J40" i="69"/>
  <c r="I40" i="69"/>
  <c r="H40" i="69"/>
  <c r="G40" i="69"/>
  <c r="F40" i="69"/>
  <c r="E40" i="69"/>
  <c r="D40" i="69"/>
  <c r="P39" i="69"/>
  <c r="N39" i="69"/>
  <c r="M39" i="69"/>
  <c r="L39" i="69"/>
  <c r="K39" i="69"/>
  <c r="J39" i="69"/>
  <c r="I39" i="69"/>
  <c r="H39" i="69"/>
  <c r="G39" i="69"/>
  <c r="F39" i="69"/>
  <c r="E39" i="69"/>
  <c r="D39" i="69"/>
  <c r="P38" i="69"/>
  <c r="N38" i="69"/>
  <c r="M38" i="69"/>
  <c r="L38" i="69"/>
  <c r="K38" i="69"/>
  <c r="J38" i="69"/>
  <c r="I38" i="69"/>
  <c r="H38" i="69"/>
  <c r="G38" i="69"/>
  <c r="F38" i="69"/>
  <c r="E38" i="69"/>
  <c r="D38" i="69"/>
  <c r="P37" i="69"/>
  <c r="N37" i="69"/>
  <c r="M37" i="69"/>
  <c r="L37" i="69"/>
  <c r="K37" i="69"/>
  <c r="J37" i="69"/>
  <c r="I37" i="69"/>
  <c r="H37" i="69"/>
  <c r="G37" i="69"/>
  <c r="F37" i="69"/>
  <c r="E37" i="69"/>
  <c r="D37" i="69"/>
  <c r="P36" i="69"/>
  <c r="N36" i="69"/>
  <c r="M36" i="69"/>
  <c r="L36" i="69"/>
  <c r="K36" i="69"/>
  <c r="J36" i="69"/>
  <c r="I36" i="69"/>
  <c r="H36" i="69"/>
  <c r="G36" i="69"/>
  <c r="F36" i="69"/>
  <c r="E36" i="69"/>
  <c r="D36" i="69"/>
  <c r="P35" i="69"/>
  <c r="N35" i="69"/>
  <c r="M35" i="69"/>
  <c r="L35" i="69"/>
  <c r="K35" i="69"/>
  <c r="J35" i="69"/>
  <c r="I35" i="69"/>
  <c r="H35" i="69"/>
  <c r="G35" i="69"/>
  <c r="F35" i="69"/>
  <c r="E35" i="69"/>
  <c r="D35" i="69"/>
  <c r="P34" i="69"/>
  <c r="N34" i="69"/>
  <c r="M34" i="69"/>
  <c r="L34" i="69"/>
  <c r="K34" i="69"/>
  <c r="J34" i="69"/>
  <c r="I34" i="69"/>
  <c r="H34" i="69"/>
  <c r="G34" i="69"/>
  <c r="F34" i="69"/>
  <c r="E34" i="69"/>
  <c r="D34" i="69"/>
  <c r="P33" i="69"/>
  <c r="N33" i="69"/>
  <c r="M33" i="69"/>
  <c r="L33" i="69"/>
  <c r="K33" i="69"/>
  <c r="J33" i="69"/>
  <c r="I33" i="69"/>
  <c r="H33" i="69"/>
  <c r="G33" i="69"/>
  <c r="F33" i="69"/>
  <c r="E33" i="69"/>
  <c r="D33" i="69"/>
  <c r="P32" i="69"/>
  <c r="N32" i="69"/>
  <c r="M32" i="69"/>
  <c r="L32" i="69"/>
  <c r="K32" i="69"/>
  <c r="J32" i="69"/>
  <c r="I32" i="69"/>
  <c r="H32" i="69"/>
  <c r="G32" i="69"/>
  <c r="F32" i="69"/>
  <c r="E32" i="69"/>
  <c r="D32" i="69"/>
  <c r="P31" i="69"/>
  <c r="N31" i="69"/>
  <c r="M31" i="69"/>
  <c r="L31" i="69"/>
  <c r="K31" i="69"/>
  <c r="J31" i="69"/>
  <c r="I31" i="69"/>
  <c r="H31" i="69"/>
  <c r="G31" i="69"/>
  <c r="F31" i="69"/>
  <c r="E31" i="69"/>
  <c r="D31" i="69"/>
  <c r="P30" i="69"/>
  <c r="N30" i="69"/>
  <c r="M30" i="69"/>
  <c r="L30" i="69"/>
  <c r="K30" i="69"/>
  <c r="J30" i="69"/>
  <c r="I30" i="69"/>
  <c r="H30" i="69"/>
  <c r="G30" i="69"/>
  <c r="F30" i="69"/>
  <c r="E30" i="69"/>
  <c r="D30" i="69"/>
  <c r="P29" i="69"/>
  <c r="N29" i="69"/>
  <c r="M29" i="69"/>
  <c r="L29" i="69"/>
  <c r="K29" i="69"/>
  <c r="J29" i="69"/>
  <c r="I29" i="69"/>
  <c r="H29" i="69"/>
  <c r="G29" i="69"/>
  <c r="F29" i="69"/>
  <c r="E29" i="69"/>
  <c r="D29" i="69"/>
  <c r="P28" i="69"/>
  <c r="N28" i="69"/>
  <c r="M28" i="69"/>
  <c r="L28" i="69"/>
  <c r="K28" i="69"/>
  <c r="J28" i="69"/>
  <c r="I28" i="69"/>
  <c r="H28" i="69"/>
  <c r="G28" i="69"/>
  <c r="F28" i="69"/>
  <c r="E28" i="69"/>
  <c r="D28" i="69"/>
  <c r="P27" i="69"/>
  <c r="N27" i="69"/>
  <c r="M27" i="69"/>
  <c r="L27" i="69"/>
  <c r="K27" i="69"/>
  <c r="J27" i="69"/>
  <c r="I27" i="69"/>
  <c r="H27" i="69"/>
  <c r="G27" i="69"/>
  <c r="F27" i="69"/>
  <c r="E27" i="69"/>
  <c r="D27" i="69"/>
  <c r="P26" i="69"/>
  <c r="N26" i="69"/>
  <c r="M26" i="69"/>
  <c r="L26" i="69"/>
  <c r="K26" i="69"/>
  <c r="J26" i="69"/>
  <c r="I26" i="69"/>
  <c r="H26" i="69"/>
  <c r="G26" i="69"/>
  <c r="F26" i="69"/>
  <c r="E26" i="69"/>
  <c r="D26" i="69"/>
  <c r="P25" i="69"/>
  <c r="N25" i="69"/>
  <c r="M25" i="69"/>
  <c r="L25" i="69"/>
  <c r="K25" i="69"/>
  <c r="J25" i="69"/>
  <c r="I25" i="69"/>
  <c r="H25" i="69"/>
  <c r="G25" i="69"/>
  <c r="F25" i="69"/>
  <c r="E25" i="69"/>
  <c r="D25" i="69"/>
  <c r="P24" i="69"/>
  <c r="N24" i="69"/>
  <c r="M24" i="69"/>
  <c r="L24" i="69"/>
  <c r="K24" i="69"/>
  <c r="J24" i="69"/>
  <c r="I24" i="69"/>
  <c r="H24" i="69"/>
  <c r="G24" i="69"/>
  <c r="F24" i="69"/>
  <c r="E24" i="69"/>
  <c r="D24" i="69"/>
  <c r="P23" i="69"/>
  <c r="N23" i="69"/>
  <c r="M23" i="69"/>
  <c r="L23" i="69"/>
  <c r="K23" i="69"/>
  <c r="J23" i="69"/>
  <c r="I23" i="69"/>
  <c r="H23" i="69"/>
  <c r="G23" i="69"/>
  <c r="F23" i="69"/>
  <c r="E23" i="69"/>
  <c r="D23" i="69"/>
  <c r="P22" i="69"/>
  <c r="N22" i="69"/>
  <c r="M22" i="69"/>
  <c r="L22" i="69"/>
  <c r="K22" i="69"/>
  <c r="J22" i="69"/>
  <c r="I22" i="69"/>
  <c r="H22" i="69"/>
  <c r="G22" i="69"/>
  <c r="F22" i="69"/>
  <c r="E22" i="69"/>
  <c r="D22" i="69"/>
  <c r="N19" i="69"/>
  <c r="M19" i="69"/>
  <c r="L19" i="69"/>
  <c r="K19" i="69"/>
  <c r="J19" i="69"/>
  <c r="H19" i="69"/>
  <c r="G19" i="69"/>
  <c r="F19" i="69"/>
  <c r="E19" i="69"/>
  <c r="D19" i="69"/>
  <c r="P18" i="69"/>
  <c r="O18" i="69"/>
  <c r="N18" i="69"/>
  <c r="M18" i="69"/>
  <c r="L18" i="69"/>
  <c r="K18" i="69"/>
  <c r="J18" i="69"/>
  <c r="I18" i="69"/>
  <c r="H18" i="69"/>
  <c r="G18" i="69"/>
  <c r="F18" i="69"/>
  <c r="E18" i="69"/>
  <c r="D18" i="69"/>
  <c r="P17" i="69"/>
  <c r="P16" i="69"/>
  <c r="P15" i="69"/>
  <c r="P14" i="69"/>
  <c r="N13" i="69"/>
  <c r="M13" i="69"/>
  <c r="L13" i="69"/>
  <c r="K13" i="69"/>
  <c r="J13" i="69"/>
  <c r="H13" i="69"/>
  <c r="G13" i="69"/>
  <c r="F13" i="69"/>
  <c r="E13" i="69"/>
  <c r="D13" i="69"/>
  <c r="N12" i="69"/>
  <c r="M12" i="69"/>
  <c r="L12" i="69"/>
  <c r="K12" i="69"/>
  <c r="J12" i="69"/>
  <c r="I12" i="69"/>
  <c r="P12" i="69" s="1"/>
  <c r="H12" i="69"/>
  <c r="G12" i="69"/>
  <c r="F12" i="69"/>
  <c r="E12" i="69"/>
  <c r="D12" i="69"/>
  <c r="N11" i="69"/>
  <c r="M11" i="69"/>
  <c r="L11" i="69"/>
  <c r="K11" i="69"/>
  <c r="J11" i="69"/>
  <c r="I11" i="69"/>
  <c r="P11" i="69" s="1"/>
  <c r="H11" i="69"/>
  <c r="G11" i="69"/>
  <c r="F11" i="69"/>
  <c r="E11" i="69"/>
  <c r="D11" i="69"/>
  <c r="N10" i="69"/>
  <c r="M10" i="69"/>
  <c r="L10" i="69"/>
  <c r="K10" i="69"/>
  <c r="J10" i="69"/>
  <c r="I10" i="69"/>
  <c r="P10" i="69" s="1"/>
  <c r="H10" i="69"/>
  <c r="G10" i="69"/>
  <c r="F10" i="69"/>
  <c r="E10" i="69"/>
  <c r="D10" i="69"/>
  <c r="N9" i="69"/>
  <c r="M9" i="69"/>
  <c r="L9" i="69"/>
  <c r="K9" i="69"/>
  <c r="J9" i="69"/>
  <c r="I9" i="69"/>
  <c r="P9" i="69" s="1"/>
  <c r="H9" i="69"/>
  <c r="G9" i="69"/>
  <c r="F9" i="69"/>
  <c r="E9" i="69"/>
  <c r="D9" i="69"/>
  <c r="O8" i="69"/>
  <c r="N8" i="69"/>
  <c r="M8" i="69"/>
  <c r="L8" i="69"/>
  <c r="K8" i="69"/>
  <c r="J8" i="69"/>
  <c r="H8" i="69"/>
  <c r="G8" i="69"/>
  <c r="F8" i="69"/>
  <c r="E8" i="69"/>
  <c r="D8" i="69"/>
  <c r="G142" i="68"/>
  <c r="N137" i="68"/>
  <c r="M137" i="68"/>
  <c r="L137" i="68"/>
  <c r="K137" i="68"/>
  <c r="J137" i="68"/>
  <c r="H137" i="68"/>
  <c r="G137" i="68"/>
  <c r="F137" i="68"/>
  <c r="E137" i="68"/>
  <c r="D137" i="68"/>
  <c r="N134" i="68"/>
  <c r="M134" i="68"/>
  <c r="L134" i="68"/>
  <c r="K134" i="68"/>
  <c r="J134" i="68"/>
  <c r="H134" i="68"/>
  <c r="G134" i="68"/>
  <c r="F134" i="68"/>
  <c r="E134" i="68"/>
  <c r="D134" i="68"/>
  <c r="O132" i="68"/>
  <c r="P132" i="68" s="1"/>
  <c r="N132" i="68"/>
  <c r="M132" i="68"/>
  <c r="L132" i="68"/>
  <c r="K132" i="68"/>
  <c r="J132" i="68"/>
  <c r="I132" i="68"/>
  <c r="H132" i="68"/>
  <c r="G132" i="68"/>
  <c r="F132" i="68"/>
  <c r="E132" i="68"/>
  <c r="D132" i="68"/>
  <c r="P131" i="68"/>
  <c r="N131" i="68"/>
  <c r="M131" i="68"/>
  <c r="L131" i="68"/>
  <c r="K131" i="68"/>
  <c r="J131" i="68"/>
  <c r="I131" i="68"/>
  <c r="H131" i="68"/>
  <c r="G131" i="68"/>
  <c r="F131" i="68"/>
  <c r="E131" i="68"/>
  <c r="D131" i="68"/>
  <c r="P130" i="68"/>
  <c r="N130" i="68"/>
  <c r="M130" i="68"/>
  <c r="L130" i="68"/>
  <c r="K130" i="68"/>
  <c r="J130" i="68"/>
  <c r="I130" i="68"/>
  <c r="H130" i="68"/>
  <c r="G130" i="68"/>
  <c r="F130" i="68"/>
  <c r="E130" i="68"/>
  <c r="D130" i="68"/>
  <c r="P129" i="68"/>
  <c r="N129" i="68"/>
  <c r="M129" i="68"/>
  <c r="L129" i="68"/>
  <c r="K129" i="68"/>
  <c r="J129" i="68"/>
  <c r="I129" i="68"/>
  <c r="H129" i="68"/>
  <c r="G129" i="68"/>
  <c r="F129" i="68"/>
  <c r="E129" i="68"/>
  <c r="D129" i="68"/>
  <c r="P128" i="68"/>
  <c r="N128" i="68"/>
  <c r="M128" i="68"/>
  <c r="L128" i="68"/>
  <c r="K128" i="68"/>
  <c r="J128" i="68"/>
  <c r="I128" i="68"/>
  <c r="H128" i="68"/>
  <c r="G128" i="68"/>
  <c r="F128" i="68"/>
  <c r="E128" i="68"/>
  <c r="D128" i="68"/>
  <c r="P127" i="68"/>
  <c r="N127" i="68"/>
  <c r="M127" i="68"/>
  <c r="L127" i="68"/>
  <c r="K127" i="68"/>
  <c r="J127" i="68"/>
  <c r="I127" i="68"/>
  <c r="H127" i="68"/>
  <c r="G127" i="68"/>
  <c r="F127" i="68"/>
  <c r="E127" i="68"/>
  <c r="D127" i="68"/>
  <c r="P126" i="68"/>
  <c r="N126" i="68"/>
  <c r="M126" i="68"/>
  <c r="L126" i="68"/>
  <c r="K126" i="68"/>
  <c r="J126" i="68"/>
  <c r="I126" i="68"/>
  <c r="H126" i="68"/>
  <c r="G126" i="68"/>
  <c r="F126" i="68"/>
  <c r="E126" i="68"/>
  <c r="D126" i="68"/>
  <c r="P125" i="68"/>
  <c r="N125" i="68"/>
  <c r="M125" i="68"/>
  <c r="L125" i="68"/>
  <c r="K125" i="68"/>
  <c r="J125" i="68"/>
  <c r="I125" i="68"/>
  <c r="H125" i="68"/>
  <c r="G125" i="68"/>
  <c r="F125" i="68"/>
  <c r="E125" i="68"/>
  <c r="D125" i="68"/>
  <c r="P124" i="68"/>
  <c r="N124" i="68"/>
  <c r="M124" i="68"/>
  <c r="L124" i="68"/>
  <c r="K124" i="68"/>
  <c r="J124" i="68"/>
  <c r="I124" i="68"/>
  <c r="H124" i="68"/>
  <c r="G124" i="68"/>
  <c r="F124" i="68"/>
  <c r="E124" i="68"/>
  <c r="D124" i="68"/>
  <c r="P123" i="68"/>
  <c r="N123" i="68"/>
  <c r="M123" i="68"/>
  <c r="L123" i="68"/>
  <c r="K123" i="68"/>
  <c r="J123" i="68"/>
  <c r="I123" i="68"/>
  <c r="H123" i="68"/>
  <c r="G123" i="68"/>
  <c r="F123" i="68"/>
  <c r="E123" i="68"/>
  <c r="D123" i="68"/>
  <c r="P122" i="68"/>
  <c r="N122" i="68"/>
  <c r="M122" i="68"/>
  <c r="L122" i="68"/>
  <c r="K122" i="68"/>
  <c r="J122" i="68"/>
  <c r="I122" i="68"/>
  <c r="H122" i="68"/>
  <c r="G122" i="68"/>
  <c r="F122" i="68"/>
  <c r="E122" i="68"/>
  <c r="D122" i="68"/>
  <c r="P121" i="68"/>
  <c r="N121" i="68"/>
  <c r="M121" i="68"/>
  <c r="L121" i="68"/>
  <c r="K121" i="68"/>
  <c r="J121" i="68"/>
  <c r="I121" i="68"/>
  <c r="H121" i="68"/>
  <c r="G121" i="68"/>
  <c r="F121" i="68"/>
  <c r="E121" i="68"/>
  <c r="D121" i="68"/>
  <c r="P120" i="68"/>
  <c r="N120" i="68"/>
  <c r="M120" i="68"/>
  <c r="L120" i="68"/>
  <c r="K120" i="68"/>
  <c r="J120" i="68"/>
  <c r="I120" i="68"/>
  <c r="H120" i="68"/>
  <c r="G120" i="68"/>
  <c r="F120" i="68"/>
  <c r="E120" i="68"/>
  <c r="D120" i="68"/>
  <c r="P119" i="68"/>
  <c r="N119" i="68"/>
  <c r="M119" i="68"/>
  <c r="L119" i="68"/>
  <c r="K119" i="68"/>
  <c r="J119" i="68"/>
  <c r="I119" i="68"/>
  <c r="H119" i="68"/>
  <c r="G119" i="68"/>
  <c r="F119" i="68"/>
  <c r="E119" i="68"/>
  <c r="D119" i="68"/>
  <c r="P118" i="68"/>
  <c r="N118" i="68"/>
  <c r="M118" i="68"/>
  <c r="L118" i="68"/>
  <c r="K118" i="68"/>
  <c r="J118" i="68"/>
  <c r="I118" i="68"/>
  <c r="H118" i="68"/>
  <c r="G118" i="68"/>
  <c r="F118" i="68"/>
  <c r="E118" i="68"/>
  <c r="D118" i="68"/>
  <c r="P117" i="68"/>
  <c r="N117" i="68"/>
  <c r="M117" i="68"/>
  <c r="L117" i="68"/>
  <c r="K117" i="68"/>
  <c r="J117" i="68"/>
  <c r="I117" i="68"/>
  <c r="H117" i="68"/>
  <c r="G117" i="68"/>
  <c r="F117" i="68"/>
  <c r="E117" i="68"/>
  <c r="D117" i="68"/>
  <c r="P116" i="68"/>
  <c r="N116" i="68"/>
  <c r="M116" i="68"/>
  <c r="L116" i="68"/>
  <c r="K116" i="68"/>
  <c r="J116" i="68"/>
  <c r="I116" i="68"/>
  <c r="H116" i="68"/>
  <c r="G116" i="68"/>
  <c r="F116" i="68"/>
  <c r="E116" i="68"/>
  <c r="D116" i="68"/>
  <c r="P115" i="68"/>
  <c r="N115" i="68"/>
  <c r="M115" i="68"/>
  <c r="L115" i="68"/>
  <c r="K115" i="68"/>
  <c r="J115" i="68"/>
  <c r="I115" i="68"/>
  <c r="H115" i="68"/>
  <c r="G115" i="68"/>
  <c r="F115" i="68"/>
  <c r="E115" i="68"/>
  <c r="D115" i="68"/>
  <c r="P114" i="68"/>
  <c r="N114" i="68"/>
  <c r="M114" i="68"/>
  <c r="L114" i="68"/>
  <c r="K114" i="68"/>
  <c r="J114" i="68"/>
  <c r="I114" i="68"/>
  <c r="H114" i="68"/>
  <c r="G114" i="68"/>
  <c r="F114" i="68"/>
  <c r="E114" i="68"/>
  <c r="D114" i="68"/>
  <c r="P113" i="68"/>
  <c r="N113" i="68"/>
  <c r="M113" i="68"/>
  <c r="L113" i="68"/>
  <c r="K113" i="68"/>
  <c r="J113" i="68"/>
  <c r="I113" i="68"/>
  <c r="H113" i="68"/>
  <c r="G113" i="68"/>
  <c r="F113" i="68"/>
  <c r="E113" i="68"/>
  <c r="D113" i="68"/>
  <c r="P112" i="68"/>
  <c r="N112" i="68"/>
  <c r="M112" i="68"/>
  <c r="L112" i="68"/>
  <c r="K112" i="68"/>
  <c r="J112" i="68"/>
  <c r="I112" i="68"/>
  <c r="H112" i="68"/>
  <c r="G112" i="68"/>
  <c r="F112" i="68"/>
  <c r="E112" i="68"/>
  <c r="D112" i="68"/>
  <c r="P111" i="68"/>
  <c r="N111" i="68"/>
  <c r="M111" i="68"/>
  <c r="L111" i="68"/>
  <c r="K111" i="68"/>
  <c r="J111" i="68"/>
  <c r="I111" i="68"/>
  <c r="H111" i="68"/>
  <c r="G111" i="68"/>
  <c r="F111" i="68"/>
  <c r="E111" i="68"/>
  <c r="D111" i="68"/>
  <c r="P110" i="68"/>
  <c r="N110" i="68"/>
  <c r="M110" i="68"/>
  <c r="L110" i="68"/>
  <c r="K110" i="68"/>
  <c r="J110" i="68"/>
  <c r="I110" i="68"/>
  <c r="H110" i="68"/>
  <c r="G110" i="68"/>
  <c r="F110" i="68"/>
  <c r="E110" i="68"/>
  <c r="D110" i="68"/>
  <c r="P109" i="68"/>
  <c r="N109" i="68"/>
  <c r="M109" i="68"/>
  <c r="L109" i="68"/>
  <c r="K109" i="68"/>
  <c r="J109" i="68"/>
  <c r="I109" i="68"/>
  <c r="H109" i="68"/>
  <c r="G109" i="68"/>
  <c r="F109" i="68"/>
  <c r="E109" i="68"/>
  <c r="D109" i="68"/>
  <c r="P108" i="68"/>
  <c r="N108" i="68"/>
  <c r="M108" i="68"/>
  <c r="L108" i="68"/>
  <c r="K108" i="68"/>
  <c r="J108" i="68"/>
  <c r="I108" i="68"/>
  <c r="H108" i="68"/>
  <c r="G108" i="68"/>
  <c r="F108" i="68"/>
  <c r="E108" i="68"/>
  <c r="D108" i="68"/>
  <c r="P107" i="68"/>
  <c r="N107" i="68"/>
  <c r="M107" i="68"/>
  <c r="L107" i="68"/>
  <c r="K107" i="68"/>
  <c r="J107" i="68"/>
  <c r="I107" i="68"/>
  <c r="H107" i="68"/>
  <c r="G107" i="68"/>
  <c r="F107" i="68"/>
  <c r="E107" i="68"/>
  <c r="D107" i="68"/>
  <c r="P106" i="68"/>
  <c r="N106" i="68"/>
  <c r="M106" i="68"/>
  <c r="L106" i="68"/>
  <c r="K106" i="68"/>
  <c r="J106" i="68"/>
  <c r="I106" i="68"/>
  <c r="H106" i="68"/>
  <c r="G106" i="68"/>
  <c r="F106" i="68"/>
  <c r="E106" i="68"/>
  <c r="D106" i="68"/>
  <c r="P105" i="68"/>
  <c r="N105" i="68"/>
  <c r="M105" i="68"/>
  <c r="L105" i="68"/>
  <c r="K105" i="68"/>
  <c r="J105" i="68"/>
  <c r="I105" i="68"/>
  <c r="H105" i="68"/>
  <c r="G105" i="68"/>
  <c r="F105" i="68"/>
  <c r="E105" i="68"/>
  <c r="D105" i="68"/>
  <c r="P104" i="68"/>
  <c r="N104" i="68"/>
  <c r="M104" i="68"/>
  <c r="L104" i="68"/>
  <c r="K104" i="68"/>
  <c r="J104" i="68"/>
  <c r="I104" i="68"/>
  <c r="H104" i="68"/>
  <c r="G104" i="68"/>
  <c r="F104" i="68"/>
  <c r="E104" i="68"/>
  <c r="D104" i="68"/>
  <c r="P103" i="68"/>
  <c r="N103" i="68"/>
  <c r="M103" i="68"/>
  <c r="L103" i="68"/>
  <c r="K103" i="68"/>
  <c r="J103" i="68"/>
  <c r="I103" i="68"/>
  <c r="H103" i="68"/>
  <c r="G103" i="68"/>
  <c r="F103" i="68"/>
  <c r="E103" i="68"/>
  <c r="D103" i="68"/>
  <c r="P102" i="68"/>
  <c r="N102" i="68"/>
  <c r="M102" i="68"/>
  <c r="L102" i="68"/>
  <c r="K102" i="68"/>
  <c r="J102" i="68"/>
  <c r="I102" i="68"/>
  <c r="H102" i="68"/>
  <c r="G102" i="68"/>
  <c r="F102" i="68"/>
  <c r="E102" i="68"/>
  <c r="D102" i="68"/>
  <c r="P101" i="68"/>
  <c r="N101" i="68"/>
  <c r="M101" i="68"/>
  <c r="L101" i="68"/>
  <c r="K101" i="68"/>
  <c r="J101" i="68"/>
  <c r="I101" i="68"/>
  <c r="H101" i="68"/>
  <c r="G101" i="68"/>
  <c r="F101" i="68"/>
  <c r="E101" i="68"/>
  <c r="D101" i="68"/>
  <c r="P100" i="68"/>
  <c r="N100" i="68"/>
  <c r="M100" i="68"/>
  <c r="L100" i="68"/>
  <c r="K100" i="68"/>
  <c r="J100" i="68"/>
  <c r="I100" i="68"/>
  <c r="H100" i="68"/>
  <c r="G100" i="68"/>
  <c r="F100" i="68"/>
  <c r="E100" i="68"/>
  <c r="D100" i="68"/>
  <c r="P99" i="68"/>
  <c r="N99" i="68"/>
  <c r="M99" i="68"/>
  <c r="L99" i="68"/>
  <c r="K99" i="68"/>
  <c r="J99" i="68"/>
  <c r="I99" i="68"/>
  <c r="H99" i="68"/>
  <c r="G99" i="68"/>
  <c r="F99" i="68"/>
  <c r="E99" i="68"/>
  <c r="D99" i="68"/>
  <c r="P98" i="68"/>
  <c r="N98" i="68"/>
  <c r="M98" i="68"/>
  <c r="L98" i="68"/>
  <c r="K98" i="68"/>
  <c r="J98" i="68"/>
  <c r="I98" i="68"/>
  <c r="H98" i="68"/>
  <c r="G98" i="68"/>
  <c r="F98" i="68"/>
  <c r="E98" i="68"/>
  <c r="D98" i="68"/>
  <c r="P97" i="68"/>
  <c r="N97" i="68"/>
  <c r="M97" i="68"/>
  <c r="L97" i="68"/>
  <c r="K97" i="68"/>
  <c r="J97" i="68"/>
  <c r="I97" i="68"/>
  <c r="H97" i="68"/>
  <c r="G97" i="68"/>
  <c r="F97" i="68"/>
  <c r="E97" i="68"/>
  <c r="D97" i="68"/>
  <c r="P96" i="68"/>
  <c r="N96" i="68"/>
  <c r="M96" i="68"/>
  <c r="L96" i="68"/>
  <c r="K96" i="68"/>
  <c r="J96" i="68"/>
  <c r="I96" i="68"/>
  <c r="H96" i="68"/>
  <c r="G96" i="68"/>
  <c r="F96" i="68"/>
  <c r="E96" i="68"/>
  <c r="D96" i="68"/>
  <c r="P95" i="68"/>
  <c r="N95" i="68"/>
  <c r="M95" i="68"/>
  <c r="L95" i="68"/>
  <c r="K95" i="68"/>
  <c r="J95" i="68"/>
  <c r="I95" i="68"/>
  <c r="H95" i="68"/>
  <c r="G95" i="68"/>
  <c r="F95" i="68"/>
  <c r="E95" i="68"/>
  <c r="D95" i="68"/>
  <c r="P94" i="68"/>
  <c r="N94" i="68"/>
  <c r="M94" i="68"/>
  <c r="L94" i="68"/>
  <c r="K94" i="68"/>
  <c r="J94" i="68"/>
  <c r="I94" i="68"/>
  <c r="H94" i="68"/>
  <c r="G94" i="68"/>
  <c r="F94" i="68"/>
  <c r="E94" i="68"/>
  <c r="D94" i="68"/>
  <c r="P93" i="68"/>
  <c r="N93" i="68"/>
  <c r="M93" i="68"/>
  <c r="L93" i="68"/>
  <c r="K93" i="68"/>
  <c r="J93" i="68"/>
  <c r="I93" i="68"/>
  <c r="H93" i="68"/>
  <c r="G93" i="68"/>
  <c r="F93" i="68"/>
  <c r="E93" i="68"/>
  <c r="D93" i="68"/>
  <c r="P92" i="68"/>
  <c r="N92" i="68"/>
  <c r="M92" i="68"/>
  <c r="L92" i="68"/>
  <c r="K92" i="68"/>
  <c r="J92" i="68"/>
  <c r="I92" i="68"/>
  <c r="H92" i="68"/>
  <c r="G92" i="68"/>
  <c r="F92" i="68"/>
  <c r="E92" i="68"/>
  <c r="D92" i="68"/>
  <c r="P91" i="68"/>
  <c r="N91" i="68"/>
  <c r="M91" i="68"/>
  <c r="L91" i="68"/>
  <c r="K91" i="68"/>
  <c r="J91" i="68"/>
  <c r="I91" i="68"/>
  <c r="H91" i="68"/>
  <c r="G91" i="68"/>
  <c r="F91" i="68"/>
  <c r="E91" i="68"/>
  <c r="D91" i="68"/>
  <c r="P90" i="68"/>
  <c r="N90" i="68"/>
  <c r="M90" i="68"/>
  <c r="L90" i="68"/>
  <c r="K90" i="68"/>
  <c r="J90" i="68"/>
  <c r="I90" i="68"/>
  <c r="H90" i="68"/>
  <c r="G90" i="68"/>
  <c r="F90" i="68"/>
  <c r="E90" i="68"/>
  <c r="D90" i="68"/>
  <c r="P89" i="68"/>
  <c r="N89" i="68"/>
  <c r="M89" i="68"/>
  <c r="L89" i="68"/>
  <c r="K89" i="68"/>
  <c r="J89" i="68"/>
  <c r="I89" i="68"/>
  <c r="H89" i="68"/>
  <c r="G89" i="68"/>
  <c r="F89" i="68"/>
  <c r="E89" i="68"/>
  <c r="D89" i="68"/>
  <c r="P88" i="68"/>
  <c r="N88" i="68"/>
  <c r="M88" i="68"/>
  <c r="L88" i="68"/>
  <c r="K88" i="68"/>
  <c r="J88" i="68"/>
  <c r="I88" i="68"/>
  <c r="H88" i="68"/>
  <c r="G88" i="68"/>
  <c r="F88" i="68"/>
  <c r="E88" i="68"/>
  <c r="D88" i="68"/>
  <c r="P87" i="68"/>
  <c r="N87" i="68"/>
  <c r="M87" i="68"/>
  <c r="L87" i="68"/>
  <c r="K87" i="68"/>
  <c r="J87" i="68"/>
  <c r="I87" i="68"/>
  <c r="H87" i="68"/>
  <c r="G87" i="68"/>
  <c r="F87" i="68"/>
  <c r="E87" i="68"/>
  <c r="D87" i="68"/>
  <c r="P86" i="68"/>
  <c r="N86" i="68"/>
  <c r="M86" i="68"/>
  <c r="L86" i="68"/>
  <c r="K86" i="68"/>
  <c r="J86" i="68"/>
  <c r="I86" i="68"/>
  <c r="H86" i="68"/>
  <c r="G86" i="68"/>
  <c r="F86" i="68"/>
  <c r="E86" i="68"/>
  <c r="D86" i="68"/>
  <c r="P85" i="68"/>
  <c r="N85" i="68"/>
  <c r="M85" i="68"/>
  <c r="L85" i="68"/>
  <c r="K85" i="68"/>
  <c r="J85" i="68"/>
  <c r="I85" i="68"/>
  <c r="H85" i="68"/>
  <c r="G85" i="68"/>
  <c r="F85" i="68"/>
  <c r="E85" i="68"/>
  <c r="D85" i="68"/>
  <c r="P84" i="68"/>
  <c r="N84" i="68"/>
  <c r="M84" i="68"/>
  <c r="L84" i="68"/>
  <c r="K84" i="68"/>
  <c r="J84" i="68"/>
  <c r="I84" i="68"/>
  <c r="H84" i="68"/>
  <c r="G84" i="68"/>
  <c r="F84" i="68"/>
  <c r="E84" i="68"/>
  <c r="D84" i="68"/>
  <c r="P83" i="68"/>
  <c r="N83" i="68"/>
  <c r="M83" i="68"/>
  <c r="L83" i="68"/>
  <c r="K83" i="68"/>
  <c r="J83" i="68"/>
  <c r="I83" i="68"/>
  <c r="H83" i="68"/>
  <c r="G83" i="68"/>
  <c r="F83" i="68"/>
  <c r="E83" i="68"/>
  <c r="D83" i="68"/>
  <c r="P82" i="68"/>
  <c r="N82" i="68"/>
  <c r="M82" i="68"/>
  <c r="L82" i="68"/>
  <c r="K82" i="68"/>
  <c r="J82" i="68"/>
  <c r="I82" i="68"/>
  <c r="H82" i="68"/>
  <c r="G82" i="68"/>
  <c r="F82" i="68"/>
  <c r="E82" i="68"/>
  <c r="D82" i="68"/>
  <c r="P81" i="68"/>
  <c r="N81" i="68"/>
  <c r="M81" i="68"/>
  <c r="L81" i="68"/>
  <c r="K81" i="68"/>
  <c r="J81" i="68"/>
  <c r="I81" i="68"/>
  <c r="H81" i="68"/>
  <c r="G81" i="68"/>
  <c r="F81" i="68"/>
  <c r="E81" i="68"/>
  <c r="D81" i="68"/>
  <c r="P80" i="68"/>
  <c r="N80" i="68"/>
  <c r="M80" i="68"/>
  <c r="L80" i="68"/>
  <c r="K80" i="68"/>
  <c r="J80" i="68"/>
  <c r="I80" i="68"/>
  <c r="H80" i="68"/>
  <c r="G80" i="68"/>
  <c r="F80" i="68"/>
  <c r="E80" i="68"/>
  <c r="D80" i="68"/>
  <c r="P79" i="68"/>
  <c r="N79" i="68"/>
  <c r="M79" i="68"/>
  <c r="L79" i="68"/>
  <c r="K79" i="68"/>
  <c r="J79" i="68"/>
  <c r="I79" i="68"/>
  <c r="H79" i="68"/>
  <c r="G79" i="68"/>
  <c r="F79" i="68"/>
  <c r="E79" i="68"/>
  <c r="D79" i="68"/>
  <c r="P78" i="68"/>
  <c r="N78" i="68"/>
  <c r="M78" i="68"/>
  <c r="L78" i="68"/>
  <c r="K78" i="68"/>
  <c r="J78" i="68"/>
  <c r="I78" i="68"/>
  <c r="H78" i="68"/>
  <c r="G78" i="68"/>
  <c r="F78" i="68"/>
  <c r="E78" i="68"/>
  <c r="D78" i="68"/>
  <c r="P77" i="68"/>
  <c r="N77" i="68"/>
  <c r="M77" i="68"/>
  <c r="L77" i="68"/>
  <c r="K77" i="68"/>
  <c r="J77" i="68"/>
  <c r="I77" i="68"/>
  <c r="H77" i="68"/>
  <c r="G77" i="68"/>
  <c r="F77" i="68"/>
  <c r="E77" i="68"/>
  <c r="D77" i="68"/>
  <c r="P76" i="68"/>
  <c r="N76" i="68"/>
  <c r="M76" i="68"/>
  <c r="L76" i="68"/>
  <c r="K76" i="68"/>
  <c r="J76" i="68"/>
  <c r="I76" i="68"/>
  <c r="H76" i="68"/>
  <c r="G76" i="68"/>
  <c r="F76" i="68"/>
  <c r="E76" i="68"/>
  <c r="D76" i="68"/>
  <c r="P75" i="68"/>
  <c r="N75" i="68"/>
  <c r="M75" i="68"/>
  <c r="L75" i="68"/>
  <c r="K75" i="68"/>
  <c r="J75" i="68"/>
  <c r="I75" i="68"/>
  <c r="H75" i="68"/>
  <c r="G75" i="68"/>
  <c r="F75" i="68"/>
  <c r="E75" i="68"/>
  <c r="D75" i="68"/>
  <c r="P74" i="68"/>
  <c r="N74" i="68"/>
  <c r="M74" i="68"/>
  <c r="L74" i="68"/>
  <c r="K74" i="68"/>
  <c r="J74" i="68"/>
  <c r="I74" i="68"/>
  <c r="H74" i="68"/>
  <c r="G74" i="68"/>
  <c r="F74" i="68"/>
  <c r="E74" i="68"/>
  <c r="D74" i="68"/>
  <c r="P73" i="68"/>
  <c r="N73" i="68"/>
  <c r="M73" i="68"/>
  <c r="L73" i="68"/>
  <c r="K73" i="68"/>
  <c r="J73" i="68"/>
  <c r="I73" i="68"/>
  <c r="H73" i="68"/>
  <c r="G73" i="68"/>
  <c r="F73" i="68"/>
  <c r="E73" i="68"/>
  <c r="D73" i="68"/>
  <c r="P72" i="68"/>
  <c r="N72" i="68"/>
  <c r="M72" i="68"/>
  <c r="L72" i="68"/>
  <c r="K72" i="68"/>
  <c r="J72" i="68"/>
  <c r="I72" i="68"/>
  <c r="H72" i="68"/>
  <c r="G72" i="68"/>
  <c r="F72" i="68"/>
  <c r="E72" i="68"/>
  <c r="D72" i="68"/>
  <c r="P71" i="68"/>
  <c r="N71" i="68"/>
  <c r="M71" i="68"/>
  <c r="L71" i="68"/>
  <c r="K71" i="68"/>
  <c r="J71" i="68"/>
  <c r="I71" i="68"/>
  <c r="H71" i="68"/>
  <c r="G71" i="68"/>
  <c r="F71" i="68"/>
  <c r="E71" i="68"/>
  <c r="D71" i="68"/>
  <c r="P70" i="68"/>
  <c r="N70" i="68"/>
  <c r="M70" i="68"/>
  <c r="L70" i="68"/>
  <c r="K70" i="68"/>
  <c r="J70" i="68"/>
  <c r="I70" i="68"/>
  <c r="H70" i="68"/>
  <c r="G70" i="68"/>
  <c r="F70" i="68"/>
  <c r="E70" i="68"/>
  <c r="D70" i="68"/>
  <c r="P69" i="68"/>
  <c r="N69" i="68"/>
  <c r="M69" i="68"/>
  <c r="L69" i="68"/>
  <c r="K69" i="68"/>
  <c r="J69" i="68"/>
  <c r="I69" i="68"/>
  <c r="H69" i="68"/>
  <c r="G69" i="68"/>
  <c r="F69" i="68"/>
  <c r="E69" i="68"/>
  <c r="D69" i="68"/>
  <c r="P68" i="68"/>
  <c r="N68" i="68"/>
  <c r="M68" i="68"/>
  <c r="L68" i="68"/>
  <c r="K68" i="68"/>
  <c r="J68" i="68"/>
  <c r="I68" i="68"/>
  <c r="H68" i="68"/>
  <c r="G68" i="68"/>
  <c r="F68" i="68"/>
  <c r="E68" i="68"/>
  <c r="D68" i="68"/>
  <c r="P67" i="68"/>
  <c r="N67" i="68"/>
  <c r="M67" i="68"/>
  <c r="L67" i="68"/>
  <c r="K67" i="68"/>
  <c r="J67" i="68"/>
  <c r="I67" i="68"/>
  <c r="H67" i="68"/>
  <c r="G67" i="68"/>
  <c r="F67" i="68"/>
  <c r="E67" i="68"/>
  <c r="D67" i="68"/>
  <c r="P66" i="68"/>
  <c r="N66" i="68"/>
  <c r="M66" i="68"/>
  <c r="L66" i="68"/>
  <c r="K66" i="68"/>
  <c r="J66" i="68"/>
  <c r="I66" i="68"/>
  <c r="H66" i="68"/>
  <c r="G66" i="68"/>
  <c r="F66" i="68"/>
  <c r="E66" i="68"/>
  <c r="D66" i="68"/>
  <c r="P65" i="68"/>
  <c r="N65" i="68"/>
  <c r="M65" i="68"/>
  <c r="L65" i="68"/>
  <c r="K65" i="68"/>
  <c r="J65" i="68"/>
  <c r="I65" i="68"/>
  <c r="H65" i="68"/>
  <c r="G65" i="68"/>
  <c r="F65" i="68"/>
  <c r="E65" i="68"/>
  <c r="D65" i="68"/>
  <c r="P64" i="68"/>
  <c r="N64" i="68"/>
  <c r="M64" i="68"/>
  <c r="L64" i="68"/>
  <c r="K64" i="68"/>
  <c r="J64" i="68"/>
  <c r="I64" i="68"/>
  <c r="H64" i="68"/>
  <c r="G64" i="68"/>
  <c r="F64" i="68"/>
  <c r="E64" i="68"/>
  <c r="D64" i="68"/>
  <c r="P63" i="68"/>
  <c r="N63" i="68"/>
  <c r="M63" i="68"/>
  <c r="L63" i="68"/>
  <c r="K63" i="68"/>
  <c r="J63" i="68"/>
  <c r="I63" i="68"/>
  <c r="H63" i="68"/>
  <c r="G63" i="68"/>
  <c r="F63" i="68"/>
  <c r="E63" i="68"/>
  <c r="D63" i="68"/>
  <c r="P62" i="68"/>
  <c r="N62" i="68"/>
  <c r="M62" i="68"/>
  <c r="L62" i="68"/>
  <c r="K62" i="68"/>
  <c r="J62" i="68"/>
  <c r="I62" i="68"/>
  <c r="H62" i="68"/>
  <c r="G62" i="68"/>
  <c r="F62" i="68"/>
  <c r="E62" i="68"/>
  <c r="D62" i="68"/>
  <c r="P61" i="68"/>
  <c r="N61" i="68"/>
  <c r="M61" i="68"/>
  <c r="L61" i="68"/>
  <c r="K61" i="68"/>
  <c r="J61" i="68"/>
  <c r="I61" i="68"/>
  <c r="H61" i="68"/>
  <c r="G61" i="68"/>
  <c r="F61" i="68"/>
  <c r="E61" i="68"/>
  <c r="D61" i="68"/>
  <c r="P60" i="68"/>
  <c r="N60" i="68"/>
  <c r="M60" i="68"/>
  <c r="L60" i="68"/>
  <c r="K60" i="68"/>
  <c r="J60" i="68"/>
  <c r="I60" i="68"/>
  <c r="H60" i="68"/>
  <c r="G60" i="68"/>
  <c r="F60" i="68"/>
  <c r="E60" i="68"/>
  <c r="D60" i="68"/>
  <c r="P59" i="68"/>
  <c r="N59" i="68"/>
  <c r="M59" i="68"/>
  <c r="L59" i="68"/>
  <c r="K59" i="68"/>
  <c r="J59" i="68"/>
  <c r="I59" i="68"/>
  <c r="H59" i="68"/>
  <c r="G59" i="68"/>
  <c r="F59" i="68"/>
  <c r="E59" i="68"/>
  <c r="D59" i="68"/>
  <c r="P58" i="68"/>
  <c r="N58" i="68"/>
  <c r="M58" i="68"/>
  <c r="L58" i="68"/>
  <c r="K58" i="68"/>
  <c r="J58" i="68"/>
  <c r="I58" i="68"/>
  <c r="H58" i="68"/>
  <c r="G58" i="68"/>
  <c r="F58" i="68"/>
  <c r="E58" i="68"/>
  <c r="D58" i="68"/>
  <c r="P57" i="68"/>
  <c r="N57" i="68"/>
  <c r="M57" i="68"/>
  <c r="L57" i="68"/>
  <c r="K57" i="68"/>
  <c r="J57" i="68"/>
  <c r="I57" i="68"/>
  <c r="H57" i="68"/>
  <c r="G57" i="68"/>
  <c r="F57" i="68"/>
  <c r="E57" i="68"/>
  <c r="D57" i="68"/>
  <c r="P56" i="68"/>
  <c r="N56" i="68"/>
  <c r="M56" i="68"/>
  <c r="L56" i="68"/>
  <c r="K56" i="68"/>
  <c r="J56" i="68"/>
  <c r="I56" i="68"/>
  <c r="H56" i="68"/>
  <c r="G56" i="68"/>
  <c r="F56" i="68"/>
  <c r="E56" i="68"/>
  <c r="D56" i="68"/>
  <c r="P55" i="68"/>
  <c r="N55" i="68"/>
  <c r="M55" i="68"/>
  <c r="L55" i="68"/>
  <c r="K55" i="68"/>
  <c r="J55" i="68"/>
  <c r="I55" i="68"/>
  <c r="H55" i="68"/>
  <c r="G55" i="68"/>
  <c r="F55" i="68"/>
  <c r="E55" i="68"/>
  <c r="D55" i="68"/>
  <c r="P54" i="68"/>
  <c r="N54" i="68"/>
  <c r="M54" i="68"/>
  <c r="L54" i="68"/>
  <c r="K54" i="68"/>
  <c r="J54" i="68"/>
  <c r="I54" i="68"/>
  <c r="H54" i="68"/>
  <c r="G54" i="68"/>
  <c r="F54" i="68"/>
  <c r="E54" i="68"/>
  <c r="D54" i="68"/>
  <c r="P53" i="68"/>
  <c r="N53" i="68"/>
  <c r="M53" i="68"/>
  <c r="L53" i="68"/>
  <c r="K53" i="68"/>
  <c r="J53" i="68"/>
  <c r="I53" i="68"/>
  <c r="H53" i="68"/>
  <c r="G53" i="68"/>
  <c r="F53" i="68"/>
  <c r="E53" i="68"/>
  <c r="D53" i="68"/>
  <c r="P52" i="68"/>
  <c r="N52" i="68"/>
  <c r="M52" i="68"/>
  <c r="L52" i="68"/>
  <c r="K52" i="68"/>
  <c r="J52" i="68"/>
  <c r="I52" i="68"/>
  <c r="H52" i="68"/>
  <c r="G52" i="68"/>
  <c r="F52" i="68"/>
  <c r="E52" i="68"/>
  <c r="D52" i="68"/>
  <c r="P51" i="68"/>
  <c r="N51" i="68"/>
  <c r="M51" i="68"/>
  <c r="L51" i="68"/>
  <c r="K51" i="68"/>
  <c r="J51" i="68"/>
  <c r="I51" i="68"/>
  <c r="H51" i="68"/>
  <c r="G51" i="68"/>
  <c r="F51" i="68"/>
  <c r="E51" i="68"/>
  <c r="D51" i="68"/>
  <c r="P50" i="68"/>
  <c r="N50" i="68"/>
  <c r="M50" i="68"/>
  <c r="L50" i="68"/>
  <c r="K50" i="68"/>
  <c r="J50" i="68"/>
  <c r="I50" i="68"/>
  <c r="H50" i="68"/>
  <c r="G50" i="68"/>
  <c r="F50" i="68"/>
  <c r="E50" i="68"/>
  <c r="D50" i="68"/>
  <c r="P49" i="68"/>
  <c r="N49" i="68"/>
  <c r="M49" i="68"/>
  <c r="L49" i="68"/>
  <c r="K49" i="68"/>
  <c r="J49" i="68"/>
  <c r="I49" i="68"/>
  <c r="H49" i="68"/>
  <c r="G49" i="68"/>
  <c r="F49" i="68"/>
  <c r="E49" i="68"/>
  <c r="D49" i="68"/>
  <c r="P48" i="68"/>
  <c r="N48" i="68"/>
  <c r="M48" i="68"/>
  <c r="L48" i="68"/>
  <c r="K48" i="68"/>
  <c r="J48" i="68"/>
  <c r="I48" i="68"/>
  <c r="H48" i="68"/>
  <c r="G48" i="68"/>
  <c r="F48" i="68"/>
  <c r="E48" i="68"/>
  <c r="D48" i="68"/>
  <c r="P47" i="68"/>
  <c r="N47" i="68"/>
  <c r="M47" i="68"/>
  <c r="L47" i="68"/>
  <c r="K47" i="68"/>
  <c r="J47" i="68"/>
  <c r="I47" i="68"/>
  <c r="H47" i="68"/>
  <c r="G47" i="68"/>
  <c r="F47" i="68"/>
  <c r="E47" i="68"/>
  <c r="D47" i="68"/>
  <c r="P46" i="68"/>
  <c r="N46" i="68"/>
  <c r="M46" i="68"/>
  <c r="L46" i="68"/>
  <c r="K46" i="68"/>
  <c r="J46" i="68"/>
  <c r="I46" i="68"/>
  <c r="H46" i="68"/>
  <c r="G46" i="68"/>
  <c r="F46" i="68"/>
  <c r="E46" i="68"/>
  <c r="D46" i="68"/>
  <c r="P45" i="68"/>
  <c r="N45" i="68"/>
  <c r="M45" i="68"/>
  <c r="L45" i="68"/>
  <c r="K45" i="68"/>
  <c r="J45" i="68"/>
  <c r="I45" i="68"/>
  <c r="H45" i="68"/>
  <c r="G45" i="68"/>
  <c r="F45" i="68"/>
  <c r="E45" i="68"/>
  <c r="D45" i="68"/>
  <c r="P44" i="68"/>
  <c r="N44" i="68"/>
  <c r="M44" i="68"/>
  <c r="L44" i="68"/>
  <c r="K44" i="68"/>
  <c r="J44" i="68"/>
  <c r="I44" i="68"/>
  <c r="H44" i="68"/>
  <c r="G44" i="68"/>
  <c r="F44" i="68"/>
  <c r="E44" i="68"/>
  <c r="D44" i="68"/>
  <c r="P43" i="68"/>
  <c r="N43" i="68"/>
  <c r="M43" i="68"/>
  <c r="L43" i="68"/>
  <c r="K43" i="68"/>
  <c r="J43" i="68"/>
  <c r="I43" i="68"/>
  <c r="H43" i="68"/>
  <c r="G43" i="68"/>
  <c r="F43" i="68"/>
  <c r="E43" i="68"/>
  <c r="D43" i="68"/>
  <c r="P42" i="68"/>
  <c r="N42" i="68"/>
  <c r="M42" i="68"/>
  <c r="L42" i="68"/>
  <c r="K42" i="68"/>
  <c r="J42" i="68"/>
  <c r="I42" i="68"/>
  <c r="H42" i="68"/>
  <c r="G42" i="68"/>
  <c r="F42" i="68"/>
  <c r="E42" i="68"/>
  <c r="D42" i="68"/>
  <c r="P41" i="68"/>
  <c r="N41" i="68"/>
  <c r="M41" i="68"/>
  <c r="L41" i="68"/>
  <c r="K41" i="68"/>
  <c r="J41" i="68"/>
  <c r="I41" i="68"/>
  <c r="H41" i="68"/>
  <c r="G41" i="68"/>
  <c r="F41" i="68"/>
  <c r="E41" i="68"/>
  <c r="D41" i="68"/>
  <c r="P40" i="68"/>
  <c r="N40" i="68"/>
  <c r="M40" i="68"/>
  <c r="L40" i="68"/>
  <c r="K40" i="68"/>
  <c r="J40" i="68"/>
  <c r="I40" i="68"/>
  <c r="H40" i="68"/>
  <c r="G40" i="68"/>
  <c r="F40" i="68"/>
  <c r="E40" i="68"/>
  <c r="D40" i="68"/>
  <c r="P39" i="68"/>
  <c r="N39" i="68"/>
  <c r="M39" i="68"/>
  <c r="L39" i="68"/>
  <c r="K39" i="68"/>
  <c r="J39" i="68"/>
  <c r="I39" i="68"/>
  <c r="H39" i="68"/>
  <c r="G39" i="68"/>
  <c r="F39" i="68"/>
  <c r="E39" i="68"/>
  <c r="D39" i="68"/>
  <c r="P38" i="68"/>
  <c r="N38" i="68"/>
  <c r="M38" i="68"/>
  <c r="L38" i="68"/>
  <c r="K38" i="68"/>
  <c r="J38" i="68"/>
  <c r="I38" i="68"/>
  <c r="H38" i="68"/>
  <c r="G38" i="68"/>
  <c r="F38" i="68"/>
  <c r="E38" i="68"/>
  <c r="D38" i="68"/>
  <c r="P37" i="68"/>
  <c r="N37" i="68"/>
  <c r="M37" i="68"/>
  <c r="L37" i="68"/>
  <c r="K37" i="68"/>
  <c r="J37" i="68"/>
  <c r="I37" i="68"/>
  <c r="H37" i="68"/>
  <c r="G37" i="68"/>
  <c r="F37" i="68"/>
  <c r="E37" i="68"/>
  <c r="D37" i="68"/>
  <c r="P36" i="68"/>
  <c r="N36" i="68"/>
  <c r="M36" i="68"/>
  <c r="L36" i="68"/>
  <c r="K36" i="68"/>
  <c r="J36" i="68"/>
  <c r="I36" i="68"/>
  <c r="H36" i="68"/>
  <c r="G36" i="68"/>
  <c r="F36" i="68"/>
  <c r="E36" i="68"/>
  <c r="D36" i="68"/>
  <c r="P35" i="68"/>
  <c r="N35" i="68"/>
  <c r="M35" i="68"/>
  <c r="L35" i="68"/>
  <c r="K35" i="68"/>
  <c r="J35" i="68"/>
  <c r="I35" i="68"/>
  <c r="H35" i="68"/>
  <c r="G35" i="68"/>
  <c r="F35" i="68"/>
  <c r="E35" i="68"/>
  <c r="D35" i="68"/>
  <c r="P34" i="68"/>
  <c r="N34" i="68"/>
  <c r="M34" i="68"/>
  <c r="L34" i="68"/>
  <c r="K34" i="68"/>
  <c r="J34" i="68"/>
  <c r="I34" i="68"/>
  <c r="H34" i="68"/>
  <c r="G34" i="68"/>
  <c r="F34" i="68"/>
  <c r="E34" i="68"/>
  <c r="D34" i="68"/>
  <c r="P33" i="68"/>
  <c r="N33" i="68"/>
  <c r="M33" i="68"/>
  <c r="L33" i="68"/>
  <c r="K33" i="68"/>
  <c r="J33" i="68"/>
  <c r="I33" i="68"/>
  <c r="H33" i="68"/>
  <c r="G33" i="68"/>
  <c r="F33" i="68"/>
  <c r="E33" i="68"/>
  <c r="D33" i="68"/>
  <c r="P32" i="68"/>
  <c r="N32" i="68"/>
  <c r="M32" i="68"/>
  <c r="L32" i="68"/>
  <c r="K32" i="68"/>
  <c r="J32" i="68"/>
  <c r="I32" i="68"/>
  <c r="H32" i="68"/>
  <c r="G32" i="68"/>
  <c r="F32" i="68"/>
  <c r="E32" i="68"/>
  <c r="D32" i="68"/>
  <c r="P31" i="68"/>
  <c r="N31" i="68"/>
  <c r="M31" i="68"/>
  <c r="L31" i="68"/>
  <c r="K31" i="68"/>
  <c r="J31" i="68"/>
  <c r="I31" i="68"/>
  <c r="H31" i="68"/>
  <c r="G31" i="68"/>
  <c r="F31" i="68"/>
  <c r="E31" i="68"/>
  <c r="D31" i="68"/>
  <c r="P30" i="68"/>
  <c r="N30" i="68"/>
  <c r="M30" i="68"/>
  <c r="L30" i="68"/>
  <c r="K30" i="68"/>
  <c r="J30" i="68"/>
  <c r="I30" i="68"/>
  <c r="H30" i="68"/>
  <c r="G30" i="68"/>
  <c r="F30" i="68"/>
  <c r="E30" i="68"/>
  <c r="D30" i="68"/>
  <c r="P29" i="68"/>
  <c r="N29" i="68"/>
  <c r="M29" i="68"/>
  <c r="L29" i="68"/>
  <c r="K29" i="68"/>
  <c r="J29" i="68"/>
  <c r="I29" i="68"/>
  <c r="H29" i="68"/>
  <c r="G29" i="68"/>
  <c r="F29" i="68"/>
  <c r="E29" i="68"/>
  <c r="D29" i="68"/>
  <c r="P28" i="68"/>
  <c r="N28" i="68"/>
  <c r="M28" i="68"/>
  <c r="L28" i="68"/>
  <c r="K28" i="68"/>
  <c r="J28" i="68"/>
  <c r="I28" i="68"/>
  <c r="H28" i="68"/>
  <c r="G28" i="68"/>
  <c r="F28" i="68"/>
  <c r="E28" i="68"/>
  <c r="D28" i="68"/>
  <c r="P27" i="68"/>
  <c r="N27" i="68"/>
  <c r="M27" i="68"/>
  <c r="L27" i="68"/>
  <c r="K27" i="68"/>
  <c r="J27" i="68"/>
  <c r="I27" i="68"/>
  <c r="H27" i="68"/>
  <c r="G27" i="68"/>
  <c r="F27" i="68"/>
  <c r="E27" i="68"/>
  <c r="D27" i="68"/>
  <c r="P26" i="68"/>
  <c r="N26" i="68"/>
  <c r="M26" i="68"/>
  <c r="L26" i="68"/>
  <c r="K26" i="68"/>
  <c r="J26" i="68"/>
  <c r="I26" i="68"/>
  <c r="H26" i="68"/>
  <c r="G26" i="68"/>
  <c r="F26" i="68"/>
  <c r="E26" i="68"/>
  <c r="D26" i="68"/>
  <c r="P25" i="68"/>
  <c r="N25" i="68"/>
  <c r="M25" i="68"/>
  <c r="L25" i="68"/>
  <c r="K25" i="68"/>
  <c r="J25" i="68"/>
  <c r="I25" i="68"/>
  <c r="H25" i="68"/>
  <c r="G25" i="68"/>
  <c r="F25" i="68"/>
  <c r="E25" i="68"/>
  <c r="D25" i="68"/>
  <c r="P24" i="68"/>
  <c r="N24" i="68"/>
  <c r="M24" i="68"/>
  <c r="L24" i="68"/>
  <c r="K24" i="68"/>
  <c r="J24" i="68"/>
  <c r="I24" i="68"/>
  <c r="H24" i="68"/>
  <c r="G24" i="68"/>
  <c r="F24" i="68"/>
  <c r="E24" i="68"/>
  <c r="D24" i="68"/>
  <c r="P23" i="68"/>
  <c r="N23" i="68"/>
  <c r="M23" i="68"/>
  <c r="L23" i="68"/>
  <c r="K23" i="68"/>
  <c r="J23" i="68"/>
  <c r="I23" i="68"/>
  <c r="H23" i="68"/>
  <c r="G23" i="68"/>
  <c r="F23" i="68"/>
  <c r="E23" i="68"/>
  <c r="D23" i="68"/>
  <c r="P22" i="68"/>
  <c r="N22" i="68"/>
  <c r="M22" i="68"/>
  <c r="L22" i="68"/>
  <c r="K22" i="68"/>
  <c r="J22" i="68"/>
  <c r="I22" i="68"/>
  <c r="H22" i="68"/>
  <c r="G22" i="68"/>
  <c r="F22" i="68"/>
  <c r="E22" i="68"/>
  <c r="D22" i="68"/>
  <c r="N19" i="68"/>
  <c r="M19" i="68"/>
  <c r="L19" i="68"/>
  <c r="K19" i="68"/>
  <c r="J19" i="68"/>
  <c r="H19" i="68"/>
  <c r="G19" i="68"/>
  <c r="F19" i="68"/>
  <c r="E19" i="68"/>
  <c r="D19" i="68"/>
  <c r="P18" i="68"/>
  <c r="O18" i="68"/>
  <c r="N18" i="68"/>
  <c r="M18" i="68"/>
  <c r="L18" i="68"/>
  <c r="K18" i="68"/>
  <c r="J18" i="68"/>
  <c r="I18" i="68"/>
  <c r="H18" i="68"/>
  <c r="G18" i="68"/>
  <c r="F18" i="68"/>
  <c r="E18" i="68"/>
  <c r="D18" i="68"/>
  <c r="P17" i="68"/>
  <c r="P16" i="68"/>
  <c r="P15" i="68"/>
  <c r="P14" i="68"/>
  <c r="N13" i="68"/>
  <c r="M13" i="68"/>
  <c r="L13" i="68"/>
  <c r="K13" i="68"/>
  <c r="J13" i="68"/>
  <c r="H13" i="68"/>
  <c r="G13" i="68"/>
  <c r="F13" i="68"/>
  <c r="E13" i="68"/>
  <c r="D13" i="68"/>
  <c r="N12" i="68"/>
  <c r="M12" i="68"/>
  <c r="L12" i="68"/>
  <c r="K12" i="68"/>
  <c r="J12" i="68"/>
  <c r="I12" i="68"/>
  <c r="H12" i="68"/>
  <c r="G12" i="68"/>
  <c r="F12" i="68"/>
  <c r="E12" i="68"/>
  <c r="D12" i="68"/>
  <c r="N11" i="68"/>
  <c r="M11" i="68"/>
  <c r="L11" i="68"/>
  <c r="K11" i="68"/>
  <c r="J11" i="68"/>
  <c r="I11" i="68"/>
  <c r="P11" i="68" s="1"/>
  <c r="H11" i="68"/>
  <c r="G11" i="68"/>
  <c r="F11" i="68"/>
  <c r="E11" i="68"/>
  <c r="D11" i="68"/>
  <c r="P10" i="68"/>
  <c r="N10" i="68"/>
  <c r="M10" i="68"/>
  <c r="L10" i="68"/>
  <c r="K10" i="68"/>
  <c r="J10" i="68"/>
  <c r="I10" i="68"/>
  <c r="H10" i="68"/>
  <c r="G10" i="68"/>
  <c r="F10" i="68"/>
  <c r="E10" i="68"/>
  <c r="D10" i="68"/>
  <c r="N9" i="68"/>
  <c r="M9" i="68"/>
  <c r="L9" i="68"/>
  <c r="K9" i="68"/>
  <c r="J9" i="68"/>
  <c r="I9" i="68"/>
  <c r="P9" i="68" s="1"/>
  <c r="H9" i="68"/>
  <c r="G9" i="68"/>
  <c r="F9" i="68"/>
  <c r="E9" i="68"/>
  <c r="D9" i="68"/>
  <c r="O8" i="68"/>
  <c r="O13" i="68" s="1"/>
  <c r="N8" i="68"/>
  <c r="M8" i="68"/>
  <c r="L8" i="68"/>
  <c r="K8" i="68"/>
  <c r="J8" i="68"/>
  <c r="H8" i="68"/>
  <c r="G8" i="68"/>
  <c r="F8" i="68"/>
  <c r="E8" i="68"/>
  <c r="D8" i="68"/>
  <c r="N137" i="67"/>
  <c r="M137" i="67"/>
  <c r="L137" i="67"/>
  <c r="K137" i="67"/>
  <c r="J137" i="67"/>
  <c r="H137" i="67"/>
  <c r="G137" i="67"/>
  <c r="F137" i="67"/>
  <c r="E137" i="67"/>
  <c r="D137" i="67"/>
  <c r="N134" i="67"/>
  <c r="M134" i="67"/>
  <c r="L134" i="67"/>
  <c r="K134" i="67"/>
  <c r="J134" i="67"/>
  <c r="H134" i="67"/>
  <c r="G134" i="67"/>
  <c r="F134" i="67"/>
  <c r="E134" i="67"/>
  <c r="D134" i="67"/>
  <c r="O132" i="67"/>
  <c r="P132" i="67" s="1"/>
  <c r="N132" i="67"/>
  <c r="M132" i="67"/>
  <c r="L132" i="67"/>
  <c r="K132" i="67"/>
  <c r="J132" i="67"/>
  <c r="I132" i="67"/>
  <c r="H132" i="67"/>
  <c r="G132" i="67"/>
  <c r="F132" i="67"/>
  <c r="E132" i="67"/>
  <c r="D132" i="67"/>
  <c r="P131" i="67"/>
  <c r="N131" i="67"/>
  <c r="M131" i="67"/>
  <c r="L131" i="67"/>
  <c r="K131" i="67"/>
  <c r="J131" i="67"/>
  <c r="I131" i="67"/>
  <c r="H131" i="67"/>
  <c r="G131" i="67"/>
  <c r="F131" i="67"/>
  <c r="E131" i="67"/>
  <c r="D131" i="67"/>
  <c r="P130" i="67"/>
  <c r="N130" i="67"/>
  <c r="M130" i="67"/>
  <c r="L130" i="67"/>
  <c r="K130" i="67"/>
  <c r="J130" i="67"/>
  <c r="I130" i="67"/>
  <c r="H130" i="67"/>
  <c r="G130" i="67"/>
  <c r="F130" i="67"/>
  <c r="E130" i="67"/>
  <c r="D130" i="67"/>
  <c r="P129" i="67"/>
  <c r="N129" i="67"/>
  <c r="M129" i="67"/>
  <c r="L129" i="67"/>
  <c r="K129" i="67"/>
  <c r="J129" i="67"/>
  <c r="I129" i="67"/>
  <c r="H129" i="67"/>
  <c r="G129" i="67"/>
  <c r="F129" i="67"/>
  <c r="E129" i="67"/>
  <c r="D129" i="67"/>
  <c r="P128" i="67"/>
  <c r="N128" i="67"/>
  <c r="M128" i="67"/>
  <c r="L128" i="67"/>
  <c r="K128" i="67"/>
  <c r="J128" i="67"/>
  <c r="I128" i="67"/>
  <c r="H128" i="67"/>
  <c r="G128" i="67"/>
  <c r="F128" i="67"/>
  <c r="E128" i="67"/>
  <c r="D128" i="67"/>
  <c r="P127" i="67"/>
  <c r="N127" i="67"/>
  <c r="M127" i="67"/>
  <c r="L127" i="67"/>
  <c r="K127" i="67"/>
  <c r="J127" i="67"/>
  <c r="I127" i="67"/>
  <c r="H127" i="67"/>
  <c r="G127" i="67"/>
  <c r="F127" i="67"/>
  <c r="E127" i="67"/>
  <c r="D127" i="67"/>
  <c r="P126" i="67"/>
  <c r="N126" i="67"/>
  <c r="M126" i="67"/>
  <c r="L126" i="67"/>
  <c r="K126" i="67"/>
  <c r="J126" i="67"/>
  <c r="I126" i="67"/>
  <c r="H126" i="67"/>
  <c r="G126" i="67"/>
  <c r="F126" i="67"/>
  <c r="E126" i="67"/>
  <c r="D126" i="67"/>
  <c r="P125" i="67"/>
  <c r="N125" i="67"/>
  <c r="M125" i="67"/>
  <c r="L125" i="67"/>
  <c r="K125" i="67"/>
  <c r="J125" i="67"/>
  <c r="I125" i="67"/>
  <c r="H125" i="67"/>
  <c r="G125" i="67"/>
  <c r="F125" i="67"/>
  <c r="E125" i="67"/>
  <c r="D125" i="67"/>
  <c r="P124" i="67"/>
  <c r="N124" i="67"/>
  <c r="M124" i="67"/>
  <c r="L124" i="67"/>
  <c r="K124" i="67"/>
  <c r="J124" i="67"/>
  <c r="I124" i="67"/>
  <c r="H124" i="67"/>
  <c r="G124" i="67"/>
  <c r="F124" i="67"/>
  <c r="E124" i="67"/>
  <c r="D124" i="67"/>
  <c r="P123" i="67"/>
  <c r="N123" i="67"/>
  <c r="M123" i="67"/>
  <c r="L123" i="67"/>
  <c r="K123" i="67"/>
  <c r="J123" i="67"/>
  <c r="I123" i="67"/>
  <c r="H123" i="67"/>
  <c r="G123" i="67"/>
  <c r="F123" i="67"/>
  <c r="E123" i="67"/>
  <c r="D123" i="67"/>
  <c r="P122" i="67"/>
  <c r="N122" i="67"/>
  <c r="M122" i="67"/>
  <c r="L122" i="67"/>
  <c r="K122" i="67"/>
  <c r="J122" i="67"/>
  <c r="I122" i="67"/>
  <c r="H122" i="67"/>
  <c r="G122" i="67"/>
  <c r="F122" i="67"/>
  <c r="E122" i="67"/>
  <c r="D122" i="67"/>
  <c r="P121" i="67"/>
  <c r="N121" i="67"/>
  <c r="M121" i="67"/>
  <c r="L121" i="67"/>
  <c r="K121" i="67"/>
  <c r="J121" i="67"/>
  <c r="I121" i="67"/>
  <c r="H121" i="67"/>
  <c r="G121" i="67"/>
  <c r="F121" i="67"/>
  <c r="E121" i="67"/>
  <c r="D121" i="67"/>
  <c r="P120" i="67"/>
  <c r="N120" i="67"/>
  <c r="M120" i="67"/>
  <c r="L120" i="67"/>
  <c r="K120" i="67"/>
  <c r="J120" i="67"/>
  <c r="I120" i="67"/>
  <c r="H120" i="67"/>
  <c r="G120" i="67"/>
  <c r="F120" i="67"/>
  <c r="E120" i="67"/>
  <c r="D120" i="67"/>
  <c r="P119" i="67"/>
  <c r="N119" i="67"/>
  <c r="M119" i="67"/>
  <c r="L119" i="67"/>
  <c r="K119" i="67"/>
  <c r="J119" i="67"/>
  <c r="I119" i="67"/>
  <c r="H119" i="67"/>
  <c r="G119" i="67"/>
  <c r="F119" i="67"/>
  <c r="E119" i="67"/>
  <c r="D119" i="67"/>
  <c r="P118" i="67"/>
  <c r="N118" i="67"/>
  <c r="M118" i="67"/>
  <c r="L118" i="67"/>
  <c r="K118" i="67"/>
  <c r="J118" i="67"/>
  <c r="I118" i="67"/>
  <c r="H118" i="67"/>
  <c r="G118" i="67"/>
  <c r="F118" i="67"/>
  <c r="E118" i="67"/>
  <c r="D118" i="67"/>
  <c r="P117" i="67"/>
  <c r="N117" i="67"/>
  <c r="M117" i="67"/>
  <c r="L117" i="67"/>
  <c r="K117" i="67"/>
  <c r="J117" i="67"/>
  <c r="I117" i="67"/>
  <c r="H117" i="67"/>
  <c r="G117" i="67"/>
  <c r="F117" i="67"/>
  <c r="E117" i="67"/>
  <c r="D117" i="67"/>
  <c r="P116" i="67"/>
  <c r="N116" i="67"/>
  <c r="M116" i="67"/>
  <c r="L116" i="67"/>
  <c r="K116" i="67"/>
  <c r="J116" i="67"/>
  <c r="I116" i="67"/>
  <c r="H116" i="67"/>
  <c r="G116" i="67"/>
  <c r="F116" i="67"/>
  <c r="E116" i="67"/>
  <c r="D116" i="67"/>
  <c r="P115" i="67"/>
  <c r="N115" i="67"/>
  <c r="M115" i="67"/>
  <c r="L115" i="67"/>
  <c r="K115" i="67"/>
  <c r="J115" i="67"/>
  <c r="I115" i="67"/>
  <c r="H115" i="67"/>
  <c r="G115" i="67"/>
  <c r="F115" i="67"/>
  <c r="E115" i="67"/>
  <c r="D115" i="67"/>
  <c r="P114" i="67"/>
  <c r="N114" i="67"/>
  <c r="M114" i="67"/>
  <c r="L114" i="67"/>
  <c r="K114" i="67"/>
  <c r="J114" i="67"/>
  <c r="I114" i="67"/>
  <c r="H114" i="67"/>
  <c r="G114" i="67"/>
  <c r="F114" i="67"/>
  <c r="E114" i="67"/>
  <c r="D114" i="67"/>
  <c r="P113" i="67"/>
  <c r="N113" i="67"/>
  <c r="M113" i="67"/>
  <c r="L113" i="67"/>
  <c r="K113" i="67"/>
  <c r="J113" i="67"/>
  <c r="I113" i="67"/>
  <c r="H113" i="67"/>
  <c r="G113" i="67"/>
  <c r="F113" i="67"/>
  <c r="E113" i="67"/>
  <c r="D113" i="67"/>
  <c r="P112" i="67"/>
  <c r="N112" i="67"/>
  <c r="M112" i="67"/>
  <c r="L112" i="67"/>
  <c r="K112" i="67"/>
  <c r="J112" i="67"/>
  <c r="I112" i="67"/>
  <c r="H112" i="67"/>
  <c r="G112" i="67"/>
  <c r="F112" i="67"/>
  <c r="E112" i="67"/>
  <c r="D112" i="67"/>
  <c r="P111" i="67"/>
  <c r="N111" i="67"/>
  <c r="M111" i="67"/>
  <c r="L111" i="67"/>
  <c r="K111" i="67"/>
  <c r="J111" i="67"/>
  <c r="I111" i="67"/>
  <c r="H111" i="67"/>
  <c r="G111" i="67"/>
  <c r="F111" i="67"/>
  <c r="E111" i="67"/>
  <c r="D111" i="67"/>
  <c r="P110" i="67"/>
  <c r="N110" i="67"/>
  <c r="M110" i="67"/>
  <c r="L110" i="67"/>
  <c r="K110" i="67"/>
  <c r="J110" i="67"/>
  <c r="I110" i="67"/>
  <c r="H110" i="67"/>
  <c r="G110" i="67"/>
  <c r="F110" i="67"/>
  <c r="E110" i="67"/>
  <c r="D110" i="67"/>
  <c r="P109" i="67"/>
  <c r="N109" i="67"/>
  <c r="M109" i="67"/>
  <c r="L109" i="67"/>
  <c r="K109" i="67"/>
  <c r="J109" i="67"/>
  <c r="I109" i="67"/>
  <c r="H109" i="67"/>
  <c r="G109" i="67"/>
  <c r="F109" i="67"/>
  <c r="E109" i="67"/>
  <c r="D109" i="67"/>
  <c r="P108" i="67"/>
  <c r="N108" i="67"/>
  <c r="M108" i="67"/>
  <c r="L108" i="67"/>
  <c r="K108" i="67"/>
  <c r="J108" i="67"/>
  <c r="I108" i="67"/>
  <c r="H108" i="67"/>
  <c r="G108" i="67"/>
  <c r="F108" i="67"/>
  <c r="E108" i="67"/>
  <c r="D108" i="67"/>
  <c r="P107" i="67"/>
  <c r="N107" i="67"/>
  <c r="M107" i="67"/>
  <c r="L107" i="67"/>
  <c r="K107" i="67"/>
  <c r="J107" i="67"/>
  <c r="I107" i="67"/>
  <c r="H107" i="67"/>
  <c r="G107" i="67"/>
  <c r="F107" i="67"/>
  <c r="E107" i="67"/>
  <c r="D107" i="67"/>
  <c r="P106" i="67"/>
  <c r="N106" i="67"/>
  <c r="M106" i="67"/>
  <c r="L106" i="67"/>
  <c r="K106" i="67"/>
  <c r="J106" i="67"/>
  <c r="I106" i="67"/>
  <c r="H106" i="67"/>
  <c r="G106" i="67"/>
  <c r="F106" i="67"/>
  <c r="E106" i="67"/>
  <c r="D106" i="67"/>
  <c r="P105" i="67"/>
  <c r="N105" i="67"/>
  <c r="M105" i="67"/>
  <c r="L105" i="67"/>
  <c r="K105" i="67"/>
  <c r="J105" i="67"/>
  <c r="I105" i="67"/>
  <c r="H105" i="67"/>
  <c r="G105" i="67"/>
  <c r="F105" i="67"/>
  <c r="E105" i="67"/>
  <c r="D105" i="67"/>
  <c r="P104" i="67"/>
  <c r="N104" i="67"/>
  <c r="M104" i="67"/>
  <c r="L104" i="67"/>
  <c r="K104" i="67"/>
  <c r="J104" i="67"/>
  <c r="I104" i="67"/>
  <c r="H104" i="67"/>
  <c r="G104" i="67"/>
  <c r="F104" i="67"/>
  <c r="E104" i="67"/>
  <c r="D104" i="67"/>
  <c r="P103" i="67"/>
  <c r="N103" i="67"/>
  <c r="M103" i="67"/>
  <c r="L103" i="67"/>
  <c r="K103" i="67"/>
  <c r="J103" i="67"/>
  <c r="I103" i="67"/>
  <c r="H103" i="67"/>
  <c r="G103" i="67"/>
  <c r="F103" i="67"/>
  <c r="E103" i="67"/>
  <c r="D103" i="67"/>
  <c r="P102" i="67"/>
  <c r="N102" i="67"/>
  <c r="M102" i="67"/>
  <c r="L102" i="67"/>
  <c r="K102" i="67"/>
  <c r="J102" i="67"/>
  <c r="I102" i="67"/>
  <c r="H102" i="67"/>
  <c r="G102" i="67"/>
  <c r="F102" i="67"/>
  <c r="E102" i="67"/>
  <c r="D102" i="67"/>
  <c r="P101" i="67"/>
  <c r="N101" i="67"/>
  <c r="M101" i="67"/>
  <c r="L101" i="67"/>
  <c r="K101" i="67"/>
  <c r="J101" i="67"/>
  <c r="I101" i="67"/>
  <c r="H101" i="67"/>
  <c r="G101" i="67"/>
  <c r="F101" i="67"/>
  <c r="E101" i="67"/>
  <c r="D101" i="67"/>
  <c r="P100" i="67"/>
  <c r="N100" i="67"/>
  <c r="M100" i="67"/>
  <c r="L100" i="67"/>
  <c r="K100" i="67"/>
  <c r="J100" i="67"/>
  <c r="I100" i="67"/>
  <c r="H100" i="67"/>
  <c r="G100" i="67"/>
  <c r="F100" i="67"/>
  <c r="E100" i="67"/>
  <c r="D100" i="67"/>
  <c r="P99" i="67"/>
  <c r="N99" i="67"/>
  <c r="M99" i="67"/>
  <c r="L99" i="67"/>
  <c r="K99" i="67"/>
  <c r="J99" i="67"/>
  <c r="I99" i="67"/>
  <c r="H99" i="67"/>
  <c r="G99" i="67"/>
  <c r="F99" i="67"/>
  <c r="E99" i="67"/>
  <c r="D99" i="67"/>
  <c r="P98" i="67"/>
  <c r="N98" i="67"/>
  <c r="M98" i="67"/>
  <c r="L98" i="67"/>
  <c r="K98" i="67"/>
  <c r="J98" i="67"/>
  <c r="I98" i="67"/>
  <c r="H98" i="67"/>
  <c r="G98" i="67"/>
  <c r="F98" i="67"/>
  <c r="E98" i="67"/>
  <c r="D98" i="67"/>
  <c r="P97" i="67"/>
  <c r="N97" i="67"/>
  <c r="M97" i="67"/>
  <c r="L97" i="67"/>
  <c r="K97" i="67"/>
  <c r="J97" i="67"/>
  <c r="I97" i="67"/>
  <c r="H97" i="67"/>
  <c r="G97" i="67"/>
  <c r="F97" i="67"/>
  <c r="E97" i="67"/>
  <c r="D97" i="67"/>
  <c r="P96" i="67"/>
  <c r="N96" i="67"/>
  <c r="M96" i="67"/>
  <c r="L96" i="67"/>
  <c r="K96" i="67"/>
  <c r="J96" i="67"/>
  <c r="I96" i="67"/>
  <c r="H96" i="67"/>
  <c r="G96" i="67"/>
  <c r="F96" i="67"/>
  <c r="E96" i="67"/>
  <c r="D96" i="67"/>
  <c r="P95" i="67"/>
  <c r="N95" i="67"/>
  <c r="M95" i="67"/>
  <c r="L95" i="67"/>
  <c r="K95" i="67"/>
  <c r="J95" i="67"/>
  <c r="I95" i="67"/>
  <c r="H95" i="67"/>
  <c r="G95" i="67"/>
  <c r="F95" i="67"/>
  <c r="E95" i="67"/>
  <c r="D95" i="67"/>
  <c r="P94" i="67"/>
  <c r="N94" i="67"/>
  <c r="M94" i="67"/>
  <c r="L94" i="67"/>
  <c r="K94" i="67"/>
  <c r="J94" i="67"/>
  <c r="I94" i="67"/>
  <c r="H94" i="67"/>
  <c r="G94" i="67"/>
  <c r="F94" i="67"/>
  <c r="E94" i="67"/>
  <c r="D94" i="67"/>
  <c r="P93" i="67"/>
  <c r="N93" i="67"/>
  <c r="M93" i="67"/>
  <c r="L93" i="67"/>
  <c r="K93" i="67"/>
  <c r="J93" i="67"/>
  <c r="I93" i="67"/>
  <c r="H93" i="67"/>
  <c r="G93" i="67"/>
  <c r="F93" i="67"/>
  <c r="E93" i="67"/>
  <c r="D93" i="67"/>
  <c r="P92" i="67"/>
  <c r="N92" i="67"/>
  <c r="M92" i="67"/>
  <c r="L92" i="67"/>
  <c r="K92" i="67"/>
  <c r="J92" i="67"/>
  <c r="I92" i="67"/>
  <c r="H92" i="67"/>
  <c r="G92" i="67"/>
  <c r="F92" i="67"/>
  <c r="E92" i="67"/>
  <c r="D92" i="67"/>
  <c r="P91" i="67"/>
  <c r="N91" i="67"/>
  <c r="M91" i="67"/>
  <c r="L91" i="67"/>
  <c r="K91" i="67"/>
  <c r="J91" i="67"/>
  <c r="I91" i="67"/>
  <c r="H91" i="67"/>
  <c r="G91" i="67"/>
  <c r="F91" i="67"/>
  <c r="E91" i="67"/>
  <c r="D91" i="67"/>
  <c r="P90" i="67"/>
  <c r="N90" i="67"/>
  <c r="M90" i="67"/>
  <c r="L90" i="67"/>
  <c r="K90" i="67"/>
  <c r="J90" i="67"/>
  <c r="I90" i="67"/>
  <c r="H90" i="67"/>
  <c r="G90" i="67"/>
  <c r="F90" i="67"/>
  <c r="E90" i="67"/>
  <c r="D90" i="67"/>
  <c r="P89" i="67"/>
  <c r="N89" i="67"/>
  <c r="M89" i="67"/>
  <c r="L89" i="67"/>
  <c r="K89" i="67"/>
  <c r="J89" i="67"/>
  <c r="I89" i="67"/>
  <c r="H89" i="67"/>
  <c r="G89" i="67"/>
  <c r="F89" i="67"/>
  <c r="E89" i="67"/>
  <c r="D89" i="67"/>
  <c r="P88" i="67"/>
  <c r="N88" i="67"/>
  <c r="M88" i="67"/>
  <c r="L88" i="67"/>
  <c r="K88" i="67"/>
  <c r="J88" i="67"/>
  <c r="I88" i="67"/>
  <c r="H88" i="67"/>
  <c r="G88" i="67"/>
  <c r="F88" i="67"/>
  <c r="E88" i="67"/>
  <c r="D88" i="67"/>
  <c r="P87" i="67"/>
  <c r="N87" i="67"/>
  <c r="M87" i="67"/>
  <c r="L87" i="67"/>
  <c r="K87" i="67"/>
  <c r="J87" i="67"/>
  <c r="I87" i="67"/>
  <c r="H87" i="67"/>
  <c r="G87" i="67"/>
  <c r="F87" i="67"/>
  <c r="E87" i="67"/>
  <c r="D87" i="67"/>
  <c r="P86" i="67"/>
  <c r="N86" i="67"/>
  <c r="M86" i="67"/>
  <c r="L86" i="67"/>
  <c r="K86" i="67"/>
  <c r="J86" i="67"/>
  <c r="I86" i="67"/>
  <c r="H86" i="67"/>
  <c r="G86" i="67"/>
  <c r="F86" i="67"/>
  <c r="E86" i="67"/>
  <c r="D86" i="67"/>
  <c r="P85" i="67"/>
  <c r="N85" i="67"/>
  <c r="M85" i="67"/>
  <c r="L85" i="67"/>
  <c r="K85" i="67"/>
  <c r="J85" i="67"/>
  <c r="I85" i="67"/>
  <c r="H85" i="67"/>
  <c r="G85" i="67"/>
  <c r="F85" i="67"/>
  <c r="E85" i="67"/>
  <c r="D85" i="67"/>
  <c r="P84" i="67"/>
  <c r="N84" i="67"/>
  <c r="M84" i="67"/>
  <c r="L84" i="67"/>
  <c r="K84" i="67"/>
  <c r="J84" i="67"/>
  <c r="I84" i="67"/>
  <c r="H84" i="67"/>
  <c r="G84" i="67"/>
  <c r="F84" i="67"/>
  <c r="E84" i="67"/>
  <c r="D84" i="67"/>
  <c r="P83" i="67"/>
  <c r="N83" i="67"/>
  <c r="M83" i="67"/>
  <c r="L83" i="67"/>
  <c r="K83" i="67"/>
  <c r="J83" i="67"/>
  <c r="I83" i="67"/>
  <c r="H83" i="67"/>
  <c r="G83" i="67"/>
  <c r="F83" i="67"/>
  <c r="E83" i="67"/>
  <c r="D83" i="67"/>
  <c r="P82" i="67"/>
  <c r="N82" i="67"/>
  <c r="M82" i="67"/>
  <c r="L82" i="67"/>
  <c r="K82" i="67"/>
  <c r="J82" i="67"/>
  <c r="I82" i="67"/>
  <c r="H82" i="67"/>
  <c r="G82" i="67"/>
  <c r="F82" i="67"/>
  <c r="E82" i="67"/>
  <c r="D82" i="67"/>
  <c r="P81" i="67"/>
  <c r="N81" i="67"/>
  <c r="M81" i="67"/>
  <c r="L81" i="67"/>
  <c r="K81" i="67"/>
  <c r="J81" i="67"/>
  <c r="I81" i="67"/>
  <c r="H81" i="67"/>
  <c r="G81" i="67"/>
  <c r="F81" i="67"/>
  <c r="E81" i="67"/>
  <c r="D81" i="67"/>
  <c r="P80" i="67"/>
  <c r="N80" i="67"/>
  <c r="M80" i="67"/>
  <c r="L80" i="67"/>
  <c r="K80" i="67"/>
  <c r="J80" i="67"/>
  <c r="I80" i="67"/>
  <c r="H80" i="67"/>
  <c r="G80" i="67"/>
  <c r="F80" i="67"/>
  <c r="E80" i="67"/>
  <c r="D80" i="67"/>
  <c r="P79" i="67"/>
  <c r="N79" i="67"/>
  <c r="M79" i="67"/>
  <c r="L79" i="67"/>
  <c r="K79" i="67"/>
  <c r="J79" i="67"/>
  <c r="I79" i="67"/>
  <c r="H79" i="67"/>
  <c r="G79" i="67"/>
  <c r="F79" i="67"/>
  <c r="E79" i="67"/>
  <c r="D79" i="67"/>
  <c r="P78" i="67"/>
  <c r="N78" i="67"/>
  <c r="M78" i="67"/>
  <c r="L78" i="67"/>
  <c r="K78" i="67"/>
  <c r="J78" i="67"/>
  <c r="I78" i="67"/>
  <c r="H78" i="67"/>
  <c r="G78" i="67"/>
  <c r="F78" i="67"/>
  <c r="E78" i="67"/>
  <c r="D78" i="67"/>
  <c r="P77" i="67"/>
  <c r="N77" i="67"/>
  <c r="M77" i="67"/>
  <c r="L77" i="67"/>
  <c r="K77" i="67"/>
  <c r="J77" i="67"/>
  <c r="I77" i="67"/>
  <c r="H77" i="67"/>
  <c r="G77" i="67"/>
  <c r="F77" i="67"/>
  <c r="E77" i="67"/>
  <c r="D77" i="67"/>
  <c r="P76" i="67"/>
  <c r="N76" i="67"/>
  <c r="M76" i="67"/>
  <c r="L76" i="67"/>
  <c r="K76" i="67"/>
  <c r="J76" i="67"/>
  <c r="I76" i="67"/>
  <c r="H76" i="67"/>
  <c r="G76" i="67"/>
  <c r="F76" i="67"/>
  <c r="E76" i="67"/>
  <c r="D76" i="67"/>
  <c r="P75" i="67"/>
  <c r="N75" i="67"/>
  <c r="M75" i="67"/>
  <c r="L75" i="67"/>
  <c r="K75" i="67"/>
  <c r="J75" i="67"/>
  <c r="I75" i="67"/>
  <c r="H75" i="67"/>
  <c r="G75" i="67"/>
  <c r="F75" i="67"/>
  <c r="E75" i="67"/>
  <c r="D75" i="67"/>
  <c r="P74" i="67"/>
  <c r="N74" i="67"/>
  <c r="M74" i="67"/>
  <c r="L74" i="67"/>
  <c r="K74" i="67"/>
  <c r="J74" i="67"/>
  <c r="I74" i="67"/>
  <c r="H74" i="67"/>
  <c r="G74" i="67"/>
  <c r="F74" i="67"/>
  <c r="E74" i="67"/>
  <c r="D74" i="67"/>
  <c r="P73" i="67"/>
  <c r="N73" i="67"/>
  <c r="M73" i="67"/>
  <c r="L73" i="67"/>
  <c r="K73" i="67"/>
  <c r="J73" i="67"/>
  <c r="I73" i="67"/>
  <c r="H73" i="67"/>
  <c r="G73" i="67"/>
  <c r="F73" i="67"/>
  <c r="E73" i="67"/>
  <c r="D73" i="67"/>
  <c r="P72" i="67"/>
  <c r="N72" i="67"/>
  <c r="M72" i="67"/>
  <c r="L72" i="67"/>
  <c r="K72" i="67"/>
  <c r="J72" i="67"/>
  <c r="I72" i="67"/>
  <c r="H72" i="67"/>
  <c r="G72" i="67"/>
  <c r="F72" i="67"/>
  <c r="E72" i="67"/>
  <c r="D72" i="67"/>
  <c r="P71" i="67"/>
  <c r="N71" i="67"/>
  <c r="M71" i="67"/>
  <c r="L71" i="67"/>
  <c r="K71" i="67"/>
  <c r="J71" i="67"/>
  <c r="I71" i="67"/>
  <c r="H71" i="67"/>
  <c r="G71" i="67"/>
  <c r="F71" i="67"/>
  <c r="E71" i="67"/>
  <c r="D71" i="67"/>
  <c r="P70" i="67"/>
  <c r="N70" i="67"/>
  <c r="M70" i="67"/>
  <c r="L70" i="67"/>
  <c r="K70" i="67"/>
  <c r="J70" i="67"/>
  <c r="I70" i="67"/>
  <c r="H70" i="67"/>
  <c r="G70" i="67"/>
  <c r="F70" i="67"/>
  <c r="E70" i="67"/>
  <c r="D70" i="67"/>
  <c r="P69" i="67"/>
  <c r="N69" i="67"/>
  <c r="M69" i="67"/>
  <c r="L69" i="67"/>
  <c r="K69" i="67"/>
  <c r="J69" i="67"/>
  <c r="I69" i="67"/>
  <c r="H69" i="67"/>
  <c r="G69" i="67"/>
  <c r="F69" i="67"/>
  <c r="E69" i="67"/>
  <c r="D69" i="67"/>
  <c r="P68" i="67"/>
  <c r="N68" i="67"/>
  <c r="M68" i="67"/>
  <c r="L68" i="67"/>
  <c r="K68" i="67"/>
  <c r="J68" i="67"/>
  <c r="I68" i="67"/>
  <c r="H68" i="67"/>
  <c r="G68" i="67"/>
  <c r="F68" i="67"/>
  <c r="E68" i="67"/>
  <c r="D68" i="67"/>
  <c r="P67" i="67"/>
  <c r="N67" i="67"/>
  <c r="M67" i="67"/>
  <c r="L67" i="67"/>
  <c r="K67" i="67"/>
  <c r="J67" i="67"/>
  <c r="I67" i="67"/>
  <c r="H67" i="67"/>
  <c r="G67" i="67"/>
  <c r="F67" i="67"/>
  <c r="E67" i="67"/>
  <c r="D67" i="67"/>
  <c r="P66" i="67"/>
  <c r="N66" i="67"/>
  <c r="M66" i="67"/>
  <c r="L66" i="67"/>
  <c r="K66" i="67"/>
  <c r="J66" i="67"/>
  <c r="I66" i="67"/>
  <c r="H66" i="67"/>
  <c r="G66" i="67"/>
  <c r="F66" i="67"/>
  <c r="E66" i="67"/>
  <c r="D66" i="67"/>
  <c r="P65" i="67"/>
  <c r="N65" i="67"/>
  <c r="M65" i="67"/>
  <c r="L65" i="67"/>
  <c r="K65" i="67"/>
  <c r="J65" i="67"/>
  <c r="I65" i="67"/>
  <c r="H65" i="67"/>
  <c r="G65" i="67"/>
  <c r="F65" i="67"/>
  <c r="E65" i="67"/>
  <c r="D65" i="67"/>
  <c r="P64" i="67"/>
  <c r="N64" i="67"/>
  <c r="M64" i="67"/>
  <c r="L64" i="67"/>
  <c r="K64" i="67"/>
  <c r="J64" i="67"/>
  <c r="I64" i="67"/>
  <c r="H64" i="67"/>
  <c r="G64" i="67"/>
  <c r="F64" i="67"/>
  <c r="E64" i="67"/>
  <c r="D64" i="67"/>
  <c r="P63" i="67"/>
  <c r="N63" i="67"/>
  <c r="M63" i="67"/>
  <c r="L63" i="67"/>
  <c r="K63" i="67"/>
  <c r="J63" i="67"/>
  <c r="I63" i="67"/>
  <c r="H63" i="67"/>
  <c r="G63" i="67"/>
  <c r="F63" i="67"/>
  <c r="E63" i="67"/>
  <c r="D63" i="67"/>
  <c r="P62" i="67"/>
  <c r="N62" i="67"/>
  <c r="M62" i="67"/>
  <c r="L62" i="67"/>
  <c r="K62" i="67"/>
  <c r="J62" i="67"/>
  <c r="I62" i="67"/>
  <c r="H62" i="67"/>
  <c r="G62" i="67"/>
  <c r="F62" i="67"/>
  <c r="E62" i="67"/>
  <c r="D62" i="67"/>
  <c r="P61" i="67"/>
  <c r="N61" i="67"/>
  <c r="M61" i="67"/>
  <c r="L61" i="67"/>
  <c r="K61" i="67"/>
  <c r="J61" i="67"/>
  <c r="I61" i="67"/>
  <c r="H61" i="67"/>
  <c r="G61" i="67"/>
  <c r="F61" i="67"/>
  <c r="E61" i="67"/>
  <c r="D61" i="67"/>
  <c r="P60" i="67"/>
  <c r="N60" i="67"/>
  <c r="M60" i="67"/>
  <c r="L60" i="67"/>
  <c r="K60" i="67"/>
  <c r="J60" i="67"/>
  <c r="I60" i="67"/>
  <c r="H60" i="67"/>
  <c r="G60" i="67"/>
  <c r="F60" i="67"/>
  <c r="E60" i="67"/>
  <c r="D60" i="67"/>
  <c r="P59" i="67"/>
  <c r="N59" i="67"/>
  <c r="M59" i="67"/>
  <c r="L59" i="67"/>
  <c r="K59" i="67"/>
  <c r="J59" i="67"/>
  <c r="I59" i="67"/>
  <c r="H59" i="67"/>
  <c r="G59" i="67"/>
  <c r="F59" i="67"/>
  <c r="E59" i="67"/>
  <c r="D59" i="67"/>
  <c r="P58" i="67"/>
  <c r="N58" i="67"/>
  <c r="M58" i="67"/>
  <c r="L58" i="67"/>
  <c r="K58" i="67"/>
  <c r="J58" i="67"/>
  <c r="I58" i="67"/>
  <c r="H58" i="67"/>
  <c r="G58" i="67"/>
  <c r="F58" i="67"/>
  <c r="E58" i="67"/>
  <c r="D58" i="67"/>
  <c r="P57" i="67"/>
  <c r="N57" i="67"/>
  <c r="M57" i="67"/>
  <c r="L57" i="67"/>
  <c r="K57" i="67"/>
  <c r="J57" i="67"/>
  <c r="I57" i="67"/>
  <c r="H57" i="67"/>
  <c r="G57" i="67"/>
  <c r="F57" i="67"/>
  <c r="E57" i="67"/>
  <c r="D57" i="67"/>
  <c r="P56" i="67"/>
  <c r="N56" i="67"/>
  <c r="M56" i="67"/>
  <c r="L56" i="67"/>
  <c r="K56" i="67"/>
  <c r="J56" i="67"/>
  <c r="I56" i="67"/>
  <c r="H56" i="67"/>
  <c r="G56" i="67"/>
  <c r="F56" i="67"/>
  <c r="E56" i="67"/>
  <c r="D56" i="67"/>
  <c r="P55" i="67"/>
  <c r="N55" i="67"/>
  <c r="M55" i="67"/>
  <c r="L55" i="67"/>
  <c r="K55" i="67"/>
  <c r="J55" i="67"/>
  <c r="I55" i="67"/>
  <c r="H55" i="67"/>
  <c r="G55" i="67"/>
  <c r="F55" i="67"/>
  <c r="E55" i="67"/>
  <c r="D55" i="67"/>
  <c r="P54" i="67"/>
  <c r="N54" i="67"/>
  <c r="M54" i="67"/>
  <c r="L54" i="67"/>
  <c r="K54" i="67"/>
  <c r="J54" i="67"/>
  <c r="I54" i="67"/>
  <c r="H54" i="67"/>
  <c r="G54" i="67"/>
  <c r="F54" i="67"/>
  <c r="E54" i="67"/>
  <c r="D54" i="67"/>
  <c r="P53" i="67"/>
  <c r="N53" i="67"/>
  <c r="M53" i="67"/>
  <c r="L53" i="67"/>
  <c r="K53" i="67"/>
  <c r="J53" i="67"/>
  <c r="I53" i="67"/>
  <c r="H53" i="67"/>
  <c r="G53" i="67"/>
  <c r="F53" i="67"/>
  <c r="E53" i="67"/>
  <c r="D53" i="67"/>
  <c r="P52" i="67"/>
  <c r="N52" i="67"/>
  <c r="M52" i="67"/>
  <c r="L52" i="67"/>
  <c r="K52" i="67"/>
  <c r="J52" i="67"/>
  <c r="I52" i="67"/>
  <c r="H52" i="67"/>
  <c r="G52" i="67"/>
  <c r="F52" i="67"/>
  <c r="E52" i="67"/>
  <c r="D52" i="67"/>
  <c r="P51" i="67"/>
  <c r="N51" i="67"/>
  <c r="M51" i="67"/>
  <c r="L51" i="67"/>
  <c r="K51" i="67"/>
  <c r="J51" i="67"/>
  <c r="I51" i="67"/>
  <c r="H51" i="67"/>
  <c r="G51" i="67"/>
  <c r="F51" i="67"/>
  <c r="E51" i="67"/>
  <c r="D51" i="67"/>
  <c r="P50" i="67"/>
  <c r="N50" i="67"/>
  <c r="M50" i="67"/>
  <c r="L50" i="67"/>
  <c r="K50" i="67"/>
  <c r="J50" i="67"/>
  <c r="I50" i="67"/>
  <c r="H50" i="67"/>
  <c r="G50" i="67"/>
  <c r="F50" i="67"/>
  <c r="E50" i="67"/>
  <c r="D50" i="67"/>
  <c r="P49" i="67"/>
  <c r="N49" i="67"/>
  <c r="M49" i="67"/>
  <c r="L49" i="67"/>
  <c r="K49" i="67"/>
  <c r="J49" i="67"/>
  <c r="I49" i="67"/>
  <c r="H49" i="67"/>
  <c r="G49" i="67"/>
  <c r="F49" i="67"/>
  <c r="E49" i="67"/>
  <c r="D49" i="67"/>
  <c r="P48" i="67"/>
  <c r="N48" i="67"/>
  <c r="M48" i="67"/>
  <c r="L48" i="67"/>
  <c r="K48" i="67"/>
  <c r="J48" i="67"/>
  <c r="I48" i="67"/>
  <c r="H48" i="67"/>
  <c r="G48" i="67"/>
  <c r="F48" i="67"/>
  <c r="E48" i="67"/>
  <c r="D48" i="67"/>
  <c r="P47" i="67"/>
  <c r="N47" i="67"/>
  <c r="M47" i="67"/>
  <c r="L47" i="67"/>
  <c r="K47" i="67"/>
  <c r="J47" i="67"/>
  <c r="I47" i="67"/>
  <c r="H47" i="67"/>
  <c r="G47" i="67"/>
  <c r="F47" i="67"/>
  <c r="E47" i="67"/>
  <c r="D47" i="67"/>
  <c r="P46" i="67"/>
  <c r="N46" i="67"/>
  <c r="M46" i="67"/>
  <c r="L46" i="67"/>
  <c r="K46" i="67"/>
  <c r="J46" i="67"/>
  <c r="I46" i="67"/>
  <c r="H46" i="67"/>
  <c r="G46" i="67"/>
  <c r="F46" i="67"/>
  <c r="E46" i="67"/>
  <c r="D46" i="67"/>
  <c r="P45" i="67"/>
  <c r="N45" i="67"/>
  <c r="M45" i="67"/>
  <c r="L45" i="67"/>
  <c r="K45" i="67"/>
  <c r="J45" i="67"/>
  <c r="I45" i="67"/>
  <c r="H45" i="67"/>
  <c r="G45" i="67"/>
  <c r="F45" i="67"/>
  <c r="E45" i="67"/>
  <c r="D45" i="67"/>
  <c r="P44" i="67"/>
  <c r="N44" i="67"/>
  <c r="M44" i="67"/>
  <c r="L44" i="67"/>
  <c r="K44" i="67"/>
  <c r="J44" i="67"/>
  <c r="I44" i="67"/>
  <c r="H44" i="67"/>
  <c r="G44" i="67"/>
  <c r="F44" i="67"/>
  <c r="E44" i="67"/>
  <c r="D44" i="67"/>
  <c r="P43" i="67"/>
  <c r="N43" i="67"/>
  <c r="M43" i="67"/>
  <c r="L43" i="67"/>
  <c r="K43" i="67"/>
  <c r="J43" i="67"/>
  <c r="I43" i="67"/>
  <c r="H43" i="67"/>
  <c r="G43" i="67"/>
  <c r="F43" i="67"/>
  <c r="E43" i="67"/>
  <c r="D43" i="67"/>
  <c r="P42" i="67"/>
  <c r="N42" i="67"/>
  <c r="M42" i="67"/>
  <c r="L42" i="67"/>
  <c r="K42" i="67"/>
  <c r="J42" i="67"/>
  <c r="I42" i="67"/>
  <c r="H42" i="67"/>
  <c r="G42" i="67"/>
  <c r="F42" i="67"/>
  <c r="E42" i="67"/>
  <c r="D42" i="67"/>
  <c r="P41" i="67"/>
  <c r="N41" i="67"/>
  <c r="M41" i="67"/>
  <c r="L41" i="67"/>
  <c r="K41" i="67"/>
  <c r="J41" i="67"/>
  <c r="I41" i="67"/>
  <c r="H41" i="67"/>
  <c r="G41" i="67"/>
  <c r="F41" i="67"/>
  <c r="E41" i="67"/>
  <c r="D41" i="67"/>
  <c r="P40" i="67"/>
  <c r="N40" i="67"/>
  <c r="M40" i="67"/>
  <c r="L40" i="67"/>
  <c r="K40" i="67"/>
  <c r="J40" i="67"/>
  <c r="I40" i="67"/>
  <c r="H40" i="67"/>
  <c r="G40" i="67"/>
  <c r="F40" i="67"/>
  <c r="E40" i="67"/>
  <c r="D40" i="67"/>
  <c r="P39" i="67"/>
  <c r="N39" i="67"/>
  <c r="M39" i="67"/>
  <c r="L39" i="67"/>
  <c r="K39" i="67"/>
  <c r="J39" i="67"/>
  <c r="I39" i="67"/>
  <c r="H39" i="67"/>
  <c r="G39" i="67"/>
  <c r="F39" i="67"/>
  <c r="E39" i="67"/>
  <c r="D39" i="67"/>
  <c r="P38" i="67"/>
  <c r="N38" i="67"/>
  <c r="M38" i="67"/>
  <c r="L38" i="67"/>
  <c r="K38" i="67"/>
  <c r="J38" i="67"/>
  <c r="I38" i="67"/>
  <c r="H38" i="67"/>
  <c r="G38" i="67"/>
  <c r="F38" i="67"/>
  <c r="E38" i="67"/>
  <c r="D38" i="67"/>
  <c r="P37" i="67"/>
  <c r="N37" i="67"/>
  <c r="M37" i="67"/>
  <c r="L37" i="67"/>
  <c r="K37" i="67"/>
  <c r="J37" i="67"/>
  <c r="I37" i="67"/>
  <c r="H37" i="67"/>
  <c r="G37" i="67"/>
  <c r="F37" i="67"/>
  <c r="E37" i="67"/>
  <c r="D37" i="67"/>
  <c r="P36" i="67"/>
  <c r="N36" i="67"/>
  <c r="M36" i="67"/>
  <c r="L36" i="67"/>
  <c r="K36" i="67"/>
  <c r="J36" i="67"/>
  <c r="I36" i="67"/>
  <c r="H36" i="67"/>
  <c r="G36" i="67"/>
  <c r="F36" i="67"/>
  <c r="E36" i="67"/>
  <c r="D36" i="67"/>
  <c r="P35" i="67"/>
  <c r="N35" i="67"/>
  <c r="M35" i="67"/>
  <c r="L35" i="67"/>
  <c r="K35" i="67"/>
  <c r="J35" i="67"/>
  <c r="I35" i="67"/>
  <c r="H35" i="67"/>
  <c r="G35" i="67"/>
  <c r="F35" i="67"/>
  <c r="E35" i="67"/>
  <c r="D35" i="67"/>
  <c r="P34" i="67"/>
  <c r="N34" i="67"/>
  <c r="M34" i="67"/>
  <c r="L34" i="67"/>
  <c r="K34" i="67"/>
  <c r="J34" i="67"/>
  <c r="I34" i="67"/>
  <c r="H34" i="67"/>
  <c r="G34" i="67"/>
  <c r="F34" i="67"/>
  <c r="E34" i="67"/>
  <c r="D34" i="67"/>
  <c r="P33" i="67"/>
  <c r="N33" i="67"/>
  <c r="M33" i="67"/>
  <c r="L33" i="67"/>
  <c r="K33" i="67"/>
  <c r="J33" i="67"/>
  <c r="I33" i="67"/>
  <c r="H33" i="67"/>
  <c r="G33" i="67"/>
  <c r="F33" i="67"/>
  <c r="E33" i="67"/>
  <c r="D33" i="67"/>
  <c r="P32" i="67"/>
  <c r="N32" i="67"/>
  <c r="M32" i="67"/>
  <c r="L32" i="67"/>
  <c r="K32" i="67"/>
  <c r="J32" i="67"/>
  <c r="I32" i="67"/>
  <c r="H32" i="67"/>
  <c r="G32" i="67"/>
  <c r="F32" i="67"/>
  <c r="E32" i="67"/>
  <c r="D32" i="67"/>
  <c r="P31" i="67"/>
  <c r="N31" i="67"/>
  <c r="M31" i="67"/>
  <c r="L31" i="67"/>
  <c r="K31" i="67"/>
  <c r="J31" i="67"/>
  <c r="I31" i="67"/>
  <c r="H31" i="67"/>
  <c r="G31" i="67"/>
  <c r="F31" i="67"/>
  <c r="E31" i="67"/>
  <c r="D31" i="67"/>
  <c r="P30" i="67"/>
  <c r="N30" i="67"/>
  <c r="M30" i="67"/>
  <c r="L30" i="67"/>
  <c r="K30" i="67"/>
  <c r="J30" i="67"/>
  <c r="I30" i="67"/>
  <c r="H30" i="67"/>
  <c r="G30" i="67"/>
  <c r="F30" i="67"/>
  <c r="E30" i="67"/>
  <c r="D30" i="67"/>
  <c r="P29" i="67"/>
  <c r="N29" i="67"/>
  <c r="M29" i="67"/>
  <c r="L29" i="67"/>
  <c r="K29" i="67"/>
  <c r="J29" i="67"/>
  <c r="I29" i="67"/>
  <c r="H29" i="67"/>
  <c r="G29" i="67"/>
  <c r="F29" i="67"/>
  <c r="E29" i="67"/>
  <c r="D29" i="67"/>
  <c r="P28" i="67"/>
  <c r="N28" i="67"/>
  <c r="M28" i="67"/>
  <c r="L28" i="67"/>
  <c r="K28" i="67"/>
  <c r="J28" i="67"/>
  <c r="I28" i="67"/>
  <c r="H28" i="67"/>
  <c r="G28" i="67"/>
  <c r="F28" i="67"/>
  <c r="E28" i="67"/>
  <c r="D28" i="67"/>
  <c r="P27" i="67"/>
  <c r="N27" i="67"/>
  <c r="M27" i="67"/>
  <c r="L27" i="67"/>
  <c r="K27" i="67"/>
  <c r="J27" i="67"/>
  <c r="I27" i="67"/>
  <c r="H27" i="67"/>
  <c r="G27" i="67"/>
  <c r="F27" i="67"/>
  <c r="E27" i="67"/>
  <c r="D27" i="67"/>
  <c r="P26" i="67"/>
  <c r="N26" i="67"/>
  <c r="M26" i="67"/>
  <c r="L26" i="67"/>
  <c r="K26" i="67"/>
  <c r="J26" i="67"/>
  <c r="I26" i="67"/>
  <c r="H26" i="67"/>
  <c r="G26" i="67"/>
  <c r="F26" i="67"/>
  <c r="E26" i="67"/>
  <c r="D26" i="67"/>
  <c r="P25" i="67"/>
  <c r="N25" i="67"/>
  <c r="M25" i="67"/>
  <c r="L25" i="67"/>
  <c r="K25" i="67"/>
  <c r="J25" i="67"/>
  <c r="I25" i="67"/>
  <c r="H25" i="67"/>
  <c r="G25" i="67"/>
  <c r="F25" i="67"/>
  <c r="E25" i="67"/>
  <c r="D25" i="67"/>
  <c r="P24" i="67"/>
  <c r="N24" i="67"/>
  <c r="M24" i="67"/>
  <c r="L24" i="67"/>
  <c r="K24" i="67"/>
  <c r="J24" i="67"/>
  <c r="I24" i="67"/>
  <c r="H24" i="67"/>
  <c r="G24" i="67"/>
  <c r="F24" i="67"/>
  <c r="E24" i="67"/>
  <c r="D24" i="67"/>
  <c r="P23" i="67"/>
  <c r="N23" i="67"/>
  <c r="M23" i="67"/>
  <c r="L23" i="67"/>
  <c r="K23" i="67"/>
  <c r="J23" i="67"/>
  <c r="I23" i="67"/>
  <c r="H23" i="67"/>
  <c r="G23" i="67"/>
  <c r="F23" i="67"/>
  <c r="E23" i="67"/>
  <c r="D23" i="67"/>
  <c r="P22" i="67"/>
  <c r="N22" i="67"/>
  <c r="M22" i="67"/>
  <c r="L22" i="67"/>
  <c r="K22" i="67"/>
  <c r="J22" i="67"/>
  <c r="I22" i="67"/>
  <c r="H22" i="67"/>
  <c r="G22" i="67"/>
  <c r="F22" i="67"/>
  <c r="E22" i="67"/>
  <c r="D22" i="67"/>
  <c r="N19" i="67"/>
  <c r="M19" i="67"/>
  <c r="L19" i="67"/>
  <c r="K19" i="67"/>
  <c r="J19" i="67"/>
  <c r="H19" i="67"/>
  <c r="G19" i="67"/>
  <c r="F19" i="67"/>
  <c r="E19" i="67"/>
  <c r="D19" i="67"/>
  <c r="P18" i="67"/>
  <c r="O18" i="67"/>
  <c r="N18" i="67"/>
  <c r="M18" i="67"/>
  <c r="L18" i="67"/>
  <c r="K18" i="67"/>
  <c r="J18" i="67"/>
  <c r="I18" i="67"/>
  <c r="H18" i="67"/>
  <c r="G18" i="67"/>
  <c r="F18" i="67"/>
  <c r="E18" i="67"/>
  <c r="D18" i="67"/>
  <c r="P17" i="67"/>
  <c r="P16" i="67"/>
  <c r="P15" i="67"/>
  <c r="P14" i="67"/>
  <c r="N13" i="67"/>
  <c r="M13" i="67"/>
  <c r="L13" i="67"/>
  <c r="K13" i="67"/>
  <c r="J13" i="67"/>
  <c r="H13" i="67"/>
  <c r="G13" i="67"/>
  <c r="F13" i="67"/>
  <c r="E13" i="67"/>
  <c r="D13" i="67"/>
  <c r="N12" i="67"/>
  <c r="M12" i="67"/>
  <c r="L12" i="67"/>
  <c r="K12" i="67"/>
  <c r="J12" i="67"/>
  <c r="I12" i="67"/>
  <c r="P12" i="67" s="1"/>
  <c r="H12" i="67"/>
  <c r="G12" i="67"/>
  <c r="F12" i="67"/>
  <c r="E12" i="67"/>
  <c r="D12" i="67"/>
  <c r="N11" i="67"/>
  <c r="M11" i="67"/>
  <c r="L11" i="67"/>
  <c r="K11" i="67"/>
  <c r="J11" i="67"/>
  <c r="I11" i="67"/>
  <c r="P11" i="67" s="1"/>
  <c r="H11" i="67"/>
  <c r="G11" i="67"/>
  <c r="F11" i="67"/>
  <c r="E11" i="67"/>
  <c r="D11" i="67"/>
  <c r="N10" i="67"/>
  <c r="M10" i="67"/>
  <c r="L10" i="67"/>
  <c r="K10" i="67"/>
  <c r="J10" i="67"/>
  <c r="I10" i="67"/>
  <c r="P10" i="67" s="1"/>
  <c r="H10" i="67"/>
  <c r="G10" i="67"/>
  <c r="F10" i="67"/>
  <c r="E10" i="67"/>
  <c r="D10" i="67"/>
  <c r="N9" i="67"/>
  <c r="M9" i="67"/>
  <c r="L9" i="67"/>
  <c r="K9" i="67"/>
  <c r="J9" i="67"/>
  <c r="I9" i="67"/>
  <c r="P9" i="67" s="1"/>
  <c r="H9" i="67"/>
  <c r="G9" i="67"/>
  <c r="F9" i="67"/>
  <c r="E9" i="67"/>
  <c r="D9" i="67"/>
  <c r="O8" i="67"/>
  <c r="O13" i="67" s="1"/>
  <c r="N8" i="67"/>
  <c r="M8" i="67"/>
  <c r="L8" i="67"/>
  <c r="K8" i="67"/>
  <c r="J8" i="67"/>
  <c r="H8" i="67"/>
  <c r="G8" i="67"/>
  <c r="F8" i="67"/>
  <c r="E8" i="67"/>
  <c r="D8" i="67"/>
  <c r="N137" i="66"/>
  <c r="M137" i="66"/>
  <c r="L137" i="66"/>
  <c r="K137" i="66"/>
  <c r="J137" i="66"/>
  <c r="H137" i="66"/>
  <c r="G137" i="66"/>
  <c r="F137" i="66"/>
  <c r="E137" i="66"/>
  <c r="D137" i="66"/>
  <c r="N134" i="66"/>
  <c r="M134" i="66"/>
  <c r="L134" i="66"/>
  <c r="K134" i="66"/>
  <c r="J134" i="66"/>
  <c r="H134" i="66"/>
  <c r="G134" i="66"/>
  <c r="F134" i="66"/>
  <c r="E134" i="66"/>
  <c r="D134" i="66"/>
  <c r="O132" i="66"/>
  <c r="P132" i="66" s="1"/>
  <c r="N132" i="66"/>
  <c r="M132" i="66"/>
  <c r="L132" i="66"/>
  <c r="K132" i="66"/>
  <c r="J132" i="66"/>
  <c r="I132" i="66"/>
  <c r="H132" i="66"/>
  <c r="G132" i="66"/>
  <c r="F132" i="66"/>
  <c r="E132" i="66"/>
  <c r="D132" i="66"/>
  <c r="P131" i="66"/>
  <c r="N131" i="66"/>
  <c r="M131" i="66"/>
  <c r="L131" i="66"/>
  <c r="K131" i="66"/>
  <c r="J131" i="66"/>
  <c r="I131" i="66"/>
  <c r="H131" i="66"/>
  <c r="G131" i="66"/>
  <c r="F131" i="66"/>
  <c r="E131" i="66"/>
  <c r="D131" i="66"/>
  <c r="P130" i="66"/>
  <c r="N130" i="66"/>
  <c r="M130" i="66"/>
  <c r="L130" i="66"/>
  <c r="K130" i="66"/>
  <c r="J130" i="66"/>
  <c r="I130" i="66"/>
  <c r="H130" i="66"/>
  <c r="G130" i="66"/>
  <c r="F130" i="66"/>
  <c r="E130" i="66"/>
  <c r="D130" i="66"/>
  <c r="P129" i="66"/>
  <c r="N129" i="66"/>
  <c r="M129" i="66"/>
  <c r="L129" i="66"/>
  <c r="K129" i="66"/>
  <c r="J129" i="66"/>
  <c r="I129" i="66"/>
  <c r="H129" i="66"/>
  <c r="G129" i="66"/>
  <c r="F129" i="66"/>
  <c r="E129" i="66"/>
  <c r="D129" i="66"/>
  <c r="P128" i="66"/>
  <c r="N128" i="66"/>
  <c r="M128" i="66"/>
  <c r="L128" i="66"/>
  <c r="K128" i="66"/>
  <c r="J128" i="66"/>
  <c r="I128" i="66"/>
  <c r="H128" i="66"/>
  <c r="G128" i="66"/>
  <c r="F128" i="66"/>
  <c r="E128" i="66"/>
  <c r="D128" i="66"/>
  <c r="P127" i="66"/>
  <c r="N127" i="66"/>
  <c r="M127" i="66"/>
  <c r="L127" i="66"/>
  <c r="K127" i="66"/>
  <c r="J127" i="66"/>
  <c r="I127" i="66"/>
  <c r="H127" i="66"/>
  <c r="G127" i="66"/>
  <c r="F127" i="66"/>
  <c r="E127" i="66"/>
  <c r="D127" i="66"/>
  <c r="P126" i="66"/>
  <c r="N126" i="66"/>
  <c r="M126" i="66"/>
  <c r="L126" i="66"/>
  <c r="K126" i="66"/>
  <c r="J126" i="66"/>
  <c r="I126" i="66"/>
  <c r="H126" i="66"/>
  <c r="G126" i="66"/>
  <c r="F126" i="66"/>
  <c r="E126" i="66"/>
  <c r="D126" i="66"/>
  <c r="P125" i="66"/>
  <c r="N125" i="66"/>
  <c r="M125" i="66"/>
  <c r="L125" i="66"/>
  <c r="K125" i="66"/>
  <c r="J125" i="66"/>
  <c r="I125" i="66"/>
  <c r="H125" i="66"/>
  <c r="G125" i="66"/>
  <c r="F125" i="66"/>
  <c r="E125" i="66"/>
  <c r="D125" i="66"/>
  <c r="P124" i="66"/>
  <c r="N124" i="66"/>
  <c r="M124" i="66"/>
  <c r="L124" i="66"/>
  <c r="K124" i="66"/>
  <c r="J124" i="66"/>
  <c r="I124" i="66"/>
  <c r="H124" i="66"/>
  <c r="G124" i="66"/>
  <c r="F124" i="66"/>
  <c r="E124" i="66"/>
  <c r="D124" i="66"/>
  <c r="P123" i="66"/>
  <c r="N123" i="66"/>
  <c r="M123" i="66"/>
  <c r="L123" i="66"/>
  <c r="K123" i="66"/>
  <c r="J123" i="66"/>
  <c r="I123" i="66"/>
  <c r="H123" i="66"/>
  <c r="G123" i="66"/>
  <c r="F123" i="66"/>
  <c r="E123" i="66"/>
  <c r="D123" i="66"/>
  <c r="P122" i="66"/>
  <c r="N122" i="66"/>
  <c r="M122" i="66"/>
  <c r="L122" i="66"/>
  <c r="K122" i="66"/>
  <c r="J122" i="66"/>
  <c r="I122" i="66"/>
  <c r="H122" i="66"/>
  <c r="G122" i="66"/>
  <c r="F122" i="66"/>
  <c r="E122" i="66"/>
  <c r="D122" i="66"/>
  <c r="P121" i="66"/>
  <c r="N121" i="66"/>
  <c r="M121" i="66"/>
  <c r="L121" i="66"/>
  <c r="K121" i="66"/>
  <c r="J121" i="66"/>
  <c r="I121" i="66"/>
  <c r="H121" i="66"/>
  <c r="G121" i="66"/>
  <c r="F121" i="66"/>
  <c r="E121" i="66"/>
  <c r="D121" i="66"/>
  <c r="P120" i="66"/>
  <c r="N120" i="66"/>
  <c r="M120" i="66"/>
  <c r="L120" i="66"/>
  <c r="K120" i="66"/>
  <c r="J120" i="66"/>
  <c r="I120" i="66"/>
  <c r="H120" i="66"/>
  <c r="G120" i="66"/>
  <c r="F120" i="66"/>
  <c r="E120" i="66"/>
  <c r="D120" i="66"/>
  <c r="P119" i="66"/>
  <c r="N119" i="66"/>
  <c r="M119" i="66"/>
  <c r="L119" i="66"/>
  <c r="K119" i="66"/>
  <c r="J119" i="66"/>
  <c r="I119" i="66"/>
  <c r="H119" i="66"/>
  <c r="G119" i="66"/>
  <c r="F119" i="66"/>
  <c r="E119" i="66"/>
  <c r="D119" i="66"/>
  <c r="P118" i="66"/>
  <c r="N118" i="66"/>
  <c r="M118" i="66"/>
  <c r="L118" i="66"/>
  <c r="K118" i="66"/>
  <c r="J118" i="66"/>
  <c r="I118" i="66"/>
  <c r="H118" i="66"/>
  <c r="G118" i="66"/>
  <c r="F118" i="66"/>
  <c r="E118" i="66"/>
  <c r="D118" i="66"/>
  <c r="P117" i="66"/>
  <c r="N117" i="66"/>
  <c r="M117" i="66"/>
  <c r="L117" i="66"/>
  <c r="K117" i="66"/>
  <c r="J117" i="66"/>
  <c r="I117" i="66"/>
  <c r="H117" i="66"/>
  <c r="G117" i="66"/>
  <c r="F117" i="66"/>
  <c r="E117" i="66"/>
  <c r="D117" i="66"/>
  <c r="P116" i="66"/>
  <c r="N116" i="66"/>
  <c r="M116" i="66"/>
  <c r="L116" i="66"/>
  <c r="K116" i="66"/>
  <c r="J116" i="66"/>
  <c r="I116" i="66"/>
  <c r="H116" i="66"/>
  <c r="G116" i="66"/>
  <c r="F116" i="66"/>
  <c r="E116" i="66"/>
  <c r="D116" i="66"/>
  <c r="P115" i="66"/>
  <c r="N115" i="66"/>
  <c r="M115" i="66"/>
  <c r="L115" i="66"/>
  <c r="K115" i="66"/>
  <c r="J115" i="66"/>
  <c r="I115" i="66"/>
  <c r="H115" i="66"/>
  <c r="G115" i="66"/>
  <c r="F115" i="66"/>
  <c r="E115" i="66"/>
  <c r="D115" i="66"/>
  <c r="P114" i="66"/>
  <c r="N114" i="66"/>
  <c r="M114" i="66"/>
  <c r="L114" i="66"/>
  <c r="K114" i="66"/>
  <c r="J114" i="66"/>
  <c r="I114" i="66"/>
  <c r="H114" i="66"/>
  <c r="G114" i="66"/>
  <c r="F114" i="66"/>
  <c r="E114" i="66"/>
  <c r="D114" i="66"/>
  <c r="P113" i="66"/>
  <c r="N113" i="66"/>
  <c r="M113" i="66"/>
  <c r="L113" i="66"/>
  <c r="K113" i="66"/>
  <c r="J113" i="66"/>
  <c r="I113" i="66"/>
  <c r="H113" i="66"/>
  <c r="G113" i="66"/>
  <c r="F113" i="66"/>
  <c r="E113" i="66"/>
  <c r="D113" i="66"/>
  <c r="P112" i="66"/>
  <c r="N112" i="66"/>
  <c r="M112" i="66"/>
  <c r="L112" i="66"/>
  <c r="K112" i="66"/>
  <c r="J112" i="66"/>
  <c r="I112" i="66"/>
  <c r="H112" i="66"/>
  <c r="G112" i="66"/>
  <c r="F112" i="66"/>
  <c r="E112" i="66"/>
  <c r="D112" i="66"/>
  <c r="P111" i="66"/>
  <c r="N111" i="66"/>
  <c r="M111" i="66"/>
  <c r="L111" i="66"/>
  <c r="K111" i="66"/>
  <c r="J111" i="66"/>
  <c r="I111" i="66"/>
  <c r="H111" i="66"/>
  <c r="G111" i="66"/>
  <c r="F111" i="66"/>
  <c r="E111" i="66"/>
  <c r="D111" i="66"/>
  <c r="P110" i="66"/>
  <c r="N110" i="66"/>
  <c r="M110" i="66"/>
  <c r="L110" i="66"/>
  <c r="K110" i="66"/>
  <c r="J110" i="66"/>
  <c r="I110" i="66"/>
  <c r="H110" i="66"/>
  <c r="G110" i="66"/>
  <c r="F110" i="66"/>
  <c r="E110" i="66"/>
  <c r="D110" i="66"/>
  <c r="P109" i="66"/>
  <c r="N109" i="66"/>
  <c r="M109" i="66"/>
  <c r="L109" i="66"/>
  <c r="K109" i="66"/>
  <c r="J109" i="66"/>
  <c r="I109" i="66"/>
  <c r="H109" i="66"/>
  <c r="G109" i="66"/>
  <c r="F109" i="66"/>
  <c r="E109" i="66"/>
  <c r="D109" i="66"/>
  <c r="P108" i="66"/>
  <c r="N108" i="66"/>
  <c r="M108" i="66"/>
  <c r="L108" i="66"/>
  <c r="K108" i="66"/>
  <c r="J108" i="66"/>
  <c r="I108" i="66"/>
  <c r="H108" i="66"/>
  <c r="G108" i="66"/>
  <c r="F108" i="66"/>
  <c r="E108" i="66"/>
  <c r="D108" i="66"/>
  <c r="P107" i="66"/>
  <c r="N107" i="66"/>
  <c r="M107" i="66"/>
  <c r="L107" i="66"/>
  <c r="K107" i="66"/>
  <c r="J107" i="66"/>
  <c r="I107" i="66"/>
  <c r="H107" i="66"/>
  <c r="G107" i="66"/>
  <c r="F107" i="66"/>
  <c r="E107" i="66"/>
  <c r="D107" i="66"/>
  <c r="P106" i="66"/>
  <c r="N106" i="66"/>
  <c r="M106" i="66"/>
  <c r="L106" i="66"/>
  <c r="K106" i="66"/>
  <c r="J106" i="66"/>
  <c r="I106" i="66"/>
  <c r="H106" i="66"/>
  <c r="G106" i="66"/>
  <c r="F106" i="66"/>
  <c r="E106" i="66"/>
  <c r="D106" i="66"/>
  <c r="P105" i="66"/>
  <c r="N105" i="66"/>
  <c r="M105" i="66"/>
  <c r="L105" i="66"/>
  <c r="K105" i="66"/>
  <c r="J105" i="66"/>
  <c r="I105" i="66"/>
  <c r="H105" i="66"/>
  <c r="G105" i="66"/>
  <c r="F105" i="66"/>
  <c r="E105" i="66"/>
  <c r="D105" i="66"/>
  <c r="P104" i="66"/>
  <c r="N104" i="66"/>
  <c r="M104" i="66"/>
  <c r="L104" i="66"/>
  <c r="K104" i="66"/>
  <c r="J104" i="66"/>
  <c r="I104" i="66"/>
  <c r="H104" i="66"/>
  <c r="G104" i="66"/>
  <c r="F104" i="66"/>
  <c r="E104" i="66"/>
  <c r="D104" i="66"/>
  <c r="P103" i="66"/>
  <c r="N103" i="66"/>
  <c r="M103" i="66"/>
  <c r="L103" i="66"/>
  <c r="K103" i="66"/>
  <c r="J103" i="66"/>
  <c r="I103" i="66"/>
  <c r="H103" i="66"/>
  <c r="G103" i="66"/>
  <c r="F103" i="66"/>
  <c r="E103" i="66"/>
  <c r="D103" i="66"/>
  <c r="P102" i="66"/>
  <c r="N102" i="66"/>
  <c r="M102" i="66"/>
  <c r="L102" i="66"/>
  <c r="K102" i="66"/>
  <c r="J102" i="66"/>
  <c r="I102" i="66"/>
  <c r="H102" i="66"/>
  <c r="G102" i="66"/>
  <c r="F102" i="66"/>
  <c r="E102" i="66"/>
  <c r="D102" i="66"/>
  <c r="P101" i="66"/>
  <c r="N101" i="66"/>
  <c r="M101" i="66"/>
  <c r="L101" i="66"/>
  <c r="K101" i="66"/>
  <c r="J101" i="66"/>
  <c r="I101" i="66"/>
  <c r="H101" i="66"/>
  <c r="G101" i="66"/>
  <c r="F101" i="66"/>
  <c r="E101" i="66"/>
  <c r="D101" i="66"/>
  <c r="P100" i="66"/>
  <c r="N100" i="66"/>
  <c r="M100" i="66"/>
  <c r="L100" i="66"/>
  <c r="K100" i="66"/>
  <c r="J100" i="66"/>
  <c r="I100" i="66"/>
  <c r="H100" i="66"/>
  <c r="G100" i="66"/>
  <c r="F100" i="66"/>
  <c r="E100" i="66"/>
  <c r="D100" i="66"/>
  <c r="P99" i="66"/>
  <c r="N99" i="66"/>
  <c r="M99" i="66"/>
  <c r="L99" i="66"/>
  <c r="K99" i="66"/>
  <c r="J99" i="66"/>
  <c r="I99" i="66"/>
  <c r="H99" i="66"/>
  <c r="G99" i="66"/>
  <c r="F99" i="66"/>
  <c r="E99" i="66"/>
  <c r="D99" i="66"/>
  <c r="P98" i="66"/>
  <c r="N98" i="66"/>
  <c r="M98" i="66"/>
  <c r="L98" i="66"/>
  <c r="K98" i="66"/>
  <c r="J98" i="66"/>
  <c r="I98" i="66"/>
  <c r="H98" i="66"/>
  <c r="G98" i="66"/>
  <c r="F98" i="66"/>
  <c r="E98" i="66"/>
  <c r="D98" i="66"/>
  <c r="P97" i="66"/>
  <c r="N97" i="66"/>
  <c r="M97" i="66"/>
  <c r="L97" i="66"/>
  <c r="K97" i="66"/>
  <c r="J97" i="66"/>
  <c r="I97" i="66"/>
  <c r="H97" i="66"/>
  <c r="G97" i="66"/>
  <c r="F97" i="66"/>
  <c r="E97" i="66"/>
  <c r="D97" i="66"/>
  <c r="P96" i="66"/>
  <c r="N96" i="66"/>
  <c r="M96" i="66"/>
  <c r="L96" i="66"/>
  <c r="K96" i="66"/>
  <c r="J96" i="66"/>
  <c r="I96" i="66"/>
  <c r="H96" i="66"/>
  <c r="G96" i="66"/>
  <c r="F96" i="66"/>
  <c r="E96" i="66"/>
  <c r="D96" i="66"/>
  <c r="P95" i="66"/>
  <c r="N95" i="66"/>
  <c r="M95" i="66"/>
  <c r="L95" i="66"/>
  <c r="K95" i="66"/>
  <c r="J95" i="66"/>
  <c r="I95" i="66"/>
  <c r="H95" i="66"/>
  <c r="G95" i="66"/>
  <c r="F95" i="66"/>
  <c r="E95" i="66"/>
  <c r="D95" i="66"/>
  <c r="P94" i="66"/>
  <c r="N94" i="66"/>
  <c r="M94" i="66"/>
  <c r="L94" i="66"/>
  <c r="K94" i="66"/>
  <c r="J94" i="66"/>
  <c r="I94" i="66"/>
  <c r="H94" i="66"/>
  <c r="G94" i="66"/>
  <c r="F94" i="66"/>
  <c r="E94" i="66"/>
  <c r="D94" i="66"/>
  <c r="P93" i="66"/>
  <c r="N93" i="66"/>
  <c r="M93" i="66"/>
  <c r="L93" i="66"/>
  <c r="K93" i="66"/>
  <c r="J93" i="66"/>
  <c r="I93" i="66"/>
  <c r="H93" i="66"/>
  <c r="G93" i="66"/>
  <c r="F93" i="66"/>
  <c r="E93" i="66"/>
  <c r="D93" i="66"/>
  <c r="P92" i="66"/>
  <c r="N92" i="66"/>
  <c r="M92" i="66"/>
  <c r="L92" i="66"/>
  <c r="K92" i="66"/>
  <c r="J92" i="66"/>
  <c r="I92" i="66"/>
  <c r="H92" i="66"/>
  <c r="G92" i="66"/>
  <c r="F92" i="66"/>
  <c r="E92" i="66"/>
  <c r="D92" i="66"/>
  <c r="P91" i="66"/>
  <c r="N91" i="66"/>
  <c r="M91" i="66"/>
  <c r="L91" i="66"/>
  <c r="K91" i="66"/>
  <c r="J91" i="66"/>
  <c r="I91" i="66"/>
  <c r="H91" i="66"/>
  <c r="G91" i="66"/>
  <c r="F91" i="66"/>
  <c r="E91" i="66"/>
  <c r="D91" i="66"/>
  <c r="P90" i="66"/>
  <c r="N90" i="66"/>
  <c r="M90" i="66"/>
  <c r="L90" i="66"/>
  <c r="K90" i="66"/>
  <c r="J90" i="66"/>
  <c r="I90" i="66"/>
  <c r="H90" i="66"/>
  <c r="G90" i="66"/>
  <c r="F90" i="66"/>
  <c r="E90" i="66"/>
  <c r="D90" i="66"/>
  <c r="P89" i="66"/>
  <c r="N89" i="66"/>
  <c r="M89" i="66"/>
  <c r="L89" i="66"/>
  <c r="K89" i="66"/>
  <c r="J89" i="66"/>
  <c r="I89" i="66"/>
  <c r="H89" i="66"/>
  <c r="G89" i="66"/>
  <c r="F89" i="66"/>
  <c r="E89" i="66"/>
  <c r="D89" i="66"/>
  <c r="P88" i="66"/>
  <c r="N88" i="66"/>
  <c r="M88" i="66"/>
  <c r="L88" i="66"/>
  <c r="K88" i="66"/>
  <c r="J88" i="66"/>
  <c r="I88" i="66"/>
  <c r="H88" i="66"/>
  <c r="G88" i="66"/>
  <c r="F88" i="66"/>
  <c r="E88" i="66"/>
  <c r="D88" i="66"/>
  <c r="P87" i="66"/>
  <c r="N87" i="66"/>
  <c r="M87" i="66"/>
  <c r="L87" i="66"/>
  <c r="K87" i="66"/>
  <c r="J87" i="66"/>
  <c r="I87" i="66"/>
  <c r="H87" i="66"/>
  <c r="G87" i="66"/>
  <c r="F87" i="66"/>
  <c r="E87" i="66"/>
  <c r="D87" i="66"/>
  <c r="P86" i="66"/>
  <c r="N86" i="66"/>
  <c r="M86" i="66"/>
  <c r="L86" i="66"/>
  <c r="K86" i="66"/>
  <c r="J86" i="66"/>
  <c r="I86" i="66"/>
  <c r="H86" i="66"/>
  <c r="G86" i="66"/>
  <c r="F86" i="66"/>
  <c r="E86" i="66"/>
  <c r="D86" i="66"/>
  <c r="P85" i="66"/>
  <c r="N85" i="66"/>
  <c r="M85" i="66"/>
  <c r="L85" i="66"/>
  <c r="K85" i="66"/>
  <c r="J85" i="66"/>
  <c r="I85" i="66"/>
  <c r="H85" i="66"/>
  <c r="G85" i="66"/>
  <c r="F85" i="66"/>
  <c r="E85" i="66"/>
  <c r="D85" i="66"/>
  <c r="P84" i="66"/>
  <c r="N84" i="66"/>
  <c r="M84" i="66"/>
  <c r="L84" i="66"/>
  <c r="K84" i="66"/>
  <c r="J84" i="66"/>
  <c r="I84" i="66"/>
  <c r="H84" i="66"/>
  <c r="G84" i="66"/>
  <c r="F84" i="66"/>
  <c r="E84" i="66"/>
  <c r="D84" i="66"/>
  <c r="P83" i="66"/>
  <c r="N83" i="66"/>
  <c r="M83" i="66"/>
  <c r="L83" i="66"/>
  <c r="K83" i="66"/>
  <c r="J83" i="66"/>
  <c r="I83" i="66"/>
  <c r="H83" i="66"/>
  <c r="G83" i="66"/>
  <c r="F83" i="66"/>
  <c r="E83" i="66"/>
  <c r="D83" i="66"/>
  <c r="P82" i="66"/>
  <c r="N82" i="66"/>
  <c r="M82" i="66"/>
  <c r="L82" i="66"/>
  <c r="K82" i="66"/>
  <c r="J82" i="66"/>
  <c r="I82" i="66"/>
  <c r="H82" i="66"/>
  <c r="G82" i="66"/>
  <c r="F82" i="66"/>
  <c r="E82" i="66"/>
  <c r="D82" i="66"/>
  <c r="P81" i="66"/>
  <c r="N81" i="66"/>
  <c r="M81" i="66"/>
  <c r="L81" i="66"/>
  <c r="K81" i="66"/>
  <c r="J81" i="66"/>
  <c r="I81" i="66"/>
  <c r="H81" i="66"/>
  <c r="G81" i="66"/>
  <c r="F81" i="66"/>
  <c r="E81" i="66"/>
  <c r="D81" i="66"/>
  <c r="P80" i="66"/>
  <c r="N80" i="66"/>
  <c r="M80" i="66"/>
  <c r="L80" i="66"/>
  <c r="K80" i="66"/>
  <c r="J80" i="66"/>
  <c r="I80" i="66"/>
  <c r="H80" i="66"/>
  <c r="G80" i="66"/>
  <c r="F80" i="66"/>
  <c r="E80" i="66"/>
  <c r="D80" i="66"/>
  <c r="P79" i="66"/>
  <c r="N79" i="66"/>
  <c r="M79" i="66"/>
  <c r="L79" i="66"/>
  <c r="K79" i="66"/>
  <c r="J79" i="66"/>
  <c r="I79" i="66"/>
  <c r="H79" i="66"/>
  <c r="G79" i="66"/>
  <c r="F79" i="66"/>
  <c r="E79" i="66"/>
  <c r="D79" i="66"/>
  <c r="P78" i="66"/>
  <c r="N78" i="66"/>
  <c r="M78" i="66"/>
  <c r="L78" i="66"/>
  <c r="K78" i="66"/>
  <c r="J78" i="66"/>
  <c r="I78" i="66"/>
  <c r="H78" i="66"/>
  <c r="G78" i="66"/>
  <c r="F78" i="66"/>
  <c r="E78" i="66"/>
  <c r="D78" i="66"/>
  <c r="P77" i="66"/>
  <c r="N77" i="66"/>
  <c r="M77" i="66"/>
  <c r="L77" i="66"/>
  <c r="K77" i="66"/>
  <c r="J77" i="66"/>
  <c r="I77" i="66"/>
  <c r="H77" i="66"/>
  <c r="G77" i="66"/>
  <c r="F77" i="66"/>
  <c r="E77" i="66"/>
  <c r="D77" i="66"/>
  <c r="P76" i="66"/>
  <c r="N76" i="66"/>
  <c r="M76" i="66"/>
  <c r="L76" i="66"/>
  <c r="K76" i="66"/>
  <c r="J76" i="66"/>
  <c r="I76" i="66"/>
  <c r="H76" i="66"/>
  <c r="G76" i="66"/>
  <c r="F76" i="66"/>
  <c r="E76" i="66"/>
  <c r="D76" i="66"/>
  <c r="P75" i="66"/>
  <c r="N75" i="66"/>
  <c r="M75" i="66"/>
  <c r="L75" i="66"/>
  <c r="K75" i="66"/>
  <c r="J75" i="66"/>
  <c r="I75" i="66"/>
  <c r="H75" i="66"/>
  <c r="G75" i="66"/>
  <c r="F75" i="66"/>
  <c r="E75" i="66"/>
  <c r="D75" i="66"/>
  <c r="P74" i="66"/>
  <c r="N74" i="66"/>
  <c r="M74" i="66"/>
  <c r="L74" i="66"/>
  <c r="K74" i="66"/>
  <c r="J74" i="66"/>
  <c r="I74" i="66"/>
  <c r="H74" i="66"/>
  <c r="G74" i="66"/>
  <c r="F74" i="66"/>
  <c r="E74" i="66"/>
  <c r="D74" i="66"/>
  <c r="P73" i="66"/>
  <c r="N73" i="66"/>
  <c r="M73" i="66"/>
  <c r="L73" i="66"/>
  <c r="K73" i="66"/>
  <c r="J73" i="66"/>
  <c r="I73" i="66"/>
  <c r="H73" i="66"/>
  <c r="G73" i="66"/>
  <c r="F73" i="66"/>
  <c r="E73" i="66"/>
  <c r="D73" i="66"/>
  <c r="P72" i="66"/>
  <c r="N72" i="66"/>
  <c r="M72" i="66"/>
  <c r="L72" i="66"/>
  <c r="K72" i="66"/>
  <c r="J72" i="66"/>
  <c r="I72" i="66"/>
  <c r="H72" i="66"/>
  <c r="G72" i="66"/>
  <c r="F72" i="66"/>
  <c r="E72" i="66"/>
  <c r="D72" i="66"/>
  <c r="P71" i="66"/>
  <c r="N71" i="66"/>
  <c r="M71" i="66"/>
  <c r="L71" i="66"/>
  <c r="K71" i="66"/>
  <c r="J71" i="66"/>
  <c r="I71" i="66"/>
  <c r="H71" i="66"/>
  <c r="G71" i="66"/>
  <c r="F71" i="66"/>
  <c r="E71" i="66"/>
  <c r="D71" i="66"/>
  <c r="P70" i="66"/>
  <c r="N70" i="66"/>
  <c r="M70" i="66"/>
  <c r="L70" i="66"/>
  <c r="K70" i="66"/>
  <c r="J70" i="66"/>
  <c r="I70" i="66"/>
  <c r="H70" i="66"/>
  <c r="G70" i="66"/>
  <c r="F70" i="66"/>
  <c r="E70" i="66"/>
  <c r="D70" i="66"/>
  <c r="P69" i="66"/>
  <c r="N69" i="66"/>
  <c r="M69" i="66"/>
  <c r="L69" i="66"/>
  <c r="K69" i="66"/>
  <c r="J69" i="66"/>
  <c r="I69" i="66"/>
  <c r="H69" i="66"/>
  <c r="G69" i="66"/>
  <c r="F69" i="66"/>
  <c r="E69" i="66"/>
  <c r="D69" i="66"/>
  <c r="P68" i="66"/>
  <c r="N68" i="66"/>
  <c r="M68" i="66"/>
  <c r="L68" i="66"/>
  <c r="K68" i="66"/>
  <c r="J68" i="66"/>
  <c r="I68" i="66"/>
  <c r="H68" i="66"/>
  <c r="G68" i="66"/>
  <c r="F68" i="66"/>
  <c r="E68" i="66"/>
  <c r="D68" i="66"/>
  <c r="P67" i="66"/>
  <c r="N67" i="66"/>
  <c r="M67" i="66"/>
  <c r="L67" i="66"/>
  <c r="K67" i="66"/>
  <c r="J67" i="66"/>
  <c r="I67" i="66"/>
  <c r="H67" i="66"/>
  <c r="G67" i="66"/>
  <c r="F67" i="66"/>
  <c r="E67" i="66"/>
  <c r="D67" i="66"/>
  <c r="P66" i="66"/>
  <c r="N66" i="66"/>
  <c r="M66" i="66"/>
  <c r="L66" i="66"/>
  <c r="K66" i="66"/>
  <c r="J66" i="66"/>
  <c r="I66" i="66"/>
  <c r="H66" i="66"/>
  <c r="G66" i="66"/>
  <c r="F66" i="66"/>
  <c r="E66" i="66"/>
  <c r="D66" i="66"/>
  <c r="P65" i="66"/>
  <c r="N65" i="66"/>
  <c r="M65" i="66"/>
  <c r="L65" i="66"/>
  <c r="K65" i="66"/>
  <c r="J65" i="66"/>
  <c r="I65" i="66"/>
  <c r="H65" i="66"/>
  <c r="G65" i="66"/>
  <c r="F65" i="66"/>
  <c r="E65" i="66"/>
  <c r="D65" i="66"/>
  <c r="P64" i="66"/>
  <c r="N64" i="66"/>
  <c r="M64" i="66"/>
  <c r="L64" i="66"/>
  <c r="K64" i="66"/>
  <c r="J64" i="66"/>
  <c r="I64" i="66"/>
  <c r="H64" i="66"/>
  <c r="G64" i="66"/>
  <c r="F64" i="66"/>
  <c r="E64" i="66"/>
  <c r="D64" i="66"/>
  <c r="P63" i="66"/>
  <c r="N63" i="66"/>
  <c r="M63" i="66"/>
  <c r="L63" i="66"/>
  <c r="K63" i="66"/>
  <c r="J63" i="66"/>
  <c r="I63" i="66"/>
  <c r="H63" i="66"/>
  <c r="G63" i="66"/>
  <c r="F63" i="66"/>
  <c r="E63" i="66"/>
  <c r="D63" i="66"/>
  <c r="P62" i="66"/>
  <c r="N62" i="66"/>
  <c r="M62" i="66"/>
  <c r="L62" i="66"/>
  <c r="K62" i="66"/>
  <c r="J62" i="66"/>
  <c r="I62" i="66"/>
  <c r="H62" i="66"/>
  <c r="G62" i="66"/>
  <c r="F62" i="66"/>
  <c r="E62" i="66"/>
  <c r="D62" i="66"/>
  <c r="P61" i="66"/>
  <c r="N61" i="66"/>
  <c r="M61" i="66"/>
  <c r="L61" i="66"/>
  <c r="K61" i="66"/>
  <c r="J61" i="66"/>
  <c r="I61" i="66"/>
  <c r="H61" i="66"/>
  <c r="G61" i="66"/>
  <c r="F61" i="66"/>
  <c r="E61" i="66"/>
  <c r="D61" i="66"/>
  <c r="P60" i="66"/>
  <c r="N60" i="66"/>
  <c r="M60" i="66"/>
  <c r="L60" i="66"/>
  <c r="K60" i="66"/>
  <c r="J60" i="66"/>
  <c r="I60" i="66"/>
  <c r="H60" i="66"/>
  <c r="G60" i="66"/>
  <c r="F60" i="66"/>
  <c r="E60" i="66"/>
  <c r="D60" i="66"/>
  <c r="P59" i="66"/>
  <c r="N59" i="66"/>
  <c r="M59" i="66"/>
  <c r="L59" i="66"/>
  <c r="K59" i="66"/>
  <c r="J59" i="66"/>
  <c r="I59" i="66"/>
  <c r="H59" i="66"/>
  <c r="G59" i="66"/>
  <c r="F59" i="66"/>
  <c r="E59" i="66"/>
  <c r="D59" i="66"/>
  <c r="P58" i="66"/>
  <c r="N58" i="66"/>
  <c r="M58" i="66"/>
  <c r="L58" i="66"/>
  <c r="K58" i="66"/>
  <c r="J58" i="66"/>
  <c r="I58" i="66"/>
  <c r="H58" i="66"/>
  <c r="G58" i="66"/>
  <c r="F58" i="66"/>
  <c r="E58" i="66"/>
  <c r="D58" i="66"/>
  <c r="P57" i="66"/>
  <c r="N57" i="66"/>
  <c r="M57" i="66"/>
  <c r="L57" i="66"/>
  <c r="K57" i="66"/>
  <c r="J57" i="66"/>
  <c r="I57" i="66"/>
  <c r="H57" i="66"/>
  <c r="G57" i="66"/>
  <c r="F57" i="66"/>
  <c r="E57" i="66"/>
  <c r="D57" i="66"/>
  <c r="P56" i="66"/>
  <c r="N56" i="66"/>
  <c r="M56" i="66"/>
  <c r="L56" i="66"/>
  <c r="K56" i="66"/>
  <c r="J56" i="66"/>
  <c r="I56" i="66"/>
  <c r="H56" i="66"/>
  <c r="G56" i="66"/>
  <c r="F56" i="66"/>
  <c r="E56" i="66"/>
  <c r="D56" i="66"/>
  <c r="P55" i="66"/>
  <c r="N55" i="66"/>
  <c r="M55" i="66"/>
  <c r="L55" i="66"/>
  <c r="K55" i="66"/>
  <c r="J55" i="66"/>
  <c r="I55" i="66"/>
  <c r="H55" i="66"/>
  <c r="G55" i="66"/>
  <c r="F55" i="66"/>
  <c r="E55" i="66"/>
  <c r="D55" i="66"/>
  <c r="P54" i="66"/>
  <c r="N54" i="66"/>
  <c r="M54" i="66"/>
  <c r="L54" i="66"/>
  <c r="K54" i="66"/>
  <c r="J54" i="66"/>
  <c r="I54" i="66"/>
  <c r="H54" i="66"/>
  <c r="G54" i="66"/>
  <c r="F54" i="66"/>
  <c r="E54" i="66"/>
  <c r="D54" i="66"/>
  <c r="P53" i="66"/>
  <c r="N53" i="66"/>
  <c r="M53" i="66"/>
  <c r="L53" i="66"/>
  <c r="K53" i="66"/>
  <c r="J53" i="66"/>
  <c r="I53" i="66"/>
  <c r="H53" i="66"/>
  <c r="G53" i="66"/>
  <c r="F53" i="66"/>
  <c r="E53" i="66"/>
  <c r="D53" i="66"/>
  <c r="P52" i="66"/>
  <c r="N52" i="66"/>
  <c r="M52" i="66"/>
  <c r="L52" i="66"/>
  <c r="K52" i="66"/>
  <c r="J52" i="66"/>
  <c r="I52" i="66"/>
  <c r="H52" i="66"/>
  <c r="G52" i="66"/>
  <c r="F52" i="66"/>
  <c r="E52" i="66"/>
  <c r="D52" i="66"/>
  <c r="P51" i="66"/>
  <c r="N51" i="66"/>
  <c r="M51" i="66"/>
  <c r="L51" i="66"/>
  <c r="K51" i="66"/>
  <c r="J51" i="66"/>
  <c r="I51" i="66"/>
  <c r="H51" i="66"/>
  <c r="G51" i="66"/>
  <c r="F51" i="66"/>
  <c r="E51" i="66"/>
  <c r="D51" i="66"/>
  <c r="P50" i="66"/>
  <c r="N50" i="66"/>
  <c r="M50" i="66"/>
  <c r="L50" i="66"/>
  <c r="K50" i="66"/>
  <c r="J50" i="66"/>
  <c r="I50" i="66"/>
  <c r="H50" i="66"/>
  <c r="G50" i="66"/>
  <c r="F50" i="66"/>
  <c r="E50" i="66"/>
  <c r="D50" i="66"/>
  <c r="P49" i="66"/>
  <c r="N49" i="66"/>
  <c r="M49" i="66"/>
  <c r="L49" i="66"/>
  <c r="K49" i="66"/>
  <c r="J49" i="66"/>
  <c r="I49" i="66"/>
  <c r="H49" i="66"/>
  <c r="G49" i="66"/>
  <c r="F49" i="66"/>
  <c r="E49" i="66"/>
  <c r="D49" i="66"/>
  <c r="P48" i="66"/>
  <c r="N48" i="66"/>
  <c r="M48" i="66"/>
  <c r="L48" i="66"/>
  <c r="K48" i="66"/>
  <c r="J48" i="66"/>
  <c r="I48" i="66"/>
  <c r="H48" i="66"/>
  <c r="G48" i="66"/>
  <c r="F48" i="66"/>
  <c r="E48" i="66"/>
  <c r="D48" i="66"/>
  <c r="P47" i="66"/>
  <c r="N47" i="66"/>
  <c r="M47" i="66"/>
  <c r="L47" i="66"/>
  <c r="K47" i="66"/>
  <c r="J47" i="66"/>
  <c r="I47" i="66"/>
  <c r="H47" i="66"/>
  <c r="G47" i="66"/>
  <c r="F47" i="66"/>
  <c r="E47" i="66"/>
  <c r="D47" i="66"/>
  <c r="P46" i="66"/>
  <c r="N46" i="66"/>
  <c r="M46" i="66"/>
  <c r="L46" i="66"/>
  <c r="K46" i="66"/>
  <c r="J46" i="66"/>
  <c r="I46" i="66"/>
  <c r="H46" i="66"/>
  <c r="G46" i="66"/>
  <c r="F46" i="66"/>
  <c r="E46" i="66"/>
  <c r="D46" i="66"/>
  <c r="P45" i="66"/>
  <c r="N45" i="66"/>
  <c r="M45" i="66"/>
  <c r="L45" i="66"/>
  <c r="K45" i="66"/>
  <c r="J45" i="66"/>
  <c r="I45" i="66"/>
  <c r="H45" i="66"/>
  <c r="G45" i="66"/>
  <c r="F45" i="66"/>
  <c r="E45" i="66"/>
  <c r="D45" i="66"/>
  <c r="P44" i="66"/>
  <c r="N44" i="66"/>
  <c r="M44" i="66"/>
  <c r="L44" i="66"/>
  <c r="K44" i="66"/>
  <c r="J44" i="66"/>
  <c r="I44" i="66"/>
  <c r="H44" i="66"/>
  <c r="G44" i="66"/>
  <c r="F44" i="66"/>
  <c r="E44" i="66"/>
  <c r="D44" i="66"/>
  <c r="P43" i="66"/>
  <c r="N43" i="66"/>
  <c r="M43" i="66"/>
  <c r="L43" i="66"/>
  <c r="K43" i="66"/>
  <c r="J43" i="66"/>
  <c r="I43" i="66"/>
  <c r="H43" i="66"/>
  <c r="G43" i="66"/>
  <c r="F43" i="66"/>
  <c r="E43" i="66"/>
  <c r="D43" i="66"/>
  <c r="P42" i="66"/>
  <c r="N42" i="66"/>
  <c r="M42" i="66"/>
  <c r="L42" i="66"/>
  <c r="K42" i="66"/>
  <c r="J42" i="66"/>
  <c r="I42" i="66"/>
  <c r="H42" i="66"/>
  <c r="G42" i="66"/>
  <c r="F42" i="66"/>
  <c r="E42" i="66"/>
  <c r="D42" i="66"/>
  <c r="P41" i="66"/>
  <c r="N41" i="66"/>
  <c r="M41" i="66"/>
  <c r="L41" i="66"/>
  <c r="K41" i="66"/>
  <c r="J41" i="66"/>
  <c r="I41" i="66"/>
  <c r="H41" i="66"/>
  <c r="G41" i="66"/>
  <c r="F41" i="66"/>
  <c r="E41" i="66"/>
  <c r="D41" i="66"/>
  <c r="P40" i="66"/>
  <c r="N40" i="66"/>
  <c r="M40" i="66"/>
  <c r="L40" i="66"/>
  <c r="K40" i="66"/>
  <c r="J40" i="66"/>
  <c r="I40" i="66"/>
  <c r="H40" i="66"/>
  <c r="G40" i="66"/>
  <c r="F40" i="66"/>
  <c r="E40" i="66"/>
  <c r="D40" i="66"/>
  <c r="P39" i="66"/>
  <c r="N39" i="66"/>
  <c r="M39" i="66"/>
  <c r="L39" i="66"/>
  <c r="K39" i="66"/>
  <c r="J39" i="66"/>
  <c r="I39" i="66"/>
  <c r="H39" i="66"/>
  <c r="G39" i="66"/>
  <c r="F39" i="66"/>
  <c r="E39" i="66"/>
  <c r="D39" i="66"/>
  <c r="P38" i="66"/>
  <c r="N38" i="66"/>
  <c r="M38" i="66"/>
  <c r="L38" i="66"/>
  <c r="K38" i="66"/>
  <c r="J38" i="66"/>
  <c r="I38" i="66"/>
  <c r="H38" i="66"/>
  <c r="G38" i="66"/>
  <c r="F38" i="66"/>
  <c r="E38" i="66"/>
  <c r="D38" i="66"/>
  <c r="P37" i="66"/>
  <c r="N37" i="66"/>
  <c r="M37" i="66"/>
  <c r="L37" i="66"/>
  <c r="K37" i="66"/>
  <c r="J37" i="66"/>
  <c r="I37" i="66"/>
  <c r="H37" i="66"/>
  <c r="G37" i="66"/>
  <c r="F37" i="66"/>
  <c r="E37" i="66"/>
  <c r="D37" i="66"/>
  <c r="P36" i="66"/>
  <c r="N36" i="66"/>
  <c r="M36" i="66"/>
  <c r="L36" i="66"/>
  <c r="K36" i="66"/>
  <c r="J36" i="66"/>
  <c r="I36" i="66"/>
  <c r="H36" i="66"/>
  <c r="G36" i="66"/>
  <c r="F36" i="66"/>
  <c r="E36" i="66"/>
  <c r="D36" i="66"/>
  <c r="P35" i="66"/>
  <c r="N35" i="66"/>
  <c r="M35" i="66"/>
  <c r="L35" i="66"/>
  <c r="K35" i="66"/>
  <c r="J35" i="66"/>
  <c r="I35" i="66"/>
  <c r="H35" i="66"/>
  <c r="G35" i="66"/>
  <c r="F35" i="66"/>
  <c r="E35" i="66"/>
  <c r="D35" i="66"/>
  <c r="P34" i="66"/>
  <c r="N34" i="66"/>
  <c r="M34" i="66"/>
  <c r="L34" i="66"/>
  <c r="K34" i="66"/>
  <c r="J34" i="66"/>
  <c r="I34" i="66"/>
  <c r="H34" i="66"/>
  <c r="G34" i="66"/>
  <c r="F34" i="66"/>
  <c r="E34" i="66"/>
  <c r="D34" i="66"/>
  <c r="P33" i="66"/>
  <c r="N33" i="66"/>
  <c r="M33" i="66"/>
  <c r="L33" i="66"/>
  <c r="K33" i="66"/>
  <c r="J33" i="66"/>
  <c r="I33" i="66"/>
  <c r="H33" i="66"/>
  <c r="G33" i="66"/>
  <c r="F33" i="66"/>
  <c r="E33" i="66"/>
  <c r="D33" i="66"/>
  <c r="P32" i="66"/>
  <c r="N32" i="66"/>
  <c r="M32" i="66"/>
  <c r="L32" i="66"/>
  <c r="K32" i="66"/>
  <c r="J32" i="66"/>
  <c r="I32" i="66"/>
  <c r="H32" i="66"/>
  <c r="G32" i="66"/>
  <c r="F32" i="66"/>
  <c r="E32" i="66"/>
  <c r="D32" i="66"/>
  <c r="P31" i="66"/>
  <c r="N31" i="66"/>
  <c r="M31" i="66"/>
  <c r="L31" i="66"/>
  <c r="K31" i="66"/>
  <c r="J31" i="66"/>
  <c r="I31" i="66"/>
  <c r="H31" i="66"/>
  <c r="G31" i="66"/>
  <c r="F31" i="66"/>
  <c r="E31" i="66"/>
  <c r="D31" i="66"/>
  <c r="P30" i="66"/>
  <c r="N30" i="66"/>
  <c r="M30" i="66"/>
  <c r="L30" i="66"/>
  <c r="K30" i="66"/>
  <c r="J30" i="66"/>
  <c r="I30" i="66"/>
  <c r="H30" i="66"/>
  <c r="G30" i="66"/>
  <c r="F30" i="66"/>
  <c r="E30" i="66"/>
  <c r="D30" i="66"/>
  <c r="P29" i="66"/>
  <c r="N29" i="66"/>
  <c r="M29" i="66"/>
  <c r="L29" i="66"/>
  <c r="K29" i="66"/>
  <c r="J29" i="66"/>
  <c r="I29" i="66"/>
  <c r="H29" i="66"/>
  <c r="G29" i="66"/>
  <c r="F29" i="66"/>
  <c r="E29" i="66"/>
  <c r="D29" i="66"/>
  <c r="P28" i="66"/>
  <c r="N28" i="66"/>
  <c r="M28" i="66"/>
  <c r="L28" i="66"/>
  <c r="K28" i="66"/>
  <c r="J28" i="66"/>
  <c r="I28" i="66"/>
  <c r="H28" i="66"/>
  <c r="G28" i="66"/>
  <c r="F28" i="66"/>
  <c r="E28" i="66"/>
  <c r="D28" i="66"/>
  <c r="P27" i="66"/>
  <c r="N27" i="66"/>
  <c r="M27" i="66"/>
  <c r="L27" i="66"/>
  <c r="K27" i="66"/>
  <c r="J27" i="66"/>
  <c r="I27" i="66"/>
  <c r="H27" i="66"/>
  <c r="G27" i="66"/>
  <c r="F27" i="66"/>
  <c r="E27" i="66"/>
  <c r="D27" i="66"/>
  <c r="P26" i="66"/>
  <c r="N26" i="66"/>
  <c r="M26" i="66"/>
  <c r="L26" i="66"/>
  <c r="K26" i="66"/>
  <c r="J26" i="66"/>
  <c r="I26" i="66"/>
  <c r="H26" i="66"/>
  <c r="G26" i="66"/>
  <c r="F26" i="66"/>
  <c r="E26" i="66"/>
  <c r="D26" i="66"/>
  <c r="P25" i="66"/>
  <c r="N25" i="66"/>
  <c r="M25" i="66"/>
  <c r="L25" i="66"/>
  <c r="K25" i="66"/>
  <c r="J25" i="66"/>
  <c r="I25" i="66"/>
  <c r="H25" i="66"/>
  <c r="G25" i="66"/>
  <c r="F25" i="66"/>
  <c r="E25" i="66"/>
  <c r="D25" i="66"/>
  <c r="P24" i="66"/>
  <c r="N24" i="66"/>
  <c r="M24" i="66"/>
  <c r="L24" i="66"/>
  <c r="K24" i="66"/>
  <c r="J24" i="66"/>
  <c r="I24" i="66"/>
  <c r="H24" i="66"/>
  <c r="G24" i="66"/>
  <c r="F24" i="66"/>
  <c r="E24" i="66"/>
  <c r="D24" i="66"/>
  <c r="P23" i="66"/>
  <c r="N23" i="66"/>
  <c r="M23" i="66"/>
  <c r="L23" i="66"/>
  <c r="K23" i="66"/>
  <c r="J23" i="66"/>
  <c r="I23" i="66"/>
  <c r="H23" i="66"/>
  <c r="G23" i="66"/>
  <c r="F23" i="66"/>
  <c r="E23" i="66"/>
  <c r="D23" i="66"/>
  <c r="P22" i="66"/>
  <c r="N22" i="66"/>
  <c r="M22" i="66"/>
  <c r="L22" i="66"/>
  <c r="K22" i="66"/>
  <c r="J22" i="66"/>
  <c r="I22" i="66"/>
  <c r="H22" i="66"/>
  <c r="G22" i="66"/>
  <c r="F22" i="66"/>
  <c r="E22" i="66"/>
  <c r="D22" i="66"/>
  <c r="N19" i="66"/>
  <c r="M19" i="66"/>
  <c r="L19" i="66"/>
  <c r="K19" i="66"/>
  <c r="J19" i="66"/>
  <c r="H19" i="66"/>
  <c r="G19" i="66"/>
  <c r="F19" i="66"/>
  <c r="E19" i="66"/>
  <c r="D19" i="66"/>
  <c r="P18" i="66"/>
  <c r="O18" i="66"/>
  <c r="N18" i="66"/>
  <c r="M18" i="66"/>
  <c r="L18" i="66"/>
  <c r="K18" i="66"/>
  <c r="J18" i="66"/>
  <c r="I18" i="66"/>
  <c r="H18" i="66"/>
  <c r="G18" i="66"/>
  <c r="F18" i="66"/>
  <c r="E18" i="66"/>
  <c r="D18" i="66"/>
  <c r="P17" i="66"/>
  <c r="P16" i="66"/>
  <c r="P15" i="66"/>
  <c r="P14" i="66"/>
  <c r="N13" i="66"/>
  <c r="M13" i="66"/>
  <c r="L13" i="66"/>
  <c r="K13" i="66"/>
  <c r="J13" i="66"/>
  <c r="H13" i="66"/>
  <c r="G13" i="66"/>
  <c r="F13" i="66"/>
  <c r="E13" i="66"/>
  <c r="D13" i="66"/>
  <c r="N12" i="66"/>
  <c r="M12" i="66"/>
  <c r="L12" i="66"/>
  <c r="K12" i="66"/>
  <c r="J12" i="66"/>
  <c r="I12" i="66"/>
  <c r="P12" i="66" s="1"/>
  <c r="H12" i="66"/>
  <c r="G12" i="66"/>
  <c r="F12" i="66"/>
  <c r="E12" i="66"/>
  <c r="D12" i="66"/>
  <c r="N11" i="66"/>
  <c r="M11" i="66"/>
  <c r="L11" i="66"/>
  <c r="K11" i="66"/>
  <c r="J11" i="66"/>
  <c r="I11" i="66"/>
  <c r="P11" i="66" s="1"/>
  <c r="H11" i="66"/>
  <c r="G11" i="66"/>
  <c r="F11" i="66"/>
  <c r="E11" i="66"/>
  <c r="D11" i="66"/>
  <c r="N10" i="66"/>
  <c r="M10" i="66"/>
  <c r="L10" i="66"/>
  <c r="K10" i="66"/>
  <c r="J10" i="66"/>
  <c r="I10" i="66"/>
  <c r="H10" i="66"/>
  <c r="G10" i="66"/>
  <c r="F10" i="66"/>
  <c r="E10" i="66"/>
  <c r="D10" i="66"/>
  <c r="N9" i="66"/>
  <c r="M9" i="66"/>
  <c r="L9" i="66"/>
  <c r="K9" i="66"/>
  <c r="J9" i="66"/>
  <c r="I9" i="66"/>
  <c r="P9" i="66" s="1"/>
  <c r="H9" i="66"/>
  <c r="G9" i="66"/>
  <c r="F9" i="66"/>
  <c r="E9" i="66"/>
  <c r="D9" i="66"/>
  <c r="O8" i="66"/>
  <c r="O13" i="66" s="1"/>
  <c r="N8" i="66"/>
  <c r="M8" i="66"/>
  <c r="L8" i="66"/>
  <c r="K8" i="66"/>
  <c r="J8" i="66"/>
  <c r="H8" i="66"/>
  <c r="G8" i="66"/>
  <c r="F8" i="66"/>
  <c r="E8" i="66"/>
  <c r="D8" i="66"/>
  <c r="D142" i="65"/>
  <c r="N137" i="65"/>
  <c r="M137" i="65"/>
  <c r="L137" i="65"/>
  <c r="K137" i="65"/>
  <c r="J137" i="65"/>
  <c r="H137" i="65"/>
  <c r="G137" i="65"/>
  <c r="F137" i="65"/>
  <c r="E137" i="65"/>
  <c r="D137" i="65"/>
  <c r="N134" i="65"/>
  <c r="M134" i="65"/>
  <c r="L134" i="65"/>
  <c r="K134" i="65"/>
  <c r="J134" i="65"/>
  <c r="H134" i="65"/>
  <c r="G134" i="65"/>
  <c r="F134" i="65"/>
  <c r="E134" i="65"/>
  <c r="D134" i="65"/>
  <c r="O132" i="65"/>
  <c r="P132" i="65" s="1"/>
  <c r="N132" i="65"/>
  <c r="M132" i="65"/>
  <c r="L132" i="65"/>
  <c r="K132" i="65"/>
  <c r="J132" i="65"/>
  <c r="I132" i="65"/>
  <c r="H132" i="65"/>
  <c r="G132" i="65"/>
  <c r="F132" i="65"/>
  <c r="E132" i="65"/>
  <c r="D132" i="65"/>
  <c r="P131" i="65"/>
  <c r="N131" i="65"/>
  <c r="M131" i="65"/>
  <c r="L131" i="65"/>
  <c r="K131" i="65"/>
  <c r="J131" i="65"/>
  <c r="I131" i="65"/>
  <c r="H131" i="65"/>
  <c r="G131" i="65"/>
  <c r="F131" i="65"/>
  <c r="E131" i="65"/>
  <c r="D131" i="65"/>
  <c r="P130" i="65"/>
  <c r="N130" i="65"/>
  <c r="M130" i="65"/>
  <c r="L130" i="65"/>
  <c r="K130" i="65"/>
  <c r="J130" i="65"/>
  <c r="I130" i="65"/>
  <c r="H130" i="65"/>
  <c r="G130" i="65"/>
  <c r="F130" i="65"/>
  <c r="E130" i="65"/>
  <c r="D130" i="65"/>
  <c r="P129" i="65"/>
  <c r="N129" i="65"/>
  <c r="M129" i="65"/>
  <c r="L129" i="65"/>
  <c r="K129" i="65"/>
  <c r="J129" i="65"/>
  <c r="I129" i="65"/>
  <c r="H129" i="65"/>
  <c r="G129" i="65"/>
  <c r="F129" i="65"/>
  <c r="E129" i="65"/>
  <c r="D129" i="65"/>
  <c r="P128" i="65"/>
  <c r="N128" i="65"/>
  <c r="M128" i="65"/>
  <c r="L128" i="65"/>
  <c r="K128" i="65"/>
  <c r="J128" i="65"/>
  <c r="I128" i="65"/>
  <c r="H128" i="65"/>
  <c r="G128" i="65"/>
  <c r="F128" i="65"/>
  <c r="E128" i="65"/>
  <c r="D128" i="65"/>
  <c r="P127" i="65"/>
  <c r="N127" i="65"/>
  <c r="M127" i="65"/>
  <c r="L127" i="65"/>
  <c r="K127" i="65"/>
  <c r="J127" i="65"/>
  <c r="I127" i="65"/>
  <c r="H127" i="65"/>
  <c r="G127" i="65"/>
  <c r="F127" i="65"/>
  <c r="E127" i="65"/>
  <c r="D127" i="65"/>
  <c r="P126" i="65"/>
  <c r="N126" i="65"/>
  <c r="M126" i="65"/>
  <c r="L126" i="65"/>
  <c r="K126" i="65"/>
  <c r="J126" i="65"/>
  <c r="I126" i="65"/>
  <c r="H126" i="65"/>
  <c r="G126" i="65"/>
  <c r="F126" i="65"/>
  <c r="E126" i="65"/>
  <c r="D126" i="65"/>
  <c r="P125" i="65"/>
  <c r="N125" i="65"/>
  <c r="M125" i="65"/>
  <c r="L125" i="65"/>
  <c r="K125" i="65"/>
  <c r="J125" i="65"/>
  <c r="I125" i="65"/>
  <c r="H125" i="65"/>
  <c r="G125" i="65"/>
  <c r="F125" i="65"/>
  <c r="E125" i="65"/>
  <c r="D125" i="65"/>
  <c r="P124" i="65"/>
  <c r="N124" i="65"/>
  <c r="M124" i="65"/>
  <c r="L124" i="65"/>
  <c r="K124" i="65"/>
  <c r="J124" i="65"/>
  <c r="I124" i="65"/>
  <c r="H124" i="65"/>
  <c r="G124" i="65"/>
  <c r="F124" i="65"/>
  <c r="E124" i="65"/>
  <c r="D124" i="65"/>
  <c r="P123" i="65"/>
  <c r="N123" i="65"/>
  <c r="M123" i="65"/>
  <c r="L123" i="65"/>
  <c r="K123" i="65"/>
  <c r="J123" i="65"/>
  <c r="I123" i="65"/>
  <c r="H123" i="65"/>
  <c r="G123" i="65"/>
  <c r="F123" i="65"/>
  <c r="E123" i="65"/>
  <c r="D123" i="65"/>
  <c r="P122" i="65"/>
  <c r="N122" i="65"/>
  <c r="M122" i="65"/>
  <c r="L122" i="65"/>
  <c r="K122" i="65"/>
  <c r="J122" i="65"/>
  <c r="I122" i="65"/>
  <c r="H122" i="65"/>
  <c r="G122" i="65"/>
  <c r="F122" i="65"/>
  <c r="E122" i="65"/>
  <c r="D122" i="65"/>
  <c r="P121" i="65"/>
  <c r="N121" i="65"/>
  <c r="M121" i="65"/>
  <c r="L121" i="65"/>
  <c r="K121" i="65"/>
  <c r="J121" i="65"/>
  <c r="I121" i="65"/>
  <c r="H121" i="65"/>
  <c r="G121" i="65"/>
  <c r="F121" i="65"/>
  <c r="E121" i="65"/>
  <c r="D121" i="65"/>
  <c r="P120" i="65"/>
  <c r="N120" i="65"/>
  <c r="M120" i="65"/>
  <c r="L120" i="65"/>
  <c r="K120" i="65"/>
  <c r="J120" i="65"/>
  <c r="I120" i="65"/>
  <c r="H120" i="65"/>
  <c r="G120" i="65"/>
  <c r="F120" i="65"/>
  <c r="E120" i="65"/>
  <c r="D120" i="65"/>
  <c r="P119" i="65"/>
  <c r="N119" i="65"/>
  <c r="M119" i="65"/>
  <c r="L119" i="65"/>
  <c r="K119" i="65"/>
  <c r="J119" i="65"/>
  <c r="I119" i="65"/>
  <c r="H119" i="65"/>
  <c r="G119" i="65"/>
  <c r="F119" i="65"/>
  <c r="E119" i="65"/>
  <c r="D119" i="65"/>
  <c r="P118" i="65"/>
  <c r="N118" i="65"/>
  <c r="M118" i="65"/>
  <c r="L118" i="65"/>
  <c r="K118" i="65"/>
  <c r="J118" i="65"/>
  <c r="I118" i="65"/>
  <c r="H118" i="65"/>
  <c r="G118" i="65"/>
  <c r="F118" i="65"/>
  <c r="E118" i="65"/>
  <c r="D118" i="65"/>
  <c r="P117" i="65"/>
  <c r="N117" i="65"/>
  <c r="M117" i="65"/>
  <c r="L117" i="65"/>
  <c r="K117" i="65"/>
  <c r="J117" i="65"/>
  <c r="I117" i="65"/>
  <c r="H117" i="65"/>
  <c r="G117" i="65"/>
  <c r="F117" i="65"/>
  <c r="E117" i="65"/>
  <c r="D117" i="65"/>
  <c r="P116" i="65"/>
  <c r="N116" i="65"/>
  <c r="M116" i="65"/>
  <c r="L116" i="65"/>
  <c r="K116" i="65"/>
  <c r="J116" i="65"/>
  <c r="I116" i="65"/>
  <c r="H116" i="65"/>
  <c r="G116" i="65"/>
  <c r="F116" i="65"/>
  <c r="E116" i="65"/>
  <c r="D116" i="65"/>
  <c r="P115" i="65"/>
  <c r="N115" i="65"/>
  <c r="M115" i="65"/>
  <c r="L115" i="65"/>
  <c r="K115" i="65"/>
  <c r="J115" i="65"/>
  <c r="I115" i="65"/>
  <c r="H115" i="65"/>
  <c r="G115" i="65"/>
  <c r="F115" i="65"/>
  <c r="E115" i="65"/>
  <c r="D115" i="65"/>
  <c r="P114" i="65"/>
  <c r="N114" i="65"/>
  <c r="M114" i="65"/>
  <c r="L114" i="65"/>
  <c r="K114" i="65"/>
  <c r="J114" i="65"/>
  <c r="I114" i="65"/>
  <c r="H114" i="65"/>
  <c r="G114" i="65"/>
  <c r="F114" i="65"/>
  <c r="E114" i="65"/>
  <c r="D114" i="65"/>
  <c r="P113" i="65"/>
  <c r="N113" i="65"/>
  <c r="M113" i="65"/>
  <c r="L113" i="65"/>
  <c r="K113" i="65"/>
  <c r="J113" i="65"/>
  <c r="I113" i="65"/>
  <c r="H113" i="65"/>
  <c r="G113" i="65"/>
  <c r="F113" i="65"/>
  <c r="E113" i="65"/>
  <c r="D113" i="65"/>
  <c r="P112" i="65"/>
  <c r="N112" i="65"/>
  <c r="M112" i="65"/>
  <c r="L112" i="65"/>
  <c r="K112" i="65"/>
  <c r="J112" i="65"/>
  <c r="I112" i="65"/>
  <c r="H112" i="65"/>
  <c r="G112" i="65"/>
  <c r="F112" i="65"/>
  <c r="E112" i="65"/>
  <c r="D112" i="65"/>
  <c r="P111" i="65"/>
  <c r="N111" i="65"/>
  <c r="M111" i="65"/>
  <c r="L111" i="65"/>
  <c r="K111" i="65"/>
  <c r="J111" i="65"/>
  <c r="I111" i="65"/>
  <c r="H111" i="65"/>
  <c r="G111" i="65"/>
  <c r="F111" i="65"/>
  <c r="E111" i="65"/>
  <c r="D111" i="65"/>
  <c r="P110" i="65"/>
  <c r="N110" i="65"/>
  <c r="M110" i="65"/>
  <c r="L110" i="65"/>
  <c r="K110" i="65"/>
  <c r="J110" i="65"/>
  <c r="I110" i="65"/>
  <c r="H110" i="65"/>
  <c r="G110" i="65"/>
  <c r="F110" i="65"/>
  <c r="E110" i="65"/>
  <c r="D110" i="65"/>
  <c r="P109" i="65"/>
  <c r="N109" i="65"/>
  <c r="M109" i="65"/>
  <c r="L109" i="65"/>
  <c r="K109" i="65"/>
  <c r="J109" i="65"/>
  <c r="I109" i="65"/>
  <c r="H109" i="65"/>
  <c r="G109" i="65"/>
  <c r="F109" i="65"/>
  <c r="E109" i="65"/>
  <c r="D109" i="65"/>
  <c r="P108" i="65"/>
  <c r="N108" i="65"/>
  <c r="M108" i="65"/>
  <c r="L108" i="65"/>
  <c r="K108" i="65"/>
  <c r="J108" i="65"/>
  <c r="I108" i="65"/>
  <c r="H108" i="65"/>
  <c r="G108" i="65"/>
  <c r="F108" i="65"/>
  <c r="E108" i="65"/>
  <c r="D108" i="65"/>
  <c r="P107" i="65"/>
  <c r="N107" i="65"/>
  <c r="M107" i="65"/>
  <c r="L107" i="65"/>
  <c r="K107" i="65"/>
  <c r="J107" i="65"/>
  <c r="I107" i="65"/>
  <c r="H107" i="65"/>
  <c r="G107" i="65"/>
  <c r="F107" i="65"/>
  <c r="E107" i="65"/>
  <c r="D107" i="65"/>
  <c r="P106" i="65"/>
  <c r="N106" i="65"/>
  <c r="M106" i="65"/>
  <c r="L106" i="65"/>
  <c r="K106" i="65"/>
  <c r="J106" i="65"/>
  <c r="I106" i="65"/>
  <c r="H106" i="65"/>
  <c r="G106" i="65"/>
  <c r="F106" i="65"/>
  <c r="E106" i="65"/>
  <c r="D106" i="65"/>
  <c r="P105" i="65"/>
  <c r="N105" i="65"/>
  <c r="M105" i="65"/>
  <c r="L105" i="65"/>
  <c r="K105" i="65"/>
  <c r="J105" i="65"/>
  <c r="I105" i="65"/>
  <c r="H105" i="65"/>
  <c r="G105" i="65"/>
  <c r="F105" i="65"/>
  <c r="E105" i="65"/>
  <c r="D105" i="65"/>
  <c r="P104" i="65"/>
  <c r="N104" i="65"/>
  <c r="M104" i="65"/>
  <c r="L104" i="65"/>
  <c r="K104" i="65"/>
  <c r="J104" i="65"/>
  <c r="I104" i="65"/>
  <c r="H104" i="65"/>
  <c r="G104" i="65"/>
  <c r="F104" i="65"/>
  <c r="E104" i="65"/>
  <c r="D104" i="65"/>
  <c r="P103" i="65"/>
  <c r="N103" i="65"/>
  <c r="M103" i="65"/>
  <c r="L103" i="65"/>
  <c r="K103" i="65"/>
  <c r="J103" i="65"/>
  <c r="I103" i="65"/>
  <c r="H103" i="65"/>
  <c r="G103" i="65"/>
  <c r="F103" i="65"/>
  <c r="E103" i="65"/>
  <c r="D103" i="65"/>
  <c r="P102" i="65"/>
  <c r="N102" i="65"/>
  <c r="M102" i="65"/>
  <c r="L102" i="65"/>
  <c r="K102" i="65"/>
  <c r="J102" i="65"/>
  <c r="I102" i="65"/>
  <c r="H102" i="65"/>
  <c r="G102" i="65"/>
  <c r="F102" i="65"/>
  <c r="E102" i="65"/>
  <c r="D102" i="65"/>
  <c r="P101" i="65"/>
  <c r="N101" i="65"/>
  <c r="M101" i="65"/>
  <c r="L101" i="65"/>
  <c r="K101" i="65"/>
  <c r="J101" i="65"/>
  <c r="I101" i="65"/>
  <c r="H101" i="65"/>
  <c r="G101" i="65"/>
  <c r="F101" i="65"/>
  <c r="E101" i="65"/>
  <c r="D101" i="65"/>
  <c r="P100" i="65"/>
  <c r="N100" i="65"/>
  <c r="M100" i="65"/>
  <c r="L100" i="65"/>
  <c r="K100" i="65"/>
  <c r="J100" i="65"/>
  <c r="I100" i="65"/>
  <c r="H100" i="65"/>
  <c r="G100" i="65"/>
  <c r="F100" i="65"/>
  <c r="E100" i="65"/>
  <c r="D100" i="65"/>
  <c r="P99" i="65"/>
  <c r="N99" i="65"/>
  <c r="M99" i="65"/>
  <c r="L99" i="65"/>
  <c r="K99" i="65"/>
  <c r="J99" i="65"/>
  <c r="I99" i="65"/>
  <c r="H99" i="65"/>
  <c r="G99" i="65"/>
  <c r="F99" i="65"/>
  <c r="E99" i="65"/>
  <c r="D99" i="65"/>
  <c r="P98" i="65"/>
  <c r="N98" i="65"/>
  <c r="M98" i="65"/>
  <c r="L98" i="65"/>
  <c r="K98" i="65"/>
  <c r="J98" i="65"/>
  <c r="I98" i="65"/>
  <c r="H98" i="65"/>
  <c r="G98" i="65"/>
  <c r="F98" i="65"/>
  <c r="E98" i="65"/>
  <c r="D98" i="65"/>
  <c r="P97" i="65"/>
  <c r="N97" i="65"/>
  <c r="M97" i="65"/>
  <c r="L97" i="65"/>
  <c r="K97" i="65"/>
  <c r="J97" i="65"/>
  <c r="I97" i="65"/>
  <c r="H97" i="65"/>
  <c r="G97" i="65"/>
  <c r="F97" i="65"/>
  <c r="E97" i="65"/>
  <c r="D97" i="65"/>
  <c r="P96" i="65"/>
  <c r="N96" i="65"/>
  <c r="M96" i="65"/>
  <c r="L96" i="65"/>
  <c r="K96" i="65"/>
  <c r="J96" i="65"/>
  <c r="I96" i="65"/>
  <c r="H96" i="65"/>
  <c r="G96" i="65"/>
  <c r="F96" i="65"/>
  <c r="E96" i="65"/>
  <c r="D96" i="65"/>
  <c r="P95" i="65"/>
  <c r="N95" i="65"/>
  <c r="M95" i="65"/>
  <c r="L95" i="65"/>
  <c r="K95" i="65"/>
  <c r="J95" i="65"/>
  <c r="I95" i="65"/>
  <c r="H95" i="65"/>
  <c r="G95" i="65"/>
  <c r="F95" i="65"/>
  <c r="E95" i="65"/>
  <c r="D95" i="65"/>
  <c r="P94" i="65"/>
  <c r="N94" i="65"/>
  <c r="M94" i="65"/>
  <c r="L94" i="65"/>
  <c r="K94" i="65"/>
  <c r="J94" i="65"/>
  <c r="I94" i="65"/>
  <c r="H94" i="65"/>
  <c r="G94" i="65"/>
  <c r="F94" i="65"/>
  <c r="E94" i="65"/>
  <c r="D94" i="65"/>
  <c r="P93" i="65"/>
  <c r="N93" i="65"/>
  <c r="M93" i="65"/>
  <c r="L93" i="65"/>
  <c r="K93" i="65"/>
  <c r="J93" i="65"/>
  <c r="I93" i="65"/>
  <c r="H93" i="65"/>
  <c r="G93" i="65"/>
  <c r="F93" i="65"/>
  <c r="E93" i="65"/>
  <c r="D93" i="65"/>
  <c r="P92" i="65"/>
  <c r="N92" i="65"/>
  <c r="M92" i="65"/>
  <c r="L92" i="65"/>
  <c r="K92" i="65"/>
  <c r="J92" i="65"/>
  <c r="I92" i="65"/>
  <c r="H92" i="65"/>
  <c r="G92" i="65"/>
  <c r="F92" i="65"/>
  <c r="E92" i="65"/>
  <c r="D92" i="65"/>
  <c r="P91" i="65"/>
  <c r="N91" i="65"/>
  <c r="M91" i="65"/>
  <c r="L91" i="65"/>
  <c r="K91" i="65"/>
  <c r="J91" i="65"/>
  <c r="I91" i="65"/>
  <c r="H91" i="65"/>
  <c r="G91" i="65"/>
  <c r="F91" i="65"/>
  <c r="E91" i="65"/>
  <c r="D91" i="65"/>
  <c r="P90" i="65"/>
  <c r="N90" i="65"/>
  <c r="M90" i="65"/>
  <c r="L90" i="65"/>
  <c r="K90" i="65"/>
  <c r="J90" i="65"/>
  <c r="I90" i="65"/>
  <c r="H90" i="65"/>
  <c r="G90" i="65"/>
  <c r="F90" i="65"/>
  <c r="E90" i="65"/>
  <c r="D90" i="65"/>
  <c r="P89" i="65"/>
  <c r="N89" i="65"/>
  <c r="M89" i="65"/>
  <c r="L89" i="65"/>
  <c r="K89" i="65"/>
  <c r="J89" i="65"/>
  <c r="I89" i="65"/>
  <c r="H89" i="65"/>
  <c r="G89" i="65"/>
  <c r="F89" i="65"/>
  <c r="E89" i="65"/>
  <c r="D89" i="65"/>
  <c r="P88" i="65"/>
  <c r="N88" i="65"/>
  <c r="M88" i="65"/>
  <c r="L88" i="65"/>
  <c r="K88" i="65"/>
  <c r="J88" i="65"/>
  <c r="I88" i="65"/>
  <c r="H88" i="65"/>
  <c r="G88" i="65"/>
  <c r="F88" i="65"/>
  <c r="E88" i="65"/>
  <c r="D88" i="65"/>
  <c r="P87" i="65"/>
  <c r="N87" i="65"/>
  <c r="M87" i="65"/>
  <c r="L87" i="65"/>
  <c r="K87" i="65"/>
  <c r="J87" i="65"/>
  <c r="I87" i="65"/>
  <c r="H87" i="65"/>
  <c r="G87" i="65"/>
  <c r="F87" i="65"/>
  <c r="E87" i="65"/>
  <c r="D87" i="65"/>
  <c r="P86" i="65"/>
  <c r="N86" i="65"/>
  <c r="M86" i="65"/>
  <c r="L86" i="65"/>
  <c r="K86" i="65"/>
  <c r="J86" i="65"/>
  <c r="I86" i="65"/>
  <c r="H86" i="65"/>
  <c r="G86" i="65"/>
  <c r="F86" i="65"/>
  <c r="E86" i="65"/>
  <c r="D86" i="65"/>
  <c r="P85" i="65"/>
  <c r="N85" i="65"/>
  <c r="M85" i="65"/>
  <c r="L85" i="65"/>
  <c r="K85" i="65"/>
  <c r="J85" i="65"/>
  <c r="I85" i="65"/>
  <c r="H85" i="65"/>
  <c r="G85" i="65"/>
  <c r="F85" i="65"/>
  <c r="E85" i="65"/>
  <c r="D85" i="65"/>
  <c r="P84" i="65"/>
  <c r="N84" i="65"/>
  <c r="M84" i="65"/>
  <c r="L84" i="65"/>
  <c r="K84" i="65"/>
  <c r="J84" i="65"/>
  <c r="I84" i="65"/>
  <c r="H84" i="65"/>
  <c r="G84" i="65"/>
  <c r="F84" i="65"/>
  <c r="E84" i="65"/>
  <c r="D84" i="65"/>
  <c r="P83" i="65"/>
  <c r="N83" i="65"/>
  <c r="M83" i="65"/>
  <c r="L83" i="65"/>
  <c r="K83" i="65"/>
  <c r="J83" i="65"/>
  <c r="I83" i="65"/>
  <c r="H83" i="65"/>
  <c r="G83" i="65"/>
  <c r="F83" i="65"/>
  <c r="E83" i="65"/>
  <c r="D83" i="65"/>
  <c r="P82" i="65"/>
  <c r="N82" i="65"/>
  <c r="M82" i="65"/>
  <c r="L82" i="65"/>
  <c r="K82" i="65"/>
  <c r="J82" i="65"/>
  <c r="I82" i="65"/>
  <c r="H82" i="65"/>
  <c r="G82" i="65"/>
  <c r="F82" i="65"/>
  <c r="E82" i="65"/>
  <c r="D82" i="65"/>
  <c r="P81" i="65"/>
  <c r="N81" i="65"/>
  <c r="M81" i="65"/>
  <c r="L81" i="65"/>
  <c r="K81" i="65"/>
  <c r="J81" i="65"/>
  <c r="I81" i="65"/>
  <c r="H81" i="65"/>
  <c r="G81" i="65"/>
  <c r="F81" i="65"/>
  <c r="E81" i="65"/>
  <c r="D81" i="65"/>
  <c r="P80" i="65"/>
  <c r="N80" i="65"/>
  <c r="M80" i="65"/>
  <c r="L80" i="65"/>
  <c r="K80" i="65"/>
  <c r="J80" i="65"/>
  <c r="I80" i="65"/>
  <c r="H80" i="65"/>
  <c r="G80" i="65"/>
  <c r="F80" i="65"/>
  <c r="E80" i="65"/>
  <c r="D80" i="65"/>
  <c r="P79" i="65"/>
  <c r="N79" i="65"/>
  <c r="M79" i="65"/>
  <c r="L79" i="65"/>
  <c r="K79" i="65"/>
  <c r="J79" i="65"/>
  <c r="I79" i="65"/>
  <c r="H79" i="65"/>
  <c r="G79" i="65"/>
  <c r="F79" i="65"/>
  <c r="E79" i="65"/>
  <c r="D79" i="65"/>
  <c r="P78" i="65"/>
  <c r="N78" i="65"/>
  <c r="M78" i="65"/>
  <c r="L78" i="65"/>
  <c r="K78" i="65"/>
  <c r="J78" i="65"/>
  <c r="I78" i="65"/>
  <c r="H78" i="65"/>
  <c r="G78" i="65"/>
  <c r="F78" i="65"/>
  <c r="E78" i="65"/>
  <c r="D78" i="65"/>
  <c r="P77" i="65"/>
  <c r="N77" i="65"/>
  <c r="M77" i="65"/>
  <c r="L77" i="65"/>
  <c r="K77" i="65"/>
  <c r="J77" i="65"/>
  <c r="I77" i="65"/>
  <c r="H77" i="65"/>
  <c r="G77" i="65"/>
  <c r="F77" i="65"/>
  <c r="E77" i="65"/>
  <c r="D77" i="65"/>
  <c r="P76" i="65"/>
  <c r="N76" i="65"/>
  <c r="M76" i="65"/>
  <c r="L76" i="65"/>
  <c r="K76" i="65"/>
  <c r="J76" i="65"/>
  <c r="I76" i="65"/>
  <c r="H76" i="65"/>
  <c r="G76" i="65"/>
  <c r="F76" i="65"/>
  <c r="E76" i="65"/>
  <c r="D76" i="65"/>
  <c r="P75" i="65"/>
  <c r="N75" i="65"/>
  <c r="M75" i="65"/>
  <c r="L75" i="65"/>
  <c r="K75" i="65"/>
  <c r="J75" i="65"/>
  <c r="I75" i="65"/>
  <c r="H75" i="65"/>
  <c r="G75" i="65"/>
  <c r="F75" i="65"/>
  <c r="E75" i="65"/>
  <c r="D75" i="65"/>
  <c r="P74" i="65"/>
  <c r="N74" i="65"/>
  <c r="M74" i="65"/>
  <c r="L74" i="65"/>
  <c r="K74" i="65"/>
  <c r="J74" i="65"/>
  <c r="I74" i="65"/>
  <c r="H74" i="65"/>
  <c r="G74" i="65"/>
  <c r="F74" i="65"/>
  <c r="E74" i="65"/>
  <c r="D74" i="65"/>
  <c r="P73" i="65"/>
  <c r="N73" i="65"/>
  <c r="M73" i="65"/>
  <c r="L73" i="65"/>
  <c r="K73" i="65"/>
  <c r="J73" i="65"/>
  <c r="I73" i="65"/>
  <c r="H73" i="65"/>
  <c r="G73" i="65"/>
  <c r="F73" i="65"/>
  <c r="E73" i="65"/>
  <c r="D73" i="65"/>
  <c r="P72" i="65"/>
  <c r="N72" i="65"/>
  <c r="M72" i="65"/>
  <c r="L72" i="65"/>
  <c r="K72" i="65"/>
  <c r="J72" i="65"/>
  <c r="I72" i="65"/>
  <c r="H72" i="65"/>
  <c r="G72" i="65"/>
  <c r="F72" i="65"/>
  <c r="E72" i="65"/>
  <c r="D72" i="65"/>
  <c r="P71" i="65"/>
  <c r="N71" i="65"/>
  <c r="M71" i="65"/>
  <c r="L71" i="65"/>
  <c r="K71" i="65"/>
  <c r="J71" i="65"/>
  <c r="I71" i="65"/>
  <c r="H71" i="65"/>
  <c r="G71" i="65"/>
  <c r="F71" i="65"/>
  <c r="E71" i="65"/>
  <c r="D71" i="65"/>
  <c r="P70" i="65"/>
  <c r="N70" i="65"/>
  <c r="M70" i="65"/>
  <c r="L70" i="65"/>
  <c r="K70" i="65"/>
  <c r="J70" i="65"/>
  <c r="I70" i="65"/>
  <c r="H70" i="65"/>
  <c r="G70" i="65"/>
  <c r="F70" i="65"/>
  <c r="E70" i="65"/>
  <c r="D70" i="65"/>
  <c r="P69" i="65"/>
  <c r="N69" i="65"/>
  <c r="M69" i="65"/>
  <c r="L69" i="65"/>
  <c r="K69" i="65"/>
  <c r="J69" i="65"/>
  <c r="I69" i="65"/>
  <c r="H69" i="65"/>
  <c r="G69" i="65"/>
  <c r="F69" i="65"/>
  <c r="E69" i="65"/>
  <c r="D69" i="65"/>
  <c r="P68" i="65"/>
  <c r="N68" i="65"/>
  <c r="M68" i="65"/>
  <c r="L68" i="65"/>
  <c r="K68" i="65"/>
  <c r="J68" i="65"/>
  <c r="I68" i="65"/>
  <c r="H68" i="65"/>
  <c r="G68" i="65"/>
  <c r="F68" i="65"/>
  <c r="E68" i="65"/>
  <c r="D68" i="65"/>
  <c r="P67" i="65"/>
  <c r="N67" i="65"/>
  <c r="M67" i="65"/>
  <c r="L67" i="65"/>
  <c r="K67" i="65"/>
  <c r="J67" i="65"/>
  <c r="I67" i="65"/>
  <c r="H67" i="65"/>
  <c r="G67" i="65"/>
  <c r="F67" i="65"/>
  <c r="E67" i="65"/>
  <c r="D67" i="65"/>
  <c r="P66" i="65"/>
  <c r="N66" i="65"/>
  <c r="M66" i="65"/>
  <c r="L66" i="65"/>
  <c r="K66" i="65"/>
  <c r="J66" i="65"/>
  <c r="I66" i="65"/>
  <c r="H66" i="65"/>
  <c r="G66" i="65"/>
  <c r="F66" i="65"/>
  <c r="E66" i="65"/>
  <c r="D66" i="65"/>
  <c r="P65" i="65"/>
  <c r="N65" i="65"/>
  <c r="M65" i="65"/>
  <c r="L65" i="65"/>
  <c r="K65" i="65"/>
  <c r="J65" i="65"/>
  <c r="I65" i="65"/>
  <c r="H65" i="65"/>
  <c r="G65" i="65"/>
  <c r="F65" i="65"/>
  <c r="E65" i="65"/>
  <c r="D65" i="65"/>
  <c r="P64" i="65"/>
  <c r="N64" i="65"/>
  <c r="M64" i="65"/>
  <c r="L64" i="65"/>
  <c r="K64" i="65"/>
  <c r="J64" i="65"/>
  <c r="I64" i="65"/>
  <c r="H64" i="65"/>
  <c r="G64" i="65"/>
  <c r="F64" i="65"/>
  <c r="E64" i="65"/>
  <c r="D64" i="65"/>
  <c r="P63" i="65"/>
  <c r="N63" i="65"/>
  <c r="M63" i="65"/>
  <c r="L63" i="65"/>
  <c r="K63" i="65"/>
  <c r="J63" i="65"/>
  <c r="I63" i="65"/>
  <c r="H63" i="65"/>
  <c r="G63" i="65"/>
  <c r="F63" i="65"/>
  <c r="E63" i="65"/>
  <c r="D63" i="65"/>
  <c r="P62" i="65"/>
  <c r="N62" i="65"/>
  <c r="M62" i="65"/>
  <c r="L62" i="65"/>
  <c r="K62" i="65"/>
  <c r="J62" i="65"/>
  <c r="I62" i="65"/>
  <c r="H62" i="65"/>
  <c r="G62" i="65"/>
  <c r="F62" i="65"/>
  <c r="E62" i="65"/>
  <c r="D62" i="65"/>
  <c r="P61" i="65"/>
  <c r="N61" i="65"/>
  <c r="M61" i="65"/>
  <c r="L61" i="65"/>
  <c r="K61" i="65"/>
  <c r="J61" i="65"/>
  <c r="I61" i="65"/>
  <c r="H61" i="65"/>
  <c r="G61" i="65"/>
  <c r="F61" i="65"/>
  <c r="E61" i="65"/>
  <c r="D61" i="65"/>
  <c r="P60" i="65"/>
  <c r="N60" i="65"/>
  <c r="M60" i="65"/>
  <c r="L60" i="65"/>
  <c r="K60" i="65"/>
  <c r="J60" i="65"/>
  <c r="I60" i="65"/>
  <c r="H60" i="65"/>
  <c r="G60" i="65"/>
  <c r="F60" i="65"/>
  <c r="E60" i="65"/>
  <c r="D60" i="65"/>
  <c r="P59" i="65"/>
  <c r="N59" i="65"/>
  <c r="M59" i="65"/>
  <c r="L59" i="65"/>
  <c r="K59" i="65"/>
  <c r="J59" i="65"/>
  <c r="I59" i="65"/>
  <c r="H59" i="65"/>
  <c r="G59" i="65"/>
  <c r="F59" i="65"/>
  <c r="E59" i="65"/>
  <c r="D59" i="65"/>
  <c r="P58" i="65"/>
  <c r="N58" i="65"/>
  <c r="M58" i="65"/>
  <c r="L58" i="65"/>
  <c r="K58" i="65"/>
  <c r="J58" i="65"/>
  <c r="I58" i="65"/>
  <c r="H58" i="65"/>
  <c r="G58" i="65"/>
  <c r="F58" i="65"/>
  <c r="E58" i="65"/>
  <c r="D58" i="65"/>
  <c r="P57" i="65"/>
  <c r="N57" i="65"/>
  <c r="M57" i="65"/>
  <c r="L57" i="65"/>
  <c r="K57" i="65"/>
  <c r="J57" i="65"/>
  <c r="I57" i="65"/>
  <c r="H57" i="65"/>
  <c r="G57" i="65"/>
  <c r="F57" i="65"/>
  <c r="E57" i="65"/>
  <c r="D57" i="65"/>
  <c r="P56" i="65"/>
  <c r="N56" i="65"/>
  <c r="M56" i="65"/>
  <c r="L56" i="65"/>
  <c r="K56" i="65"/>
  <c r="J56" i="65"/>
  <c r="I56" i="65"/>
  <c r="H56" i="65"/>
  <c r="G56" i="65"/>
  <c r="F56" i="65"/>
  <c r="E56" i="65"/>
  <c r="D56" i="65"/>
  <c r="P55" i="65"/>
  <c r="N55" i="65"/>
  <c r="M55" i="65"/>
  <c r="L55" i="65"/>
  <c r="K55" i="65"/>
  <c r="J55" i="65"/>
  <c r="I55" i="65"/>
  <c r="H55" i="65"/>
  <c r="G55" i="65"/>
  <c r="F55" i="65"/>
  <c r="E55" i="65"/>
  <c r="D55" i="65"/>
  <c r="P54" i="65"/>
  <c r="N54" i="65"/>
  <c r="M54" i="65"/>
  <c r="L54" i="65"/>
  <c r="K54" i="65"/>
  <c r="J54" i="65"/>
  <c r="I54" i="65"/>
  <c r="H54" i="65"/>
  <c r="G54" i="65"/>
  <c r="F54" i="65"/>
  <c r="E54" i="65"/>
  <c r="D54" i="65"/>
  <c r="P53" i="65"/>
  <c r="N53" i="65"/>
  <c r="M53" i="65"/>
  <c r="L53" i="65"/>
  <c r="K53" i="65"/>
  <c r="J53" i="65"/>
  <c r="I53" i="65"/>
  <c r="H53" i="65"/>
  <c r="G53" i="65"/>
  <c r="F53" i="65"/>
  <c r="E53" i="65"/>
  <c r="D53" i="65"/>
  <c r="P52" i="65"/>
  <c r="N52" i="65"/>
  <c r="M52" i="65"/>
  <c r="L52" i="65"/>
  <c r="K52" i="65"/>
  <c r="J52" i="65"/>
  <c r="I52" i="65"/>
  <c r="H52" i="65"/>
  <c r="G52" i="65"/>
  <c r="F52" i="65"/>
  <c r="E52" i="65"/>
  <c r="D52" i="65"/>
  <c r="P51" i="65"/>
  <c r="N51" i="65"/>
  <c r="M51" i="65"/>
  <c r="L51" i="65"/>
  <c r="K51" i="65"/>
  <c r="J51" i="65"/>
  <c r="I51" i="65"/>
  <c r="H51" i="65"/>
  <c r="G51" i="65"/>
  <c r="F51" i="65"/>
  <c r="E51" i="65"/>
  <c r="D51" i="65"/>
  <c r="P50" i="65"/>
  <c r="N50" i="65"/>
  <c r="M50" i="65"/>
  <c r="L50" i="65"/>
  <c r="K50" i="65"/>
  <c r="J50" i="65"/>
  <c r="I50" i="65"/>
  <c r="H50" i="65"/>
  <c r="G50" i="65"/>
  <c r="F50" i="65"/>
  <c r="E50" i="65"/>
  <c r="D50" i="65"/>
  <c r="P49" i="65"/>
  <c r="N49" i="65"/>
  <c r="M49" i="65"/>
  <c r="L49" i="65"/>
  <c r="K49" i="65"/>
  <c r="J49" i="65"/>
  <c r="I49" i="65"/>
  <c r="H49" i="65"/>
  <c r="G49" i="65"/>
  <c r="F49" i="65"/>
  <c r="E49" i="65"/>
  <c r="D49" i="65"/>
  <c r="P48" i="65"/>
  <c r="N48" i="65"/>
  <c r="M48" i="65"/>
  <c r="L48" i="65"/>
  <c r="K48" i="65"/>
  <c r="J48" i="65"/>
  <c r="I48" i="65"/>
  <c r="H48" i="65"/>
  <c r="G48" i="65"/>
  <c r="F48" i="65"/>
  <c r="E48" i="65"/>
  <c r="D48" i="65"/>
  <c r="P47" i="65"/>
  <c r="N47" i="65"/>
  <c r="M47" i="65"/>
  <c r="L47" i="65"/>
  <c r="K47" i="65"/>
  <c r="J47" i="65"/>
  <c r="I47" i="65"/>
  <c r="H47" i="65"/>
  <c r="G47" i="65"/>
  <c r="F47" i="65"/>
  <c r="E47" i="65"/>
  <c r="D47" i="65"/>
  <c r="P46" i="65"/>
  <c r="N46" i="65"/>
  <c r="M46" i="65"/>
  <c r="L46" i="65"/>
  <c r="K46" i="65"/>
  <c r="J46" i="65"/>
  <c r="I46" i="65"/>
  <c r="H46" i="65"/>
  <c r="G46" i="65"/>
  <c r="F46" i="65"/>
  <c r="E46" i="65"/>
  <c r="D46" i="65"/>
  <c r="P45" i="65"/>
  <c r="N45" i="65"/>
  <c r="M45" i="65"/>
  <c r="L45" i="65"/>
  <c r="K45" i="65"/>
  <c r="J45" i="65"/>
  <c r="I45" i="65"/>
  <c r="H45" i="65"/>
  <c r="G45" i="65"/>
  <c r="F45" i="65"/>
  <c r="E45" i="65"/>
  <c r="D45" i="65"/>
  <c r="P44" i="65"/>
  <c r="N44" i="65"/>
  <c r="M44" i="65"/>
  <c r="L44" i="65"/>
  <c r="K44" i="65"/>
  <c r="J44" i="65"/>
  <c r="I44" i="65"/>
  <c r="H44" i="65"/>
  <c r="G44" i="65"/>
  <c r="F44" i="65"/>
  <c r="E44" i="65"/>
  <c r="D44" i="65"/>
  <c r="P43" i="65"/>
  <c r="N43" i="65"/>
  <c r="M43" i="65"/>
  <c r="L43" i="65"/>
  <c r="K43" i="65"/>
  <c r="J43" i="65"/>
  <c r="I43" i="65"/>
  <c r="H43" i="65"/>
  <c r="G43" i="65"/>
  <c r="F43" i="65"/>
  <c r="E43" i="65"/>
  <c r="D43" i="65"/>
  <c r="P42" i="65"/>
  <c r="N42" i="65"/>
  <c r="M42" i="65"/>
  <c r="L42" i="65"/>
  <c r="K42" i="65"/>
  <c r="J42" i="65"/>
  <c r="I42" i="65"/>
  <c r="H42" i="65"/>
  <c r="G42" i="65"/>
  <c r="F42" i="65"/>
  <c r="E42" i="65"/>
  <c r="D42" i="65"/>
  <c r="P41" i="65"/>
  <c r="N41" i="65"/>
  <c r="M41" i="65"/>
  <c r="L41" i="65"/>
  <c r="K41" i="65"/>
  <c r="J41" i="65"/>
  <c r="I41" i="65"/>
  <c r="H41" i="65"/>
  <c r="G41" i="65"/>
  <c r="F41" i="65"/>
  <c r="E41" i="65"/>
  <c r="D41" i="65"/>
  <c r="P40" i="65"/>
  <c r="N40" i="65"/>
  <c r="M40" i="65"/>
  <c r="L40" i="65"/>
  <c r="K40" i="65"/>
  <c r="J40" i="65"/>
  <c r="I40" i="65"/>
  <c r="H40" i="65"/>
  <c r="G40" i="65"/>
  <c r="F40" i="65"/>
  <c r="E40" i="65"/>
  <c r="D40" i="65"/>
  <c r="P39" i="65"/>
  <c r="N39" i="65"/>
  <c r="M39" i="65"/>
  <c r="L39" i="65"/>
  <c r="K39" i="65"/>
  <c r="J39" i="65"/>
  <c r="I39" i="65"/>
  <c r="H39" i="65"/>
  <c r="G39" i="65"/>
  <c r="F39" i="65"/>
  <c r="E39" i="65"/>
  <c r="D39" i="65"/>
  <c r="P38" i="65"/>
  <c r="N38" i="65"/>
  <c r="M38" i="65"/>
  <c r="L38" i="65"/>
  <c r="K38" i="65"/>
  <c r="J38" i="65"/>
  <c r="I38" i="65"/>
  <c r="H38" i="65"/>
  <c r="G38" i="65"/>
  <c r="F38" i="65"/>
  <c r="E38" i="65"/>
  <c r="D38" i="65"/>
  <c r="P37" i="65"/>
  <c r="N37" i="65"/>
  <c r="M37" i="65"/>
  <c r="L37" i="65"/>
  <c r="K37" i="65"/>
  <c r="J37" i="65"/>
  <c r="I37" i="65"/>
  <c r="H37" i="65"/>
  <c r="G37" i="65"/>
  <c r="F37" i="65"/>
  <c r="E37" i="65"/>
  <c r="D37" i="65"/>
  <c r="P36" i="65"/>
  <c r="N36" i="65"/>
  <c r="M36" i="65"/>
  <c r="L36" i="65"/>
  <c r="K36" i="65"/>
  <c r="J36" i="65"/>
  <c r="I36" i="65"/>
  <c r="H36" i="65"/>
  <c r="G36" i="65"/>
  <c r="F36" i="65"/>
  <c r="E36" i="65"/>
  <c r="D36" i="65"/>
  <c r="P35" i="65"/>
  <c r="N35" i="65"/>
  <c r="M35" i="65"/>
  <c r="L35" i="65"/>
  <c r="K35" i="65"/>
  <c r="J35" i="65"/>
  <c r="I35" i="65"/>
  <c r="H35" i="65"/>
  <c r="G35" i="65"/>
  <c r="F35" i="65"/>
  <c r="E35" i="65"/>
  <c r="D35" i="65"/>
  <c r="P34" i="65"/>
  <c r="N34" i="65"/>
  <c r="M34" i="65"/>
  <c r="L34" i="65"/>
  <c r="K34" i="65"/>
  <c r="J34" i="65"/>
  <c r="I34" i="65"/>
  <c r="H34" i="65"/>
  <c r="G34" i="65"/>
  <c r="F34" i="65"/>
  <c r="E34" i="65"/>
  <c r="D34" i="65"/>
  <c r="P33" i="65"/>
  <c r="N33" i="65"/>
  <c r="M33" i="65"/>
  <c r="L33" i="65"/>
  <c r="K33" i="65"/>
  <c r="J33" i="65"/>
  <c r="I33" i="65"/>
  <c r="H33" i="65"/>
  <c r="G33" i="65"/>
  <c r="F33" i="65"/>
  <c r="E33" i="65"/>
  <c r="D33" i="65"/>
  <c r="P32" i="65"/>
  <c r="N32" i="65"/>
  <c r="M32" i="65"/>
  <c r="L32" i="65"/>
  <c r="K32" i="65"/>
  <c r="J32" i="65"/>
  <c r="I32" i="65"/>
  <c r="H32" i="65"/>
  <c r="G32" i="65"/>
  <c r="F32" i="65"/>
  <c r="E32" i="65"/>
  <c r="D32" i="65"/>
  <c r="P31" i="65"/>
  <c r="N31" i="65"/>
  <c r="M31" i="65"/>
  <c r="L31" i="65"/>
  <c r="K31" i="65"/>
  <c r="J31" i="65"/>
  <c r="I31" i="65"/>
  <c r="H31" i="65"/>
  <c r="G31" i="65"/>
  <c r="F31" i="65"/>
  <c r="E31" i="65"/>
  <c r="D31" i="65"/>
  <c r="P30" i="65"/>
  <c r="N30" i="65"/>
  <c r="M30" i="65"/>
  <c r="L30" i="65"/>
  <c r="K30" i="65"/>
  <c r="J30" i="65"/>
  <c r="I30" i="65"/>
  <c r="H30" i="65"/>
  <c r="G30" i="65"/>
  <c r="F30" i="65"/>
  <c r="E30" i="65"/>
  <c r="D30" i="65"/>
  <c r="P29" i="65"/>
  <c r="N29" i="65"/>
  <c r="M29" i="65"/>
  <c r="L29" i="65"/>
  <c r="K29" i="65"/>
  <c r="J29" i="65"/>
  <c r="I29" i="65"/>
  <c r="H29" i="65"/>
  <c r="G29" i="65"/>
  <c r="F29" i="65"/>
  <c r="E29" i="65"/>
  <c r="D29" i="65"/>
  <c r="P28" i="65"/>
  <c r="N28" i="65"/>
  <c r="M28" i="65"/>
  <c r="L28" i="65"/>
  <c r="K28" i="65"/>
  <c r="J28" i="65"/>
  <c r="I28" i="65"/>
  <c r="H28" i="65"/>
  <c r="G28" i="65"/>
  <c r="F28" i="65"/>
  <c r="E28" i="65"/>
  <c r="D28" i="65"/>
  <c r="P27" i="65"/>
  <c r="N27" i="65"/>
  <c r="M27" i="65"/>
  <c r="L27" i="65"/>
  <c r="K27" i="65"/>
  <c r="J27" i="65"/>
  <c r="I27" i="65"/>
  <c r="H27" i="65"/>
  <c r="G27" i="65"/>
  <c r="F27" i="65"/>
  <c r="E27" i="65"/>
  <c r="D27" i="65"/>
  <c r="P26" i="65"/>
  <c r="N26" i="65"/>
  <c r="M26" i="65"/>
  <c r="L26" i="65"/>
  <c r="K26" i="65"/>
  <c r="J26" i="65"/>
  <c r="I26" i="65"/>
  <c r="H26" i="65"/>
  <c r="G26" i="65"/>
  <c r="F26" i="65"/>
  <c r="E26" i="65"/>
  <c r="D26" i="65"/>
  <c r="P25" i="65"/>
  <c r="N25" i="65"/>
  <c r="M25" i="65"/>
  <c r="L25" i="65"/>
  <c r="K25" i="65"/>
  <c r="J25" i="65"/>
  <c r="I25" i="65"/>
  <c r="H25" i="65"/>
  <c r="G25" i="65"/>
  <c r="F25" i="65"/>
  <c r="E25" i="65"/>
  <c r="D25" i="65"/>
  <c r="P24" i="65"/>
  <c r="N24" i="65"/>
  <c r="M24" i="65"/>
  <c r="L24" i="65"/>
  <c r="K24" i="65"/>
  <c r="J24" i="65"/>
  <c r="I24" i="65"/>
  <c r="H24" i="65"/>
  <c r="G24" i="65"/>
  <c r="F24" i="65"/>
  <c r="E24" i="65"/>
  <c r="D24" i="65"/>
  <c r="P23" i="65"/>
  <c r="N23" i="65"/>
  <c r="M23" i="65"/>
  <c r="L23" i="65"/>
  <c r="K23" i="65"/>
  <c r="J23" i="65"/>
  <c r="I23" i="65"/>
  <c r="H23" i="65"/>
  <c r="G23" i="65"/>
  <c r="F23" i="65"/>
  <c r="E23" i="65"/>
  <c r="D23" i="65"/>
  <c r="P22" i="65"/>
  <c r="N22" i="65"/>
  <c r="M22" i="65"/>
  <c r="L22" i="65"/>
  <c r="K22" i="65"/>
  <c r="J22" i="65"/>
  <c r="I22" i="65"/>
  <c r="H22" i="65"/>
  <c r="G22" i="65"/>
  <c r="F22" i="65"/>
  <c r="E22" i="65"/>
  <c r="D22" i="65"/>
  <c r="N19" i="65"/>
  <c r="M19" i="65"/>
  <c r="L19" i="65"/>
  <c r="K19" i="65"/>
  <c r="J19" i="65"/>
  <c r="H19" i="65"/>
  <c r="G19" i="65"/>
  <c r="F19" i="65"/>
  <c r="E19" i="65"/>
  <c r="D19" i="65"/>
  <c r="O18" i="65"/>
  <c r="N18" i="65"/>
  <c r="M18" i="65"/>
  <c r="L18" i="65"/>
  <c r="K18" i="65"/>
  <c r="J18" i="65"/>
  <c r="I18" i="65"/>
  <c r="H18" i="65"/>
  <c r="G18" i="65"/>
  <c r="F18" i="65"/>
  <c r="E18" i="65"/>
  <c r="D18" i="65"/>
  <c r="P17" i="65"/>
  <c r="P16" i="65"/>
  <c r="P15" i="65"/>
  <c r="P14" i="65"/>
  <c r="N13" i="65"/>
  <c r="M13" i="65"/>
  <c r="L13" i="65"/>
  <c r="K13" i="65"/>
  <c r="J13" i="65"/>
  <c r="H13" i="65"/>
  <c r="G13" i="65"/>
  <c r="F13" i="65"/>
  <c r="E13" i="65"/>
  <c r="D13" i="65"/>
  <c r="N12" i="65"/>
  <c r="M12" i="65"/>
  <c r="L12" i="65"/>
  <c r="K12" i="65"/>
  <c r="J12" i="65"/>
  <c r="I12" i="65"/>
  <c r="H12" i="65"/>
  <c r="G12" i="65"/>
  <c r="F12" i="65"/>
  <c r="E12" i="65"/>
  <c r="D12" i="65"/>
  <c r="N11" i="65"/>
  <c r="M11" i="65"/>
  <c r="L11" i="65"/>
  <c r="K11" i="65"/>
  <c r="J11" i="65"/>
  <c r="I11" i="65"/>
  <c r="P11" i="65" s="1"/>
  <c r="H11" i="65"/>
  <c r="G11" i="65"/>
  <c r="F11" i="65"/>
  <c r="E11" i="65"/>
  <c r="D11" i="65"/>
  <c r="N10" i="65"/>
  <c r="M10" i="65"/>
  <c r="L10" i="65"/>
  <c r="K10" i="65"/>
  <c r="J10" i="65"/>
  <c r="I10" i="65"/>
  <c r="P10" i="65" s="1"/>
  <c r="H10" i="65"/>
  <c r="G10" i="65"/>
  <c r="F10" i="65"/>
  <c r="E10" i="65"/>
  <c r="D10" i="65"/>
  <c r="N9" i="65"/>
  <c r="M9" i="65"/>
  <c r="L9" i="65"/>
  <c r="K9" i="65"/>
  <c r="J9" i="65"/>
  <c r="I9" i="65"/>
  <c r="I8" i="65" s="1"/>
  <c r="P8" i="65" s="1"/>
  <c r="H9" i="65"/>
  <c r="G9" i="65"/>
  <c r="F9" i="65"/>
  <c r="E9" i="65"/>
  <c r="D9" i="65"/>
  <c r="O8" i="65"/>
  <c r="O13" i="65" s="1"/>
  <c r="N8" i="65"/>
  <c r="M8" i="65"/>
  <c r="L8" i="65"/>
  <c r="K8" i="65"/>
  <c r="J8" i="65"/>
  <c r="H8" i="65"/>
  <c r="G8" i="65"/>
  <c r="F8" i="65"/>
  <c r="E8" i="65"/>
  <c r="D8" i="65"/>
  <c r="J141" i="64"/>
  <c r="N137" i="64"/>
  <c r="M137" i="64"/>
  <c r="L137" i="64"/>
  <c r="K137" i="64"/>
  <c r="J137" i="64"/>
  <c r="H137" i="64"/>
  <c r="G137" i="64"/>
  <c r="F137" i="64"/>
  <c r="E137" i="64"/>
  <c r="D137" i="64"/>
  <c r="N134" i="64"/>
  <c r="M134" i="64"/>
  <c r="L134" i="64"/>
  <c r="K134" i="64"/>
  <c r="J134" i="64"/>
  <c r="H134" i="64"/>
  <c r="G134" i="64"/>
  <c r="F134" i="64"/>
  <c r="E134" i="64"/>
  <c r="D134" i="64"/>
  <c r="O132" i="64"/>
  <c r="P132" i="64" s="1"/>
  <c r="N132" i="64"/>
  <c r="M132" i="64"/>
  <c r="L132" i="64"/>
  <c r="K132" i="64"/>
  <c r="J132" i="64"/>
  <c r="I132" i="64"/>
  <c r="H132" i="64"/>
  <c r="G132" i="64"/>
  <c r="F132" i="64"/>
  <c r="E132" i="64"/>
  <c r="D132" i="64"/>
  <c r="P131" i="64"/>
  <c r="N131" i="64"/>
  <c r="M131" i="64"/>
  <c r="L131" i="64"/>
  <c r="K131" i="64"/>
  <c r="J131" i="64"/>
  <c r="I131" i="64"/>
  <c r="H131" i="64"/>
  <c r="G131" i="64"/>
  <c r="F131" i="64"/>
  <c r="E131" i="64"/>
  <c r="D131" i="64"/>
  <c r="P130" i="64"/>
  <c r="N130" i="64"/>
  <c r="M130" i="64"/>
  <c r="L130" i="64"/>
  <c r="K130" i="64"/>
  <c r="J130" i="64"/>
  <c r="I130" i="64"/>
  <c r="H130" i="64"/>
  <c r="G130" i="64"/>
  <c r="F130" i="64"/>
  <c r="E130" i="64"/>
  <c r="D130" i="64"/>
  <c r="P129" i="64"/>
  <c r="N129" i="64"/>
  <c r="M129" i="64"/>
  <c r="L129" i="64"/>
  <c r="K129" i="64"/>
  <c r="J129" i="64"/>
  <c r="I129" i="64"/>
  <c r="H129" i="64"/>
  <c r="G129" i="64"/>
  <c r="F129" i="64"/>
  <c r="E129" i="64"/>
  <c r="D129" i="64"/>
  <c r="P128" i="64"/>
  <c r="N128" i="64"/>
  <c r="M128" i="64"/>
  <c r="L128" i="64"/>
  <c r="K128" i="64"/>
  <c r="J128" i="64"/>
  <c r="I128" i="64"/>
  <c r="H128" i="64"/>
  <c r="G128" i="64"/>
  <c r="F128" i="64"/>
  <c r="E128" i="64"/>
  <c r="D128" i="64"/>
  <c r="P127" i="64"/>
  <c r="N127" i="64"/>
  <c r="M127" i="64"/>
  <c r="L127" i="64"/>
  <c r="K127" i="64"/>
  <c r="J127" i="64"/>
  <c r="I127" i="64"/>
  <c r="H127" i="64"/>
  <c r="G127" i="64"/>
  <c r="F127" i="64"/>
  <c r="E127" i="64"/>
  <c r="D127" i="64"/>
  <c r="P126" i="64"/>
  <c r="N126" i="64"/>
  <c r="M126" i="64"/>
  <c r="L126" i="64"/>
  <c r="K126" i="64"/>
  <c r="J126" i="64"/>
  <c r="I126" i="64"/>
  <c r="H126" i="64"/>
  <c r="G126" i="64"/>
  <c r="F126" i="64"/>
  <c r="E126" i="64"/>
  <c r="D126" i="64"/>
  <c r="P125" i="64"/>
  <c r="N125" i="64"/>
  <c r="M125" i="64"/>
  <c r="L125" i="64"/>
  <c r="K125" i="64"/>
  <c r="J125" i="64"/>
  <c r="I125" i="64"/>
  <c r="H125" i="64"/>
  <c r="G125" i="64"/>
  <c r="F125" i="64"/>
  <c r="E125" i="64"/>
  <c r="D125" i="64"/>
  <c r="P124" i="64"/>
  <c r="N124" i="64"/>
  <c r="M124" i="64"/>
  <c r="L124" i="64"/>
  <c r="K124" i="64"/>
  <c r="J124" i="64"/>
  <c r="I124" i="64"/>
  <c r="H124" i="64"/>
  <c r="G124" i="64"/>
  <c r="F124" i="64"/>
  <c r="E124" i="64"/>
  <c r="D124" i="64"/>
  <c r="P123" i="64"/>
  <c r="N123" i="64"/>
  <c r="M123" i="64"/>
  <c r="L123" i="64"/>
  <c r="K123" i="64"/>
  <c r="J123" i="64"/>
  <c r="I123" i="64"/>
  <c r="H123" i="64"/>
  <c r="G123" i="64"/>
  <c r="F123" i="64"/>
  <c r="E123" i="64"/>
  <c r="D123" i="64"/>
  <c r="P122" i="64"/>
  <c r="N122" i="64"/>
  <c r="M122" i="64"/>
  <c r="L122" i="64"/>
  <c r="K122" i="64"/>
  <c r="J122" i="64"/>
  <c r="I122" i="64"/>
  <c r="H122" i="64"/>
  <c r="G122" i="64"/>
  <c r="F122" i="64"/>
  <c r="E122" i="64"/>
  <c r="D122" i="64"/>
  <c r="P121" i="64"/>
  <c r="N121" i="64"/>
  <c r="M121" i="64"/>
  <c r="L121" i="64"/>
  <c r="K121" i="64"/>
  <c r="J121" i="64"/>
  <c r="I121" i="64"/>
  <c r="H121" i="64"/>
  <c r="G121" i="64"/>
  <c r="F121" i="64"/>
  <c r="E121" i="64"/>
  <c r="D121" i="64"/>
  <c r="P120" i="64"/>
  <c r="N120" i="64"/>
  <c r="M120" i="64"/>
  <c r="L120" i="64"/>
  <c r="K120" i="64"/>
  <c r="J120" i="64"/>
  <c r="I120" i="64"/>
  <c r="H120" i="64"/>
  <c r="G120" i="64"/>
  <c r="F120" i="64"/>
  <c r="E120" i="64"/>
  <c r="D120" i="64"/>
  <c r="P119" i="64"/>
  <c r="N119" i="64"/>
  <c r="M119" i="64"/>
  <c r="L119" i="64"/>
  <c r="K119" i="64"/>
  <c r="J119" i="64"/>
  <c r="I119" i="64"/>
  <c r="H119" i="64"/>
  <c r="G119" i="64"/>
  <c r="F119" i="64"/>
  <c r="E119" i="64"/>
  <c r="D119" i="64"/>
  <c r="P118" i="64"/>
  <c r="N118" i="64"/>
  <c r="M118" i="64"/>
  <c r="L118" i="64"/>
  <c r="K118" i="64"/>
  <c r="J118" i="64"/>
  <c r="I118" i="64"/>
  <c r="H118" i="64"/>
  <c r="G118" i="64"/>
  <c r="F118" i="64"/>
  <c r="E118" i="64"/>
  <c r="D118" i="64"/>
  <c r="P117" i="64"/>
  <c r="N117" i="64"/>
  <c r="M117" i="64"/>
  <c r="L117" i="64"/>
  <c r="K117" i="64"/>
  <c r="J117" i="64"/>
  <c r="I117" i="64"/>
  <c r="H117" i="64"/>
  <c r="G117" i="64"/>
  <c r="F117" i="64"/>
  <c r="E117" i="64"/>
  <c r="D117" i="64"/>
  <c r="P116" i="64"/>
  <c r="N116" i="64"/>
  <c r="M116" i="64"/>
  <c r="L116" i="64"/>
  <c r="K116" i="64"/>
  <c r="J116" i="64"/>
  <c r="I116" i="64"/>
  <c r="H116" i="64"/>
  <c r="G116" i="64"/>
  <c r="F116" i="64"/>
  <c r="E116" i="64"/>
  <c r="D116" i="64"/>
  <c r="P115" i="64"/>
  <c r="N115" i="64"/>
  <c r="M115" i="64"/>
  <c r="L115" i="64"/>
  <c r="K115" i="64"/>
  <c r="J115" i="64"/>
  <c r="I115" i="64"/>
  <c r="H115" i="64"/>
  <c r="G115" i="64"/>
  <c r="F115" i="64"/>
  <c r="E115" i="64"/>
  <c r="D115" i="64"/>
  <c r="P114" i="64"/>
  <c r="N114" i="64"/>
  <c r="M114" i="64"/>
  <c r="L114" i="64"/>
  <c r="K114" i="64"/>
  <c r="J114" i="64"/>
  <c r="I114" i="64"/>
  <c r="H114" i="64"/>
  <c r="G114" i="64"/>
  <c r="F114" i="64"/>
  <c r="E114" i="64"/>
  <c r="D114" i="64"/>
  <c r="P113" i="64"/>
  <c r="N113" i="64"/>
  <c r="M113" i="64"/>
  <c r="L113" i="64"/>
  <c r="K113" i="64"/>
  <c r="J113" i="64"/>
  <c r="I113" i="64"/>
  <c r="H113" i="64"/>
  <c r="G113" i="64"/>
  <c r="F113" i="64"/>
  <c r="E113" i="64"/>
  <c r="D113" i="64"/>
  <c r="P112" i="64"/>
  <c r="N112" i="64"/>
  <c r="M112" i="64"/>
  <c r="L112" i="64"/>
  <c r="K112" i="64"/>
  <c r="J112" i="64"/>
  <c r="I112" i="64"/>
  <c r="H112" i="64"/>
  <c r="G112" i="64"/>
  <c r="F112" i="64"/>
  <c r="E112" i="64"/>
  <c r="D112" i="64"/>
  <c r="P111" i="64"/>
  <c r="N111" i="64"/>
  <c r="M111" i="64"/>
  <c r="L111" i="64"/>
  <c r="K111" i="64"/>
  <c r="J111" i="64"/>
  <c r="I111" i="64"/>
  <c r="H111" i="64"/>
  <c r="G111" i="64"/>
  <c r="F111" i="64"/>
  <c r="E111" i="64"/>
  <c r="D111" i="64"/>
  <c r="P110" i="64"/>
  <c r="N110" i="64"/>
  <c r="M110" i="64"/>
  <c r="L110" i="64"/>
  <c r="K110" i="64"/>
  <c r="J110" i="64"/>
  <c r="I110" i="64"/>
  <c r="H110" i="64"/>
  <c r="G110" i="64"/>
  <c r="F110" i="64"/>
  <c r="E110" i="64"/>
  <c r="D110" i="64"/>
  <c r="P109" i="64"/>
  <c r="N109" i="64"/>
  <c r="M109" i="64"/>
  <c r="L109" i="64"/>
  <c r="K109" i="64"/>
  <c r="J109" i="64"/>
  <c r="I109" i="64"/>
  <c r="H109" i="64"/>
  <c r="G109" i="64"/>
  <c r="F109" i="64"/>
  <c r="E109" i="64"/>
  <c r="D109" i="64"/>
  <c r="P108" i="64"/>
  <c r="N108" i="64"/>
  <c r="M108" i="64"/>
  <c r="L108" i="64"/>
  <c r="K108" i="64"/>
  <c r="J108" i="64"/>
  <c r="I108" i="64"/>
  <c r="H108" i="64"/>
  <c r="G108" i="64"/>
  <c r="F108" i="64"/>
  <c r="E108" i="64"/>
  <c r="D108" i="64"/>
  <c r="P107" i="64"/>
  <c r="N107" i="64"/>
  <c r="M107" i="64"/>
  <c r="L107" i="64"/>
  <c r="K107" i="64"/>
  <c r="J107" i="64"/>
  <c r="I107" i="64"/>
  <c r="H107" i="64"/>
  <c r="G107" i="64"/>
  <c r="F107" i="64"/>
  <c r="E107" i="64"/>
  <c r="D107" i="64"/>
  <c r="P106" i="64"/>
  <c r="N106" i="64"/>
  <c r="M106" i="64"/>
  <c r="L106" i="64"/>
  <c r="K106" i="64"/>
  <c r="J106" i="64"/>
  <c r="I106" i="64"/>
  <c r="H106" i="64"/>
  <c r="G106" i="64"/>
  <c r="F106" i="64"/>
  <c r="E106" i="64"/>
  <c r="D106" i="64"/>
  <c r="P105" i="64"/>
  <c r="N105" i="64"/>
  <c r="M105" i="64"/>
  <c r="L105" i="64"/>
  <c r="K105" i="64"/>
  <c r="J105" i="64"/>
  <c r="I105" i="64"/>
  <c r="H105" i="64"/>
  <c r="G105" i="64"/>
  <c r="F105" i="64"/>
  <c r="E105" i="64"/>
  <c r="D105" i="64"/>
  <c r="P104" i="64"/>
  <c r="N104" i="64"/>
  <c r="M104" i="64"/>
  <c r="L104" i="64"/>
  <c r="K104" i="64"/>
  <c r="J104" i="64"/>
  <c r="I104" i="64"/>
  <c r="H104" i="64"/>
  <c r="G104" i="64"/>
  <c r="F104" i="64"/>
  <c r="E104" i="64"/>
  <c r="D104" i="64"/>
  <c r="P103" i="64"/>
  <c r="N103" i="64"/>
  <c r="M103" i="64"/>
  <c r="L103" i="64"/>
  <c r="K103" i="64"/>
  <c r="J103" i="64"/>
  <c r="I103" i="64"/>
  <c r="H103" i="64"/>
  <c r="G103" i="64"/>
  <c r="F103" i="64"/>
  <c r="E103" i="64"/>
  <c r="D103" i="64"/>
  <c r="P102" i="64"/>
  <c r="N102" i="64"/>
  <c r="M102" i="64"/>
  <c r="L102" i="64"/>
  <c r="K102" i="64"/>
  <c r="J102" i="64"/>
  <c r="I102" i="64"/>
  <c r="H102" i="64"/>
  <c r="G102" i="64"/>
  <c r="F102" i="64"/>
  <c r="E102" i="64"/>
  <c r="D102" i="64"/>
  <c r="P101" i="64"/>
  <c r="N101" i="64"/>
  <c r="M101" i="64"/>
  <c r="L101" i="64"/>
  <c r="K101" i="64"/>
  <c r="J101" i="64"/>
  <c r="I101" i="64"/>
  <c r="H101" i="64"/>
  <c r="G101" i="64"/>
  <c r="F101" i="64"/>
  <c r="E101" i="64"/>
  <c r="D101" i="64"/>
  <c r="P100" i="64"/>
  <c r="N100" i="64"/>
  <c r="M100" i="64"/>
  <c r="L100" i="64"/>
  <c r="K100" i="64"/>
  <c r="J100" i="64"/>
  <c r="I100" i="64"/>
  <c r="H100" i="64"/>
  <c r="G100" i="64"/>
  <c r="F100" i="64"/>
  <c r="E100" i="64"/>
  <c r="D100" i="64"/>
  <c r="P99" i="64"/>
  <c r="N99" i="64"/>
  <c r="M99" i="64"/>
  <c r="L99" i="64"/>
  <c r="K99" i="64"/>
  <c r="J99" i="64"/>
  <c r="I99" i="64"/>
  <c r="H99" i="64"/>
  <c r="G99" i="64"/>
  <c r="F99" i="64"/>
  <c r="E99" i="64"/>
  <c r="D99" i="64"/>
  <c r="P98" i="64"/>
  <c r="N98" i="64"/>
  <c r="M98" i="64"/>
  <c r="L98" i="64"/>
  <c r="K98" i="64"/>
  <c r="J98" i="64"/>
  <c r="I98" i="64"/>
  <c r="H98" i="64"/>
  <c r="G98" i="64"/>
  <c r="F98" i="64"/>
  <c r="E98" i="64"/>
  <c r="D98" i="64"/>
  <c r="P97" i="64"/>
  <c r="N97" i="64"/>
  <c r="M97" i="64"/>
  <c r="L97" i="64"/>
  <c r="K97" i="64"/>
  <c r="J97" i="64"/>
  <c r="I97" i="64"/>
  <c r="H97" i="64"/>
  <c r="G97" i="64"/>
  <c r="F97" i="64"/>
  <c r="E97" i="64"/>
  <c r="D97" i="64"/>
  <c r="P96" i="64"/>
  <c r="N96" i="64"/>
  <c r="M96" i="64"/>
  <c r="L96" i="64"/>
  <c r="K96" i="64"/>
  <c r="J96" i="64"/>
  <c r="I96" i="64"/>
  <c r="H96" i="64"/>
  <c r="G96" i="64"/>
  <c r="F96" i="64"/>
  <c r="E96" i="64"/>
  <c r="D96" i="64"/>
  <c r="P95" i="64"/>
  <c r="N95" i="64"/>
  <c r="M95" i="64"/>
  <c r="L95" i="64"/>
  <c r="K95" i="64"/>
  <c r="J95" i="64"/>
  <c r="I95" i="64"/>
  <c r="H95" i="64"/>
  <c r="G95" i="64"/>
  <c r="F95" i="64"/>
  <c r="E95" i="64"/>
  <c r="D95" i="64"/>
  <c r="P94" i="64"/>
  <c r="N94" i="64"/>
  <c r="M94" i="64"/>
  <c r="L94" i="64"/>
  <c r="K94" i="64"/>
  <c r="J94" i="64"/>
  <c r="I94" i="64"/>
  <c r="H94" i="64"/>
  <c r="G94" i="64"/>
  <c r="F94" i="64"/>
  <c r="E94" i="64"/>
  <c r="D94" i="64"/>
  <c r="P93" i="64"/>
  <c r="N93" i="64"/>
  <c r="M93" i="64"/>
  <c r="L93" i="64"/>
  <c r="K93" i="64"/>
  <c r="J93" i="64"/>
  <c r="I93" i="64"/>
  <c r="H93" i="64"/>
  <c r="G93" i="64"/>
  <c r="F93" i="64"/>
  <c r="E93" i="64"/>
  <c r="D93" i="64"/>
  <c r="P92" i="64"/>
  <c r="N92" i="64"/>
  <c r="M92" i="64"/>
  <c r="L92" i="64"/>
  <c r="K92" i="64"/>
  <c r="J92" i="64"/>
  <c r="I92" i="64"/>
  <c r="H92" i="64"/>
  <c r="G92" i="64"/>
  <c r="F92" i="64"/>
  <c r="E92" i="64"/>
  <c r="D92" i="64"/>
  <c r="P91" i="64"/>
  <c r="N91" i="64"/>
  <c r="M91" i="64"/>
  <c r="L91" i="64"/>
  <c r="K91" i="64"/>
  <c r="J91" i="64"/>
  <c r="I91" i="64"/>
  <c r="H91" i="64"/>
  <c r="G91" i="64"/>
  <c r="F91" i="64"/>
  <c r="E91" i="64"/>
  <c r="D91" i="64"/>
  <c r="P90" i="64"/>
  <c r="N90" i="64"/>
  <c r="M90" i="64"/>
  <c r="L90" i="64"/>
  <c r="K90" i="64"/>
  <c r="J90" i="64"/>
  <c r="I90" i="64"/>
  <c r="H90" i="64"/>
  <c r="G90" i="64"/>
  <c r="F90" i="64"/>
  <c r="E90" i="64"/>
  <c r="D90" i="64"/>
  <c r="P89" i="64"/>
  <c r="N89" i="64"/>
  <c r="M89" i="64"/>
  <c r="L89" i="64"/>
  <c r="K89" i="64"/>
  <c r="J89" i="64"/>
  <c r="I89" i="64"/>
  <c r="H89" i="64"/>
  <c r="G89" i="64"/>
  <c r="F89" i="64"/>
  <c r="E89" i="64"/>
  <c r="D89" i="64"/>
  <c r="P88" i="64"/>
  <c r="N88" i="64"/>
  <c r="M88" i="64"/>
  <c r="L88" i="64"/>
  <c r="K88" i="64"/>
  <c r="J88" i="64"/>
  <c r="I88" i="64"/>
  <c r="H88" i="64"/>
  <c r="G88" i="64"/>
  <c r="F88" i="64"/>
  <c r="E88" i="64"/>
  <c r="D88" i="64"/>
  <c r="P87" i="64"/>
  <c r="N87" i="64"/>
  <c r="M87" i="64"/>
  <c r="L87" i="64"/>
  <c r="K87" i="64"/>
  <c r="J87" i="64"/>
  <c r="I87" i="64"/>
  <c r="H87" i="64"/>
  <c r="G87" i="64"/>
  <c r="F87" i="64"/>
  <c r="E87" i="64"/>
  <c r="D87" i="64"/>
  <c r="P86" i="64"/>
  <c r="N86" i="64"/>
  <c r="M86" i="64"/>
  <c r="L86" i="64"/>
  <c r="K86" i="64"/>
  <c r="J86" i="64"/>
  <c r="I86" i="64"/>
  <c r="H86" i="64"/>
  <c r="G86" i="64"/>
  <c r="F86" i="64"/>
  <c r="E86" i="64"/>
  <c r="D86" i="64"/>
  <c r="P85" i="64"/>
  <c r="N85" i="64"/>
  <c r="M85" i="64"/>
  <c r="L85" i="64"/>
  <c r="K85" i="64"/>
  <c r="J85" i="64"/>
  <c r="I85" i="64"/>
  <c r="H85" i="64"/>
  <c r="G85" i="64"/>
  <c r="F85" i="64"/>
  <c r="E85" i="64"/>
  <c r="D85" i="64"/>
  <c r="P84" i="64"/>
  <c r="N84" i="64"/>
  <c r="M84" i="64"/>
  <c r="L84" i="64"/>
  <c r="K84" i="64"/>
  <c r="J84" i="64"/>
  <c r="I84" i="64"/>
  <c r="H84" i="64"/>
  <c r="G84" i="64"/>
  <c r="F84" i="64"/>
  <c r="E84" i="64"/>
  <c r="D84" i="64"/>
  <c r="P83" i="64"/>
  <c r="N83" i="64"/>
  <c r="M83" i="64"/>
  <c r="L83" i="64"/>
  <c r="K83" i="64"/>
  <c r="J83" i="64"/>
  <c r="I83" i="64"/>
  <c r="H83" i="64"/>
  <c r="G83" i="64"/>
  <c r="F83" i="64"/>
  <c r="E83" i="64"/>
  <c r="D83" i="64"/>
  <c r="P82" i="64"/>
  <c r="N82" i="64"/>
  <c r="M82" i="64"/>
  <c r="L82" i="64"/>
  <c r="K82" i="64"/>
  <c r="J82" i="64"/>
  <c r="I82" i="64"/>
  <c r="H82" i="64"/>
  <c r="G82" i="64"/>
  <c r="F82" i="64"/>
  <c r="E82" i="64"/>
  <c r="D82" i="64"/>
  <c r="P81" i="64"/>
  <c r="N81" i="64"/>
  <c r="M81" i="64"/>
  <c r="L81" i="64"/>
  <c r="K81" i="64"/>
  <c r="J81" i="64"/>
  <c r="I81" i="64"/>
  <c r="H81" i="64"/>
  <c r="G81" i="64"/>
  <c r="F81" i="64"/>
  <c r="E81" i="64"/>
  <c r="D81" i="64"/>
  <c r="P80" i="64"/>
  <c r="N80" i="64"/>
  <c r="M80" i="64"/>
  <c r="L80" i="64"/>
  <c r="K80" i="64"/>
  <c r="J80" i="64"/>
  <c r="I80" i="64"/>
  <c r="H80" i="64"/>
  <c r="G80" i="64"/>
  <c r="F80" i="64"/>
  <c r="E80" i="64"/>
  <c r="D80" i="64"/>
  <c r="P79" i="64"/>
  <c r="N79" i="64"/>
  <c r="M79" i="64"/>
  <c r="L79" i="64"/>
  <c r="K79" i="64"/>
  <c r="J79" i="64"/>
  <c r="I79" i="64"/>
  <c r="H79" i="64"/>
  <c r="G79" i="64"/>
  <c r="F79" i="64"/>
  <c r="E79" i="64"/>
  <c r="D79" i="64"/>
  <c r="P78" i="64"/>
  <c r="N78" i="64"/>
  <c r="M78" i="64"/>
  <c r="L78" i="64"/>
  <c r="K78" i="64"/>
  <c r="J78" i="64"/>
  <c r="I78" i="64"/>
  <c r="H78" i="64"/>
  <c r="G78" i="64"/>
  <c r="F78" i="64"/>
  <c r="E78" i="64"/>
  <c r="D78" i="64"/>
  <c r="P77" i="64"/>
  <c r="N77" i="64"/>
  <c r="M77" i="64"/>
  <c r="L77" i="64"/>
  <c r="K77" i="64"/>
  <c r="J77" i="64"/>
  <c r="I77" i="64"/>
  <c r="H77" i="64"/>
  <c r="G77" i="64"/>
  <c r="F77" i="64"/>
  <c r="E77" i="64"/>
  <c r="D77" i="64"/>
  <c r="P76" i="64"/>
  <c r="N76" i="64"/>
  <c r="M76" i="64"/>
  <c r="L76" i="64"/>
  <c r="K76" i="64"/>
  <c r="J76" i="64"/>
  <c r="I76" i="64"/>
  <c r="H76" i="64"/>
  <c r="G76" i="64"/>
  <c r="F76" i="64"/>
  <c r="E76" i="64"/>
  <c r="D76" i="64"/>
  <c r="P75" i="64"/>
  <c r="N75" i="64"/>
  <c r="M75" i="64"/>
  <c r="L75" i="64"/>
  <c r="K75" i="64"/>
  <c r="J75" i="64"/>
  <c r="I75" i="64"/>
  <c r="H75" i="64"/>
  <c r="G75" i="64"/>
  <c r="F75" i="64"/>
  <c r="E75" i="64"/>
  <c r="D75" i="64"/>
  <c r="P74" i="64"/>
  <c r="N74" i="64"/>
  <c r="M74" i="64"/>
  <c r="L74" i="64"/>
  <c r="K74" i="64"/>
  <c r="J74" i="64"/>
  <c r="I74" i="64"/>
  <c r="H74" i="64"/>
  <c r="G74" i="64"/>
  <c r="F74" i="64"/>
  <c r="E74" i="64"/>
  <c r="D74" i="64"/>
  <c r="P73" i="64"/>
  <c r="N73" i="64"/>
  <c r="M73" i="64"/>
  <c r="L73" i="64"/>
  <c r="K73" i="64"/>
  <c r="J73" i="64"/>
  <c r="I73" i="64"/>
  <c r="H73" i="64"/>
  <c r="G73" i="64"/>
  <c r="F73" i="64"/>
  <c r="E73" i="64"/>
  <c r="D73" i="64"/>
  <c r="P72" i="64"/>
  <c r="N72" i="64"/>
  <c r="M72" i="64"/>
  <c r="L72" i="64"/>
  <c r="K72" i="64"/>
  <c r="J72" i="64"/>
  <c r="I72" i="64"/>
  <c r="H72" i="64"/>
  <c r="G72" i="64"/>
  <c r="F72" i="64"/>
  <c r="E72" i="64"/>
  <c r="D72" i="64"/>
  <c r="P71" i="64"/>
  <c r="N71" i="64"/>
  <c r="M71" i="64"/>
  <c r="L71" i="64"/>
  <c r="K71" i="64"/>
  <c r="J71" i="64"/>
  <c r="I71" i="64"/>
  <c r="H71" i="64"/>
  <c r="G71" i="64"/>
  <c r="F71" i="64"/>
  <c r="E71" i="64"/>
  <c r="D71" i="64"/>
  <c r="P70" i="64"/>
  <c r="N70" i="64"/>
  <c r="M70" i="64"/>
  <c r="L70" i="64"/>
  <c r="K70" i="64"/>
  <c r="J70" i="64"/>
  <c r="I70" i="64"/>
  <c r="H70" i="64"/>
  <c r="G70" i="64"/>
  <c r="F70" i="64"/>
  <c r="E70" i="64"/>
  <c r="D70" i="64"/>
  <c r="P69" i="64"/>
  <c r="N69" i="64"/>
  <c r="M69" i="64"/>
  <c r="L69" i="64"/>
  <c r="K69" i="64"/>
  <c r="J69" i="64"/>
  <c r="I69" i="64"/>
  <c r="H69" i="64"/>
  <c r="G69" i="64"/>
  <c r="F69" i="64"/>
  <c r="E69" i="64"/>
  <c r="D69" i="64"/>
  <c r="P68" i="64"/>
  <c r="N68" i="64"/>
  <c r="M68" i="64"/>
  <c r="L68" i="64"/>
  <c r="K68" i="64"/>
  <c r="J68" i="64"/>
  <c r="I68" i="64"/>
  <c r="H68" i="64"/>
  <c r="G68" i="64"/>
  <c r="F68" i="64"/>
  <c r="E68" i="64"/>
  <c r="D68" i="64"/>
  <c r="P67" i="64"/>
  <c r="N67" i="64"/>
  <c r="M67" i="64"/>
  <c r="L67" i="64"/>
  <c r="K67" i="64"/>
  <c r="J67" i="64"/>
  <c r="I67" i="64"/>
  <c r="H67" i="64"/>
  <c r="G67" i="64"/>
  <c r="F67" i="64"/>
  <c r="E67" i="64"/>
  <c r="D67" i="64"/>
  <c r="P66" i="64"/>
  <c r="N66" i="64"/>
  <c r="M66" i="64"/>
  <c r="L66" i="64"/>
  <c r="K66" i="64"/>
  <c r="J66" i="64"/>
  <c r="I66" i="64"/>
  <c r="H66" i="64"/>
  <c r="G66" i="64"/>
  <c r="F66" i="64"/>
  <c r="E66" i="64"/>
  <c r="D66" i="64"/>
  <c r="P65" i="64"/>
  <c r="N65" i="64"/>
  <c r="M65" i="64"/>
  <c r="L65" i="64"/>
  <c r="K65" i="64"/>
  <c r="J65" i="64"/>
  <c r="I65" i="64"/>
  <c r="H65" i="64"/>
  <c r="G65" i="64"/>
  <c r="F65" i="64"/>
  <c r="E65" i="64"/>
  <c r="D65" i="64"/>
  <c r="P64" i="64"/>
  <c r="N64" i="64"/>
  <c r="M64" i="64"/>
  <c r="L64" i="64"/>
  <c r="K64" i="64"/>
  <c r="J64" i="64"/>
  <c r="I64" i="64"/>
  <c r="H64" i="64"/>
  <c r="G64" i="64"/>
  <c r="F64" i="64"/>
  <c r="E64" i="64"/>
  <c r="D64" i="64"/>
  <c r="P63" i="64"/>
  <c r="N63" i="64"/>
  <c r="M63" i="64"/>
  <c r="L63" i="64"/>
  <c r="K63" i="64"/>
  <c r="J63" i="64"/>
  <c r="I63" i="64"/>
  <c r="H63" i="64"/>
  <c r="G63" i="64"/>
  <c r="F63" i="64"/>
  <c r="E63" i="64"/>
  <c r="D63" i="64"/>
  <c r="P62" i="64"/>
  <c r="N62" i="64"/>
  <c r="M62" i="64"/>
  <c r="L62" i="64"/>
  <c r="K62" i="64"/>
  <c r="J62" i="64"/>
  <c r="I62" i="64"/>
  <c r="H62" i="64"/>
  <c r="G62" i="64"/>
  <c r="F62" i="64"/>
  <c r="E62" i="64"/>
  <c r="D62" i="64"/>
  <c r="P61" i="64"/>
  <c r="N61" i="64"/>
  <c r="M61" i="64"/>
  <c r="L61" i="64"/>
  <c r="K61" i="64"/>
  <c r="J61" i="64"/>
  <c r="I61" i="64"/>
  <c r="H61" i="64"/>
  <c r="G61" i="64"/>
  <c r="F61" i="64"/>
  <c r="E61" i="64"/>
  <c r="D61" i="64"/>
  <c r="P60" i="64"/>
  <c r="N60" i="64"/>
  <c r="M60" i="64"/>
  <c r="L60" i="64"/>
  <c r="K60" i="64"/>
  <c r="J60" i="64"/>
  <c r="I60" i="64"/>
  <c r="H60" i="64"/>
  <c r="G60" i="64"/>
  <c r="F60" i="64"/>
  <c r="E60" i="64"/>
  <c r="D60" i="64"/>
  <c r="P59" i="64"/>
  <c r="N59" i="64"/>
  <c r="M59" i="64"/>
  <c r="L59" i="64"/>
  <c r="K59" i="64"/>
  <c r="J59" i="64"/>
  <c r="I59" i="64"/>
  <c r="H59" i="64"/>
  <c r="G59" i="64"/>
  <c r="F59" i="64"/>
  <c r="E59" i="64"/>
  <c r="D59" i="64"/>
  <c r="P58" i="64"/>
  <c r="N58" i="64"/>
  <c r="M58" i="64"/>
  <c r="L58" i="64"/>
  <c r="K58" i="64"/>
  <c r="J58" i="64"/>
  <c r="I58" i="64"/>
  <c r="H58" i="64"/>
  <c r="G58" i="64"/>
  <c r="F58" i="64"/>
  <c r="E58" i="64"/>
  <c r="D58" i="64"/>
  <c r="P57" i="64"/>
  <c r="N57" i="64"/>
  <c r="M57" i="64"/>
  <c r="L57" i="64"/>
  <c r="K57" i="64"/>
  <c r="J57" i="64"/>
  <c r="I57" i="64"/>
  <c r="H57" i="64"/>
  <c r="G57" i="64"/>
  <c r="F57" i="64"/>
  <c r="E57" i="64"/>
  <c r="D57" i="64"/>
  <c r="P56" i="64"/>
  <c r="N56" i="64"/>
  <c r="M56" i="64"/>
  <c r="L56" i="64"/>
  <c r="K56" i="64"/>
  <c r="J56" i="64"/>
  <c r="I56" i="64"/>
  <c r="H56" i="64"/>
  <c r="G56" i="64"/>
  <c r="F56" i="64"/>
  <c r="E56" i="64"/>
  <c r="D56" i="64"/>
  <c r="P55" i="64"/>
  <c r="N55" i="64"/>
  <c r="M55" i="64"/>
  <c r="L55" i="64"/>
  <c r="K55" i="64"/>
  <c r="J55" i="64"/>
  <c r="I55" i="64"/>
  <c r="H55" i="64"/>
  <c r="G55" i="64"/>
  <c r="F55" i="64"/>
  <c r="E55" i="64"/>
  <c r="D55" i="64"/>
  <c r="P54" i="64"/>
  <c r="N54" i="64"/>
  <c r="M54" i="64"/>
  <c r="L54" i="64"/>
  <c r="K54" i="64"/>
  <c r="J54" i="64"/>
  <c r="I54" i="64"/>
  <c r="H54" i="64"/>
  <c r="G54" i="64"/>
  <c r="F54" i="64"/>
  <c r="E54" i="64"/>
  <c r="D54" i="64"/>
  <c r="P53" i="64"/>
  <c r="N53" i="64"/>
  <c r="M53" i="64"/>
  <c r="L53" i="64"/>
  <c r="K53" i="64"/>
  <c r="J53" i="64"/>
  <c r="I53" i="64"/>
  <c r="H53" i="64"/>
  <c r="G53" i="64"/>
  <c r="F53" i="64"/>
  <c r="E53" i="64"/>
  <c r="D53" i="64"/>
  <c r="P52" i="64"/>
  <c r="N52" i="64"/>
  <c r="M52" i="64"/>
  <c r="L52" i="64"/>
  <c r="K52" i="64"/>
  <c r="J52" i="64"/>
  <c r="I52" i="64"/>
  <c r="H52" i="64"/>
  <c r="G52" i="64"/>
  <c r="F52" i="64"/>
  <c r="E52" i="64"/>
  <c r="D52" i="64"/>
  <c r="P51" i="64"/>
  <c r="N51" i="64"/>
  <c r="M51" i="64"/>
  <c r="L51" i="64"/>
  <c r="K51" i="64"/>
  <c r="J51" i="64"/>
  <c r="I51" i="64"/>
  <c r="H51" i="64"/>
  <c r="G51" i="64"/>
  <c r="F51" i="64"/>
  <c r="E51" i="64"/>
  <c r="D51" i="64"/>
  <c r="P50" i="64"/>
  <c r="N50" i="64"/>
  <c r="M50" i="64"/>
  <c r="L50" i="64"/>
  <c r="K50" i="64"/>
  <c r="J50" i="64"/>
  <c r="I50" i="64"/>
  <c r="H50" i="64"/>
  <c r="G50" i="64"/>
  <c r="F50" i="64"/>
  <c r="E50" i="64"/>
  <c r="D50" i="64"/>
  <c r="P49" i="64"/>
  <c r="N49" i="64"/>
  <c r="M49" i="64"/>
  <c r="L49" i="64"/>
  <c r="K49" i="64"/>
  <c r="J49" i="64"/>
  <c r="I49" i="64"/>
  <c r="H49" i="64"/>
  <c r="G49" i="64"/>
  <c r="F49" i="64"/>
  <c r="E49" i="64"/>
  <c r="D49" i="64"/>
  <c r="P48" i="64"/>
  <c r="N48" i="64"/>
  <c r="M48" i="64"/>
  <c r="L48" i="64"/>
  <c r="K48" i="64"/>
  <c r="J48" i="64"/>
  <c r="I48" i="64"/>
  <c r="H48" i="64"/>
  <c r="G48" i="64"/>
  <c r="F48" i="64"/>
  <c r="E48" i="64"/>
  <c r="D48" i="64"/>
  <c r="P47" i="64"/>
  <c r="N47" i="64"/>
  <c r="M47" i="64"/>
  <c r="L47" i="64"/>
  <c r="K47" i="64"/>
  <c r="J47" i="64"/>
  <c r="I47" i="64"/>
  <c r="H47" i="64"/>
  <c r="G47" i="64"/>
  <c r="F47" i="64"/>
  <c r="E47" i="64"/>
  <c r="D47" i="64"/>
  <c r="P46" i="64"/>
  <c r="N46" i="64"/>
  <c r="M46" i="64"/>
  <c r="L46" i="64"/>
  <c r="K46" i="64"/>
  <c r="J46" i="64"/>
  <c r="I46" i="64"/>
  <c r="H46" i="64"/>
  <c r="G46" i="64"/>
  <c r="F46" i="64"/>
  <c r="E46" i="64"/>
  <c r="D46" i="64"/>
  <c r="P45" i="64"/>
  <c r="N45" i="64"/>
  <c r="M45" i="64"/>
  <c r="L45" i="64"/>
  <c r="K45" i="64"/>
  <c r="J45" i="64"/>
  <c r="I45" i="64"/>
  <c r="H45" i="64"/>
  <c r="G45" i="64"/>
  <c r="F45" i="64"/>
  <c r="E45" i="64"/>
  <c r="D45" i="64"/>
  <c r="P44" i="64"/>
  <c r="N44" i="64"/>
  <c r="M44" i="64"/>
  <c r="L44" i="64"/>
  <c r="K44" i="64"/>
  <c r="J44" i="64"/>
  <c r="I44" i="64"/>
  <c r="H44" i="64"/>
  <c r="G44" i="64"/>
  <c r="F44" i="64"/>
  <c r="E44" i="64"/>
  <c r="D44" i="64"/>
  <c r="P43" i="64"/>
  <c r="N43" i="64"/>
  <c r="M43" i="64"/>
  <c r="L43" i="64"/>
  <c r="K43" i="64"/>
  <c r="J43" i="64"/>
  <c r="I43" i="64"/>
  <c r="H43" i="64"/>
  <c r="G43" i="64"/>
  <c r="F43" i="64"/>
  <c r="E43" i="64"/>
  <c r="D43" i="64"/>
  <c r="P42" i="64"/>
  <c r="N42" i="64"/>
  <c r="M42" i="64"/>
  <c r="L42" i="64"/>
  <c r="K42" i="64"/>
  <c r="J42" i="64"/>
  <c r="I42" i="64"/>
  <c r="H42" i="64"/>
  <c r="G42" i="64"/>
  <c r="F42" i="64"/>
  <c r="E42" i="64"/>
  <c r="D42" i="64"/>
  <c r="P41" i="64"/>
  <c r="N41" i="64"/>
  <c r="M41" i="64"/>
  <c r="L41" i="64"/>
  <c r="K41" i="64"/>
  <c r="J41" i="64"/>
  <c r="I41" i="64"/>
  <c r="H41" i="64"/>
  <c r="G41" i="64"/>
  <c r="F41" i="64"/>
  <c r="E41" i="64"/>
  <c r="D41" i="64"/>
  <c r="P40" i="64"/>
  <c r="N40" i="64"/>
  <c r="M40" i="64"/>
  <c r="L40" i="64"/>
  <c r="K40" i="64"/>
  <c r="J40" i="64"/>
  <c r="I40" i="64"/>
  <c r="H40" i="64"/>
  <c r="G40" i="64"/>
  <c r="F40" i="64"/>
  <c r="E40" i="64"/>
  <c r="D40" i="64"/>
  <c r="P39" i="64"/>
  <c r="N39" i="64"/>
  <c r="M39" i="64"/>
  <c r="L39" i="64"/>
  <c r="K39" i="64"/>
  <c r="J39" i="64"/>
  <c r="I39" i="64"/>
  <c r="H39" i="64"/>
  <c r="G39" i="64"/>
  <c r="F39" i="64"/>
  <c r="E39" i="64"/>
  <c r="D39" i="64"/>
  <c r="P38" i="64"/>
  <c r="N38" i="64"/>
  <c r="M38" i="64"/>
  <c r="L38" i="64"/>
  <c r="K38" i="64"/>
  <c r="J38" i="64"/>
  <c r="I38" i="64"/>
  <c r="H38" i="64"/>
  <c r="G38" i="64"/>
  <c r="F38" i="64"/>
  <c r="E38" i="64"/>
  <c r="D38" i="64"/>
  <c r="P37" i="64"/>
  <c r="N37" i="64"/>
  <c r="M37" i="64"/>
  <c r="L37" i="64"/>
  <c r="K37" i="64"/>
  <c r="J37" i="64"/>
  <c r="I37" i="64"/>
  <c r="H37" i="64"/>
  <c r="G37" i="64"/>
  <c r="F37" i="64"/>
  <c r="E37" i="64"/>
  <c r="D37" i="64"/>
  <c r="P36" i="64"/>
  <c r="N36" i="64"/>
  <c r="M36" i="64"/>
  <c r="L36" i="64"/>
  <c r="K36" i="64"/>
  <c r="J36" i="64"/>
  <c r="I36" i="64"/>
  <c r="H36" i="64"/>
  <c r="G36" i="64"/>
  <c r="F36" i="64"/>
  <c r="E36" i="64"/>
  <c r="D36" i="64"/>
  <c r="P35" i="64"/>
  <c r="N35" i="64"/>
  <c r="M35" i="64"/>
  <c r="L35" i="64"/>
  <c r="K35" i="64"/>
  <c r="J35" i="64"/>
  <c r="I35" i="64"/>
  <c r="H35" i="64"/>
  <c r="G35" i="64"/>
  <c r="F35" i="64"/>
  <c r="E35" i="64"/>
  <c r="D35" i="64"/>
  <c r="P34" i="64"/>
  <c r="N34" i="64"/>
  <c r="M34" i="64"/>
  <c r="L34" i="64"/>
  <c r="K34" i="64"/>
  <c r="J34" i="64"/>
  <c r="I34" i="64"/>
  <c r="H34" i="64"/>
  <c r="G34" i="64"/>
  <c r="F34" i="64"/>
  <c r="E34" i="64"/>
  <c r="D34" i="64"/>
  <c r="P33" i="64"/>
  <c r="N33" i="64"/>
  <c r="M33" i="64"/>
  <c r="L33" i="64"/>
  <c r="K33" i="64"/>
  <c r="J33" i="64"/>
  <c r="I33" i="64"/>
  <c r="H33" i="64"/>
  <c r="G33" i="64"/>
  <c r="F33" i="64"/>
  <c r="E33" i="64"/>
  <c r="D33" i="64"/>
  <c r="P32" i="64"/>
  <c r="N32" i="64"/>
  <c r="M32" i="64"/>
  <c r="L32" i="64"/>
  <c r="K32" i="64"/>
  <c r="J32" i="64"/>
  <c r="I32" i="64"/>
  <c r="H32" i="64"/>
  <c r="G32" i="64"/>
  <c r="F32" i="64"/>
  <c r="E32" i="64"/>
  <c r="D32" i="64"/>
  <c r="P31" i="64"/>
  <c r="N31" i="64"/>
  <c r="M31" i="64"/>
  <c r="L31" i="64"/>
  <c r="K31" i="64"/>
  <c r="J31" i="64"/>
  <c r="I31" i="64"/>
  <c r="H31" i="64"/>
  <c r="G31" i="64"/>
  <c r="F31" i="64"/>
  <c r="E31" i="64"/>
  <c r="D31" i="64"/>
  <c r="P30" i="64"/>
  <c r="N30" i="64"/>
  <c r="M30" i="64"/>
  <c r="L30" i="64"/>
  <c r="K30" i="64"/>
  <c r="J30" i="64"/>
  <c r="I30" i="64"/>
  <c r="H30" i="64"/>
  <c r="G30" i="64"/>
  <c r="F30" i="64"/>
  <c r="E30" i="64"/>
  <c r="D30" i="64"/>
  <c r="P29" i="64"/>
  <c r="N29" i="64"/>
  <c r="M29" i="64"/>
  <c r="L29" i="64"/>
  <c r="K29" i="64"/>
  <c r="J29" i="64"/>
  <c r="I29" i="64"/>
  <c r="H29" i="64"/>
  <c r="G29" i="64"/>
  <c r="F29" i="64"/>
  <c r="E29" i="64"/>
  <c r="D29" i="64"/>
  <c r="P28" i="64"/>
  <c r="N28" i="64"/>
  <c r="M28" i="64"/>
  <c r="L28" i="64"/>
  <c r="K28" i="64"/>
  <c r="J28" i="64"/>
  <c r="I28" i="64"/>
  <c r="H28" i="64"/>
  <c r="G28" i="64"/>
  <c r="F28" i="64"/>
  <c r="E28" i="64"/>
  <c r="D28" i="64"/>
  <c r="P27" i="64"/>
  <c r="N27" i="64"/>
  <c r="M27" i="64"/>
  <c r="L27" i="64"/>
  <c r="K27" i="64"/>
  <c r="J27" i="64"/>
  <c r="I27" i="64"/>
  <c r="H27" i="64"/>
  <c r="G27" i="64"/>
  <c r="F27" i="64"/>
  <c r="E27" i="64"/>
  <c r="D27" i="64"/>
  <c r="P26" i="64"/>
  <c r="N26" i="64"/>
  <c r="M26" i="64"/>
  <c r="L26" i="64"/>
  <c r="K26" i="64"/>
  <c r="J26" i="64"/>
  <c r="I26" i="64"/>
  <c r="H26" i="64"/>
  <c r="G26" i="64"/>
  <c r="F26" i="64"/>
  <c r="E26" i="64"/>
  <c r="D26" i="64"/>
  <c r="P25" i="64"/>
  <c r="N25" i="64"/>
  <c r="M25" i="64"/>
  <c r="L25" i="64"/>
  <c r="K25" i="64"/>
  <c r="J25" i="64"/>
  <c r="I25" i="64"/>
  <c r="H25" i="64"/>
  <c r="G25" i="64"/>
  <c r="F25" i="64"/>
  <c r="E25" i="64"/>
  <c r="D25" i="64"/>
  <c r="P24" i="64"/>
  <c r="N24" i="64"/>
  <c r="M24" i="64"/>
  <c r="L24" i="64"/>
  <c r="K24" i="64"/>
  <c r="J24" i="64"/>
  <c r="I24" i="64"/>
  <c r="H24" i="64"/>
  <c r="G24" i="64"/>
  <c r="F24" i="64"/>
  <c r="E24" i="64"/>
  <c r="D24" i="64"/>
  <c r="P23" i="64"/>
  <c r="N23" i="64"/>
  <c r="M23" i="64"/>
  <c r="L23" i="64"/>
  <c r="K23" i="64"/>
  <c r="J23" i="64"/>
  <c r="I23" i="64"/>
  <c r="H23" i="64"/>
  <c r="G23" i="64"/>
  <c r="F23" i="64"/>
  <c r="E23" i="64"/>
  <c r="D23" i="64"/>
  <c r="P22" i="64"/>
  <c r="N22" i="64"/>
  <c r="M22" i="64"/>
  <c r="L22" i="64"/>
  <c r="K22" i="64"/>
  <c r="J22" i="64"/>
  <c r="I22" i="64"/>
  <c r="H22" i="64"/>
  <c r="G22" i="64"/>
  <c r="F22" i="64"/>
  <c r="E22" i="64"/>
  <c r="D22" i="64"/>
  <c r="N19" i="64"/>
  <c r="M19" i="64"/>
  <c r="L19" i="64"/>
  <c r="K19" i="64"/>
  <c r="J19" i="64"/>
  <c r="H19" i="64"/>
  <c r="G19" i="64"/>
  <c r="F19" i="64"/>
  <c r="E19" i="64"/>
  <c r="D19" i="64"/>
  <c r="P18" i="64"/>
  <c r="O18" i="64"/>
  <c r="N18" i="64"/>
  <c r="M18" i="64"/>
  <c r="L18" i="64"/>
  <c r="K18" i="64"/>
  <c r="J18" i="64"/>
  <c r="I18" i="64"/>
  <c r="H18" i="64"/>
  <c r="G18" i="64"/>
  <c r="F18" i="64"/>
  <c r="E18" i="64"/>
  <c r="D18" i="64"/>
  <c r="P17" i="64"/>
  <c r="P16" i="64"/>
  <c r="P15" i="64"/>
  <c r="P14" i="64"/>
  <c r="N13" i="64"/>
  <c r="M13" i="64"/>
  <c r="L13" i="64"/>
  <c r="K13" i="64"/>
  <c r="J13" i="64"/>
  <c r="H13" i="64"/>
  <c r="G13" i="64"/>
  <c r="F13" i="64"/>
  <c r="E13" i="64"/>
  <c r="D13" i="64"/>
  <c r="N12" i="64"/>
  <c r="M12" i="64"/>
  <c r="L12" i="64"/>
  <c r="K12" i="64"/>
  <c r="J12" i="64"/>
  <c r="I12" i="64"/>
  <c r="H12" i="64"/>
  <c r="G12" i="64"/>
  <c r="F12" i="64"/>
  <c r="E12" i="64"/>
  <c r="D12" i="64"/>
  <c r="N11" i="64"/>
  <c r="M11" i="64"/>
  <c r="L11" i="64"/>
  <c r="K11" i="64"/>
  <c r="J11" i="64"/>
  <c r="I11" i="64"/>
  <c r="P11" i="64" s="1"/>
  <c r="H11" i="64"/>
  <c r="G11" i="64"/>
  <c r="F11" i="64"/>
  <c r="E11" i="64"/>
  <c r="D11" i="64"/>
  <c r="N10" i="64"/>
  <c r="M10" i="64"/>
  <c r="L10" i="64"/>
  <c r="K10" i="64"/>
  <c r="J10" i="64"/>
  <c r="I10" i="64"/>
  <c r="P10" i="64" s="1"/>
  <c r="H10" i="64"/>
  <c r="G10" i="64"/>
  <c r="F10" i="64"/>
  <c r="E10" i="64"/>
  <c r="D10" i="64"/>
  <c r="N9" i="64"/>
  <c r="M9" i="64"/>
  <c r="L9" i="64"/>
  <c r="K9" i="64"/>
  <c r="J9" i="64"/>
  <c r="I9" i="64"/>
  <c r="P9" i="64" s="1"/>
  <c r="H9" i="64"/>
  <c r="G9" i="64"/>
  <c r="F9" i="64"/>
  <c r="E9" i="64"/>
  <c r="D9" i="64"/>
  <c r="O8" i="64"/>
  <c r="O13" i="64" s="1"/>
  <c r="N8" i="64"/>
  <c r="M8" i="64"/>
  <c r="L8" i="64"/>
  <c r="K8" i="64"/>
  <c r="J8" i="64"/>
  <c r="H8" i="64"/>
  <c r="G8" i="64"/>
  <c r="F8" i="64"/>
  <c r="E8" i="64"/>
  <c r="D8" i="64"/>
  <c r="N144" i="63"/>
  <c r="E142" i="63"/>
  <c r="N137" i="63"/>
  <c r="M137" i="63"/>
  <c r="L137" i="63"/>
  <c r="K137" i="63"/>
  <c r="J137" i="63"/>
  <c r="H137" i="63"/>
  <c r="G137" i="63"/>
  <c r="F137" i="63"/>
  <c r="E137" i="63"/>
  <c r="D137" i="63"/>
  <c r="N134" i="63"/>
  <c r="M134" i="63"/>
  <c r="L134" i="63"/>
  <c r="K134" i="63"/>
  <c r="J134" i="63"/>
  <c r="H134" i="63"/>
  <c r="G134" i="63"/>
  <c r="F134" i="63"/>
  <c r="E134" i="63"/>
  <c r="D134" i="63"/>
  <c r="O132" i="63"/>
  <c r="P132" i="63" s="1"/>
  <c r="N132" i="63"/>
  <c r="M132" i="63"/>
  <c r="L132" i="63"/>
  <c r="K132" i="63"/>
  <c r="J132" i="63"/>
  <c r="I132" i="63"/>
  <c r="H132" i="63"/>
  <c r="G132" i="63"/>
  <c r="F132" i="63"/>
  <c r="E132" i="63"/>
  <c r="D132" i="63"/>
  <c r="P131" i="63"/>
  <c r="N131" i="63"/>
  <c r="M131" i="63"/>
  <c r="L131" i="63"/>
  <c r="K131" i="63"/>
  <c r="J131" i="63"/>
  <c r="I131" i="63"/>
  <c r="H131" i="63"/>
  <c r="G131" i="63"/>
  <c r="F131" i="63"/>
  <c r="E131" i="63"/>
  <c r="D131" i="63"/>
  <c r="P130" i="63"/>
  <c r="N130" i="63"/>
  <c r="M130" i="63"/>
  <c r="L130" i="63"/>
  <c r="K130" i="63"/>
  <c r="J130" i="63"/>
  <c r="I130" i="63"/>
  <c r="H130" i="63"/>
  <c r="G130" i="63"/>
  <c r="F130" i="63"/>
  <c r="E130" i="63"/>
  <c r="D130" i="63"/>
  <c r="P129" i="63"/>
  <c r="N129" i="63"/>
  <c r="M129" i="63"/>
  <c r="L129" i="63"/>
  <c r="K129" i="63"/>
  <c r="J129" i="63"/>
  <c r="I129" i="63"/>
  <c r="H129" i="63"/>
  <c r="G129" i="63"/>
  <c r="F129" i="63"/>
  <c r="E129" i="63"/>
  <c r="D129" i="63"/>
  <c r="P128" i="63"/>
  <c r="N128" i="63"/>
  <c r="M128" i="63"/>
  <c r="L128" i="63"/>
  <c r="K128" i="63"/>
  <c r="J128" i="63"/>
  <c r="I128" i="63"/>
  <c r="H128" i="63"/>
  <c r="G128" i="63"/>
  <c r="F128" i="63"/>
  <c r="E128" i="63"/>
  <c r="D128" i="63"/>
  <c r="P127" i="63"/>
  <c r="N127" i="63"/>
  <c r="M127" i="63"/>
  <c r="L127" i="63"/>
  <c r="K127" i="63"/>
  <c r="J127" i="63"/>
  <c r="I127" i="63"/>
  <c r="H127" i="63"/>
  <c r="G127" i="63"/>
  <c r="F127" i="63"/>
  <c r="E127" i="63"/>
  <c r="D127" i="63"/>
  <c r="P126" i="63"/>
  <c r="N126" i="63"/>
  <c r="M126" i="63"/>
  <c r="L126" i="63"/>
  <c r="K126" i="63"/>
  <c r="J126" i="63"/>
  <c r="I126" i="63"/>
  <c r="H126" i="63"/>
  <c r="G126" i="63"/>
  <c r="F126" i="63"/>
  <c r="E126" i="63"/>
  <c r="D126" i="63"/>
  <c r="P125" i="63"/>
  <c r="N125" i="63"/>
  <c r="M125" i="63"/>
  <c r="L125" i="63"/>
  <c r="K125" i="63"/>
  <c r="J125" i="63"/>
  <c r="I125" i="63"/>
  <c r="H125" i="63"/>
  <c r="G125" i="63"/>
  <c r="F125" i="63"/>
  <c r="E125" i="63"/>
  <c r="D125" i="63"/>
  <c r="P124" i="63"/>
  <c r="N124" i="63"/>
  <c r="M124" i="63"/>
  <c r="L124" i="63"/>
  <c r="K124" i="63"/>
  <c r="J124" i="63"/>
  <c r="I124" i="63"/>
  <c r="H124" i="63"/>
  <c r="G124" i="63"/>
  <c r="F124" i="63"/>
  <c r="E124" i="63"/>
  <c r="D124" i="63"/>
  <c r="P123" i="63"/>
  <c r="N123" i="63"/>
  <c r="M123" i="63"/>
  <c r="L123" i="63"/>
  <c r="K123" i="63"/>
  <c r="J123" i="63"/>
  <c r="I123" i="63"/>
  <c r="H123" i="63"/>
  <c r="G123" i="63"/>
  <c r="F123" i="63"/>
  <c r="E123" i="63"/>
  <c r="D123" i="63"/>
  <c r="P122" i="63"/>
  <c r="N122" i="63"/>
  <c r="M122" i="63"/>
  <c r="L122" i="63"/>
  <c r="K122" i="63"/>
  <c r="J122" i="63"/>
  <c r="I122" i="63"/>
  <c r="H122" i="63"/>
  <c r="G122" i="63"/>
  <c r="F122" i="63"/>
  <c r="E122" i="63"/>
  <c r="D122" i="63"/>
  <c r="P121" i="63"/>
  <c r="N121" i="63"/>
  <c r="M121" i="63"/>
  <c r="L121" i="63"/>
  <c r="K121" i="63"/>
  <c r="J121" i="63"/>
  <c r="I121" i="63"/>
  <c r="H121" i="63"/>
  <c r="G121" i="63"/>
  <c r="F121" i="63"/>
  <c r="E121" i="63"/>
  <c r="D121" i="63"/>
  <c r="P120" i="63"/>
  <c r="N120" i="63"/>
  <c r="M120" i="63"/>
  <c r="L120" i="63"/>
  <c r="K120" i="63"/>
  <c r="J120" i="63"/>
  <c r="I120" i="63"/>
  <c r="H120" i="63"/>
  <c r="G120" i="63"/>
  <c r="F120" i="63"/>
  <c r="E120" i="63"/>
  <c r="D120" i="63"/>
  <c r="P119" i="63"/>
  <c r="N119" i="63"/>
  <c r="M119" i="63"/>
  <c r="L119" i="63"/>
  <c r="K119" i="63"/>
  <c r="J119" i="63"/>
  <c r="I119" i="63"/>
  <c r="H119" i="63"/>
  <c r="G119" i="63"/>
  <c r="F119" i="63"/>
  <c r="E119" i="63"/>
  <c r="D119" i="63"/>
  <c r="P118" i="63"/>
  <c r="N118" i="63"/>
  <c r="M118" i="63"/>
  <c r="L118" i="63"/>
  <c r="K118" i="63"/>
  <c r="J118" i="63"/>
  <c r="I118" i="63"/>
  <c r="H118" i="63"/>
  <c r="G118" i="63"/>
  <c r="F118" i="63"/>
  <c r="E118" i="63"/>
  <c r="D118" i="63"/>
  <c r="P117" i="63"/>
  <c r="N117" i="63"/>
  <c r="M117" i="63"/>
  <c r="L117" i="63"/>
  <c r="K117" i="63"/>
  <c r="J117" i="63"/>
  <c r="I117" i="63"/>
  <c r="H117" i="63"/>
  <c r="G117" i="63"/>
  <c r="F117" i="63"/>
  <c r="E117" i="63"/>
  <c r="D117" i="63"/>
  <c r="P116" i="63"/>
  <c r="N116" i="63"/>
  <c r="M116" i="63"/>
  <c r="L116" i="63"/>
  <c r="K116" i="63"/>
  <c r="J116" i="63"/>
  <c r="I116" i="63"/>
  <c r="H116" i="63"/>
  <c r="G116" i="63"/>
  <c r="F116" i="63"/>
  <c r="E116" i="63"/>
  <c r="D116" i="63"/>
  <c r="P115" i="63"/>
  <c r="N115" i="63"/>
  <c r="M115" i="63"/>
  <c r="L115" i="63"/>
  <c r="K115" i="63"/>
  <c r="J115" i="63"/>
  <c r="I115" i="63"/>
  <c r="H115" i="63"/>
  <c r="G115" i="63"/>
  <c r="F115" i="63"/>
  <c r="E115" i="63"/>
  <c r="D115" i="63"/>
  <c r="P114" i="63"/>
  <c r="N114" i="63"/>
  <c r="M114" i="63"/>
  <c r="L114" i="63"/>
  <c r="K114" i="63"/>
  <c r="J114" i="63"/>
  <c r="I114" i="63"/>
  <c r="H114" i="63"/>
  <c r="G114" i="63"/>
  <c r="F114" i="63"/>
  <c r="E114" i="63"/>
  <c r="D114" i="63"/>
  <c r="P113" i="63"/>
  <c r="N113" i="63"/>
  <c r="M113" i="63"/>
  <c r="L113" i="63"/>
  <c r="K113" i="63"/>
  <c r="J113" i="63"/>
  <c r="I113" i="63"/>
  <c r="H113" i="63"/>
  <c r="G113" i="63"/>
  <c r="F113" i="63"/>
  <c r="E113" i="63"/>
  <c r="D113" i="63"/>
  <c r="P112" i="63"/>
  <c r="N112" i="63"/>
  <c r="M112" i="63"/>
  <c r="L112" i="63"/>
  <c r="K112" i="63"/>
  <c r="J112" i="63"/>
  <c r="I112" i="63"/>
  <c r="H112" i="63"/>
  <c r="G112" i="63"/>
  <c r="F112" i="63"/>
  <c r="E112" i="63"/>
  <c r="D112" i="63"/>
  <c r="P111" i="63"/>
  <c r="N111" i="63"/>
  <c r="M111" i="63"/>
  <c r="L111" i="63"/>
  <c r="K111" i="63"/>
  <c r="J111" i="63"/>
  <c r="I111" i="63"/>
  <c r="H111" i="63"/>
  <c r="G111" i="63"/>
  <c r="F111" i="63"/>
  <c r="E111" i="63"/>
  <c r="D111" i="63"/>
  <c r="P110" i="63"/>
  <c r="N110" i="63"/>
  <c r="M110" i="63"/>
  <c r="L110" i="63"/>
  <c r="K110" i="63"/>
  <c r="J110" i="63"/>
  <c r="H110" i="63"/>
  <c r="G110" i="63"/>
  <c r="F110" i="63"/>
  <c r="E110" i="63"/>
  <c r="D110" i="63"/>
  <c r="P109" i="63"/>
  <c r="N109" i="63"/>
  <c r="M109" i="63"/>
  <c r="L109" i="63"/>
  <c r="K109" i="63"/>
  <c r="J109" i="63"/>
  <c r="I109" i="63"/>
  <c r="H109" i="63"/>
  <c r="G109" i="63"/>
  <c r="F109" i="63"/>
  <c r="E109" i="63"/>
  <c r="D109" i="63"/>
  <c r="P108" i="63"/>
  <c r="N108" i="63"/>
  <c r="M108" i="63"/>
  <c r="L108" i="63"/>
  <c r="K108" i="63"/>
  <c r="J108" i="63"/>
  <c r="I108" i="63"/>
  <c r="H108" i="63"/>
  <c r="G108" i="63"/>
  <c r="F108" i="63"/>
  <c r="E108" i="63"/>
  <c r="D108" i="63"/>
  <c r="P107" i="63"/>
  <c r="N107" i="63"/>
  <c r="M107" i="63"/>
  <c r="L107" i="63"/>
  <c r="K107" i="63"/>
  <c r="J107" i="63"/>
  <c r="I107" i="63"/>
  <c r="H107" i="63"/>
  <c r="G107" i="63"/>
  <c r="F107" i="63"/>
  <c r="E107" i="63"/>
  <c r="D107" i="63"/>
  <c r="P106" i="63"/>
  <c r="N106" i="63"/>
  <c r="M106" i="63"/>
  <c r="L106" i="63"/>
  <c r="K106" i="63"/>
  <c r="J106" i="63"/>
  <c r="I106" i="63"/>
  <c r="H106" i="63"/>
  <c r="G106" i="63"/>
  <c r="F106" i="63"/>
  <c r="E106" i="63"/>
  <c r="D106" i="63"/>
  <c r="P105" i="63"/>
  <c r="N105" i="63"/>
  <c r="M105" i="63"/>
  <c r="L105" i="63"/>
  <c r="K105" i="63"/>
  <c r="J105" i="63"/>
  <c r="I105" i="63"/>
  <c r="H105" i="63"/>
  <c r="G105" i="63"/>
  <c r="F105" i="63"/>
  <c r="E105" i="63"/>
  <c r="D105" i="63"/>
  <c r="P104" i="63"/>
  <c r="N104" i="63"/>
  <c r="M104" i="63"/>
  <c r="L104" i="63"/>
  <c r="K104" i="63"/>
  <c r="J104" i="63"/>
  <c r="I104" i="63"/>
  <c r="H104" i="63"/>
  <c r="G104" i="63"/>
  <c r="F104" i="63"/>
  <c r="E104" i="63"/>
  <c r="D104" i="63"/>
  <c r="P103" i="63"/>
  <c r="N103" i="63"/>
  <c r="M103" i="63"/>
  <c r="L103" i="63"/>
  <c r="K103" i="63"/>
  <c r="J103" i="63"/>
  <c r="I103" i="63"/>
  <c r="H103" i="63"/>
  <c r="G103" i="63"/>
  <c r="F103" i="63"/>
  <c r="E103" i="63"/>
  <c r="D103" i="63"/>
  <c r="P102" i="63"/>
  <c r="N102" i="63"/>
  <c r="M102" i="63"/>
  <c r="L102" i="63"/>
  <c r="K102" i="63"/>
  <c r="J102" i="63"/>
  <c r="I102" i="63"/>
  <c r="H102" i="63"/>
  <c r="G102" i="63"/>
  <c r="F102" i="63"/>
  <c r="E102" i="63"/>
  <c r="D102" i="63"/>
  <c r="P101" i="63"/>
  <c r="N101" i="63"/>
  <c r="M101" i="63"/>
  <c r="L101" i="63"/>
  <c r="K101" i="63"/>
  <c r="J101" i="63"/>
  <c r="I101" i="63"/>
  <c r="H101" i="63"/>
  <c r="G101" i="63"/>
  <c r="F101" i="63"/>
  <c r="E101" i="63"/>
  <c r="D101" i="63"/>
  <c r="P100" i="63"/>
  <c r="N100" i="63"/>
  <c r="M100" i="63"/>
  <c r="L100" i="63"/>
  <c r="K100" i="63"/>
  <c r="J100" i="63"/>
  <c r="I100" i="63"/>
  <c r="H100" i="63"/>
  <c r="G100" i="63"/>
  <c r="F100" i="63"/>
  <c r="E100" i="63"/>
  <c r="D100" i="63"/>
  <c r="P99" i="63"/>
  <c r="N99" i="63"/>
  <c r="M99" i="63"/>
  <c r="L99" i="63"/>
  <c r="K99" i="63"/>
  <c r="J99" i="63"/>
  <c r="I99" i="63"/>
  <c r="H99" i="63"/>
  <c r="G99" i="63"/>
  <c r="F99" i="63"/>
  <c r="E99" i="63"/>
  <c r="D99" i="63"/>
  <c r="P98" i="63"/>
  <c r="N98" i="63"/>
  <c r="M98" i="63"/>
  <c r="L98" i="63"/>
  <c r="K98" i="63"/>
  <c r="J98" i="63"/>
  <c r="I98" i="63"/>
  <c r="H98" i="63"/>
  <c r="G98" i="63"/>
  <c r="F98" i="63"/>
  <c r="E98" i="63"/>
  <c r="D98" i="63"/>
  <c r="P97" i="63"/>
  <c r="N97" i="63"/>
  <c r="M97" i="63"/>
  <c r="L97" i="63"/>
  <c r="K97" i="63"/>
  <c r="J97" i="63"/>
  <c r="I97" i="63"/>
  <c r="H97" i="63"/>
  <c r="G97" i="63"/>
  <c r="F97" i="63"/>
  <c r="E97" i="63"/>
  <c r="D97" i="63"/>
  <c r="P96" i="63"/>
  <c r="N96" i="63"/>
  <c r="M96" i="63"/>
  <c r="L96" i="63"/>
  <c r="K96" i="63"/>
  <c r="J96" i="63"/>
  <c r="I96" i="63"/>
  <c r="H96" i="63"/>
  <c r="G96" i="63"/>
  <c r="F96" i="63"/>
  <c r="E96" i="63"/>
  <c r="D96" i="63"/>
  <c r="P95" i="63"/>
  <c r="N95" i="63"/>
  <c r="M95" i="63"/>
  <c r="L95" i="63"/>
  <c r="K95" i="63"/>
  <c r="J95" i="63"/>
  <c r="I95" i="63"/>
  <c r="H95" i="63"/>
  <c r="G95" i="63"/>
  <c r="F95" i="63"/>
  <c r="E95" i="63"/>
  <c r="D95" i="63"/>
  <c r="P94" i="63"/>
  <c r="N94" i="63"/>
  <c r="M94" i="63"/>
  <c r="L94" i="63"/>
  <c r="K94" i="63"/>
  <c r="J94" i="63"/>
  <c r="I94" i="63"/>
  <c r="H94" i="63"/>
  <c r="G94" i="63"/>
  <c r="F94" i="63"/>
  <c r="E94" i="63"/>
  <c r="D94" i="63"/>
  <c r="P93" i="63"/>
  <c r="N93" i="63"/>
  <c r="M93" i="63"/>
  <c r="L93" i="63"/>
  <c r="K93" i="63"/>
  <c r="J93" i="63"/>
  <c r="I93" i="63"/>
  <c r="H93" i="63"/>
  <c r="G93" i="63"/>
  <c r="F93" i="63"/>
  <c r="E93" i="63"/>
  <c r="D93" i="63"/>
  <c r="P92" i="63"/>
  <c r="N92" i="63"/>
  <c r="M92" i="63"/>
  <c r="L92" i="63"/>
  <c r="K92" i="63"/>
  <c r="J92" i="63"/>
  <c r="I92" i="63"/>
  <c r="H92" i="63"/>
  <c r="G92" i="63"/>
  <c r="F92" i="63"/>
  <c r="E92" i="63"/>
  <c r="D92" i="63"/>
  <c r="P91" i="63"/>
  <c r="N91" i="63"/>
  <c r="M91" i="63"/>
  <c r="L91" i="63"/>
  <c r="K91" i="63"/>
  <c r="J91" i="63"/>
  <c r="I91" i="63"/>
  <c r="H91" i="63"/>
  <c r="G91" i="63"/>
  <c r="F91" i="63"/>
  <c r="E91" i="63"/>
  <c r="D91" i="63"/>
  <c r="P90" i="63"/>
  <c r="N90" i="63"/>
  <c r="M90" i="63"/>
  <c r="L90" i="63"/>
  <c r="K90" i="63"/>
  <c r="J90" i="63"/>
  <c r="I90" i="63"/>
  <c r="H90" i="63"/>
  <c r="G90" i="63"/>
  <c r="F90" i="63"/>
  <c r="E90" i="63"/>
  <c r="D90" i="63"/>
  <c r="P89" i="63"/>
  <c r="N89" i="63"/>
  <c r="M89" i="63"/>
  <c r="L89" i="63"/>
  <c r="K89" i="63"/>
  <c r="J89" i="63"/>
  <c r="I89" i="63"/>
  <c r="H89" i="63"/>
  <c r="G89" i="63"/>
  <c r="F89" i="63"/>
  <c r="E89" i="63"/>
  <c r="D89" i="63"/>
  <c r="P88" i="63"/>
  <c r="N88" i="63"/>
  <c r="M88" i="63"/>
  <c r="L88" i="63"/>
  <c r="K88" i="63"/>
  <c r="J88" i="63"/>
  <c r="I88" i="63"/>
  <c r="H88" i="63"/>
  <c r="G88" i="63"/>
  <c r="F88" i="63"/>
  <c r="E88" i="63"/>
  <c r="D88" i="63"/>
  <c r="P87" i="63"/>
  <c r="N87" i="63"/>
  <c r="M87" i="63"/>
  <c r="L87" i="63"/>
  <c r="K87" i="63"/>
  <c r="J87" i="63"/>
  <c r="I87" i="63"/>
  <c r="H87" i="63"/>
  <c r="G87" i="63"/>
  <c r="F87" i="63"/>
  <c r="E87" i="63"/>
  <c r="D87" i="63"/>
  <c r="P86" i="63"/>
  <c r="N86" i="63"/>
  <c r="M86" i="63"/>
  <c r="L86" i="63"/>
  <c r="K86" i="63"/>
  <c r="J86" i="63"/>
  <c r="I86" i="63"/>
  <c r="H86" i="63"/>
  <c r="G86" i="63"/>
  <c r="F86" i="63"/>
  <c r="E86" i="63"/>
  <c r="D86" i="63"/>
  <c r="P85" i="63"/>
  <c r="N85" i="63"/>
  <c r="M85" i="63"/>
  <c r="L85" i="63"/>
  <c r="K85" i="63"/>
  <c r="J85" i="63"/>
  <c r="I85" i="63"/>
  <c r="H85" i="63"/>
  <c r="G85" i="63"/>
  <c r="F85" i="63"/>
  <c r="E85" i="63"/>
  <c r="D85" i="63"/>
  <c r="P84" i="63"/>
  <c r="N84" i="63"/>
  <c r="M84" i="63"/>
  <c r="L84" i="63"/>
  <c r="K84" i="63"/>
  <c r="J84" i="63"/>
  <c r="I84" i="63"/>
  <c r="H84" i="63"/>
  <c r="G84" i="63"/>
  <c r="F84" i="63"/>
  <c r="E84" i="63"/>
  <c r="D84" i="63"/>
  <c r="P83" i="63"/>
  <c r="N83" i="63"/>
  <c r="M83" i="63"/>
  <c r="L83" i="63"/>
  <c r="K83" i="63"/>
  <c r="J83" i="63"/>
  <c r="I83" i="63"/>
  <c r="H83" i="63"/>
  <c r="G83" i="63"/>
  <c r="F83" i="63"/>
  <c r="E83" i="63"/>
  <c r="D83" i="63"/>
  <c r="P82" i="63"/>
  <c r="N82" i="63"/>
  <c r="M82" i="63"/>
  <c r="L82" i="63"/>
  <c r="K82" i="63"/>
  <c r="J82" i="63"/>
  <c r="I82" i="63"/>
  <c r="H82" i="63"/>
  <c r="G82" i="63"/>
  <c r="F82" i="63"/>
  <c r="E82" i="63"/>
  <c r="D82" i="63"/>
  <c r="P81" i="63"/>
  <c r="N81" i="63"/>
  <c r="M81" i="63"/>
  <c r="L81" i="63"/>
  <c r="K81" i="63"/>
  <c r="J81" i="63"/>
  <c r="I81" i="63"/>
  <c r="H81" i="63"/>
  <c r="G81" i="63"/>
  <c r="F81" i="63"/>
  <c r="E81" i="63"/>
  <c r="D81" i="63"/>
  <c r="P80" i="63"/>
  <c r="N80" i="63"/>
  <c r="M80" i="63"/>
  <c r="L80" i="63"/>
  <c r="K80" i="63"/>
  <c r="J80" i="63"/>
  <c r="I80" i="63"/>
  <c r="H80" i="63"/>
  <c r="G80" i="63"/>
  <c r="F80" i="63"/>
  <c r="E80" i="63"/>
  <c r="D80" i="63"/>
  <c r="P79" i="63"/>
  <c r="N79" i="63"/>
  <c r="M79" i="63"/>
  <c r="L79" i="63"/>
  <c r="K79" i="63"/>
  <c r="J79" i="63"/>
  <c r="I79" i="63"/>
  <c r="H79" i="63"/>
  <c r="G79" i="63"/>
  <c r="F79" i="63"/>
  <c r="E79" i="63"/>
  <c r="D79" i="63"/>
  <c r="P78" i="63"/>
  <c r="N78" i="63"/>
  <c r="M78" i="63"/>
  <c r="L78" i="63"/>
  <c r="K78" i="63"/>
  <c r="J78" i="63"/>
  <c r="I78" i="63"/>
  <c r="H78" i="63"/>
  <c r="G78" i="63"/>
  <c r="F78" i="63"/>
  <c r="E78" i="63"/>
  <c r="D78" i="63"/>
  <c r="P77" i="63"/>
  <c r="N77" i="63"/>
  <c r="M77" i="63"/>
  <c r="L77" i="63"/>
  <c r="K77" i="63"/>
  <c r="J77" i="63"/>
  <c r="I77" i="63"/>
  <c r="H77" i="63"/>
  <c r="G77" i="63"/>
  <c r="F77" i="63"/>
  <c r="E77" i="63"/>
  <c r="D77" i="63"/>
  <c r="P76" i="63"/>
  <c r="N76" i="63"/>
  <c r="M76" i="63"/>
  <c r="L76" i="63"/>
  <c r="K76" i="63"/>
  <c r="J76" i="63"/>
  <c r="I76" i="63"/>
  <c r="H76" i="63"/>
  <c r="G76" i="63"/>
  <c r="F76" i="63"/>
  <c r="E76" i="63"/>
  <c r="D76" i="63"/>
  <c r="P75" i="63"/>
  <c r="N75" i="63"/>
  <c r="M75" i="63"/>
  <c r="L75" i="63"/>
  <c r="K75" i="63"/>
  <c r="J75" i="63"/>
  <c r="I75" i="63"/>
  <c r="H75" i="63"/>
  <c r="G75" i="63"/>
  <c r="F75" i="63"/>
  <c r="E75" i="63"/>
  <c r="D75" i="63"/>
  <c r="P74" i="63"/>
  <c r="N74" i="63"/>
  <c r="M74" i="63"/>
  <c r="L74" i="63"/>
  <c r="K74" i="63"/>
  <c r="J74" i="63"/>
  <c r="I74" i="63"/>
  <c r="H74" i="63"/>
  <c r="G74" i="63"/>
  <c r="F74" i="63"/>
  <c r="E74" i="63"/>
  <c r="D74" i="63"/>
  <c r="P73" i="63"/>
  <c r="N73" i="63"/>
  <c r="M73" i="63"/>
  <c r="L73" i="63"/>
  <c r="K73" i="63"/>
  <c r="J73" i="63"/>
  <c r="I73" i="63"/>
  <c r="H73" i="63"/>
  <c r="G73" i="63"/>
  <c r="F73" i="63"/>
  <c r="E73" i="63"/>
  <c r="D73" i="63"/>
  <c r="P72" i="63"/>
  <c r="N72" i="63"/>
  <c r="M72" i="63"/>
  <c r="L72" i="63"/>
  <c r="K72" i="63"/>
  <c r="J72" i="63"/>
  <c r="I72" i="63"/>
  <c r="H72" i="63"/>
  <c r="G72" i="63"/>
  <c r="F72" i="63"/>
  <c r="E72" i="63"/>
  <c r="D72" i="63"/>
  <c r="P71" i="63"/>
  <c r="N71" i="63"/>
  <c r="M71" i="63"/>
  <c r="L71" i="63"/>
  <c r="K71" i="63"/>
  <c r="J71" i="63"/>
  <c r="I71" i="63"/>
  <c r="H71" i="63"/>
  <c r="G71" i="63"/>
  <c r="F71" i="63"/>
  <c r="E71" i="63"/>
  <c r="D71" i="63"/>
  <c r="P70" i="63"/>
  <c r="N70" i="63"/>
  <c r="M70" i="63"/>
  <c r="L70" i="63"/>
  <c r="K70" i="63"/>
  <c r="J70" i="63"/>
  <c r="I70" i="63"/>
  <c r="H70" i="63"/>
  <c r="G70" i="63"/>
  <c r="F70" i="63"/>
  <c r="E70" i="63"/>
  <c r="D70" i="63"/>
  <c r="P69" i="63"/>
  <c r="N69" i="63"/>
  <c r="M69" i="63"/>
  <c r="L69" i="63"/>
  <c r="K69" i="63"/>
  <c r="J69" i="63"/>
  <c r="I69" i="63"/>
  <c r="H69" i="63"/>
  <c r="G69" i="63"/>
  <c r="F69" i="63"/>
  <c r="E69" i="63"/>
  <c r="D69" i="63"/>
  <c r="P68" i="63"/>
  <c r="N68" i="63"/>
  <c r="M68" i="63"/>
  <c r="L68" i="63"/>
  <c r="K68" i="63"/>
  <c r="J68" i="63"/>
  <c r="I68" i="63"/>
  <c r="H68" i="63"/>
  <c r="G68" i="63"/>
  <c r="F68" i="63"/>
  <c r="E68" i="63"/>
  <c r="D68" i="63"/>
  <c r="P67" i="63"/>
  <c r="N67" i="63"/>
  <c r="M67" i="63"/>
  <c r="L67" i="63"/>
  <c r="K67" i="63"/>
  <c r="J67" i="63"/>
  <c r="I67" i="63"/>
  <c r="H67" i="63"/>
  <c r="G67" i="63"/>
  <c r="F67" i="63"/>
  <c r="E67" i="63"/>
  <c r="D67" i="63"/>
  <c r="P66" i="63"/>
  <c r="N66" i="63"/>
  <c r="M66" i="63"/>
  <c r="L66" i="63"/>
  <c r="K66" i="63"/>
  <c r="J66" i="63"/>
  <c r="I66" i="63"/>
  <c r="H66" i="63"/>
  <c r="G66" i="63"/>
  <c r="F66" i="63"/>
  <c r="E66" i="63"/>
  <c r="D66" i="63"/>
  <c r="P65" i="63"/>
  <c r="N65" i="63"/>
  <c r="M65" i="63"/>
  <c r="L65" i="63"/>
  <c r="K65" i="63"/>
  <c r="J65" i="63"/>
  <c r="I65" i="63"/>
  <c r="H65" i="63"/>
  <c r="G65" i="63"/>
  <c r="F65" i="63"/>
  <c r="E65" i="63"/>
  <c r="D65" i="63"/>
  <c r="P64" i="63"/>
  <c r="N64" i="63"/>
  <c r="M64" i="63"/>
  <c r="L64" i="63"/>
  <c r="K64" i="63"/>
  <c r="J64" i="63"/>
  <c r="I64" i="63"/>
  <c r="H64" i="63"/>
  <c r="G64" i="63"/>
  <c r="F64" i="63"/>
  <c r="E64" i="63"/>
  <c r="D64" i="63"/>
  <c r="P63" i="63"/>
  <c r="N63" i="63"/>
  <c r="M63" i="63"/>
  <c r="L63" i="63"/>
  <c r="K63" i="63"/>
  <c r="J63" i="63"/>
  <c r="I63" i="63"/>
  <c r="H63" i="63"/>
  <c r="G63" i="63"/>
  <c r="F63" i="63"/>
  <c r="E63" i="63"/>
  <c r="D63" i="63"/>
  <c r="P62" i="63"/>
  <c r="N62" i="63"/>
  <c r="M62" i="63"/>
  <c r="L62" i="63"/>
  <c r="K62" i="63"/>
  <c r="J62" i="63"/>
  <c r="I62" i="63"/>
  <c r="H62" i="63"/>
  <c r="G62" i="63"/>
  <c r="F62" i="63"/>
  <c r="E62" i="63"/>
  <c r="D62" i="63"/>
  <c r="P61" i="63"/>
  <c r="N61" i="63"/>
  <c r="M61" i="63"/>
  <c r="L61" i="63"/>
  <c r="K61" i="63"/>
  <c r="J61" i="63"/>
  <c r="I61" i="63"/>
  <c r="H61" i="63"/>
  <c r="G61" i="63"/>
  <c r="F61" i="63"/>
  <c r="E61" i="63"/>
  <c r="D61" i="63"/>
  <c r="P60" i="63"/>
  <c r="N60" i="63"/>
  <c r="M60" i="63"/>
  <c r="L60" i="63"/>
  <c r="K60" i="63"/>
  <c r="J60" i="63"/>
  <c r="I60" i="63"/>
  <c r="H60" i="63"/>
  <c r="G60" i="63"/>
  <c r="F60" i="63"/>
  <c r="E60" i="63"/>
  <c r="D60" i="63"/>
  <c r="P59" i="63"/>
  <c r="N59" i="63"/>
  <c r="M59" i="63"/>
  <c r="L59" i="63"/>
  <c r="K59" i="63"/>
  <c r="J59" i="63"/>
  <c r="I59" i="63"/>
  <c r="H59" i="63"/>
  <c r="G59" i="63"/>
  <c r="F59" i="63"/>
  <c r="E59" i="63"/>
  <c r="D59" i="63"/>
  <c r="P58" i="63"/>
  <c r="N58" i="63"/>
  <c r="M58" i="63"/>
  <c r="L58" i="63"/>
  <c r="K58" i="63"/>
  <c r="J58" i="63"/>
  <c r="I58" i="63"/>
  <c r="H58" i="63"/>
  <c r="G58" i="63"/>
  <c r="F58" i="63"/>
  <c r="E58" i="63"/>
  <c r="D58" i="63"/>
  <c r="P57" i="63"/>
  <c r="N57" i="63"/>
  <c r="M57" i="63"/>
  <c r="L57" i="63"/>
  <c r="K57" i="63"/>
  <c r="J57" i="63"/>
  <c r="I57" i="63"/>
  <c r="H57" i="63"/>
  <c r="G57" i="63"/>
  <c r="F57" i="63"/>
  <c r="E57" i="63"/>
  <c r="D57" i="63"/>
  <c r="P56" i="63"/>
  <c r="N56" i="63"/>
  <c r="M56" i="63"/>
  <c r="L56" i="63"/>
  <c r="K56" i="63"/>
  <c r="J56" i="63"/>
  <c r="I56" i="63"/>
  <c r="H56" i="63"/>
  <c r="G56" i="63"/>
  <c r="F56" i="63"/>
  <c r="E56" i="63"/>
  <c r="D56" i="63"/>
  <c r="P55" i="63"/>
  <c r="N55" i="63"/>
  <c r="M55" i="63"/>
  <c r="L55" i="63"/>
  <c r="K55" i="63"/>
  <c r="J55" i="63"/>
  <c r="I55" i="63"/>
  <c r="H55" i="63"/>
  <c r="G55" i="63"/>
  <c r="F55" i="63"/>
  <c r="E55" i="63"/>
  <c r="D55" i="63"/>
  <c r="P54" i="63"/>
  <c r="N54" i="63"/>
  <c r="M54" i="63"/>
  <c r="L54" i="63"/>
  <c r="K54" i="63"/>
  <c r="J54" i="63"/>
  <c r="I54" i="63"/>
  <c r="H54" i="63"/>
  <c r="G54" i="63"/>
  <c r="F54" i="63"/>
  <c r="E54" i="63"/>
  <c r="D54" i="63"/>
  <c r="P53" i="63"/>
  <c r="N53" i="63"/>
  <c r="M53" i="63"/>
  <c r="L53" i="63"/>
  <c r="K53" i="63"/>
  <c r="J53" i="63"/>
  <c r="I53" i="63"/>
  <c r="H53" i="63"/>
  <c r="G53" i="63"/>
  <c r="F53" i="63"/>
  <c r="E53" i="63"/>
  <c r="D53" i="63"/>
  <c r="P52" i="63"/>
  <c r="N52" i="63"/>
  <c r="M52" i="63"/>
  <c r="L52" i="63"/>
  <c r="K52" i="63"/>
  <c r="J52" i="63"/>
  <c r="I52" i="63"/>
  <c r="H52" i="63"/>
  <c r="G52" i="63"/>
  <c r="F52" i="63"/>
  <c r="E52" i="63"/>
  <c r="D52" i="63"/>
  <c r="P51" i="63"/>
  <c r="N51" i="63"/>
  <c r="M51" i="63"/>
  <c r="L51" i="63"/>
  <c r="K51" i="63"/>
  <c r="J51" i="63"/>
  <c r="I51" i="63"/>
  <c r="H51" i="63"/>
  <c r="G51" i="63"/>
  <c r="F51" i="63"/>
  <c r="E51" i="63"/>
  <c r="D51" i="63"/>
  <c r="P50" i="63"/>
  <c r="N50" i="63"/>
  <c r="M50" i="63"/>
  <c r="L50" i="63"/>
  <c r="K50" i="63"/>
  <c r="J50" i="63"/>
  <c r="I50" i="63"/>
  <c r="H50" i="63"/>
  <c r="G50" i="63"/>
  <c r="F50" i="63"/>
  <c r="E50" i="63"/>
  <c r="D50" i="63"/>
  <c r="P49" i="63"/>
  <c r="N49" i="63"/>
  <c r="M49" i="63"/>
  <c r="L49" i="63"/>
  <c r="K49" i="63"/>
  <c r="J49" i="63"/>
  <c r="I49" i="63"/>
  <c r="H49" i="63"/>
  <c r="G49" i="63"/>
  <c r="F49" i="63"/>
  <c r="E49" i="63"/>
  <c r="D49" i="63"/>
  <c r="P48" i="63"/>
  <c r="N48" i="63"/>
  <c r="M48" i="63"/>
  <c r="L48" i="63"/>
  <c r="K48" i="63"/>
  <c r="J48" i="63"/>
  <c r="I48" i="63"/>
  <c r="H48" i="63"/>
  <c r="G48" i="63"/>
  <c r="F48" i="63"/>
  <c r="E48" i="63"/>
  <c r="D48" i="63"/>
  <c r="P47" i="63"/>
  <c r="N47" i="63"/>
  <c r="M47" i="63"/>
  <c r="L47" i="63"/>
  <c r="K47" i="63"/>
  <c r="J47" i="63"/>
  <c r="I47" i="63"/>
  <c r="H47" i="63"/>
  <c r="G47" i="63"/>
  <c r="F47" i="63"/>
  <c r="E47" i="63"/>
  <c r="D47" i="63"/>
  <c r="P46" i="63"/>
  <c r="N46" i="63"/>
  <c r="M46" i="63"/>
  <c r="L46" i="63"/>
  <c r="K46" i="63"/>
  <c r="J46" i="63"/>
  <c r="I46" i="63"/>
  <c r="H46" i="63"/>
  <c r="G46" i="63"/>
  <c r="F46" i="63"/>
  <c r="E46" i="63"/>
  <c r="D46" i="63"/>
  <c r="P45" i="63"/>
  <c r="N45" i="63"/>
  <c r="M45" i="63"/>
  <c r="L45" i="63"/>
  <c r="K45" i="63"/>
  <c r="J45" i="63"/>
  <c r="I45" i="63"/>
  <c r="H45" i="63"/>
  <c r="G45" i="63"/>
  <c r="F45" i="63"/>
  <c r="E45" i="63"/>
  <c r="D45" i="63"/>
  <c r="P44" i="63"/>
  <c r="N44" i="63"/>
  <c r="M44" i="63"/>
  <c r="L44" i="63"/>
  <c r="K44" i="63"/>
  <c r="J44" i="63"/>
  <c r="I44" i="63"/>
  <c r="H44" i="63"/>
  <c r="G44" i="63"/>
  <c r="F44" i="63"/>
  <c r="E44" i="63"/>
  <c r="D44" i="63"/>
  <c r="P43" i="63"/>
  <c r="N43" i="63"/>
  <c r="M43" i="63"/>
  <c r="L43" i="63"/>
  <c r="K43" i="63"/>
  <c r="J43" i="63"/>
  <c r="I43" i="63"/>
  <c r="H43" i="63"/>
  <c r="G43" i="63"/>
  <c r="F43" i="63"/>
  <c r="E43" i="63"/>
  <c r="D43" i="63"/>
  <c r="P42" i="63"/>
  <c r="N42" i="63"/>
  <c r="M42" i="63"/>
  <c r="L42" i="63"/>
  <c r="K42" i="63"/>
  <c r="J42" i="63"/>
  <c r="I42" i="63"/>
  <c r="H42" i="63"/>
  <c r="G42" i="63"/>
  <c r="F42" i="63"/>
  <c r="E42" i="63"/>
  <c r="D42" i="63"/>
  <c r="P41" i="63"/>
  <c r="N41" i="63"/>
  <c r="M41" i="63"/>
  <c r="L41" i="63"/>
  <c r="K41" i="63"/>
  <c r="J41" i="63"/>
  <c r="I41" i="63"/>
  <c r="H41" i="63"/>
  <c r="G41" i="63"/>
  <c r="F41" i="63"/>
  <c r="E41" i="63"/>
  <c r="D41" i="63"/>
  <c r="P40" i="63"/>
  <c r="N40" i="63"/>
  <c r="M40" i="63"/>
  <c r="L40" i="63"/>
  <c r="K40" i="63"/>
  <c r="J40" i="63"/>
  <c r="I40" i="63"/>
  <c r="H40" i="63"/>
  <c r="G40" i="63"/>
  <c r="F40" i="63"/>
  <c r="E40" i="63"/>
  <c r="D40" i="63"/>
  <c r="P39" i="63"/>
  <c r="N39" i="63"/>
  <c r="M39" i="63"/>
  <c r="L39" i="63"/>
  <c r="K39" i="63"/>
  <c r="J39" i="63"/>
  <c r="I39" i="63"/>
  <c r="H39" i="63"/>
  <c r="G39" i="63"/>
  <c r="F39" i="63"/>
  <c r="E39" i="63"/>
  <c r="D39" i="63"/>
  <c r="P38" i="63"/>
  <c r="N38" i="63"/>
  <c r="M38" i="63"/>
  <c r="L38" i="63"/>
  <c r="K38" i="63"/>
  <c r="J38" i="63"/>
  <c r="I38" i="63"/>
  <c r="H38" i="63"/>
  <c r="G38" i="63"/>
  <c r="F38" i="63"/>
  <c r="E38" i="63"/>
  <c r="D38" i="63"/>
  <c r="P37" i="63"/>
  <c r="N37" i="63"/>
  <c r="M37" i="63"/>
  <c r="L37" i="63"/>
  <c r="K37" i="63"/>
  <c r="J37" i="63"/>
  <c r="I37" i="63"/>
  <c r="H37" i="63"/>
  <c r="G37" i="63"/>
  <c r="F37" i="63"/>
  <c r="E37" i="63"/>
  <c r="D37" i="63"/>
  <c r="P36" i="63"/>
  <c r="N36" i="63"/>
  <c r="M36" i="63"/>
  <c r="L36" i="63"/>
  <c r="K36" i="63"/>
  <c r="J36" i="63"/>
  <c r="I36" i="63"/>
  <c r="H36" i="63"/>
  <c r="G36" i="63"/>
  <c r="F36" i="63"/>
  <c r="E36" i="63"/>
  <c r="D36" i="63"/>
  <c r="P35" i="63"/>
  <c r="N35" i="63"/>
  <c r="M35" i="63"/>
  <c r="L35" i="63"/>
  <c r="K35" i="63"/>
  <c r="J35" i="63"/>
  <c r="I35" i="63"/>
  <c r="H35" i="63"/>
  <c r="G35" i="63"/>
  <c r="F35" i="63"/>
  <c r="E35" i="63"/>
  <c r="D35" i="63"/>
  <c r="P34" i="63"/>
  <c r="N34" i="63"/>
  <c r="M34" i="63"/>
  <c r="L34" i="63"/>
  <c r="K34" i="63"/>
  <c r="J34" i="63"/>
  <c r="I34" i="63"/>
  <c r="H34" i="63"/>
  <c r="G34" i="63"/>
  <c r="F34" i="63"/>
  <c r="E34" i="63"/>
  <c r="D34" i="63"/>
  <c r="P33" i="63"/>
  <c r="N33" i="63"/>
  <c r="M33" i="63"/>
  <c r="L33" i="63"/>
  <c r="K33" i="63"/>
  <c r="J33" i="63"/>
  <c r="I33" i="63"/>
  <c r="H33" i="63"/>
  <c r="G33" i="63"/>
  <c r="F33" i="63"/>
  <c r="E33" i="63"/>
  <c r="D33" i="63"/>
  <c r="P32" i="63"/>
  <c r="N32" i="63"/>
  <c r="M32" i="63"/>
  <c r="L32" i="63"/>
  <c r="K32" i="63"/>
  <c r="J32" i="63"/>
  <c r="I32" i="63"/>
  <c r="H32" i="63"/>
  <c r="G32" i="63"/>
  <c r="F32" i="63"/>
  <c r="E32" i="63"/>
  <c r="D32" i="63"/>
  <c r="P31" i="63"/>
  <c r="N31" i="63"/>
  <c r="M31" i="63"/>
  <c r="L31" i="63"/>
  <c r="K31" i="63"/>
  <c r="J31" i="63"/>
  <c r="I31" i="63"/>
  <c r="H31" i="63"/>
  <c r="G31" i="63"/>
  <c r="F31" i="63"/>
  <c r="E31" i="63"/>
  <c r="D31" i="63"/>
  <c r="P30" i="63"/>
  <c r="N30" i="63"/>
  <c r="M30" i="63"/>
  <c r="L30" i="63"/>
  <c r="K30" i="63"/>
  <c r="J30" i="63"/>
  <c r="I30" i="63"/>
  <c r="H30" i="63"/>
  <c r="G30" i="63"/>
  <c r="F30" i="63"/>
  <c r="E30" i="63"/>
  <c r="D30" i="63"/>
  <c r="P29" i="63"/>
  <c r="N29" i="63"/>
  <c r="M29" i="63"/>
  <c r="L29" i="63"/>
  <c r="K29" i="63"/>
  <c r="J29" i="63"/>
  <c r="I29" i="63"/>
  <c r="H29" i="63"/>
  <c r="G29" i="63"/>
  <c r="F29" i="63"/>
  <c r="E29" i="63"/>
  <c r="D29" i="63"/>
  <c r="P28" i="63"/>
  <c r="N28" i="63"/>
  <c r="M28" i="63"/>
  <c r="L28" i="63"/>
  <c r="K28" i="63"/>
  <c r="J28" i="63"/>
  <c r="I28" i="63"/>
  <c r="H28" i="63"/>
  <c r="G28" i="63"/>
  <c r="F28" i="63"/>
  <c r="E28" i="63"/>
  <c r="D28" i="63"/>
  <c r="P27" i="63"/>
  <c r="N27" i="63"/>
  <c r="M27" i="63"/>
  <c r="L27" i="63"/>
  <c r="K27" i="63"/>
  <c r="J27" i="63"/>
  <c r="I27" i="63"/>
  <c r="H27" i="63"/>
  <c r="G27" i="63"/>
  <c r="F27" i="63"/>
  <c r="E27" i="63"/>
  <c r="D27" i="63"/>
  <c r="P26" i="63"/>
  <c r="N26" i="63"/>
  <c r="M26" i="63"/>
  <c r="L26" i="63"/>
  <c r="K26" i="63"/>
  <c r="J26" i="63"/>
  <c r="I26" i="63"/>
  <c r="H26" i="63"/>
  <c r="G26" i="63"/>
  <c r="F26" i="63"/>
  <c r="E26" i="63"/>
  <c r="D26" i="63"/>
  <c r="P25" i="63"/>
  <c r="N25" i="63"/>
  <c r="M25" i="63"/>
  <c r="L25" i="63"/>
  <c r="K25" i="63"/>
  <c r="J25" i="63"/>
  <c r="I25" i="63"/>
  <c r="H25" i="63"/>
  <c r="G25" i="63"/>
  <c r="F25" i="63"/>
  <c r="E25" i="63"/>
  <c r="D25" i="63"/>
  <c r="P24" i="63"/>
  <c r="N24" i="63"/>
  <c r="M24" i="63"/>
  <c r="L24" i="63"/>
  <c r="K24" i="63"/>
  <c r="J24" i="63"/>
  <c r="I24" i="63"/>
  <c r="H24" i="63"/>
  <c r="G24" i="63"/>
  <c r="F24" i="63"/>
  <c r="E24" i="63"/>
  <c r="D24" i="63"/>
  <c r="P23" i="63"/>
  <c r="N23" i="63"/>
  <c r="M23" i="63"/>
  <c r="L23" i="63"/>
  <c r="K23" i="63"/>
  <c r="J23" i="63"/>
  <c r="I23" i="63"/>
  <c r="H23" i="63"/>
  <c r="G23" i="63"/>
  <c r="F23" i="63"/>
  <c r="E23" i="63"/>
  <c r="D23" i="63"/>
  <c r="P22" i="63"/>
  <c r="N22" i="63"/>
  <c r="M22" i="63"/>
  <c r="L22" i="63"/>
  <c r="K22" i="63"/>
  <c r="J22" i="63"/>
  <c r="I22" i="63"/>
  <c r="H22" i="63"/>
  <c r="G22" i="63"/>
  <c r="F22" i="63"/>
  <c r="E22" i="63"/>
  <c r="D22" i="63"/>
  <c r="N19" i="63"/>
  <c r="M19" i="63"/>
  <c r="L19" i="63"/>
  <c r="K19" i="63"/>
  <c r="J19" i="63"/>
  <c r="H19" i="63"/>
  <c r="G19" i="63"/>
  <c r="F19" i="63"/>
  <c r="E19" i="63"/>
  <c r="D19" i="63"/>
  <c r="P18" i="63"/>
  <c r="O18" i="63"/>
  <c r="N18" i="63"/>
  <c r="M18" i="63"/>
  <c r="L18" i="63"/>
  <c r="K18" i="63"/>
  <c r="J18" i="63"/>
  <c r="I18" i="63"/>
  <c r="H18" i="63"/>
  <c r="G18" i="63"/>
  <c r="F18" i="63"/>
  <c r="E18" i="63"/>
  <c r="D18" i="63"/>
  <c r="P17" i="63"/>
  <c r="P16" i="63"/>
  <c r="P15" i="63"/>
  <c r="P14" i="63"/>
  <c r="N13" i="63"/>
  <c r="M13" i="63"/>
  <c r="L13" i="63"/>
  <c r="K13" i="63"/>
  <c r="J13" i="63"/>
  <c r="H13" i="63"/>
  <c r="G13" i="63"/>
  <c r="F13" i="63"/>
  <c r="E13" i="63"/>
  <c r="D13" i="63"/>
  <c r="N12" i="63"/>
  <c r="M12" i="63"/>
  <c r="L12" i="63"/>
  <c r="K12" i="63"/>
  <c r="J12" i="63"/>
  <c r="I12" i="63"/>
  <c r="P12" i="63" s="1"/>
  <c r="H12" i="63"/>
  <c r="G12" i="63"/>
  <c r="F12" i="63"/>
  <c r="E12" i="63"/>
  <c r="D12" i="63"/>
  <c r="N11" i="63"/>
  <c r="M11" i="63"/>
  <c r="L11" i="63"/>
  <c r="K11" i="63"/>
  <c r="J11" i="63"/>
  <c r="I11" i="63"/>
  <c r="P11" i="63" s="1"/>
  <c r="H11" i="63"/>
  <c r="G11" i="63"/>
  <c r="F11" i="63"/>
  <c r="E11" i="63"/>
  <c r="D11" i="63"/>
  <c r="N10" i="63"/>
  <c r="M10" i="63"/>
  <c r="L10" i="63"/>
  <c r="K10" i="63"/>
  <c r="J10" i="63"/>
  <c r="I10" i="63"/>
  <c r="P10" i="63" s="1"/>
  <c r="H10" i="63"/>
  <c r="G10" i="63"/>
  <c r="F10" i="63"/>
  <c r="E10" i="63"/>
  <c r="D10" i="63"/>
  <c r="N9" i="63"/>
  <c r="M9" i="63"/>
  <c r="L9" i="63"/>
  <c r="K9" i="63"/>
  <c r="J9" i="63"/>
  <c r="I9" i="63"/>
  <c r="P9" i="63" s="1"/>
  <c r="H9" i="63"/>
  <c r="G9" i="63"/>
  <c r="F9" i="63"/>
  <c r="E9" i="63"/>
  <c r="D9" i="63"/>
  <c r="O8" i="63"/>
  <c r="O13" i="63" s="1"/>
  <c r="N8" i="63"/>
  <c r="M8" i="63"/>
  <c r="L8" i="63"/>
  <c r="K8" i="63"/>
  <c r="J8" i="63"/>
  <c r="H8" i="63"/>
  <c r="G8" i="63"/>
  <c r="F8" i="63"/>
  <c r="E8" i="63"/>
  <c r="D8" i="63"/>
  <c r="N137" i="62"/>
  <c r="M137" i="62"/>
  <c r="L137" i="62"/>
  <c r="K137" i="62"/>
  <c r="J137" i="62"/>
  <c r="H137" i="62"/>
  <c r="G137" i="62"/>
  <c r="F137" i="62"/>
  <c r="E137" i="62"/>
  <c r="D137" i="62"/>
  <c r="N134" i="62"/>
  <c r="M134" i="62"/>
  <c r="L134" i="62"/>
  <c r="K134" i="62"/>
  <c r="J134" i="62"/>
  <c r="H134" i="62"/>
  <c r="G134" i="62"/>
  <c r="F134" i="62"/>
  <c r="E134" i="62"/>
  <c r="D134" i="62"/>
  <c r="O132" i="62"/>
  <c r="P132" i="62" s="1"/>
  <c r="N132" i="62"/>
  <c r="M132" i="62"/>
  <c r="L132" i="62"/>
  <c r="K132" i="62"/>
  <c r="J132" i="62"/>
  <c r="I132" i="62"/>
  <c r="H132" i="62"/>
  <c r="G132" i="62"/>
  <c r="F132" i="62"/>
  <c r="E132" i="62"/>
  <c r="D132" i="62"/>
  <c r="P131" i="62"/>
  <c r="N131" i="62"/>
  <c r="M131" i="62"/>
  <c r="L131" i="62"/>
  <c r="K131" i="62"/>
  <c r="J131" i="62"/>
  <c r="I131" i="62"/>
  <c r="H131" i="62"/>
  <c r="G131" i="62"/>
  <c r="F131" i="62"/>
  <c r="E131" i="62"/>
  <c r="D131" i="62"/>
  <c r="P130" i="62"/>
  <c r="N130" i="62"/>
  <c r="M130" i="62"/>
  <c r="L130" i="62"/>
  <c r="K130" i="62"/>
  <c r="J130" i="62"/>
  <c r="I130" i="62"/>
  <c r="H130" i="62"/>
  <c r="G130" i="62"/>
  <c r="F130" i="62"/>
  <c r="E130" i="62"/>
  <c r="D130" i="62"/>
  <c r="P129" i="62"/>
  <c r="N129" i="62"/>
  <c r="M129" i="62"/>
  <c r="L129" i="62"/>
  <c r="K129" i="62"/>
  <c r="J129" i="62"/>
  <c r="I129" i="62"/>
  <c r="H129" i="62"/>
  <c r="G129" i="62"/>
  <c r="F129" i="62"/>
  <c r="E129" i="62"/>
  <c r="D129" i="62"/>
  <c r="P128" i="62"/>
  <c r="N128" i="62"/>
  <c r="M128" i="62"/>
  <c r="L128" i="62"/>
  <c r="K128" i="62"/>
  <c r="J128" i="62"/>
  <c r="I128" i="62"/>
  <c r="H128" i="62"/>
  <c r="G128" i="62"/>
  <c r="F128" i="62"/>
  <c r="E128" i="62"/>
  <c r="D128" i="62"/>
  <c r="P127" i="62"/>
  <c r="N127" i="62"/>
  <c r="M127" i="62"/>
  <c r="L127" i="62"/>
  <c r="K127" i="62"/>
  <c r="J127" i="62"/>
  <c r="I127" i="62"/>
  <c r="H127" i="62"/>
  <c r="G127" i="62"/>
  <c r="F127" i="62"/>
  <c r="E127" i="62"/>
  <c r="D127" i="62"/>
  <c r="P126" i="62"/>
  <c r="N126" i="62"/>
  <c r="M126" i="62"/>
  <c r="L126" i="62"/>
  <c r="K126" i="62"/>
  <c r="J126" i="62"/>
  <c r="I126" i="62"/>
  <c r="H126" i="62"/>
  <c r="G126" i="62"/>
  <c r="F126" i="62"/>
  <c r="E126" i="62"/>
  <c r="D126" i="62"/>
  <c r="P125" i="62"/>
  <c r="N125" i="62"/>
  <c r="M125" i="62"/>
  <c r="L125" i="62"/>
  <c r="K125" i="62"/>
  <c r="J125" i="62"/>
  <c r="I125" i="62"/>
  <c r="H125" i="62"/>
  <c r="G125" i="62"/>
  <c r="F125" i="62"/>
  <c r="E125" i="62"/>
  <c r="D125" i="62"/>
  <c r="P124" i="62"/>
  <c r="N124" i="62"/>
  <c r="M124" i="62"/>
  <c r="L124" i="62"/>
  <c r="K124" i="62"/>
  <c r="J124" i="62"/>
  <c r="I124" i="62"/>
  <c r="H124" i="62"/>
  <c r="G124" i="62"/>
  <c r="F124" i="62"/>
  <c r="E124" i="62"/>
  <c r="D124" i="62"/>
  <c r="P123" i="62"/>
  <c r="N123" i="62"/>
  <c r="M123" i="62"/>
  <c r="L123" i="62"/>
  <c r="K123" i="62"/>
  <c r="J123" i="62"/>
  <c r="I123" i="62"/>
  <c r="H123" i="62"/>
  <c r="G123" i="62"/>
  <c r="F123" i="62"/>
  <c r="E123" i="62"/>
  <c r="D123" i="62"/>
  <c r="P122" i="62"/>
  <c r="N122" i="62"/>
  <c r="M122" i="62"/>
  <c r="L122" i="62"/>
  <c r="K122" i="62"/>
  <c r="J122" i="62"/>
  <c r="I122" i="62"/>
  <c r="H122" i="62"/>
  <c r="G122" i="62"/>
  <c r="F122" i="62"/>
  <c r="E122" i="62"/>
  <c r="D122" i="62"/>
  <c r="P121" i="62"/>
  <c r="N121" i="62"/>
  <c r="M121" i="62"/>
  <c r="L121" i="62"/>
  <c r="K121" i="62"/>
  <c r="J121" i="62"/>
  <c r="I121" i="62"/>
  <c r="H121" i="62"/>
  <c r="G121" i="62"/>
  <c r="F121" i="62"/>
  <c r="E121" i="62"/>
  <c r="D121" i="62"/>
  <c r="P120" i="62"/>
  <c r="N120" i="62"/>
  <c r="M120" i="62"/>
  <c r="L120" i="62"/>
  <c r="K120" i="62"/>
  <c r="J120" i="62"/>
  <c r="I120" i="62"/>
  <c r="H120" i="62"/>
  <c r="G120" i="62"/>
  <c r="F120" i="62"/>
  <c r="E120" i="62"/>
  <c r="D120" i="62"/>
  <c r="P119" i="62"/>
  <c r="N119" i="62"/>
  <c r="M119" i="62"/>
  <c r="L119" i="62"/>
  <c r="K119" i="62"/>
  <c r="J119" i="62"/>
  <c r="I119" i="62"/>
  <c r="H119" i="62"/>
  <c r="G119" i="62"/>
  <c r="F119" i="62"/>
  <c r="E119" i="62"/>
  <c r="D119" i="62"/>
  <c r="P118" i="62"/>
  <c r="N118" i="62"/>
  <c r="M118" i="62"/>
  <c r="L118" i="62"/>
  <c r="K118" i="62"/>
  <c r="J118" i="62"/>
  <c r="I118" i="62"/>
  <c r="H118" i="62"/>
  <c r="G118" i="62"/>
  <c r="F118" i="62"/>
  <c r="E118" i="62"/>
  <c r="D118" i="62"/>
  <c r="P117" i="62"/>
  <c r="N117" i="62"/>
  <c r="M117" i="62"/>
  <c r="L117" i="62"/>
  <c r="K117" i="62"/>
  <c r="J117" i="62"/>
  <c r="I117" i="62"/>
  <c r="H117" i="62"/>
  <c r="G117" i="62"/>
  <c r="F117" i="62"/>
  <c r="E117" i="62"/>
  <c r="D117" i="62"/>
  <c r="P116" i="62"/>
  <c r="N116" i="62"/>
  <c r="M116" i="62"/>
  <c r="L116" i="62"/>
  <c r="K116" i="62"/>
  <c r="J116" i="62"/>
  <c r="I116" i="62"/>
  <c r="H116" i="62"/>
  <c r="G116" i="62"/>
  <c r="F116" i="62"/>
  <c r="E116" i="62"/>
  <c r="D116" i="62"/>
  <c r="P115" i="62"/>
  <c r="N115" i="62"/>
  <c r="M115" i="62"/>
  <c r="L115" i="62"/>
  <c r="K115" i="62"/>
  <c r="J115" i="62"/>
  <c r="I115" i="62"/>
  <c r="H115" i="62"/>
  <c r="G115" i="62"/>
  <c r="F115" i="62"/>
  <c r="E115" i="62"/>
  <c r="D115" i="62"/>
  <c r="P114" i="62"/>
  <c r="N114" i="62"/>
  <c r="M114" i="62"/>
  <c r="L114" i="62"/>
  <c r="K114" i="62"/>
  <c r="J114" i="62"/>
  <c r="I114" i="62"/>
  <c r="H114" i="62"/>
  <c r="G114" i="62"/>
  <c r="F114" i="62"/>
  <c r="E114" i="62"/>
  <c r="D114" i="62"/>
  <c r="P113" i="62"/>
  <c r="N113" i="62"/>
  <c r="M113" i="62"/>
  <c r="L113" i="62"/>
  <c r="K113" i="62"/>
  <c r="J113" i="62"/>
  <c r="I113" i="62"/>
  <c r="H113" i="62"/>
  <c r="G113" i="62"/>
  <c r="F113" i="62"/>
  <c r="E113" i="62"/>
  <c r="D113" i="62"/>
  <c r="P112" i="62"/>
  <c r="N112" i="62"/>
  <c r="M112" i="62"/>
  <c r="L112" i="62"/>
  <c r="K112" i="62"/>
  <c r="J112" i="62"/>
  <c r="I112" i="62"/>
  <c r="H112" i="62"/>
  <c r="G112" i="62"/>
  <c r="F112" i="62"/>
  <c r="E112" i="62"/>
  <c r="D112" i="62"/>
  <c r="P111" i="62"/>
  <c r="N111" i="62"/>
  <c r="M111" i="62"/>
  <c r="L111" i="62"/>
  <c r="K111" i="62"/>
  <c r="J111" i="62"/>
  <c r="I111" i="62"/>
  <c r="H111" i="62"/>
  <c r="G111" i="62"/>
  <c r="F111" i="62"/>
  <c r="E111" i="62"/>
  <c r="D111" i="62"/>
  <c r="P110" i="62"/>
  <c r="N110" i="62"/>
  <c r="M110" i="62"/>
  <c r="L110" i="62"/>
  <c r="K110" i="62"/>
  <c r="J110" i="62"/>
  <c r="I110" i="62"/>
  <c r="H110" i="62"/>
  <c r="G110" i="62"/>
  <c r="F110" i="62"/>
  <c r="E110" i="62"/>
  <c r="D110" i="62"/>
  <c r="P109" i="62"/>
  <c r="N109" i="62"/>
  <c r="M109" i="62"/>
  <c r="L109" i="62"/>
  <c r="K109" i="62"/>
  <c r="J109" i="62"/>
  <c r="I109" i="62"/>
  <c r="H109" i="62"/>
  <c r="G109" i="62"/>
  <c r="F109" i="62"/>
  <c r="E109" i="62"/>
  <c r="D109" i="62"/>
  <c r="P108" i="62"/>
  <c r="N108" i="62"/>
  <c r="M108" i="62"/>
  <c r="L108" i="62"/>
  <c r="K108" i="62"/>
  <c r="J108" i="62"/>
  <c r="I108" i="62"/>
  <c r="H108" i="62"/>
  <c r="G108" i="62"/>
  <c r="F108" i="62"/>
  <c r="E108" i="62"/>
  <c r="D108" i="62"/>
  <c r="P107" i="62"/>
  <c r="N107" i="62"/>
  <c r="M107" i="62"/>
  <c r="L107" i="62"/>
  <c r="K107" i="62"/>
  <c r="J107" i="62"/>
  <c r="I107" i="62"/>
  <c r="H107" i="62"/>
  <c r="G107" i="62"/>
  <c r="F107" i="62"/>
  <c r="E107" i="62"/>
  <c r="D107" i="62"/>
  <c r="P106" i="62"/>
  <c r="N106" i="62"/>
  <c r="M106" i="62"/>
  <c r="L106" i="62"/>
  <c r="K106" i="62"/>
  <c r="J106" i="62"/>
  <c r="I106" i="62"/>
  <c r="H106" i="62"/>
  <c r="G106" i="62"/>
  <c r="F106" i="62"/>
  <c r="E106" i="62"/>
  <c r="D106" i="62"/>
  <c r="P105" i="62"/>
  <c r="N105" i="62"/>
  <c r="M105" i="62"/>
  <c r="L105" i="62"/>
  <c r="K105" i="62"/>
  <c r="J105" i="62"/>
  <c r="I105" i="62"/>
  <c r="H105" i="62"/>
  <c r="G105" i="62"/>
  <c r="F105" i="62"/>
  <c r="E105" i="62"/>
  <c r="D105" i="62"/>
  <c r="P104" i="62"/>
  <c r="N104" i="62"/>
  <c r="M104" i="62"/>
  <c r="L104" i="62"/>
  <c r="K104" i="62"/>
  <c r="J104" i="62"/>
  <c r="I104" i="62"/>
  <c r="H104" i="62"/>
  <c r="G104" i="62"/>
  <c r="F104" i="62"/>
  <c r="E104" i="62"/>
  <c r="D104" i="62"/>
  <c r="P103" i="62"/>
  <c r="N103" i="62"/>
  <c r="M103" i="62"/>
  <c r="L103" i="62"/>
  <c r="K103" i="62"/>
  <c r="J103" i="62"/>
  <c r="I103" i="62"/>
  <c r="H103" i="62"/>
  <c r="G103" i="62"/>
  <c r="F103" i="62"/>
  <c r="E103" i="62"/>
  <c r="D103" i="62"/>
  <c r="P102" i="62"/>
  <c r="N102" i="62"/>
  <c r="M102" i="62"/>
  <c r="L102" i="62"/>
  <c r="K102" i="62"/>
  <c r="J102" i="62"/>
  <c r="I102" i="62"/>
  <c r="H102" i="62"/>
  <c r="G102" i="62"/>
  <c r="F102" i="62"/>
  <c r="E102" i="62"/>
  <c r="D102" i="62"/>
  <c r="P101" i="62"/>
  <c r="N101" i="62"/>
  <c r="M101" i="62"/>
  <c r="L101" i="62"/>
  <c r="K101" i="62"/>
  <c r="J101" i="62"/>
  <c r="I101" i="62"/>
  <c r="H101" i="62"/>
  <c r="G101" i="62"/>
  <c r="F101" i="62"/>
  <c r="E101" i="62"/>
  <c r="D101" i="62"/>
  <c r="P100" i="62"/>
  <c r="N100" i="62"/>
  <c r="M100" i="62"/>
  <c r="L100" i="62"/>
  <c r="K100" i="62"/>
  <c r="J100" i="62"/>
  <c r="I100" i="62"/>
  <c r="H100" i="62"/>
  <c r="G100" i="62"/>
  <c r="F100" i="62"/>
  <c r="E100" i="62"/>
  <c r="D100" i="62"/>
  <c r="P99" i="62"/>
  <c r="N99" i="62"/>
  <c r="M99" i="62"/>
  <c r="L99" i="62"/>
  <c r="K99" i="62"/>
  <c r="J99" i="62"/>
  <c r="I99" i="62"/>
  <c r="H99" i="62"/>
  <c r="G99" i="62"/>
  <c r="F99" i="62"/>
  <c r="E99" i="62"/>
  <c r="D99" i="62"/>
  <c r="P98" i="62"/>
  <c r="N98" i="62"/>
  <c r="M98" i="62"/>
  <c r="L98" i="62"/>
  <c r="K98" i="62"/>
  <c r="J98" i="62"/>
  <c r="I98" i="62"/>
  <c r="H98" i="62"/>
  <c r="G98" i="62"/>
  <c r="F98" i="62"/>
  <c r="E98" i="62"/>
  <c r="D98" i="62"/>
  <c r="P97" i="62"/>
  <c r="N97" i="62"/>
  <c r="M97" i="62"/>
  <c r="L97" i="62"/>
  <c r="K97" i="62"/>
  <c r="J97" i="62"/>
  <c r="I97" i="62"/>
  <c r="H97" i="62"/>
  <c r="G97" i="62"/>
  <c r="F97" i="62"/>
  <c r="E97" i="62"/>
  <c r="D97" i="62"/>
  <c r="P96" i="62"/>
  <c r="N96" i="62"/>
  <c r="M96" i="62"/>
  <c r="L96" i="62"/>
  <c r="K96" i="62"/>
  <c r="J96" i="62"/>
  <c r="I96" i="62"/>
  <c r="H96" i="62"/>
  <c r="G96" i="62"/>
  <c r="F96" i="62"/>
  <c r="E96" i="62"/>
  <c r="D96" i="62"/>
  <c r="P95" i="62"/>
  <c r="N95" i="62"/>
  <c r="M95" i="62"/>
  <c r="L95" i="62"/>
  <c r="K95" i="62"/>
  <c r="J95" i="62"/>
  <c r="I95" i="62"/>
  <c r="H95" i="62"/>
  <c r="G95" i="62"/>
  <c r="F95" i="62"/>
  <c r="E95" i="62"/>
  <c r="D95" i="62"/>
  <c r="P94" i="62"/>
  <c r="N94" i="62"/>
  <c r="M94" i="62"/>
  <c r="L94" i="62"/>
  <c r="K94" i="62"/>
  <c r="J94" i="62"/>
  <c r="I94" i="62"/>
  <c r="H94" i="62"/>
  <c r="G94" i="62"/>
  <c r="F94" i="62"/>
  <c r="E94" i="62"/>
  <c r="D94" i="62"/>
  <c r="P93" i="62"/>
  <c r="N93" i="62"/>
  <c r="M93" i="62"/>
  <c r="L93" i="62"/>
  <c r="K93" i="62"/>
  <c r="J93" i="62"/>
  <c r="I93" i="62"/>
  <c r="H93" i="62"/>
  <c r="G93" i="62"/>
  <c r="F93" i="62"/>
  <c r="E93" i="62"/>
  <c r="D93" i="62"/>
  <c r="P92" i="62"/>
  <c r="N92" i="62"/>
  <c r="M92" i="62"/>
  <c r="L92" i="62"/>
  <c r="K92" i="62"/>
  <c r="J92" i="62"/>
  <c r="I92" i="62"/>
  <c r="H92" i="62"/>
  <c r="G92" i="62"/>
  <c r="F92" i="62"/>
  <c r="E92" i="62"/>
  <c r="D92" i="62"/>
  <c r="P91" i="62"/>
  <c r="N91" i="62"/>
  <c r="M91" i="62"/>
  <c r="L91" i="62"/>
  <c r="K91" i="62"/>
  <c r="J91" i="62"/>
  <c r="I91" i="62"/>
  <c r="H91" i="62"/>
  <c r="G91" i="62"/>
  <c r="F91" i="62"/>
  <c r="E91" i="62"/>
  <c r="D91" i="62"/>
  <c r="P90" i="62"/>
  <c r="N90" i="62"/>
  <c r="M90" i="62"/>
  <c r="L90" i="62"/>
  <c r="K90" i="62"/>
  <c r="J90" i="62"/>
  <c r="I90" i="62"/>
  <c r="H90" i="62"/>
  <c r="G90" i="62"/>
  <c r="F90" i="62"/>
  <c r="E90" i="62"/>
  <c r="D90" i="62"/>
  <c r="P89" i="62"/>
  <c r="N89" i="62"/>
  <c r="M89" i="62"/>
  <c r="L89" i="62"/>
  <c r="K89" i="62"/>
  <c r="J89" i="62"/>
  <c r="I89" i="62"/>
  <c r="H89" i="62"/>
  <c r="G89" i="62"/>
  <c r="F89" i="62"/>
  <c r="E89" i="62"/>
  <c r="D89" i="62"/>
  <c r="P88" i="62"/>
  <c r="N88" i="62"/>
  <c r="M88" i="62"/>
  <c r="L88" i="62"/>
  <c r="K88" i="62"/>
  <c r="J88" i="62"/>
  <c r="I88" i="62"/>
  <c r="H88" i="62"/>
  <c r="G88" i="62"/>
  <c r="F88" i="62"/>
  <c r="E88" i="62"/>
  <c r="D88" i="62"/>
  <c r="P87" i="62"/>
  <c r="N87" i="62"/>
  <c r="M87" i="62"/>
  <c r="L87" i="62"/>
  <c r="K87" i="62"/>
  <c r="J87" i="62"/>
  <c r="I87" i="62"/>
  <c r="H87" i="62"/>
  <c r="G87" i="62"/>
  <c r="F87" i="62"/>
  <c r="E87" i="62"/>
  <c r="D87" i="62"/>
  <c r="P86" i="62"/>
  <c r="N86" i="62"/>
  <c r="M86" i="62"/>
  <c r="L86" i="62"/>
  <c r="K86" i="62"/>
  <c r="J86" i="62"/>
  <c r="I86" i="62"/>
  <c r="H86" i="62"/>
  <c r="G86" i="62"/>
  <c r="F86" i="62"/>
  <c r="E86" i="62"/>
  <c r="D86" i="62"/>
  <c r="P85" i="62"/>
  <c r="N85" i="62"/>
  <c r="M85" i="62"/>
  <c r="L85" i="62"/>
  <c r="K85" i="62"/>
  <c r="J85" i="62"/>
  <c r="I85" i="62"/>
  <c r="H85" i="62"/>
  <c r="G85" i="62"/>
  <c r="F85" i="62"/>
  <c r="E85" i="62"/>
  <c r="D85" i="62"/>
  <c r="P84" i="62"/>
  <c r="N84" i="62"/>
  <c r="M84" i="62"/>
  <c r="L84" i="62"/>
  <c r="K84" i="62"/>
  <c r="J84" i="62"/>
  <c r="I84" i="62"/>
  <c r="H84" i="62"/>
  <c r="G84" i="62"/>
  <c r="F84" i="62"/>
  <c r="E84" i="62"/>
  <c r="D84" i="62"/>
  <c r="P83" i="62"/>
  <c r="N83" i="62"/>
  <c r="M83" i="62"/>
  <c r="L83" i="62"/>
  <c r="K83" i="62"/>
  <c r="J83" i="62"/>
  <c r="I83" i="62"/>
  <c r="H83" i="62"/>
  <c r="G83" i="62"/>
  <c r="F83" i="62"/>
  <c r="E83" i="62"/>
  <c r="D83" i="62"/>
  <c r="P82" i="62"/>
  <c r="N82" i="62"/>
  <c r="M82" i="62"/>
  <c r="L82" i="62"/>
  <c r="K82" i="62"/>
  <c r="J82" i="62"/>
  <c r="I82" i="62"/>
  <c r="H82" i="62"/>
  <c r="G82" i="62"/>
  <c r="F82" i="62"/>
  <c r="E82" i="62"/>
  <c r="D82" i="62"/>
  <c r="P81" i="62"/>
  <c r="N81" i="62"/>
  <c r="M81" i="62"/>
  <c r="L81" i="62"/>
  <c r="K81" i="62"/>
  <c r="J81" i="62"/>
  <c r="I81" i="62"/>
  <c r="H81" i="62"/>
  <c r="G81" i="62"/>
  <c r="F81" i="62"/>
  <c r="E81" i="62"/>
  <c r="D81" i="62"/>
  <c r="P80" i="62"/>
  <c r="N80" i="62"/>
  <c r="M80" i="62"/>
  <c r="L80" i="62"/>
  <c r="K80" i="62"/>
  <c r="J80" i="62"/>
  <c r="I80" i="62"/>
  <c r="H80" i="62"/>
  <c r="G80" i="62"/>
  <c r="F80" i="62"/>
  <c r="E80" i="62"/>
  <c r="D80" i="62"/>
  <c r="P79" i="62"/>
  <c r="N79" i="62"/>
  <c r="M79" i="62"/>
  <c r="L79" i="62"/>
  <c r="K79" i="62"/>
  <c r="J79" i="62"/>
  <c r="I79" i="62"/>
  <c r="H79" i="62"/>
  <c r="G79" i="62"/>
  <c r="F79" i="62"/>
  <c r="E79" i="62"/>
  <c r="D79" i="62"/>
  <c r="P78" i="62"/>
  <c r="N78" i="62"/>
  <c r="M78" i="62"/>
  <c r="L78" i="62"/>
  <c r="K78" i="62"/>
  <c r="J78" i="62"/>
  <c r="I78" i="62"/>
  <c r="H78" i="62"/>
  <c r="G78" i="62"/>
  <c r="F78" i="62"/>
  <c r="E78" i="62"/>
  <c r="D78" i="62"/>
  <c r="P77" i="62"/>
  <c r="N77" i="62"/>
  <c r="M77" i="62"/>
  <c r="L77" i="62"/>
  <c r="K77" i="62"/>
  <c r="J77" i="62"/>
  <c r="I77" i="62"/>
  <c r="H77" i="62"/>
  <c r="G77" i="62"/>
  <c r="F77" i="62"/>
  <c r="E77" i="62"/>
  <c r="D77" i="62"/>
  <c r="P76" i="62"/>
  <c r="N76" i="62"/>
  <c r="M76" i="62"/>
  <c r="L76" i="62"/>
  <c r="K76" i="62"/>
  <c r="J76" i="62"/>
  <c r="I76" i="62"/>
  <c r="H76" i="62"/>
  <c r="G76" i="62"/>
  <c r="F76" i="62"/>
  <c r="E76" i="62"/>
  <c r="D76" i="62"/>
  <c r="P75" i="62"/>
  <c r="N75" i="62"/>
  <c r="M75" i="62"/>
  <c r="L75" i="62"/>
  <c r="K75" i="62"/>
  <c r="J75" i="62"/>
  <c r="I75" i="62"/>
  <c r="H75" i="62"/>
  <c r="G75" i="62"/>
  <c r="F75" i="62"/>
  <c r="E75" i="62"/>
  <c r="D75" i="62"/>
  <c r="P74" i="62"/>
  <c r="N74" i="62"/>
  <c r="M74" i="62"/>
  <c r="L74" i="62"/>
  <c r="K74" i="62"/>
  <c r="J74" i="62"/>
  <c r="I74" i="62"/>
  <c r="H74" i="62"/>
  <c r="G74" i="62"/>
  <c r="F74" i="62"/>
  <c r="E74" i="62"/>
  <c r="D74" i="62"/>
  <c r="P73" i="62"/>
  <c r="N73" i="62"/>
  <c r="M73" i="62"/>
  <c r="L73" i="62"/>
  <c r="K73" i="62"/>
  <c r="J73" i="62"/>
  <c r="I73" i="62"/>
  <c r="H73" i="62"/>
  <c r="G73" i="62"/>
  <c r="F73" i="62"/>
  <c r="E73" i="62"/>
  <c r="D73" i="62"/>
  <c r="P72" i="62"/>
  <c r="N72" i="62"/>
  <c r="M72" i="62"/>
  <c r="L72" i="62"/>
  <c r="K72" i="62"/>
  <c r="J72" i="62"/>
  <c r="I72" i="62"/>
  <c r="H72" i="62"/>
  <c r="G72" i="62"/>
  <c r="F72" i="62"/>
  <c r="E72" i="62"/>
  <c r="D72" i="62"/>
  <c r="P71" i="62"/>
  <c r="N71" i="62"/>
  <c r="M71" i="62"/>
  <c r="L71" i="62"/>
  <c r="K71" i="62"/>
  <c r="J71" i="62"/>
  <c r="I71" i="62"/>
  <c r="H71" i="62"/>
  <c r="G71" i="62"/>
  <c r="F71" i="62"/>
  <c r="E71" i="62"/>
  <c r="D71" i="62"/>
  <c r="P70" i="62"/>
  <c r="N70" i="62"/>
  <c r="M70" i="62"/>
  <c r="L70" i="62"/>
  <c r="K70" i="62"/>
  <c r="J70" i="62"/>
  <c r="I70" i="62"/>
  <c r="H70" i="62"/>
  <c r="G70" i="62"/>
  <c r="F70" i="62"/>
  <c r="E70" i="62"/>
  <c r="D70" i="62"/>
  <c r="P69" i="62"/>
  <c r="N69" i="62"/>
  <c r="M69" i="62"/>
  <c r="L69" i="62"/>
  <c r="K69" i="62"/>
  <c r="J69" i="62"/>
  <c r="I69" i="62"/>
  <c r="H69" i="62"/>
  <c r="G69" i="62"/>
  <c r="F69" i="62"/>
  <c r="E69" i="62"/>
  <c r="D69" i="62"/>
  <c r="P68" i="62"/>
  <c r="N68" i="62"/>
  <c r="M68" i="62"/>
  <c r="L68" i="62"/>
  <c r="K68" i="62"/>
  <c r="J68" i="62"/>
  <c r="I68" i="62"/>
  <c r="H68" i="62"/>
  <c r="G68" i="62"/>
  <c r="F68" i="62"/>
  <c r="E68" i="62"/>
  <c r="D68" i="62"/>
  <c r="P67" i="62"/>
  <c r="N67" i="62"/>
  <c r="M67" i="62"/>
  <c r="L67" i="62"/>
  <c r="K67" i="62"/>
  <c r="J67" i="62"/>
  <c r="I67" i="62"/>
  <c r="H67" i="62"/>
  <c r="G67" i="62"/>
  <c r="F67" i="62"/>
  <c r="E67" i="62"/>
  <c r="D67" i="62"/>
  <c r="P66" i="62"/>
  <c r="N66" i="62"/>
  <c r="M66" i="62"/>
  <c r="L66" i="62"/>
  <c r="K66" i="62"/>
  <c r="J66" i="62"/>
  <c r="I66" i="62"/>
  <c r="H66" i="62"/>
  <c r="G66" i="62"/>
  <c r="F66" i="62"/>
  <c r="E66" i="62"/>
  <c r="D66" i="62"/>
  <c r="P65" i="62"/>
  <c r="N65" i="62"/>
  <c r="M65" i="62"/>
  <c r="L65" i="62"/>
  <c r="K65" i="62"/>
  <c r="J65" i="62"/>
  <c r="I65" i="62"/>
  <c r="H65" i="62"/>
  <c r="G65" i="62"/>
  <c r="F65" i="62"/>
  <c r="E65" i="62"/>
  <c r="D65" i="62"/>
  <c r="P64" i="62"/>
  <c r="N64" i="62"/>
  <c r="M64" i="62"/>
  <c r="L64" i="62"/>
  <c r="K64" i="62"/>
  <c r="J64" i="62"/>
  <c r="I64" i="62"/>
  <c r="H64" i="62"/>
  <c r="G64" i="62"/>
  <c r="F64" i="62"/>
  <c r="E64" i="62"/>
  <c r="D64" i="62"/>
  <c r="P63" i="62"/>
  <c r="N63" i="62"/>
  <c r="M63" i="62"/>
  <c r="L63" i="62"/>
  <c r="K63" i="62"/>
  <c r="J63" i="62"/>
  <c r="I63" i="62"/>
  <c r="H63" i="62"/>
  <c r="G63" i="62"/>
  <c r="F63" i="62"/>
  <c r="E63" i="62"/>
  <c r="D63" i="62"/>
  <c r="P62" i="62"/>
  <c r="N62" i="62"/>
  <c r="M62" i="62"/>
  <c r="L62" i="62"/>
  <c r="K62" i="62"/>
  <c r="J62" i="62"/>
  <c r="I62" i="62"/>
  <c r="H62" i="62"/>
  <c r="G62" i="62"/>
  <c r="F62" i="62"/>
  <c r="E62" i="62"/>
  <c r="D62" i="62"/>
  <c r="P61" i="62"/>
  <c r="N61" i="62"/>
  <c r="M61" i="62"/>
  <c r="L61" i="62"/>
  <c r="K61" i="62"/>
  <c r="J61" i="62"/>
  <c r="I61" i="62"/>
  <c r="H61" i="62"/>
  <c r="G61" i="62"/>
  <c r="F61" i="62"/>
  <c r="E61" i="62"/>
  <c r="D61" i="62"/>
  <c r="P60" i="62"/>
  <c r="N60" i="62"/>
  <c r="M60" i="62"/>
  <c r="L60" i="62"/>
  <c r="K60" i="62"/>
  <c r="J60" i="62"/>
  <c r="I60" i="62"/>
  <c r="H60" i="62"/>
  <c r="G60" i="62"/>
  <c r="F60" i="62"/>
  <c r="E60" i="62"/>
  <c r="D60" i="62"/>
  <c r="P59" i="62"/>
  <c r="N59" i="62"/>
  <c r="M59" i="62"/>
  <c r="L59" i="62"/>
  <c r="K59" i="62"/>
  <c r="J59" i="62"/>
  <c r="I59" i="62"/>
  <c r="H59" i="62"/>
  <c r="G59" i="62"/>
  <c r="F59" i="62"/>
  <c r="E59" i="62"/>
  <c r="D59" i="62"/>
  <c r="P58" i="62"/>
  <c r="N58" i="62"/>
  <c r="M58" i="62"/>
  <c r="L58" i="62"/>
  <c r="K58" i="62"/>
  <c r="J58" i="62"/>
  <c r="I58" i="62"/>
  <c r="H58" i="62"/>
  <c r="G58" i="62"/>
  <c r="F58" i="62"/>
  <c r="E58" i="62"/>
  <c r="D58" i="62"/>
  <c r="P57" i="62"/>
  <c r="N57" i="62"/>
  <c r="M57" i="62"/>
  <c r="L57" i="62"/>
  <c r="K57" i="62"/>
  <c r="J57" i="62"/>
  <c r="I57" i="62"/>
  <c r="H57" i="62"/>
  <c r="G57" i="62"/>
  <c r="F57" i="62"/>
  <c r="E57" i="62"/>
  <c r="D57" i="62"/>
  <c r="P56" i="62"/>
  <c r="N56" i="62"/>
  <c r="M56" i="62"/>
  <c r="L56" i="62"/>
  <c r="K56" i="62"/>
  <c r="J56" i="62"/>
  <c r="I56" i="62"/>
  <c r="H56" i="62"/>
  <c r="G56" i="62"/>
  <c r="F56" i="62"/>
  <c r="E56" i="62"/>
  <c r="D56" i="62"/>
  <c r="P55" i="62"/>
  <c r="N55" i="62"/>
  <c r="M55" i="62"/>
  <c r="L55" i="62"/>
  <c r="K55" i="62"/>
  <c r="J55" i="62"/>
  <c r="I55" i="62"/>
  <c r="H55" i="62"/>
  <c r="G55" i="62"/>
  <c r="F55" i="62"/>
  <c r="E55" i="62"/>
  <c r="D55" i="62"/>
  <c r="P54" i="62"/>
  <c r="N54" i="62"/>
  <c r="M54" i="62"/>
  <c r="L54" i="62"/>
  <c r="K54" i="62"/>
  <c r="J54" i="62"/>
  <c r="I54" i="62"/>
  <c r="H54" i="62"/>
  <c r="G54" i="62"/>
  <c r="F54" i="62"/>
  <c r="E54" i="62"/>
  <c r="D54" i="62"/>
  <c r="P53" i="62"/>
  <c r="N53" i="62"/>
  <c r="M53" i="62"/>
  <c r="L53" i="62"/>
  <c r="K53" i="62"/>
  <c r="J53" i="62"/>
  <c r="I53" i="62"/>
  <c r="H53" i="62"/>
  <c r="G53" i="62"/>
  <c r="F53" i="62"/>
  <c r="E53" i="62"/>
  <c r="D53" i="62"/>
  <c r="P52" i="62"/>
  <c r="N52" i="62"/>
  <c r="M52" i="62"/>
  <c r="L52" i="62"/>
  <c r="K52" i="62"/>
  <c r="J52" i="62"/>
  <c r="I52" i="62"/>
  <c r="H52" i="62"/>
  <c r="G52" i="62"/>
  <c r="F52" i="62"/>
  <c r="E52" i="62"/>
  <c r="D52" i="62"/>
  <c r="P51" i="62"/>
  <c r="N51" i="62"/>
  <c r="M51" i="62"/>
  <c r="L51" i="62"/>
  <c r="K51" i="62"/>
  <c r="J51" i="62"/>
  <c r="I51" i="62"/>
  <c r="H51" i="62"/>
  <c r="G51" i="62"/>
  <c r="F51" i="62"/>
  <c r="E51" i="62"/>
  <c r="D51" i="62"/>
  <c r="P50" i="62"/>
  <c r="N50" i="62"/>
  <c r="M50" i="62"/>
  <c r="L50" i="62"/>
  <c r="K50" i="62"/>
  <c r="J50" i="62"/>
  <c r="I50" i="62"/>
  <c r="H50" i="62"/>
  <c r="G50" i="62"/>
  <c r="F50" i="62"/>
  <c r="E50" i="62"/>
  <c r="D50" i="62"/>
  <c r="P49" i="62"/>
  <c r="N49" i="62"/>
  <c r="M49" i="62"/>
  <c r="L49" i="62"/>
  <c r="K49" i="62"/>
  <c r="J49" i="62"/>
  <c r="I49" i="62"/>
  <c r="H49" i="62"/>
  <c r="G49" i="62"/>
  <c r="F49" i="62"/>
  <c r="E49" i="62"/>
  <c r="D49" i="62"/>
  <c r="P48" i="62"/>
  <c r="N48" i="62"/>
  <c r="M48" i="62"/>
  <c r="L48" i="62"/>
  <c r="K48" i="62"/>
  <c r="J48" i="62"/>
  <c r="I48" i="62"/>
  <c r="H48" i="62"/>
  <c r="G48" i="62"/>
  <c r="F48" i="62"/>
  <c r="E48" i="62"/>
  <c r="D48" i="62"/>
  <c r="P47" i="62"/>
  <c r="N47" i="62"/>
  <c r="M47" i="62"/>
  <c r="L47" i="62"/>
  <c r="K47" i="62"/>
  <c r="J47" i="62"/>
  <c r="I47" i="62"/>
  <c r="H47" i="62"/>
  <c r="G47" i="62"/>
  <c r="F47" i="62"/>
  <c r="E47" i="62"/>
  <c r="D47" i="62"/>
  <c r="P46" i="62"/>
  <c r="N46" i="62"/>
  <c r="M46" i="62"/>
  <c r="L46" i="62"/>
  <c r="K46" i="62"/>
  <c r="J46" i="62"/>
  <c r="I46" i="62"/>
  <c r="H46" i="62"/>
  <c r="G46" i="62"/>
  <c r="F46" i="62"/>
  <c r="E46" i="62"/>
  <c r="D46" i="62"/>
  <c r="P45" i="62"/>
  <c r="N45" i="62"/>
  <c r="M45" i="62"/>
  <c r="L45" i="62"/>
  <c r="K45" i="62"/>
  <c r="J45" i="62"/>
  <c r="I45" i="62"/>
  <c r="H45" i="62"/>
  <c r="G45" i="62"/>
  <c r="F45" i="62"/>
  <c r="E45" i="62"/>
  <c r="D45" i="62"/>
  <c r="P44" i="62"/>
  <c r="N44" i="62"/>
  <c r="M44" i="62"/>
  <c r="L44" i="62"/>
  <c r="K44" i="62"/>
  <c r="J44" i="62"/>
  <c r="I44" i="62"/>
  <c r="H44" i="62"/>
  <c r="G44" i="62"/>
  <c r="F44" i="62"/>
  <c r="E44" i="62"/>
  <c r="D44" i="62"/>
  <c r="P43" i="62"/>
  <c r="N43" i="62"/>
  <c r="M43" i="62"/>
  <c r="L43" i="62"/>
  <c r="K43" i="62"/>
  <c r="J43" i="62"/>
  <c r="I43" i="62"/>
  <c r="H43" i="62"/>
  <c r="G43" i="62"/>
  <c r="F43" i="62"/>
  <c r="E43" i="62"/>
  <c r="D43" i="62"/>
  <c r="P42" i="62"/>
  <c r="N42" i="62"/>
  <c r="M42" i="62"/>
  <c r="L42" i="62"/>
  <c r="K42" i="62"/>
  <c r="J42" i="62"/>
  <c r="I42" i="62"/>
  <c r="H42" i="62"/>
  <c r="G42" i="62"/>
  <c r="F42" i="62"/>
  <c r="E42" i="62"/>
  <c r="D42" i="62"/>
  <c r="P41" i="62"/>
  <c r="N41" i="62"/>
  <c r="M41" i="62"/>
  <c r="L41" i="62"/>
  <c r="K41" i="62"/>
  <c r="J41" i="62"/>
  <c r="I41" i="62"/>
  <c r="H41" i="62"/>
  <c r="G41" i="62"/>
  <c r="F41" i="62"/>
  <c r="E41" i="62"/>
  <c r="D41" i="62"/>
  <c r="P40" i="62"/>
  <c r="N40" i="62"/>
  <c r="M40" i="62"/>
  <c r="L40" i="62"/>
  <c r="K40" i="62"/>
  <c r="J40" i="62"/>
  <c r="I40" i="62"/>
  <c r="H40" i="62"/>
  <c r="G40" i="62"/>
  <c r="F40" i="62"/>
  <c r="E40" i="62"/>
  <c r="D40" i="62"/>
  <c r="P39" i="62"/>
  <c r="N39" i="62"/>
  <c r="M39" i="62"/>
  <c r="L39" i="62"/>
  <c r="K39" i="62"/>
  <c r="J39" i="62"/>
  <c r="I39" i="62"/>
  <c r="H39" i="62"/>
  <c r="G39" i="62"/>
  <c r="F39" i="62"/>
  <c r="E39" i="62"/>
  <c r="D39" i="62"/>
  <c r="P38" i="62"/>
  <c r="N38" i="62"/>
  <c r="M38" i="62"/>
  <c r="L38" i="62"/>
  <c r="K38" i="62"/>
  <c r="J38" i="62"/>
  <c r="I38" i="62"/>
  <c r="H38" i="62"/>
  <c r="G38" i="62"/>
  <c r="F38" i="62"/>
  <c r="E38" i="62"/>
  <c r="D38" i="62"/>
  <c r="P37" i="62"/>
  <c r="N37" i="62"/>
  <c r="M37" i="62"/>
  <c r="L37" i="62"/>
  <c r="K37" i="62"/>
  <c r="J37" i="62"/>
  <c r="I37" i="62"/>
  <c r="H37" i="62"/>
  <c r="G37" i="62"/>
  <c r="F37" i="62"/>
  <c r="E37" i="62"/>
  <c r="D37" i="62"/>
  <c r="P36" i="62"/>
  <c r="N36" i="62"/>
  <c r="M36" i="62"/>
  <c r="L36" i="62"/>
  <c r="K36" i="62"/>
  <c r="J36" i="62"/>
  <c r="I36" i="62"/>
  <c r="H36" i="62"/>
  <c r="G36" i="62"/>
  <c r="F36" i="62"/>
  <c r="E36" i="62"/>
  <c r="D36" i="62"/>
  <c r="P35" i="62"/>
  <c r="N35" i="62"/>
  <c r="M35" i="62"/>
  <c r="L35" i="62"/>
  <c r="K35" i="62"/>
  <c r="J35" i="62"/>
  <c r="I35" i="62"/>
  <c r="H35" i="62"/>
  <c r="G35" i="62"/>
  <c r="F35" i="62"/>
  <c r="E35" i="62"/>
  <c r="D35" i="62"/>
  <c r="P34" i="62"/>
  <c r="N34" i="62"/>
  <c r="M34" i="62"/>
  <c r="L34" i="62"/>
  <c r="K34" i="62"/>
  <c r="J34" i="62"/>
  <c r="I34" i="62"/>
  <c r="H34" i="62"/>
  <c r="G34" i="62"/>
  <c r="F34" i="62"/>
  <c r="E34" i="62"/>
  <c r="D34" i="62"/>
  <c r="P33" i="62"/>
  <c r="N33" i="62"/>
  <c r="M33" i="62"/>
  <c r="L33" i="62"/>
  <c r="K33" i="62"/>
  <c r="J33" i="62"/>
  <c r="I33" i="62"/>
  <c r="H33" i="62"/>
  <c r="G33" i="62"/>
  <c r="F33" i="62"/>
  <c r="E33" i="62"/>
  <c r="D33" i="62"/>
  <c r="P32" i="62"/>
  <c r="N32" i="62"/>
  <c r="M32" i="62"/>
  <c r="L32" i="62"/>
  <c r="K32" i="62"/>
  <c r="J32" i="62"/>
  <c r="I32" i="62"/>
  <c r="H32" i="62"/>
  <c r="G32" i="62"/>
  <c r="F32" i="62"/>
  <c r="E32" i="62"/>
  <c r="D32" i="62"/>
  <c r="P31" i="62"/>
  <c r="N31" i="62"/>
  <c r="M31" i="62"/>
  <c r="L31" i="62"/>
  <c r="K31" i="62"/>
  <c r="J31" i="62"/>
  <c r="I31" i="62"/>
  <c r="H31" i="62"/>
  <c r="G31" i="62"/>
  <c r="F31" i="62"/>
  <c r="E31" i="62"/>
  <c r="D31" i="62"/>
  <c r="P30" i="62"/>
  <c r="N30" i="62"/>
  <c r="M30" i="62"/>
  <c r="L30" i="62"/>
  <c r="K30" i="62"/>
  <c r="J30" i="62"/>
  <c r="I30" i="62"/>
  <c r="H30" i="62"/>
  <c r="G30" i="62"/>
  <c r="F30" i="62"/>
  <c r="E30" i="62"/>
  <c r="D30" i="62"/>
  <c r="P29" i="62"/>
  <c r="N29" i="62"/>
  <c r="M29" i="62"/>
  <c r="L29" i="62"/>
  <c r="K29" i="62"/>
  <c r="J29" i="62"/>
  <c r="I29" i="62"/>
  <c r="H29" i="62"/>
  <c r="G29" i="62"/>
  <c r="F29" i="62"/>
  <c r="E29" i="62"/>
  <c r="D29" i="62"/>
  <c r="P28" i="62"/>
  <c r="N28" i="62"/>
  <c r="M28" i="62"/>
  <c r="L28" i="62"/>
  <c r="K28" i="62"/>
  <c r="J28" i="62"/>
  <c r="I28" i="62"/>
  <c r="H28" i="62"/>
  <c r="G28" i="62"/>
  <c r="F28" i="62"/>
  <c r="E28" i="62"/>
  <c r="D28" i="62"/>
  <c r="P27" i="62"/>
  <c r="N27" i="62"/>
  <c r="M27" i="62"/>
  <c r="L27" i="62"/>
  <c r="K27" i="62"/>
  <c r="J27" i="62"/>
  <c r="I27" i="62"/>
  <c r="H27" i="62"/>
  <c r="G27" i="62"/>
  <c r="F27" i="62"/>
  <c r="E27" i="62"/>
  <c r="D27" i="62"/>
  <c r="P26" i="62"/>
  <c r="N26" i="62"/>
  <c r="M26" i="62"/>
  <c r="L26" i="62"/>
  <c r="K26" i="62"/>
  <c r="J26" i="62"/>
  <c r="I26" i="62"/>
  <c r="H26" i="62"/>
  <c r="G26" i="62"/>
  <c r="F26" i="62"/>
  <c r="E26" i="62"/>
  <c r="D26" i="62"/>
  <c r="P25" i="62"/>
  <c r="N25" i="62"/>
  <c r="M25" i="62"/>
  <c r="L25" i="62"/>
  <c r="K25" i="62"/>
  <c r="J25" i="62"/>
  <c r="I25" i="62"/>
  <c r="H25" i="62"/>
  <c r="G25" i="62"/>
  <c r="F25" i="62"/>
  <c r="E25" i="62"/>
  <c r="D25" i="62"/>
  <c r="P24" i="62"/>
  <c r="N24" i="62"/>
  <c r="M24" i="62"/>
  <c r="L24" i="62"/>
  <c r="K24" i="62"/>
  <c r="J24" i="62"/>
  <c r="I24" i="62"/>
  <c r="H24" i="62"/>
  <c r="G24" i="62"/>
  <c r="F24" i="62"/>
  <c r="E24" i="62"/>
  <c r="D24" i="62"/>
  <c r="P23" i="62"/>
  <c r="N23" i="62"/>
  <c r="M23" i="62"/>
  <c r="L23" i="62"/>
  <c r="K23" i="62"/>
  <c r="J23" i="62"/>
  <c r="I23" i="62"/>
  <c r="H23" i="62"/>
  <c r="G23" i="62"/>
  <c r="F23" i="62"/>
  <c r="E23" i="62"/>
  <c r="D23" i="62"/>
  <c r="P22" i="62"/>
  <c r="N22" i="62"/>
  <c r="M22" i="62"/>
  <c r="L22" i="62"/>
  <c r="K22" i="62"/>
  <c r="J22" i="62"/>
  <c r="I22" i="62"/>
  <c r="H22" i="62"/>
  <c r="G22" i="62"/>
  <c r="F22" i="62"/>
  <c r="E22" i="62"/>
  <c r="D22" i="62"/>
  <c r="N19" i="62"/>
  <c r="M19" i="62"/>
  <c r="L19" i="62"/>
  <c r="K19" i="62"/>
  <c r="J19" i="62"/>
  <c r="H19" i="62"/>
  <c r="G19" i="62"/>
  <c r="F19" i="62"/>
  <c r="E19" i="62"/>
  <c r="D19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D18" i="62"/>
  <c r="P17" i="62"/>
  <c r="P16" i="62"/>
  <c r="P15" i="62"/>
  <c r="P14" i="62"/>
  <c r="N13" i="62"/>
  <c r="M13" i="62"/>
  <c r="L13" i="62"/>
  <c r="K13" i="62"/>
  <c r="J13" i="62"/>
  <c r="H13" i="62"/>
  <c r="G13" i="62"/>
  <c r="F13" i="62"/>
  <c r="E13" i="62"/>
  <c r="D13" i="62"/>
  <c r="N12" i="62"/>
  <c r="M12" i="62"/>
  <c r="L12" i="62"/>
  <c r="K12" i="62"/>
  <c r="J12" i="62"/>
  <c r="I12" i="62"/>
  <c r="P12" i="62" s="1"/>
  <c r="H12" i="62"/>
  <c r="G12" i="62"/>
  <c r="F12" i="62"/>
  <c r="E12" i="62"/>
  <c r="D12" i="62"/>
  <c r="N11" i="62"/>
  <c r="M11" i="62"/>
  <c r="L11" i="62"/>
  <c r="K11" i="62"/>
  <c r="J11" i="62"/>
  <c r="I11" i="62"/>
  <c r="P11" i="62" s="1"/>
  <c r="H11" i="62"/>
  <c r="G11" i="62"/>
  <c r="F11" i="62"/>
  <c r="E11" i="62"/>
  <c r="D11" i="62"/>
  <c r="N10" i="62"/>
  <c r="M10" i="62"/>
  <c r="L10" i="62"/>
  <c r="K10" i="62"/>
  <c r="J10" i="62"/>
  <c r="I10" i="62"/>
  <c r="P10" i="62" s="1"/>
  <c r="H10" i="62"/>
  <c r="G10" i="62"/>
  <c r="F10" i="62"/>
  <c r="E10" i="62"/>
  <c r="D10" i="62"/>
  <c r="N9" i="62"/>
  <c r="M9" i="62"/>
  <c r="L9" i="62"/>
  <c r="K9" i="62"/>
  <c r="J9" i="62"/>
  <c r="I9" i="62"/>
  <c r="P9" i="62" s="1"/>
  <c r="H9" i="62"/>
  <c r="G9" i="62"/>
  <c r="F9" i="62"/>
  <c r="E9" i="62"/>
  <c r="D9" i="62"/>
  <c r="O8" i="62"/>
  <c r="O13" i="62" s="1"/>
  <c r="N8" i="62"/>
  <c r="M8" i="62"/>
  <c r="L8" i="62"/>
  <c r="K8" i="62"/>
  <c r="J8" i="62"/>
  <c r="H8" i="62"/>
  <c r="G8" i="62"/>
  <c r="F8" i="62"/>
  <c r="E8" i="62"/>
  <c r="D8" i="62"/>
  <c r="N143" i="61"/>
  <c r="K141" i="61"/>
  <c r="G141" i="61"/>
  <c r="N137" i="61"/>
  <c r="M137" i="61"/>
  <c r="L137" i="61"/>
  <c r="K137" i="61"/>
  <c r="J137" i="61"/>
  <c r="H137" i="61"/>
  <c r="G137" i="61"/>
  <c r="F137" i="61"/>
  <c r="E137" i="61"/>
  <c r="D137" i="61"/>
  <c r="N134" i="61"/>
  <c r="M134" i="61"/>
  <c r="L134" i="61"/>
  <c r="K134" i="61"/>
  <c r="J134" i="61"/>
  <c r="H134" i="61"/>
  <c r="G134" i="61"/>
  <c r="F134" i="61"/>
  <c r="E134" i="61"/>
  <c r="D134" i="61"/>
  <c r="O132" i="61"/>
  <c r="P132" i="61" s="1"/>
  <c r="N132" i="61"/>
  <c r="M132" i="61"/>
  <c r="L132" i="61"/>
  <c r="K132" i="61"/>
  <c r="J132" i="61"/>
  <c r="I132" i="61"/>
  <c r="H132" i="61"/>
  <c r="G132" i="61"/>
  <c r="F132" i="61"/>
  <c r="E132" i="61"/>
  <c r="D132" i="61"/>
  <c r="P131" i="61"/>
  <c r="N131" i="61"/>
  <c r="M131" i="61"/>
  <c r="L131" i="61"/>
  <c r="K131" i="61"/>
  <c r="J131" i="61"/>
  <c r="I131" i="61"/>
  <c r="H131" i="61"/>
  <c r="G131" i="61"/>
  <c r="F131" i="61"/>
  <c r="E131" i="61"/>
  <c r="D131" i="61"/>
  <c r="P130" i="61"/>
  <c r="N130" i="61"/>
  <c r="M130" i="61"/>
  <c r="L130" i="61"/>
  <c r="K130" i="61"/>
  <c r="J130" i="61"/>
  <c r="I130" i="61"/>
  <c r="H130" i="61"/>
  <c r="G130" i="61"/>
  <c r="F130" i="61"/>
  <c r="E130" i="61"/>
  <c r="D130" i="61"/>
  <c r="P129" i="61"/>
  <c r="N129" i="61"/>
  <c r="M129" i="61"/>
  <c r="L129" i="61"/>
  <c r="K129" i="61"/>
  <c r="J129" i="61"/>
  <c r="I129" i="61"/>
  <c r="H129" i="61"/>
  <c r="G129" i="61"/>
  <c r="F129" i="61"/>
  <c r="E129" i="61"/>
  <c r="D129" i="61"/>
  <c r="P128" i="61"/>
  <c r="N128" i="61"/>
  <c r="M128" i="61"/>
  <c r="L128" i="61"/>
  <c r="K128" i="61"/>
  <c r="J128" i="61"/>
  <c r="I128" i="61"/>
  <c r="H128" i="61"/>
  <c r="G128" i="61"/>
  <c r="F128" i="61"/>
  <c r="E128" i="61"/>
  <c r="D128" i="61"/>
  <c r="P127" i="61"/>
  <c r="N127" i="61"/>
  <c r="M127" i="61"/>
  <c r="L127" i="61"/>
  <c r="K127" i="61"/>
  <c r="J127" i="61"/>
  <c r="I127" i="61"/>
  <c r="H127" i="61"/>
  <c r="G127" i="61"/>
  <c r="F127" i="61"/>
  <c r="E127" i="61"/>
  <c r="D127" i="61"/>
  <c r="P126" i="61"/>
  <c r="N126" i="61"/>
  <c r="M126" i="61"/>
  <c r="L126" i="61"/>
  <c r="K126" i="61"/>
  <c r="J126" i="61"/>
  <c r="I126" i="61"/>
  <c r="H126" i="61"/>
  <c r="G126" i="61"/>
  <c r="F126" i="61"/>
  <c r="E126" i="61"/>
  <c r="D126" i="61"/>
  <c r="P125" i="61"/>
  <c r="N125" i="61"/>
  <c r="M125" i="61"/>
  <c r="L125" i="61"/>
  <c r="K125" i="61"/>
  <c r="J125" i="61"/>
  <c r="I125" i="61"/>
  <c r="H125" i="61"/>
  <c r="G125" i="61"/>
  <c r="F125" i="61"/>
  <c r="E125" i="61"/>
  <c r="D125" i="61"/>
  <c r="P124" i="61"/>
  <c r="N124" i="61"/>
  <c r="M124" i="61"/>
  <c r="L124" i="61"/>
  <c r="K124" i="61"/>
  <c r="J124" i="61"/>
  <c r="I124" i="61"/>
  <c r="H124" i="61"/>
  <c r="G124" i="61"/>
  <c r="F124" i="61"/>
  <c r="E124" i="61"/>
  <c r="D124" i="61"/>
  <c r="P123" i="61"/>
  <c r="N123" i="61"/>
  <c r="M123" i="61"/>
  <c r="L123" i="61"/>
  <c r="K123" i="61"/>
  <c r="J123" i="61"/>
  <c r="I123" i="61"/>
  <c r="H123" i="61"/>
  <c r="G123" i="61"/>
  <c r="F123" i="61"/>
  <c r="E123" i="61"/>
  <c r="D123" i="61"/>
  <c r="P122" i="61"/>
  <c r="N122" i="61"/>
  <c r="M122" i="61"/>
  <c r="L122" i="61"/>
  <c r="K122" i="61"/>
  <c r="J122" i="61"/>
  <c r="I122" i="61"/>
  <c r="H122" i="61"/>
  <c r="G122" i="61"/>
  <c r="F122" i="61"/>
  <c r="E122" i="61"/>
  <c r="D122" i="61"/>
  <c r="P121" i="61"/>
  <c r="N121" i="61"/>
  <c r="M121" i="61"/>
  <c r="L121" i="61"/>
  <c r="K121" i="61"/>
  <c r="J121" i="61"/>
  <c r="I121" i="61"/>
  <c r="H121" i="61"/>
  <c r="G121" i="61"/>
  <c r="F121" i="61"/>
  <c r="E121" i="61"/>
  <c r="D121" i="61"/>
  <c r="P120" i="61"/>
  <c r="N120" i="61"/>
  <c r="M120" i="61"/>
  <c r="L120" i="61"/>
  <c r="K120" i="61"/>
  <c r="J120" i="61"/>
  <c r="I120" i="61"/>
  <c r="H120" i="61"/>
  <c r="G120" i="61"/>
  <c r="F120" i="61"/>
  <c r="E120" i="61"/>
  <c r="D120" i="61"/>
  <c r="P119" i="61"/>
  <c r="N119" i="61"/>
  <c r="M119" i="61"/>
  <c r="L119" i="61"/>
  <c r="K119" i="61"/>
  <c r="J119" i="61"/>
  <c r="I119" i="61"/>
  <c r="H119" i="61"/>
  <c r="G119" i="61"/>
  <c r="F119" i="61"/>
  <c r="E119" i="61"/>
  <c r="D119" i="61"/>
  <c r="P118" i="61"/>
  <c r="N118" i="61"/>
  <c r="M118" i="61"/>
  <c r="L118" i="61"/>
  <c r="K118" i="61"/>
  <c r="J118" i="61"/>
  <c r="I118" i="61"/>
  <c r="H118" i="61"/>
  <c r="G118" i="61"/>
  <c r="F118" i="61"/>
  <c r="E118" i="61"/>
  <c r="D118" i="61"/>
  <c r="P117" i="61"/>
  <c r="N117" i="61"/>
  <c r="M117" i="61"/>
  <c r="L117" i="61"/>
  <c r="K117" i="61"/>
  <c r="J117" i="61"/>
  <c r="I117" i="61"/>
  <c r="H117" i="61"/>
  <c r="G117" i="61"/>
  <c r="F117" i="61"/>
  <c r="E117" i="61"/>
  <c r="D117" i="61"/>
  <c r="P116" i="61"/>
  <c r="N116" i="61"/>
  <c r="M116" i="61"/>
  <c r="L116" i="61"/>
  <c r="K116" i="61"/>
  <c r="J116" i="61"/>
  <c r="I116" i="61"/>
  <c r="H116" i="61"/>
  <c r="G116" i="61"/>
  <c r="F116" i="61"/>
  <c r="E116" i="61"/>
  <c r="D116" i="61"/>
  <c r="P115" i="61"/>
  <c r="N115" i="61"/>
  <c r="M115" i="61"/>
  <c r="L115" i="61"/>
  <c r="K115" i="61"/>
  <c r="J115" i="61"/>
  <c r="I115" i="61"/>
  <c r="H115" i="61"/>
  <c r="G115" i="61"/>
  <c r="F115" i="61"/>
  <c r="E115" i="61"/>
  <c r="D115" i="61"/>
  <c r="P114" i="61"/>
  <c r="N114" i="61"/>
  <c r="M114" i="61"/>
  <c r="L114" i="61"/>
  <c r="K114" i="61"/>
  <c r="J114" i="61"/>
  <c r="I114" i="61"/>
  <c r="H114" i="61"/>
  <c r="G114" i="61"/>
  <c r="F114" i="61"/>
  <c r="E114" i="61"/>
  <c r="D114" i="61"/>
  <c r="P113" i="61"/>
  <c r="N113" i="61"/>
  <c r="M113" i="61"/>
  <c r="L113" i="61"/>
  <c r="K113" i="61"/>
  <c r="J113" i="61"/>
  <c r="I113" i="61"/>
  <c r="H113" i="61"/>
  <c r="G113" i="61"/>
  <c r="F113" i="61"/>
  <c r="E113" i="61"/>
  <c r="D113" i="61"/>
  <c r="P112" i="61"/>
  <c r="N112" i="61"/>
  <c r="M112" i="61"/>
  <c r="L112" i="61"/>
  <c r="K112" i="61"/>
  <c r="J112" i="61"/>
  <c r="I112" i="61"/>
  <c r="H112" i="61"/>
  <c r="G112" i="61"/>
  <c r="F112" i="61"/>
  <c r="E112" i="61"/>
  <c r="D112" i="61"/>
  <c r="P111" i="61"/>
  <c r="N111" i="61"/>
  <c r="M111" i="61"/>
  <c r="L111" i="61"/>
  <c r="K111" i="61"/>
  <c r="J111" i="61"/>
  <c r="I111" i="61"/>
  <c r="H111" i="61"/>
  <c r="G111" i="61"/>
  <c r="F111" i="61"/>
  <c r="E111" i="61"/>
  <c r="D111" i="61"/>
  <c r="P110" i="61"/>
  <c r="N110" i="61"/>
  <c r="M110" i="61"/>
  <c r="L110" i="61"/>
  <c r="K110" i="61"/>
  <c r="J110" i="61"/>
  <c r="I110" i="61"/>
  <c r="H110" i="61"/>
  <c r="G110" i="61"/>
  <c r="F110" i="61"/>
  <c r="E110" i="61"/>
  <c r="D110" i="61"/>
  <c r="P109" i="61"/>
  <c r="N109" i="61"/>
  <c r="M109" i="61"/>
  <c r="L109" i="61"/>
  <c r="K109" i="61"/>
  <c r="J109" i="61"/>
  <c r="I109" i="61"/>
  <c r="H109" i="61"/>
  <c r="G109" i="61"/>
  <c r="F109" i="61"/>
  <c r="E109" i="61"/>
  <c r="D109" i="61"/>
  <c r="P108" i="61"/>
  <c r="N108" i="61"/>
  <c r="M108" i="61"/>
  <c r="L108" i="61"/>
  <c r="K108" i="61"/>
  <c r="J108" i="61"/>
  <c r="I108" i="61"/>
  <c r="H108" i="61"/>
  <c r="G108" i="61"/>
  <c r="F108" i="61"/>
  <c r="E108" i="61"/>
  <c r="D108" i="61"/>
  <c r="P107" i="61"/>
  <c r="N107" i="61"/>
  <c r="M107" i="61"/>
  <c r="L107" i="61"/>
  <c r="K107" i="61"/>
  <c r="J107" i="61"/>
  <c r="I107" i="61"/>
  <c r="H107" i="61"/>
  <c r="G107" i="61"/>
  <c r="F107" i="61"/>
  <c r="E107" i="61"/>
  <c r="D107" i="61"/>
  <c r="P106" i="61"/>
  <c r="N106" i="61"/>
  <c r="M106" i="61"/>
  <c r="L106" i="61"/>
  <c r="K106" i="61"/>
  <c r="J106" i="61"/>
  <c r="I106" i="61"/>
  <c r="H106" i="61"/>
  <c r="G106" i="61"/>
  <c r="F106" i="61"/>
  <c r="E106" i="61"/>
  <c r="D106" i="61"/>
  <c r="P105" i="61"/>
  <c r="N105" i="61"/>
  <c r="M105" i="61"/>
  <c r="L105" i="61"/>
  <c r="K105" i="61"/>
  <c r="J105" i="61"/>
  <c r="I105" i="61"/>
  <c r="H105" i="61"/>
  <c r="G105" i="61"/>
  <c r="F105" i="61"/>
  <c r="E105" i="61"/>
  <c r="D105" i="61"/>
  <c r="P104" i="61"/>
  <c r="N104" i="61"/>
  <c r="M104" i="61"/>
  <c r="L104" i="61"/>
  <c r="K104" i="61"/>
  <c r="J104" i="61"/>
  <c r="I104" i="61"/>
  <c r="H104" i="61"/>
  <c r="G104" i="61"/>
  <c r="F104" i="61"/>
  <c r="E104" i="61"/>
  <c r="D104" i="61"/>
  <c r="P103" i="61"/>
  <c r="N103" i="61"/>
  <c r="M103" i="61"/>
  <c r="L103" i="61"/>
  <c r="K103" i="61"/>
  <c r="J103" i="61"/>
  <c r="I103" i="61"/>
  <c r="H103" i="61"/>
  <c r="G103" i="61"/>
  <c r="F103" i="61"/>
  <c r="E103" i="61"/>
  <c r="D103" i="61"/>
  <c r="P102" i="61"/>
  <c r="N102" i="61"/>
  <c r="M102" i="61"/>
  <c r="L102" i="61"/>
  <c r="K102" i="61"/>
  <c r="J102" i="61"/>
  <c r="I102" i="61"/>
  <c r="H102" i="61"/>
  <c r="G102" i="61"/>
  <c r="F102" i="61"/>
  <c r="E102" i="61"/>
  <c r="D102" i="61"/>
  <c r="P101" i="61"/>
  <c r="N101" i="61"/>
  <c r="M101" i="61"/>
  <c r="L101" i="61"/>
  <c r="K101" i="61"/>
  <c r="J101" i="61"/>
  <c r="I101" i="61"/>
  <c r="H101" i="61"/>
  <c r="G101" i="61"/>
  <c r="F101" i="61"/>
  <c r="E101" i="61"/>
  <c r="D101" i="61"/>
  <c r="P100" i="61"/>
  <c r="N100" i="61"/>
  <c r="M100" i="61"/>
  <c r="L100" i="61"/>
  <c r="K100" i="61"/>
  <c r="J100" i="61"/>
  <c r="I100" i="61"/>
  <c r="H100" i="61"/>
  <c r="G100" i="61"/>
  <c r="F100" i="61"/>
  <c r="E100" i="61"/>
  <c r="D100" i="61"/>
  <c r="P99" i="61"/>
  <c r="N99" i="61"/>
  <c r="M99" i="61"/>
  <c r="L99" i="61"/>
  <c r="K99" i="61"/>
  <c r="J99" i="61"/>
  <c r="I99" i="61"/>
  <c r="H99" i="61"/>
  <c r="G99" i="61"/>
  <c r="F99" i="61"/>
  <c r="E99" i="61"/>
  <c r="D99" i="61"/>
  <c r="P98" i="61"/>
  <c r="N98" i="61"/>
  <c r="M98" i="61"/>
  <c r="L98" i="61"/>
  <c r="K98" i="61"/>
  <c r="J98" i="61"/>
  <c r="I98" i="61"/>
  <c r="H98" i="61"/>
  <c r="G98" i="61"/>
  <c r="F98" i="61"/>
  <c r="E98" i="61"/>
  <c r="D98" i="61"/>
  <c r="P97" i="61"/>
  <c r="N97" i="61"/>
  <c r="M97" i="61"/>
  <c r="L97" i="61"/>
  <c r="K97" i="61"/>
  <c r="J97" i="61"/>
  <c r="I97" i="61"/>
  <c r="H97" i="61"/>
  <c r="G97" i="61"/>
  <c r="F97" i="61"/>
  <c r="E97" i="61"/>
  <c r="D97" i="61"/>
  <c r="P96" i="61"/>
  <c r="N96" i="61"/>
  <c r="M96" i="61"/>
  <c r="L96" i="61"/>
  <c r="K96" i="61"/>
  <c r="J96" i="61"/>
  <c r="I96" i="61"/>
  <c r="H96" i="61"/>
  <c r="G96" i="61"/>
  <c r="F96" i="61"/>
  <c r="E96" i="61"/>
  <c r="D96" i="61"/>
  <c r="P95" i="61"/>
  <c r="N95" i="61"/>
  <c r="M95" i="61"/>
  <c r="L95" i="61"/>
  <c r="K95" i="61"/>
  <c r="J95" i="61"/>
  <c r="I95" i="61"/>
  <c r="H95" i="61"/>
  <c r="G95" i="61"/>
  <c r="F95" i="61"/>
  <c r="E95" i="61"/>
  <c r="D95" i="61"/>
  <c r="P94" i="61"/>
  <c r="N94" i="61"/>
  <c r="M94" i="61"/>
  <c r="L94" i="61"/>
  <c r="K94" i="61"/>
  <c r="J94" i="61"/>
  <c r="I94" i="61"/>
  <c r="H94" i="61"/>
  <c r="G94" i="61"/>
  <c r="F94" i="61"/>
  <c r="E94" i="61"/>
  <c r="D94" i="61"/>
  <c r="P93" i="61"/>
  <c r="N93" i="61"/>
  <c r="M93" i="61"/>
  <c r="L93" i="61"/>
  <c r="K93" i="61"/>
  <c r="J93" i="61"/>
  <c r="I93" i="61"/>
  <c r="H93" i="61"/>
  <c r="G93" i="61"/>
  <c r="F93" i="61"/>
  <c r="E93" i="61"/>
  <c r="D93" i="61"/>
  <c r="P92" i="61"/>
  <c r="N92" i="61"/>
  <c r="M92" i="61"/>
  <c r="L92" i="61"/>
  <c r="K92" i="61"/>
  <c r="J92" i="61"/>
  <c r="I92" i="61"/>
  <c r="H92" i="61"/>
  <c r="G92" i="61"/>
  <c r="F92" i="61"/>
  <c r="E92" i="61"/>
  <c r="D92" i="61"/>
  <c r="P91" i="61"/>
  <c r="N91" i="61"/>
  <c r="M91" i="61"/>
  <c r="L91" i="61"/>
  <c r="K91" i="61"/>
  <c r="J91" i="61"/>
  <c r="I91" i="61"/>
  <c r="H91" i="61"/>
  <c r="G91" i="61"/>
  <c r="F91" i="61"/>
  <c r="E91" i="61"/>
  <c r="D91" i="61"/>
  <c r="P90" i="61"/>
  <c r="N90" i="61"/>
  <c r="M90" i="61"/>
  <c r="L90" i="61"/>
  <c r="K90" i="61"/>
  <c r="J90" i="61"/>
  <c r="I90" i="61"/>
  <c r="H90" i="61"/>
  <c r="G90" i="61"/>
  <c r="F90" i="61"/>
  <c r="E90" i="61"/>
  <c r="D90" i="61"/>
  <c r="P89" i="61"/>
  <c r="N89" i="61"/>
  <c r="M89" i="61"/>
  <c r="L89" i="61"/>
  <c r="K89" i="61"/>
  <c r="J89" i="61"/>
  <c r="I89" i="61"/>
  <c r="H89" i="61"/>
  <c r="G89" i="61"/>
  <c r="F89" i="61"/>
  <c r="E89" i="61"/>
  <c r="D89" i="61"/>
  <c r="P88" i="61"/>
  <c r="N88" i="61"/>
  <c r="M88" i="61"/>
  <c r="L88" i="61"/>
  <c r="K88" i="61"/>
  <c r="J88" i="61"/>
  <c r="I88" i="61"/>
  <c r="H88" i="61"/>
  <c r="G88" i="61"/>
  <c r="F88" i="61"/>
  <c r="E88" i="61"/>
  <c r="D88" i="61"/>
  <c r="P87" i="61"/>
  <c r="N87" i="61"/>
  <c r="M87" i="61"/>
  <c r="L87" i="61"/>
  <c r="K87" i="61"/>
  <c r="J87" i="61"/>
  <c r="I87" i="61"/>
  <c r="H87" i="61"/>
  <c r="G87" i="61"/>
  <c r="F87" i="61"/>
  <c r="E87" i="61"/>
  <c r="D87" i="61"/>
  <c r="P86" i="61"/>
  <c r="N86" i="61"/>
  <c r="M86" i="61"/>
  <c r="L86" i="61"/>
  <c r="K86" i="61"/>
  <c r="J86" i="61"/>
  <c r="I86" i="61"/>
  <c r="H86" i="61"/>
  <c r="G86" i="61"/>
  <c r="F86" i="61"/>
  <c r="E86" i="61"/>
  <c r="D86" i="61"/>
  <c r="P85" i="61"/>
  <c r="N85" i="61"/>
  <c r="M85" i="61"/>
  <c r="L85" i="61"/>
  <c r="K85" i="61"/>
  <c r="J85" i="61"/>
  <c r="I85" i="61"/>
  <c r="H85" i="61"/>
  <c r="G85" i="61"/>
  <c r="F85" i="61"/>
  <c r="E85" i="61"/>
  <c r="D85" i="61"/>
  <c r="P84" i="61"/>
  <c r="N84" i="61"/>
  <c r="M84" i="61"/>
  <c r="L84" i="61"/>
  <c r="K84" i="61"/>
  <c r="J84" i="61"/>
  <c r="I84" i="61"/>
  <c r="H84" i="61"/>
  <c r="G84" i="61"/>
  <c r="F84" i="61"/>
  <c r="E84" i="61"/>
  <c r="D84" i="61"/>
  <c r="P83" i="61"/>
  <c r="N83" i="61"/>
  <c r="M83" i="61"/>
  <c r="L83" i="61"/>
  <c r="K83" i="61"/>
  <c r="J83" i="61"/>
  <c r="I83" i="61"/>
  <c r="H83" i="61"/>
  <c r="G83" i="61"/>
  <c r="F83" i="61"/>
  <c r="E83" i="61"/>
  <c r="D83" i="61"/>
  <c r="P82" i="61"/>
  <c r="N82" i="61"/>
  <c r="M82" i="61"/>
  <c r="L82" i="61"/>
  <c r="K82" i="61"/>
  <c r="J82" i="61"/>
  <c r="I82" i="61"/>
  <c r="H82" i="61"/>
  <c r="G82" i="61"/>
  <c r="F82" i="61"/>
  <c r="E82" i="61"/>
  <c r="D82" i="61"/>
  <c r="P81" i="61"/>
  <c r="N81" i="61"/>
  <c r="M81" i="61"/>
  <c r="L81" i="61"/>
  <c r="K81" i="61"/>
  <c r="J81" i="61"/>
  <c r="I81" i="61"/>
  <c r="H81" i="61"/>
  <c r="G81" i="61"/>
  <c r="F81" i="61"/>
  <c r="E81" i="61"/>
  <c r="D81" i="61"/>
  <c r="P80" i="61"/>
  <c r="N80" i="61"/>
  <c r="M80" i="61"/>
  <c r="L80" i="61"/>
  <c r="K80" i="61"/>
  <c r="J80" i="61"/>
  <c r="I80" i="61"/>
  <c r="H80" i="61"/>
  <c r="G80" i="61"/>
  <c r="F80" i="61"/>
  <c r="E80" i="61"/>
  <c r="D80" i="61"/>
  <c r="P79" i="61"/>
  <c r="N79" i="61"/>
  <c r="M79" i="61"/>
  <c r="L79" i="61"/>
  <c r="K79" i="61"/>
  <c r="J79" i="61"/>
  <c r="I79" i="61"/>
  <c r="H79" i="61"/>
  <c r="G79" i="61"/>
  <c r="F79" i="61"/>
  <c r="E79" i="61"/>
  <c r="D79" i="61"/>
  <c r="P78" i="61"/>
  <c r="N78" i="61"/>
  <c r="M78" i="61"/>
  <c r="L78" i="61"/>
  <c r="K78" i="61"/>
  <c r="J78" i="61"/>
  <c r="I78" i="61"/>
  <c r="H78" i="61"/>
  <c r="G78" i="61"/>
  <c r="F78" i="61"/>
  <c r="E78" i="61"/>
  <c r="D78" i="61"/>
  <c r="P77" i="61"/>
  <c r="N77" i="61"/>
  <c r="M77" i="61"/>
  <c r="L77" i="61"/>
  <c r="K77" i="61"/>
  <c r="J77" i="61"/>
  <c r="I77" i="61"/>
  <c r="H77" i="61"/>
  <c r="G77" i="61"/>
  <c r="F77" i="61"/>
  <c r="E77" i="61"/>
  <c r="D77" i="61"/>
  <c r="P76" i="61"/>
  <c r="N76" i="61"/>
  <c r="M76" i="61"/>
  <c r="L76" i="61"/>
  <c r="K76" i="61"/>
  <c r="J76" i="61"/>
  <c r="I76" i="61"/>
  <c r="H76" i="61"/>
  <c r="G76" i="61"/>
  <c r="F76" i="61"/>
  <c r="E76" i="61"/>
  <c r="D76" i="61"/>
  <c r="P75" i="61"/>
  <c r="N75" i="61"/>
  <c r="M75" i="61"/>
  <c r="L75" i="61"/>
  <c r="K75" i="61"/>
  <c r="J75" i="61"/>
  <c r="I75" i="61"/>
  <c r="H75" i="61"/>
  <c r="G75" i="61"/>
  <c r="F75" i="61"/>
  <c r="E75" i="61"/>
  <c r="D75" i="61"/>
  <c r="P74" i="61"/>
  <c r="N74" i="61"/>
  <c r="M74" i="61"/>
  <c r="L74" i="61"/>
  <c r="K74" i="61"/>
  <c r="J74" i="61"/>
  <c r="I74" i="61"/>
  <c r="H74" i="61"/>
  <c r="G74" i="61"/>
  <c r="F74" i="61"/>
  <c r="E74" i="61"/>
  <c r="D74" i="61"/>
  <c r="P73" i="61"/>
  <c r="N73" i="61"/>
  <c r="M73" i="61"/>
  <c r="L73" i="61"/>
  <c r="K73" i="61"/>
  <c r="J73" i="61"/>
  <c r="I73" i="61"/>
  <c r="H73" i="61"/>
  <c r="G73" i="61"/>
  <c r="F73" i="61"/>
  <c r="E73" i="61"/>
  <c r="D73" i="61"/>
  <c r="P72" i="61"/>
  <c r="N72" i="61"/>
  <c r="M72" i="61"/>
  <c r="L72" i="61"/>
  <c r="K72" i="61"/>
  <c r="J72" i="61"/>
  <c r="I72" i="61"/>
  <c r="H72" i="61"/>
  <c r="G72" i="61"/>
  <c r="F72" i="61"/>
  <c r="E72" i="61"/>
  <c r="D72" i="61"/>
  <c r="P71" i="61"/>
  <c r="N71" i="61"/>
  <c r="M71" i="61"/>
  <c r="L71" i="61"/>
  <c r="K71" i="61"/>
  <c r="J71" i="61"/>
  <c r="I71" i="61"/>
  <c r="H71" i="61"/>
  <c r="G71" i="61"/>
  <c r="F71" i="61"/>
  <c r="E71" i="61"/>
  <c r="D71" i="61"/>
  <c r="P70" i="61"/>
  <c r="N70" i="61"/>
  <c r="M70" i="61"/>
  <c r="L70" i="61"/>
  <c r="K70" i="61"/>
  <c r="J70" i="61"/>
  <c r="I70" i="61"/>
  <c r="H70" i="61"/>
  <c r="G70" i="61"/>
  <c r="F70" i="61"/>
  <c r="E70" i="61"/>
  <c r="D70" i="61"/>
  <c r="P69" i="61"/>
  <c r="N69" i="61"/>
  <c r="M69" i="61"/>
  <c r="L69" i="61"/>
  <c r="K69" i="61"/>
  <c r="J69" i="61"/>
  <c r="I69" i="61"/>
  <c r="H69" i="61"/>
  <c r="G69" i="61"/>
  <c r="F69" i="61"/>
  <c r="E69" i="61"/>
  <c r="D69" i="61"/>
  <c r="P68" i="61"/>
  <c r="N68" i="61"/>
  <c r="M68" i="61"/>
  <c r="L68" i="61"/>
  <c r="K68" i="61"/>
  <c r="J68" i="61"/>
  <c r="I68" i="61"/>
  <c r="H68" i="61"/>
  <c r="G68" i="61"/>
  <c r="F68" i="61"/>
  <c r="E68" i="61"/>
  <c r="D68" i="61"/>
  <c r="P67" i="61"/>
  <c r="N67" i="61"/>
  <c r="M67" i="61"/>
  <c r="L67" i="61"/>
  <c r="K67" i="61"/>
  <c r="J67" i="61"/>
  <c r="I67" i="61"/>
  <c r="H67" i="61"/>
  <c r="G67" i="61"/>
  <c r="F67" i="61"/>
  <c r="E67" i="61"/>
  <c r="D67" i="61"/>
  <c r="P66" i="61"/>
  <c r="N66" i="61"/>
  <c r="M66" i="61"/>
  <c r="L66" i="61"/>
  <c r="K66" i="61"/>
  <c r="J66" i="61"/>
  <c r="I66" i="61"/>
  <c r="H66" i="61"/>
  <c r="G66" i="61"/>
  <c r="F66" i="61"/>
  <c r="E66" i="61"/>
  <c r="D66" i="61"/>
  <c r="P65" i="61"/>
  <c r="N65" i="61"/>
  <c r="M65" i="61"/>
  <c r="L65" i="61"/>
  <c r="K65" i="61"/>
  <c r="J65" i="61"/>
  <c r="I65" i="61"/>
  <c r="H65" i="61"/>
  <c r="G65" i="61"/>
  <c r="F65" i="61"/>
  <c r="E65" i="61"/>
  <c r="D65" i="61"/>
  <c r="P64" i="61"/>
  <c r="N64" i="61"/>
  <c r="M64" i="61"/>
  <c r="L64" i="61"/>
  <c r="K64" i="61"/>
  <c r="J64" i="61"/>
  <c r="I64" i="61"/>
  <c r="H64" i="61"/>
  <c r="G64" i="61"/>
  <c r="F64" i="61"/>
  <c r="E64" i="61"/>
  <c r="D64" i="61"/>
  <c r="P63" i="61"/>
  <c r="N63" i="61"/>
  <c r="M63" i="61"/>
  <c r="L63" i="61"/>
  <c r="K63" i="61"/>
  <c r="J63" i="61"/>
  <c r="I63" i="61"/>
  <c r="H63" i="61"/>
  <c r="G63" i="61"/>
  <c r="F63" i="61"/>
  <c r="E63" i="61"/>
  <c r="D63" i="61"/>
  <c r="P62" i="61"/>
  <c r="N62" i="61"/>
  <c r="M62" i="61"/>
  <c r="L62" i="61"/>
  <c r="K62" i="61"/>
  <c r="J62" i="61"/>
  <c r="I62" i="61"/>
  <c r="H62" i="61"/>
  <c r="G62" i="61"/>
  <c r="F62" i="61"/>
  <c r="E62" i="61"/>
  <c r="D62" i="61"/>
  <c r="P61" i="61"/>
  <c r="N61" i="61"/>
  <c r="M61" i="61"/>
  <c r="L61" i="61"/>
  <c r="K61" i="61"/>
  <c r="J61" i="61"/>
  <c r="I61" i="61"/>
  <c r="H61" i="61"/>
  <c r="G61" i="61"/>
  <c r="F61" i="61"/>
  <c r="E61" i="61"/>
  <c r="D61" i="61"/>
  <c r="P60" i="61"/>
  <c r="N60" i="61"/>
  <c r="M60" i="61"/>
  <c r="L60" i="61"/>
  <c r="K60" i="61"/>
  <c r="J60" i="61"/>
  <c r="I60" i="61"/>
  <c r="H60" i="61"/>
  <c r="G60" i="61"/>
  <c r="F60" i="61"/>
  <c r="E60" i="61"/>
  <c r="D60" i="61"/>
  <c r="P59" i="61"/>
  <c r="N59" i="61"/>
  <c r="M59" i="61"/>
  <c r="L59" i="61"/>
  <c r="K59" i="61"/>
  <c r="J59" i="61"/>
  <c r="I59" i="61"/>
  <c r="H59" i="61"/>
  <c r="G59" i="61"/>
  <c r="F59" i="61"/>
  <c r="E59" i="61"/>
  <c r="D59" i="61"/>
  <c r="P58" i="61"/>
  <c r="N58" i="61"/>
  <c r="M58" i="61"/>
  <c r="L58" i="61"/>
  <c r="K58" i="61"/>
  <c r="J58" i="61"/>
  <c r="I58" i="61"/>
  <c r="H58" i="61"/>
  <c r="G58" i="61"/>
  <c r="F58" i="61"/>
  <c r="E58" i="61"/>
  <c r="D58" i="61"/>
  <c r="P57" i="61"/>
  <c r="N57" i="61"/>
  <c r="M57" i="61"/>
  <c r="L57" i="61"/>
  <c r="K57" i="61"/>
  <c r="J57" i="61"/>
  <c r="I57" i="61"/>
  <c r="H57" i="61"/>
  <c r="G57" i="61"/>
  <c r="F57" i="61"/>
  <c r="E57" i="61"/>
  <c r="D57" i="61"/>
  <c r="P56" i="61"/>
  <c r="N56" i="61"/>
  <c r="M56" i="61"/>
  <c r="L56" i="61"/>
  <c r="K56" i="61"/>
  <c r="J56" i="61"/>
  <c r="I56" i="61"/>
  <c r="H56" i="61"/>
  <c r="G56" i="61"/>
  <c r="F56" i="61"/>
  <c r="E56" i="61"/>
  <c r="D56" i="61"/>
  <c r="P55" i="61"/>
  <c r="N55" i="61"/>
  <c r="M55" i="61"/>
  <c r="L55" i="61"/>
  <c r="K55" i="61"/>
  <c r="J55" i="61"/>
  <c r="I55" i="61"/>
  <c r="H55" i="61"/>
  <c r="G55" i="61"/>
  <c r="F55" i="61"/>
  <c r="E55" i="61"/>
  <c r="D55" i="61"/>
  <c r="P54" i="61"/>
  <c r="N54" i="61"/>
  <c r="M54" i="61"/>
  <c r="L54" i="61"/>
  <c r="K54" i="61"/>
  <c r="J54" i="61"/>
  <c r="I54" i="61"/>
  <c r="H54" i="61"/>
  <c r="G54" i="61"/>
  <c r="F54" i="61"/>
  <c r="E54" i="61"/>
  <c r="D54" i="61"/>
  <c r="P53" i="61"/>
  <c r="N53" i="61"/>
  <c r="M53" i="61"/>
  <c r="L53" i="61"/>
  <c r="K53" i="61"/>
  <c r="J53" i="61"/>
  <c r="I53" i="61"/>
  <c r="H53" i="61"/>
  <c r="G53" i="61"/>
  <c r="F53" i="61"/>
  <c r="E53" i="61"/>
  <c r="D53" i="61"/>
  <c r="P52" i="61"/>
  <c r="N52" i="61"/>
  <c r="M52" i="61"/>
  <c r="L52" i="61"/>
  <c r="K52" i="61"/>
  <c r="J52" i="61"/>
  <c r="I52" i="61"/>
  <c r="H52" i="61"/>
  <c r="G52" i="61"/>
  <c r="F52" i="61"/>
  <c r="E52" i="61"/>
  <c r="D52" i="61"/>
  <c r="P51" i="61"/>
  <c r="N51" i="61"/>
  <c r="M51" i="61"/>
  <c r="L51" i="61"/>
  <c r="K51" i="61"/>
  <c r="J51" i="61"/>
  <c r="I51" i="61"/>
  <c r="H51" i="61"/>
  <c r="G51" i="61"/>
  <c r="F51" i="61"/>
  <c r="E51" i="61"/>
  <c r="D51" i="61"/>
  <c r="P50" i="61"/>
  <c r="N50" i="61"/>
  <c r="M50" i="61"/>
  <c r="L50" i="61"/>
  <c r="K50" i="61"/>
  <c r="J50" i="61"/>
  <c r="I50" i="61"/>
  <c r="H50" i="61"/>
  <c r="G50" i="61"/>
  <c r="F50" i="61"/>
  <c r="E50" i="61"/>
  <c r="D50" i="61"/>
  <c r="P49" i="61"/>
  <c r="N49" i="61"/>
  <c r="M49" i="61"/>
  <c r="L49" i="61"/>
  <c r="K49" i="61"/>
  <c r="J49" i="61"/>
  <c r="I49" i="61"/>
  <c r="H49" i="61"/>
  <c r="G49" i="61"/>
  <c r="F49" i="61"/>
  <c r="E49" i="61"/>
  <c r="D49" i="61"/>
  <c r="P48" i="61"/>
  <c r="N48" i="61"/>
  <c r="M48" i="61"/>
  <c r="L48" i="61"/>
  <c r="K48" i="61"/>
  <c r="J48" i="61"/>
  <c r="I48" i="61"/>
  <c r="H48" i="61"/>
  <c r="G48" i="61"/>
  <c r="F48" i="61"/>
  <c r="E48" i="61"/>
  <c r="D48" i="61"/>
  <c r="P47" i="61"/>
  <c r="N47" i="61"/>
  <c r="M47" i="61"/>
  <c r="L47" i="61"/>
  <c r="K47" i="61"/>
  <c r="J47" i="61"/>
  <c r="I47" i="61"/>
  <c r="H47" i="61"/>
  <c r="G47" i="61"/>
  <c r="F47" i="61"/>
  <c r="E47" i="61"/>
  <c r="D47" i="61"/>
  <c r="P46" i="61"/>
  <c r="N46" i="61"/>
  <c r="M46" i="61"/>
  <c r="L46" i="61"/>
  <c r="K46" i="61"/>
  <c r="J46" i="61"/>
  <c r="I46" i="61"/>
  <c r="H46" i="61"/>
  <c r="G46" i="61"/>
  <c r="F46" i="61"/>
  <c r="E46" i="61"/>
  <c r="D46" i="61"/>
  <c r="P45" i="61"/>
  <c r="N45" i="61"/>
  <c r="M45" i="61"/>
  <c r="L45" i="61"/>
  <c r="K45" i="61"/>
  <c r="J45" i="61"/>
  <c r="I45" i="61"/>
  <c r="H45" i="61"/>
  <c r="G45" i="61"/>
  <c r="F45" i="61"/>
  <c r="E45" i="61"/>
  <c r="D45" i="61"/>
  <c r="P44" i="61"/>
  <c r="N44" i="61"/>
  <c r="M44" i="61"/>
  <c r="L44" i="61"/>
  <c r="K44" i="61"/>
  <c r="J44" i="61"/>
  <c r="I44" i="61"/>
  <c r="H44" i="61"/>
  <c r="G44" i="61"/>
  <c r="F44" i="61"/>
  <c r="E44" i="61"/>
  <c r="D44" i="61"/>
  <c r="P43" i="61"/>
  <c r="N43" i="61"/>
  <c r="M43" i="61"/>
  <c r="L43" i="61"/>
  <c r="K43" i="61"/>
  <c r="J43" i="61"/>
  <c r="I43" i="61"/>
  <c r="H43" i="61"/>
  <c r="G43" i="61"/>
  <c r="F43" i="61"/>
  <c r="E43" i="61"/>
  <c r="D43" i="61"/>
  <c r="P42" i="61"/>
  <c r="N42" i="61"/>
  <c r="M42" i="61"/>
  <c r="L42" i="61"/>
  <c r="K42" i="61"/>
  <c r="J42" i="61"/>
  <c r="I42" i="61"/>
  <c r="H42" i="61"/>
  <c r="G42" i="61"/>
  <c r="F42" i="61"/>
  <c r="E42" i="61"/>
  <c r="D42" i="61"/>
  <c r="P41" i="61"/>
  <c r="N41" i="61"/>
  <c r="M41" i="61"/>
  <c r="L41" i="61"/>
  <c r="K41" i="61"/>
  <c r="J41" i="61"/>
  <c r="I41" i="61"/>
  <c r="H41" i="61"/>
  <c r="G41" i="61"/>
  <c r="F41" i="61"/>
  <c r="E41" i="61"/>
  <c r="D41" i="61"/>
  <c r="P40" i="61"/>
  <c r="N40" i="61"/>
  <c r="M40" i="61"/>
  <c r="L40" i="61"/>
  <c r="K40" i="61"/>
  <c r="J40" i="61"/>
  <c r="I40" i="61"/>
  <c r="H40" i="61"/>
  <c r="G40" i="61"/>
  <c r="F40" i="61"/>
  <c r="E40" i="61"/>
  <c r="D40" i="61"/>
  <c r="P39" i="61"/>
  <c r="N39" i="61"/>
  <c r="M39" i="61"/>
  <c r="L39" i="61"/>
  <c r="K39" i="61"/>
  <c r="J39" i="61"/>
  <c r="I39" i="61"/>
  <c r="H39" i="61"/>
  <c r="G39" i="61"/>
  <c r="F39" i="61"/>
  <c r="E39" i="61"/>
  <c r="D39" i="61"/>
  <c r="P38" i="61"/>
  <c r="N38" i="61"/>
  <c r="M38" i="61"/>
  <c r="L38" i="61"/>
  <c r="K38" i="61"/>
  <c r="J38" i="61"/>
  <c r="I38" i="61"/>
  <c r="H38" i="61"/>
  <c r="G38" i="61"/>
  <c r="F38" i="61"/>
  <c r="E38" i="61"/>
  <c r="D38" i="61"/>
  <c r="P37" i="61"/>
  <c r="N37" i="61"/>
  <c r="M37" i="61"/>
  <c r="L37" i="61"/>
  <c r="K37" i="61"/>
  <c r="J37" i="61"/>
  <c r="I37" i="61"/>
  <c r="H37" i="61"/>
  <c r="G37" i="61"/>
  <c r="F37" i="61"/>
  <c r="E37" i="61"/>
  <c r="D37" i="61"/>
  <c r="P36" i="61"/>
  <c r="N36" i="61"/>
  <c r="M36" i="61"/>
  <c r="L36" i="61"/>
  <c r="K36" i="61"/>
  <c r="J36" i="61"/>
  <c r="I36" i="61"/>
  <c r="H36" i="61"/>
  <c r="G36" i="61"/>
  <c r="F36" i="61"/>
  <c r="E36" i="61"/>
  <c r="D36" i="61"/>
  <c r="P35" i="61"/>
  <c r="N35" i="61"/>
  <c r="M35" i="61"/>
  <c r="L35" i="61"/>
  <c r="K35" i="61"/>
  <c r="J35" i="61"/>
  <c r="I35" i="61"/>
  <c r="H35" i="61"/>
  <c r="G35" i="61"/>
  <c r="F35" i="61"/>
  <c r="E35" i="61"/>
  <c r="D35" i="61"/>
  <c r="P34" i="61"/>
  <c r="N34" i="61"/>
  <c r="M34" i="61"/>
  <c r="L34" i="61"/>
  <c r="K34" i="61"/>
  <c r="J34" i="61"/>
  <c r="I34" i="61"/>
  <c r="H34" i="61"/>
  <c r="G34" i="61"/>
  <c r="F34" i="61"/>
  <c r="E34" i="61"/>
  <c r="D34" i="61"/>
  <c r="P33" i="61"/>
  <c r="N33" i="61"/>
  <c r="M33" i="61"/>
  <c r="L33" i="61"/>
  <c r="K33" i="61"/>
  <c r="J33" i="61"/>
  <c r="I33" i="61"/>
  <c r="H33" i="61"/>
  <c r="G33" i="61"/>
  <c r="F33" i="61"/>
  <c r="E33" i="61"/>
  <c r="D33" i="61"/>
  <c r="P32" i="61"/>
  <c r="N32" i="61"/>
  <c r="M32" i="61"/>
  <c r="L32" i="61"/>
  <c r="K32" i="61"/>
  <c r="J32" i="61"/>
  <c r="I32" i="61"/>
  <c r="H32" i="61"/>
  <c r="G32" i="61"/>
  <c r="F32" i="61"/>
  <c r="E32" i="61"/>
  <c r="D32" i="61"/>
  <c r="P31" i="61"/>
  <c r="N31" i="61"/>
  <c r="M31" i="61"/>
  <c r="L31" i="61"/>
  <c r="K31" i="61"/>
  <c r="J31" i="61"/>
  <c r="I31" i="61"/>
  <c r="H31" i="61"/>
  <c r="G31" i="61"/>
  <c r="F31" i="61"/>
  <c r="E31" i="61"/>
  <c r="D31" i="61"/>
  <c r="P30" i="61"/>
  <c r="N30" i="61"/>
  <c r="M30" i="61"/>
  <c r="L30" i="61"/>
  <c r="K30" i="61"/>
  <c r="J30" i="61"/>
  <c r="I30" i="61"/>
  <c r="H30" i="61"/>
  <c r="G30" i="61"/>
  <c r="F30" i="61"/>
  <c r="E30" i="61"/>
  <c r="D30" i="61"/>
  <c r="P29" i="61"/>
  <c r="N29" i="61"/>
  <c r="M29" i="61"/>
  <c r="L29" i="61"/>
  <c r="K29" i="61"/>
  <c r="J29" i="61"/>
  <c r="I29" i="61"/>
  <c r="H29" i="61"/>
  <c r="G29" i="61"/>
  <c r="F29" i="61"/>
  <c r="E29" i="61"/>
  <c r="D29" i="61"/>
  <c r="P28" i="61"/>
  <c r="N28" i="61"/>
  <c r="M28" i="61"/>
  <c r="L28" i="61"/>
  <c r="K28" i="61"/>
  <c r="J28" i="61"/>
  <c r="I28" i="61"/>
  <c r="H28" i="61"/>
  <c r="G28" i="61"/>
  <c r="F28" i="61"/>
  <c r="E28" i="61"/>
  <c r="D28" i="61"/>
  <c r="P27" i="61"/>
  <c r="N27" i="61"/>
  <c r="M27" i="61"/>
  <c r="L27" i="61"/>
  <c r="K27" i="61"/>
  <c r="J27" i="61"/>
  <c r="I27" i="61"/>
  <c r="H27" i="61"/>
  <c r="G27" i="61"/>
  <c r="F27" i="61"/>
  <c r="E27" i="61"/>
  <c r="D27" i="61"/>
  <c r="P26" i="61"/>
  <c r="N26" i="61"/>
  <c r="M26" i="61"/>
  <c r="L26" i="61"/>
  <c r="K26" i="61"/>
  <c r="J26" i="61"/>
  <c r="I26" i="61"/>
  <c r="H26" i="61"/>
  <c r="G26" i="61"/>
  <c r="F26" i="61"/>
  <c r="E26" i="61"/>
  <c r="D26" i="61"/>
  <c r="P25" i="61"/>
  <c r="N25" i="61"/>
  <c r="M25" i="61"/>
  <c r="L25" i="61"/>
  <c r="K25" i="61"/>
  <c r="J25" i="61"/>
  <c r="I25" i="61"/>
  <c r="H25" i="61"/>
  <c r="G25" i="61"/>
  <c r="F25" i="61"/>
  <c r="E25" i="61"/>
  <c r="D25" i="61"/>
  <c r="P24" i="61"/>
  <c r="N24" i="61"/>
  <c r="M24" i="61"/>
  <c r="L24" i="61"/>
  <c r="K24" i="61"/>
  <c r="J24" i="61"/>
  <c r="I24" i="61"/>
  <c r="H24" i="61"/>
  <c r="G24" i="61"/>
  <c r="F24" i="61"/>
  <c r="E24" i="61"/>
  <c r="D24" i="61"/>
  <c r="P23" i="61"/>
  <c r="N23" i="61"/>
  <c r="M23" i="61"/>
  <c r="L23" i="61"/>
  <c r="K23" i="61"/>
  <c r="J23" i="61"/>
  <c r="I23" i="61"/>
  <c r="H23" i="61"/>
  <c r="G23" i="61"/>
  <c r="F23" i="61"/>
  <c r="E23" i="61"/>
  <c r="D23" i="61"/>
  <c r="P22" i="61"/>
  <c r="N22" i="61"/>
  <c r="M22" i="61"/>
  <c r="L22" i="61"/>
  <c r="K22" i="61"/>
  <c r="J22" i="61"/>
  <c r="I22" i="61"/>
  <c r="H22" i="61"/>
  <c r="G22" i="61"/>
  <c r="F22" i="61"/>
  <c r="E22" i="61"/>
  <c r="D22" i="61"/>
  <c r="N19" i="61"/>
  <c r="M19" i="61"/>
  <c r="L19" i="61"/>
  <c r="K19" i="61"/>
  <c r="J19" i="61"/>
  <c r="H19" i="61"/>
  <c r="G19" i="61"/>
  <c r="F19" i="61"/>
  <c r="E19" i="61"/>
  <c r="D19" i="61"/>
  <c r="P18" i="61"/>
  <c r="O18" i="61"/>
  <c r="N18" i="61"/>
  <c r="M18" i="61"/>
  <c r="L18" i="61"/>
  <c r="K18" i="61"/>
  <c r="J18" i="61"/>
  <c r="I18" i="61"/>
  <c r="H18" i="61"/>
  <c r="G18" i="61"/>
  <c r="F18" i="61"/>
  <c r="E18" i="61"/>
  <c r="D18" i="61"/>
  <c r="P17" i="61"/>
  <c r="P16" i="61"/>
  <c r="P15" i="61"/>
  <c r="P14" i="61"/>
  <c r="N13" i="61"/>
  <c r="M13" i="61"/>
  <c r="L13" i="61"/>
  <c r="K13" i="61"/>
  <c r="J13" i="61"/>
  <c r="H13" i="61"/>
  <c r="G13" i="61"/>
  <c r="F13" i="61"/>
  <c r="E13" i="61"/>
  <c r="D13" i="61"/>
  <c r="N12" i="61"/>
  <c r="M12" i="61"/>
  <c r="L12" i="61"/>
  <c r="K12" i="61"/>
  <c r="J12" i="61"/>
  <c r="I12" i="61"/>
  <c r="P12" i="61" s="1"/>
  <c r="H12" i="61"/>
  <c r="G12" i="61"/>
  <c r="F12" i="61"/>
  <c r="E12" i="61"/>
  <c r="D12" i="61"/>
  <c r="N11" i="61"/>
  <c r="M11" i="61"/>
  <c r="L11" i="61"/>
  <c r="K11" i="61"/>
  <c r="J11" i="61"/>
  <c r="I11" i="61"/>
  <c r="P11" i="61" s="1"/>
  <c r="H11" i="61"/>
  <c r="G11" i="61"/>
  <c r="F11" i="61"/>
  <c r="E11" i="61"/>
  <c r="D11" i="61"/>
  <c r="N10" i="61"/>
  <c r="M10" i="61"/>
  <c r="L10" i="61"/>
  <c r="K10" i="61"/>
  <c r="J10" i="61"/>
  <c r="I10" i="61"/>
  <c r="P10" i="61" s="1"/>
  <c r="H10" i="61"/>
  <c r="G10" i="61"/>
  <c r="F10" i="61"/>
  <c r="E10" i="61"/>
  <c r="D10" i="61"/>
  <c r="N9" i="61"/>
  <c r="M9" i="61"/>
  <c r="L9" i="61"/>
  <c r="K9" i="61"/>
  <c r="J9" i="61"/>
  <c r="I9" i="61"/>
  <c r="P9" i="61" s="1"/>
  <c r="H9" i="61"/>
  <c r="G9" i="61"/>
  <c r="F9" i="61"/>
  <c r="E9" i="61"/>
  <c r="D9" i="61"/>
  <c r="O8" i="61"/>
  <c r="O13" i="61" s="1"/>
  <c r="N8" i="61"/>
  <c r="M8" i="61"/>
  <c r="L8" i="61"/>
  <c r="K8" i="61"/>
  <c r="J8" i="61"/>
  <c r="H8" i="61"/>
  <c r="G8" i="61"/>
  <c r="F8" i="61"/>
  <c r="E8" i="61"/>
  <c r="D8" i="61"/>
  <c r="G143" i="60"/>
  <c r="N139" i="60"/>
  <c r="M139" i="60"/>
  <c r="K139" i="60"/>
  <c r="J139" i="60"/>
  <c r="H139" i="60"/>
  <c r="G139" i="60"/>
  <c r="F139" i="60"/>
  <c r="D139" i="60"/>
  <c r="N136" i="60"/>
  <c r="M136" i="60"/>
  <c r="L136" i="60"/>
  <c r="K136" i="60"/>
  <c r="J136" i="60"/>
  <c r="H136" i="60"/>
  <c r="G136" i="60"/>
  <c r="F136" i="60"/>
  <c r="E136" i="60"/>
  <c r="D136" i="60"/>
  <c r="N134" i="60"/>
  <c r="M134" i="60"/>
  <c r="K134" i="60"/>
  <c r="J134" i="60"/>
  <c r="I134" i="60"/>
  <c r="H134" i="60"/>
  <c r="G134" i="60"/>
  <c r="F134" i="60"/>
  <c r="D134" i="60"/>
  <c r="N133" i="60"/>
  <c r="M133" i="60"/>
  <c r="L133" i="60"/>
  <c r="K133" i="60"/>
  <c r="J133" i="60"/>
  <c r="N132" i="60"/>
  <c r="M132" i="60"/>
  <c r="L132" i="60"/>
  <c r="K132" i="60"/>
  <c r="J132" i="60"/>
  <c r="I132" i="60"/>
  <c r="H132" i="60"/>
  <c r="G132" i="60"/>
  <c r="E132" i="60"/>
  <c r="P132" i="60" s="1"/>
  <c r="D132" i="60"/>
  <c r="N131" i="60"/>
  <c r="M131" i="60"/>
  <c r="L131" i="60"/>
  <c r="L134" i="60" s="1"/>
  <c r="K131" i="60"/>
  <c r="J131" i="60"/>
  <c r="I131" i="60"/>
  <c r="H131" i="60"/>
  <c r="G131" i="60"/>
  <c r="E131" i="60"/>
  <c r="D131" i="60"/>
  <c r="P130" i="60"/>
  <c r="N130" i="60"/>
  <c r="M130" i="60"/>
  <c r="L130" i="60"/>
  <c r="K130" i="60"/>
  <c r="J130" i="60"/>
  <c r="I130" i="60"/>
  <c r="H130" i="60"/>
  <c r="G130" i="60"/>
  <c r="E130" i="60"/>
  <c r="D130" i="60"/>
  <c r="P129" i="60"/>
  <c r="N129" i="60"/>
  <c r="M129" i="60"/>
  <c r="L129" i="60"/>
  <c r="K129" i="60"/>
  <c r="J129" i="60"/>
  <c r="I129" i="60"/>
  <c r="H129" i="60"/>
  <c r="G129" i="60"/>
  <c r="E129" i="60"/>
  <c r="D129" i="60"/>
  <c r="P128" i="60"/>
  <c r="N128" i="60"/>
  <c r="M128" i="60"/>
  <c r="L128" i="60"/>
  <c r="K128" i="60"/>
  <c r="J128" i="60"/>
  <c r="I128" i="60"/>
  <c r="H128" i="60"/>
  <c r="G128" i="60"/>
  <c r="E128" i="60"/>
  <c r="D128" i="60"/>
  <c r="P127" i="60"/>
  <c r="N127" i="60"/>
  <c r="M127" i="60"/>
  <c r="L127" i="60"/>
  <c r="K127" i="60"/>
  <c r="J127" i="60"/>
  <c r="I127" i="60"/>
  <c r="H127" i="60"/>
  <c r="G127" i="60"/>
  <c r="E127" i="60"/>
  <c r="D127" i="60"/>
  <c r="P126" i="60"/>
  <c r="N126" i="60"/>
  <c r="M126" i="60"/>
  <c r="L126" i="60"/>
  <c r="K126" i="60"/>
  <c r="J126" i="60"/>
  <c r="I126" i="60"/>
  <c r="H126" i="60"/>
  <c r="G126" i="60"/>
  <c r="E126" i="60"/>
  <c r="D126" i="60"/>
  <c r="P125" i="60"/>
  <c r="N125" i="60"/>
  <c r="M125" i="60"/>
  <c r="L125" i="60"/>
  <c r="K125" i="60"/>
  <c r="J125" i="60"/>
  <c r="I125" i="60"/>
  <c r="H125" i="60"/>
  <c r="G125" i="60"/>
  <c r="E125" i="60"/>
  <c r="D125" i="60"/>
  <c r="P124" i="60"/>
  <c r="N124" i="60"/>
  <c r="M124" i="60"/>
  <c r="L124" i="60"/>
  <c r="K124" i="60"/>
  <c r="J124" i="60"/>
  <c r="I124" i="60"/>
  <c r="H124" i="60"/>
  <c r="G124" i="60"/>
  <c r="E124" i="60"/>
  <c r="D124" i="60"/>
  <c r="P123" i="60"/>
  <c r="N123" i="60"/>
  <c r="M123" i="60"/>
  <c r="L123" i="60"/>
  <c r="K123" i="60"/>
  <c r="J123" i="60"/>
  <c r="I123" i="60"/>
  <c r="H123" i="60"/>
  <c r="G123" i="60"/>
  <c r="E123" i="60"/>
  <c r="D123" i="60"/>
  <c r="P122" i="60"/>
  <c r="N122" i="60"/>
  <c r="M122" i="60"/>
  <c r="L122" i="60"/>
  <c r="K122" i="60"/>
  <c r="J122" i="60"/>
  <c r="I122" i="60"/>
  <c r="H122" i="60"/>
  <c r="G122" i="60"/>
  <c r="E122" i="60"/>
  <c r="D122" i="60"/>
  <c r="P121" i="60"/>
  <c r="N121" i="60"/>
  <c r="M121" i="60"/>
  <c r="L121" i="60"/>
  <c r="K121" i="60"/>
  <c r="J121" i="60"/>
  <c r="I121" i="60"/>
  <c r="H121" i="60"/>
  <c r="G121" i="60"/>
  <c r="E121" i="60"/>
  <c r="D121" i="60"/>
  <c r="P120" i="60"/>
  <c r="N120" i="60"/>
  <c r="M120" i="60"/>
  <c r="L120" i="60"/>
  <c r="K120" i="60"/>
  <c r="J120" i="60"/>
  <c r="I120" i="60"/>
  <c r="H120" i="60"/>
  <c r="G120" i="60"/>
  <c r="E120" i="60"/>
  <c r="D120" i="60"/>
  <c r="P119" i="60"/>
  <c r="N119" i="60"/>
  <c r="M119" i="60"/>
  <c r="L119" i="60"/>
  <c r="K119" i="60"/>
  <c r="J119" i="60"/>
  <c r="I119" i="60"/>
  <c r="H119" i="60"/>
  <c r="G119" i="60"/>
  <c r="E119" i="60"/>
  <c r="D119" i="60"/>
  <c r="P118" i="60"/>
  <c r="N118" i="60"/>
  <c r="M118" i="60"/>
  <c r="L118" i="60"/>
  <c r="K118" i="60"/>
  <c r="J118" i="60"/>
  <c r="I118" i="60"/>
  <c r="H118" i="60"/>
  <c r="G118" i="60"/>
  <c r="E118" i="60"/>
  <c r="D118" i="60"/>
  <c r="P117" i="60"/>
  <c r="N117" i="60"/>
  <c r="M117" i="60"/>
  <c r="L117" i="60"/>
  <c r="K117" i="60"/>
  <c r="J117" i="60"/>
  <c r="I117" i="60"/>
  <c r="H117" i="60"/>
  <c r="G117" i="60"/>
  <c r="E117" i="60"/>
  <c r="D117" i="60"/>
  <c r="P116" i="60"/>
  <c r="N116" i="60"/>
  <c r="M116" i="60"/>
  <c r="L116" i="60"/>
  <c r="K116" i="60"/>
  <c r="J116" i="60"/>
  <c r="I116" i="60"/>
  <c r="H116" i="60"/>
  <c r="G116" i="60"/>
  <c r="E116" i="60"/>
  <c r="D116" i="60"/>
  <c r="P115" i="60"/>
  <c r="N115" i="60"/>
  <c r="M115" i="60"/>
  <c r="L115" i="60"/>
  <c r="K115" i="60"/>
  <c r="J115" i="60"/>
  <c r="I115" i="60"/>
  <c r="H115" i="60"/>
  <c r="G115" i="60"/>
  <c r="E115" i="60"/>
  <c r="D115" i="60"/>
  <c r="P114" i="60"/>
  <c r="N114" i="60"/>
  <c r="M114" i="60"/>
  <c r="L114" i="60"/>
  <c r="K114" i="60"/>
  <c r="J114" i="60"/>
  <c r="I114" i="60"/>
  <c r="H114" i="60"/>
  <c r="G114" i="60"/>
  <c r="E114" i="60"/>
  <c r="D114" i="60"/>
  <c r="P113" i="60"/>
  <c r="N113" i="60"/>
  <c r="M113" i="60"/>
  <c r="L113" i="60"/>
  <c r="K113" i="60"/>
  <c r="J113" i="60"/>
  <c r="I113" i="60"/>
  <c r="H113" i="60"/>
  <c r="G113" i="60"/>
  <c r="E113" i="60"/>
  <c r="D113" i="60"/>
  <c r="P112" i="60"/>
  <c r="N112" i="60"/>
  <c r="M112" i="60"/>
  <c r="L112" i="60"/>
  <c r="K112" i="60"/>
  <c r="J112" i="60"/>
  <c r="I112" i="60"/>
  <c r="H112" i="60"/>
  <c r="G112" i="60"/>
  <c r="E112" i="60"/>
  <c r="D112" i="60"/>
  <c r="P111" i="60"/>
  <c r="N111" i="60"/>
  <c r="M111" i="60"/>
  <c r="L111" i="60"/>
  <c r="K111" i="60"/>
  <c r="J111" i="60"/>
  <c r="I111" i="60"/>
  <c r="H111" i="60"/>
  <c r="G111" i="60"/>
  <c r="E111" i="60"/>
  <c r="D111" i="60"/>
  <c r="P110" i="60"/>
  <c r="N110" i="60"/>
  <c r="M110" i="60"/>
  <c r="L110" i="60"/>
  <c r="K110" i="60"/>
  <c r="J110" i="60"/>
  <c r="I110" i="60"/>
  <c r="H110" i="60"/>
  <c r="G110" i="60"/>
  <c r="E110" i="60"/>
  <c r="D110" i="60"/>
  <c r="P109" i="60"/>
  <c r="N109" i="60"/>
  <c r="M109" i="60"/>
  <c r="L109" i="60"/>
  <c r="K109" i="60"/>
  <c r="J109" i="60"/>
  <c r="I109" i="60"/>
  <c r="H109" i="60"/>
  <c r="G109" i="60"/>
  <c r="E109" i="60"/>
  <c r="D109" i="60"/>
  <c r="P108" i="60"/>
  <c r="N108" i="60"/>
  <c r="M108" i="60"/>
  <c r="L108" i="60"/>
  <c r="K108" i="60"/>
  <c r="J108" i="60"/>
  <c r="I108" i="60"/>
  <c r="H108" i="60"/>
  <c r="G108" i="60"/>
  <c r="E108" i="60"/>
  <c r="D108" i="60"/>
  <c r="P107" i="60"/>
  <c r="N107" i="60"/>
  <c r="M107" i="60"/>
  <c r="L107" i="60"/>
  <c r="K107" i="60"/>
  <c r="J107" i="60"/>
  <c r="I107" i="60"/>
  <c r="H107" i="60"/>
  <c r="G107" i="60"/>
  <c r="E107" i="60"/>
  <c r="D107" i="60"/>
  <c r="P106" i="60"/>
  <c r="N106" i="60"/>
  <c r="M106" i="60"/>
  <c r="L106" i="60"/>
  <c r="K106" i="60"/>
  <c r="J106" i="60"/>
  <c r="I106" i="60"/>
  <c r="H106" i="60"/>
  <c r="G106" i="60"/>
  <c r="E106" i="60"/>
  <c r="D106" i="60"/>
  <c r="P105" i="60"/>
  <c r="N105" i="60"/>
  <c r="M105" i="60"/>
  <c r="L105" i="60"/>
  <c r="K105" i="60"/>
  <c r="J105" i="60"/>
  <c r="I105" i="60"/>
  <c r="H105" i="60"/>
  <c r="G105" i="60"/>
  <c r="E105" i="60"/>
  <c r="D105" i="60"/>
  <c r="P104" i="60"/>
  <c r="N104" i="60"/>
  <c r="M104" i="60"/>
  <c r="L104" i="60"/>
  <c r="K104" i="60"/>
  <c r="J104" i="60"/>
  <c r="I104" i="60"/>
  <c r="H104" i="60"/>
  <c r="G104" i="60"/>
  <c r="E104" i="60"/>
  <c r="D104" i="60"/>
  <c r="P103" i="60"/>
  <c r="N103" i="60"/>
  <c r="M103" i="60"/>
  <c r="L103" i="60"/>
  <c r="K103" i="60"/>
  <c r="J103" i="60"/>
  <c r="I103" i="60"/>
  <c r="H103" i="60"/>
  <c r="G103" i="60"/>
  <c r="E103" i="60"/>
  <c r="D103" i="60"/>
  <c r="P102" i="60"/>
  <c r="N102" i="60"/>
  <c r="M102" i="60"/>
  <c r="L102" i="60"/>
  <c r="K102" i="60"/>
  <c r="J102" i="60"/>
  <c r="I102" i="60"/>
  <c r="H102" i="60"/>
  <c r="G102" i="60"/>
  <c r="E102" i="60"/>
  <c r="D102" i="60"/>
  <c r="P101" i="60"/>
  <c r="N101" i="60"/>
  <c r="M101" i="60"/>
  <c r="L101" i="60"/>
  <c r="K101" i="60"/>
  <c r="J101" i="60"/>
  <c r="I101" i="60"/>
  <c r="H101" i="60"/>
  <c r="G101" i="60"/>
  <c r="E101" i="60"/>
  <c r="D101" i="60"/>
  <c r="P100" i="60"/>
  <c r="N100" i="60"/>
  <c r="M100" i="60"/>
  <c r="L100" i="60"/>
  <c r="K100" i="60"/>
  <c r="J100" i="60"/>
  <c r="I100" i="60"/>
  <c r="H100" i="60"/>
  <c r="G100" i="60"/>
  <c r="E100" i="60"/>
  <c r="D100" i="60"/>
  <c r="P99" i="60"/>
  <c r="N99" i="60"/>
  <c r="M99" i="60"/>
  <c r="L99" i="60"/>
  <c r="K99" i="60"/>
  <c r="J99" i="60"/>
  <c r="I99" i="60"/>
  <c r="H99" i="60"/>
  <c r="G99" i="60"/>
  <c r="E99" i="60"/>
  <c r="D99" i="60"/>
  <c r="P98" i="60"/>
  <c r="N98" i="60"/>
  <c r="M98" i="60"/>
  <c r="L98" i="60"/>
  <c r="K98" i="60"/>
  <c r="J98" i="60"/>
  <c r="I98" i="60"/>
  <c r="H98" i="60"/>
  <c r="G98" i="60"/>
  <c r="E98" i="60"/>
  <c r="D98" i="60"/>
  <c r="P97" i="60"/>
  <c r="N97" i="60"/>
  <c r="M97" i="60"/>
  <c r="L97" i="60"/>
  <c r="K97" i="60"/>
  <c r="J97" i="60"/>
  <c r="I97" i="60"/>
  <c r="H97" i="60"/>
  <c r="G97" i="60"/>
  <c r="E97" i="60"/>
  <c r="D97" i="60"/>
  <c r="P96" i="60"/>
  <c r="N96" i="60"/>
  <c r="M96" i="60"/>
  <c r="L96" i="60"/>
  <c r="K96" i="60"/>
  <c r="J96" i="60"/>
  <c r="I96" i="60"/>
  <c r="H96" i="60"/>
  <c r="G96" i="60"/>
  <c r="E96" i="60"/>
  <c r="D96" i="60"/>
  <c r="P95" i="60"/>
  <c r="N95" i="60"/>
  <c r="M95" i="60"/>
  <c r="L95" i="60"/>
  <c r="K95" i="60"/>
  <c r="J95" i="60"/>
  <c r="I95" i="60"/>
  <c r="H95" i="60"/>
  <c r="G95" i="60"/>
  <c r="E95" i="60"/>
  <c r="D95" i="60"/>
  <c r="P94" i="60"/>
  <c r="N94" i="60"/>
  <c r="M94" i="60"/>
  <c r="L94" i="60"/>
  <c r="K94" i="60"/>
  <c r="J94" i="60"/>
  <c r="I94" i="60"/>
  <c r="H94" i="60"/>
  <c r="G94" i="60"/>
  <c r="E94" i="60"/>
  <c r="D94" i="60"/>
  <c r="P93" i="60"/>
  <c r="N93" i="60"/>
  <c r="M93" i="60"/>
  <c r="L93" i="60"/>
  <c r="K93" i="60"/>
  <c r="J93" i="60"/>
  <c r="I93" i="60"/>
  <c r="H93" i="60"/>
  <c r="G93" i="60"/>
  <c r="E93" i="60"/>
  <c r="D93" i="60"/>
  <c r="P92" i="60"/>
  <c r="N92" i="60"/>
  <c r="M92" i="60"/>
  <c r="L92" i="60"/>
  <c r="K92" i="60"/>
  <c r="J92" i="60"/>
  <c r="I92" i="60"/>
  <c r="H92" i="60"/>
  <c r="G92" i="60"/>
  <c r="E92" i="60"/>
  <c r="D92" i="60"/>
  <c r="P91" i="60"/>
  <c r="N91" i="60"/>
  <c r="M91" i="60"/>
  <c r="L91" i="60"/>
  <c r="K91" i="60"/>
  <c r="J91" i="60"/>
  <c r="I91" i="60"/>
  <c r="H91" i="60"/>
  <c r="G91" i="60"/>
  <c r="E91" i="60"/>
  <c r="D91" i="60"/>
  <c r="P90" i="60"/>
  <c r="N90" i="60"/>
  <c r="M90" i="60"/>
  <c r="L90" i="60"/>
  <c r="K90" i="60"/>
  <c r="J90" i="60"/>
  <c r="I90" i="60"/>
  <c r="H90" i="60"/>
  <c r="G90" i="60"/>
  <c r="E90" i="60"/>
  <c r="D90" i="60"/>
  <c r="P89" i="60"/>
  <c r="N89" i="60"/>
  <c r="M89" i="60"/>
  <c r="L89" i="60"/>
  <c r="K89" i="60"/>
  <c r="J89" i="60"/>
  <c r="I89" i="60"/>
  <c r="H89" i="60"/>
  <c r="G89" i="60"/>
  <c r="E89" i="60"/>
  <c r="D89" i="60"/>
  <c r="P88" i="60"/>
  <c r="N88" i="60"/>
  <c r="M88" i="60"/>
  <c r="L88" i="60"/>
  <c r="K88" i="60"/>
  <c r="J88" i="60"/>
  <c r="I88" i="60"/>
  <c r="H88" i="60"/>
  <c r="G88" i="60"/>
  <c r="E88" i="60"/>
  <c r="D88" i="60"/>
  <c r="P87" i="60"/>
  <c r="N87" i="60"/>
  <c r="M87" i="60"/>
  <c r="L87" i="60"/>
  <c r="K87" i="60"/>
  <c r="J87" i="60"/>
  <c r="I87" i="60"/>
  <c r="H87" i="60"/>
  <c r="G87" i="60"/>
  <c r="E87" i="60"/>
  <c r="D87" i="60"/>
  <c r="P86" i="60"/>
  <c r="N86" i="60"/>
  <c r="M86" i="60"/>
  <c r="L86" i="60"/>
  <c r="K86" i="60"/>
  <c r="J86" i="60"/>
  <c r="I86" i="60"/>
  <c r="H86" i="60"/>
  <c r="G86" i="60"/>
  <c r="E86" i="60"/>
  <c r="D86" i="60"/>
  <c r="P85" i="60"/>
  <c r="N85" i="60"/>
  <c r="M85" i="60"/>
  <c r="L85" i="60"/>
  <c r="K85" i="60"/>
  <c r="J85" i="60"/>
  <c r="I85" i="60"/>
  <c r="H85" i="60"/>
  <c r="G85" i="60"/>
  <c r="E85" i="60"/>
  <c r="D85" i="60"/>
  <c r="P84" i="60"/>
  <c r="N84" i="60"/>
  <c r="M84" i="60"/>
  <c r="L84" i="60"/>
  <c r="K84" i="60"/>
  <c r="J84" i="60"/>
  <c r="I84" i="60"/>
  <c r="H84" i="60"/>
  <c r="G84" i="60"/>
  <c r="E84" i="60"/>
  <c r="D84" i="60"/>
  <c r="P83" i="60"/>
  <c r="N83" i="60"/>
  <c r="M83" i="60"/>
  <c r="L83" i="60"/>
  <c r="K83" i="60"/>
  <c r="J83" i="60"/>
  <c r="I83" i="60"/>
  <c r="H83" i="60"/>
  <c r="G83" i="60"/>
  <c r="E83" i="60"/>
  <c r="D83" i="60"/>
  <c r="P82" i="60"/>
  <c r="N82" i="60"/>
  <c r="M82" i="60"/>
  <c r="L82" i="60"/>
  <c r="K82" i="60"/>
  <c r="J82" i="60"/>
  <c r="I82" i="60"/>
  <c r="H82" i="60"/>
  <c r="G82" i="60"/>
  <c r="E82" i="60"/>
  <c r="D82" i="60"/>
  <c r="P81" i="60"/>
  <c r="N81" i="60"/>
  <c r="M81" i="60"/>
  <c r="L81" i="60"/>
  <c r="K81" i="60"/>
  <c r="J81" i="60"/>
  <c r="I81" i="60"/>
  <c r="H81" i="60"/>
  <c r="G81" i="60"/>
  <c r="E81" i="60"/>
  <c r="D81" i="60"/>
  <c r="P80" i="60"/>
  <c r="N80" i="60"/>
  <c r="M80" i="60"/>
  <c r="L80" i="60"/>
  <c r="K80" i="60"/>
  <c r="J80" i="60"/>
  <c r="I80" i="60"/>
  <c r="H80" i="60"/>
  <c r="G80" i="60"/>
  <c r="E80" i="60"/>
  <c r="D80" i="60"/>
  <c r="P79" i="60"/>
  <c r="N79" i="60"/>
  <c r="M79" i="60"/>
  <c r="L79" i="60"/>
  <c r="K79" i="60"/>
  <c r="J79" i="60"/>
  <c r="I79" i="60"/>
  <c r="H79" i="60"/>
  <c r="G79" i="60"/>
  <c r="E79" i="60"/>
  <c r="D79" i="60"/>
  <c r="P78" i="60"/>
  <c r="N78" i="60"/>
  <c r="M78" i="60"/>
  <c r="L78" i="60"/>
  <c r="K78" i="60"/>
  <c r="J78" i="60"/>
  <c r="I78" i="60"/>
  <c r="H78" i="60"/>
  <c r="G78" i="60"/>
  <c r="E78" i="60"/>
  <c r="D78" i="60"/>
  <c r="P77" i="60"/>
  <c r="N77" i="60"/>
  <c r="M77" i="60"/>
  <c r="L77" i="60"/>
  <c r="K77" i="60"/>
  <c r="J77" i="60"/>
  <c r="I77" i="60"/>
  <c r="H77" i="60"/>
  <c r="G77" i="60"/>
  <c r="E77" i="60"/>
  <c r="D77" i="60"/>
  <c r="P76" i="60"/>
  <c r="N76" i="60"/>
  <c r="M76" i="60"/>
  <c r="L76" i="60"/>
  <c r="K76" i="60"/>
  <c r="J76" i="60"/>
  <c r="I76" i="60"/>
  <c r="H76" i="60"/>
  <c r="G76" i="60"/>
  <c r="E76" i="60"/>
  <c r="D76" i="60"/>
  <c r="P75" i="60"/>
  <c r="N75" i="60"/>
  <c r="M75" i="60"/>
  <c r="L75" i="60"/>
  <c r="K75" i="60"/>
  <c r="J75" i="60"/>
  <c r="I75" i="60"/>
  <c r="H75" i="60"/>
  <c r="G75" i="60"/>
  <c r="E75" i="60"/>
  <c r="D75" i="60"/>
  <c r="P74" i="60"/>
  <c r="N74" i="60"/>
  <c r="M74" i="60"/>
  <c r="L74" i="60"/>
  <c r="K74" i="60"/>
  <c r="J74" i="60"/>
  <c r="I74" i="60"/>
  <c r="H74" i="60"/>
  <c r="G74" i="60"/>
  <c r="E74" i="60"/>
  <c r="D74" i="60"/>
  <c r="P73" i="60"/>
  <c r="N73" i="60"/>
  <c r="M73" i="60"/>
  <c r="L73" i="60"/>
  <c r="K73" i="60"/>
  <c r="J73" i="60"/>
  <c r="I73" i="60"/>
  <c r="H73" i="60"/>
  <c r="G73" i="60"/>
  <c r="E73" i="60"/>
  <c r="D73" i="60"/>
  <c r="P72" i="60"/>
  <c r="N72" i="60"/>
  <c r="M72" i="60"/>
  <c r="L72" i="60"/>
  <c r="K72" i="60"/>
  <c r="J72" i="60"/>
  <c r="I72" i="60"/>
  <c r="H72" i="60"/>
  <c r="G72" i="60"/>
  <c r="E72" i="60"/>
  <c r="D72" i="60"/>
  <c r="P71" i="60"/>
  <c r="N71" i="60"/>
  <c r="M71" i="60"/>
  <c r="L71" i="60"/>
  <c r="K71" i="60"/>
  <c r="J71" i="60"/>
  <c r="I71" i="60"/>
  <c r="H71" i="60"/>
  <c r="G71" i="60"/>
  <c r="E71" i="60"/>
  <c r="D71" i="60"/>
  <c r="P70" i="60"/>
  <c r="N70" i="60"/>
  <c r="M70" i="60"/>
  <c r="L70" i="60"/>
  <c r="K70" i="60"/>
  <c r="J70" i="60"/>
  <c r="I70" i="60"/>
  <c r="H70" i="60"/>
  <c r="G70" i="60"/>
  <c r="E70" i="60"/>
  <c r="D70" i="60"/>
  <c r="P69" i="60"/>
  <c r="N69" i="60"/>
  <c r="M69" i="60"/>
  <c r="L69" i="60"/>
  <c r="K69" i="60"/>
  <c r="J69" i="60"/>
  <c r="I69" i="60"/>
  <c r="H69" i="60"/>
  <c r="G69" i="60"/>
  <c r="E69" i="60"/>
  <c r="D69" i="60"/>
  <c r="P68" i="60"/>
  <c r="N68" i="60"/>
  <c r="M68" i="60"/>
  <c r="L68" i="60"/>
  <c r="K68" i="60"/>
  <c r="J68" i="60"/>
  <c r="I68" i="60"/>
  <c r="H68" i="60"/>
  <c r="G68" i="60"/>
  <c r="E68" i="60"/>
  <c r="D68" i="60"/>
  <c r="P67" i="60"/>
  <c r="N67" i="60"/>
  <c r="M67" i="60"/>
  <c r="L67" i="60"/>
  <c r="K67" i="60"/>
  <c r="J67" i="60"/>
  <c r="I67" i="60"/>
  <c r="H67" i="60"/>
  <c r="G67" i="60"/>
  <c r="E67" i="60"/>
  <c r="D67" i="60"/>
  <c r="P66" i="60"/>
  <c r="N66" i="60"/>
  <c r="M66" i="60"/>
  <c r="L66" i="60"/>
  <c r="K66" i="60"/>
  <c r="J66" i="60"/>
  <c r="I66" i="60"/>
  <c r="H66" i="60"/>
  <c r="G66" i="60"/>
  <c r="E66" i="60"/>
  <c r="D66" i="60"/>
  <c r="P65" i="60"/>
  <c r="N65" i="60"/>
  <c r="M65" i="60"/>
  <c r="L65" i="60"/>
  <c r="K65" i="60"/>
  <c r="J65" i="60"/>
  <c r="I65" i="60"/>
  <c r="H65" i="60"/>
  <c r="G65" i="60"/>
  <c r="E65" i="60"/>
  <c r="D65" i="60"/>
  <c r="P64" i="60"/>
  <c r="N64" i="60"/>
  <c r="M64" i="60"/>
  <c r="L64" i="60"/>
  <c r="K64" i="60"/>
  <c r="J64" i="60"/>
  <c r="I64" i="60"/>
  <c r="H64" i="60"/>
  <c r="G64" i="60"/>
  <c r="E64" i="60"/>
  <c r="D64" i="60"/>
  <c r="P63" i="60"/>
  <c r="N63" i="60"/>
  <c r="M63" i="60"/>
  <c r="L63" i="60"/>
  <c r="K63" i="60"/>
  <c r="J63" i="60"/>
  <c r="I63" i="60"/>
  <c r="H63" i="60"/>
  <c r="G63" i="60"/>
  <c r="E63" i="60"/>
  <c r="D63" i="60"/>
  <c r="P62" i="60"/>
  <c r="N62" i="60"/>
  <c r="M62" i="60"/>
  <c r="L62" i="60"/>
  <c r="K62" i="60"/>
  <c r="J62" i="60"/>
  <c r="I62" i="60"/>
  <c r="H62" i="60"/>
  <c r="G62" i="60"/>
  <c r="E62" i="60"/>
  <c r="D62" i="60"/>
  <c r="P61" i="60"/>
  <c r="N61" i="60"/>
  <c r="M61" i="60"/>
  <c r="L61" i="60"/>
  <c r="K61" i="60"/>
  <c r="J61" i="60"/>
  <c r="I61" i="60"/>
  <c r="H61" i="60"/>
  <c r="G61" i="60"/>
  <c r="E61" i="60"/>
  <c r="D61" i="60"/>
  <c r="P60" i="60"/>
  <c r="N60" i="60"/>
  <c r="M60" i="60"/>
  <c r="L60" i="60"/>
  <c r="K60" i="60"/>
  <c r="J60" i="60"/>
  <c r="I60" i="60"/>
  <c r="H60" i="60"/>
  <c r="G60" i="60"/>
  <c r="E60" i="60"/>
  <c r="D60" i="60"/>
  <c r="P59" i="60"/>
  <c r="N59" i="60"/>
  <c r="M59" i="60"/>
  <c r="L59" i="60"/>
  <c r="K59" i="60"/>
  <c r="J59" i="60"/>
  <c r="I59" i="60"/>
  <c r="H59" i="60"/>
  <c r="G59" i="60"/>
  <c r="E59" i="60"/>
  <c r="D59" i="60"/>
  <c r="P58" i="60"/>
  <c r="N58" i="60"/>
  <c r="M58" i="60"/>
  <c r="L58" i="60"/>
  <c r="K58" i="60"/>
  <c r="J58" i="60"/>
  <c r="I58" i="60"/>
  <c r="H58" i="60"/>
  <c r="G58" i="60"/>
  <c r="E58" i="60"/>
  <c r="D58" i="60"/>
  <c r="P57" i="60"/>
  <c r="N57" i="60"/>
  <c r="M57" i="60"/>
  <c r="L57" i="60"/>
  <c r="K57" i="60"/>
  <c r="J57" i="60"/>
  <c r="I57" i="60"/>
  <c r="H57" i="60"/>
  <c r="G57" i="60"/>
  <c r="E57" i="60"/>
  <c r="D57" i="60"/>
  <c r="P56" i="60"/>
  <c r="N56" i="60"/>
  <c r="M56" i="60"/>
  <c r="L56" i="60"/>
  <c r="K56" i="60"/>
  <c r="J56" i="60"/>
  <c r="I56" i="60"/>
  <c r="H56" i="60"/>
  <c r="G56" i="60"/>
  <c r="E56" i="60"/>
  <c r="D56" i="60"/>
  <c r="P55" i="60"/>
  <c r="N55" i="60"/>
  <c r="M55" i="60"/>
  <c r="L55" i="60"/>
  <c r="K55" i="60"/>
  <c r="J55" i="60"/>
  <c r="I55" i="60"/>
  <c r="H55" i="60"/>
  <c r="G55" i="60"/>
  <c r="E55" i="60"/>
  <c r="D55" i="60"/>
  <c r="P54" i="60"/>
  <c r="N54" i="60"/>
  <c r="M54" i="60"/>
  <c r="L54" i="60"/>
  <c r="K54" i="60"/>
  <c r="J54" i="60"/>
  <c r="I54" i="60"/>
  <c r="H54" i="60"/>
  <c r="G54" i="60"/>
  <c r="E54" i="60"/>
  <c r="D54" i="60"/>
  <c r="P53" i="60"/>
  <c r="N53" i="60"/>
  <c r="M53" i="60"/>
  <c r="L53" i="60"/>
  <c r="K53" i="60"/>
  <c r="J53" i="60"/>
  <c r="I53" i="60"/>
  <c r="H53" i="60"/>
  <c r="G53" i="60"/>
  <c r="E53" i="60"/>
  <c r="D53" i="60"/>
  <c r="P52" i="60"/>
  <c r="N52" i="60"/>
  <c r="M52" i="60"/>
  <c r="L52" i="60"/>
  <c r="K52" i="60"/>
  <c r="J52" i="60"/>
  <c r="I52" i="60"/>
  <c r="H52" i="60"/>
  <c r="G52" i="60"/>
  <c r="E52" i="60"/>
  <c r="D52" i="60"/>
  <c r="P51" i="60"/>
  <c r="N51" i="60"/>
  <c r="M51" i="60"/>
  <c r="L51" i="60"/>
  <c r="K51" i="60"/>
  <c r="J51" i="60"/>
  <c r="I51" i="60"/>
  <c r="H51" i="60"/>
  <c r="G51" i="60"/>
  <c r="E51" i="60"/>
  <c r="D51" i="60"/>
  <c r="P50" i="60"/>
  <c r="N50" i="60"/>
  <c r="M50" i="60"/>
  <c r="L50" i="60"/>
  <c r="K50" i="60"/>
  <c r="J50" i="60"/>
  <c r="I50" i="60"/>
  <c r="H50" i="60"/>
  <c r="G50" i="60"/>
  <c r="E50" i="60"/>
  <c r="D50" i="60"/>
  <c r="P49" i="60"/>
  <c r="N49" i="60"/>
  <c r="M49" i="60"/>
  <c r="L49" i="60"/>
  <c r="K49" i="60"/>
  <c r="J49" i="60"/>
  <c r="I49" i="60"/>
  <c r="H49" i="60"/>
  <c r="G49" i="60"/>
  <c r="E49" i="60"/>
  <c r="D49" i="60"/>
  <c r="P48" i="60"/>
  <c r="N48" i="60"/>
  <c r="M48" i="60"/>
  <c r="L48" i="60"/>
  <c r="K48" i="60"/>
  <c r="J48" i="60"/>
  <c r="I48" i="60"/>
  <c r="H48" i="60"/>
  <c r="G48" i="60"/>
  <c r="E48" i="60"/>
  <c r="D48" i="60"/>
  <c r="P47" i="60"/>
  <c r="N47" i="60"/>
  <c r="M47" i="60"/>
  <c r="L47" i="60"/>
  <c r="K47" i="60"/>
  <c r="J47" i="60"/>
  <c r="I47" i="60"/>
  <c r="H47" i="60"/>
  <c r="G47" i="60"/>
  <c r="E47" i="60"/>
  <c r="D47" i="60"/>
  <c r="P46" i="60"/>
  <c r="N46" i="60"/>
  <c r="M46" i="60"/>
  <c r="L46" i="60"/>
  <c r="K46" i="60"/>
  <c r="J46" i="60"/>
  <c r="I46" i="60"/>
  <c r="H46" i="60"/>
  <c r="G46" i="60"/>
  <c r="E46" i="60"/>
  <c r="D46" i="60"/>
  <c r="P45" i="60"/>
  <c r="N45" i="60"/>
  <c r="M45" i="60"/>
  <c r="L45" i="60"/>
  <c r="K45" i="60"/>
  <c r="J45" i="60"/>
  <c r="I45" i="60"/>
  <c r="H45" i="60"/>
  <c r="G45" i="60"/>
  <c r="E45" i="60"/>
  <c r="D45" i="60"/>
  <c r="P44" i="60"/>
  <c r="N44" i="60"/>
  <c r="M44" i="60"/>
  <c r="L44" i="60"/>
  <c r="K44" i="60"/>
  <c r="J44" i="60"/>
  <c r="I44" i="60"/>
  <c r="H44" i="60"/>
  <c r="G44" i="60"/>
  <c r="E44" i="60"/>
  <c r="D44" i="60"/>
  <c r="P43" i="60"/>
  <c r="N43" i="60"/>
  <c r="M43" i="60"/>
  <c r="L43" i="60"/>
  <c r="K43" i="60"/>
  <c r="J43" i="60"/>
  <c r="I43" i="60"/>
  <c r="H43" i="60"/>
  <c r="G43" i="60"/>
  <c r="E43" i="60"/>
  <c r="D43" i="60"/>
  <c r="P42" i="60"/>
  <c r="N42" i="60"/>
  <c r="M42" i="60"/>
  <c r="L42" i="60"/>
  <c r="K42" i="60"/>
  <c r="J42" i="60"/>
  <c r="I42" i="60"/>
  <c r="H42" i="60"/>
  <c r="G42" i="60"/>
  <c r="E42" i="60"/>
  <c r="D42" i="60"/>
  <c r="P41" i="60"/>
  <c r="N41" i="60"/>
  <c r="M41" i="60"/>
  <c r="L41" i="60"/>
  <c r="K41" i="60"/>
  <c r="J41" i="60"/>
  <c r="I41" i="60"/>
  <c r="H41" i="60"/>
  <c r="G41" i="60"/>
  <c r="E41" i="60"/>
  <c r="D41" i="60"/>
  <c r="P40" i="60"/>
  <c r="N40" i="60"/>
  <c r="M40" i="60"/>
  <c r="L40" i="60"/>
  <c r="K40" i="60"/>
  <c r="J40" i="60"/>
  <c r="I40" i="60"/>
  <c r="H40" i="60"/>
  <c r="G40" i="60"/>
  <c r="E40" i="60"/>
  <c r="D40" i="60"/>
  <c r="P39" i="60"/>
  <c r="N39" i="60"/>
  <c r="M39" i="60"/>
  <c r="L39" i="60"/>
  <c r="K39" i="60"/>
  <c r="J39" i="60"/>
  <c r="I39" i="60"/>
  <c r="H39" i="60"/>
  <c r="G39" i="60"/>
  <c r="E39" i="60"/>
  <c r="D39" i="60"/>
  <c r="P38" i="60"/>
  <c r="N38" i="60"/>
  <c r="M38" i="60"/>
  <c r="L38" i="60"/>
  <c r="K38" i="60"/>
  <c r="J38" i="60"/>
  <c r="I38" i="60"/>
  <c r="H38" i="60"/>
  <c r="G38" i="60"/>
  <c r="E38" i="60"/>
  <c r="D38" i="60"/>
  <c r="P37" i="60"/>
  <c r="N37" i="60"/>
  <c r="M37" i="60"/>
  <c r="L37" i="60"/>
  <c r="K37" i="60"/>
  <c r="J37" i="60"/>
  <c r="I37" i="60"/>
  <c r="H37" i="60"/>
  <c r="G37" i="60"/>
  <c r="E37" i="60"/>
  <c r="D37" i="60"/>
  <c r="P36" i="60"/>
  <c r="N36" i="60"/>
  <c r="M36" i="60"/>
  <c r="L36" i="60"/>
  <c r="K36" i="60"/>
  <c r="J36" i="60"/>
  <c r="I36" i="60"/>
  <c r="H36" i="60"/>
  <c r="G36" i="60"/>
  <c r="E36" i="60"/>
  <c r="D36" i="60"/>
  <c r="P35" i="60"/>
  <c r="N35" i="60"/>
  <c r="M35" i="60"/>
  <c r="L35" i="60"/>
  <c r="K35" i="60"/>
  <c r="J35" i="60"/>
  <c r="I35" i="60"/>
  <c r="H35" i="60"/>
  <c r="G35" i="60"/>
  <c r="E35" i="60"/>
  <c r="D35" i="60"/>
  <c r="P34" i="60"/>
  <c r="N34" i="60"/>
  <c r="M34" i="60"/>
  <c r="L34" i="60"/>
  <c r="K34" i="60"/>
  <c r="J34" i="60"/>
  <c r="I34" i="60"/>
  <c r="H34" i="60"/>
  <c r="G34" i="60"/>
  <c r="E34" i="60"/>
  <c r="D34" i="60"/>
  <c r="P33" i="60"/>
  <c r="N33" i="60"/>
  <c r="M33" i="60"/>
  <c r="L33" i="60"/>
  <c r="K33" i="60"/>
  <c r="J33" i="60"/>
  <c r="I33" i="60"/>
  <c r="H33" i="60"/>
  <c r="G33" i="60"/>
  <c r="E33" i="60"/>
  <c r="D33" i="60"/>
  <c r="P32" i="60"/>
  <c r="N32" i="60"/>
  <c r="M32" i="60"/>
  <c r="L32" i="60"/>
  <c r="K32" i="60"/>
  <c r="J32" i="60"/>
  <c r="I32" i="60"/>
  <c r="H32" i="60"/>
  <c r="G32" i="60"/>
  <c r="E32" i="60"/>
  <c r="D32" i="60"/>
  <c r="P31" i="60"/>
  <c r="N31" i="60"/>
  <c r="M31" i="60"/>
  <c r="L31" i="60"/>
  <c r="K31" i="60"/>
  <c r="J31" i="60"/>
  <c r="I31" i="60"/>
  <c r="H31" i="60"/>
  <c r="G31" i="60"/>
  <c r="E31" i="60"/>
  <c r="D31" i="60"/>
  <c r="P30" i="60"/>
  <c r="N30" i="60"/>
  <c r="M30" i="60"/>
  <c r="L30" i="60"/>
  <c r="K30" i="60"/>
  <c r="J30" i="60"/>
  <c r="I30" i="60"/>
  <c r="H30" i="60"/>
  <c r="G30" i="60"/>
  <c r="E30" i="60"/>
  <c r="D30" i="60"/>
  <c r="P29" i="60"/>
  <c r="N29" i="60"/>
  <c r="M29" i="60"/>
  <c r="L29" i="60"/>
  <c r="K29" i="60"/>
  <c r="J29" i="60"/>
  <c r="I29" i="60"/>
  <c r="H29" i="60"/>
  <c r="G29" i="60"/>
  <c r="F29" i="60"/>
  <c r="E29" i="60"/>
  <c r="D29" i="60"/>
  <c r="P28" i="60"/>
  <c r="N28" i="60"/>
  <c r="M28" i="60"/>
  <c r="L28" i="60"/>
  <c r="K28" i="60"/>
  <c r="J28" i="60"/>
  <c r="I28" i="60"/>
  <c r="H28" i="60"/>
  <c r="G28" i="60"/>
  <c r="E28" i="60"/>
  <c r="D28" i="60"/>
  <c r="P27" i="60"/>
  <c r="N27" i="60"/>
  <c r="M27" i="60"/>
  <c r="L27" i="60"/>
  <c r="K27" i="60"/>
  <c r="J27" i="60"/>
  <c r="I27" i="60"/>
  <c r="H27" i="60"/>
  <c r="G27" i="60"/>
  <c r="E27" i="60"/>
  <c r="D27" i="60"/>
  <c r="P26" i="60"/>
  <c r="N26" i="60"/>
  <c r="M26" i="60"/>
  <c r="L26" i="60"/>
  <c r="K26" i="60"/>
  <c r="J26" i="60"/>
  <c r="I26" i="60"/>
  <c r="H26" i="60"/>
  <c r="G26" i="60"/>
  <c r="E26" i="60"/>
  <c r="D26" i="60"/>
  <c r="P25" i="60"/>
  <c r="N25" i="60"/>
  <c r="M25" i="60"/>
  <c r="L25" i="60"/>
  <c r="K25" i="60"/>
  <c r="J25" i="60"/>
  <c r="I25" i="60"/>
  <c r="H25" i="60"/>
  <c r="G25" i="60"/>
  <c r="E25" i="60"/>
  <c r="D25" i="60"/>
  <c r="P24" i="60"/>
  <c r="N24" i="60"/>
  <c r="M24" i="60"/>
  <c r="L24" i="60"/>
  <c r="K24" i="60"/>
  <c r="J24" i="60"/>
  <c r="I24" i="60"/>
  <c r="H24" i="60"/>
  <c r="G24" i="60"/>
  <c r="E24" i="60"/>
  <c r="D24" i="60"/>
  <c r="P23" i="60"/>
  <c r="N23" i="60"/>
  <c r="M23" i="60"/>
  <c r="L23" i="60"/>
  <c r="K23" i="60"/>
  <c r="J23" i="60"/>
  <c r="I23" i="60"/>
  <c r="H23" i="60"/>
  <c r="G23" i="60"/>
  <c r="E23" i="60"/>
  <c r="D23" i="60"/>
  <c r="P22" i="60"/>
  <c r="N22" i="60"/>
  <c r="M22" i="60"/>
  <c r="L22" i="60"/>
  <c r="K22" i="60"/>
  <c r="J22" i="60"/>
  <c r="I22" i="60"/>
  <c r="H22" i="60"/>
  <c r="G22" i="60"/>
  <c r="E22" i="60"/>
  <c r="D22" i="60"/>
  <c r="N19" i="60"/>
  <c r="M19" i="60"/>
  <c r="L19" i="60"/>
  <c r="K19" i="60"/>
  <c r="J19" i="60"/>
  <c r="H19" i="60"/>
  <c r="G19" i="60"/>
  <c r="F19" i="60"/>
  <c r="E19" i="60"/>
  <c r="D19" i="60"/>
  <c r="O18" i="60"/>
  <c r="P18" i="60" s="1"/>
  <c r="N18" i="60"/>
  <c r="M18" i="60"/>
  <c r="L18" i="60"/>
  <c r="K18" i="60"/>
  <c r="J18" i="60"/>
  <c r="I18" i="60"/>
  <c r="H18" i="60"/>
  <c r="G18" i="60"/>
  <c r="F18" i="60"/>
  <c r="E18" i="60"/>
  <c r="D18" i="60"/>
  <c r="P17" i="60"/>
  <c r="P16" i="60"/>
  <c r="P15" i="60"/>
  <c r="P14" i="60"/>
  <c r="N13" i="60"/>
  <c r="M13" i="60"/>
  <c r="L13" i="60"/>
  <c r="K13" i="60"/>
  <c r="J13" i="60"/>
  <c r="H13" i="60"/>
  <c r="G13" i="60"/>
  <c r="F13" i="60"/>
  <c r="E13" i="60"/>
  <c r="D13" i="60"/>
  <c r="N12" i="60"/>
  <c r="M12" i="60"/>
  <c r="L12" i="60"/>
  <c r="K12" i="60"/>
  <c r="J12" i="60"/>
  <c r="I12" i="60"/>
  <c r="P12" i="60" s="1"/>
  <c r="H12" i="60"/>
  <c r="G12" i="60"/>
  <c r="F12" i="60"/>
  <c r="E12" i="60"/>
  <c r="D12" i="60"/>
  <c r="N11" i="60"/>
  <c r="M11" i="60"/>
  <c r="L11" i="60"/>
  <c r="K11" i="60"/>
  <c r="J11" i="60"/>
  <c r="I11" i="60"/>
  <c r="P11" i="60" s="1"/>
  <c r="H11" i="60"/>
  <c r="G11" i="60"/>
  <c r="F11" i="60"/>
  <c r="E11" i="60"/>
  <c r="D11" i="60"/>
  <c r="N10" i="60"/>
  <c r="M10" i="60"/>
  <c r="L10" i="60"/>
  <c r="K10" i="60"/>
  <c r="J10" i="60"/>
  <c r="I10" i="60"/>
  <c r="P10" i="60" s="1"/>
  <c r="H10" i="60"/>
  <c r="G10" i="60"/>
  <c r="F10" i="60"/>
  <c r="E10" i="60"/>
  <c r="D10" i="60"/>
  <c r="N9" i="60"/>
  <c r="M9" i="60"/>
  <c r="L9" i="60"/>
  <c r="K9" i="60"/>
  <c r="J9" i="60"/>
  <c r="I9" i="60"/>
  <c r="P9" i="60" s="1"/>
  <c r="H9" i="60"/>
  <c r="G9" i="60"/>
  <c r="F9" i="60"/>
  <c r="E9" i="60"/>
  <c r="D9" i="60"/>
  <c r="O8" i="60"/>
  <c r="O13" i="60" s="1"/>
  <c r="N8" i="60"/>
  <c r="M8" i="60"/>
  <c r="L8" i="60"/>
  <c r="K8" i="60"/>
  <c r="J8" i="60"/>
  <c r="H8" i="60"/>
  <c r="G8" i="60"/>
  <c r="F8" i="60"/>
  <c r="E8" i="60"/>
  <c r="D8" i="60"/>
  <c r="N145" i="58"/>
  <c r="H144" i="58"/>
  <c r="G143" i="58"/>
  <c r="N139" i="58"/>
  <c r="M139" i="58"/>
  <c r="K139" i="58"/>
  <c r="J139" i="58"/>
  <c r="H139" i="58"/>
  <c r="G139" i="58"/>
  <c r="F139" i="58"/>
  <c r="D139" i="58"/>
  <c r="N136" i="58"/>
  <c r="M136" i="58"/>
  <c r="L136" i="58"/>
  <c r="K136" i="58"/>
  <c r="J136" i="58"/>
  <c r="H136" i="58"/>
  <c r="G136" i="58"/>
  <c r="F136" i="58"/>
  <c r="E136" i="58"/>
  <c r="D136" i="58"/>
  <c r="N134" i="58"/>
  <c r="M134" i="58"/>
  <c r="K134" i="58"/>
  <c r="J134" i="58"/>
  <c r="I134" i="58"/>
  <c r="H134" i="58"/>
  <c r="G134" i="58"/>
  <c r="F134" i="58"/>
  <c r="D134" i="58"/>
  <c r="N133" i="58"/>
  <c r="M133" i="58"/>
  <c r="L133" i="58"/>
  <c r="K133" i="58"/>
  <c r="J133" i="58"/>
  <c r="N132" i="58"/>
  <c r="M132" i="58"/>
  <c r="L132" i="58"/>
  <c r="K132" i="58"/>
  <c r="J132" i="58"/>
  <c r="I132" i="58"/>
  <c r="H132" i="58"/>
  <c r="G132" i="58"/>
  <c r="E132" i="58"/>
  <c r="P132" i="58" s="1"/>
  <c r="D132" i="58"/>
  <c r="N131" i="58"/>
  <c r="M131" i="58"/>
  <c r="L131" i="58"/>
  <c r="L134" i="58" s="1"/>
  <c r="K131" i="58"/>
  <c r="J131" i="58"/>
  <c r="I131" i="58"/>
  <c r="H131" i="58"/>
  <c r="G131" i="58"/>
  <c r="E131" i="58"/>
  <c r="D131" i="58"/>
  <c r="P130" i="58"/>
  <c r="N130" i="58"/>
  <c r="M130" i="58"/>
  <c r="L130" i="58"/>
  <c r="K130" i="58"/>
  <c r="J130" i="58"/>
  <c r="I130" i="58"/>
  <c r="H130" i="58"/>
  <c r="G130" i="58"/>
  <c r="E130" i="58"/>
  <c r="D130" i="58"/>
  <c r="P129" i="58"/>
  <c r="N129" i="58"/>
  <c r="M129" i="58"/>
  <c r="L129" i="58"/>
  <c r="K129" i="58"/>
  <c r="J129" i="58"/>
  <c r="I129" i="58"/>
  <c r="H129" i="58"/>
  <c r="G129" i="58"/>
  <c r="E129" i="58"/>
  <c r="D129" i="58"/>
  <c r="P128" i="58"/>
  <c r="N128" i="58"/>
  <c r="M128" i="58"/>
  <c r="L128" i="58"/>
  <c r="K128" i="58"/>
  <c r="J128" i="58"/>
  <c r="I128" i="58"/>
  <c r="H128" i="58"/>
  <c r="G128" i="58"/>
  <c r="E128" i="58"/>
  <c r="D128" i="58"/>
  <c r="P127" i="58"/>
  <c r="N127" i="58"/>
  <c r="M127" i="58"/>
  <c r="L127" i="58"/>
  <c r="K127" i="58"/>
  <c r="J127" i="58"/>
  <c r="I127" i="58"/>
  <c r="H127" i="58"/>
  <c r="G127" i="58"/>
  <c r="E127" i="58"/>
  <c r="D127" i="58"/>
  <c r="P126" i="58"/>
  <c r="N126" i="58"/>
  <c r="M126" i="58"/>
  <c r="L126" i="58"/>
  <c r="K126" i="58"/>
  <c r="J126" i="58"/>
  <c r="I126" i="58"/>
  <c r="H126" i="58"/>
  <c r="G126" i="58"/>
  <c r="E126" i="58"/>
  <c r="D126" i="58"/>
  <c r="P125" i="58"/>
  <c r="N125" i="58"/>
  <c r="M125" i="58"/>
  <c r="L125" i="58"/>
  <c r="K125" i="58"/>
  <c r="J125" i="58"/>
  <c r="I125" i="58"/>
  <c r="H125" i="58"/>
  <c r="G125" i="58"/>
  <c r="E125" i="58"/>
  <c r="D125" i="58"/>
  <c r="P124" i="58"/>
  <c r="N124" i="58"/>
  <c r="M124" i="58"/>
  <c r="L124" i="58"/>
  <c r="K124" i="58"/>
  <c r="J124" i="58"/>
  <c r="I124" i="58"/>
  <c r="H124" i="58"/>
  <c r="G124" i="58"/>
  <c r="E124" i="58"/>
  <c r="D124" i="58"/>
  <c r="P123" i="58"/>
  <c r="N123" i="58"/>
  <c r="M123" i="58"/>
  <c r="L123" i="58"/>
  <c r="K123" i="58"/>
  <c r="J123" i="58"/>
  <c r="I123" i="58"/>
  <c r="H123" i="58"/>
  <c r="G123" i="58"/>
  <c r="E123" i="58"/>
  <c r="D123" i="58"/>
  <c r="P122" i="58"/>
  <c r="N122" i="58"/>
  <c r="M122" i="58"/>
  <c r="L122" i="58"/>
  <c r="K122" i="58"/>
  <c r="J122" i="58"/>
  <c r="I122" i="58"/>
  <c r="H122" i="58"/>
  <c r="G122" i="58"/>
  <c r="E122" i="58"/>
  <c r="D122" i="58"/>
  <c r="P121" i="58"/>
  <c r="N121" i="58"/>
  <c r="M121" i="58"/>
  <c r="L121" i="58"/>
  <c r="K121" i="58"/>
  <c r="J121" i="58"/>
  <c r="I121" i="58"/>
  <c r="H121" i="58"/>
  <c r="G121" i="58"/>
  <c r="E121" i="58"/>
  <c r="D121" i="58"/>
  <c r="P120" i="58"/>
  <c r="N120" i="58"/>
  <c r="M120" i="58"/>
  <c r="L120" i="58"/>
  <c r="K120" i="58"/>
  <c r="J120" i="58"/>
  <c r="I120" i="58"/>
  <c r="H120" i="58"/>
  <c r="G120" i="58"/>
  <c r="E120" i="58"/>
  <c r="D120" i="58"/>
  <c r="P119" i="58"/>
  <c r="N119" i="58"/>
  <c r="M119" i="58"/>
  <c r="L119" i="58"/>
  <c r="K119" i="58"/>
  <c r="J119" i="58"/>
  <c r="I119" i="58"/>
  <c r="H119" i="58"/>
  <c r="G119" i="58"/>
  <c r="E119" i="58"/>
  <c r="D119" i="58"/>
  <c r="P118" i="58"/>
  <c r="N118" i="58"/>
  <c r="M118" i="58"/>
  <c r="L118" i="58"/>
  <c r="K118" i="58"/>
  <c r="J118" i="58"/>
  <c r="I118" i="58"/>
  <c r="H118" i="58"/>
  <c r="G118" i="58"/>
  <c r="E118" i="58"/>
  <c r="D118" i="58"/>
  <c r="P117" i="58"/>
  <c r="N117" i="58"/>
  <c r="M117" i="58"/>
  <c r="L117" i="58"/>
  <c r="K117" i="58"/>
  <c r="J117" i="58"/>
  <c r="I117" i="58"/>
  <c r="H117" i="58"/>
  <c r="G117" i="58"/>
  <c r="E117" i="58"/>
  <c r="D117" i="58"/>
  <c r="P116" i="58"/>
  <c r="N116" i="58"/>
  <c r="M116" i="58"/>
  <c r="L116" i="58"/>
  <c r="K116" i="58"/>
  <c r="J116" i="58"/>
  <c r="I116" i="58"/>
  <c r="H116" i="58"/>
  <c r="G116" i="58"/>
  <c r="E116" i="58"/>
  <c r="D116" i="58"/>
  <c r="P115" i="58"/>
  <c r="N115" i="58"/>
  <c r="M115" i="58"/>
  <c r="L115" i="58"/>
  <c r="K115" i="58"/>
  <c r="J115" i="58"/>
  <c r="I115" i="58"/>
  <c r="H115" i="58"/>
  <c r="G115" i="58"/>
  <c r="E115" i="58"/>
  <c r="D115" i="58"/>
  <c r="P114" i="58"/>
  <c r="N114" i="58"/>
  <c r="M114" i="58"/>
  <c r="L114" i="58"/>
  <c r="K114" i="58"/>
  <c r="J114" i="58"/>
  <c r="I114" i="58"/>
  <c r="H114" i="58"/>
  <c r="G114" i="58"/>
  <c r="E114" i="58"/>
  <c r="D114" i="58"/>
  <c r="P113" i="58"/>
  <c r="N113" i="58"/>
  <c r="M113" i="58"/>
  <c r="L113" i="58"/>
  <c r="K113" i="58"/>
  <c r="J113" i="58"/>
  <c r="I113" i="58"/>
  <c r="H113" i="58"/>
  <c r="G113" i="58"/>
  <c r="E113" i="58"/>
  <c r="D113" i="58"/>
  <c r="P112" i="58"/>
  <c r="N112" i="58"/>
  <c r="M112" i="58"/>
  <c r="L112" i="58"/>
  <c r="K112" i="58"/>
  <c r="J112" i="58"/>
  <c r="I112" i="58"/>
  <c r="H112" i="58"/>
  <c r="G112" i="58"/>
  <c r="E112" i="58"/>
  <c r="D112" i="58"/>
  <c r="P111" i="58"/>
  <c r="N111" i="58"/>
  <c r="M111" i="58"/>
  <c r="L111" i="58"/>
  <c r="K111" i="58"/>
  <c r="J111" i="58"/>
  <c r="I111" i="58"/>
  <c r="H111" i="58"/>
  <c r="G111" i="58"/>
  <c r="E111" i="58"/>
  <c r="D111" i="58"/>
  <c r="P110" i="58"/>
  <c r="N110" i="58"/>
  <c r="M110" i="58"/>
  <c r="L110" i="58"/>
  <c r="K110" i="58"/>
  <c r="J110" i="58"/>
  <c r="I110" i="58"/>
  <c r="H110" i="58"/>
  <c r="G110" i="58"/>
  <c r="E110" i="58"/>
  <c r="D110" i="58"/>
  <c r="P109" i="58"/>
  <c r="N109" i="58"/>
  <c r="M109" i="58"/>
  <c r="L109" i="58"/>
  <c r="K109" i="58"/>
  <c r="J109" i="58"/>
  <c r="I109" i="58"/>
  <c r="H109" i="58"/>
  <c r="G109" i="58"/>
  <c r="E109" i="58"/>
  <c r="D109" i="58"/>
  <c r="P108" i="58"/>
  <c r="N108" i="58"/>
  <c r="M108" i="58"/>
  <c r="L108" i="58"/>
  <c r="K108" i="58"/>
  <c r="J108" i="58"/>
  <c r="I108" i="58"/>
  <c r="H108" i="58"/>
  <c r="G108" i="58"/>
  <c r="E108" i="58"/>
  <c r="D108" i="58"/>
  <c r="P107" i="58"/>
  <c r="N107" i="58"/>
  <c r="M107" i="58"/>
  <c r="L107" i="58"/>
  <c r="K107" i="58"/>
  <c r="J107" i="58"/>
  <c r="I107" i="58"/>
  <c r="H107" i="58"/>
  <c r="G107" i="58"/>
  <c r="E107" i="58"/>
  <c r="D107" i="58"/>
  <c r="P106" i="58"/>
  <c r="N106" i="58"/>
  <c r="M106" i="58"/>
  <c r="L106" i="58"/>
  <c r="K106" i="58"/>
  <c r="J106" i="58"/>
  <c r="I106" i="58"/>
  <c r="H106" i="58"/>
  <c r="G106" i="58"/>
  <c r="E106" i="58"/>
  <c r="D106" i="58"/>
  <c r="P105" i="58"/>
  <c r="N105" i="58"/>
  <c r="M105" i="58"/>
  <c r="L105" i="58"/>
  <c r="K105" i="58"/>
  <c r="J105" i="58"/>
  <c r="I105" i="58"/>
  <c r="H105" i="58"/>
  <c r="G105" i="58"/>
  <c r="E105" i="58"/>
  <c r="D105" i="58"/>
  <c r="P104" i="58"/>
  <c r="N104" i="58"/>
  <c r="M104" i="58"/>
  <c r="L104" i="58"/>
  <c r="K104" i="58"/>
  <c r="J104" i="58"/>
  <c r="I104" i="58"/>
  <c r="H104" i="58"/>
  <c r="G104" i="58"/>
  <c r="E104" i="58"/>
  <c r="D104" i="58"/>
  <c r="P103" i="58"/>
  <c r="N103" i="58"/>
  <c r="M103" i="58"/>
  <c r="L103" i="58"/>
  <c r="K103" i="58"/>
  <c r="J103" i="58"/>
  <c r="I103" i="58"/>
  <c r="H103" i="58"/>
  <c r="G103" i="58"/>
  <c r="E103" i="58"/>
  <c r="D103" i="58"/>
  <c r="P102" i="58"/>
  <c r="N102" i="58"/>
  <c r="M102" i="58"/>
  <c r="L102" i="58"/>
  <c r="K102" i="58"/>
  <c r="J102" i="58"/>
  <c r="I102" i="58"/>
  <c r="H102" i="58"/>
  <c r="G102" i="58"/>
  <c r="E102" i="58"/>
  <c r="D102" i="58"/>
  <c r="P101" i="58"/>
  <c r="N101" i="58"/>
  <c r="M101" i="58"/>
  <c r="L101" i="58"/>
  <c r="K101" i="58"/>
  <c r="J101" i="58"/>
  <c r="I101" i="58"/>
  <c r="H101" i="58"/>
  <c r="G101" i="58"/>
  <c r="E101" i="58"/>
  <c r="D101" i="58"/>
  <c r="P100" i="58"/>
  <c r="N100" i="58"/>
  <c r="M100" i="58"/>
  <c r="L100" i="58"/>
  <c r="K100" i="58"/>
  <c r="J100" i="58"/>
  <c r="I100" i="58"/>
  <c r="H100" i="58"/>
  <c r="G100" i="58"/>
  <c r="E100" i="58"/>
  <c r="D100" i="58"/>
  <c r="P99" i="58"/>
  <c r="N99" i="58"/>
  <c r="M99" i="58"/>
  <c r="L99" i="58"/>
  <c r="K99" i="58"/>
  <c r="J99" i="58"/>
  <c r="I99" i="58"/>
  <c r="H99" i="58"/>
  <c r="G99" i="58"/>
  <c r="E99" i="58"/>
  <c r="D99" i="58"/>
  <c r="P98" i="58"/>
  <c r="N98" i="58"/>
  <c r="M98" i="58"/>
  <c r="L98" i="58"/>
  <c r="K98" i="58"/>
  <c r="J98" i="58"/>
  <c r="I98" i="58"/>
  <c r="H98" i="58"/>
  <c r="G98" i="58"/>
  <c r="E98" i="58"/>
  <c r="D98" i="58"/>
  <c r="P97" i="58"/>
  <c r="N97" i="58"/>
  <c r="M97" i="58"/>
  <c r="L97" i="58"/>
  <c r="K97" i="58"/>
  <c r="J97" i="58"/>
  <c r="I97" i="58"/>
  <c r="H97" i="58"/>
  <c r="G97" i="58"/>
  <c r="E97" i="58"/>
  <c r="D97" i="58"/>
  <c r="P96" i="58"/>
  <c r="N96" i="58"/>
  <c r="M96" i="58"/>
  <c r="L96" i="58"/>
  <c r="K96" i="58"/>
  <c r="J96" i="58"/>
  <c r="I96" i="58"/>
  <c r="H96" i="58"/>
  <c r="G96" i="58"/>
  <c r="E96" i="58"/>
  <c r="D96" i="58"/>
  <c r="P95" i="58"/>
  <c r="N95" i="58"/>
  <c r="M95" i="58"/>
  <c r="L95" i="58"/>
  <c r="K95" i="58"/>
  <c r="J95" i="58"/>
  <c r="I95" i="58"/>
  <c r="H95" i="58"/>
  <c r="G95" i="58"/>
  <c r="E95" i="58"/>
  <c r="D95" i="58"/>
  <c r="P94" i="58"/>
  <c r="N94" i="58"/>
  <c r="M94" i="58"/>
  <c r="L94" i="58"/>
  <c r="K94" i="58"/>
  <c r="J94" i="58"/>
  <c r="I94" i="58"/>
  <c r="H94" i="58"/>
  <c r="G94" i="58"/>
  <c r="E94" i="58"/>
  <c r="D94" i="58"/>
  <c r="P93" i="58"/>
  <c r="N93" i="58"/>
  <c r="M93" i="58"/>
  <c r="L93" i="58"/>
  <c r="K93" i="58"/>
  <c r="J93" i="58"/>
  <c r="I93" i="58"/>
  <c r="H93" i="58"/>
  <c r="G93" i="58"/>
  <c r="E93" i="58"/>
  <c r="D93" i="58"/>
  <c r="P92" i="58"/>
  <c r="N92" i="58"/>
  <c r="M92" i="58"/>
  <c r="L92" i="58"/>
  <c r="K92" i="58"/>
  <c r="J92" i="58"/>
  <c r="I92" i="58"/>
  <c r="H92" i="58"/>
  <c r="G92" i="58"/>
  <c r="E92" i="58"/>
  <c r="D92" i="58"/>
  <c r="P91" i="58"/>
  <c r="N91" i="58"/>
  <c r="M91" i="58"/>
  <c r="L91" i="58"/>
  <c r="K91" i="58"/>
  <c r="J91" i="58"/>
  <c r="I91" i="58"/>
  <c r="H91" i="58"/>
  <c r="G91" i="58"/>
  <c r="E91" i="58"/>
  <c r="D91" i="58"/>
  <c r="P90" i="58"/>
  <c r="N90" i="58"/>
  <c r="M90" i="58"/>
  <c r="L90" i="58"/>
  <c r="K90" i="58"/>
  <c r="J90" i="58"/>
  <c r="I90" i="58"/>
  <c r="H90" i="58"/>
  <c r="G90" i="58"/>
  <c r="E90" i="58"/>
  <c r="D90" i="58"/>
  <c r="P89" i="58"/>
  <c r="N89" i="58"/>
  <c r="M89" i="58"/>
  <c r="L89" i="58"/>
  <c r="K89" i="58"/>
  <c r="J89" i="58"/>
  <c r="I89" i="58"/>
  <c r="H89" i="58"/>
  <c r="G89" i="58"/>
  <c r="E89" i="58"/>
  <c r="D89" i="58"/>
  <c r="P88" i="58"/>
  <c r="N88" i="58"/>
  <c r="M88" i="58"/>
  <c r="L88" i="58"/>
  <c r="K88" i="58"/>
  <c r="J88" i="58"/>
  <c r="I88" i="58"/>
  <c r="H88" i="58"/>
  <c r="G88" i="58"/>
  <c r="E88" i="58"/>
  <c r="D88" i="58"/>
  <c r="P87" i="58"/>
  <c r="N87" i="58"/>
  <c r="M87" i="58"/>
  <c r="L87" i="58"/>
  <c r="K87" i="58"/>
  <c r="J87" i="58"/>
  <c r="I87" i="58"/>
  <c r="H87" i="58"/>
  <c r="G87" i="58"/>
  <c r="E87" i="58"/>
  <c r="D87" i="58"/>
  <c r="P86" i="58"/>
  <c r="N86" i="58"/>
  <c r="M86" i="58"/>
  <c r="L86" i="58"/>
  <c r="K86" i="58"/>
  <c r="J86" i="58"/>
  <c r="I86" i="58"/>
  <c r="H86" i="58"/>
  <c r="G86" i="58"/>
  <c r="E86" i="58"/>
  <c r="D86" i="58"/>
  <c r="P85" i="58"/>
  <c r="N85" i="58"/>
  <c r="M85" i="58"/>
  <c r="L85" i="58"/>
  <c r="K85" i="58"/>
  <c r="J85" i="58"/>
  <c r="I85" i="58"/>
  <c r="H85" i="58"/>
  <c r="G85" i="58"/>
  <c r="E85" i="58"/>
  <c r="D85" i="58"/>
  <c r="P84" i="58"/>
  <c r="N84" i="58"/>
  <c r="M84" i="58"/>
  <c r="L84" i="58"/>
  <c r="K84" i="58"/>
  <c r="J84" i="58"/>
  <c r="I84" i="58"/>
  <c r="H84" i="58"/>
  <c r="G84" i="58"/>
  <c r="E84" i="58"/>
  <c r="D84" i="58"/>
  <c r="P83" i="58"/>
  <c r="N83" i="58"/>
  <c r="M83" i="58"/>
  <c r="L83" i="58"/>
  <c r="K83" i="58"/>
  <c r="J83" i="58"/>
  <c r="I83" i="58"/>
  <c r="H83" i="58"/>
  <c r="G83" i="58"/>
  <c r="E83" i="58"/>
  <c r="D83" i="58"/>
  <c r="P82" i="58"/>
  <c r="N82" i="58"/>
  <c r="M82" i="58"/>
  <c r="L82" i="58"/>
  <c r="K82" i="58"/>
  <c r="J82" i="58"/>
  <c r="I82" i="58"/>
  <c r="H82" i="58"/>
  <c r="G82" i="58"/>
  <c r="E82" i="58"/>
  <c r="D82" i="58"/>
  <c r="P81" i="58"/>
  <c r="N81" i="58"/>
  <c r="M81" i="58"/>
  <c r="L81" i="58"/>
  <c r="K81" i="58"/>
  <c r="J81" i="58"/>
  <c r="I81" i="58"/>
  <c r="H81" i="58"/>
  <c r="G81" i="58"/>
  <c r="E81" i="58"/>
  <c r="D81" i="58"/>
  <c r="P80" i="58"/>
  <c r="N80" i="58"/>
  <c r="M80" i="58"/>
  <c r="L80" i="58"/>
  <c r="K80" i="58"/>
  <c r="J80" i="58"/>
  <c r="I80" i="58"/>
  <c r="H80" i="58"/>
  <c r="G80" i="58"/>
  <c r="E80" i="58"/>
  <c r="D80" i="58"/>
  <c r="P79" i="58"/>
  <c r="N79" i="58"/>
  <c r="M79" i="58"/>
  <c r="L79" i="58"/>
  <c r="K79" i="58"/>
  <c r="J79" i="58"/>
  <c r="I79" i="58"/>
  <c r="H79" i="58"/>
  <c r="G79" i="58"/>
  <c r="E79" i="58"/>
  <c r="D79" i="58"/>
  <c r="P78" i="58"/>
  <c r="N78" i="58"/>
  <c r="M78" i="58"/>
  <c r="L78" i="58"/>
  <c r="K78" i="58"/>
  <c r="J78" i="58"/>
  <c r="I78" i="58"/>
  <c r="H78" i="58"/>
  <c r="G78" i="58"/>
  <c r="E78" i="58"/>
  <c r="D78" i="58"/>
  <c r="P77" i="58"/>
  <c r="N77" i="58"/>
  <c r="M77" i="58"/>
  <c r="L77" i="58"/>
  <c r="K77" i="58"/>
  <c r="J77" i="58"/>
  <c r="I77" i="58"/>
  <c r="H77" i="58"/>
  <c r="G77" i="58"/>
  <c r="E77" i="58"/>
  <c r="D77" i="58"/>
  <c r="P76" i="58"/>
  <c r="N76" i="58"/>
  <c r="M76" i="58"/>
  <c r="L76" i="58"/>
  <c r="K76" i="58"/>
  <c r="J76" i="58"/>
  <c r="I76" i="58"/>
  <c r="H76" i="58"/>
  <c r="G76" i="58"/>
  <c r="E76" i="58"/>
  <c r="D76" i="58"/>
  <c r="P75" i="58"/>
  <c r="N75" i="58"/>
  <c r="M75" i="58"/>
  <c r="L75" i="58"/>
  <c r="K75" i="58"/>
  <c r="J75" i="58"/>
  <c r="I75" i="58"/>
  <c r="H75" i="58"/>
  <c r="G75" i="58"/>
  <c r="E75" i="58"/>
  <c r="D75" i="58"/>
  <c r="P74" i="58"/>
  <c r="N74" i="58"/>
  <c r="M74" i="58"/>
  <c r="L74" i="58"/>
  <c r="K74" i="58"/>
  <c r="J74" i="58"/>
  <c r="I74" i="58"/>
  <c r="H74" i="58"/>
  <c r="G74" i="58"/>
  <c r="E74" i="58"/>
  <c r="D74" i="58"/>
  <c r="P73" i="58"/>
  <c r="N73" i="58"/>
  <c r="M73" i="58"/>
  <c r="L73" i="58"/>
  <c r="K73" i="58"/>
  <c r="J73" i="58"/>
  <c r="I73" i="58"/>
  <c r="H73" i="58"/>
  <c r="G73" i="58"/>
  <c r="E73" i="58"/>
  <c r="D73" i="58"/>
  <c r="P72" i="58"/>
  <c r="N72" i="58"/>
  <c r="M72" i="58"/>
  <c r="L72" i="58"/>
  <c r="K72" i="58"/>
  <c r="J72" i="58"/>
  <c r="I72" i="58"/>
  <c r="H72" i="58"/>
  <c r="G72" i="58"/>
  <c r="E72" i="58"/>
  <c r="D72" i="58"/>
  <c r="P71" i="58"/>
  <c r="N71" i="58"/>
  <c r="M71" i="58"/>
  <c r="L71" i="58"/>
  <c r="K71" i="58"/>
  <c r="J71" i="58"/>
  <c r="I71" i="58"/>
  <c r="H71" i="58"/>
  <c r="G71" i="58"/>
  <c r="E71" i="58"/>
  <c r="D71" i="58"/>
  <c r="P70" i="58"/>
  <c r="N70" i="58"/>
  <c r="M70" i="58"/>
  <c r="L70" i="58"/>
  <c r="K70" i="58"/>
  <c r="J70" i="58"/>
  <c r="I70" i="58"/>
  <c r="H70" i="58"/>
  <c r="G70" i="58"/>
  <c r="E70" i="58"/>
  <c r="D70" i="58"/>
  <c r="P69" i="58"/>
  <c r="N69" i="58"/>
  <c r="M69" i="58"/>
  <c r="L69" i="58"/>
  <c r="K69" i="58"/>
  <c r="J69" i="58"/>
  <c r="I69" i="58"/>
  <c r="H69" i="58"/>
  <c r="G69" i="58"/>
  <c r="E69" i="58"/>
  <c r="D69" i="58"/>
  <c r="P68" i="58"/>
  <c r="N68" i="58"/>
  <c r="M68" i="58"/>
  <c r="L68" i="58"/>
  <c r="K68" i="58"/>
  <c r="J68" i="58"/>
  <c r="I68" i="58"/>
  <c r="H68" i="58"/>
  <c r="G68" i="58"/>
  <c r="E68" i="58"/>
  <c r="D68" i="58"/>
  <c r="P67" i="58"/>
  <c r="N67" i="58"/>
  <c r="M67" i="58"/>
  <c r="L67" i="58"/>
  <c r="K67" i="58"/>
  <c r="J67" i="58"/>
  <c r="I67" i="58"/>
  <c r="H67" i="58"/>
  <c r="G67" i="58"/>
  <c r="E67" i="58"/>
  <c r="D67" i="58"/>
  <c r="P66" i="58"/>
  <c r="N66" i="58"/>
  <c r="M66" i="58"/>
  <c r="L66" i="58"/>
  <c r="K66" i="58"/>
  <c r="J66" i="58"/>
  <c r="I66" i="58"/>
  <c r="H66" i="58"/>
  <c r="G66" i="58"/>
  <c r="E66" i="58"/>
  <c r="D66" i="58"/>
  <c r="P65" i="58"/>
  <c r="N65" i="58"/>
  <c r="M65" i="58"/>
  <c r="L65" i="58"/>
  <c r="K65" i="58"/>
  <c r="J65" i="58"/>
  <c r="I65" i="58"/>
  <c r="H65" i="58"/>
  <c r="G65" i="58"/>
  <c r="E65" i="58"/>
  <c r="D65" i="58"/>
  <c r="P64" i="58"/>
  <c r="N64" i="58"/>
  <c r="M64" i="58"/>
  <c r="L64" i="58"/>
  <c r="K64" i="58"/>
  <c r="J64" i="58"/>
  <c r="I64" i="58"/>
  <c r="H64" i="58"/>
  <c r="G64" i="58"/>
  <c r="E64" i="58"/>
  <c r="D64" i="58"/>
  <c r="P63" i="58"/>
  <c r="N63" i="58"/>
  <c r="M63" i="58"/>
  <c r="L63" i="58"/>
  <c r="K63" i="58"/>
  <c r="J63" i="58"/>
  <c r="I63" i="58"/>
  <c r="H63" i="58"/>
  <c r="G63" i="58"/>
  <c r="E63" i="58"/>
  <c r="D63" i="58"/>
  <c r="P62" i="58"/>
  <c r="N62" i="58"/>
  <c r="M62" i="58"/>
  <c r="L62" i="58"/>
  <c r="K62" i="58"/>
  <c r="J62" i="58"/>
  <c r="I62" i="58"/>
  <c r="H62" i="58"/>
  <c r="G62" i="58"/>
  <c r="E62" i="58"/>
  <c r="D62" i="58"/>
  <c r="P61" i="58"/>
  <c r="N61" i="58"/>
  <c r="M61" i="58"/>
  <c r="L61" i="58"/>
  <c r="K61" i="58"/>
  <c r="J61" i="58"/>
  <c r="I61" i="58"/>
  <c r="H61" i="58"/>
  <c r="G61" i="58"/>
  <c r="E61" i="58"/>
  <c r="D61" i="58"/>
  <c r="P60" i="58"/>
  <c r="N60" i="58"/>
  <c r="M60" i="58"/>
  <c r="L60" i="58"/>
  <c r="K60" i="58"/>
  <c r="J60" i="58"/>
  <c r="I60" i="58"/>
  <c r="H60" i="58"/>
  <c r="G60" i="58"/>
  <c r="E60" i="58"/>
  <c r="D60" i="58"/>
  <c r="P59" i="58"/>
  <c r="N59" i="58"/>
  <c r="M59" i="58"/>
  <c r="L59" i="58"/>
  <c r="K59" i="58"/>
  <c r="J59" i="58"/>
  <c r="I59" i="58"/>
  <c r="H59" i="58"/>
  <c r="G59" i="58"/>
  <c r="E59" i="58"/>
  <c r="D59" i="58"/>
  <c r="P58" i="58"/>
  <c r="N58" i="58"/>
  <c r="M58" i="58"/>
  <c r="L58" i="58"/>
  <c r="K58" i="58"/>
  <c r="J58" i="58"/>
  <c r="I58" i="58"/>
  <c r="H58" i="58"/>
  <c r="G58" i="58"/>
  <c r="E58" i="58"/>
  <c r="D58" i="58"/>
  <c r="P57" i="58"/>
  <c r="N57" i="58"/>
  <c r="M57" i="58"/>
  <c r="L57" i="58"/>
  <c r="K57" i="58"/>
  <c r="J57" i="58"/>
  <c r="I57" i="58"/>
  <c r="H57" i="58"/>
  <c r="G57" i="58"/>
  <c r="E57" i="58"/>
  <c r="D57" i="58"/>
  <c r="P56" i="58"/>
  <c r="N56" i="58"/>
  <c r="M56" i="58"/>
  <c r="L56" i="58"/>
  <c r="K56" i="58"/>
  <c r="J56" i="58"/>
  <c r="I56" i="58"/>
  <c r="H56" i="58"/>
  <c r="G56" i="58"/>
  <c r="E56" i="58"/>
  <c r="D56" i="58"/>
  <c r="P55" i="58"/>
  <c r="N55" i="58"/>
  <c r="M55" i="58"/>
  <c r="L55" i="58"/>
  <c r="K55" i="58"/>
  <c r="J55" i="58"/>
  <c r="I55" i="58"/>
  <c r="H55" i="58"/>
  <c r="G55" i="58"/>
  <c r="E55" i="58"/>
  <c r="D55" i="58"/>
  <c r="P54" i="58"/>
  <c r="N54" i="58"/>
  <c r="M54" i="58"/>
  <c r="L54" i="58"/>
  <c r="K54" i="58"/>
  <c r="J54" i="58"/>
  <c r="I54" i="58"/>
  <c r="H54" i="58"/>
  <c r="G54" i="58"/>
  <c r="E54" i="58"/>
  <c r="D54" i="58"/>
  <c r="P53" i="58"/>
  <c r="N53" i="58"/>
  <c r="M53" i="58"/>
  <c r="L53" i="58"/>
  <c r="K53" i="58"/>
  <c r="J53" i="58"/>
  <c r="I53" i="58"/>
  <c r="H53" i="58"/>
  <c r="G53" i="58"/>
  <c r="E53" i="58"/>
  <c r="D53" i="58"/>
  <c r="P52" i="58"/>
  <c r="N52" i="58"/>
  <c r="M52" i="58"/>
  <c r="L52" i="58"/>
  <c r="K52" i="58"/>
  <c r="J52" i="58"/>
  <c r="I52" i="58"/>
  <c r="H52" i="58"/>
  <c r="G52" i="58"/>
  <c r="E52" i="58"/>
  <c r="D52" i="58"/>
  <c r="P51" i="58"/>
  <c r="N51" i="58"/>
  <c r="M51" i="58"/>
  <c r="L51" i="58"/>
  <c r="K51" i="58"/>
  <c r="J51" i="58"/>
  <c r="I51" i="58"/>
  <c r="H51" i="58"/>
  <c r="G51" i="58"/>
  <c r="E51" i="58"/>
  <c r="D51" i="58"/>
  <c r="P50" i="58"/>
  <c r="N50" i="58"/>
  <c r="M50" i="58"/>
  <c r="L50" i="58"/>
  <c r="K50" i="58"/>
  <c r="J50" i="58"/>
  <c r="I50" i="58"/>
  <c r="H50" i="58"/>
  <c r="G50" i="58"/>
  <c r="E50" i="58"/>
  <c r="D50" i="58"/>
  <c r="P49" i="58"/>
  <c r="N49" i="58"/>
  <c r="M49" i="58"/>
  <c r="L49" i="58"/>
  <c r="K49" i="58"/>
  <c r="J49" i="58"/>
  <c r="I49" i="58"/>
  <c r="H49" i="58"/>
  <c r="G49" i="58"/>
  <c r="E49" i="58"/>
  <c r="D49" i="58"/>
  <c r="P48" i="58"/>
  <c r="N48" i="58"/>
  <c r="M48" i="58"/>
  <c r="L48" i="58"/>
  <c r="K48" i="58"/>
  <c r="J48" i="58"/>
  <c r="I48" i="58"/>
  <c r="H48" i="58"/>
  <c r="G48" i="58"/>
  <c r="E48" i="58"/>
  <c r="D48" i="58"/>
  <c r="P47" i="58"/>
  <c r="N47" i="58"/>
  <c r="M47" i="58"/>
  <c r="L47" i="58"/>
  <c r="K47" i="58"/>
  <c r="J47" i="58"/>
  <c r="I47" i="58"/>
  <c r="H47" i="58"/>
  <c r="G47" i="58"/>
  <c r="E47" i="58"/>
  <c r="D47" i="58"/>
  <c r="P46" i="58"/>
  <c r="N46" i="58"/>
  <c r="M46" i="58"/>
  <c r="L46" i="58"/>
  <c r="K46" i="58"/>
  <c r="J46" i="58"/>
  <c r="I46" i="58"/>
  <c r="H46" i="58"/>
  <c r="G46" i="58"/>
  <c r="E46" i="58"/>
  <c r="D46" i="58"/>
  <c r="P45" i="58"/>
  <c r="N45" i="58"/>
  <c r="M45" i="58"/>
  <c r="L45" i="58"/>
  <c r="K45" i="58"/>
  <c r="J45" i="58"/>
  <c r="I45" i="58"/>
  <c r="H45" i="58"/>
  <c r="G45" i="58"/>
  <c r="E45" i="58"/>
  <c r="D45" i="58"/>
  <c r="P44" i="58"/>
  <c r="N44" i="58"/>
  <c r="M44" i="58"/>
  <c r="L44" i="58"/>
  <c r="K44" i="58"/>
  <c r="J44" i="58"/>
  <c r="I44" i="58"/>
  <c r="H44" i="58"/>
  <c r="G44" i="58"/>
  <c r="E44" i="58"/>
  <c r="D44" i="58"/>
  <c r="P43" i="58"/>
  <c r="N43" i="58"/>
  <c r="M43" i="58"/>
  <c r="L43" i="58"/>
  <c r="K43" i="58"/>
  <c r="J43" i="58"/>
  <c r="I43" i="58"/>
  <c r="H43" i="58"/>
  <c r="G43" i="58"/>
  <c r="E43" i="58"/>
  <c r="D43" i="58"/>
  <c r="P42" i="58"/>
  <c r="N42" i="58"/>
  <c r="M42" i="58"/>
  <c r="L42" i="58"/>
  <c r="K42" i="58"/>
  <c r="J42" i="58"/>
  <c r="I42" i="58"/>
  <c r="H42" i="58"/>
  <c r="G42" i="58"/>
  <c r="E42" i="58"/>
  <c r="D42" i="58"/>
  <c r="P41" i="58"/>
  <c r="N41" i="58"/>
  <c r="M41" i="58"/>
  <c r="L41" i="58"/>
  <c r="K41" i="58"/>
  <c r="J41" i="58"/>
  <c r="I41" i="58"/>
  <c r="H41" i="58"/>
  <c r="G41" i="58"/>
  <c r="E41" i="58"/>
  <c r="D41" i="58"/>
  <c r="P40" i="58"/>
  <c r="N40" i="58"/>
  <c r="M40" i="58"/>
  <c r="L40" i="58"/>
  <c r="K40" i="58"/>
  <c r="J40" i="58"/>
  <c r="I40" i="58"/>
  <c r="H40" i="58"/>
  <c r="G40" i="58"/>
  <c r="E40" i="58"/>
  <c r="D40" i="58"/>
  <c r="P39" i="58"/>
  <c r="N39" i="58"/>
  <c r="M39" i="58"/>
  <c r="L39" i="58"/>
  <c r="K39" i="58"/>
  <c r="J39" i="58"/>
  <c r="I39" i="58"/>
  <c r="H39" i="58"/>
  <c r="G39" i="58"/>
  <c r="E39" i="58"/>
  <c r="D39" i="58"/>
  <c r="P38" i="58"/>
  <c r="N38" i="58"/>
  <c r="M38" i="58"/>
  <c r="L38" i="58"/>
  <c r="K38" i="58"/>
  <c r="J38" i="58"/>
  <c r="I38" i="58"/>
  <c r="H38" i="58"/>
  <c r="G38" i="58"/>
  <c r="E38" i="58"/>
  <c r="D38" i="58"/>
  <c r="P37" i="58"/>
  <c r="N37" i="58"/>
  <c r="M37" i="58"/>
  <c r="L37" i="58"/>
  <c r="K37" i="58"/>
  <c r="J37" i="58"/>
  <c r="I37" i="58"/>
  <c r="H37" i="58"/>
  <c r="G37" i="58"/>
  <c r="E37" i="58"/>
  <c r="D37" i="58"/>
  <c r="P36" i="58"/>
  <c r="N36" i="58"/>
  <c r="M36" i="58"/>
  <c r="L36" i="58"/>
  <c r="K36" i="58"/>
  <c r="J36" i="58"/>
  <c r="I36" i="58"/>
  <c r="H36" i="58"/>
  <c r="G36" i="58"/>
  <c r="E36" i="58"/>
  <c r="D36" i="58"/>
  <c r="P35" i="58"/>
  <c r="N35" i="58"/>
  <c r="M35" i="58"/>
  <c r="L35" i="58"/>
  <c r="K35" i="58"/>
  <c r="J35" i="58"/>
  <c r="I35" i="58"/>
  <c r="H35" i="58"/>
  <c r="G35" i="58"/>
  <c r="E35" i="58"/>
  <c r="D35" i="58"/>
  <c r="P34" i="58"/>
  <c r="N34" i="58"/>
  <c r="M34" i="58"/>
  <c r="L34" i="58"/>
  <c r="K34" i="58"/>
  <c r="J34" i="58"/>
  <c r="I34" i="58"/>
  <c r="H34" i="58"/>
  <c r="G34" i="58"/>
  <c r="E34" i="58"/>
  <c r="D34" i="58"/>
  <c r="P33" i="58"/>
  <c r="N33" i="58"/>
  <c r="M33" i="58"/>
  <c r="L33" i="58"/>
  <c r="K33" i="58"/>
  <c r="J33" i="58"/>
  <c r="I33" i="58"/>
  <c r="H33" i="58"/>
  <c r="G33" i="58"/>
  <c r="E33" i="58"/>
  <c r="D33" i="58"/>
  <c r="P32" i="58"/>
  <c r="N32" i="58"/>
  <c r="M32" i="58"/>
  <c r="L32" i="58"/>
  <c r="K32" i="58"/>
  <c r="J32" i="58"/>
  <c r="I32" i="58"/>
  <c r="H32" i="58"/>
  <c r="G32" i="58"/>
  <c r="E32" i="58"/>
  <c r="D32" i="58"/>
  <c r="P31" i="58"/>
  <c r="N31" i="58"/>
  <c r="M31" i="58"/>
  <c r="L31" i="58"/>
  <c r="K31" i="58"/>
  <c r="J31" i="58"/>
  <c r="I31" i="58"/>
  <c r="H31" i="58"/>
  <c r="G31" i="58"/>
  <c r="E31" i="58"/>
  <c r="D31" i="58"/>
  <c r="P30" i="58"/>
  <c r="N30" i="58"/>
  <c r="M30" i="58"/>
  <c r="L30" i="58"/>
  <c r="K30" i="58"/>
  <c r="J30" i="58"/>
  <c r="I30" i="58"/>
  <c r="H30" i="58"/>
  <c r="G30" i="58"/>
  <c r="E30" i="58"/>
  <c r="D30" i="58"/>
  <c r="P29" i="58"/>
  <c r="N29" i="58"/>
  <c r="M29" i="58"/>
  <c r="L29" i="58"/>
  <c r="K29" i="58"/>
  <c r="J29" i="58"/>
  <c r="I29" i="58"/>
  <c r="H29" i="58"/>
  <c r="G29" i="58"/>
  <c r="E29" i="58"/>
  <c r="D29" i="58"/>
  <c r="P28" i="58"/>
  <c r="N28" i="58"/>
  <c r="M28" i="58"/>
  <c r="L28" i="58"/>
  <c r="K28" i="58"/>
  <c r="J28" i="58"/>
  <c r="I28" i="58"/>
  <c r="H28" i="58"/>
  <c r="G28" i="58"/>
  <c r="E28" i="58"/>
  <c r="D28" i="58"/>
  <c r="P27" i="58"/>
  <c r="N27" i="58"/>
  <c r="M27" i="58"/>
  <c r="L27" i="58"/>
  <c r="K27" i="58"/>
  <c r="J27" i="58"/>
  <c r="I27" i="58"/>
  <c r="H27" i="58"/>
  <c r="G27" i="58"/>
  <c r="E27" i="58"/>
  <c r="D27" i="58"/>
  <c r="P26" i="58"/>
  <c r="N26" i="58"/>
  <c r="M26" i="58"/>
  <c r="L26" i="58"/>
  <c r="K26" i="58"/>
  <c r="J26" i="58"/>
  <c r="I26" i="58"/>
  <c r="H26" i="58"/>
  <c r="G26" i="58"/>
  <c r="E26" i="58"/>
  <c r="D26" i="58"/>
  <c r="P25" i="58"/>
  <c r="N25" i="58"/>
  <c r="M25" i="58"/>
  <c r="L25" i="58"/>
  <c r="K25" i="58"/>
  <c r="J25" i="58"/>
  <c r="I25" i="58"/>
  <c r="H25" i="58"/>
  <c r="G25" i="58"/>
  <c r="E25" i="58"/>
  <c r="D25" i="58"/>
  <c r="P24" i="58"/>
  <c r="N24" i="58"/>
  <c r="M24" i="58"/>
  <c r="L24" i="58"/>
  <c r="K24" i="58"/>
  <c r="J24" i="58"/>
  <c r="I24" i="58"/>
  <c r="H24" i="58"/>
  <c r="G24" i="58"/>
  <c r="E24" i="58"/>
  <c r="D24" i="58"/>
  <c r="P23" i="58"/>
  <c r="N23" i="58"/>
  <c r="M23" i="58"/>
  <c r="L23" i="58"/>
  <c r="K23" i="58"/>
  <c r="J23" i="58"/>
  <c r="I23" i="58"/>
  <c r="H23" i="58"/>
  <c r="G23" i="58"/>
  <c r="E23" i="58"/>
  <c r="D23" i="58"/>
  <c r="P22" i="58"/>
  <c r="N22" i="58"/>
  <c r="M22" i="58"/>
  <c r="L22" i="58"/>
  <c r="K22" i="58"/>
  <c r="J22" i="58"/>
  <c r="I22" i="58"/>
  <c r="H22" i="58"/>
  <c r="G22" i="58"/>
  <c r="E22" i="58"/>
  <c r="D22" i="58"/>
  <c r="N19" i="58"/>
  <c r="M19" i="58"/>
  <c r="L19" i="58"/>
  <c r="K19" i="58"/>
  <c r="J19" i="58"/>
  <c r="H19" i="58"/>
  <c r="G19" i="58"/>
  <c r="F19" i="58"/>
  <c r="E19" i="58"/>
  <c r="D19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P17" i="58"/>
  <c r="P16" i="58"/>
  <c r="P15" i="58"/>
  <c r="P14" i="58"/>
  <c r="N13" i="58"/>
  <c r="M13" i="58"/>
  <c r="L13" i="58"/>
  <c r="K13" i="58"/>
  <c r="J13" i="58"/>
  <c r="H13" i="58"/>
  <c r="G13" i="58"/>
  <c r="F13" i="58"/>
  <c r="E13" i="58"/>
  <c r="D13" i="58"/>
  <c r="N12" i="58"/>
  <c r="M12" i="58"/>
  <c r="L12" i="58"/>
  <c r="K12" i="58"/>
  <c r="J12" i="58"/>
  <c r="I12" i="58"/>
  <c r="H12" i="58"/>
  <c r="G12" i="58"/>
  <c r="F12" i="58"/>
  <c r="E12" i="58"/>
  <c r="D12" i="58"/>
  <c r="N11" i="58"/>
  <c r="M11" i="58"/>
  <c r="L11" i="58"/>
  <c r="K11" i="58"/>
  <c r="J11" i="58"/>
  <c r="I11" i="58"/>
  <c r="P11" i="58" s="1"/>
  <c r="H11" i="58"/>
  <c r="G11" i="58"/>
  <c r="F11" i="58"/>
  <c r="E11" i="58"/>
  <c r="D11" i="58"/>
  <c r="N10" i="58"/>
  <c r="M10" i="58"/>
  <c r="L10" i="58"/>
  <c r="K10" i="58"/>
  <c r="J10" i="58"/>
  <c r="I10" i="58"/>
  <c r="P10" i="58" s="1"/>
  <c r="H10" i="58"/>
  <c r="G10" i="58"/>
  <c r="F10" i="58"/>
  <c r="E10" i="58"/>
  <c r="D10" i="58"/>
  <c r="N9" i="58"/>
  <c r="M9" i="58"/>
  <c r="L9" i="58"/>
  <c r="K9" i="58"/>
  <c r="J9" i="58"/>
  <c r="I9" i="58"/>
  <c r="P9" i="58" s="1"/>
  <c r="H9" i="58"/>
  <c r="G9" i="58"/>
  <c r="F9" i="58"/>
  <c r="E9" i="58"/>
  <c r="D9" i="58"/>
  <c r="O8" i="58"/>
  <c r="O13" i="58" s="1"/>
  <c r="N8" i="58"/>
  <c r="M8" i="58"/>
  <c r="L8" i="58"/>
  <c r="K8" i="58"/>
  <c r="J8" i="58"/>
  <c r="H8" i="58"/>
  <c r="G8" i="58"/>
  <c r="F8" i="58"/>
  <c r="E8" i="58"/>
  <c r="D8" i="58"/>
  <c r="N144" i="59"/>
  <c r="G143" i="59"/>
  <c r="N139" i="59"/>
  <c r="M139" i="59"/>
  <c r="K139" i="59"/>
  <c r="J139" i="59"/>
  <c r="H139" i="59"/>
  <c r="G139" i="59"/>
  <c r="F139" i="59"/>
  <c r="D139" i="59"/>
  <c r="N136" i="59"/>
  <c r="M136" i="59"/>
  <c r="L136" i="59"/>
  <c r="K136" i="59"/>
  <c r="J136" i="59"/>
  <c r="H136" i="59"/>
  <c r="G136" i="59"/>
  <c r="F136" i="59"/>
  <c r="E136" i="59"/>
  <c r="D136" i="59"/>
  <c r="O134" i="59"/>
  <c r="N134" i="59"/>
  <c r="M134" i="59"/>
  <c r="K134" i="59"/>
  <c r="J134" i="59"/>
  <c r="I134" i="59"/>
  <c r="H134" i="59"/>
  <c r="G134" i="59"/>
  <c r="F134" i="59"/>
  <c r="D134" i="59"/>
  <c r="M133" i="59"/>
  <c r="L133" i="59"/>
  <c r="K133" i="59"/>
  <c r="J133" i="59"/>
  <c r="N132" i="59"/>
  <c r="M132" i="59"/>
  <c r="L132" i="59"/>
  <c r="K132" i="59"/>
  <c r="J132" i="59"/>
  <c r="I132" i="59"/>
  <c r="H132" i="59"/>
  <c r="G132" i="59"/>
  <c r="E132" i="59"/>
  <c r="E134" i="59" s="1"/>
  <c r="E139" i="59" s="1"/>
  <c r="D132" i="59"/>
  <c r="N131" i="59"/>
  <c r="M131" i="59"/>
  <c r="L131" i="59"/>
  <c r="P131" i="59" s="1"/>
  <c r="K131" i="59"/>
  <c r="J131" i="59"/>
  <c r="I131" i="59"/>
  <c r="H131" i="59"/>
  <c r="G131" i="59"/>
  <c r="E131" i="59"/>
  <c r="D131" i="59"/>
  <c r="P130" i="59"/>
  <c r="N130" i="59"/>
  <c r="M130" i="59"/>
  <c r="L130" i="59"/>
  <c r="K130" i="59"/>
  <c r="J130" i="59"/>
  <c r="I130" i="59"/>
  <c r="H130" i="59"/>
  <c r="G130" i="59"/>
  <c r="E130" i="59"/>
  <c r="D130" i="59"/>
  <c r="P129" i="59"/>
  <c r="N129" i="59"/>
  <c r="M129" i="59"/>
  <c r="L129" i="59"/>
  <c r="K129" i="59"/>
  <c r="J129" i="59"/>
  <c r="I129" i="59"/>
  <c r="H129" i="59"/>
  <c r="G129" i="59"/>
  <c r="E129" i="59"/>
  <c r="D129" i="59"/>
  <c r="P128" i="59"/>
  <c r="N128" i="59"/>
  <c r="M128" i="59"/>
  <c r="L128" i="59"/>
  <c r="K128" i="59"/>
  <c r="J128" i="59"/>
  <c r="I128" i="59"/>
  <c r="H128" i="59"/>
  <c r="G128" i="59"/>
  <c r="E128" i="59"/>
  <c r="D128" i="59"/>
  <c r="P127" i="59"/>
  <c r="N127" i="59"/>
  <c r="M127" i="59"/>
  <c r="L127" i="59"/>
  <c r="K127" i="59"/>
  <c r="J127" i="59"/>
  <c r="I127" i="59"/>
  <c r="H127" i="59"/>
  <c r="G127" i="59"/>
  <c r="E127" i="59"/>
  <c r="D127" i="59"/>
  <c r="P126" i="59"/>
  <c r="N126" i="59"/>
  <c r="M126" i="59"/>
  <c r="L126" i="59"/>
  <c r="K126" i="59"/>
  <c r="J126" i="59"/>
  <c r="I126" i="59"/>
  <c r="H126" i="59"/>
  <c r="G126" i="59"/>
  <c r="E126" i="59"/>
  <c r="D126" i="59"/>
  <c r="P125" i="59"/>
  <c r="N125" i="59"/>
  <c r="M125" i="59"/>
  <c r="L125" i="59"/>
  <c r="K125" i="59"/>
  <c r="J125" i="59"/>
  <c r="I125" i="59"/>
  <c r="H125" i="59"/>
  <c r="G125" i="59"/>
  <c r="E125" i="59"/>
  <c r="D125" i="59"/>
  <c r="P124" i="59"/>
  <c r="N124" i="59"/>
  <c r="M124" i="59"/>
  <c r="L124" i="59"/>
  <c r="K124" i="59"/>
  <c r="J124" i="59"/>
  <c r="I124" i="59"/>
  <c r="H124" i="59"/>
  <c r="G124" i="59"/>
  <c r="E124" i="59"/>
  <c r="D124" i="59"/>
  <c r="P123" i="59"/>
  <c r="N123" i="59"/>
  <c r="M123" i="59"/>
  <c r="L123" i="59"/>
  <c r="K123" i="59"/>
  <c r="J123" i="59"/>
  <c r="I123" i="59"/>
  <c r="H123" i="59"/>
  <c r="G123" i="59"/>
  <c r="E123" i="59"/>
  <c r="D123" i="59"/>
  <c r="P122" i="59"/>
  <c r="N122" i="59"/>
  <c r="M122" i="59"/>
  <c r="L122" i="59"/>
  <c r="K122" i="59"/>
  <c r="J122" i="59"/>
  <c r="I122" i="59"/>
  <c r="H122" i="59"/>
  <c r="G122" i="59"/>
  <c r="E122" i="59"/>
  <c r="D122" i="59"/>
  <c r="P121" i="59"/>
  <c r="N121" i="59"/>
  <c r="M121" i="59"/>
  <c r="L121" i="59"/>
  <c r="K121" i="59"/>
  <c r="J121" i="59"/>
  <c r="I121" i="59"/>
  <c r="H121" i="59"/>
  <c r="G121" i="59"/>
  <c r="E121" i="59"/>
  <c r="D121" i="59"/>
  <c r="P120" i="59"/>
  <c r="N120" i="59"/>
  <c r="M120" i="59"/>
  <c r="L120" i="59"/>
  <c r="K120" i="59"/>
  <c r="J120" i="59"/>
  <c r="I120" i="59"/>
  <c r="H120" i="59"/>
  <c r="G120" i="59"/>
  <c r="E120" i="59"/>
  <c r="D120" i="59"/>
  <c r="P119" i="59"/>
  <c r="N119" i="59"/>
  <c r="M119" i="59"/>
  <c r="L119" i="59"/>
  <c r="K119" i="59"/>
  <c r="J119" i="59"/>
  <c r="I119" i="59"/>
  <c r="H119" i="59"/>
  <c r="G119" i="59"/>
  <c r="E119" i="59"/>
  <c r="D119" i="59"/>
  <c r="P118" i="59"/>
  <c r="N118" i="59"/>
  <c r="M118" i="59"/>
  <c r="L118" i="59"/>
  <c r="K118" i="59"/>
  <c r="J118" i="59"/>
  <c r="I118" i="59"/>
  <c r="H118" i="59"/>
  <c r="G118" i="59"/>
  <c r="E118" i="59"/>
  <c r="D118" i="59"/>
  <c r="P117" i="59"/>
  <c r="N117" i="59"/>
  <c r="M117" i="59"/>
  <c r="L117" i="59"/>
  <c r="K117" i="59"/>
  <c r="J117" i="59"/>
  <c r="I117" i="59"/>
  <c r="H117" i="59"/>
  <c r="G117" i="59"/>
  <c r="E117" i="59"/>
  <c r="D117" i="59"/>
  <c r="P116" i="59"/>
  <c r="N116" i="59"/>
  <c r="M116" i="59"/>
  <c r="L116" i="59"/>
  <c r="K116" i="59"/>
  <c r="J116" i="59"/>
  <c r="I116" i="59"/>
  <c r="H116" i="59"/>
  <c r="G116" i="59"/>
  <c r="E116" i="59"/>
  <c r="D116" i="59"/>
  <c r="P115" i="59"/>
  <c r="N115" i="59"/>
  <c r="M115" i="59"/>
  <c r="L115" i="59"/>
  <c r="K115" i="59"/>
  <c r="J115" i="59"/>
  <c r="I115" i="59"/>
  <c r="H115" i="59"/>
  <c r="G115" i="59"/>
  <c r="E115" i="59"/>
  <c r="D115" i="59"/>
  <c r="P114" i="59"/>
  <c r="N114" i="59"/>
  <c r="M114" i="59"/>
  <c r="L114" i="59"/>
  <c r="K114" i="59"/>
  <c r="J114" i="59"/>
  <c r="I114" i="59"/>
  <c r="H114" i="59"/>
  <c r="G114" i="59"/>
  <c r="E114" i="59"/>
  <c r="D114" i="59"/>
  <c r="P113" i="59"/>
  <c r="N113" i="59"/>
  <c r="M113" i="59"/>
  <c r="L113" i="59"/>
  <c r="K113" i="59"/>
  <c r="J113" i="59"/>
  <c r="I113" i="59"/>
  <c r="H113" i="59"/>
  <c r="G113" i="59"/>
  <c r="E113" i="59"/>
  <c r="D113" i="59"/>
  <c r="P112" i="59"/>
  <c r="N112" i="59"/>
  <c r="M112" i="59"/>
  <c r="L112" i="59"/>
  <c r="K112" i="59"/>
  <c r="J112" i="59"/>
  <c r="I112" i="59"/>
  <c r="H112" i="59"/>
  <c r="G112" i="59"/>
  <c r="E112" i="59"/>
  <c r="D112" i="59"/>
  <c r="P111" i="59"/>
  <c r="N111" i="59"/>
  <c r="M111" i="59"/>
  <c r="L111" i="59"/>
  <c r="K111" i="59"/>
  <c r="J111" i="59"/>
  <c r="I111" i="59"/>
  <c r="H111" i="59"/>
  <c r="G111" i="59"/>
  <c r="E111" i="59"/>
  <c r="D111" i="59"/>
  <c r="P110" i="59"/>
  <c r="N110" i="59"/>
  <c r="M110" i="59"/>
  <c r="L110" i="59"/>
  <c r="K110" i="59"/>
  <c r="J110" i="59"/>
  <c r="H110" i="59"/>
  <c r="G110" i="59"/>
  <c r="E110" i="59"/>
  <c r="D110" i="59"/>
  <c r="P109" i="59"/>
  <c r="N109" i="59"/>
  <c r="M109" i="59"/>
  <c r="L109" i="59"/>
  <c r="K109" i="59"/>
  <c r="J109" i="59"/>
  <c r="I109" i="59"/>
  <c r="H109" i="59"/>
  <c r="G109" i="59"/>
  <c r="E109" i="59"/>
  <c r="D109" i="59"/>
  <c r="P108" i="59"/>
  <c r="N108" i="59"/>
  <c r="M108" i="59"/>
  <c r="L108" i="59"/>
  <c r="K108" i="59"/>
  <c r="J108" i="59"/>
  <c r="I108" i="59"/>
  <c r="H108" i="59"/>
  <c r="G108" i="59"/>
  <c r="E108" i="59"/>
  <c r="D108" i="59"/>
  <c r="P107" i="59"/>
  <c r="N107" i="59"/>
  <c r="M107" i="59"/>
  <c r="L107" i="59"/>
  <c r="K107" i="59"/>
  <c r="J107" i="59"/>
  <c r="I107" i="59"/>
  <c r="H107" i="59"/>
  <c r="G107" i="59"/>
  <c r="E107" i="59"/>
  <c r="D107" i="59"/>
  <c r="P106" i="59"/>
  <c r="N106" i="59"/>
  <c r="M106" i="59"/>
  <c r="L106" i="59"/>
  <c r="K106" i="59"/>
  <c r="J106" i="59"/>
  <c r="I106" i="59"/>
  <c r="H106" i="59"/>
  <c r="G106" i="59"/>
  <c r="E106" i="59"/>
  <c r="D106" i="59"/>
  <c r="P105" i="59"/>
  <c r="N105" i="59"/>
  <c r="M105" i="59"/>
  <c r="L105" i="59"/>
  <c r="K105" i="59"/>
  <c r="J105" i="59"/>
  <c r="I105" i="59"/>
  <c r="H105" i="59"/>
  <c r="G105" i="59"/>
  <c r="E105" i="59"/>
  <c r="D105" i="59"/>
  <c r="P104" i="59"/>
  <c r="N104" i="59"/>
  <c r="M104" i="59"/>
  <c r="L104" i="59"/>
  <c r="K104" i="59"/>
  <c r="J104" i="59"/>
  <c r="I104" i="59"/>
  <c r="H104" i="59"/>
  <c r="G104" i="59"/>
  <c r="E104" i="59"/>
  <c r="D104" i="59"/>
  <c r="P103" i="59"/>
  <c r="N103" i="59"/>
  <c r="M103" i="59"/>
  <c r="L103" i="59"/>
  <c r="K103" i="59"/>
  <c r="J103" i="59"/>
  <c r="I103" i="59"/>
  <c r="H103" i="59"/>
  <c r="G103" i="59"/>
  <c r="E103" i="59"/>
  <c r="D103" i="59"/>
  <c r="P102" i="59"/>
  <c r="N102" i="59"/>
  <c r="M102" i="59"/>
  <c r="L102" i="59"/>
  <c r="K102" i="59"/>
  <c r="J102" i="59"/>
  <c r="I102" i="59"/>
  <c r="H102" i="59"/>
  <c r="G102" i="59"/>
  <c r="E102" i="59"/>
  <c r="D102" i="59"/>
  <c r="P101" i="59"/>
  <c r="N101" i="59"/>
  <c r="M101" i="59"/>
  <c r="L101" i="59"/>
  <c r="K101" i="59"/>
  <c r="J101" i="59"/>
  <c r="I101" i="59"/>
  <c r="H101" i="59"/>
  <c r="G101" i="59"/>
  <c r="E101" i="59"/>
  <c r="D101" i="59"/>
  <c r="P100" i="59"/>
  <c r="N100" i="59"/>
  <c r="M100" i="59"/>
  <c r="L100" i="59"/>
  <c r="K100" i="59"/>
  <c r="J100" i="59"/>
  <c r="I100" i="59"/>
  <c r="H100" i="59"/>
  <c r="G100" i="59"/>
  <c r="E100" i="59"/>
  <c r="D100" i="59"/>
  <c r="P99" i="59"/>
  <c r="N99" i="59"/>
  <c r="M99" i="59"/>
  <c r="L99" i="59"/>
  <c r="K99" i="59"/>
  <c r="J99" i="59"/>
  <c r="I99" i="59"/>
  <c r="H99" i="59"/>
  <c r="G99" i="59"/>
  <c r="E99" i="59"/>
  <c r="D99" i="59"/>
  <c r="P98" i="59"/>
  <c r="N98" i="59"/>
  <c r="M98" i="59"/>
  <c r="L98" i="59"/>
  <c r="K98" i="59"/>
  <c r="J98" i="59"/>
  <c r="I98" i="59"/>
  <c r="H98" i="59"/>
  <c r="G98" i="59"/>
  <c r="E98" i="59"/>
  <c r="D98" i="59"/>
  <c r="P97" i="59"/>
  <c r="N97" i="59"/>
  <c r="M97" i="59"/>
  <c r="L97" i="59"/>
  <c r="K97" i="59"/>
  <c r="J97" i="59"/>
  <c r="I97" i="59"/>
  <c r="H97" i="59"/>
  <c r="G97" i="59"/>
  <c r="E97" i="59"/>
  <c r="D97" i="59"/>
  <c r="P96" i="59"/>
  <c r="N96" i="59"/>
  <c r="M96" i="59"/>
  <c r="L96" i="59"/>
  <c r="K96" i="59"/>
  <c r="J96" i="59"/>
  <c r="I96" i="59"/>
  <c r="H96" i="59"/>
  <c r="G96" i="59"/>
  <c r="E96" i="59"/>
  <c r="D96" i="59"/>
  <c r="P95" i="59"/>
  <c r="N95" i="59"/>
  <c r="M95" i="59"/>
  <c r="L95" i="59"/>
  <c r="K95" i="59"/>
  <c r="J95" i="59"/>
  <c r="I95" i="59"/>
  <c r="H95" i="59"/>
  <c r="G95" i="59"/>
  <c r="E95" i="59"/>
  <c r="D95" i="59"/>
  <c r="P94" i="59"/>
  <c r="N94" i="59"/>
  <c r="M94" i="59"/>
  <c r="L94" i="59"/>
  <c r="K94" i="59"/>
  <c r="J94" i="59"/>
  <c r="I94" i="59"/>
  <c r="H94" i="59"/>
  <c r="G94" i="59"/>
  <c r="E94" i="59"/>
  <c r="D94" i="59"/>
  <c r="P93" i="59"/>
  <c r="N93" i="59"/>
  <c r="M93" i="59"/>
  <c r="L93" i="59"/>
  <c r="K93" i="59"/>
  <c r="J93" i="59"/>
  <c r="I93" i="59"/>
  <c r="H93" i="59"/>
  <c r="G93" i="59"/>
  <c r="E93" i="59"/>
  <c r="D93" i="59"/>
  <c r="P92" i="59"/>
  <c r="N92" i="59"/>
  <c r="M92" i="59"/>
  <c r="L92" i="59"/>
  <c r="K92" i="59"/>
  <c r="J92" i="59"/>
  <c r="I92" i="59"/>
  <c r="H92" i="59"/>
  <c r="G92" i="59"/>
  <c r="E92" i="59"/>
  <c r="D92" i="59"/>
  <c r="P91" i="59"/>
  <c r="N91" i="59"/>
  <c r="M91" i="59"/>
  <c r="L91" i="59"/>
  <c r="K91" i="59"/>
  <c r="J91" i="59"/>
  <c r="I91" i="59"/>
  <c r="H91" i="59"/>
  <c r="G91" i="59"/>
  <c r="E91" i="59"/>
  <c r="D91" i="59"/>
  <c r="P90" i="59"/>
  <c r="N90" i="59"/>
  <c r="M90" i="59"/>
  <c r="L90" i="59"/>
  <c r="K90" i="59"/>
  <c r="J90" i="59"/>
  <c r="I90" i="59"/>
  <c r="H90" i="59"/>
  <c r="G90" i="59"/>
  <c r="E90" i="59"/>
  <c r="D90" i="59"/>
  <c r="P89" i="59"/>
  <c r="N89" i="59"/>
  <c r="M89" i="59"/>
  <c r="L89" i="59"/>
  <c r="K89" i="59"/>
  <c r="J89" i="59"/>
  <c r="I89" i="59"/>
  <c r="H89" i="59"/>
  <c r="G89" i="59"/>
  <c r="E89" i="59"/>
  <c r="D89" i="59"/>
  <c r="P88" i="59"/>
  <c r="N88" i="59"/>
  <c r="M88" i="59"/>
  <c r="L88" i="59"/>
  <c r="K88" i="59"/>
  <c r="J88" i="59"/>
  <c r="I88" i="59"/>
  <c r="H88" i="59"/>
  <c r="G88" i="59"/>
  <c r="E88" i="59"/>
  <c r="D88" i="59"/>
  <c r="P87" i="59"/>
  <c r="N87" i="59"/>
  <c r="M87" i="59"/>
  <c r="L87" i="59"/>
  <c r="K87" i="59"/>
  <c r="J87" i="59"/>
  <c r="I87" i="59"/>
  <c r="H87" i="59"/>
  <c r="G87" i="59"/>
  <c r="E87" i="59"/>
  <c r="D87" i="59"/>
  <c r="P86" i="59"/>
  <c r="N86" i="59"/>
  <c r="M86" i="59"/>
  <c r="L86" i="59"/>
  <c r="K86" i="59"/>
  <c r="J86" i="59"/>
  <c r="I86" i="59"/>
  <c r="H86" i="59"/>
  <c r="G86" i="59"/>
  <c r="E86" i="59"/>
  <c r="D86" i="59"/>
  <c r="P85" i="59"/>
  <c r="N85" i="59"/>
  <c r="M85" i="59"/>
  <c r="L85" i="59"/>
  <c r="K85" i="59"/>
  <c r="J85" i="59"/>
  <c r="I85" i="59"/>
  <c r="H85" i="59"/>
  <c r="G85" i="59"/>
  <c r="E85" i="59"/>
  <c r="D85" i="59"/>
  <c r="P84" i="59"/>
  <c r="N84" i="59"/>
  <c r="M84" i="59"/>
  <c r="L84" i="59"/>
  <c r="K84" i="59"/>
  <c r="J84" i="59"/>
  <c r="I84" i="59"/>
  <c r="H84" i="59"/>
  <c r="G84" i="59"/>
  <c r="E84" i="59"/>
  <c r="D84" i="59"/>
  <c r="P83" i="59"/>
  <c r="N83" i="59"/>
  <c r="M83" i="59"/>
  <c r="L83" i="59"/>
  <c r="K83" i="59"/>
  <c r="J83" i="59"/>
  <c r="I83" i="59"/>
  <c r="H83" i="59"/>
  <c r="G83" i="59"/>
  <c r="E83" i="59"/>
  <c r="D83" i="59"/>
  <c r="P82" i="59"/>
  <c r="N82" i="59"/>
  <c r="M82" i="59"/>
  <c r="L82" i="59"/>
  <c r="K82" i="59"/>
  <c r="J82" i="59"/>
  <c r="I82" i="59"/>
  <c r="H82" i="59"/>
  <c r="G82" i="59"/>
  <c r="E82" i="59"/>
  <c r="D82" i="59"/>
  <c r="P81" i="59"/>
  <c r="N81" i="59"/>
  <c r="M81" i="59"/>
  <c r="L81" i="59"/>
  <c r="K81" i="59"/>
  <c r="J81" i="59"/>
  <c r="I81" i="59"/>
  <c r="H81" i="59"/>
  <c r="G81" i="59"/>
  <c r="E81" i="59"/>
  <c r="D81" i="59"/>
  <c r="P80" i="59"/>
  <c r="N80" i="59"/>
  <c r="M80" i="59"/>
  <c r="L80" i="59"/>
  <c r="K80" i="59"/>
  <c r="J80" i="59"/>
  <c r="I80" i="59"/>
  <c r="H80" i="59"/>
  <c r="G80" i="59"/>
  <c r="E80" i="59"/>
  <c r="D80" i="59"/>
  <c r="P79" i="59"/>
  <c r="N79" i="59"/>
  <c r="M79" i="59"/>
  <c r="L79" i="59"/>
  <c r="K79" i="59"/>
  <c r="J79" i="59"/>
  <c r="I79" i="59"/>
  <c r="H79" i="59"/>
  <c r="G79" i="59"/>
  <c r="E79" i="59"/>
  <c r="D79" i="59"/>
  <c r="P78" i="59"/>
  <c r="N78" i="59"/>
  <c r="M78" i="59"/>
  <c r="L78" i="59"/>
  <c r="K78" i="59"/>
  <c r="J78" i="59"/>
  <c r="I78" i="59"/>
  <c r="H78" i="59"/>
  <c r="G78" i="59"/>
  <c r="E78" i="59"/>
  <c r="D78" i="59"/>
  <c r="P77" i="59"/>
  <c r="N77" i="59"/>
  <c r="M77" i="59"/>
  <c r="L77" i="59"/>
  <c r="K77" i="59"/>
  <c r="J77" i="59"/>
  <c r="I77" i="59"/>
  <c r="H77" i="59"/>
  <c r="G77" i="59"/>
  <c r="E77" i="59"/>
  <c r="D77" i="59"/>
  <c r="P76" i="59"/>
  <c r="N76" i="59"/>
  <c r="M76" i="59"/>
  <c r="L76" i="59"/>
  <c r="K76" i="59"/>
  <c r="J76" i="59"/>
  <c r="I76" i="59"/>
  <c r="H76" i="59"/>
  <c r="G76" i="59"/>
  <c r="E76" i="59"/>
  <c r="D76" i="59"/>
  <c r="P75" i="59"/>
  <c r="N75" i="59"/>
  <c r="M75" i="59"/>
  <c r="L75" i="59"/>
  <c r="K75" i="59"/>
  <c r="J75" i="59"/>
  <c r="I75" i="59"/>
  <c r="H75" i="59"/>
  <c r="G75" i="59"/>
  <c r="E75" i="59"/>
  <c r="D75" i="59"/>
  <c r="P74" i="59"/>
  <c r="N74" i="59"/>
  <c r="M74" i="59"/>
  <c r="L74" i="59"/>
  <c r="K74" i="59"/>
  <c r="J74" i="59"/>
  <c r="I74" i="59"/>
  <c r="H74" i="59"/>
  <c r="G74" i="59"/>
  <c r="E74" i="59"/>
  <c r="D74" i="59"/>
  <c r="P73" i="59"/>
  <c r="N73" i="59"/>
  <c r="M73" i="59"/>
  <c r="L73" i="59"/>
  <c r="K73" i="59"/>
  <c r="J73" i="59"/>
  <c r="I73" i="59"/>
  <c r="H73" i="59"/>
  <c r="G73" i="59"/>
  <c r="E73" i="59"/>
  <c r="D73" i="59"/>
  <c r="P72" i="59"/>
  <c r="N72" i="59"/>
  <c r="M72" i="59"/>
  <c r="L72" i="59"/>
  <c r="K72" i="59"/>
  <c r="J72" i="59"/>
  <c r="I72" i="59"/>
  <c r="H72" i="59"/>
  <c r="G72" i="59"/>
  <c r="E72" i="59"/>
  <c r="D72" i="59"/>
  <c r="P71" i="59"/>
  <c r="N71" i="59"/>
  <c r="M71" i="59"/>
  <c r="L71" i="59"/>
  <c r="K71" i="59"/>
  <c r="J71" i="59"/>
  <c r="I71" i="59"/>
  <c r="H71" i="59"/>
  <c r="G71" i="59"/>
  <c r="E71" i="59"/>
  <c r="D71" i="59"/>
  <c r="P70" i="59"/>
  <c r="N70" i="59"/>
  <c r="M70" i="59"/>
  <c r="L70" i="59"/>
  <c r="K70" i="59"/>
  <c r="J70" i="59"/>
  <c r="I70" i="59"/>
  <c r="H70" i="59"/>
  <c r="G70" i="59"/>
  <c r="E70" i="59"/>
  <c r="D70" i="59"/>
  <c r="P69" i="59"/>
  <c r="N69" i="59"/>
  <c r="M69" i="59"/>
  <c r="L69" i="59"/>
  <c r="K69" i="59"/>
  <c r="J69" i="59"/>
  <c r="I69" i="59"/>
  <c r="H69" i="59"/>
  <c r="G69" i="59"/>
  <c r="E69" i="59"/>
  <c r="D69" i="59"/>
  <c r="P68" i="59"/>
  <c r="N68" i="59"/>
  <c r="M68" i="59"/>
  <c r="L68" i="59"/>
  <c r="K68" i="59"/>
  <c r="J68" i="59"/>
  <c r="I68" i="59"/>
  <c r="H68" i="59"/>
  <c r="G68" i="59"/>
  <c r="E68" i="59"/>
  <c r="D68" i="59"/>
  <c r="P67" i="59"/>
  <c r="N67" i="59"/>
  <c r="M67" i="59"/>
  <c r="L67" i="59"/>
  <c r="K67" i="59"/>
  <c r="J67" i="59"/>
  <c r="I67" i="59"/>
  <c r="H67" i="59"/>
  <c r="G67" i="59"/>
  <c r="E67" i="59"/>
  <c r="D67" i="59"/>
  <c r="P66" i="59"/>
  <c r="N66" i="59"/>
  <c r="M66" i="59"/>
  <c r="L66" i="59"/>
  <c r="K66" i="59"/>
  <c r="J66" i="59"/>
  <c r="I66" i="59"/>
  <c r="H66" i="59"/>
  <c r="G66" i="59"/>
  <c r="E66" i="59"/>
  <c r="D66" i="59"/>
  <c r="P65" i="59"/>
  <c r="N65" i="59"/>
  <c r="M65" i="59"/>
  <c r="L65" i="59"/>
  <c r="K65" i="59"/>
  <c r="J65" i="59"/>
  <c r="I65" i="59"/>
  <c r="H65" i="59"/>
  <c r="G65" i="59"/>
  <c r="E65" i="59"/>
  <c r="D65" i="59"/>
  <c r="P64" i="59"/>
  <c r="N64" i="59"/>
  <c r="M64" i="59"/>
  <c r="L64" i="59"/>
  <c r="K64" i="59"/>
  <c r="J64" i="59"/>
  <c r="I64" i="59"/>
  <c r="H64" i="59"/>
  <c r="G64" i="59"/>
  <c r="E64" i="59"/>
  <c r="D64" i="59"/>
  <c r="P63" i="59"/>
  <c r="N63" i="59"/>
  <c r="M63" i="59"/>
  <c r="L63" i="59"/>
  <c r="K63" i="59"/>
  <c r="J63" i="59"/>
  <c r="I63" i="59"/>
  <c r="H63" i="59"/>
  <c r="G63" i="59"/>
  <c r="E63" i="59"/>
  <c r="D63" i="59"/>
  <c r="P62" i="59"/>
  <c r="N62" i="59"/>
  <c r="M62" i="59"/>
  <c r="L62" i="59"/>
  <c r="K62" i="59"/>
  <c r="J62" i="59"/>
  <c r="I62" i="59"/>
  <c r="H62" i="59"/>
  <c r="G62" i="59"/>
  <c r="E62" i="59"/>
  <c r="D62" i="59"/>
  <c r="P61" i="59"/>
  <c r="N61" i="59"/>
  <c r="M61" i="59"/>
  <c r="L61" i="59"/>
  <c r="K61" i="59"/>
  <c r="J61" i="59"/>
  <c r="I61" i="59"/>
  <c r="H61" i="59"/>
  <c r="G61" i="59"/>
  <c r="E61" i="59"/>
  <c r="D61" i="59"/>
  <c r="P60" i="59"/>
  <c r="N60" i="59"/>
  <c r="M60" i="59"/>
  <c r="L60" i="59"/>
  <c r="K60" i="59"/>
  <c r="J60" i="59"/>
  <c r="I60" i="59"/>
  <c r="H60" i="59"/>
  <c r="G60" i="59"/>
  <c r="E60" i="59"/>
  <c r="D60" i="59"/>
  <c r="P59" i="59"/>
  <c r="N59" i="59"/>
  <c r="M59" i="59"/>
  <c r="L59" i="59"/>
  <c r="K59" i="59"/>
  <c r="J59" i="59"/>
  <c r="I59" i="59"/>
  <c r="H59" i="59"/>
  <c r="G59" i="59"/>
  <c r="E59" i="59"/>
  <c r="D59" i="59"/>
  <c r="P58" i="59"/>
  <c r="N58" i="59"/>
  <c r="M58" i="59"/>
  <c r="L58" i="59"/>
  <c r="K58" i="59"/>
  <c r="J58" i="59"/>
  <c r="I58" i="59"/>
  <c r="H58" i="59"/>
  <c r="G58" i="59"/>
  <c r="E58" i="59"/>
  <c r="D58" i="59"/>
  <c r="P57" i="59"/>
  <c r="N57" i="59"/>
  <c r="M57" i="59"/>
  <c r="L57" i="59"/>
  <c r="K57" i="59"/>
  <c r="J57" i="59"/>
  <c r="I57" i="59"/>
  <c r="H57" i="59"/>
  <c r="G57" i="59"/>
  <c r="E57" i="59"/>
  <c r="D57" i="59"/>
  <c r="P56" i="59"/>
  <c r="N56" i="59"/>
  <c r="M56" i="59"/>
  <c r="L56" i="59"/>
  <c r="K56" i="59"/>
  <c r="J56" i="59"/>
  <c r="I56" i="59"/>
  <c r="H56" i="59"/>
  <c r="G56" i="59"/>
  <c r="E56" i="59"/>
  <c r="D56" i="59"/>
  <c r="P55" i="59"/>
  <c r="N55" i="59"/>
  <c r="M55" i="59"/>
  <c r="L55" i="59"/>
  <c r="K55" i="59"/>
  <c r="J55" i="59"/>
  <c r="I55" i="59"/>
  <c r="H55" i="59"/>
  <c r="G55" i="59"/>
  <c r="E55" i="59"/>
  <c r="D55" i="59"/>
  <c r="P54" i="59"/>
  <c r="N54" i="59"/>
  <c r="M54" i="59"/>
  <c r="L54" i="59"/>
  <c r="K54" i="59"/>
  <c r="J54" i="59"/>
  <c r="I54" i="59"/>
  <c r="H54" i="59"/>
  <c r="G54" i="59"/>
  <c r="E54" i="59"/>
  <c r="D54" i="59"/>
  <c r="P53" i="59"/>
  <c r="N53" i="59"/>
  <c r="M53" i="59"/>
  <c r="L53" i="59"/>
  <c r="K53" i="59"/>
  <c r="J53" i="59"/>
  <c r="I53" i="59"/>
  <c r="H53" i="59"/>
  <c r="G53" i="59"/>
  <c r="E53" i="59"/>
  <c r="D53" i="59"/>
  <c r="P52" i="59"/>
  <c r="N52" i="59"/>
  <c r="M52" i="59"/>
  <c r="L52" i="59"/>
  <c r="K52" i="59"/>
  <c r="J52" i="59"/>
  <c r="I52" i="59"/>
  <c r="H52" i="59"/>
  <c r="G52" i="59"/>
  <c r="E52" i="59"/>
  <c r="D52" i="59"/>
  <c r="P51" i="59"/>
  <c r="N51" i="59"/>
  <c r="M51" i="59"/>
  <c r="L51" i="59"/>
  <c r="K51" i="59"/>
  <c r="J51" i="59"/>
  <c r="I51" i="59"/>
  <c r="H51" i="59"/>
  <c r="G51" i="59"/>
  <c r="E51" i="59"/>
  <c r="D51" i="59"/>
  <c r="P50" i="59"/>
  <c r="N50" i="59"/>
  <c r="M50" i="59"/>
  <c r="L50" i="59"/>
  <c r="K50" i="59"/>
  <c r="J50" i="59"/>
  <c r="I50" i="59"/>
  <c r="H50" i="59"/>
  <c r="G50" i="59"/>
  <c r="E50" i="59"/>
  <c r="D50" i="59"/>
  <c r="P49" i="59"/>
  <c r="N49" i="59"/>
  <c r="M49" i="59"/>
  <c r="L49" i="59"/>
  <c r="K49" i="59"/>
  <c r="J49" i="59"/>
  <c r="I49" i="59"/>
  <c r="H49" i="59"/>
  <c r="G49" i="59"/>
  <c r="E49" i="59"/>
  <c r="D49" i="59"/>
  <c r="P48" i="59"/>
  <c r="N48" i="59"/>
  <c r="M48" i="59"/>
  <c r="L48" i="59"/>
  <c r="K48" i="59"/>
  <c r="J48" i="59"/>
  <c r="I48" i="59"/>
  <c r="H48" i="59"/>
  <c r="G48" i="59"/>
  <c r="E48" i="59"/>
  <c r="D48" i="59"/>
  <c r="P47" i="59"/>
  <c r="N47" i="59"/>
  <c r="M47" i="59"/>
  <c r="L47" i="59"/>
  <c r="K47" i="59"/>
  <c r="J47" i="59"/>
  <c r="I47" i="59"/>
  <c r="H47" i="59"/>
  <c r="G47" i="59"/>
  <c r="E47" i="59"/>
  <c r="D47" i="59"/>
  <c r="P46" i="59"/>
  <c r="N46" i="59"/>
  <c r="M46" i="59"/>
  <c r="L46" i="59"/>
  <c r="K46" i="59"/>
  <c r="J46" i="59"/>
  <c r="I46" i="59"/>
  <c r="H46" i="59"/>
  <c r="G46" i="59"/>
  <c r="E46" i="59"/>
  <c r="D46" i="59"/>
  <c r="P45" i="59"/>
  <c r="N45" i="59"/>
  <c r="M45" i="59"/>
  <c r="L45" i="59"/>
  <c r="K45" i="59"/>
  <c r="J45" i="59"/>
  <c r="I45" i="59"/>
  <c r="H45" i="59"/>
  <c r="G45" i="59"/>
  <c r="E45" i="59"/>
  <c r="D45" i="59"/>
  <c r="P44" i="59"/>
  <c r="N44" i="59"/>
  <c r="M44" i="59"/>
  <c r="L44" i="59"/>
  <c r="K44" i="59"/>
  <c r="J44" i="59"/>
  <c r="I44" i="59"/>
  <c r="H44" i="59"/>
  <c r="G44" i="59"/>
  <c r="E44" i="59"/>
  <c r="D44" i="59"/>
  <c r="P43" i="59"/>
  <c r="N43" i="59"/>
  <c r="M43" i="59"/>
  <c r="L43" i="59"/>
  <c r="K43" i="59"/>
  <c r="J43" i="59"/>
  <c r="I43" i="59"/>
  <c r="H43" i="59"/>
  <c r="G43" i="59"/>
  <c r="E43" i="59"/>
  <c r="D43" i="59"/>
  <c r="P42" i="59"/>
  <c r="N42" i="59"/>
  <c r="M42" i="59"/>
  <c r="L42" i="59"/>
  <c r="K42" i="59"/>
  <c r="J42" i="59"/>
  <c r="I42" i="59"/>
  <c r="H42" i="59"/>
  <c r="G42" i="59"/>
  <c r="E42" i="59"/>
  <c r="D42" i="59"/>
  <c r="P41" i="59"/>
  <c r="N41" i="59"/>
  <c r="M41" i="59"/>
  <c r="L41" i="59"/>
  <c r="K41" i="59"/>
  <c r="J41" i="59"/>
  <c r="I41" i="59"/>
  <c r="H41" i="59"/>
  <c r="G41" i="59"/>
  <c r="E41" i="59"/>
  <c r="D41" i="59"/>
  <c r="P40" i="59"/>
  <c r="N40" i="59"/>
  <c r="M40" i="59"/>
  <c r="L40" i="59"/>
  <c r="K40" i="59"/>
  <c r="J40" i="59"/>
  <c r="I40" i="59"/>
  <c r="H40" i="59"/>
  <c r="G40" i="59"/>
  <c r="E40" i="59"/>
  <c r="D40" i="59"/>
  <c r="P39" i="59"/>
  <c r="N39" i="59"/>
  <c r="M39" i="59"/>
  <c r="L39" i="59"/>
  <c r="K39" i="59"/>
  <c r="J39" i="59"/>
  <c r="I39" i="59"/>
  <c r="H39" i="59"/>
  <c r="G39" i="59"/>
  <c r="E39" i="59"/>
  <c r="D39" i="59"/>
  <c r="P38" i="59"/>
  <c r="N38" i="59"/>
  <c r="M38" i="59"/>
  <c r="L38" i="59"/>
  <c r="K38" i="59"/>
  <c r="J38" i="59"/>
  <c r="I38" i="59"/>
  <c r="H38" i="59"/>
  <c r="G38" i="59"/>
  <c r="E38" i="59"/>
  <c r="D38" i="59"/>
  <c r="P37" i="59"/>
  <c r="N37" i="59"/>
  <c r="M37" i="59"/>
  <c r="L37" i="59"/>
  <c r="K37" i="59"/>
  <c r="J37" i="59"/>
  <c r="I37" i="59"/>
  <c r="H37" i="59"/>
  <c r="G37" i="59"/>
  <c r="E37" i="59"/>
  <c r="D37" i="59"/>
  <c r="P36" i="59"/>
  <c r="N36" i="59"/>
  <c r="M36" i="59"/>
  <c r="L36" i="59"/>
  <c r="K36" i="59"/>
  <c r="J36" i="59"/>
  <c r="I36" i="59"/>
  <c r="H36" i="59"/>
  <c r="G36" i="59"/>
  <c r="E36" i="59"/>
  <c r="D36" i="59"/>
  <c r="P35" i="59"/>
  <c r="N35" i="59"/>
  <c r="M35" i="59"/>
  <c r="L35" i="59"/>
  <c r="K35" i="59"/>
  <c r="J35" i="59"/>
  <c r="I35" i="59"/>
  <c r="H35" i="59"/>
  <c r="G35" i="59"/>
  <c r="E35" i="59"/>
  <c r="D35" i="59"/>
  <c r="P34" i="59"/>
  <c r="N34" i="59"/>
  <c r="M34" i="59"/>
  <c r="L34" i="59"/>
  <c r="K34" i="59"/>
  <c r="J34" i="59"/>
  <c r="I34" i="59"/>
  <c r="H34" i="59"/>
  <c r="G34" i="59"/>
  <c r="E34" i="59"/>
  <c r="D34" i="59"/>
  <c r="P33" i="59"/>
  <c r="N33" i="59"/>
  <c r="M33" i="59"/>
  <c r="L33" i="59"/>
  <c r="K33" i="59"/>
  <c r="J33" i="59"/>
  <c r="I33" i="59"/>
  <c r="H33" i="59"/>
  <c r="G33" i="59"/>
  <c r="E33" i="59"/>
  <c r="D33" i="59"/>
  <c r="P32" i="59"/>
  <c r="N32" i="59"/>
  <c r="M32" i="59"/>
  <c r="L32" i="59"/>
  <c r="K32" i="59"/>
  <c r="J32" i="59"/>
  <c r="I32" i="59"/>
  <c r="H32" i="59"/>
  <c r="G32" i="59"/>
  <c r="E32" i="59"/>
  <c r="D32" i="59"/>
  <c r="P31" i="59"/>
  <c r="N31" i="59"/>
  <c r="M31" i="59"/>
  <c r="L31" i="59"/>
  <c r="K31" i="59"/>
  <c r="J31" i="59"/>
  <c r="I31" i="59"/>
  <c r="H31" i="59"/>
  <c r="G31" i="59"/>
  <c r="E31" i="59"/>
  <c r="D31" i="59"/>
  <c r="P30" i="59"/>
  <c r="N30" i="59"/>
  <c r="M30" i="59"/>
  <c r="L30" i="59"/>
  <c r="K30" i="59"/>
  <c r="J30" i="59"/>
  <c r="I30" i="59"/>
  <c r="H30" i="59"/>
  <c r="G30" i="59"/>
  <c r="E30" i="59"/>
  <c r="D30" i="59"/>
  <c r="P29" i="59"/>
  <c r="N29" i="59"/>
  <c r="M29" i="59"/>
  <c r="L29" i="59"/>
  <c r="K29" i="59"/>
  <c r="J29" i="59"/>
  <c r="I29" i="59"/>
  <c r="H29" i="59"/>
  <c r="G29" i="59"/>
  <c r="E29" i="59"/>
  <c r="D29" i="59"/>
  <c r="P28" i="59"/>
  <c r="N28" i="59"/>
  <c r="M28" i="59"/>
  <c r="L28" i="59"/>
  <c r="K28" i="59"/>
  <c r="J28" i="59"/>
  <c r="I28" i="59"/>
  <c r="H28" i="59"/>
  <c r="G28" i="59"/>
  <c r="E28" i="59"/>
  <c r="D28" i="59"/>
  <c r="P27" i="59"/>
  <c r="N27" i="59"/>
  <c r="M27" i="59"/>
  <c r="L27" i="59"/>
  <c r="K27" i="59"/>
  <c r="J27" i="59"/>
  <c r="I27" i="59"/>
  <c r="H27" i="59"/>
  <c r="G27" i="59"/>
  <c r="E27" i="59"/>
  <c r="D27" i="59"/>
  <c r="P26" i="59"/>
  <c r="N26" i="59"/>
  <c r="M26" i="59"/>
  <c r="L26" i="59"/>
  <c r="K26" i="59"/>
  <c r="J26" i="59"/>
  <c r="I26" i="59"/>
  <c r="H26" i="59"/>
  <c r="G26" i="59"/>
  <c r="E26" i="59"/>
  <c r="D26" i="59"/>
  <c r="P25" i="59"/>
  <c r="N25" i="59"/>
  <c r="M25" i="59"/>
  <c r="L25" i="59"/>
  <c r="K25" i="59"/>
  <c r="J25" i="59"/>
  <c r="I25" i="59"/>
  <c r="H25" i="59"/>
  <c r="G25" i="59"/>
  <c r="E25" i="59"/>
  <c r="D25" i="59"/>
  <c r="P24" i="59"/>
  <c r="N24" i="59"/>
  <c r="M24" i="59"/>
  <c r="L24" i="59"/>
  <c r="K24" i="59"/>
  <c r="J24" i="59"/>
  <c r="I24" i="59"/>
  <c r="H24" i="59"/>
  <c r="G24" i="59"/>
  <c r="E24" i="59"/>
  <c r="D24" i="59"/>
  <c r="P23" i="59"/>
  <c r="N23" i="59"/>
  <c r="M23" i="59"/>
  <c r="L23" i="59"/>
  <c r="K23" i="59"/>
  <c r="J23" i="59"/>
  <c r="I23" i="59"/>
  <c r="H23" i="59"/>
  <c r="G23" i="59"/>
  <c r="E23" i="59"/>
  <c r="D23" i="59"/>
  <c r="P22" i="59"/>
  <c r="N22" i="59"/>
  <c r="M22" i="59"/>
  <c r="L22" i="59"/>
  <c r="K22" i="59"/>
  <c r="J22" i="59"/>
  <c r="I22" i="59"/>
  <c r="H22" i="59"/>
  <c r="G22" i="59"/>
  <c r="E22" i="59"/>
  <c r="D22" i="59"/>
  <c r="N19" i="59"/>
  <c r="M19" i="59"/>
  <c r="L19" i="59"/>
  <c r="K19" i="59"/>
  <c r="J19" i="59"/>
  <c r="H19" i="59"/>
  <c r="G19" i="59"/>
  <c r="F19" i="59"/>
  <c r="E19" i="59"/>
  <c r="D19" i="59"/>
  <c r="P18" i="59"/>
  <c r="O18" i="59"/>
  <c r="N18" i="59"/>
  <c r="M18" i="59"/>
  <c r="L18" i="59"/>
  <c r="K18" i="59"/>
  <c r="J18" i="59"/>
  <c r="I18" i="59"/>
  <c r="H18" i="59"/>
  <c r="G18" i="59"/>
  <c r="F18" i="59"/>
  <c r="E18" i="59"/>
  <c r="D18" i="59"/>
  <c r="P17" i="59"/>
  <c r="P16" i="59"/>
  <c r="P15" i="59"/>
  <c r="P14" i="59"/>
  <c r="N13" i="59"/>
  <c r="M13" i="59"/>
  <c r="L13" i="59"/>
  <c r="K13" i="59"/>
  <c r="J13" i="59"/>
  <c r="H13" i="59"/>
  <c r="G13" i="59"/>
  <c r="F13" i="59"/>
  <c r="E13" i="59"/>
  <c r="D13" i="59"/>
  <c r="N12" i="59"/>
  <c r="M12" i="59"/>
  <c r="L12" i="59"/>
  <c r="K12" i="59"/>
  <c r="J12" i="59"/>
  <c r="I12" i="59"/>
  <c r="P12" i="59" s="1"/>
  <c r="H12" i="59"/>
  <c r="G12" i="59"/>
  <c r="F12" i="59"/>
  <c r="E12" i="59"/>
  <c r="D12" i="59"/>
  <c r="N11" i="59"/>
  <c r="M11" i="59"/>
  <c r="L11" i="59"/>
  <c r="K11" i="59"/>
  <c r="J11" i="59"/>
  <c r="I11" i="59"/>
  <c r="P11" i="59" s="1"/>
  <c r="H11" i="59"/>
  <c r="G11" i="59"/>
  <c r="F11" i="59"/>
  <c r="E11" i="59"/>
  <c r="D11" i="59"/>
  <c r="N10" i="59"/>
  <c r="M10" i="59"/>
  <c r="L10" i="59"/>
  <c r="K10" i="59"/>
  <c r="J10" i="59"/>
  <c r="I10" i="59"/>
  <c r="P10" i="59" s="1"/>
  <c r="H10" i="59"/>
  <c r="G10" i="59"/>
  <c r="F10" i="59"/>
  <c r="E10" i="59"/>
  <c r="D10" i="59"/>
  <c r="N9" i="59"/>
  <c r="M9" i="59"/>
  <c r="L9" i="59"/>
  <c r="K9" i="59"/>
  <c r="J9" i="59"/>
  <c r="I9" i="59"/>
  <c r="P9" i="59" s="1"/>
  <c r="H9" i="59"/>
  <c r="G9" i="59"/>
  <c r="F9" i="59"/>
  <c r="E9" i="59"/>
  <c r="D9" i="59"/>
  <c r="O8" i="59"/>
  <c r="O13" i="59" s="1"/>
  <c r="N8" i="59"/>
  <c r="M8" i="59"/>
  <c r="L8" i="59"/>
  <c r="K8" i="59"/>
  <c r="J8" i="59"/>
  <c r="H8" i="59"/>
  <c r="G8" i="59"/>
  <c r="F8" i="59"/>
  <c r="E8" i="59"/>
  <c r="D8" i="59"/>
  <c r="N145" i="57"/>
  <c r="H144" i="57"/>
  <c r="G143" i="57"/>
  <c r="N139" i="57"/>
  <c r="M139" i="57"/>
  <c r="K139" i="57"/>
  <c r="J139" i="57"/>
  <c r="H139" i="57"/>
  <c r="G139" i="57"/>
  <c r="F139" i="57"/>
  <c r="D139" i="57"/>
  <c r="N136" i="57"/>
  <c r="M136" i="57"/>
  <c r="L136" i="57"/>
  <c r="K136" i="57"/>
  <c r="J136" i="57"/>
  <c r="H136" i="57"/>
  <c r="G136" i="57"/>
  <c r="F136" i="57"/>
  <c r="E136" i="57"/>
  <c r="D136" i="57"/>
  <c r="N134" i="57"/>
  <c r="M134" i="57"/>
  <c r="K134" i="57"/>
  <c r="J134" i="57"/>
  <c r="I134" i="57"/>
  <c r="H134" i="57"/>
  <c r="G134" i="57"/>
  <c r="F134" i="57"/>
  <c r="D134" i="57"/>
  <c r="N133" i="57"/>
  <c r="M133" i="57"/>
  <c r="L133" i="57"/>
  <c r="K133" i="57"/>
  <c r="J133" i="57"/>
  <c r="N132" i="57"/>
  <c r="M132" i="57"/>
  <c r="L132" i="57"/>
  <c r="K132" i="57"/>
  <c r="J132" i="57"/>
  <c r="I132" i="57"/>
  <c r="H132" i="57"/>
  <c r="G132" i="57"/>
  <c r="E132" i="57"/>
  <c r="E134" i="57" s="1"/>
  <c r="E139" i="57" s="1"/>
  <c r="D132" i="57"/>
  <c r="P131" i="57"/>
  <c r="N131" i="57"/>
  <c r="M131" i="57"/>
  <c r="L131" i="57"/>
  <c r="K131" i="57"/>
  <c r="J131" i="57"/>
  <c r="I131" i="57"/>
  <c r="H131" i="57"/>
  <c r="G131" i="57"/>
  <c r="E131" i="57"/>
  <c r="D131" i="57"/>
  <c r="P130" i="57"/>
  <c r="N130" i="57"/>
  <c r="M130" i="57"/>
  <c r="L130" i="57"/>
  <c r="K130" i="57"/>
  <c r="J130" i="57"/>
  <c r="I130" i="57"/>
  <c r="H130" i="57"/>
  <c r="G130" i="57"/>
  <c r="E130" i="57"/>
  <c r="D130" i="57"/>
  <c r="P129" i="57"/>
  <c r="N129" i="57"/>
  <c r="M129" i="57"/>
  <c r="L129" i="57"/>
  <c r="K129" i="57"/>
  <c r="J129" i="57"/>
  <c r="I129" i="57"/>
  <c r="H129" i="57"/>
  <c r="G129" i="57"/>
  <c r="E129" i="57"/>
  <c r="D129" i="57"/>
  <c r="P128" i="57"/>
  <c r="N128" i="57"/>
  <c r="M128" i="57"/>
  <c r="L128" i="57"/>
  <c r="K128" i="57"/>
  <c r="J128" i="57"/>
  <c r="I128" i="57"/>
  <c r="H128" i="57"/>
  <c r="G128" i="57"/>
  <c r="E128" i="57"/>
  <c r="D128" i="57"/>
  <c r="P127" i="57"/>
  <c r="N127" i="57"/>
  <c r="M127" i="57"/>
  <c r="L127" i="57"/>
  <c r="K127" i="57"/>
  <c r="J127" i="57"/>
  <c r="I127" i="57"/>
  <c r="H127" i="57"/>
  <c r="G127" i="57"/>
  <c r="E127" i="57"/>
  <c r="D127" i="57"/>
  <c r="P126" i="57"/>
  <c r="N126" i="57"/>
  <c r="M126" i="57"/>
  <c r="L126" i="57"/>
  <c r="K126" i="57"/>
  <c r="J126" i="57"/>
  <c r="I126" i="57"/>
  <c r="H126" i="57"/>
  <c r="G126" i="57"/>
  <c r="E126" i="57"/>
  <c r="D126" i="57"/>
  <c r="P125" i="57"/>
  <c r="N125" i="57"/>
  <c r="M125" i="57"/>
  <c r="L125" i="57"/>
  <c r="K125" i="57"/>
  <c r="J125" i="57"/>
  <c r="I125" i="57"/>
  <c r="H125" i="57"/>
  <c r="G125" i="57"/>
  <c r="E125" i="57"/>
  <c r="D125" i="57"/>
  <c r="P124" i="57"/>
  <c r="N124" i="57"/>
  <c r="M124" i="57"/>
  <c r="L124" i="57"/>
  <c r="K124" i="57"/>
  <c r="J124" i="57"/>
  <c r="I124" i="57"/>
  <c r="H124" i="57"/>
  <c r="G124" i="57"/>
  <c r="E124" i="57"/>
  <c r="D124" i="57"/>
  <c r="P123" i="57"/>
  <c r="N123" i="57"/>
  <c r="M123" i="57"/>
  <c r="L123" i="57"/>
  <c r="K123" i="57"/>
  <c r="J123" i="57"/>
  <c r="I123" i="57"/>
  <c r="H123" i="57"/>
  <c r="G123" i="57"/>
  <c r="E123" i="57"/>
  <c r="D123" i="57"/>
  <c r="P122" i="57"/>
  <c r="N122" i="57"/>
  <c r="M122" i="57"/>
  <c r="L122" i="57"/>
  <c r="K122" i="57"/>
  <c r="J122" i="57"/>
  <c r="I122" i="57"/>
  <c r="H122" i="57"/>
  <c r="G122" i="57"/>
  <c r="E122" i="57"/>
  <c r="D122" i="57"/>
  <c r="P121" i="57"/>
  <c r="N121" i="57"/>
  <c r="M121" i="57"/>
  <c r="L121" i="57"/>
  <c r="K121" i="57"/>
  <c r="J121" i="57"/>
  <c r="I121" i="57"/>
  <c r="H121" i="57"/>
  <c r="G121" i="57"/>
  <c r="E121" i="57"/>
  <c r="D121" i="57"/>
  <c r="P120" i="57"/>
  <c r="N120" i="57"/>
  <c r="M120" i="57"/>
  <c r="L120" i="57"/>
  <c r="K120" i="57"/>
  <c r="J120" i="57"/>
  <c r="I120" i="57"/>
  <c r="H120" i="57"/>
  <c r="G120" i="57"/>
  <c r="E120" i="57"/>
  <c r="D120" i="57"/>
  <c r="P119" i="57"/>
  <c r="N119" i="57"/>
  <c r="M119" i="57"/>
  <c r="L119" i="57"/>
  <c r="K119" i="57"/>
  <c r="J119" i="57"/>
  <c r="I119" i="57"/>
  <c r="H119" i="57"/>
  <c r="G119" i="57"/>
  <c r="E119" i="57"/>
  <c r="D119" i="57"/>
  <c r="P118" i="57"/>
  <c r="N118" i="57"/>
  <c r="M118" i="57"/>
  <c r="L118" i="57"/>
  <c r="K118" i="57"/>
  <c r="J118" i="57"/>
  <c r="I118" i="57"/>
  <c r="H118" i="57"/>
  <c r="G118" i="57"/>
  <c r="E118" i="57"/>
  <c r="D118" i="57"/>
  <c r="P117" i="57"/>
  <c r="N117" i="57"/>
  <c r="M117" i="57"/>
  <c r="L117" i="57"/>
  <c r="K117" i="57"/>
  <c r="J117" i="57"/>
  <c r="I117" i="57"/>
  <c r="H117" i="57"/>
  <c r="G117" i="57"/>
  <c r="E117" i="57"/>
  <c r="D117" i="57"/>
  <c r="P116" i="57"/>
  <c r="N116" i="57"/>
  <c r="M116" i="57"/>
  <c r="L116" i="57"/>
  <c r="K116" i="57"/>
  <c r="J116" i="57"/>
  <c r="I116" i="57"/>
  <c r="H116" i="57"/>
  <c r="G116" i="57"/>
  <c r="E116" i="57"/>
  <c r="D116" i="57"/>
  <c r="P115" i="57"/>
  <c r="N115" i="57"/>
  <c r="M115" i="57"/>
  <c r="L115" i="57"/>
  <c r="K115" i="57"/>
  <c r="J115" i="57"/>
  <c r="I115" i="57"/>
  <c r="H115" i="57"/>
  <c r="G115" i="57"/>
  <c r="E115" i="57"/>
  <c r="D115" i="57"/>
  <c r="P114" i="57"/>
  <c r="N114" i="57"/>
  <c r="M114" i="57"/>
  <c r="L114" i="57"/>
  <c r="K114" i="57"/>
  <c r="J114" i="57"/>
  <c r="I114" i="57"/>
  <c r="H114" i="57"/>
  <c r="G114" i="57"/>
  <c r="E114" i="57"/>
  <c r="D114" i="57"/>
  <c r="P113" i="57"/>
  <c r="N113" i="57"/>
  <c r="M113" i="57"/>
  <c r="L113" i="57"/>
  <c r="K113" i="57"/>
  <c r="J113" i="57"/>
  <c r="I113" i="57"/>
  <c r="H113" i="57"/>
  <c r="G113" i="57"/>
  <c r="E113" i="57"/>
  <c r="D113" i="57"/>
  <c r="P112" i="57"/>
  <c r="N112" i="57"/>
  <c r="M112" i="57"/>
  <c r="L112" i="57"/>
  <c r="K112" i="57"/>
  <c r="J112" i="57"/>
  <c r="I112" i="57"/>
  <c r="H112" i="57"/>
  <c r="G112" i="57"/>
  <c r="E112" i="57"/>
  <c r="D112" i="57"/>
  <c r="P111" i="57"/>
  <c r="N111" i="57"/>
  <c r="M111" i="57"/>
  <c r="L111" i="57"/>
  <c r="K111" i="57"/>
  <c r="J111" i="57"/>
  <c r="I111" i="57"/>
  <c r="H111" i="57"/>
  <c r="G111" i="57"/>
  <c r="E111" i="57"/>
  <c r="D111" i="57"/>
  <c r="P110" i="57"/>
  <c r="N110" i="57"/>
  <c r="M110" i="57"/>
  <c r="L110" i="57"/>
  <c r="K110" i="57"/>
  <c r="J110" i="57"/>
  <c r="H110" i="57"/>
  <c r="G110" i="57"/>
  <c r="E110" i="57"/>
  <c r="D110" i="57"/>
  <c r="P109" i="57"/>
  <c r="N109" i="57"/>
  <c r="M109" i="57"/>
  <c r="L109" i="57"/>
  <c r="K109" i="57"/>
  <c r="J109" i="57"/>
  <c r="I109" i="57"/>
  <c r="H109" i="57"/>
  <c r="G109" i="57"/>
  <c r="E109" i="57"/>
  <c r="D109" i="57"/>
  <c r="P108" i="57"/>
  <c r="N108" i="57"/>
  <c r="M108" i="57"/>
  <c r="L108" i="57"/>
  <c r="K108" i="57"/>
  <c r="J108" i="57"/>
  <c r="I108" i="57"/>
  <c r="H108" i="57"/>
  <c r="G108" i="57"/>
  <c r="E108" i="57"/>
  <c r="D108" i="57"/>
  <c r="P107" i="57"/>
  <c r="N107" i="57"/>
  <c r="M107" i="57"/>
  <c r="L107" i="57"/>
  <c r="K107" i="57"/>
  <c r="J107" i="57"/>
  <c r="I107" i="57"/>
  <c r="H107" i="57"/>
  <c r="G107" i="57"/>
  <c r="E107" i="57"/>
  <c r="D107" i="57"/>
  <c r="P106" i="57"/>
  <c r="N106" i="57"/>
  <c r="M106" i="57"/>
  <c r="L106" i="57"/>
  <c r="K106" i="57"/>
  <c r="J106" i="57"/>
  <c r="I106" i="57"/>
  <c r="H106" i="57"/>
  <c r="G106" i="57"/>
  <c r="E106" i="57"/>
  <c r="D106" i="57"/>
  <c r="P105" i="57"/>
  <c r="N105" i="57"/>
  <c r="M105" i="57"/>
  <c r="L105" i="57"/>
  <c r="K105" i="57"/>
  <c r="J105" i="57"/>
  <c r="I105" i="57"/>
  <c r="H105" i="57"/>
  <c r="G105" i="57"/>
  <c r="E105" i="57"/>
  <c r="D105" i="57"/>
  <c r="P104" i="57"/>
  <c r="N104" i="57"/>
  <c r="M104" i="57"/>
  <c r="L104" i="57"/>
  <c r="K104" i="57"/>
  <c r="J104" i="57"/>
  <c r="I104" i="57"/>
  <c r="H104" i="57"/>
  <c r="G104" i="57"/>
  <c r="E104" i="57"/>
  <c r="D104" i="57"/>
  <c r="P103" i="57"/>
  <c r="N103" i="57"/>
  <c r="M103" i="57"/>
  <c r="L103" i="57"/>
  <c r="K103" i="57"/>
  <c r="J103" i="57"/>
  <c r="I103" i="57"/>
  <c r="H103" i="57"/>
  <c r="G103" i="57"/>
  <c r="E103" i="57"/>
  <c r="D103" i="57"/>
  <c r="P102" i="57"/>
  <c r="N102" i="57"/>
  <c r="M102" i="57"/>
  <c r="L102" i="57"/>
  <c r="K102" i="57"/>
  <c r="J102" i="57"/>
  <c r="I102" i="57"/>
  <c r="H102" i="57"/>
  <c r="G102" i="57"/>
  <c r="E102" i="57"/>
  <c r="D102" i="57"/>
  <c r="P101" i="57"/>
  <c r="N101" i="57"/>
  <c r="M101" i="57"/>
  <c r="L101" i="57"/>
  <c r="K101" i="57"/>
  <c r="J101" i="57"/>
  <c r="I101" i="57"/>
  <c r="H101" i="57"/>
  <c r="G101" i="57"/>
  <c r="E101" i="57"/>
  <c r="D101" i="57"/>
  <c r="P100" i="57"/>
  <c r="N100" i="57"/>
  <c r="M100" i="57"/>
  <c r="L100" i="57"/>
  <c r="K100" i="57"/>
  <c r="J100" i="57"/>
  <c r="I100" i="57"/>
  <c r="H100" i="57"/>
  <c r="G100" i="57"/>
  <c r="E100" i="57"/>
  <c r="D100" i="57"/>
  <c r="P99" i="57"/>
  <c r="N99" i="57"/>
  <c r="M99" i="57"/>
  <c r="L99" i="57"/>
  <c r="K99" i="57"/>
  <c r="J99" i="57"/>
  <c r="I99" i="57"/>
  <c r="H99" i="57"/>
  <c r="G99" i="57"/>
  <c r="E99" i="57"/>
  <c r="D99" i="57"/>
  <c r="P98" i="57"/>
  <c r="N98" i="57"/>
  <c r="M98" i="57"/>
  <c r="L98" i="57"/>
  <c r="K98" i="57"/>
  <c r="J98" i="57"/>
  <c r="I98" i="57"/>
  <c r="H98" i="57"/>
  <c r="G98" i="57"/>
  <c r="E98" i="57"/>
  <c r="D98" i="57"/>
  <c r="P97" i="57"/>
  <c r="N97" i="57"/>
  <c r="M97" i="57"/>
  <c r="L97" i="57"/>
  <c r="K97" i="57"/>
  <c r="J97" i="57"/>
  <c r="I97" i="57"/>
  <c r="H97" i="57"/>
  <c r="G97" i="57"/>
  <c r="E97" i="57"/>
  <c r="D97" i="57"/>
  <c r="P96" i="57"/>
  <c r="N96" i="57"/>
  <c r="M96" i="57"/>
  <c r="L96" i="57"/>
  <c r="K96" i="57"/>
  <c r="J96" i="57"/>
  <c r="I96" i="57"/>
  <c r="H96" i="57"/>
  <c r="G96" i="57"/>
  <c r="E96" i="57"/>
  <c r="D96" i="57"/>
  <c r="P95" i="57"/>
  <c r="N95" i="57"/>
  <c r="M95" i="57"/>
  <c r="L95" i="57"/>
  <c r="K95" i="57"/>
  <c r="J95" i="57"/>
  <c r="I95" i="57"/>
  <c r="H95" i="57"/>
  <c r="G95" i="57"/>
  <c r="E95" i="57"/>
  <c r="D95" i="57"/>
  <c r="P94" i="57"/>
  <c r="N94" i="57"/>
  <c r="M94" i="57"/>
  <c r="L94" i="57"/>
  <c r="K94" i="57"/>
  <c r="J94" i="57"/>
  <c r="I94" i="57"/>
  <c r="H94" i="57"/>
  <c r="G94" i="57"/>
  <c r="E94" i="57"/>
  <c r="D94" i="57"/>
  <c r="P93" i="57"/>
  <c r="N93" i="57"/>
  <c r="M93" i="57"/>
  <c r="L93" i="57"/>
  <c r="K93" i="57"/>
  <c r="J93" i="57"/>
  <c r="I93" i="57"/>
  <c r="H93" i="57"/>
  <c r="G93" i="57"/>
  <c r="E93" i="57"/>
  <c r="D93" i="57"/>
  <c r="P92" i="57"/>
  <c r="N92" i="57"/>
  <c r="M92" i="57"/>
  <c r="L92" i="57"/>
  <c r="K92" i="57"/>
  <c r="J92" i="57"/>
  <c r="I92" i="57"/>
  <c r="H92" i="57"/>
  <c r="G92" i="57"/>
  <c r="E92" i="57"/>
  <c r="D92" i="57"/>
  <c r="P91" i="57"/>
  <c r="N91" i="57"/>
  <c r="M91" i="57"/>
  <c r="L91" i="57"/>
  <c r="K91" i="57"/>
  <c r="J91" i="57"/>
  <c r="I91" i="57"/>
  <c r="H91" i="57"/>
  <c r="G91" i="57"/>
  <c r="E91" i="57"/>
  <c r="D91" i="57"/>
  <c r="P90" i="57"/>
  <c r="N90" i="57"/>
  <c r="M90" i="57"/>
  <c r="L90" i="57"/>
  <c r="K90" i="57"/>
  <c r="J90" i="57"/>
  <c r="I90" i="57"/>
  <c r="H90" i="57"/>
  <c r="G90" i="57"/>
  <c r="E90" i="57"/>
  <c r="D90" i="57"/>
  <c r="P89" i="57"/>
  <c r="N89" i="57"/>
  <c r="M89" i="57"/>
  <c r="L89" i="57"/>
  <c r="K89" i="57"/>
  <c r="J89" i="57"/>
  <c r="I89" i="57"/>
  <c r="H89" i="57"/>
  <c r="G89" i="57"/>
  <c r="E89" i="57"/>
  <c r="D89" i="57"/>
  <c r="P88" i="57"/>
  <c r="N88" i="57"/>
  <c r="M88" i="57"/>
  <c r="L88" i="57"/>
  <c r="K88" i="57"/>
  <c r="J88" i="57"/>
  <c r="I88" i="57"/>
  <c r="H88" i="57"/>
  <c r="G88" i="57"/>
  <c r="E88" i="57"/>
  <c r="D88" i="57"/>
  <c r="P87" i="57"/>
  <c r="N87" i="57"/>
  <c r="M87" i="57"/>
  <c r="L87" i="57"/>
  <c r="K87" i="57"/>
  <c r="J87" i="57"/>
  <c r="I87" i="57"/>
  <c r="H87" i="57"/>
  <c r="G87" i="57"/>
  <c r="E87" i="57"/>
  <c r="D87" i="57"/>
  <c r="P86" i="57"/>
  <c r="N86" i="57"/>
  <c r="M86" i="57"/>
  <c r="L86" i="57"/>
  <c r="K86" i="57"/>
  <c r="J86" i="57"/>
  <c r="I86" i="57"/>
  <c r="H86" i="57"/>
  <c r="G86" i="57"/>
  <c r="E86" i="57"/>
  <c r="D86" i="57"/>
  <c r="P85" i="57"/>
  <c r="N85" i="57"/>
  <c r="M85" i="57"/>
  <c r="L85" i="57"/>
  <c r="K85" i="57"/>
  <c r="J85" i="57"/>
  <c r="I85" i="57"/>
  <c r="H85" i="57"/>
  <c r="G85" i="57"/>
  <c r="E85" i="57"/>
  <c r="D85" i="57"/>
  <c r="P84" i="57"/>
  <c r="N84" i="57"/>
  <c r="M84" i="57"/>
  <c r="L84" i="57"/>
  <c r="K84" i="57"/>
  <c r="J84" i="57"/>
  <c r="I84" i="57"/>
  <c r="H84" i="57"/>
  <c r="G84" i="57"/>
  <c r="E84" i="57"/>
  <c r="D84" i="57"/>
  <c r="P83" i="57"/>
  <c r="N83" i="57"/>
  <c r="M83" i="57"/>
  <c r="L83" i="57"/>
  <c r="K83" i="57"/>
  <c r="J83" i="57"/>
  <c r="I83" i="57"/>
  <c r="H83" i="57"/>
  <c r="G83" i="57"/>
  <c r="E83" i="57"/>
  <c r="D83" i="57"/>
  <c r="P82" i="57"/>
  <c r="N82" i="57"/>
  <c r="M82" i="57"/>
  <c r="L82" i="57"/>
  <c r="K82" i="57"/>
  <c r="J82" i="57"/>
  <c r="I82" i="57"/>
  <c r="H82" i="57"/>
  <c r="G82" i="57"/>
  <c r="E82" i="57"/>
  <c r="D82" i="57"/>
  <c r="P81" i="57"/>
  <c r="N81" i="57"/>
  <c r="M81" i="57"/>
  <c r="L81" i="57"/>
  <c r="K81" i="57"/>
  <c r="J81" i="57"/>
  <c r="I81" i="57"/>
  <c r="H81" i="57"/>
  <c r="G81" i="57"/>
  <c r="E81" i="57"/>
  <c r="D81" i="57"/>
  <c r="P80" i="57"/>
  <c r="N80" i="57"/>
  <c r="M80" i="57"/>
  <c r="L80" i="57"/>
  <c r="K80" i="57"/>
  <c r="J80" i="57"/>
  <c r="I80" i="57"/>
  <c r="H80" i="57"/>
  <c r="G80" i="57"/>
  <c r="E80" i="57"/>
  <c r="D80" i="57"/>
  <c r="P79" i="57"/>
  <c r="N79" i="57"/>
  <c r="M79" i="57"/>
  <c r="L79" i="57"/>
  <c r="K79" i="57"/>
  <c r="J79" i="57"/>
  <c r="I79" i="57"/>
  <c r="H79" i="57"/>
  <c r="G79" i="57"/>
  <c r="E79" i="57"/>
  <c r="D79" i="57"/>
  <c r="P78" i="57"/>
  <c r="N78" i="57"/>
  <c r="M78" i="57"/>
  <c r="L78" i="57"/>
  <c r="K78" i="57"/>
  <c r="J78" i="57"/>
  <c r="I78" i="57"/>
  <c r="H78" i="57"/>
  <c r="G78" i="57"/>
  <c r="E78" i="57"/>
  <c r="D78" i="57"/>
  <c r="P77" i="57"/>
  <c r="N77" i="57"/>
  <c r="M77" i="57"/>
  <c r="L77" i="57"/>
  <c r="K77" i="57"/>
  <c r="J77" i="57"/>
  <c r="I77" i="57"/>
  <c r="H77" i="57"/>
  <c r="G77" i="57"/>
  <c r="E77" i="57"/>
  <c r="D77" i="57"/>
  <c r="P76" i="57"/>
  <c r="N76" i="57"/>
  <c r="M76" i="57"/>
  <c r="L76" i="57"/>
  <c r="K76" i="57"/>
  <c r="J76" i="57"/>
  <c r="I76" i="57"/>
  <c r="H76" i="57"/>
  <c r="G76" i="57"/>
  <c r="E76" i="57"/>
  <c r="D76" i="57"/>
  <c r="P75" i="57"/>
  <c r="N75" i="57"/>
  <c r="M75" i="57"/>
  <c r="L75" i="57"/>
  <c r="K75" i="57"/>
  <c r="J75" i="57"/>
  <c r="I75" i="57"/>
  <c r="H75" i="57"/>
  <c r="G75" i="57"/>
  <c r="E75" i="57"/>
  <c r="D75" i="57"/>
  <c r="P74" i="57"/>
  <c r="N74" i="57"/>
  <c r="M74" i="57"/>
  <c r="L74" i="57"/>
  <c r="K74" i="57"/>
  <c r="J74" i="57"/>
  <c r="I74" i="57"/>
  <c r="H74" i="57"/>
  <c r="G74" i="57"/>
  <c r="E74" i="57"/>
  <c r="D74" i="57"/>
  <c r="P73" i="57"/>
  <c r="N73" i="57"/>
  <c r="M73" i="57"/>
  <c r="L73" i="57"/>
  <c r="K73" i="57"/>
  <c r="J73" i="57"/>
  <c r="I73" i="57"/>
  <c r="H73" i="57"/>
  <c r="G73" i="57"/>
  <c r="E73" i="57"/>
  <c r="D73" i="57"/>
  <c r="P72" i="57"/>
  <c r="N72" i="57"/>
  <c r="M72" i="57"/>
  <c r="L72" i="57"/>
  <c r="K72" i="57"/>
  <c r="J72" i="57"/>
  <c r="I72" i="57"/>
  <c r="H72" i="57"/>
  <c r="G72" i="57"/>
  <c r="E72" i="57"/>
  <c r="D72" i="57"/>
  <c r="P71" i="57"/>
  <c r="N71" i="57"/>
  <c r="M71" i="57"/>
  <c r="L71" i="57"/>
  <c r="K71" i="57"/>
  <c r="J71" i="57"/>
  <c r="I71" i="57"/>
  <c r="H71" i="57"/>
  <c r="G71" i="57"/>
  <c r="E71" i="57"/>
  <c r="D71" i="57"/>
  <c r="P70" i="57"/>
  <c r="N70" i="57"/>
  <c r="M70" i="57"/>
  <c r="L70" i="57"/>
  <c r="K70" i="57"/>
  <c r="J70" i="57"/>
  <c r="I70" i="57"/>
  <c r="H70" i="57"/>
  <c r="G70" i="57"/>
  <c r="E70" i="57"/>
  <c r="D70" i="57"/>
  <c r="P69" i="57"/>
  <c r="N69" i="57"/>
  <c r="M69" i="57"/>
  <c r="L69" i="57"/>
  <c r="K69" i="57"/>
  <c r="J69" i="57"/>
  <c r="I69" i="57"/>
  <c r="H69" i="57"/>
  <c r="G69" i="57"/>
  <c r="E69" i="57"/>
  <c r="D69" i="57"/>
  <c r="P68" i="57"/>
  <c r="N68" i="57"/>
  <c r="M68" i="57"/>
  <c r="L68" i="57"/>
  <c r="K68" i="57"/>
  <c r="J68" i="57"/>
  <c r="I68" i="57"/>
  <c r="H68" i="57"/>
  <c r="G68" i="57"/>
  <c r="E68" i="57"/>
  <c r="D68" i="57"/>
  <c r="P67" i="57"/>
  <c r="N67" i="57"/>
  <c r="M67" i="57"/>
  <c r="L67" i="57"/>
  <c r="K67" i="57"/>
  <c r="J67" i="57"/>
  <c r="I67" i="57"/>
  <c r="H67" i="57"/>
  <c r="G67" i="57"/>
  <c r="E67" i="57"/>
  <c r="D67" i="57"/>
  <c r="P66" i="57"/>
  <c r="N66" i="57"/>
  <c r="M66" i="57"/>
  <c r="L66" i="57"/>
  <c r="K66" i="57"/>
  <c r="J66" i="57"/>
  <c r="I66" i="57"/>
  <c r="H66" i="57"/>
  <c r="G66" i="57"/>
  <c r="E66" i="57"/>
  <c r="D66" i="57"/>
  <c r="P65" i="57"/>
  <c r="N65" i="57"/>
  <c r="M65" i="57"/>
  <c r="L65" i="57"/>
  <c r="K65" i="57"/>
  <c r="J65" i="57"/>
  <c r="I65" i="57"/>
  <c r="H65" i="57"/>
  <c r="G65" i="57"/>
  <c r="E65" i="57"/>
  <c r="D65" i="57"/>
  <c r="P64" i="57"/>
  <c r="N64" i="57"/>
  <c r="M64" i="57"/>
  <c r="L64" i="57"/>
  <c r="K64" i="57"/>
  <c r="J64" i="57"/>
  <c r="I64" i="57"/>
  <c r="H64" i="57"/>
  <c r="G64" i="57"/>
  <c r="E64" i="57"/>
  <c r="D64" i="57"/>
  <c r="P63" i="57"/>
  <c r="N63" i="57"/>
  <c r="M63" i="57"/>
  <c r="L63" i="57"/>
  <c r="K63" i="57"/>
  <c r="J63" i="57"/>
  <c r="I63" i="57"/>
  <c r="H63" i="57"/>
  <c r="G63" i="57"/>
  <c r="E63" i="57"/>
  <c r="D63" i="57"/>
  <c r="P62" i="57"/>
  <c r="N62" i="57"/>
  <c r="M62" i="57"/>
  <c r="L62" i="57"/>
  <c r="K62" i="57"/>
  <c r="J62" i="57"/>
  <c r="I62" i="57"/>
  <c r="H62" i="57"/>
  <c r="G62" i="57"/>
  <c r="E62" i="57"/>
  <c r="D62" i="57"/>
  <c r="P61" i="57"/>
  <c r="N61" i="57"/>
  <c r="M61" i="57"/>
  <c r="L61" i="57"/>
  <c r="K61" i="57"/>
  <c r="J61" i="57"/>
  <c r="I61" i="57"/>
  <c r="H61" i="57"/>
  <c r="G61" i="57"/>
  <c r="E61" i="57"/>
  <c r="D61" i="57"/>
  <c r="P60" i="57"/>
  <c r="N60" i="57"/>
  <c r="M60" i="57"/>
  <c r="L60" i="57"/>
  <c r="K60" i="57"/>
  <c r="J60" i="57"/>
  <c r="I60" i="57"/>
  <c r="H60" i="57"/>
  <c r="G60" i="57"/>
  <c r="E60" i="57"/>
  <c r="D60" i="57"/>
  <c r="P59" i="57"/>
  <c r="N59" i="57"/>
  <c r="M59" i="57"/>
  <c r="L59" i="57"/>
  <c r="K59" i="57"/>
  <c r="J59" i="57"/>
  <c r="I59" i="57"/>
  <c r="H59" i="57"/>
  <c r="G59" i="57"/>
  <c r="E59" i="57"/>
  <c r="D59" i="57"/>
  <c r="P58" i="57"/>
  <c r="N58" i="57"/>
  <c r="M58" i="57"/>
  <c r="L58" i="57"/>
  <c r="K58" i="57"/>
  <c r="J58" i="57"/>
  <c r="I58" i="57"/>
  <c r="H58" i="57"/>
  <c r="G58" i="57"/>
  <c r="E58" i="57"/>
  <c r="D58" i="57"/>
  <c r="P57" i="57"/>
  <c r="N57" i="57"/>
  <c r="M57" i="57"/>
  <c r="L57" i="57"/>
  <c r="K57" i="57"/>
  <c r="J57" i="57"/>
  <c r="I57" i="57"/>
  <c r="H57" i="57"/>
  <c r="G57" i="57"/>
  <c r="E57" i="57"/>
  <c r="D57" i="57"/>
  <c r="P56" i="57"/>
  <c r="N56" i="57"/>
  <c r="M56" i="57"/>
  <c r="L56" i="57"/>
  <c r="K56" i="57"/>
  <c r="J56" i="57"/>
  <c r="I56" i="57"/>
  <c r="H56" i="57"/>
  <c r="G56" i="57"/>
  <c r="E56" i="57"/>
  <c r="D56" i="57"/>
  <c r="P55" i="57"/>
  <c r="N55" i="57"/>
  <c r="M55" i="57"/>
  <c r="L55" i="57"/>
  <c r="K55" i="57"/>
  <c r="J55" i="57"/>
  <c r="I55" i="57"/>
  <c r="H55" i="57"/>
  <c r="G55" i="57"/>
  <c r="E55" i="57"/>
  <c r="D55" i="57"/>
  <c r="P54" i="57"/>
  <c r="N54" i="57"/>
  <c r="M54" i="57"/>
  <c r="L54" i="57"/>
  <c r="K54" i="57"/>
  <c r="J54" i="57"/>
  <c r="I54" i="57"/>
  <c r="H54" i="57"/>
  <c r="G54" i="57"/>
  <c r="E54" i="57"/>
  <c r="D54" i="57"/>
  <c r="P53" i="57"/>
  <c r="N53" i="57"/>
  <c r="M53" i="57"/>
  <c r="L53" i="57"/>
  <c r="K53" i="57"/>
  <c r="J53" i="57"/>
  <c r="I53" i="57"/>
  <c r="H53" i="57"/>
  <c r="G53" i="57"/>
  <c r="E53" i="57"/>
  <c r="D53" i="57"/>
  <c r="P52" i="57"/>
  <c r="N52" i="57"/>
  <c r="M52" i="57"/>
  <c r="L52" i="57"/>
  <c r="K52" i="57"/>
  <c r="J52" i="57"/>
  <c r="I52" i="57"/>
  <c r="H52" i="57"/>
  <c r="G52" i="57"/>
  <c r="E52" i="57"/>
  <c r="D52" i="57"/>
  <c r="P51" i="57"/>
  <c r="N51" i="57"/>
  <c r="M51" i="57"/>
  <c r="L51" i="57"/>
  <c r="K51" i="57"/>
  <c r="J51" i="57"/>
  <c r="I51" i="57"/>
  <c r="H51" i="57"/>
  <c r="G51" i="57"/>
  <c r="E51" i="57"/>
  <c r="D51" i="57"/>
  <c r="P50" i="57"/>
  <c r="N50" i="57"/>
  <c r="M50" i="57"/>
  <c r="L50" i="57"/>
  <c r="K50" i="57"/>
  <c r="J50" i="57"/>
  <c r="I50" i="57"/>
  <c r="H50" i="57"/>
  <c r="G50" i="57"/>
  <c r="E50" i="57"/>
  <c r="D50" i="57"/>
  <c r="P49" i="57"/>
  <c r="N49" i="57"/>
  <c r="M49" i="57"/>
  <c r="L49" i="57"/>
  <c r="K49" i="57"/>
  <c r="J49" i="57"/>
  <c r="I49" i="57"/>
  <c r="H49" i="57"/>
  <c r="G49" i="57"/>
  <c r="E49" i="57"/>
  <c r="D49" i="57"/>
  <c r="P48" i="57"/>
  <c r="N48" i="57"/>
  <c r="M48" i="57"/>
  <c r="L48" i="57"/>
  <c r="K48" i="57"/>
  <c r="J48" i="57"/>
  <c r="I48" i="57"/>
  <c r="H48" i="57"/>
  <c r="G48" i="57"/>
  <c r="E48" i="57"/>
  <c r="D48" i="57"/>
  <c r="P47" i="57"/>
  <c r="N47" i="57"/>
  <c r="M47" i="57"/>
  <c r="L47" i="57"/>
  <c r="K47" i="57"/>
  <c r="J47" i="57"/>
  <c r="I47" i="57"/>
  <c r="H47" i="57"/>
  <c r="G47" i="57"/>
  <c r="E47" i="57"/>
  <c r="D47" i="57"/>
  <c r="P46" i="57"/>
  <c r="N46" i="57"/>
  <c r="M46" i="57"/>
  <c r="L46" i="57"/>
  <c r="K46" i="57"/>
  <c r="J46" i="57"/>
  <c r="I46" i="57"/>
  <c r="H46" i="57"/>
  <c r="G46" i="57"/>
  <c r="E46" i="57"/>
  <c r="D46" i="57"/>
  <c r="P45" i="57"/>
  <c r="N45" i="57"/>
  <c r="M45" i="57"/>
  <c r="L45" i="57"/>
  <c r="K45" i="57"/>
  <c r="J45" i="57"/>
  <c r="I45" i="57"/>
  <c r="H45" i="57"/>
  <c r="G45" i="57"/>
  <c r="E45" i="57"/>
  <c r="D45" i="57"/>
  <c r="P44" i="57"/>
  <c r="N44" i="57"/>
  <c r="M44" i="57"/>
  <c r="L44" i="57"/>
  <c r="K44" i="57"/>
  <c r="J44" i="57"/>
  <c r="I44" i="57"/>
  <c r="H44" i="57"/>
  <c r="G44" i="57"/>
  <c r="E44" i="57"/>
  <c r="D44" i="57"/>
  <c r="P43" i="57"/>
  <c r="N43" i="57"/>
  <c r="M43" i="57"/>
  <c r="L43" i="57"/>
  <c r="K43" i="57"/>
  <c r="J43" i="57"/>
  <c r="I43" i="57"/>
  <c r="H43" i="57"/>
  <c r="G43" i="57"/>
  <c r="E43" i="57"/>
  <c r="D43" i="57"/>
  <c r="P42" i="57"/>
  <c r="N42" i="57"/>
  <c r="M42" i="57"/>
  <c r="L42" i="57"/>
  <c r="K42" i="57"/>
  <c r="J42" i="57"/>
  <c r="I42" i="57"/>
  <c r="H42" i="57"/>
  <c r="G42" i="57"/>
  <c r="E42" i="57"/>
  <c r="D42" i="57"/>
  <c r="P41" i="57"/>
  <c r="N41" i="57"/>
  <c r="M41" i="57"/>
  <c r="L41" i="57"/>
  <c r="K41" i="57"/>
  <c r="J41" i="57"/>
  <c r="I41" i="57"/>
  <c r="H41" i="57"/>
  <c r="G41" i="57"/>
  <c r="E41" i="57"/>
  <c r="D41" i="57"/>
  <c r="P40" i="57"/>
  <c r="N40" i="57"/>
  <c r="M40" i="57"/>
  <c r="L40" i="57"/>
  <c r="K40" i="57"/>
  <c r="J40" i="57"/>
  <c r="I40" i="57"/>
  <c r="H40" i="57"/>
  <c r="G40" i="57"/>
  <c r="E40" i="57"/>
  <c r="D40" i="57"/>
  <c r="P39" i="57"/>
  <c r="N39" i="57"/>
  <c r="M39" i="57"/>
  <c r="L39" i="57"/>
  <c r="K39" i="57"/>
  <c r="J39" i="57"/>
  <c r="I39" i="57"/>
  <c r="H39" i="57"/>
  <c r="G39" i="57"/>
  <c r="E39" i="57"/>
  <c r="D39" i="57"/>
  <c r="P38" i="57"/>
  <c r="N38" i="57"/>
  <c r="M38" i="57"/>
  <c r="L38" i="57"/>
  <c r="K38" i="57"/>
  <c r="J38" i="57"/>
  <c r="I38" i="57"/>
  <c r="H38" i="57"/>
  <c r="G38" i="57"/>
  <c r="E38" i="57"/>
  <c r="D38" i="57"/>
  <c r="P37" i="57"/>
  <c r="N37" i="57"/>
  <c r="M37" i="57"/>
  <c r="L37" i="57"/>
  <c r="K37" i="57"/>
  <c r="J37" i="57"/>
  <c r="I37" i="57"/>
  <c r="H37" i="57"/>
  <c r="G37" i="57"/>
  <c r="E37" i="57"/>
  <c r="D37" i="57"/>
  <c r="P36" i="57"/>
  <c r="N36" i="57"/>
  <c r="M36" i="57"/>
  <c r="L36" i="57"/>
  <c r="K36" i="57"/>
  <c r="J36" i="57"/>
  <c r="I36" i="57"/>
  <c r="H36" i="57"/>
  <c r="G36" i="57"/>
  <c r="E36" i="57"/>
  <c r="D36" i="57"/>
  <c r="P35" i="57"/>
  <c r="N35" i="57"/>
  <c r="M35" i="57"/>
  <c r="L35" i="57"/>
  <c r="K35" i="57"/>
  <c r="J35" i="57"/>
  <c r="I35" i="57"/>
  <c r="H35" i="57"/>
  <c r="G35" i="57"/>
  <c r="E35" i="57"/>
  <c r="D35" i="57"/>
  <c r="P34" i="57"/>
  <c r="N34" i="57"/>
  <c r="M34" i="57"/>
  <c r="L34" i="57"/>
  <c r="K34" i="57"/>
  <c r="J34" i="57"/>
  <c r="I34" i="57"/>
  <c r="H34" i="57"/>
  <c r="G34" i="57"/>
  <c r="E34" i="57"/>
  <c r="D34" i="57"/>
  <c r="P33" i="57"/>
  <c r="N33" i="57"/>
  <c r="M33" i="57"/>
  <c r="L33" i="57"/>
  <c r="K33" i="57"/>
  <c r="J33" i="57"/>
  <c r="I33" i="57"/>
  <c r="H33" i="57"/>
  <c r="G33" i="57"/>
  <c r="E33" i="57"/>
  <c r="D33" i="57"/>
  <c r="P32" i="57"/>
  <c r="N32" i="57"/>
  <c r="M32" i="57"/>
  <c r="L32" i="57"/>
  <c r="K32" i="57"/>
  <c r="J32" i="57"/>
  <c r="I32" i="57"/>
  <c r="H32" i="57"/>
  <c r="G32" i="57"/>
  <c r="E32" i="57"/>
  <c r="D32" i="57"/>
  <c r="P31" i="57"/>
  <c r="N31" i="57"/>
  <c r="M31" i="57"/>
  <c r="L31" i="57"/>
  <c r="K31" i="57"/>
  <c r="J31" i="57"/>
  <c r="I31" i="57"/>
  <c r="H31" i="57"/>
  <c r="G31" i="57"/>
  <c r="E31" i="57"/>
  <c r="D31" i="57"/>
  <c r="P30" i="57"/>
  <c r="N30" i="57"/>
  <c r="M30" i="57"/>
  <c r="L30" i="57"/>
  <c r="K30" i="57"/>
  <c r="J30" i="57"/>
  <c r="I30" i="57"/>
  <c r="H30" i="57"/>
  <c r="G30" i="57"/>
  <c r="E30" i="57"/>
  <c r="D30" i="57"/>
  <c r="P29" i="57"/>
  <c r="N29" i="57"/>
  <c r="M29" i="57"/>
  <c r="L29" i="57"/>
  <c r="K29" i="57"/>
  <c r="J29" i="57"/>
  <c r="I29" i="57"/>
  <c r="H29" i="57"/>
  <c r="G29" i="57"/>
  <c r="E29" i="57"/>
  <c r="D29" i="57"/>
  <c r="P28" i="57"/>
  <c r="N28" i="57"/>
  <c r="M28" i="57"/>
  <c r="L28" i="57"/>
  <c r="K28" i="57"/>
  <c r="J28" i="57"/>
  <c r="I28" i="57"/>
  <c r="H28" i="57"/>
  <c r="G28" i="57"/>
  <c r="E28" i="57"/>
  <c r="D28" i="57"/>
  <c r="P27" i="57"/>
  <c r="N27" i="57"/>
  <c r="M27" i="57"/>
  <c r="L27" i="57"/>
  <c r="K27" i="57"/>
  <c r="J27" i="57"/>
  <c r="I27" i="57"/>
  <c r="H27" i="57"/>
  <c r="G27" i="57"/>
  <c r="E27" i="57"/>
  <c r="D27" i="57"/>
  <c r="P26" i="57"/>
  <c r="N26" i="57"/>
  <c r="M26" i="57"/>
  <c r="L26" i="57"/>
  <c r="K26" i="57"/>
  <c r="J26" i="57"/>
  <c r="I26" i="57"/>
  <c r="H26" i="57"/>
  <c r="G26" i="57"/>
  <c r="E26" i="57"/>
  <c r="D26" i="57"/>
  <c r="P25" i="57"/>
  <c r="N25" i="57"/>
  <c r="M25" i="57"/>
  <c r="L25" i="57"/>
  <c r="K25" i="57"/>
  <c r="J25" i="57"/>
  <c r="I25" i="57"/>
  <c r="H25" i="57"/>
  <c r="G25" i="57"/>
  <c r="E25" i="57"/>
  <c r="D25" i="57"/>
  <c r="P24" i="57"/>
  <c r="N24" i="57"/>
  <c r="M24" i="57"/>
  <c r="L24" i="57"/>
  <c r="K24" i="57"/>
  <c r="J24" i="57"/>
  <c r="I24" i="57"/>
  <c r="H24" i="57"/>
  <c r="G24" i="57"/>
  <c r="E24" i="57"/>
  <c r="D24" i="57"/>
  <c r="P23" i="57"/>
  <c r="N23" i="57"/>
  <c r="M23" i="57"/>
  <c r="L23" i="57"/>
  <c r="K23" i="57"/>
  <c r="J23" i="57"/>
  <c r="I23" i="57"/>
  <c r="H23" i="57"/>
  <c r="G23" i="57"/>
  <c r="E23" i="57"/>
  <c r="D23" i="57"/>
  <c r="P22" i="57"/>
  <c r="N22" i="57"/>
  <c r="M22" i="57"/>
  <c r="L22" i="57"/>
  <c r="K22" i="57"/>
  <c r="J22" i="57"/>
  <c r="I22" i="57"/>
  <c r="H22" i="57"/>
  <c r="G22" i="57"/>
  <c r="E22" i="57"/>
  <c r="D22" i="57"/>
  <c r="N19" i="57"/>
  <c r="M19" i="57"/>
  <c r="L19" i="57"/>
  <c r="K19" i="57"/>
  <c r="J19" i="57"/>
  <c r="H19" i="57"/>
  <c r="G19" i="57"/>
  <c r="F19" i="57"/>
  <c r="E19" i="57"/>
  <c r="D19" i="57"/>
  <c r="O18" i="57"/>
  <c r="P18" i="57" s="1"/>
  <c r="N18" i="57"/>
  <c r="M18" i="57"/>
  <c r="L18" i="57"/>
  <c r="K18" i="57"/>
  <c r="J18" i="57"/>
  <c r="I18" i="57"/>
  <c r="H18" i="57"/>
  <c r="G18" i="57"/>
  <c r="F18" i="57"/>
  <c r="E18" i="57"/>
  <c r="D18" i="57"/>
  <c r="P17" i="57"/>
  <c r="P16" i="57"/>
  <c r="E16" i="57"/>
  <c r="P15" i="57"/>
  <c r="P14" i="57"/>
  <c r="N13" i="57"/>
  <c r="M13" i="57"/>
  <c r="L13" i="57"/>
  <c r="K13" i="57"/>
  <c r="J13" i="57"/>
  <c r="H13" i="57"/>
  <c r="G13" i="57"/>
  <c r="F13" i="57"/>
  <c r="E13" i="57"/>
  <c r="D13" i="57"/>
  <c r="N12" i="57"/>
  <c r="M12" i="57"/>
  <c r="L12" i="57"/>
  <c r="K12" i="57"/>
  <c r="J12" i="57"/>
  <c r="I12" i="57"/>
  <c r="P12" i="57" s="1"/>
  <c r="H12" i="57"/>
  <c r="G12" i="57"/>
  <c r="F12" i="57"/>
  <c r="E12" i="57"/>
  <c r="D12" i="57"/>
  <c r="N11" i="57"/>
  <c r="M11" i="57"/>
  <c r="L11" i="57"/>
  <c r="K11" i="57"/>
  <c r="J11" i="57"/>
  <c r="I11" i="57"/>
  <c r="P11" i="57" s="1"/>
  <c r="H11" i="57"/>
  <c r="G11" i="57"/>
  <c r="F11" i="57"/>
  <c r="E11" i="57"/>
  <c r="D11" i="57"/>
  <c r="N10" i="57"/>
  <c r="M10" i="57"/>
  <c r="L10" i="57"/>
  <c r="K10" i="57"/>
  <c r="J10" i="57"/>
  <c r="I10" i="57"/>
  <c r="P10" i="57" s="1"/>
  <c r="H10" i="57"/>
  <c r="G10" i="57"/>
  <c r="F10" i="57"/>
  <c r="E10" i="57"/>
  <c r="D10" i="57"/>
  <c r="N9" i="57"/>
  <c r="M9" i="57"/>
  <c r="L9" i="57"/>
  <c r="K9" i="57"/>
  <c r="J9" i="57"/>
  <c r="I9" i="57"/>
  <c r="P9" i="57" s="1"/>
  <c r="H9" i="57"/>
  <c r="G9" i="57"/>
  <c r="F9" i="57"/>
  <c r="E9" i="57"/>
  <c r="D9" i="57"/>
  <c r="O8" i="57"/>
  <c r="O13" i="57" s="1"/>
  <c r="N8" i="57"/>
  <c r="M8" i="57"/>
  <c r="L8" i="57"/>
  <c r="K8" i="57"/>
  <c r="J8" i="57"/>
  <c r="H8" i="57"/>
  <c r="G8" i="57"/>
  <c r="F8" i="57"/>
  <c r="E8" i="57"/>
  <c r="D8" i="57"/>
  <c r="N146" i="56"/>
  <c r="H144" i="56"/>
  <c r="G143" i="56"/>
  <c r="N139" i="56"/>
  <c r="M139" i="56"/>
  <c r="K139" i="56"/>
  <c r="J139" i="56"/>
  <c r="H139" i="56"/>
  <c r="G139" i="56"/>
  <c r="F139" i="56"/>
  <c r="D139" i="56"/>
  <c r="N136" i="56"/>
  <c r="M136" i="56"/>
  <c r="L136" i="56"/>
  <c r="K136" i="56"/>
  <c r="J136" i="56"/>
  <c r="H136" i="56"/>
  <c r="G136" i="56"/>
  <c r="F136" i="56"/>
  <c r="E136" i="56"/>
  <c r="D136" i="56"/>
  <c r="N134" i="56"/>
  <c r="M134" i="56"/>
  <c r="K134" i="56"/>
  <c r="J134" i="56"/>
  <c r="I134" i="56"/>
  <c r="H134" i="56"/>
  <c r="G134" i="56"/>
  <c r="F134" i="56"/>
  <c r="D134" i="56"/>
  <c r="N133" i="56"/>
  <c r="M133" i="56"/>
  <c r="L133" i="56"/>
  <c r="K133" i="56"/>
  <c r="J133" i="56"/>
  <c r="N132" i="56"/>
  <c r="M132" i="56"/>
  <c r="L132" i="56"/>
  <c r="K132" i="56"/>
  <c r="J132" i="56"/>
  <c r="I132" i="56"/>
  <c r="H132" i="56"/>
  <c r="G132" i="56"/>
  <c r="E132" i="56"/>
  <c r="D132" i="56"/>
  <c r="N131" i="56"/>
  <c r="M131" i="56"/>
  <c r="L131" i="56"/>
  <c r="P131" i="56" s="1"/>
  <c r="K131" i="56"/>
  <c r="J131" i="56"/>
  <c r="I131" i="56"/>
  <c r="H131" i="56"/>
  <c r="G131" i="56"/>
  <c r="E131" i="56"/>
  <c r="D131" i="56"/>
  <c r="P130" i="56"/>
  <c r="N130" i="56"/>
  <c r="M130" i="56"/>
  <c r="L130" i="56"/>
  <c r="K130" i="56"/>
  <c r="J130" i="56"/>
  <c r="I130" i="56"/>
  <c r="H130" i="56"/>
  <c r="G130" i="56"/>
  <c r="E130" i="56"/>
  <c r="D130" i="56"/>
  <c r="P129" i="56"/>
  <c r="N129" i="56"/>
  <c r="M129" i="56"/>
  <c r="L129" i="56"/>
  <c r="K129" i="56"/>
  <c r="J129" i="56"/>
  <c r="I129" i="56"/>
  <c r="H129" i="56"/>
  <c r="G129" i="56"/>
  <c r="E129" i="56"/>
  <c r="D129" i="56"/>
  <c r="P128" i="56"/>
  <c r="N128" i="56"/>
  <c r="M128" i="56"/>
  <c r="L128" i="56"/>
  <c r="K128" i="56"/>
  <c r="J128" i="56"/>
  <c r="I128" i="56"/>
  <c r="H128" i="56"/>
  <c r="G128" i="56"/>
  <c r="E128" i="56"/>
  <c r="D128" i="56"/>
  <c r="P127" i="56"/>
  <c r="N127" i="56"/>
  <c r="M127" i="56"/>
  <c r="L127" i="56"/>
  <c r="K127" i="56"/>
  <c r="J127" i="56"/>
  <c r="I127" i="56"/>
  <c r="H127" i="56"/>
  <c r="G127" i="56"/>
  <c r="E127" i="56"/>
  <c r="D127" i="56"/>
  <c r="P126" i="56"/>
  <c r="N126" i="56"/>
  <c r="M126" i="56"/>
  <c r="L126" i="56"/>
  <c r="K126" i="56"/>
  <c r="J126" i="56"/>
  <c r="I126" i="56"/>
  <c r="H126" i="56"/>
  <c r="G126" i="56"/>
  <c r="E126" i="56"/>
  <c r="D126" i="56"/>
  <c r="P125" i="56"/>
  <c r="N125" i="56"/>
  <c r="M125" i="56"/>
  <c r="L125" i="56"/>
  <c r="K125" i="56"/>
  <c r="J125" i="56"/>
  <c r="I125" i="56"/>
  <c r="H125" i="56"/>
  <c r="G125" i="56"/>
  <c r="E125" i="56"/>
  <c r="D125" i="56"/>
  <c r="P124" i="56"/>
  <c r="N124" i="56"/>
  <c r="M124" i="56"/>
  <c r="L124" i="56"/>
  <c r="K124" i="56"/>
  <c r="J124" i="56"/>
  <c r="I124" i="56"/>
  <c r="H124" i="56"/>
  <c r="G124" i="56"/>
  <c r="E124" i="56"/>
  <c r="D124" i="56"/>
  <c r="P123" i="56"/>
  <c r="N123" i="56"/>
  <c r="M123" i="56"/>
  <c r="L123" i="56"/>
  <c r="K123" i="56"/>
  <c r="J123" i="56"/>
  <c r="I123" i="56"/>
  <c r="H123" i="56"/>
  <c r="G123" i="56"/>
  <c r="E123" i="56"/>
  <c r="D123" i="56"/>
  <c r="P122" i="56"/>
  <c r="N122" i="56"/>
  <c r="M122" i="56"/>
  <c r="L122" i="56"/>
  <c r="K122" i="56"/>
  <c r="J122" i="56"/>
  <c r="I122" i="56"/>
  <c r="H122" i="56"/>
  <c r="G122" i="56"/>
  <c r="E122" i="56"/>
  <c r="D122" i="56"/>
  <c r="P121" i="56"/>
  <c r="N121" i="56"/>
  <c r="M121" i="56"/>
  <c r="L121" i="56"/>
  <c r="K121" i="56"/>
  <c r="J121" i="56"/>
  <c r="I121" i="56"/>
  <c r="H121" i="56"/>
  <c r="G121" i="56"/>
  <c r="E121" i="56"/>
  <c r="D121" i="56"/>
  <c r="P120" i="56"/>
  <c r="N120" i="56"/>
  <c r="M120" i="56"/>
  <c r="L120" i="56"/>
  <c r="K120" i="56"/>
  <c r="J120" i="56"/>
  <c r="I120" i="56"/>
  <c r="H120" i="56"/>
  <c r="G120" i="56"/>
  <c r="E120" i="56"/>
  <c r="D120" i="56"/>
  <c r="P119" i="56"/>
  <c r="N119" i="56"/>
  <c r="M119" i="56"/>
  <c r="L119" i="56"/>
  <c r="K119" i="56"/>
  <c r="J119" i="56"/>
  <c r="I119" i="56"/>
  <c r="H119" i="56"/>
  <c r="G119" i="56"/>
  <c r="E119" i="56"/>
  <c r="D119" i="56"/>
  <c r="P118" i="56"/>
  <c r="N118" i="56"/>
  <c r="M118" i="56"/>
  <c r="L118" i="56"/>
  <c r="K118" i="56"/>
  <c r="J118" i="56"/>
  <c r="I118" i="56"/>
  <c r="H118" i="56"/>
  <c r="G118" i="56"/>
  <c r="E118" i="56"/>
  <c r="D118" i="56"/>
  <c r="P117" i="56"/>
  <c r="N117" i="56"/>
  <c r="M117" i="56"/>
  <c r="L117" i="56"/>
  <c r="K117" i="56"/>
  <c r="J117" i="56"/>
  <c r="I117" i="56"/>
  <c r="H117" i="56"/>
  <c r="G117" i="56"/>
  <c r="E117" i="56"/>
  <c r="D117" i="56"/>
  <c r="P116" i="56"/>
  <c r="N116" i="56"/>
  <c r="M116" i="56"/>
  <c r="L116" i="56"/>
  <c r="K116" i="56"/>
  <c r="J116" i="56"/>
  <c r="I116" i="56"/>
  <c r="H116" i="56"/>
  <c r="G116" i="56"/>
  <c r="E116" i="56"/>
  <c r="D116" i="56"/>
  <c r="P115" i="56"/>
  <c r="N115" i="56"/>
  <c r="M115" i="56"/>
  <c r="L115" i="56"/>
  <c r="K115" i="56"/>
  <c r="J115" i="56"/>
  <c r="I115" i="56"/>
  <c r="H115" i="56"/>
  <c r="G115" i="56"/>
  <c r="E115" i="56"/>
  <c r="D115" i="56"/>
  <c r="P114" i="56"/>
  <c r="N114" i="56"/>
  <c r="M114" i="56"/>
  <c r="L114" i="56"/>
  <c r="K114" i="56"/>
  <c r="J114" i="56"/>
  <c r="I114" i="56"/>
  <c r="H114" i="56"/>
  <c r="G114" i="56"/>
  <c r="E114" i="56"/>
  <c r="D114" i="56"/>
  <c r="P113" i="56"/>
  <c r="N113" i="56"/>
  <c r="M113" i="56"/>
  <c r="L113" i="56"/>
  <c r="K113" i="56"/>
  <c r="J113" i="56"/>
  <c r="I113" i="56"/>
  <c r="H113" i="56"/>
  <c r="G113" i="56"/>
  <c r="E113" i="56"/>
  <c r="D113" i="56"/>
  <c r="P112" i="56"/>
  <c r="N112" i="56"/>
  <c r="M112" i="56"/>
  <c r="L112" i="56"/>
  <c r="K112" i="56"/>
  <c r="J112" i="56"/>
  <c r="I112" i="56"/>
  <c r="H112" i="56"/>
  <c r="G112" i="56"/>
  <c r="E112" i="56"/>
  <c r="D112" i="56"/>
  <c r="P111" i="56"/>
  <c r="N111" i="56"/>
  <c r="M111" i="56"/>
  <c r="L111" i="56"/>
  <c r="K111" i="56"/>
  <c r="J111" i="56"/>
  <c r="I111" i="56"/>
  <c r="H111" i="56"/>
  <c r="G111" i="56"/>
  <c r="E111" i="56"/>
  <c r="D111" i="56"/>
  <c r="P110" i="56"/>
  <c r="N110" i="56"/>
  <c r="M110" i="56"/>
  <c r="L110" i="56"/>
  <c r="K110" i="56"/>
  <c r="J110" i="56"/>
  <c r="H110" i="56"/>
  <c r="G110" i="56"/>
  <c r="E110" i="56"/>
  <c r="D110" i="56"/>
  <c r="P109" i="56"/>
  <c r="N109" i="56"/>
  <c r="M109" i="56"/>
  <c r="L109" i="56"/>
  <c r="K109" i="56"/>
  <c r="J109" i="56"/>
  <c r="I109" i="56"/>
  <c r="H109" i="56"/>
  <c r="G109" i="56"/>
  <c r="E109" i="56"/>
  <c r="D109" i="56"/>
  <c r="P108" i="56"/>
  <c r="N108" i="56"/>
  <c r="M108" i="56"/>
  <c r="L108" i="56"/>
  <c r="K108" i="56"/>
  <c r="J108" i="56"/>
  <c r="I108" i="56"/>
  <c r="H108" i="56"/>
  <c r="G108" i="56"/>
  <c r="E108" i="56"/>
  <c r="D108" i="56"/>
  <c r="P107" i="56"/>
  <c r="N107" i="56"/>
  <c r="M107" i="56"/>
  <c r="L107" i="56"/>
  <c r="K107" i="56"/>
  <c r="J107" i="56"/>
  <c r="I107" i="56"/>
  <c r="H107" i="56"/>
  <c r="G107" i="56"/>
  <c r="E107" i="56"/>
  <c r="D107" i="56"/>
  <c r="P106" i="56"/>
  <c r="N106" i="56"/>
  <c r="M106" i="56"/>
  <c r="L106" i="56"/>
  <c r="K106" i="56"/>
  <c r="J106" i="56"/>
  <c r="I106" i="56"/>
  <c r="H106" i="56"/>
  <c r="G106" i="56"/>
  <c r="E106" i="56"/>
  <c r="D106" i="56"/>
  <c r="P105" i="56"/>
  <c r="N105" i="56"/>
  <c r="M105" i="56"/>
  <c r="L105" i="56"/>
  <c r="K105" i="56"/>
  <c r="J105" i="56"/>
  <c r="I105" i="56"/>
  <c r="H105" i="56"/>
  <c r="G105" i="56"/>
  <c r="E105" i="56"/>
  <c r="D105" i="56"/>
  <c r="P104" i="56"/>
  <c r="N104" i="56"/>
  <c r="M104" i="56"/>
  <c r="L104" i="56"/>
  <c r="K104" i="56"/>
  <c r="J104" i="56"/>
  <c r="I104" i="56"/>
  <c r="H104" i="56"/>
  <c r="G104" i="56"/>
  <c r="E104" i="56"/>
  <c r="D104" i="56"/>
  <c r="P103" i="56"/>
  <c r="N103" i="56"/>
  <c r="M103" i="56"/>
  <c r="L103" i="56"/>
  <c r="K103" i="56"/>
  <c r="J103" i="56"/>
  <c r="I103" i="56"/>
  <c r="H103" i="56"/>
  <c r="G103" i="56"/>
  <c r="E103" i="56"/>
  <c r="D103" i="56"/>
  <c r="P102" i="56"/>
  <c r="N102" i="56"/>
  <c r="M102" i="56"/>
  <c r="L102" i="56"/>
  <c r="K102" i="56"/>
  <c r="J102" i="56"/>
  <c r="I102" i="56"/>
  <c r="H102" i="56"/>
  <c r="G102" i="56"/>
  <c r="E102" i="56"/>
  <c r="D102" i="56"/>
  <c r="P101" i="56"/>
  <c r="N101" i="56"/>
  <c r="M101" i="56"/>
  <c r="L101" i="56"/>
  <c r="K101" i="56"/>
  <c r="J101" i="56"/>
  <c r="I101" i="56"/>
  <c r="H101" i="56"/>
  <c r="G101" i="56"/>
  <c r="E101" i="56"/>
  <c r="D101" i="56"/>
  <c r="P100" i="56"/>
  <c r="N100" i="56"/>
  <c r="M100" i="56"/>
  <c r="L100" i="56"/>
  <c r="K100" i="56"/>
  <c r="J100" i="56"/>
  <c r="I100" i="56"/>
  <c r="H100" i="56"/>
  <c r="G100" i="56"/>
  <c r="E100" i="56"/>
  <c r="D100" i="56"/>
  <c r="P99" i="56"/>
  <c r="N99" i="56"/>
  <c r="M99" i="56"/>
  <c r="L99" i="56"/>
  <c r="K99" i="56"/>
  <c r="J99" i="56"/>
  <c r="I99" i="56"/>
  <c r="H99" i="56"/>
  <c r="G99" i="56"/>
  <c r="E99" i="56"/>
  <c r="D99" i="56"/>
  <c r="P98" i="56"/>
  <c r="N98" i="56"/>
  <c r="M98" i="56"/>
  <c r="L98" i="56"/>
  <c r="K98" i="56"/>
  <c r="J98" i="56"/>
  <c r="I98" i="56"/>
  <c r="H98" i="56"/>
  <c r="G98" i="56"/>
  <c r="E98" i="56"/>
  <c r="D98" i="56"/>
  <c r="P97" i="56"/>
  <c r="N97" i="56"/>
  <c r="M97" i="56"/>
  <c r="L97" i="56"/>
  <c r="K97" i="56"/>
  <c r="J97" i="56"/>
  <c r="I97" i="56"/>
  <c r="H97" i="56"/>
  <c r="G97" i="56"/>
  <c r="E97" i="56"/>
  <c r="D97" i="56"/>
  <c r="P96" i="56"/>
  <c r="N96" i="56"/>
  <c r="M96" i="56"/>
  <c r="L96" i="56"/>
  <c r="K96" i="56"/>
  <c r="J96" i="56"/>
  <c r="I96" i="56"/>
  <c r="H96" i="56"/>
  <c r="G96" i="56"/>
  <c r="E96" i="56"/>
  <c r="D96" i="56"/>
  <c r="P95" i="56"/>
  <c r="N95" i="56"/>
  <c r="M95" i="56"/>
  <c r="L95" i="56"/>
  <c r="K95" i="56"/>
  <c r="J95" i="56"/>
  <c r="I95" i="56"/>
  <c r="H95" i="56"/>
  <c r="G95" i="56"/>
  <c r="E95" i="56"/>
  <c r="D95" i="56"/>
  <c r="P94" i="56"/>
  <c r="N94" i="56"/>
  <c r="M94" i="56"/>
  <c r="L94" i="56"/>
  <c r="K94" i="56"/>
  <c r="J94" i="56"/>
  <c r="I94" i="56"/>
  <c r="H94" i="56"/>
  <c r="G94" i="56"/>
  <c r="E94" i="56"/>
  <c r="D94" i="56"/>
  <c r="P93" i="56"/>
  <c r="N93" i="56"/>
  <c r="M93" i="56"/>
  <c r="L93" i="56"/>
  <c r="K93" i="56"/>
  <c r="J93" i="56"/>
  <c r="I93" i="56"/>
  <c r="H93" i="56"/>
  <c r="G93" i="56"/>
  <c r="E93" i="56"/>
  <c r="D93" i="56"/>
  <c r="P92" i="56"/>
  <c r="N92" i="56"/>
  <c r="M92" i="56"/>
  <c r="L92" i="56"/>
  <c r="K92" i="56"/>
  <c r="J92" i="56"/>
  <c r="I92" i="56"/>
  <c r="H92" i="56"/>
  <c r="G92" i="56"/>
  <c r="E92" i="56"/>
  <c r="D92" i="56"/>
  <c r="P91" i="56"/>
  <c r="N91" i="56"/>
  <c r="M91" i="56"/>
  <c r="L91" i="56"/>
  <c r="K91" i="56"/>
  <c r="J91" i="56"/>
  <c r="I91" i="56"/>
  <c r="H91" i="56"/>
  <c r="G91" i="56"/>
  <c r="E91" i="56"/>
  <c r="D91" i="56"/>
  <c r="P90" i="56"/>
  <c r="N90" i="56"/>
  <c r="M90" i="56"/>
  <c r="L90" i="56"/>
  <c r="K90" i="56"/>
  <c r="J90" i="56"/>
  <c r="I90" i="56"/>
  <c r="H90" i="56"/>
  <c r="G90" i="56"/>
  <c r="E90" i="56"/>
  <c r="D90" i="56"/>
  <c r="P89" i="56"/>
  <c r="N89" i="56"/>
  <c r="M89" i="56"/>
  <c r="L89" i="56"/>
  <c r="K89" i="56"/>
  <c r="J89" i="56"/>
  <c r="I89" i="56"/>
  <c r="H89" i="56"/>
  <c r="G89" i="56"/>
  <c r="E89" i="56"/>
  <c r="D89" i="56"/>
  <c r="P88" i="56"/>
  <c r="N88" i="56"/>
  <c r="M88" i="56"/>
  <c r="L88" i="56"/>
  <c r="K88" i="56"/>
  <c r="J88" i="56"/>
  <c r="I88" i="56"/>
  <c r="H88" i="56"/>
  <c r="G88" i="56"/>
  <c r="E88" i="56"/>
  <c r="D88" i="56"/>
  <c r="P87" i="56"/>
  <c r="N87" i="56"/>
  <c r="M87" i="56"/>
  <c r="L87" i="56"/>
  <c r="K87" i="56"/>
  <c r="J87" i="56"/>
  <c r="I87" i="56"/>
  <c r="H87" i="56"/>
  <c r="G87" i="56"/>
  <c r="E87" i="56"/>
  <c r="D87" i="56"/>
  <c r="P86" i="56"/>
  <c r="N86" i="56"/>
  <c r="M86" i="56"/>
  <c r="L86" i="56"/>
  <c r="K86" i="56"/>
  <c r="J86" i="56"/>
  <c r="I86" i="56"/>
  <c r="H86" i="56"/>
  <c r="G86" i="56"/>
  <c r="E86" i="56"/>
  <c r="D86" i="56"/>
  <c r="P85" i="56"/>
  <c r="N85" i="56"/>
  <c r="M85" i="56"/>
  <c r="L85" i="56"/>
  <c r="K85" i="56"/>
  <c r="J85" i="56"/>
  <c r="I85" i="56"/>
  <c r="H85" i="56"/>
  <c r="G85" i="56"/>
  <c r="E85" i="56"/>
  <c r="D85" i="56"/>
  <c r="P84" i="56"/>
  <c r="N84" i="56"/>
  <c r="M84" i="56"/>
  <c r="L84" i="56"/>
  <c r="K84" i="56"/>
  <c r="J84" i="56"/>
  <c r="I84" i="56"/>
  <c r="H84" i="56"/>
  <c r="G84" i="56"/>
  <c r="E84" i="56"/>
  <c r="D84" i="56"/>
  <c r="P83" i="56"/>
  <c r="N83" i="56"/>
  <c r="M83" i="56"/>
  <c r="L83" i="56"/>
  <c r="K83" i="56"/>
  <c r="J83" i="56"/>
  <c r="I83" i="56"/>
  <c r="H83" i="56"/>
  <c r="G83" i="56"/>
  <c r="E83" i="56"/>
  <c r="D83" i="56"/>
  <c r="P82" i="56"/>
  <c r="N82" i="56"/>
  <c r="M82" i="56"/>
  <c r="L82" i="56"/>
  <c r="K82" i="56"/>
  <c r="J82" i="56"/>
  <c r="I82" i="56"/>
  <c r="H82" i="56"/>
  <c r="G82" i="56"/>
  <c r="E82" i="56"/>
  <c r="D82" i="56"/>
  <c r="P81" i="56"/>
  <c r="N81" i="56"/>
  <c r="M81" i="56"/>
  <c r="L81" i="56"/>
  <c r="K81" i="56"/>
  <c r="J81" i="56"/>
  <c r="I81" i="56"/>
  <c r="H81" i="56"/>
  <c r="G81" i="56"/>
  <c r="E81" i="56"/>
  <c r="D81" i="56"/>
  <c r="P80" i="56"/>
  <c r="N80" i="56"/>
  <c r="M80" i="56"/>
  <c r="L80" i="56"/>
  <c r="K80" i="56"/>
  <c r="J80" i="56"/>
  <c r="I80" i="56"/>
  <c r="H80" i="56"/>
  <c r="G80" i="56"/>
  <c r="E80" i="56"/>
  <c r="D80" i="56"/>
  <c r="P79" i="56"/>
  <c r="N79" i="56"/>
  <c r="M79" i="56"/>
  <c r="L79" i="56"/>
  <c r="K79" i="56"/>
  <c r="J79" i="56"/>
  <c r="I79" i="56"/>
  <c r="H79" i="56"/>
  <c r="G79" i="56"/>
  <c r="E79" i="56"/>
  <c r="D79" i="56"/>
  <c r="P78" i="56"/>
  <c r="N78" i="56"/>
  <c r="M78" i="56"/>
  <c r="L78" i="56"/>
  <c r="K78" i="56"/>
  <c r="J78" i="56"/>
  <c r="I78" i="56"/>
  <c r="H78" i="56"/>
  <c r="G78" i="56"/>
  <c r="E78" i="56"/>
  <c r="D78" i="56"/>
  <c r="P77" i="56"/>
  <c r="N77" i="56"/>
  <c r="M77" i="56"/>
  <c r="L77" i="56"/>
  <c r="K77" i="56"/>
  <c r="J77" i="56"/>
  <c r="I77" i="56"/>
  <c r="H77" i="56"/>
  <c r="G77" i="56"/>
  <c r="E77" i="56"/>
  <c r="D77" i="56"/>
  <c r="P76" i="56"/>
  <c r="N76" i="56"/>
  <c r="M76" i="56"/>
  <c r="L76" i="56"/>
  <c r="K76" i="56"/>
  <c r="J76" i="56"/>
  <c r="I76" i="56"/>
  <c r="H76" i="56"/>
  <c r="G76" i="56"/>
  <c r="E76" i="56"/>
  <c r="D76" i="56"/>
  <c r="P75" i="56"/>
  <c r="N75" i="56"/>
  <c r="M75" i="56"/>
  <c r="L75" i="56"/>
  <c r="K75" i="56"/>
  <c r="J75" i="56"/>
  <c r="I75" i="56"/>
  <c r="H75" i="56"/>
  <c r="G75" i="56"/>
  <c r="E75" i="56"/>
  <c r="D75" i="56"/>
  <c r="P74" i="56"/>
  <c r="N74" i="56"/>
  <c r="M74" i="56"/>
  <c r="L74" i="56"/>
  <c r="K74" i="56"/>
  <c r="J74" i="56"/>
  <c r="I74" i="56"/>
  <c r="H74" i="56"/>
  <c r="G74" i="56"/>
  <c r="E74" i="56"/>
  <c r="D74" i="56"/>
  <c r="P73" i="56"/>
  <c r="N73" i="56"/>
  <c r="M73" i="56"/>
  <c r="L73" i="56"/>
  <c r="K73" i="56"/>
  <c r="J73" i="56"/>
  <c r="I73" i="56"/>
  <c r="H73" i="56"/>
  <c r="G73" i="56"/>
  <c r="E73" i="56"/>
  <c r="D73" i="56"/>
  <c r="P72" i="56"/>
  <c r="N72" i="56"/>
  <c r="M72" i="56"/>
  <c r="L72" i="56"/>
  <c r="K72" i="56"/>
  <c r="J72" i="56"/>
  <c r="I72" i="56"/>
  <c r="H72" i="56"/>
  <c r="G72" i="56"/>
  <c r="E72" i="56"/>
  <c r="D72" i="56"/>
  <c r="P71" i="56"/>
  <c r="N71" i="56"/>
  <c r="M71" i="56"/>
  <c r="L71" i="56"/>
  <c r="K71" i="56"/>
  <c r="J71" i="56"/>
  <c r="I71" i="56"/>
  <c r="H71" i="56"/>
  <c r="G71" i="56"/>
  <c r="E71" i="56"/>
  <c r="D71" i="56"/>
  <c r="P70" i="56"/>
  <c r="N70" i="56"/>
  <c r="M70" i="56"/>
  <c r="L70" i="56"/>
  <c r="K70" i="56"/>
  <c r="J70" i="56"/>
  <c r="I70" i="56"/>
  <c r="H70" i="56"/>
  <c r="G70" i="56"/>
  <c r="E70" i="56"/>
  <c r="D70" i="56"/>
  <c r="P69" i="56"/>
  <c r="N69" i="56"/>
  <c r="M69" i="56"/>
  <c r="L69" i="56"/>
  <c r="K69" i="56"/>
  <c r="J69" i="56"/>
  <c r="I69" i="56"/>
  <c r="H69" i="56"/>
  <c r="G69" i="56"/>
  <c r="E69" i="56"/>
  <c r="D69" i="56"/>
  <c r="P68" i="56"/>
  <c r="N68" i="56"/>
  <c r="M68" i="56"/>
  <c r="L68" i="56"/>
  <c r="K68" i="56"/>
  <c r="J68" i="56"/>
  <c r="I68" i="56"/>
  <c r="H68" i="56"/>
  <c r="G68" i="56"/>
  <c r="E68" i="56"/>
  <c r="D68" i="56"/>
  <c r="P67" i="56"/>
  <c r="N67" i="56"/>
  <c r="M67" i="56"/>
  <c r="L67" i="56"/>
  <c r="K67" i="56"/>
  <c r="J67" i="56"/>
  <c r="I67" i="56"/>
  <c r="H67" i="56"/>
  <c r="G67" i="56"/>
  <c r="E67" i="56"/>
  <c r="D67" i="56"/>
  <c r="P66" i="56"/>
  <c r="N66" i="56"/>
  <c r="M66" i="56"/>
  <c r="L66" i="56"/>
  <c r="K66" i="56"/>
  <c r="J66" i="56"/>
  <c r="I66" i="56"/>
  <c r="H66" i="56"/>
  <c r="G66" i="56"/>
  <c r="E66" i="56"/>
  <c r="D66" i="56"/>
  <c r="P65" i="56"/>
  <c r="N65" i="56"/>
  <c r="M65" i="56"/>
  <c r="L65" i="56"/>
  <c r="K65" i="56"/>
  <c r="J65" i="56"/>
  <c r="I65" i="56"/>
  <c r="H65" i="56"/>
  <c r="G65" i="56"/>
  <c r="E65" i="56"/>
  <c r="D65" i="56"/>
  <c r="P64" i="56"/>
  <c r="N64" i="56"/>
  <c r="M64" i="56"/>
  <c r="L64" i="56"/>
  <c r="K64" i="56"/>
  <c r="J64" i="56"/>
  <c r="I64" i="56"/>
  <c r="H64" i="56"/>
  <c r="G64" i="56"/>
  <c r="E64" i="56"/>
  <c r="D64" i="56"/>
  <c r="P63" i="56"/>
  <c r="N63" i="56"/>
  <c r="M63" i="56"/>
  <c r="L63" i="56"/>
  <c r="K63" i="56"/>
  <c r="J63" i="56"/>
  <c r="I63" i="56"/>
  <c r="H63" i="56"/>
  <c r="G63" i="56"/>
  <c r="E63" i="56"/>
  <c r="D63" i="56"/>
  <c r="P62" i="56"/>
  <c r="N62" i="56"/>
  <c r="M62" i="56"/>
  <c r="L62" i="56"/>
  <c r="K62" i="56"/>
  <c r="J62" i="56"/>
  <c r="I62" i="56"/>
  <c r="H62" i="56"/>
  <c r="G62" i="56"/>
  <c r="E62" i="56"/>
  <c r="D62" i="56"/>
  <c r="P61" i="56"/>
  <c r="N61" i="56"/>
  <c r="M61" i="56"/>
  <c r="L61" i="56"/>
  <c r="K61" i="56"/>
  <c r="J61" i="56"/>
  <c r="I61" i="56"/>
  <c r="H61" i="56"/>
  <c r="G61" i="56"/>
  <c r="E61" i="56"/>
  <c r="D61" i="56"/>
  <c r="P60" i="56"/>
  <c r="N60" i="56"/>
  <c r="M60" i="56"/>
  <c r="L60" i="56"/>
  <c r="K60" i="56"/>
  <c r="J60" i="56"/>
  <c r="I60" i="56"/>
  <c r="H60" i="56"/>
  <c r="G60" i="56"/>
  <c r="E60" i="56"/>
  <c r="D60" i="56"/>
  <c r="P59" i="56"/>
  <c r="N59" i="56"/>
  <c r="M59" i="56"/>
  <c r="L59" i="56"/>
  <c r="K59" i="56"/>
  <c r="J59" i="56"/>
  <c r="I59" i="56"/>
  <c r="H59" i="56"/>
  <c r="G59" i="56"/>
  <c r="E59" i="56"/>
  <c r="D59" i="56"/>
  <c r="P58" i="56"/>
  <c r="N58" i="56"/>
  <c r="M58" i="56"/>
  <c r="L58" i="56"/>
  <c r="K58" i="56"/>
  <c r="J58" i="56"/>
  <c r="I58" i="56"/>
  <c r="H58" i="56"/>
  <c r="G58" i="56"/>
  <c r="E58" i="56"/>
  <c r="D58" i="56"/>
  <c r="P57" i="56"/>
  <c r="N57" i="56"/>
  <c r="M57" i="56"/>
  <c r="L57" i="56"/>
  <c r="K57" i="56"/>
  <c r="J57" i="56"/>
  <c r="I57" i="56"/>
  <c r="H57" i="56"/>
  <c r="G57" i="56"/>
  <c r="E57" i="56"/>
  <c r="D57" i="56"/>
  <c r="P56" i="56"/>
  <c r="N56" i="56"/>
  <c r="M56" i="56"/>
  <c r="L56" i="56"/>
  <c r="K56" i="56"/>
  <c r="J56" i="56"/>
  <c r="I56" i="56"/>
  <c r="H56" i="56"/>
  <c r="G56" i="56"/>
  <c r="E56" i="56"/>
  <c r="D56" i="56"/>
  <c r="P55" i="56"/>
  <c r="N55" i="56"/>
  <c r="M55" i="56"/>
  <c r="L55" i="56"/>
  <c r="K55" i="56"/>
  <c r="J55" i="56"/>
  <c r="I55" i="56"/>
  <c r="H55" i="56"/>
  <c r="G55" i="56"/>
  <c r="E55" i="56"/>
  <c r="D55" i="56"/>
  <c r="P54" i="56"/>
  <c r="N54" i="56"/>
  <c r="M54" i="56"/>
  <c r="L54" i="56"/>
  <c r="K54" i="56"/>
  <c r="J54" i="56"/>
  <c r="I54" i="56"/>
  <c r="H54" i="56"/>
  <c r="G54" i="56"/>
  <c r="E54" i="56"/>
  <c r="D54" i="56"/>
  <c r="P53" i="56"/>
  <c r="N53" i="56"/>
  <c r="M53" i="56"/>
  <c r="L53" i="56"/>
  <c r="K53" i="56"/>
  <c r="J53" i="56"/>
  <c r="I53" i="56"/>
  <c r="H53" i="56"/>
  <c r="G53" i="56"/>
  <c r="E53" i="56"/>
  <c r="D53" i="56"/>
  <c r="P52" i="56"/>
  <c r="N52" i="56"/>
  <c r="M52" i="56"/>
  <c r="L52" i="56"/>
  <c r="K52" i="56"/>
  <c r="J52" i="56"/>
  <c r="I52" i="56"/>
  <c r="H52" i="56"/>
  <c r="G52" i="56"/>
  <c r="E52" i="56"/>
  <c r="D52" i="56"/>
  <c r="P51" i="56"/>
  <c r="N51" i="56"/>
  <c r="M51" i="56"/>
  <c r="L51" i="56"/>
  <c r="K51" i="56"/>
  <c r="J51" i="56"/>
  <c r="I51" i="56"/>
  <c r="H51" i="56"/>
  <c r="G51" i="56"/>
  <c r="E51" i="56"/>
  <c r="D51" i="56"/>
  <c r="P50" i="56"/>
  <c r="N50" i="56"/>
  <c r="M50" i="56"/>
  <c r="L50" i="56"/>
  <c r="K50" i="56"/>
  <c r="J50" i="56"/>
  <c r="I50" i="56"/>
  <c r="H50" i="56"/>
  <c r="G50" i="56"/>
  <c r="E50" i="56"/>
  <c r="D50" i="56"/>
  <c r="P49" i="56"/>
  <c r="N49" i="56"/>
  <c r="M49" i="56"/>
  <c r="L49" i="56"/>
  <c r="K49" i="56"/>
  <c r="J49" i="56"/>
  <c r="I49" i="56"/>
  <c r="H49" i="56"/>
  <c r="G49" i="56"/>
  <c r="E49" i="56"/>
  <c r="D49" i="56"/>
  <c r="P48" i="56"/>
  <c r="N48" i="56"/>
  <c r="M48" i="56"/>
  <c r="L48" i="56"/>
  <c r="K48" i="56"/>
  <c r="J48" i="56"/>
  <c r="I48" i="56"/>
  <c r="H48" i="56"/>
  <c r="G48" i="56"/>
  <c r="E48" i="56"/>
  <c r="D48" i="56"/>
  <c r="P47" i="56"/>
  <c r="N47" i="56"/>
  <c r="M47" i="56"/>
  <c r="L47" i="56"/>
  <c r="K47" i="56"/>
  <c r="J47" i="56"/>
  <c r="I47" i="56"/>
  <c r="H47" i="56"/>
  <c r="G47" i="56"/>
  <c r="E47" i="56"/>
  <c r="D47" i="56"/>
  <c r="P46" i="56"/>
  <c r="N46" i="56"/>
  <c r="M46" i="56"/>
  <c r="L46" i="56"/>
  <c r="K46" i="56"/>
  <c r="J46" i="56"/>
  <c r="I46" i="56"/>
  <c r="H46" i="56"/>
  <c r="G46" i="56"/>
  <c r="E46" i="56"/>
  <c r="D46" i="56"/>
  <c r="P45" i="56"/>
  <c r="N45" i="56"/>
  <c r="M45" i="56"/>
  <c r="L45" i="56"/>
  <c r="K45" i="56"/>
  <c r="J45" i="56"/>
  <c r="I45" i="56"/>
  <c r="H45" i="56"/>
  <c r="G45" i="56"/>
  <c r="E45" i="56"/>
  <c r="D45" i="56"/>
  <c r="P44" i="56"/>
  <c r="N44" i="56"/>
  <c r="M44" i="56"/>
  <c r="L44" i="56"/>
  <c r="K44" i="56"/>
  <c r="J44" i="56"/>
  <c r="I44" i="56"/>
  <c r="H44" i="56"/>
  <c r="G44" i="56"/>
  <c r="E44" i="56"/>
  <c r="D44" i="56"/>
  <c r="P43" i="56"/>
  <c r="N43" i="56"/>
  <c r="M43" i="56"/>
  <c r="L43" i="56"/>
  <c r="K43" i="56"/>
  <c r="J43" i="56"/>
  <c r="I43" i="56"/>
  <c r="H43" i="56"/>
  <c r="G43" i="56"/>
  <c r="E43" i="56"/>
  <c r="D43" i="56"/>
  <c r="P42" i="56"/>
  <c r="N42" i="56"/>
  <c r="M42" i="56"/>
  <c r="L42" i="56"/>
  <c r="K42" i="56"/>
  <c r="J42" i="56"/>
  <c r="I42" i="56"/>
  <c r="H42" i="56"/>
  <c r="G42" i="56"/>
  <c r="E42" i="56"/>
  <c r="D42" i="56"/>
  <c r="P41" i="56"/>
  <c r="N41" i="56"/>
  <c r="M41" i="56"/>
  <c r="L41" i="56"/>
  <c r="K41" i="56"/>
  <c r="J41" i="56"/>
  <c r="I41" i="56"/>
  <c r="H41" i="56"/>
  <c r="G41" i="56"/>
  <c r="E41" i="56"/>
  <c r="D41" i="56"/>
  <c r="P40" i="56"/>
  <c r="N40" i="56"/>
  <c r="M40" i="56"/>
  <c r="L40" i="56"/>
  <c r="K40" i="56"/>
  <c r="J40" i="56"/>
  <c r="I40" i="56"/>
  <c r="H40" i="56"/>
  <c r="G40" i="56"/>
  <c r="E40" i="56"/>
  <c r="D40" i="56"/>
  <c r="P39" i="56"/>
  <c r="N39" i="56"/>
  <c r="M39" i="56"/>
  <c r="L39" i="56"/>
  <c r="K39" i="56"/>
  <c r="J39" i="56"/>
  <c r="I39" i="56"/>
  <c r="H39" i="56"/>
  <c r="G39" i="56"/>
  <c r="E39" i="56"/>
  <c r="D39" i="56"/>
  <c r="P38" i="56"/>
  <c r="N38" i="56"/>
  <c r="M38" i="56"/>
  <c r="L38" i="56"/>
  <c r="K38" i="56"/>
  <c r="J38" i="56"/>
  <c r="I38" i="56"/>
  <c r="H38" i="56"/>
  <c r="G38" i="56"/>
  <c r="E38" i="56"/>
  <c r="D38" i="56"/>
  <c r="P37" i="56"/>
  <c r="N37" i="56"/>
  <c r="M37" i="56"/>
  <c r="L37" i="56"/>
  <c r="K37" i="56"/>
  <c r="J37" i="56"/>
  <c r="I37" i="56"/>
  <c r="H37" i="56"/>
  <c r="G37" i="56"/>
  <c r="E37" i="56"/>
  <c r="D37" i="56"/>
  <c r="P36" i="56"/>
  <c r="N36" i="56"/>
  <c r="M36" i="56"/>
  <c r="L36" i="56"/>
  <c r="K36" i="56"/>
  <c r="J36" i="56"/>
  <c r="I36" i="56"/>
  <c r="H36" i="56"/>
  <c r="G36" i="56"/>
  <c r="E36" i="56"/>
  <c r="D36" i="56"/>
  <c r="P35" i="56"/>
  <c r="N35" i="56"/>
  <c r="M35" i="56"/>
  <c r="L35" i="56"/>
  <c r="K35" i="56"/>
  <c r="J35" i="56"/>
  <c r="I35" i="56"/>
  <c r="H35" i="56"/>
  <c r="G35" i="56"/>
  <c r="E35" i="56"/>
  <c r="D35" i="56"/>
  <c r="P34" i="56"/>
  <c r="N34" i="56"/>
  <c r="M34" i="56"/>
  <c r="L34" i="56"/>
  <c r="K34" i="56"/>
  <c r="J34" i="56"/>
  <c r="I34" i="56"/>
  <c r="H34" i="56"/>
  <c r="G34" i="56"/>
  <c r="E34" i="56"/>
  <c r="D34" i="56"/>
  <c r="P33" i="56"/>
  <c r="N33" i="56"/>
  <c r="M33" i="56"/>
  <c r="L33" i="56"/>
  <c r="K33" i="56"/>
  <c r="J33" i="56"/>
  <c r="I33" i="56"/>
  <c r="H33" i="56"/>
  <c r="G33" i="56"/>
  <c r="E33" i="56"/>
  <c r="D33" i="56"/>
  <c r="P32" i="56"/>
  <c r="N32" i="56"/>
  <c r="M32" i="56"/>
  <c r="L32" i="56"/>
  <c r="K32" i="56"/>
  <c r="J32" i="56"/>
  <c r="I32" i="56"/>
  <c r="H32" i="56"/>
  <c r="G32" i="56"/>
  <c r="E32" i="56"/>
  <c r="D32" i="56"/>
  <c r="P31" i="56"/>
  <c r="N31" i="56"/>
  <c r="M31" i="56"/>
  <c r="L31" i="56"/>
  <c r="K31" i="56"/>
  <c r="J31" i="56"/>
  <c r="I31" i="56"/>
  <c r="H31" i="56"/>
  <c r="G31" i="56"/>
  <c r="E31" i="56"/>
  <c r="D31" i="56"/>
  <c r="P30" i="56"/>
  <c r="N30" i="56"/>
  <c r="M30" i="56"/>
  <c r="L30" i="56"/>
  <c r="K30" i="56"/>
  <c r="J30" i="56"/>
  <c r="I30" i="56"/>
  <c r="H30" i="56"/>
  <c r="G30" i="56"/>
  <c r="E30" i="56"/>
  <c r="D30" i="56"/>
  <c r="P29" i="56"/>
  <c r="N29" i="56"/>
  <c r="M29" i="56"/>
  <c r="L29" i="56"/>
  <c r="K29" i="56"/>
  <c r="J29" i="56"/>
  <c r="I29" i="56"/>
  <c r="H29" i="56"/>
  <c r="G29" i="56"/>
  <c r="E29" i="56"/>
  <c r="D29" i="56"/>
  <c r="P28" i="56"/>
  <c r="N28" i="56"/>
  <c r="M28" i="56"/>
  <c r="L28" i="56"/>
  <c r="K28" i="56"/>
  <c r="J28" i="56"/>
  <c r="I28" i="56"/>
  <c r="H28" i="56"/>
  <c r="G28" i="56"/>
  <c r="E28" i="56"/>
  <c r="D28" i="56"/>
  <c r="P27" i="56"/>
  <c r="N27" i="56"/>
  <c r="M27" i="56"/>
  <c r="L27" i="56"/>
  <c r="K27" i="56"/>
  <c r="J27" i="56"/>
  <c r="I27" i="56"/>
  <c r="H27" i="56"/>
  <c r="G27" i="56"/>
  <c r="E27" i="56"/>
  <c r="D27" i="56"/>
  <c r="P26" i="56"/>
  <c r="N26" i="56"/>
  <c r="M26" i="56"/>
  <c r="L26" i="56"/>
  <c r="K26" i="56"/>
  <c r="J26" i="56"/>
  <c r="I26" i="56"/>
  <c r="H26" i="56"/>
  <c r="G26" i="56"/>
  <c r="E26" i="56"/>
  <c r="D26" i="56"/>
  <c r="P25" i="56"/>
  <c r="N25" i="56"/>
  <c r="M25" i="56"/>
  <c r="L25" i="56"/>
  <c r="K25" i="56"/>
  <c r="J25" i="56"/>
  <c r="I25" i="56"/>
  <c r="H25" i="56"/>
  <c r="G25" i="56"/>
  <c r="E25" i="56"/>
  <c r="D25" i="56"/>
  <c r="P24" i="56"/>
  <c r="N24" i="56"/>
  <c r="M24" i="56"/>
  <c r="L24" i="56"/>
  <c r="K24" i="56"/>
  <c r="J24" i="56"/>
  <c r="I24" i="56"/>
  <c r="H24" i="56"/>
  <c r="G24" i="56"/>
  <c r="E24" i="56"/>
  <c r="D24" i="56"/>
  <c r="P23" i="56"/>
  <c r="N23" i="56"/>
  <c r="M23" i="56"/>
  <c r="L23" i="56"/>
  <c r="K23" i="56"/>
  <c r="J23" i="56"/>
  <c r="I23" i="56"/>
  <c r="H23" i="56"/>
  <c r="G23" i="56"/>
  <c r="E23" i="56"/>
  <c r="D23" i="56"/>
  <c r="P22" i="56"/>
  <c r="N22" i="56"/>
  <c r="M22" i="56"/>
  <c r="L22" i="56"/>
  <c r="K22" i="56"/>
  <c r="J22" i="56"/>
  <c r="I22" i="56"/>
  <c r="H22" i="56"/>
  <c r="G22" i="56"/>
  <c r="E22" i="56"/>
  <c r="D22" i="56"/>
  <c r="N19" i="56"/>
  <c r="M19" i="56"/>
  <c r="L19" i="56"/>
  <c r="K19" i="56"/>
  <c r="J19" i="56"/>
  <c r="H19" i="56"/>
  <c r="G19" i="56"/>
  <c r="F19" i="56"/>
  <c r="E19" i="56"/>
  <c r="D19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P17" i="56"/>
  <c r="P16" i="56"/>
  <c r="P15" i="56"/>
  <c r="P14" i="56"/>
  <c r="N13" i="56"/>
  <c r="M13" i="56"/>
  <c r="L13" i="56"/>
  <c r="K13" i="56"/>
  <c r="J13" i="56"/>
  <c r="H13" i="56"/>
  <c r="G13" i="56"/>
  <c r="F13" i="56"/>
  <c r="E13" i="56"/>
  <c r="D13" i="56"/>
  <c r="N12" i="56"/>
  <c r="M12" i="56"/>
  <c r="L12" i="56"/>
  <c r="K12" i="56"/>
  <c r="J12" i="56"/>
  <c r="I12" i="56"/>
  <c r="H12" i="56"/>
  <c r="G12" i="56"/>
  <c r="F12" i="56"/>
  <c r="E12" i="56"/>
  <c r="D12" i="56"/>
  <c r="N11" i="56"/>
  <c r="M11" i="56"/>
  <c r="L11" i="56"/>
  <c r="K11" i="56"/>
  <c r="J11" i="56"/>
  <c r="I11" i="56"/>
  <c r="P11" i="56" s="1"/>
  <c r="H11" i="56"/>
  <c r="G11" i="56"/>
  <c r="F11" i="56"/>
  <c r="E11" i="56"/>
  <c r="D11" i="56"/>
  <c r="N10" i="56"/>
  <c r="M10" i="56"/>
  <c r="L10" i="56"/>
  <c r="K10" i="56"/>
  <c r="J10" i="56"/>
  <c r="I10" i="56"/>
  <c r="P10" i="56" s="1"/>
  <c r="H10" i="56"/>
  <c r="G10" i="56"/>
  <c r="F10" i="56"/>
  <c r="E10" i="56"/>
  <c r="D10" i="56"/>
  <c r="N9" i="56"/>
  <c r="M9" i="56"/>
  <c r="L9" i="56"/>
  <c r="K9" i="56"/>
  <c r="J9" i="56"/>
  <c r="I9" i="56"/>
  <c r="P9" i="56" s="1"/>
  <c r="H9" i="56"/>
  <c r="G9" i="56"/>
  <c r="F9" i="56"/>
  <c r="E9" i="56"/>
  <c r="D9" i="56"/>
  <c r="O8" i="56"/>
  <c r="O13" i="56" s="1"/>
  <c r="N8" i="56"/>
  <c r="M8" i="56"/>
  <c r="L8" i="56"/>
  <c r="K8" i="56"/>
  <c r="J8" i="56"/>
  <c r="H8" i="56"/>
  <c r="G8" i="56"/>
  <c r="F8" i="56"/>
  <c r="E8" i="56"/>
  <c r="D8" i="56"/>
  <c r="G143" i="55"/>
  <c r="N139" i="55"/>
  <c r="M139" i="55"/>
  <c r="K139" i="55"/>
  <c r="J139" i="55"/>
  <c r="H139" i="55"/>
  <c r="G139" i="55"/>
  <c r="F139" i="55"/>
  <c r="D139" i="55"/>
  <c r="N136" i="55"/>
  <c r="M136" i="55"/>
  <c r="L136" i="55"/>
  <c r="K136" i="55"/>
  <c r="J136" i="55"/>
  <c r="H136" i="55"/>
  <c r="G136" i="55"/>
  <c r="F136" i="55"/>
  <c r="E136" i="55"/>
  <c r="D136" i="55"/>
  <c r="N134" i="55"/>
  <c r="M134" i="55"/>
  <c r="K134" i="55"/>
  <c r="J134" i="55"/>
  <c r="I134" i="55"/>
  <c r="H134" i="55"/>
  <c r="G134" i="55"/>
  <c r="F134" i="55"/>
  <c r="D134" i="55"/>
  <c r="N133" i="55"/>
  <c r="M133" i="55"/>
  <c r="L133" i="55"/>
  <c r="K133" i="55"/>
  <c r="J133" i="55"/>
  <c r="N132" i="55"/>
  <c r="M132" i="55"/>
  <c r="L132" i="55"/>
  <c r="K132" i="55"/>
  <c r="J132" i="55"/>
  <c r="I132" i="55"/>
  <c r="H132" i="55"/>
  <c r="G132" i="55"/>
  <c r="E132" i="55"/>
  <c r="E134" i="55" s="1"/>
  <c r="E139" i="55" s="1"/>
  <c r="D132" i="55"/>
  <c r="N131" i="55"/>
  <c r="M131" i="55"/>
  <c r="L131" i="55"/>
  <c r="P131" i="55" s="1"/>
  <c r="K131" i="55"/>
  <c r="J131" i="55"/>
  <c r="I131" i="55"/>
  <c r="H131" i="55"/>
  <c r="G131" i="55"/>
  <c r="E131" i="55"/>
  <c r="D131" i="55"/>
  <c r="P130" i="55"/>
  <c r="N130" i="55"/>
  <c r="M130" i="55"/>
  <c r="L130" i="55"/>
  <c r="L134" i="55" s="1"/>
  <c r="K130" i="55"/>
  <c r="J130" i="55"/>
  <c r="I130" i="55"/>
  <c r="H130" i="55"/>
  <c r="G130" i="55"/>
  <c r="E130" i="55"/>
  <c r="D130" i="55"/>
  <c r="P129" i="55"/>
  <c r="N129" i="55"/>
  <c r="M129" i="55"/>
  <c r="L129" i="55"/>
  <c r="K129" i="55"/>
  <c r="J129" i="55"/>
  <c r="I129" i="55"/>
  <c r="H129" i="55"/>
  <c r="G129" i="55"/>
  <c r="E129" i="55"/>
  <c r="D129" i="55"/>
  <c r="P128" i="55"/>
  <c r="N128" i="55"/>
  <c r="M128" i="55"/>
  <c r="L128" i="55"/>
  <c r="K128" i="55"/>
  <c r="J128" i="55"/>
  <c r="I128" i="55"/>
  <c r="H128" i="55"/>
  <c r="G128" i="55"/>
  <c r="E128" i="55"/>
  <c r="D128" i="55"/>
  <c r="P127" i="55"/>
  <c r="N127" i="55"/>
  <c r="M127" i="55"/>
  <c r="L127" i="55"/>
  <c r="K127" i="55"/>
  <c r="J127" i="55"/>
  <c r="I127" i="55"/>
  <c r="H127" i="55"/>
  <c r="G127" i="55"/>
  <c r="E127" i="55"/>
  <c r="D127" i="55"/>
  <c r="P126" i="55"/>
  <c r="N126" i="55"/>
  <c r="M126" i="55"/>
  <c r="L126" i="55"/>
  <c r="K126" i="55"/>
  <c r="J126" i="55"/>
  <c r="I126" i="55"/>
  <c r="H126" i="55"/>
  <c r="G126" i="55"/>
  <c r="E126" i="55"/>
  <c r="D126" i="55"/>
  <c r="P125" i="55"/>
  <c r="N125" i="55"/>
  <c r="M125" i="55"/>
  <c r="L125" i="55"/>
  <c r="K125" i="55"/>
  <c r="J125" i="55"/>
  <c r="I125" i="55"/>
  <c r="H125" i="55"/>
  <c r="G125" i="55"/>
  <c r="E125" i="55"/>
  <c r="D125" i="55"/>
  <c r="P124" i="55"/>
  <c r="N124" i="55"/>
  <c r="M124" i="55"/>
  <c r="L124" i="55"/>
  <c r="K124" i="55"/>
  <c r="J124" i="55"/>
  <c r="I124" i="55"/>
  <c r="H124" i="55"/>
  <c r="G124" i="55"/>
  <c r="E124" i="55"/>
  <c r="D124" i="55"/>
  <c r="P123" i="55"/>
  <c r="N123" i="55"/>
  <c r="M123" i="55"/>
  <c r="L123" i="55"/>
  <c r="K123" i="55"/>
  <c r="J123" i="55"/>
  <c r="I123" i="55"/>
  <c r="H123" i="55"/>
  <c r="G123" i="55"/>
  <c r="E123" i="55"/>
  <c r="D123" i="55"/>
  <c r="P122" i="55"/>
  <c r="N122" i="55"/>
  <c r="M122" i="55"/>
  <c r="L122" i="55"/>
  <c r="K122" i="55"/>
  <c r="J122" i="55"/>
  <c r="I122" i="55"/>
  <c r="H122" i="55"/>
  <c r="G122" i="55"/>
  <c r="E122" i="55"/>
  <c r="D122" i="55"/>
  <c r="P121" i="55"/>
  <c r="N121" i="55"/>
  <c r="M121" i="55"/>
  <c r="L121" i="55"/>
  <c r="K121" i="55"/>
  <c r="J121" i="55"/>
  <c r="I121" i="55"/>
  <c r="H121" i="55"/>
  <c r="G121" i="55"/>
  <c r="E121" i="55"/>
  <c r="D121" i="55"/>
  <c r="P120" i="55"/>
  <c r="N120" i="55"/>
  <c r="M120" i="55"/>
  <c r="L120" i="55"/>
  <c r="K120" i="55"/>
  <c r="J120" i="55"/>
  <c r="I120" i="55"/>
  <c r="H120" i="55"/>
  <c r="G120" i="55"/>
  <c r="E120" i="55"/>
  <c r="D120" i="55"/>
  <c r="P119" i="55"/>
  <c r="N119" i="55"/>
  <c r="M119" i="55"/>
  <c r="L119" i="55"/>
  <c r="K119" i="55"/>
  <c r="J119" i="55"/>
  <c r="I119" i="55"/>
  <c r="H119" i="55"/>
  <c r="G119" i="55"/>
  <c r="E119" i="55"/>
  <c r="D119" i="55"/>
  <c r="P118" i="55"/>
  <c r="N118" i="55"/>
  <c r="M118" i="55"/>
  <c r="L118" i="55"/>
  <c r="K118" i="55"/>
  <c r="J118" i="55"/>
  <c r="I118" i="55"/>
  <c r="H118" i="55"/>
  <c r="G118" i="55"/>
  <c r="E118" i="55"/>
  <c r="D118" i="55"/>
  <c r="P117" i="55"/>
  <c r="N117" i="55"/>
  <c r="M117" i="55"/>
  <c r="L117" i="55"/>
  <c r="K117" i="55"/>
  <c r="J117" i="55"/>
  <c r="I117" i="55"/>
  <c r="H117" i="55"/>
  <c r="G117" i="55"/>
  <c r="E117" i="55"/>
  <c r="D117" i="55"/>
  <c r="P116" i="55"/>
  <c r="N116" i="55"/>
  <c r="M116" i="55"/>
  <c r="L116" i="55"/>
  <c r="K116" i="55"/>
  <c r="J116" i="55"/>
  <c r="I116" i="55"/>
  <c r="H116" i="55"/>
  <c r="G116" i="55"/>
  <c r="E116" i="55"/>
  <c r="D116" i="55"/>
  <c r="P115" i="55"/>
  <c r="N115" i="55"/>
  <c r="M115" i="55"/>
  <c r="L115" i="55"/>
  <c r="K115" i="55"/>
  <c r="J115" i="55"/>
  <c r="I115" i="55"/>
  <c r="H115" i="55"/>
  <c r="G115" i="55"/>
  <c r="E115" i="55"/>
  <c r="D115" i="55"/>
  <c r="P114" i="55"/>
  <c r="N114" i="55"/>
  <c r="M114" i="55"/>
  <c r="L114" i="55"/>
  <c r="K114" i="55"/>
  <c r="J114" i="55"/>
  <c r="I114" i="55"/>
  <c r="H114" i="55"/>
  <c r="G114" i="55"/>
  <c r="E114" i="55"/>
  <c r="D114" i="55"/>
  <c r="P113" i="55"/>
  <c r="N113" i="55"/>
  <c r="M113" i="55"/>
  <c r="L113" i="55"/>
  <c r="K113" i="55"/>
  <c r="J113" i="55"/>
  <c r="I113" i="55"/>
  <c r="H113" i="55"/>
  <c r="G113" i="55"/>
  <c r="E113" i="55"/>
  <c r="D113" i="55"/>
  <c r="P112" i="55"/>
  <c r="N112" i="55"/>
  <c r="M112" i="55"/>
  <c r="L112" i="55"/>
  <c r="K112" i="55"/>
  <c r="J112" i="55"/>
  <c r="I112" i="55"/>
  <c r="H112" i="55"/>
  <c r="G112" i="55"/>
  <c r="E112" i="55"/>
  <c r="D112" i="55"/>
  <c r="P111" i="55"/>
  <c r="N111" i="55"/>
  <c r="M111" i="55"/>
  <c r="L111" i="55"/>
  <c r="K111" i="55"/>
  <c r="J111" i="55"/>
  <c r="I111" i="55"/>
  <c r="H111" i="55"/>
  <c r="G111" i="55"/>
  <c r="E111" i="55"/>
  <c r="D111" i="55"/>
  <c r="P110" i="55"/>
  <c r="N110" i="55"/>
  <c r="M110" i="55"/>
  <c r="L110" i="55"/>
  <c r="K110" i="55"/>
  <c r="J110" i="55"/>
  <c r="I110" i="55"/>
  <c r="H110" i="55"/>
  <c r="G110" i="55"/>
  <c r="E110" i="55"/>
  <c r="D110" i="55"/>
  <c r="P109" i="55"/>
  <c r="N109" i="55"/>
  <c r="M109" i="55"/>
  <c r="L109" i="55"/>
  <c r="K109" i="55"/>
  <c r="J109" i="55"/>
  <c r="I109" i="55"/>
  <c r="H109" i="55"/>
  <c r="G109" i="55"/>
  <c r="E109" i="55"/>
  <c r="D109" i="55"/>
  <c r="P108" i="55"/>
  <c r="N108" i="55"/>
  <c r="M108" i="55"/>
  <c r="L108" i="55"/>
  <c r="K108" i="55"/>
  <c r="J108" i="55"/>
  <c r="I108" i="55"/>
  <c r="H108" i="55"/>
  <c r="G108" i="55"/>
  <c r="E108" i="55"/>
  <c r="D108" i="55"/>
  <c r="P107" i="55"/>
  <c r="N107" i="55"/>
  <c r="M107" i="55"/>
  <c r="L107" i="55"/>
  <c r="K107" i="55"/>
  <c r="J107" i="55"/>
  <c r="I107" i="55"/>
  <c r="H107" i="55"/>
  <c r="G107" i="55"/>
  <c r="E107" i="55"/>
  <c r="D107" i="55"/>
  <c r="P106" i="55"/>
  <c r="N106" i="55"/>
  <c r="M106" i="55"/>
  <c r="L106" i="55"/>
  <c r="K106" i="55"/>
  <c r="J106" i="55"/>
  <c r="I106" i="55"/>
  <c r="H106" i="55"/>
  <c r="G106" i="55"/>
  <c r="E106" i="55"/>
  <c r="D106" i="55"/>
  <c r="P105" i="55"/>
  <c r="N105" i="55"/>
  <c r="M105" i="55"/>
  <c r="L105" i="55"/>
  <c r="K105" i="55"/>
  <c r="J105" i="55"/>
  <c r="I105" i="55"/>
  <c r="H105" i="55"/>
  <c r="G105" i="55"/>
  <c r="E105" i="55"/>
  <c r="D105" i="55"/>
  <c r="P104" i="55"/>
  <c r="N104" i="55"/>
  <c r="M104" i="55"/>
  <c r="L104" i="55"/>
  <c r="K104" i="55"/>
  <c r="J104" i="55"/>
  <c r="I104" i="55"/>
  <c r="H104" i="55"/>
  <c r="G104" i="55"/>
  <c r="E104" i="55"/>
  <c r="D104" i="55"/>
  <c r="P103" i="55"/>
  <c r="N103" i="55"/>
  <c r="M103" i="55"/>
  <c r="L103" i="55"/>
  <c r="K103" i="55"/>
  <c r="J103" i="55"/>
  <c r="I103" i="55"/>
  <c r="H103" i="55"/>
  <c r="G103" i="55"/>
  <c r="E103" i="55"/>
  <c r="D103" i="55"/>
  <c r="P102" i="55"/>
  <c r="N102" i="55"/>
  <c r="M102" i="55"/>
  <c r="L102" i="55"/>
  <c r="K102" i="55"/>
  <c r="J102" i="55"/>
  <c r="I102" i="55"/>
  <c r="H102" i="55"/>
  <c r="G102" i="55"/>
  <c r="E102" i="55"/>
  <c r="D102" i="55"/>
  <c r="P101" i="55"/>
  <c r="N101" i="55"/>
  <c r="M101" i="55"/>
  <c r="L101" i="55"/>
  <c r="K101" i="55"/>
  <c r="J101" i="55"/>
  <c r="I101" i="55"/>
  <c r="H101" i="55"/>
  <c r="G101" i="55"/>
  <c r="E101" i="55"/>
  <c r="D101" i="55"/>
  <c r="P100" i="55"/>
  <c r="N100" i="55"/>
  <c r="M100" i="55"/>
  <c r="L100" i="55"/>
  <c r="K100" i="55"/>
  <c r="J100" i="55"/>
  <c r="I100" i="55"/>
  <c r="H100" i="55"/>
  <c r="G100" i="55"/>
  <c r="E100" i="55"/>
  <c r="D100" i="55"/>
  <c r="P99" i="55"/>
  <c r="N99" i="55"/>
  <c r="M99" i="55"/>
  <c r="L99" i="55"/>
  <c r="K99" i="55"/>
  <c r="J99" i="55"/>
  <c r="I99" i="55"/>
  <c r="H99" i="55"/>
  <c r="G99" i="55"/>
  <c r="E99" i="55"/>
  <c r="D99" i="55"/>
  <c r="P98" i="55"/>
  <c r="N98" i="55"/>
  <c r="M98" i="55"/>
  <c r="L98" i="55"/>
  <c r="K98" i="55"/>
  <c r="J98" i="55"/>
  <c r="I98" i="55"/>
  <c r="H98" i="55"/>
  <c r="G98" i="55"/>
  <c r="E98" i="55"/>
  <c r="D98" i="55"/>
  <c r="P97" i="55"/>
  <c r="N97" i="55"/>
  <c r="M97" i="55"/>
  <c r="L97" i="55"/>
  <c r="K97" i="55"/>
  <c r="J97" i="55"/>
  <c r="I97" i="55"/>
  <c r="H97" i="55"/>
  <c r="G97" i="55"/>
  <c r="E97" i="55"/>
  <c r="D97" i="55"/>
  <c r="P96" i="55"/>
  <c r="N96" i="55"/>
  <c r="M96" i="55"/>
  <c r="L96" i="55"/>
  <c r="K96" i="55"/>
  <c r="J96" i="55"/>
  <c r="I96" i="55"/>
  <c r="H96" i="55"/>
  <c r="G96" i="55"/>
  <c r="E96" i="55"/>
  <c r="D96" i="55"/>
  <c r="P95" i="55"/>
  <c r="N95" i="55"/>
  <c r="M95" i="55"/>
  <c r="L95" i="55"/>
  <c r="K95" i="55"/>
  <c r="J95" i="55"/>
  <c r="I95" i="55"/>
  <c r="H95" i="55"/>
  <c r="G95" i="55"/>
  <c r="E95" i="55"/>
  <c r="D95" i="55"/>
  <c r="P94" i="55"/>
  <c r="N94" i="55"/>
  <c r="M94" i="55"/>
  <c r="L94" i="55"/>
  <c r="K94" i="55"/>
  <c r="J94" i="55"/>
  <c r="I94" i="55"/>
  <c r="H94" i="55"/>
  <c r="G94" i="55"/>
  <c r="E94" i="55"/>
  <c r="D94" i="55"/>
  <c r="P93" i="55"/>
  <c r="N93" i="55"/>
  <c r="M93" i="55"/>
  <c r="L93" i="55"/>
  <c r="K93" i="55"/>
  <c r="J93" i="55"/>
  <c r="I93" i="55"/>
  <c r="H93" i="55"/>
  <c r="G93" i="55"/>
  <c r="E93" i="55"/>
  <c r="D93" i="55"/>
  <c r="P92" i="55"/>
  <c r="N92" i="55"/>
  <c r="M92" i="55"/>
  <c r="L92" i="55"/>
  <c r="K92" i="55"/>
  <c r="J92" i="55"/>
  <c r="I92" i="55"/>
  <c r="H92" i="55"/>
  <c r="G92" i="55"/>
  <c r="E92" i="55"/>
  <c r="D92" i="55"/>
  <c r="P91" i="55"/>
  <c r="N91" i="55"/>
  <c r="M91" i="55"/>
  <c r="L91" i="55"/>
  <c r="K91" i="55"/>
  <c r="J91" i="55"/>
  <c r="I91" i="55"/>
  <c r="H91" i="55"/>
  <c r="G91" i="55"/>
  <c r="E91" i="55"/>
  <c r="D91" i="55"/>
  <c r="P90" i="55"/>
  <c r="N90" i="55"/>
  <c r="M90" i="55"/>
  <c r="L90" i="55"/>
  <c r="K90" i="55"/>
  <c r="J90" i="55"/>
  <c r="I90" i="55"/>
  <c r="H90" i="55"/>
  <c r="G90" i="55"/>
  <c r="E90" i="55"/>
  <c r="D90" i="55"/>
  <c r="P89" i="55"/>
  <c r="N89" i="55"/>
  <c r="M89" i="55"/>
  <c r="L89" i="55"/>
  <c r="K89" i="55"/>
  <c r="J89" i="55"/>
  <c r="I89" i="55"/>
  <c r="H89" i="55"/>
  <c r="G89" i="55"/>
  <c r="E89" i="55"/>
  <c r="D89" i="55"/>
  <c r="P88" i="55"/>
  <c r="N88" i="55"/>
  <c r="M88" i="55"/>
  <c r="L88" i="55"/>
  <c r="K88" i="55"/>
  <c r="J88" i="55"/>
  <c r="I88" i="55"/>
  <c r="H88" i="55"/>
  <c r="G88" i="55"/>
  <c r="E88" i="55"/>
  <c r="D88" i="55"/>
  <c r="P87" i="55"/>
  <c r="N87" i="55"/>
  <c r="M87" i="55"/>
  <c r="L87" i="55"/>
  <c r="K87" i="55"/>
  <c r="J87" i="55"/>
  <c r="I87" i="55"/>
  <c r="H87" i="55"/>
  <c r="G87" i="55"/>
  <c r="E87" i="55"/>
  <c r="D87" i="55"/>
  <c r="P86" i="55"/>
  <c r="N86" i="55"/>
  <c r="M86" i="55"/>
  <c r="L86" i="55"/>
  <c r="K86" i="55"/>
  <c r="J86" i="55"/>
  <c r="I86" i="55"/>
  <c r="H86" i="55"/>
  <c r="G86" i="55"/>
  <c r="E86" i="55"/>
  <c r="D86" i="55"/>
  <c r="P85" i="55"/>
  <c r="N85" i="55"/>
  <c r="M85" i="55"/>
  <c r="L85" i="55"/>
  <c r="K85" i="55"/>
  <c r="J85" i="55"/>
  <c r="I85" i="55"/>
  <c r="H85" i="55"/>
  <c r="G85" i="55"/>
  <c r="E85" i="55"/>
  <c r="D85" i="55"/>
  <c r="P84" i="55"/>
  <c r="N84" i="55"/>
  <c r="M84" i="55"/>
  <c r="L84" i="55"/>
  <c r="K84" i="55"/>
  <c r="J84" i="55"/>
  <c r="I84" i="55"/>
  <c r="H84" i="55"/>
  <c r="G84" i="55"/>
  <c r="E84" i="55"/>
  <c r="D84" i="55"/>
  <c r="P83" i="55"/>
  <c r="N83" i="55"/>
  <c r="M83" i="55"/>
  <c r="L83" i="55"/>
  <c r="K83" i="55"/>
  <c r="J83" i="55"/>
  <c r="I83" i="55"/>
  <c r="H83" i="55"/>
  <c r="G83" i="55"/>
  <c r="E83" i="55"/>
  <c r="D83" i="55"/>
  <c r="P82" i="55"/>
  <c r="N82" i="55"/>
  <c r="M82" i="55"/>
  <c r="L82" i="55"/>
  <c r="K82" i="55"/>
  <c r="J82" i="55"/>
  <c r="I82" i="55"/>
  <c r="H82" i="55"/>
  <c r="G82" i="55"/>
  <c r="E82" i="55"/>
  <c r="D82" i="55"/>
  <c r="P81" i="55"/>
  <c r="N81" i="55"/>
  <c r="M81" i="55"/>
  <c r="L81" i="55"/>
  <c r="K81" i="55"/>
  <c r="J81" i="55"/>
  <c r="I81" i="55"/>
  <c r="H81" i="55"/>
  <c r="G81" i="55"/>
  <c r="E81" i="55"/>
  <c r="D81" i="55"/>
  <c r="P80" i="55"/>
  <c r="N80" i="55"/>
  <c r="M80" i="55"/>
  <c r="L80" i="55"/>
  <c r="K80" i="55"/>
  <c r="J80" i="55"/>
  <c r="I80" i="55"/>
  <c r="H80" i="55"/>
  <c r="G80" i="55"/>
  <c r="E80" i="55"/>
  <c r="D80" i="55"/>
  <c r="P79" i="55"/>
  <c r="N79" i="55"/>
  <c r="M79" i="55"/>
  <c r="L79" i="55"/>
  <c r="K79" i="55"/>
  <c r="J79" i="55"/>
  <c r="I79" i="55"/>
  <c r="H79" i="55"/>
  <c r="G79" i="55"/>
  <c r="E79" i="55"/>
  <c r="D79" i="55"/>
  <c r="P78" i="55"/>
  <c r="N78" i="55"/>
  <c r="M78" i="55"/>
  <c r="L78" i="55"/>
  <c r="K78" i="55"/>
  <c r="J78" i="55"/>
  <c r="I78" i="55"/>
  <c r="H78" i="55"/>
  <c r="G78" i="55"/>
  <c r="E78" i="55"/>
  <c r="D78" i="55"/>
  <c r="P77" i="55"/>
  <c r="N77" i="55"/>
  <c r="M77" i="55"/>
  <c r="L77" i="55"/>
  <c r="K77" i="55"/>
  <c r="J77" i="55"/>
  <c r="I77" i="55"/>
  <c r="H77" i="55"/>
  <c r="G77" i="55"/>
  <c r="E77" i="55"/>
  <c r="D77" i="55"/>
  <c r="P76" i="55"/>
  <c r="N76" i="55"/>
  <c r="M76" i="55"/>
  <c r="L76" i="55"/>
  <c r="K76" i="55"/>
  <c r="J76" i="55"/>
  <c r="I76" i="55"/>
  <c r="H76" i="55"/>
  <c r="G76" i="55"/>
  <c r="E76" i="55"/>
  <c r="D76" i="55"/>
  <c r="P75" i="55"/>
  <c r="N75" i="55"/>
  <c r="M75" i="55"/>
  <c r="L75" i="55"/>
  <c r="K75" i="55"/>
  <c r="J75" i="55"/>
  <c r="I75" i="55"/>
  <c r="H75" i="55"/>
  <c r="G75" i="55"/>
  <c r="E75" i="55"/>
  <c r="D75" i="55"/>
  <c r="P74" i="55"/>
  <c r="N74" i="55"/>
  <c r="M74" i="55"/>
  <c r="L74" i="55"/>
  <c r="K74" i="55"/>
  <c r="J74" i="55"/>
  <c r="I74" i="55"/>
  <c r="H74" i="55"/>
  <c r="G74" i="55"/>
  <c r="E74" i="55"/>
  <c r="D74" i="55"/>
  <c r="P73" i="55"/>
  <c r="N73" i="55"/>
  <c r="M73" i="55"/>
  <c r="L73" i="55"/>
  <c r="K73" i="55"/>
  <c r="J73" i="55"/>
  <c r="I73" i="55"/>
  <c r="H73" i="55"/>
  <c r="G73" i="55"/>
  <c r="E73" i="55"/>
  <c r="D73" i="55"/>
  <c r="P72" i="55"/>
  <c r="N72" i="55"/>
  <c r="M72" i="55"/>
  <c r="L72" i="55"/>
  <c r="K72" i="55"/>
  <c r="J72" i="55"/>
  <c r="I72" i="55"/>
  <c r="H72" i="55"/>
  <c r="G72" i="55"/>
  <c r="E72" i="55"/>
  <c r="D72" i="55"/>
  <c r="P71" i="55"/>
  <c r="N71" i="55"/>
  <c r="M71" i="55"/>
  <c r="L71" i="55"/>
  <c r="K71" i="55"/>
  <c r="J71" i="55"/>
  <c r="I71" i="55"/>
  <c r="H71" i="55"/>
  <c r="G71" i="55"/>
  <c r="E71" i="55"/>
  <c r="D71" i="55"/>
  <c r="P70" i="55"/>
  <c r="N70" i="55"/>
  <c r="M70" i="55"/>
  <c r="L70" i="55"/>
  <c r="K70" i="55"/>
  <c r="J70" i="55"/>
  <c r="I70" i="55"/>
  <c r="H70" i="55"/>
  <c r="G70" i="55"/>
  <c r="E70" i="55"/>
  <c r="D70" i="55"/>
  <c r="P69" i="55"/>
  <c r="N69" i="55"/>
  <c r="M69" i="55"/>
  <c r="L69" i="55"/>
  <c r="K69" i="55"/>
  <c r="J69" i="55"/>
  <c r="I69" i="55"/>
  <c r="H69" i="55"/>
  <c r="G69" i="55"/>
  <c r="E69" i="55"/>
  <c r="D69" i="55"/>
  <c r="P68" i="55"/>
  <c r="N68" i="55"/>
  <c r="M68" i="55"/>
  <c r="L68" i="55"/>
  <c r="K68" i="55"/>
  <c r="J68" i="55"/>
  <c r="I68" i="55"/>
  <c r="H68" i="55"/>
  <c r="G68" i="55"/>
  <c r="E68" i="55"/>
  <c r="D68" i="55"/>
  <c r="P67" i="55"/>
  <c r="N67" i="55"/>
  <c r="M67" i="55"/>
  <c r="L67" i="55"/>
  <c r="K67" i="55"/>
  <c r="J67" i="55"/>
  <c r="I67" i="55"/>
  <c r="H67" i="55"/>
  <c r="G67" i="55"/>
  <c r="E67" i="55"/>
  <c r="D67" i="55"/>
  <c r="P66" i="55"/>
  <c r="N66" i="55"/>
  <c r="M66" i="55"/>
  <c r="L66" i="55"/>
  <c r="K66" i="55"/>
  <c r="J66" i="55"/>
  <c r="I66" i="55"/>
  <c r="H66" i="55"/>
  <c r="G66" i="55"/>
  <c r="E66" i="55"/>
  <c r="D66" i="55"/>
  <c r="P65" i="55"/>
  <c r="N65" i="55"/>
  <c r="M65" i="55"/>
  <c r="L65" i="55"/>
  <c r="K65" i="55"/>
  <c r="J65" i="55"/>
  <c r="I65" i="55"/>
  <c r="H65" i="55"/>
  <c r="G65" i="55"/>
  <c r="E65" i="55"/>
  <c r="D65" i="55"/>
  <c r="P64" i="55"/>
  <c r="N64" i="55"/>
  <c r="M64" i="55"/>
  <c r="L64" i="55"/>
  <c r="K64" i="55"/>
  <c r="J64" i="55"/>
  <c r="I64" i="55"/>
  <c r="H64" i="55"/>
  <c r="G64" i="55"/>
  <c r="E64" i="55"/>
  <c r="D64" i="55"/>
  <c r="P63" i="55"/>
  <c r="N63" i="55"/>
  <c r="M63" i="55"/>
  <c r="L63" i="55"/>
  <c r="K63" i="55"/>
  <c r="J63" i="55"/>
  <c r="I63" i="55"/>
  <c r="H63" i="55"/>
  <c r="G63" i="55"/>
  <c r="E63" i="55"/>
  <c r="D63" i="55"/>
  <c r="P62" i="55"/>
  <c r="N62" i="55"/>
  <c r="M62" i="55"/>
  <c r="L62" i="55"/>
  <c r="K62" i="55"/>
  <c r="J62" i="55"/>
  <c r="I62" i="55"/>
  <c r="H62" i="55"/>
  <c r="G62" i="55"/>
  <c r="E62" i="55"/>
  <c r="D62" i="55"/>
  <c r="P61" i="55"/>
  <c r="N61" i="55"/>
  <c r="M61" i="55"/>
  <c r="L61" i="55"/>
  <c r="K61" i="55"/>
  <c r="J61" i="55"/>
  <c r="I61" i="55"/>
  <c r="H61" i="55"/>
  <c r="G61" i="55"/>
  <c r="E61" i="55"/>
  <c r="D61" i="55"/>
  <c r="P60" i="55"/>
  <c r="N60" i="55"/>
  <c r="M60" i="55"/>
  <c r="L60" i="55"/>
  <c r="K60" i="55"/>
  <c r="J60" i="55"/>
  <c r="I60" i="55"/>
  <c r="H60" i="55"/>
  <c r="G60" i="55"/>
  <c r="E60" i="55"/>
  <c r="D60" i="55"/>
  <c r="P59" i="55"/>
  <c r="N59" i="55"/>
  <c r="M59" i="55"/>
  <c r="L59" i="55"/>
  <c r="K59" i="55"/>
  <c r="J59" i="55"/>
  <c r="I59" i="55"/>
  <c r="H59" i="55"/>
  <c r="G59" i="55"/>
  <c r="E59" i="55"/>
  <c r="D59" i="55"/>
  <c r="P58" i="55"/>
  <c r="N58" i="55"/>
  <c r="M58" i="55"/>
  <c r="L58" i="55"/>
  <c r="K58" i="55"/>
  <c r="J58" i="55"/>
  <c r="I58" i="55"/>
  <c r="H58" i="55"/>
  <c r="G58" i="55"/>
  <c r="E58" i="55"/>
  <c r="D58" i="55"/>
  <c r="P57" i="55"/>
  <c r="N57" i="55"/>
  <c r="M57" i="55"/>
  <c r="L57" i="55"/>
  <c r="K57" i="55"/>
  <c r="J57" i="55"/>
  <c r="I57" i="55"/>
  <c r="H57" i="55"/>
  <c r="G57" i="55"/>
  <c r="E57" i="55"/>
  <c r="D57" i="55"/>
  <c r="P56" i="55"/>
  <c r="N56" i="55"/>
  <c r="M56" i="55"/>
  <c r="L56" i="55"/>
  <c r="K56" i="55"/>
  <c r="J56" i="55"/>
  <c r="I56" i="55"/>
  <c r="H56" i="55"/>
  <c r="G56" i="55"/>
  <c r="E56" i="55"/>
  <c r="D56" i="55"/>
  <c r="P55" i="55"/>
  <c r="N55" i="55"/>
  <c r="M55" i="55"/>
  <c r="L55" i="55"/>
  <c r="K55" i="55"/>
  <c r="J55" i="55"/>
  <c r="I55" i="55"/>
  <c r="H55" i="55"/>
  <c r="G55" i="55"/>
  <c r="E55" i="55"/>
  <c r="D55" i="55"/>
  <c r="P54" i="55"/>
  <c r="N54" i="55"/>
  <c r="M54" i="55"/>
  <c r="L54" i="55"/>
  <c r="K54" i="55"/>
  <c r="J54" i="55"/>
  <c r="I54" i="55"/>
  <c r="H54" i="55"/>
  <c r="G54" i="55"/>
  <c r="E54" i="55"/>
  <c r="D54" i="55"/>
  <c r="P53" i="55"/>
  <c r="N53" i="55"/>
  <c r="M53" i="55"/>
  <c r="L53" i="55"/>
  <c r="K53" i="55"/>
  <c r="J53" i="55"/>
  <c r="I53" i="55"/>
  <c r="H53" i="55"/>
  <c r="G53" i="55"/>
  <c r="E53" i="55"/>
  <c r="D53" i="55"/>
  <c r="P52" i="55"/>
  <c r="N52" i="55"/>
  <c r="M52" i="55"/>
  <c r="L52" i="55"/>
  <c r="K52" i="55"/>
  <c r="J52" i="55"/>
  <c r="I52" i="55"/>
  <c r="H52" i="55"/>
  <c r="G52" i="55"/>
  <c r="E52" i="55"/>
  <c r="D52" i="55"/>
  <c r="P51" i="55"/>
  <c r="N51" i="55"/>
  <c r="M51" i="55"/>
  <c r="L51" i="55"/>
  <c r="K51" i="55"/>
  <c r="J51" i="55"/>
  <c r="I51" i="55"/>
  <c r="H51" i="55"/>
  <c r="G51" i="55"/>
  <c r="E51" i="55"/>
  <c r="D51" i="55"/>
  <c r="P50" i="55"/>
  <c r="N50" i="55"/>
  <c r="M50" i="55"/>
  <c r="L50" i="55"/>
  <c r="K50" i="55"/>
  <c r="J50" i="55"/>
  <c r="I50" i="55"/>
  <c r="H50" i="55"/>
  <c r="G50" i="55"/>
  <c r="E50" i="55"/>
  <c r="D50" i="55"/>
  <c r="P49" i="55"/>
  <c r="N49" i="55"/>
  <c r="M49" i="55"/>
  <c r="L49" i="55"/>
  <c r="K49" i="55"/>
  <c r="J49" i="55"/>
  <c r="I49" i="55"/>
  <c r="H49" i="55"/>
  <c r="G49" i="55"/>
  <c r="E49" i="55"/>
  <c r="D49" i="55"/>
  <c r="P48" i="55"/>
  <c r="N48" i="55"/>
  <c r="M48" i="55"/>
  <c r="L48" i="55"/>
  <c r="K48" i="55"/>
  <c r="J48" i="55"/>
  <c r="I48" i="55"/>
  <c r="H48" i="55"/>
  <c r="G48" i="55"/>
  <c r="E48" i="55"/>
  <c r="D48" i="55"/>
  <c r="P47" i="55"/>
  <c r="N47" i="55"/>
  <c r="M47" i="55"/>
  <c r="L47" i="55"/>
  <c r="K47" i="55"/>
  <c r="J47" i="55"/>
  <c r="I47" i="55"/>
  <c r="H47" i="55"/>
  <c r="G47" i="55"/>
  <c r="E47" i="55"/>
  <c r="D47" i="55"/>
  <c r="P46" i="55"/>
  <c r="N46" i="55"/>
  <c r="M46" i="55"/>
  <c r="L46" i="55"/>
  <c r="K46" i="55"/>
  <c r="J46" i="55"/>
  <c r="I46" i="55"/>
  <c r="H46" i="55"/>
  <c r="G46" i="55"/>
  <c r="E46" i="55"/>
  <c r="D46" i="55"/>
  <c r="P45" i="55"/>
  <c r="N45" i="55"/>
  <c r="M45" i="55"/>
  <c r="L45" i="55"/>
  <c r="K45" i="55"/>
  <c r="J45" i="55"/>
  <c r="I45" i="55"/>
  <c r="H45" i="55"/>
  <c r="G45" i="55"/>
  <c r="E45" i="55"/>
  <c r="D45" i="55"/>
  <c r="P44" i="55"/>
  <c r="N44" i="55"/>
  <c r="M44" i="55"/>
  <c r="L44" i="55"/>
  <c r="K44" i="55"/>
  <c r="J44" i="55"/>
  <c r="I44" i="55"/>
  <c r="H44" i="55"/>
  <c r="G44" i="55"/>
  <c r="E44" i="55"/>
  <c r="D44" i="55"/>
  <c r="P43" i="55"/>
  <c r="N43" i="55"/>
  <c r="M43" i="55"/>
  <c r="L43" i="55"/>
  <c r="K43" i="55"/>
  <c r="J43" i="55"/>
  <c r="I43" i="55"/>
  <c r="H43" i="55"/>
  <c r="G43" i="55"/>
  <c r="E43" i="55"/>
  <c r="D43" i="55"/>
  <c r="P42" i="55"/>
  <c r="N42" i="55"/>
  <c r="M42" i="55"/>
  <c r="L42" i="55"/>
  <c r="K42" i="55"/>
  <c r="J42" i="55"/>
  <c r="I42" i="55"/>
  <c r="H42" i="55"/>
  <c r="G42" i="55"/>
  <c r="E42" i="55"/>
  <c r="D42" i="55"/>
  <c r="P41" i="55"/>
  <c r="N41" i="55"/>
  <c r="M41" i="55"/>
  <c r="L41" i="55"/>
  <c r="K41" i="55"/>
  <c r="J41" i="55"/>
  <c r="I41" i="55"/>
  <c r="H41" i="55"/>
  <c r="G41" i="55"/>
  <c r="E41" i="55"/>
  <c r="D41" i="55"/>
  <c r="P40" i="55"/>
  <c r="N40" i="55"/>
  <c r="M40" i="55"/>
  <c r="L40" i="55"/>
  <c r="K40" i="55"/>
  <c r="J40" i="55"/>
  <c r="I40" i="55"/>
  <c r="H40" i="55"/>
  <c r="G40" i="55"/>
  <c r="E40" i="55"/>
  <c r="D40" i="55"/>
  <c r="P39" i="55"/>
  <c r="N39" i="55"/>
  <c r="M39" i="55"/>
  <c r="L39" i="55"/>
  <c r="K39" i="55"/>
  <c r="J39" i="55"/>
  <c r="I39" i="55"/>
  <c r="H39" i="55"/>
  <c r="G39" i="55"/>
  <c r="E39" i="55"/>
  <c r="D39" i="55"/>
  <c r="P38" i="55"/>
  <c r="N38" i="55"/>
  <c r="M38" i="55"/>
  <c r="L38" i="55"/>
  <c r="K38" i="55"/>
  <c r="J38" i="55"/>
  <c r="I38" i="55"/>
  <c r="H38" i="55"/>
  <c r="G38" i="55"/>
  <c r="E38" i="55"/>
  <c r="D38" i="55"/>
  <c r="P37" i="55"/>
  <c r="N37" i="55"/>
  <c r="M37" i="55"/>
  <c r="L37" i="55"/>
  <c r="K37" i="55"/>
  <c r="J37" i="55"/>
  <c r="I37" i="55"/>
  <c r="H37" i="55"/>
  <c r="G37" i="55"/>
  <c r="E37" i="55"/>
  <c r="D37" i="55"/>
  <c r="P36" i="55"/>
  <c r="N36" i="55"/>
  <c r="M36" i="55"/>
  <c r="L36" i="55"/>
  <c r="K36" i="55"/>
  <c r="J36" i="55"/>
  <c r="I36" i="55"/>
  <c r="H36" i="55"/>
  <c r="G36" i="55"/>
  <c r="E36" i="55"/>
  <c r="D36" i="55"/>
  <c r="P35" i="55"/>
  <c r="N35" i="55"/>
  <c r="M35" i="55"/>
  <c r="L35" i="55"/>
  <c r="K35" i="55"/>
  <c r="J35" i="55"/>
  <c r="I35" i="55"/>
  <c r="H35" i="55"/>
  <c r="G35" i="55"/>
  <c r="E35" i="55"/>
  <c r="D35" i="55"/>
  <c r="P34" i="55"/>
  <c r="N34" i="55"/>
  <c r="M34" i="55"/>
  <c r="L34" i="55"/>
  <c r="K34" i="55"/>
  <c r="J34" i="55"/>
  <c r="I34" i="55"/>
  <c r="H34" i="55"/>
  <c r="G34" i="55"/>
  <c r="E34" i="55"/>
  <c r="D34" i="55"/>
  <c r="P33" i="55"/>
  <c r="N33" i="55"/>
  <c r="M33" i="55"/>
  <c r="L33" i="55"/>
  <c r="K33" i="55"/>
  <c r="J33" i="55"/>
  <c r="I33" i="55"/>
  <c r="H33" i="55"/>
  <c r="G33" i="55"/>
  <c r="E33" i="55"/>
  <c r="D33" i="55"/>
  <c r="P32" i="55"/>
  <c r="N32" i="55"/>
  <c r="M32" i="55"/>
  <c r="L32" i="55"/>
  <c r="K32" i="55"/>
  <c r="J32" i="55"/>
  <c r="I32" i="55"/>
  <c r="H32" i="55"/>
  <c r="G32" i="55"/>
  <c r="E32" i="55"/>
  <c r="D32" i="55"/>
  <c r="P31" i="55"/>
  <c r="N31" i="55"/>
  <c r="M31" i="55"/>
  <c r="L31" i="55"/>
  <c r="K31" i="55"/>
  <c r="J31" i="55"/>
  <c r="I31" i="55"/>
  <c r="H31" i="55"/>
  <c r="G31" i="55"/>
  <c r="E31" i="55"/>
  <c r="D31" i="55"/>
  <c r="P30" i="55"/>
  <c r="N30" i="55"/>
  <c r="M30" i="55"/>
  <c r="L30" i="55"/>
  <c r="K30" i="55"/>
  <c r="J30" i="55"/>
  <c r="I30" i="55"/>
  <c r="H30" i="55"/>
  <c r="G30" i="55"/>
  <c r="E30" i="55"/>
  <c r="D30" i="55"/>
  <c r="P29" i="55"/>
  <c r="N29" i="55"/>
  <c r="M29" i="55"/>
  <c r="L29" i="55"/>
  <c r="K29" i="55"/>
  <c r="J29" i="55"/>
  <c r="I29" i="55"/>
  <c r="H29" i="55"/>
  <c r="G29" i="55"/>
  <c r="E29" i="55"/>
  <c r="D29" i="55"/>
  <c r="P28" i="55"/>
  <c r="N28" i="55"/>
  <c r="M28" i="55"/>
  <c r="L28" i="55"/>
  <c r="K28" i="55"/>
  <c r="J28" i="55"/>
  <c r="I28" i="55"/>
  <c r="H28" i="55"/>
  <c r="G28" i="55"/>
  <c r="E28" i="55"/>
  <c r="D28" i="55"/>
  <c r="P27" i="55"/>
  <c r="N27" i="55"/>
  <c r="M27" i="55"/>
  <c r="L27" i="55"/>
  <c r="K27" i="55"/>
  <c r="J27" i="55"/>
  <c r="I27" i="55"/>
  <c r="H27" i="55"/>
  <c r="G27" i="55"/>
  <c r="E27" i="55"/>
  <c r="D27" i="55"/>
  <c r="P26" i="55"/>
  <c r="N26" i="55"/>
  <c r="M26" i="55"/>
  <c r="L26" i="55"/>
  <c r="K26" i="55"/>
  <c r="J26" i="55"/>
  <c r="I26" i="55"/>
  <c r="H26" i="55"/>
  <c r="G26" i="55"/>
  <c r="E26" i="55"/>
  <c r="D26" i="55"/>
  <c r="P25" i="55"/>
  <c r="N25" i="55"/>
  <c r="M25" i="55"/>
  <c r="L25" i="55"/>
  <c r="K25" i="55"/>
  <c r="J25" i="55"/>
  <c r="I25" i="55"/>
  <c r="H25" i="55"/>
  <c r="G25" i="55"/>
  <c r="E25" i="55"/>
  <c r="D25" i="55"/>
  <c r="P24" i="55"/>
  <c r="N24" i="55"/>
  <c r="M24" i="55"/>
  <c r="L24" i="55"/>
  <c r="K24" i="55"/>
  <c r="J24" i="55"/>
  <c r="I24" i="55"/>
  <c r="H24" i="55"/>
  <c r="G24" i="55"/>
  <c r="E24" i="55"/>
  <c r="D24" i="55"/>
  <c r="P23" i="55"/>
  <c r="N23" i="55"/>
  <c r="M23" i="55"/>
  <c r="L23" i="55"/>
  <c r="K23" i="55"/>
  <c r="J23" i="55"/>
  <c r="I23" i="55"/>
  <c r="H23" i="55"/>
  <c r="G23" i="55"/>
  <c r="E23" i="55"/>
  <c r="D23" i="55"/>
  <c r="P22" i="55"/>
  <c r="N22" i="55"/>
  <c r="M22" i="55"/>
  <c r="L22" i="55"/>
  <c r="K22" i="55"/>
  <c r="J22" i="55"/>
  <c r="I22" i="55"/>
  <c r="H22" i="55"/>
  <c r="G22" i="55"/>
  <c r="E22" i="55"/>
  <c r="D22" i="55"/>
  <c r="N19" i="55"/>
  <c r="M19" i="55"/>
  <c r="L19" i="55"/>
  <c r="K19" i="55"/>
  <c r="J19" i="55"/>
  <c r="H19" i="55"/>
  <c r="G19" i="55"/>
  <c r="F19" i="55"/>
  <c r="E19" i="55"/>
  <c r="D19" i="55"/>
  <c r="P18" i="55"/>
  <c r="O18" i="55"/>
  <c r="N18" i="55"/>
  <c r="M18" i="55"/>
  <c r="L18" i="55"/>
  <c r="K18" i="55"/>
  <c r="J18" i="55"/>
  <c r="I18" i="55"/>
  <c r="H18" i="55"/>
  <c r="G18" i="55"/>
  <c r="F18" i="55"/>
  <c r="E18" i="55"/>
  <c r="D18" i="55"/>
  <c r="P17" i="55"/>
  <c r="P16" i="55"/>
  <c r="P15" i="55"/>
  <c r="P14" i="55"/>
  <c r="N13" i="55"/>
  <c r="M13" i="55"/>
  <c r="L13" i="55"/>
  <c r="K13" i="55"/>
  <c r="J13" i="55"/>
  <c r="H13" i="55"/>
  <c r="G13" i="55"/>
  <c r="F13" i="55"/>
  <c r="E13" i="55"/>
  <c r="D13" i="55"/>
  <c r="N12" i="55"/>
  <c r="M12" i="55"/>
  <c r="L12" i="55"/>
  <c r="K12" i="55"/>
  <c r="J12" i="55"/>
  <c r="I12" i="55"/>
  <c r="P12" i="55" s="1"/>
  <c r="H12" i="55"/>
  <c r="G12" i="55"/>
  <c r="F12" i="55"/>
  <c r="E12" i="55"/>
  <c r="D12" i="55"/>
  <c r="N11" i="55"/>
  <c r="M11" i="55"/>
  <c r="L11" i="55"/>
  <c r="K11" i="55"/>
  <c r="J11" i="55"/>
  <c r="I11" i="55"/>
  <c r="P11" i="55" s="1"/>
  <c r="H11" i="55"/>
  <c r="G11" i="55"/>
  <c r="F11" i="55"/>
  <c r="E11" i="55"/>
  <c r="D11" i="55"/>
  <c r="N10" i="55"/>
  <c r="M10" i="55"/>
  <c r="L10" i="55"/>
  <c r="K10" i="55"/>
  <c r="J10" i="55"/>
  <c r="I10" i="55"/>
  <c r="P10" i="55" s="1"/>
  <c r="H10" i="55"/>
  <c r="G10" i="55"/>
  <c r="F10" i="55"/>
  <c r="E10" i="55"/>
  <c r="D10" i="55"/>
  <c r="N9" i="55"/>
  <c r="M9" i="55"/>
  <c r="L9" i="55"/>
  <c r="K9" i="55"/>
  <c r="J9" i="55"/>
  <c r="I9" i="55"/>
  <c r="P9" i="55" s="1"/>
  <c r="H9" i="55"/>
  <c r="G9" i="55"/>
  <c r="F9" i="55"/>
  <c r="E9" i="55"/>
  <c r="D9" i="55"/>
  <c r="O8" i="55"/>
  <c r="O13" i="55" s="1"/>
  <c r="N8" i="55"/>
  <c r="M8" i="55"/>
  <c r="L8" i="55"/>
  <c r="K8" i="55"/>
  <c r="J8" i="55"/>
  <c r="H8" i="55"/>
  <c r="G8" i="55"/>
  <c r="F8" i="55"/>
  <c r="E8" i="55"/>
  <c r="D8" i="55"/>
  <c r="H144" i="54"/>
  <c r="G143" i="54"/>
  <c r="N139" i="54"/>
  <c r="M139" i="54"/>
  <c r="K139" i="54"/>
  <c r="J139" i="54"/>
  <c r="H139" i="54"/>
  <c r="G139" i="54"/>
  <c r="F139" i="54"/>
  <c r="D139" i="54"/>
  <c r="N136" i="54"/>
  <c r="M136" i="54"/>
  <c r="L136" i="54"/>
  <c r="K136" i="54"/>
  <c r="J136" i="54"/>
  <c r="H136" i="54"/>
  <c r="G136" i="54"/>
  <c r="F136" i="54"/>
  <c r="E136" i="54"/>
  <c r="D136" i="54"/>
  <c r="N134" i="54"/>
  <c r="M134" i="54"/>
  <c r="K134" i="54"/>
  <c r="J134" i="54"/>
  <c r="I134" i="54"/>
  <c r="H134" i="54"/>
  <c r="G134" i="54"/>
  <c r="F134" i="54"/>
  <c r="D134" i="54"/>
  <c r="N133" i="54"/>
  <c r="M133" i="54"/>
  <c r="L133" i="54"/>
  <c r="K133" i="54"/>
  <c r="J133" i="54"/>
  <c r="N132" i="54"/>
  <c r="M132" i="54"/>
  <c r="L132" i="54"/>
  <c r="K132" i="54"/>
  <c r="J132" i="54"/>
  <c r="I132" i="54"/>
  <c r="H132" i="54"/>
  <c r="G132" i="54"/>
  <c r="E132" i="54"/>
  <c r="P132" i="54" s="1"/>
  <c r="D132" i="54"/>
  <c r="N131" i="54"/>
  <c r="M131" i="54"/>
  <c r="L131" i="54"/>
  <c r="L134" i="54" s="1"/>
  <c r="K131" i="54"/>
  <c r="J131" i="54"/>
  <c r="I131" i="54"/>
  <c r="H131" i="54"/>
  <c r="G131" i="54"/>
  <c r="E131" i="54"/>
  <c r="D131" i="54"/>
  <c r="P130" i="54"/>
  <c r="N130" i="54"/>
  <c r="M130" i="54"/>
  <c r="L130" i="54"/>
  <c r="K130" i="54"/>
  <c r="J130" i="54"/>
  <c r="I130" i="54"/>
  <c r="H130" i="54"/>
  <c r="G130" i="54"/>
  <c r="E130" i="54"/>
  <c r="D130" i="54"/>
  <c r="P129" i="54"/>
  <c r="N129" i="54"/>
  <c r="M129" i="54"/>
  <c r="L129" i="54"/>
  <c r="K129" i="54"/>
  <c r="J129" i="54"/>
  <c r="I129" i="54"/>
  <c r="H129" i="54"/>
  <c r="G129" i="54"/>
  <c r="E129" i="54"/>
  <c r="D129" i="54"/>
  <c r="P128" i="54"/>
  <c r="N128" i="54"/>
  <c r="M128" i="54"/>
  <c r="L128" i="54"/>
  <c r="K128" i="54"/>
  <c r="J128" i="54"/>
  <c r="I128" i="54"/>
  <c r="H128" i="54"/>
  <c r="G128" i="54"/>
  <c r="E128" i="54"/>
  <c r="D128" i="54"/>
  <c r="P127" i="54"/>
  <c r="N127" i="54"/>
  <c r="M127" i="54"/>
  <c r="L127" i="54"/>
  <c r="K127" i="54"/>
  <c r="J127" i="54"/>
  <c r="I127" i="54"/>
  <c r="H127" i="54"/>
  <c r="G127" i="54"/>
  <c r="E127" i="54"/>
  <c r="D127" i="54"/>
  <c r="P126" i="54"/>
  <c r="N126" i="54"/>
  <c r="M126" i="54"/>
  <c r="L126" i="54"/>
  <c r="K126" i="54"/>
  <c r="J126" i="54"/>
  <c r="I126" i="54"/>
  <c r="H126" i="54"/>
  <c r="G126" i="54"/>
  <c r="E126" i="54"/>
  <c r="D126" i="54"/>
  <c r="P125" i="54"/>
  <c r="N125" i="54"/>
  <c r="M125" i="54"/>
  <c r="L125" i="54"/>
  <c r="K125" i="54"/>
  <c r="J125" i="54"/>
  <c r="I125" i="54"/>
  <c r="H125" i="54"/>
  <c r="G125" i="54"/>
  <c r="E125" i="54"/>
  <c r="D125" i="54"/>
  <c r="P124" i="54"/>
  <c r="N124" i="54"/>
  <c r="M124" i="54"/>
  <c r="L124" i="54"/>
  <c r="K124" i="54"/>
  <c r="J124" i="54"/>
  <c r="I124" i="54"/>
  <c r="H124" i="54"/>
  <c r="G124" i="54"/>
  <c r="E124" i="54"/>
  <c r="D124" i="54"/>
  <c r="P123" i="54"/>
  <c r="N123" i="54"/>
  <c r="M123" i="54"/>
  <c r="L123" i="54"/>
  <c r="K123" i="54"/>
  <c r="J123" i="54"/>
  <c r="I123" i="54"/>
  <c r="H123" i="54"/>
  <c r="G123" i="54"/>
  <c r="E123" i="54"/>
  <c r="D123" i="54"/>
  <c r="P122" i="54"/>
  <c r="N122" i="54"/>
  <c r="M122" i="54"/>
  <c r="L122" i="54"/>
  <c r="K122" i="54"/>
  <c r="J122" i="54"/>
  <c r="I122" i="54"/>
  <c r="H122" i="54"/>
  <c r="G122" i="54"/>
  <c r="E122" i="54"/>
  <c r="D122" i="54"/>
  <c r="P121" i="54"/>
  <c r="N121" i="54"/>
  <c r="M121" i="54"/>
  <c r="L121" i="54"/>
  <c r="K121" i="54"/>
  <c r="J121" i="54"/>
  <c r="I121" i="54"/>
  <c r="H121" i="54"/>
  <c r="G121" i="54"/>
  <c r="E121" i="54"/>
  <c r="D121" i="54"/>
  <c r="P120" i="54"/>
  <c r="N120" i="54"/>
  <c r="M120" i="54"/>
  <c r="L120" i="54"/>
  <c r="K120" i="54"/>
  <c r="J120" i="54"/>
  <c r="I120" i="54"/>
  <c r="H120" i="54"/>
  <c r="G120" i="54"/>
  <c r="E120" i="54"/>
  <c r="D120" i="54"/>
  <c r="P119" i="54"/>
  <c r="N119" i="54"/>
  <c r="M119" i="54"/>
  <c r="L119" i="54"/>
  <c r="K119" i="54"/>
  <c r="J119" i="54"/>
  <c r="I119" i="54"/>
  <c r="H119" i="54"/>
  <c r="G119" i="54"/>
  <c r="E119" i="54"/>
  <c r="D119" i="54"/>
  <c r="P118" i="54"/>
  <c r="N118" i="54"/>
  <c r="M118" i="54"/>
  <c r="L118" i="54"/>
  <c r="K118" i="54"/>
  <c r="J118" i="54"/>
  <c r="I118" i="54"/>
  <c r="H118" i="54"/>
  <c r="G118" i="54"/>
  <c r="E118" i="54"/>
  <c r="D118" i="54"/>
  <c r="P117" i="54"/>
  <c r="N117" i="54"/>
  <c r="M117" i="54"/>
  <c r="L117" i="54"/>
  <c r="K117" i="54"/>
  <c r="J117" i="54"/>
  <c r="I117" i="54"/>
  <c r="H117" i="54"/>
  <c r="G117" i="54"/>
  <c r="E117" i="54"/>
  <c r="D117" i="54"/>
  <c r="P116" i="54"/>
  <c r="N116" i="54"/>
  <c r="M116" i="54"/>
  <c r="L116" i="54"/>
  <c r="K116" i="54"/>
  <c r="J116" i="54"/>
  <c r="I116" i="54"/>
  <c r="H116" i="54"/>
  <c r="G116" i="54"/>
  <c r="E116" i="54"/>
  <c r="D116" i="54"/>
  <c r="P115" i="54"/>
  <c r="N115" i="54"/>
  <c r="M115" i="54"/>
  <c r="L115" i="54"/>
  <c r="K115" i="54"/>
  <c r="J115" i="54"/>
  <c r="I115" i="54"/>
  <c r="H115" i="54"/>
  <c r="G115" i="54"/>
  <c r="E115" i="54"/>
  <c r="D115" i="54"/>
  <c r="P114" i="54"/>
  <c r="N114" i="54"/>
  <c r="M114" i="54"/>
  <c r="L114" i="54"/>
  <c r="K114" i="54"/>
  <c r="J114" i="54"/>
  <c r="I114" i="54"/>
  <c r="H114" i="54"/>
  <c r="G114" i="54"/>
  <c r="E114" i="54"/>
  <c r="D114" i="54"/>
  <c r="P113" i="54"/>
  <c r="N113" i="54"/>
  <c r="M113" i="54"/>
  <c r="L113" i="54"/>
  <c r="K113" i="54"/>
  <c r="J113" i="54"/>
  <c r="I113" i="54"/>
  <c r="H113" i="54"/>
  <c r="G113" i="54"/>
  <c r="E113" i="54"/>
  <c r="D113" i="54"/>
  <c r="P112" i="54"/>
  <c r="N112" i="54"/>
  <c r="M112" i="54"/>
  <c r="L112" i="54"/>
  <c r="K112" i="54"/>
  <c r="J112" i="54"/>
  <c r="I112" i="54"/>
  <c r="H112" i="54"/>
  <c r="G112" i="54"/>
  <c r="E112" i="54"/>
  <c r="D112" i="54"/>
  <c r="P111" i="54"/>
  <c r="N111" i="54"/>
  <c r="M111" i="54"/>
  <c r="L111" i="54"/>
  <c r="K111" i="54"/>
  <c r="J111" i="54"/>
  <c r="I111" i="54"/>
  <c r="H111" i="54"/>
  <c r="G111" i="54"/>
  <c r="E111" i="54"/>
  <c r="D111" i="54"/>
  <c r="P110" i="54"/>
  <c r="N110" i="54"/>
  <c r="M110" i="54"/>
  <c r="L110" i="54"/>
  <c r="K110" i="54"/>
  <c r="J110" i="54"/>
  <c r="H110" i="54"/>
  <c r="G110" i="54"/>
  <c r="E110" i="54"/>
  <c r="D110" i="54"/>
  <c r="P109" i="54"/>
  <c r="N109" i="54"/>
  <c r="M109" i="54"/>
  <c r="L109" i="54"/>
  <c r="K109" i="54"/>
  <c r="J109" i="54"/>
  <c r="I109" i="54"/>
  <c r="H109" i="54"/>
  <c r="G109" i="54"/>
  <c r="E109" i="54"/>
  <c r="D109" i="54"/>
  <c r="P108" i="54"/>
  <c r="N108" i="54"/>
  <c r="M108" i="54"/>
  <c r="L108" i="54"/>
  <c r="K108" i="54"/>
  <c r="J108" i="54"/>
  <c r="I108" i="54"/>
  <c r="H108" i="54"/>
  <c r="G108" i="54"/>
  <c r="E108" i="54"/>
  <c r="D108" i="54"/>
  <c r="P107" i="54"/>
  <c r="N107" i="54"/>
  <c r="M107" i="54"/>
  <c r="L107" i="54"/>
  <c r="K107" i="54"/>
  <c r="J107" i="54"/>
  <c r="I107" i="54"/>
  <c r="H107" i="54"/>
  <c r="G107" i="54"/>
  <c r="E107" i="54"/>
  <c r="D107" i="54"/>
  <c r="P106" i="54"/>
  <c r="N106" i="54"/>
  <c r="M106" i="54"/>
  <c r="L106" i="54"/>
  <c r="K106" i="54"/>
  <c r="J106" i="54"/>
  <c r="I106" i="54"/>
  <c r="H106" i="54"/>
  <c r="G106" i="54"/>
  <c r="E106" i="54"/>
  <c r="D106" i="54"/>
  <c r="P105" i="54"/>
  <c r="N105" i="54"/>
  <c r="M105" i="54"/>
  <c r="L105" i="54"/>
  <c r="K105" i="54"/>
  <c r="J105" i="54"/>
  <c r="I105" i="54"/>
  <c r="H105" i="54"/>
  <c r="G105" i="54"/>
  <c r="E105" i="54"/>
  <c r="D105" i="54"/>
  <c r="P104" i="54"/>
  <c r="N104" i="54"/>
  <c r="M104" i="54"/>
  <c r="L104" i="54"/>
  <c r="K104" i="54"/>
  <c r="J104" i="54"/>
  <c r="I104" i="54"/>
  <c r="H104" i="54"/>
  <c r="G104" i="54"/>
  <c r="E104" i="54"/>
  <c r="D104" i="54"/>
  <c r="P103" i="54"/>
  <c r="N103" i="54"/>
  <c r="M103" i="54"/>
  <c r="L103" i="54"/>
  <c r="K103" i="54"/>
  <c r="J103" i="54"/>
  <c r="I103" i="54"/>
  <c r="H103" i="54"/>
  <c r="G103" i="54"/>
  <c r="E103" i="54"/>
  <c r="D103" i="54"/>
  <c r="P102" i="54"/>
  <c r="N102" i="54"/>
  <c r="M102" i="54"/>
  <c r="L102" i="54"/>
  <c r="K102" i="54"/>
  <c r="J102" i="54"/>
  <c r="I102" i="54"/>
  <c r="H102" i="54"/>
  <c r="G102" i="54"/>
  <c r="E102" i="54"/>
  <c r="D102" i="54"/>
  <c r="P101" i="54"/>
  <c r="N101" i="54"/>
  <c r="M101" i="54"/>
  <c r="L101" i="54"/>
  <c r="K101" i="54"/>
  <c r="J101" i="54"/>
  <c r="I101" i="54"/>
  <c r="H101" i="54"/>
  <c r="G101" i="54"/>
  <c r="E101" i="54"/>
  <c r="D101" i="54"/>
  <c r="P100" i="54"/>
  <c r="N100" i="54"/>
  <c r="M100" i="54"/>
  <c r="L100" i="54"/>
  <c r="K100" i="54"/>
  <c r="J100" i="54"/>
  <c r="I100" i="54"/>
  <c r="H100" i="54"/>
  <c r="G100" i="54"/>
  <c r="E100" i="54"/>
  <c r="D100" i="54"/>
  <c r="P99" i="54"/>
  <c r="N99" i="54"/>
  <c r="M99" i="54"/>
  <c r="L99" i="54"/>
  <c r="K99" i="54"/>
  <c r="J99" i="54"/>
  <c r="I99" i="54"/>
  <c r="H99" i="54"/>
  <c r="G99" i="54"/>
  <c r="E99" i="54"/>
  <c r="D99" i="54"/>
  <c r="P98" i="54"/>
  <c r="N98" i="54"/>
  <c r="M98" i="54"/>
  <c r="L98" i="54"/>
  <c r="K98" i="54"/>
  <c r="J98" i="54"/>
  <c r="I98" i="54"/>
  <c r="H98" i="54"/>
  <c r="G98" i="54"/>
  <c r="E98" i="54"/>
  <c r="D98" i="54"/>
  <c r="P97" i="54"/>
  <c r="N97" i="54"/>
  <c r="M97" i="54"/>
  <c r="L97" i="54"/>
  <c r="K97" i="54"/>
  <c r="J97" i="54"/>
  <c r="I97" i="54"/>
  <c r="H97" i="54"/>
  <c r="G97" i="54"/>
  <c r="E97" i="54"/>
  <c r="D97" i="54"/>
  <c r="P96" i="54"/>
  <c r="N96" i="54"/>
  <c r="M96" i="54"/>
  <c r="L96" i="54"/>
  <c r="K96" i="54"/>
  <c r="J96" i="54"/>
  <c r="I96" i="54"/>
  <c r="H96" i="54"/>
  <c r="G96" i="54"/>
  <c r="E96" i="54"/>
  <c r="D96" i="54"/>
  <c r="P95" i="54"/>
  <c r="N95" i="54"/>
  <c r="M95" i="54"/>
  <c r="L95" i="54"/>
  <c r="K95" i="54"/>
  <c r="J95" i="54"/>
  <c r="I95" i="54"/>
  <c r="H95" i="54"/>
  <c r="G95" i="54"/>
  <c r="E95" i="54"/>
  <c r="D95" i="54"/>
  <c r="P94" i="54"/>
  <c r="N94" i="54"/>
  <c r="M94" i="54"/>
  <c r="L94" i="54"/>
  <c r="K94" i="54"/>
  <c r="J94" i="54"/>
  <c r="I94" i="54"/>
  <c r="H94" i="54"/>
  <c r="G94" i="54"/>
  <c r="E94" i="54"/>
  <c r="D94" i="54"/>
  <c r="P93" i="54"/>
  <c r="N93" i="54"/>
  <c r="M93" i="54"/>
  <c r="L93" i="54"/>
  <c r="K93" i="54"/>
  <c r="J93" i="54"/>
  <c r="I93" i="54"/>
  <c r="H93" i="54"/>
  <c r="G93" i="54"/>
  <c r="E93" i="54"/>
  <c r="D93" i="54"/>
  <c r="P92" i="54"/>
  <c r="N92" i="54"/>
  <c r="M92" i="54"/>
  <c r="L92" i="54"/>
  <c r="K92" i="54"/>
  <c r="J92" i="54"/>
  <c r="I92" i="54"/>
  <c r="H92" i="54"/>
  <c r="G92" i="54"/>
  <c r="E92" i="54"/>
  <c r="D92" i="54"/>
  <c r="P91" i="54"/>
  <c r="N91" i="54"/>
  <c r="M91" i="54"/>
  <c r="L91" i="54"/>
  <c r="K91" i="54"/>
  <c r="J91" i="54"/>
  <c r="I91" i="54"/>
  <c r="H91" i="54"/>
  <c r="G91" i="54"/>
  <c r="E91" i="54"/>
  <c r="D91" i="54"/>
  <c r="P90" i="54"/>
  <c r="N90" i="54"/>
  <c r="M90" i="54"/>
  <c r="L90" i="54"/>
  <c r="K90" i="54"/>
  <c r="J90" i="54"/>
  <c r="I90" i="54"/>
  <c r="H90" i="54"/>
  <c r="G90" i="54"/>
  <c r="E90" i="54"/>
  <c r="D90" i="54"/>
  <c r="P89" i="54"/>
  <c r="N89" i="54"/>
  <c r="M89" i="54"/>
  <c r="L89" i="54"/>
  <c r="K89" i="54"/>
  <c r="J89" i="54"/>
  <c r="I89" i="54"/>
  <c r="H89" i="54"/>
  <c r="G89" i="54"/>
  <c r="E89" i="54"/>
  <c r="D89" i="54"/>
  <c r="P88" i="54"/>
  <c r="N88" i="54"/>
  <c r="M88" i="54"/>
  <c r="L88" i="54"/>
  <c r="K88" i="54"/>
  <c r="J88" i="54"/>
  <c r="I88" i="54"/>
  <c r="H88" i="54"/>
  <c r="G88" i="54"/>
  <c r="E88" i="54"/>
  <c r="D88" i="54"/>
  <c r="P87" i="54"/>
  <c r="N87" i="54"/>
  <c r="M87" i="54"/>
  <c r="L87" i="54"/>
  <c r="K87" i="54"/>
  <c r="J87" i="54"/>
  <c r="I87" i="54"/>
  <c r="H87" i="54"/>
  <c r="G87" i="54"/>
  <c r="E87" i="54"/>
  <c r="D87" i="54"/>
  <c r="P86" i="54"/>
  <c r="N86" i="54"/>
  <c r="M86" i="54"/>
  <c r="L86" i="54"/>
  <c r="K86" i="54"/>
  <c r="J86" i="54"/>
  <c r="I86" i="54"/>
  <c r="H86" i="54"/>
  <c r="G86" i="54"/>
  <c r="E86" i="54"/>
  <c r="D86" i="54"/>
  <c r="P85" i="54"/>
  <c r="N85" i="54"/>
  <c r="M85" i="54"/>
  <c r="L85" i="54"/>
  <c r="K85" i="54"/>
  <c r="J85" i="54"/>
  <c r="I85" i="54"/>
  <c r="H85" i="54"/>
  <c r="G85" i="54"/>
  <c r="E85" i="54"/>
  <c r="D85" i="54"/>
  <c r="P84" i="54"/>
  <c r="N84" i="54"/>
  <c r="M84" i="54"/>
  <c r="L84" i="54"/>
  <c r="K84" i="54"/>
  <c r="J84" i="54"/>
  <c r="I84" i="54"/>
  <c r="H84" i="54"/>
  <c r="G84" i="54"/>
  <c r="E84" i="54"/>
  <c r="D84" i="54"/>
  <c r="P83" i="54"/>
  <c r="N83" i="54"/>
  <c r="M83" i="54"/>
  <c r="L83" i="54"/>
  <c r="K83" i="54"/>
  <c r="J83" i="54"/>
  <c r="I83" i="54"/>
  <c r="H83" i="54"/>
  <c r="G83" i="54"/>
  <c r="E83" i="54"/>
  <c r="D83" i="54"/>
  <c r="P82" i="54"/>
  <c r="N82" i="54"/>
  <c r="M82" i="54"/>
  <c r="L82" i="54"/>
  <c r="K82" i="54"/>
  <c r="J82" i="54"/>
  <c r="I82" i="54"/>
  <c r="H82" i="54"/>
  <c r="G82" i="54"/>
  <c r="E82" i="54"/>
  <c r="D82" i="54"/>
  <c r="P81" i="54"/>
  <c r="N81" i="54"/>
  <c r="M81" i="54"/>
  <c r="L81" i="54"/>
  <c r="K81" i="54"/>
  <c r="J81" i="54"/>
  <c r="I81" i="54"/>
  <c r="H81" i="54"/>
  <c r="G81" i="54"/>
  <c r="E81" i="54"/>
  <c r="D81" i="54"/>
  <c r="P80" i="54"/>
  <c r="N80" i="54"/>
  <c r="M80" i="54"/>
  <c r="L80" i="54"/>
  <c r="K80" i="54"/>
  <c r="J80" i="54"/>
  <c r="I80" i="54"/>
  <c r="H80" i="54"/>
  <c r="G80" i="54"/>
  <c r="E80" i="54"/>
  <c r="D80" i="54"/>
  <c r="P79" i="54"/>
  <c r="N79" i="54"/>
  <c r="M79" i="54"/>
  <c r="L79" i="54"/>
  <c r="K79" i="54"/>
  <c r="J79" i="54"/>
  <c r="I79" i="54"/>
  <c r="H79" i="54"/>
  <c r="G79" i="54"/>
  <c r="E79" i="54"/>
  <c r="D79" i="54"/>
  <c r="P78" i="54"/>
  <c r="N78" i="54"/>
  <c r="M78" i="54"/>
  <c r="L78" i="54"/>
  <c r="K78" i="54"/>
  <c r="J78" i="54"/>
  <c r="I78" i="54"/>
  <c r="H78" i="54"/>
  <c r="G78" i="54"/>
  <c r="E78" i="54"/>
  <c r="D78" i="54"/>
  <c r="P77" i="54"/>
  <c r="N77" i="54"/>
  <c r="M77" i="54"/>
  <c r="L77" i="54"/>
  <c r="K77" i="54"/>
  <c r="J77" i="54"/>
  <c r="I77" i="54"/>
  <c r="H77" i="54"/>
  <c r="G77" i="54"/>
  <c r="E77" i="54"/>
  <c r="D77" i="54"/>
  <c r="P76" i="54"/>
  <c r="N76" i="54"/>
  <c r="M76" i="54"/>
  <c r="L76" i="54"/>
  <c r="K76" i="54"/>
  <c r="J76" i="54"/>
  <c r="I76" i="54"/>
  <c r="H76" i="54"/>
  <c r="G76" i="54"/>
  <c r="E76" i="54"/>
  <c r="D76" i="54"/>
  <c r="P75" i="54"/>
  <c r="N75" i="54"/>
  <c r="M75" i="54"/>
  <c r="L75" i="54"/>
  <c r="K75" i="54"/>
  <c r="J75" i="54"/>
  <c r="I75" i="54"/>
  <c r="H75" i="54"/>
  <c r="G75" i="54"/>
  <c r="E75" i="54"/>
  <c r="D75" i="54"/>
  <c r="P74" i="54"/>
  <c r="N74" i="54"/>
  <c r="M74" i="54"/>
  <c r="L74" i="54"/>
  <c r="K74" i="54"/>
  <c r="J74" i="54"/>
  <c r="I74" i="54"/>
  <c r="H74" i="54"/>
  <c r="G74" i="54"/>
  <c r="E74" i="54"/>
  <c r="D74" i="54"/>
  <c r="P73" i="54"/>
  <c r="N73" i="54"/>
  <c r="M73" i="54"/>
  <c r="L73" i="54"/>
  <c r="K73" i="54"/>
  <c r="J73" i="54"/>
  <c r="I73" i="54"/>
  <c r="H73" i="54"/>
  <c r="G73" i="54"/>
  <c r="E73" i="54"/>
  <c r="D73" i="54"/>
  <c r="P72" i="54"/>
  <c r="N72" i="54"/>
  <c r="M72" i="54"/>
  <c r="L72" i="54"/>
  <c r="K72" i="54"/>
  <c r="J72" i="54"/>
  <c r="I72" i="54"/>
  <c r="H72" i="54"/>
  <c r="G72" i="54"/>
  <c r="E72" i="54"/>
  <c r="D72" i="54"/>
  <c r="P71" i="54"/>
  <c r="N71" i="54"/>
  <c r="M71" i="54"/>
  <c r="L71" i="54"/>
  <c r="K71" i="54"/>
  <c r="J71" i="54"/>
  <c r="I71" i="54"/>
  <c r="H71" i="54"/>
  <c r="G71" i="54"/>
  <c r="E71" i="54"/>
  <c r="D71" i="54"/>
  <c r="P70" i="54"/>
  <c r="N70" i="54"/>
  <c r="M70" i="54"/>
  <c r="L70" i="54"/>
  <c r="K70" i="54"/>
  <c r="J70" i="54"/>
  <c r="I70" i="54"/>
  <c r="H70" i="54"/>
  <c r="G70" i="54"/>
  <c r="E70" i="54"/>
  <c r="D70" i="54"/>
  <c r="P69" i="54"/>
  <c r="N69" i="54"/>
  <c r="M69" i="54"/>
  <c r="L69" i="54"/>
  <c r="K69" i="54"/>
  <c r="J69" i="54"/>
  <c r="I69" i="54"/>
  <c r="H69" i="54"/>
  <c r="G69" i="54"/>
  <c r="E69" i="54"/>
  <c r="D69" i="54"/>
  <c r="P68" i="54"/>
  <c r="N68" i="54"/>
  <c r="M68" i="54"/>
  <c r="L68" i="54"/>
  <c r="K68" i="54"/>
  <c r="J68" i="54"/>
  <c r="I68" i="54"/>
  <c r="H68" i="54"/>
  <c r="G68" i="54"/>
  <c r="E68" i="54"/>
  <c r="D68" i="54"/>
  <c r="P67" i="54"/>
  <c r="N67" i="54"/>
  <c r="M67" i="54"/>
  <c r="L67" i="54"/>
  <c r="K67" i="54"/>
  <c r="J67" i="54"/>
  <c r="I67" i="54"/>
  <c r="H67" i="54"/>
  <c r="G67" i="54"/>
  <c r="E67" i="54"/>
  <c r="D67" i="54"/>
  <c r="P66" i="54"/>
  <c r="N66" i="54"/>
  <c r="M66" i="54"/>
  <c r="L66" i="54"/>
  <c r="K66" i="54"/>
  <c r="J66" i="54"/>
  <c r="I66" i="54"/>
  <c r="H66" i="54"/>
  <c r="G66" i="54"/>
  <c r="E66" i="54"/>
  <c r="D66" i="54"/>
  <c r="P65" i="54"/>
  <c r="N65" i="54"/>
  <c r="M65" i="54"/>
  <c r="L65" i="54"/>
  <c r="K65" i="54"/>
  <c r="J65" i="54"/>
  <c r="I65" i="54"/>
  <c r="H65" i="54"/>
  <c r="G65" i="54"/>
  <c r="E65" i="54"/>
  <c r="D65" i="54"/>
  <c r="P64" i="54"/>
  <c r="N64" i="54"/>
  <c r="M64" i="54"/>
  <c r="L64" i="54"/>
  <c r="K64" i="54"/>
  <c r="J64" i="54"/>
  <c r="I64" i="54"/>
  <c r="H64" i="54"/>
  <c r="G64" i="54"/>
  <c r="E64" i="54"/>
  <c r="D64" i="54"/>
  <c r="P63" i="54"/>
  <c r="N63" i="54"/>
  <c r="M63" i="54"/>
  <c r="L63" i="54"/>
  <c r="K63" i="54"/>
  <c r="J63" i="54"/>
  <c r="I63" i="54"/>
  <c r="H63" i="54"/>
  <c r="G63" i="54"/>
  <c r="E63" i="54"/>
  <c r="D63" i="54"/>
  <c r="P62" i="54"/>
  <c r="N62" i="54"/>
  <c r="M62" i="54"/>
  <c r="L62" i="54"/>
  <c r="K62" i="54"/>
  <c r="J62" i="54"/>
  <c r="I62" i="54"/>
  <c r="H62" i="54"/>
  <c r="G62" i="54"/>
  <c r="E62" i="54"/>
  <c r="D62" i="54"/>
  <c r="P61" i="54"/>
  <c r="N61" i="54"/>
  <c r="M61" i="54"/>
  <c r="L61" i="54"/>
  <c r="K61" i="54"/>
  <c r="J61" i="54"/>
  <c r="I61" i="54"/>
  <c r="H61" i="54"/>
  <c r="G61" i="54"/>
  <c r="E61" i="54"/>
  <c r="D61" i="54"/>
  <c r="P60" i="54"/>
  <c r="N60" i="54"/>
  <c r="M60" i="54"/>
  <c r="L60" i="54"/>
  <c r="K60" i="54"/>
  <c r="J60" i="54"/>
  <c r="I60" i="54"/>
  <c r="H60" i="54"/>
  <c r="G60" i="54"/>
  <c r="E60" i="54"/>
  <c r="D60" i="54"/>
  <c r="P59" i="54"/>
  <c r="N59" i="54"/>
  <c r="M59" i="54"/>
  <c r="L59" i="54"/>
  <c r="K59" i="54"/>
  <c r="J59" i="54"/>
  <c r="I59" i="54"/>
  <c r="H59" i="54"/>
  <c r="G59" i="54"/>
  <c r="E59" i="54"/>
  <c r="D59" i="54"/>
  <c r="P58" i="54"/>
  <c r="N58" i="54"/>
  <c r="M58" i="54"/>
  <c r="L58" i="54"/>
  <c r="K58" i="54"/>
  <c r="J58" i="54"/>
  <c r="I58" i="54"/>
  <c r="H58" i="54"/>
  <c r="G58" i="54"/>
  <c r="E58" i="54"/>
  <c r="D58" i="54"/>
  <c r="P57" i="54"/>
  <c r="N57" i="54"/>
  <c r="M57" i="54"/>
  <c r="L57" i="54"/>
  <c r="K57" i="54"/>
  <c r="J57" i="54"/>
  <c r="I57" i="54"/>
  <c r="H57" i="54"/>
  <c r="G57" i="54"/>
  <c r="E57" i="54"/>
  <c r="D57" i="54"/>
  <c r="P56" i="54"/>
  <c r="N56" i="54"/>
  <c r="M56" i="54"/>
  <c r="L56" i="54"/>
  <c r="K56" i="54"/>
  <c r="J56" i="54"/>
  <c r="I56" i="54"/>
  <c r="H56" i="54"/>
  <c r="G56" i="54"/>
  <c r="E56" i="54"/>
  <c r="D56" i="54"/>
  <c r="P55" i="54"/>
  <c r="N55" i="54"/>
  <c r="M55" i="54"/>
  <c r="L55" i="54"/>
  <c r="K55" i="54"/>
  <c r="J55" i="54"/>
  <c r="I55" i="54"/>
  <c r="H55" i="54"/>
  <c r="G55" i="54"/>
  <c r="E55" i="54"/>
  <c r="D55" i="54"/>
  <c r="P54" i="54"/>
  <c r="N54" i="54"/>
  <c r="M54" i="54"/>
  <c r="L54" i="54"/>
  <c r="K54" i="54"/>
  <c r="J54" i="54"/>
  <c r="I54" i="54"/>
  <c r="H54" i="54"/>
  <c r="G54" i="54"/>
  <c r="E54" i="54"/>
  <c r="D54" i="54"/>
  <c r="P53" i="54"/>
  <c r="N53" i="54"/>
  <c r="M53" i="54"/>
  <c r="L53" i="54"/>
  <c r="K53" i="54"/>
  <c r="J53" i="54"/>
  <c r="I53" i="54"/>
  <c r="H53" i="54"/>
  <c r="G53" i="54"/>
  <c r="E53" i="54"/>
  <c r="D53" i="54"/>
  <c r="P52" i="54"/>
  <c r="N52" i="54"/>
  <c r="M52" i="54"/>
  <c r="L52" i="54"/>
  <c r="K52" i="54"/>
  <c r="J52" i="54"/>
  <c r="I52" i="54"/>
  <c r="H52" i="54"/>
  <c r="G52" i="54"/>
  <c r="E52" i="54"/>
  <c r="D52" i="54"/>
  <c r="P51" i="54"/>
  <c r="N51" i="54"/>
  <c r="M51" i="54"/>
  <c r="L51" i="54"/>
  <c r="K51" i="54"/>
  <c r="J51" i="54"/>
  <c r="I51" i="54"/>
  <c r="H51" i="54"/>
  <c r="G51" i="54"/>
  <c r="E51" i="54"/>
  <c r="D51" i="54"/>
  <c r="P50" i="54"/>
  <c r="N50" i="54"/>
  <c r="M50" i="54"/>
  <c r="L50" i="54"/>
  <c r="K50" i="54"/>
  <c r="J50" i="54"/>
  <c r="I50" i="54"/>
  <c r="H50" i="54"/>
  <c r="G50" i="54"/>
  <c r="E50" i="54"/>
  <c r="D50" i="54"/>
  <c r="P49" i="54"/>
  <c r="N49" i="54"/>
  <c r="M49" i="54"/>
  <c r="L49" i="54"/>
  <c r="K49" i="54"/>
  <c r="J49" i="54"/>
  <c r="I49" i="54"/>
  <c r="H49" i="54"/>
  <c r="G49" i="54"/>
  <c r="E49" i="54"/>
  <c r="D49" i="54"/>
  <c r="P48" i="54"/>
  <c r="N48" i="54"/>
  <c r="M48" i="54"/>
  <c r="L48" i="54"/>
  <c r="K48" i="54"/>
  <c r="J48" i="54"/>
  <c r="I48" i="54"/>
  <c r="H48" i="54"/>
  <c r="G48" i="54"/>
  <c r="E48" i="54"/>
  <c r="D48" i="54"/>
  <c r="P47" i="54"/>
  <c r="N47" i="54"/>
  <c r="M47" i="54"/>
  <c r="L47" i="54"/>
  <c r="K47" i="54"/>
  <c r="J47" i="54"/>
  <c r="I47" i="54"/>
  <c r="H47" i="54"/>
  <c r="G47" i="54"/>
  <c r="E47" i="54"/>
  <c r="D47" i="54"/>
  <c r="P46" i="54"/>
  <c r="N46" i="54"/>
  <c r="M46" i="54"/>
  <c r="L46" i="54"/>
  <c r="K46" i="54"/>
  <c r="J46" i="54"/>
  <c r="I46" i="54"/>
  <c r="H46" i="54"/>
  <c r="G46" i="54"/>
  <c r="E46" i="54"/>
  <c r="D46" i="54"/>
  <c r="P45" i="54"/>
  <c r="N45" i="54"/>
  <c r="M45" i="54"/>
  <c r="L45" i="54"/>
  <c r="K45" i="54"/>
  <c r="J45" i="54"/>
  <c r="I45" i="54"/>
  <c r="H45" i="54"/>
  <c r="G45" i="54"/>
  <c r="E45" i="54"/>
  <c r="D45" i="54"/>
  <c r="P44" i="54"/>
  <c r="N44" i="54"/>
  <c r="M44" i="54"/>
  <c r="L44" i="54"/>
  <c r="K44" i="54"/>
  <c r="J44" i="54"/>
  <c r="I44" i="54"/>
  <c r="H44" i="54"/>
  <c r="G44" i="54"/>
  <c r="E44" i="54"/>
  <c r="D44" i="54"/>
  <c r="P43" i="54"/>
  <c r="N43" i="54"/>
  <c r="M43" i="54"/>
  <c r="L43" i="54"/>
  <c r="K43" i="54"/>
  <c r="J43" i="54"/>
  <c r="I43" i="54"/>
  <c r="H43" i="54"/>
  <c r="G43" i="54"/>
  <c r="E43" i="54"/>
  <c r="D43" i="54"/>
  <c r="P42" i="54"/>
  <c r="N42" i="54"/>
  <c r="M42" i="54"/>
  <c r="L42" i="54"/>
  <c r="K42" i="54"/>
  <c r="J42" i="54"/>
  <c r="I42" i="54"/>
  <c r="H42" i="54"/>
  <c r="G42" i="54"/>
  <c r="E42" i="54"/>
  <c r="D42" i="54"/>
  <c r="P41" i="54"/>
  <c r="N41" i="54"/>
  <c r="M41" i="54"/>
  <c r="L41" i="54"/>
  <c r="K41" i="54"/>
  <c r="J41" i="54"/>
  <c r="I41" i="54"/>
  <c r="H41" i="54"/>
  <c r="G41" i="54"/>
  <c r="E41" i="54"/>
  <c r="D41" i="54"/>
  <c r="P40" i="54"/>
  <c r="N40" i="54"/>
  <c r="M40" i="54"/>
  <c r="L40" i="54"/>
  <c r="K40" i="54"/>
  <c r="J40" i="54"/>
  <c r="I40" i="54"/>
  <c r="H40" i="54"/>
  <c r="G40" i="54"/>
  <c r="E40" i="54"/>
  <c r="D40" i="54"/>
  <c r="P39" i="54"/>
  <c r="N39" i="54"/>
  <c r="M39" i="54"/>
  <c r="L39" i="54"/>
  <c r="K39" i="54"/>
  <c r="J39" i="54"/>
  <c r="I39" i="54"/>
  <c r="H39" i="54"/>
  <c r="G39" i="54"/>
  <c r="E39" i="54"/>
  <c r="D39" i="54"/>
  <c r="P38" i="54"/>
  <c r="N38" i="54"/>
  <c r="M38" i="54"/>
  <c r="L38" i="54"/>
  <c r="K38" i="54"/>
  <c r="J38" i="54"/>
  <c r="I38" i="54"/>
  <c r="H38" i="54"/>
  <c r="G38" i="54"/>
  <c r="E38" i="54"/>
  <c r="D38" i="54"/>
  <c r="P37" i="54"/>
  <c r="N37" i="54"/>
  <c r="M37" i="54"/>
  <c r="L37" i="54"/>
  <c r="K37" i="54"/>
  <c r="J37" i="54"/>
  <c r="I37" i="54"/>
  <c r="H37" i="54"/>
  <c r="G37" i="54"/>
  <c r="E37" i="54"/>
  <c r="D37" i="54"/>
  <c r="P36" i="54"/>
  <c r="N36" i="54"/>
  <c r="M36" i="54"/>
  <c r="L36" i="54"/>
  <c r="K36" i="54"/>
  <c r="J36" i="54"/>
  <c r="I36" i="54"/>
  <c r="H36" i="54"/>
  <c r="G36" i="54"/>
  <c r="E36" i="54"/>
  <c r="D36" i="54"/>
  <c r="P35" i="54"/>
  <c r="N35" i="54"/>
  <c r="M35" i="54"/>
  <c r="L35" i="54"/>
  <c r="K35" i="54"/>
  <c r="J35" i="54"/>
  <c r="I35" i="54"/>
  <c r="H35" i="54"/>
  <c r="G35" i="54"/>
  <c r="E35" i="54"/>
  <c r="D35" i="54"/>
  <c r="P34" i="54"/>
  <c r="N34" i="54"/>
  <c r="M34" i="54"/>
  <c r="L34" i="54"/>
  <c r="K34" i="54"/>
  <c r="J34" i="54"/>
  <c r="I34" i="54"/>
  <c r="H34" i="54"/>
  <c r="G34" i="54"/>
  <c r="E34" i="54"/>
  <c r="D34" i="54"/>
  <c r="P33" i="54"/>
  <c r="N33" i="54"/>
  <c r="M33" i="54"/>
  <c r="L33" i="54"/>
  <c r="K33" i="54"/>
  <c r="J33" i="54"/>
  <c r="I33" i="54"/>
  <c r="H33" i="54"/>
  <c r="G33" i="54"/>
  <c r="E33" i="54"/>
  <c r="D33" i="54"/>
  <c r="P32" i="54"/>
  <c r="N32" i="54"/>
  <c r="M32" i="54"/>
  <c r="L32" i="54"/>
  <c r="K32" i="54"/>
  <c r="J32" i="54"/>
  <c r="I32" i="54"/>
  <c r="H32" i="54"/>
  <c r="G32" i="54"/>
  <c r="E32" i="54"/>
  <c r="D32" i="54"/>
  <c r="P31" i="54"/>
  <c r="N31" i="54"/>
  <c r="M31" i="54"/>
  <c r="L31" i="54"/>
  <c r="K31" i="54"/>
  <c r="J31" i="54"/>
  <c r="I31" i="54"/>
  <c r="H31" i="54"/>
  <c r="G31" i="54"/>
  <c r="E31" i="54"/>
  <c r="D31" i="54"/>
  <c r="P30" i="54"/>
  <c r="N30" i="54"/>
  <c r="M30" i="54"/>
  <c r="L30" i="54"/>
  <c r="K30" i="54"/>
  <c r="J30" i="54"/>
  <c r="I30" i="54"/>
  <c r="H30" i="54"/>
  <c r="G30" i="54"/>
  <c r="E30" i="54"/>
  <c r="D30" i="54"/>
  <c r="P29" i="54"/>
  <c r="N29" i="54"/>
  <c r="M29" i="54"/>
  <c r="L29" i="54"/>
  <c r="K29" i="54"/>
  <c r="J29" i="54"/>
  <c r="I29" i="54"/>
  <c r="H29" i="54"/>
  <c r="G29" i="54"/>
  <c r="E29" i="54"/>
  <c r="D29" i="54"/>
  <c r="P28" i="54"/>
  <c r="N28" i="54"/>
  <c r="M28" i="54"/>
  <c r="L28" i="54"/>
  <c r="K28" i="54"/>
  <c r="J28" i="54"/>
  <c r="I28" i="54"/>
  <c r="H28" i="54"/>
  <c r="G28" i="54"/>
  <c r="E28" i="54"/>
  <c r="D28" i="54"/>
  <c r="P27" i="54"/>
  <c r="N27" i="54"/>
  <c r="M27" i="54"/>
  <c r="L27" i="54"/>
  <c r="K27" i="54"/>
  <c r="J27" i="54"/>
  <c r="I27" i="54"/>
  <c r="H27" i="54"/>
  <c r="G27" i="54"/>
  <c r="E27" i="54"/>
  <c r="D27" i="54"/>
  <c r="P26" i="54"/>
  <c r="N26" i="54"/>
  <c r="M26" i="54"/>
  <c r="L26" i="54"/>
  <c r="K26" i="54"/>
  <c r="J26" i="54"/>
  <c r="I26" i="54"/>
  <c r="H26" i="54"/>
  <c r="G26" i="54"/>
  <c r="E26" i="54"/>
  <c r="D26" i="54"/>
  <c r="P25" i="54"/>
  <c r="N25" i="54"/>
  <c r="M25" i="54"/>
  <c r="L25" i="54"/>
  <c r="K25" i="54"/>
  <c r="J25" i="54"/>
  <c r="I25" i="54"/>
  <c r="H25" i="54"/>
  <c r="G25" i="54"/>
  <c r="E25" i="54"/>
  <c r="D25" i="54"/>
  <c r="P24" i="54"/>
  <c r="N24" i="54"/>
  <c r="M24" i="54"/>
  <c r="L24" i="54"/>
  <c r="K24" i="54"/>
  <c r="J24" i="54"/>
  <c r="I24" i="54"/>
  <c r="H24" i="54"/>
  <c r="G24" i="54"/>
  <c r="E24" i="54"/>
  <c r="D24" i="54"/>
  <c r="P23" i="54"/>
  <c r="N23" i="54"/>
  <c r="M23" i="54"/>
  <c r="L23" i="54"/>
  <c r="K23" i="54"/>
  <c r="J23" i="54"/>
  <c r="I23" i="54"/>
  <c r="H23" i="54"/>
  <c r="G23" i="54"/>
  <c r="E23" i="54"/>
  <c r="D23" i="54"/>
  <c r="P22" i="54"/>
  <c r="N22" i="54"/>
  <c r="M22" i="54"/>
  <c r="L22" i="54"/>
  <c r="K22" i="54"/>
  <c r="J22" i="54"/>
  <c r="I22" i="54"/>
  <c r="H22" i="54"/>
  <c r="G22" i="54"/>
  <c r="E22" i="54"/>
  <c r="D22" i="54"/>
  <c r="N19" i="54"/>
  <c r="M19" i="54"/>
  <c r="L19" i="54"/>
  <c r="K19" i="54"/>
  <c r="J19" i="54"/>
  <c r="H19" i="54"/>
  <c r="G19" i="54"/>
  <c r="F19" i="54"/>
  <c r="E19" i="54"/>
  <c r="D19" i="54"/>
  <c r="O18" i="54"/>
  <c r="N18" i="54"/>
  <c r="M18" i="54"/>
  <c r="L18" i="54"/>
  <c r="K18" i="54"/>
  <c r="J18" i="54"/>
  <c r="I18" i="54"/>
  <c r="H18" i="54"/>
  <c r="G18" i="54"/>
  <c r="F18" i="54"/>
  <c r="E18" i="54"/>
  <c r="D18" i="54"/>
  <c r="P17" i="54"/>
  <c r="P16" i="54"/>
  <c r="P15" i="54"/>
  <c r="P14" i="54"/>
  <c r="N13" i="54"/>
  <c r="M13" i="54"/>
  <c r="L13" i="54"/>
  <c r="K13" i="54"/>
  <c r="J13" i="54"/>
  <c r="H13" i="54"/>
  <c r="G13" i="54"/>
  <c r="F13" i="54"/>
  <c r="E13" i="54"/>
  <c r="D13" i="54"/>
  <c r="N12" i="54"/>
  <c r="M12" i="54"/>
  <c r="L12" i="54"/>
  <c r="K12" i="54"/>
  <c r="J12" i="54"/>
  <c r="I12" i="54"/>
  <c r="P12" i="54" s="1"/>
  <c r="H12" i="54"/>
  <c r="G12" i="54"/>
  <c r="F12" i="54"/>
  <c r="E12" i="54"/>
  <c r="D12" i="54"/>
  <c r="N11" i="54"/>
  <c r="M11" i="54"/>
  <c r="L11" i="54"/>
  <c r="K11" i="54"/>
  <c r="J11" i="54"/>
  <c r="I11" i="54"/>
  <c r="P11" i="54" s="1"/>
  <c r="H11" i="54"/>
  <c r="G11" i="54"/>
  <c r="F11" i="54"/>
  <c r="E11" i="54"/>
  <c r="D11" i="54"/>
  <c r="N10" i="54"/>
  <c r="M10" i="54"/>
  <c r="L10" i="54"/>
  <c r="K10" i="54"/>
  <c r="J10" i="54"/>
  <c r="I10" i="54"/>
  <c r="P10" i="54" s="1"/>
  <c r="H10" i="54"/>
  <c r="G10" i="54"/>
  <c r="F10" i="54"/>
  <c r="E10" i="54"/>
  <c r="D10" i="54"/>
  <c r="N9" i="54"/>
  <c r="M9" i="54"/>
  <c r="L9" i="54"/>
  <c r="K9" i="54"/>
  <c r="J9" i="54"/>
  <c r="I9" i="54"/>
  <c r="P9" i="54" s="1"/>
  <c r="H9" i="54"/>
  <c r="G9" i="54"/>
  <c r="F9" i="54"/>
  <c r="E9" i="54"/>
  <c r="D9" i="54"/>
  <c r="O8" i="54"/>
  <c r="O13" i="54" s="1"/>
  <c r="N8" i="54"/>
  <c r="M8" i="54"/>
  <c r="L8" i="54"/>
  <c r="K8" i="54"/>
  <c r="J8" i="54"/>
  <c r="H8" i="54"/>
  <c r="G8" i="54"/>
  <c r="F8" i="54"/>
  <c r="E8" i="54"/>
  <c r="D8" i="54"/>
  <c r="H142" i="53"/>
  <c r="G141" i="53"/>
  <c r="N137" i="53"/>
  <c r="M137" i="53"/>
  <c r="L137" i="53"/>
  <c r="K137" i="53"/>
  <c r="J137" i="53"/>
  <c r="H137" i="53"/>
  <c r="G137" i="53"/>
  <c r="F137" i="53"/>
  <c r="E137" i="53"/>
  <c r="D137" i="53"/>
  <c r="N134" i="53"/>
  <c r="M134" i="53"/>
  <c r="L134" i="53"/>
  <c r="K134" i="53"/>
  <c r="J134" i="53"/>
  <c r="H134" i="53"/>
  <c r="G134" i="53"/>
  <c r="F134" i="53"/>
  <c r="E134" i="53"/>
  <c r="D134" i="53"/>
  <c r="O132" i="53"/>
  <c r="P132" i="53" s="1"/>
  <c r="N132" i="53"/>
  <c r="M132" i="53"/>
  <c r="L132" i="53"/>
  <c r="K132" i="53"/>
  <c r="J132" i="53"/>
  <c r="I132" i="53"/>
  <c r="H132" i="53"/>
  <c r="G132" i="53"/>
  <c r="F132" i="53"/>
  <c r="E132" i="53"/>
  <c r="D132" i="53"/>
  <c r="P131" i="53"/>
  <c r="N131" i="53"/>
  <c r="M131" i="53"/>
  <c r="L131" i="53"/>
  <c r="K131" i="53"/>
  <c r="J131" i="53"/>
  <c r="I131" i="53"/>
  <c r="H131" i="53"/>
  <c r="G131" i="53"/>
  <c r="F131" i="53"/>
  <c r="E131" i="53"/>
  <c r="D131" i="53"/>
  <c r="P130" i="53"/>
  <c r="N130" i="53"/>
  <c r="M130" i="53"/>
  <c r="L130" i="53"/>
  <c r="K130" i="53"/>
  <c r="J130" i="53"/>
  <c r="I130" i="53"/>
  <c r="H130" i="53"/>
  <c r="G130" i="53"/>
  <c r="F130" i="53"/>
  <c r="E130" i="53"/>
  <c r="D130" i="53"/>
  <c r="P129" i="53"/>
  <c r="N129" i="53"/>
  <c r="M129" i="53"/>
  <c r="L129" i="53"/>
  <c r="K129" i="53"/>
  <c r="J129" i="53"/>
  <c r="I129" i="53"/>
  <c r="H129" i="53"/>
  <c r="G129" i="53"/>
  <c r="F129" i="53"/>
  <c r="E129" i="53"/>
  <c r="D129" i="53"/>
  <c r="P128" i="53"/>
  <c r="N128" i="53"/>
  <c r="M128" i="53"/>
  <c r="L128" i="53"/>
  <c r="K128" i="53"/>
  <c r="J128" i="53"/>
  <c r="I128" i="53"/>
  <c r="H128" i="53"/>
  <c r="G128" i="53"/>
  <c r="F128" i="53"/>
  <c r="E128" i="53"/>
  <c r="D128" i="53"/>
  <c r="P127" i="53"/>
  <c r="N127" i="53"/>
  <c r="M127" i="53"/>
  <c r="L127" i="53"/>
  <c r="K127" i="53"/>
  <c r="J127" i="53"/>
  <c r="I127" i="53"/>
  <c r="H127" i="53"/>
  <c r="G127" i="53"/>
  <c r="F127" i="53"/>
  <c r="E127" i="53"/>
  <c r="D127" i="53"/>
  <c r="P126" i="53"/>
  <c r="N126" i="53"/>
  <c r="M126" i="53"/>
  <c r="L126" i="53"/>
  <c r="K126" i="53"/>
  <c r="J126" i="53"/>
  <c r="I126" i="53"/>
  <c r="H126" i="53"/>
  <c r="G126" i="53"/>
  <c r="F126" i="53"/>
  <c r="E126" i="53"/>
  <c r="D126" i="53"/>
  <c r="P125" i="53"/>
  <c r="N125" i="53"/>
  <c r="M125" i="53"/>
  <c r="L125" i="53"/>
  <c r="K125" i="53"/>
  <c r="J125" i="53"/>
  <c r="I125" i="53"/>
  <c r="H125" i="53"/>
  <c r="G125" i="53"/>
  <c r="F125" i="53"/>
  <c r="E125" i="53"/>
  <c r="D125" i="53"/>
  <c r="P124" i="53"/>
  <c r="N124" i="53"/>
  <c r="M124" i="53"/>
  <c r="L124" i="53"/>
  <c r="K124" i="53"/>
  <c r="J124" i="53"/>
  <c r="I124" i="53"/>
  <c r="H124" i="53"/>
  <c r="G124" i="53"/>
  <c r="F124" i="53"/>
  <c r="E124" i="53"/>
  <c r="D124" i="53"/>
  <c r="P123" i="53"/>
  <c r="N123" i="53"/>
  <c r="M123" i="53"/>
  <c r="L123" i="53"/>
  <c r="K123" i="53"/>
  <c r="J123" i="53"/>
  <c r="I123" i="53"/>
  <c r="H123" i="53"/>
  <c r="G123" i="53"/>
  <c r="F123" i="53"/>
  <c r="E123" i="53"/>
  <c r="D123" i="53"/>
  <c r="P122" i="53"/>
  <c r="N122" i="53"/>
  <c r="M122" i="53"/>
  <c r="L122" i="53"/>
  <c r="K122" i="53"/>
  <c r="J122" i="53"/>
  <c r="I122" i="53"/>
  <c r="H122" i="53"/>
  <c r="G122" i="53"/>
  <c r="F122" i="53"/>
  <c r="E122" i="53"/>
  <c r="D122" i="53"/>
  <c r="P121" i="53"/>
  <c r="N121" i="53"/>
  <c r="M121" i="53"/>
  <c r="L121" i="53"/>
  <c r="K121" i="53"/>
  <c r="J121" i="53"/>
  <c r="I121" i="53"/>
  <c r="H121" i="53"/>
  <c r="G121" i="53"/>
  <c r="F121" i="53"/>
  <c r="E121" i="53"/>
  <c r="D121" i="53"/>
  <c r="P120" i="53"/>
  <c r="N120" i="53"/>
  <c r="M120" i="53"/>
  <c r="L120" i="53"/>
  <c r="K120" i="53"/>
  <c r="J120" i="53"/>
  <c r="I120" i="53"/>
  <c r="H120" i="53"/>
  <c r="G120" i="53"/>
  <c r="F120" i="53"/>
  <c r="E120" i="53"/>
  <c r="D120" i="53"/>
  <c r="P119" i="53"/>
  <c r="N119" i="53"/>
  <c r="M119" i="53"/>
  <c r="L119" i="53"/>
  <c r="K119" i="53"/>
  <c r="J119" i="53"/>
  <c r="I119" i="53"/>
  <c r="H119" i="53"/>
  <c r="G119" i="53"/>
  <c r="F119" i="53"/>
  <c r="E119" i="53"/>
  <c r="D119" i="53"/>
  <c r="P118" i="53"/>
  <c r="N118" i="53"/>
  <c r="M118" i="53"/>
  <c r="L118" i="53"/>
  <c r="K118" i="53"/>
  <c r="J118" i="53"/>
  <c r="I118" i="53"/>
  <c r="H118" i="53"/>
  <c r="G118" i="53"/>
  <c r="F118" i="53"/>
  <c r="E118" i="53"/>
  <c r="D118" i="53"/>
  <c r="P117" i="53"/>
  <c r="N117" i="53"/>
  <c r="M117" i="53"/>
  <c r="L117" i="53"/>
  <c r="K117" i="53"/>
  <c r="J117" i="53"/>
  <c r="I117" i="53"/>
  <c r="H117" i="53"/>
  <c r="G117" i="53"/>
  <c r="F117" i="53"/>
  <c r="E117" i="53"/>
  <c r="D117" i="53"/>
  <c r="P116" i="53"/>
  <c r="N116" i="53"/>
  <c r="M116" i="53"/>
  <c r="L116" i="53"/>
  <c r="K116" i="53"/>
  <c r="J116" i="53"/>
  <c r="I116" i="53"/>
  <c r="H116" i="53"/>
  <c r="G116" i="53"/>
  <c r="F116" i="53"/>
  <c r="E116" i="53"/>
  <c r="D116" i="53"/>
  <c r="P115" i="53"/>
  <c r="N115" i="53"/>
  <c r="M115" i="53"/>
  <c r="L115" i="53"/>
  <c r="K115" i="53"/>
  <c r="J115" i="53"/>
  <c r="I115" i="53"/>
  <c r="H115" i="53"/>
  <c r="G115" i="53"/>
  <c r="F115" i="53"/>
  <c r="E115" i="53"/>
  <c r="D115" i="53"/>
  <c r="P114" i="53"/>
  <c r="N114" i="53"/>
  <c r="M114" i="53"/>
  <c r="L114" i="53"/>
  <c r="K114" i="53"/>
  <c r="J114" i="53"/>
  <c r="I114" i="53"/>
  <c r="H114" i="53"/>
  <c r="G114" i="53"/>
  <c r="F114" i="53"/>
  <c r="E114" i="53"/>
  <c r="D114" i="53"/>
  <c r="P113" i="53"/>
  <c r="N113" i="53"/>
  <c r="M113" i="53"/>
  <c r="L113" i="53"/>
  <c r="K113" i="53"/>
  <c r="J113" i="53"/>
  <c r="I113" i="53"/>
  <c r="H113" i="53"/>
  <c r="G113" i="53"/>
  <c r="F113" i="53"/>
  <c r="E113" i="53"/>
  <c r="D113" i="53"/>
  <c r="P112" i="53"/>
  <c r="N112" i="53"/>
  <c r="M112" i="53"/>
  <c r="L112" i="53"/>
  <c r="K112" i="53"/>
  <c r="J112" i="53"/>
  <c r="I112" i="53"/>
  <c r="H112" i="53"/>
  <c r="G112" i="53"/>
  <c r="F112" i="53"/>
  <c r="E112" i="53"/>
  <c r="D112" i="53"/>
  <c r="P111" i="53"/>
  <c r="N111" i="53"/>
  <c r="M111" i="53"/>
  <c r="L111" i="53"/>
  <c r="K111" i="53"/>
  <c r="J111" i="53"/>
  <c r="I111" i="53"/>
  <c r="H111" i="53"/>
  <c r="G111" i="53"/>
  <c r="F111" i="53"/>
  <c r="E111" i="53"/>
  <c r="D111" i="53"/>
  <c r="P110" i="53"/>
  <c r="N110" i="53"/>
  <c r="M110" i="53"/>
  <c r="L110" i="53"/>
  <c r="K110" i="53"/>
  <c r="J110" i="53"/>
  <c r="I110" i="53"/>
  <c r="H110" i="53"/>
  <c r="G110" i="53"/>
  <c r="F110" i="53"/>
  <c r="E110" i="53"/>
  <c r="D110" i="53"/>
  <c r="P109" i="53"/>
  <c r="N109" i="53"/>
  <c r="M109" i="53"/>
  <c r="L109" i="53"/>
  <c r="K109" i="53"/>
  <c r="J109" i="53"/>
  <c r="I109" i="53"/>
  <c r="H109" i="53"/>
  <c r="G109" i="53"/>
  <c r="F109" i="53"/>
  <c r="E109" i="53"/>
  <c r="D109" i="53"/>
  <c r="P108" i="53"/>
  <c r="N108" i="53"/>
  <c r="M108" i="53"/>
  <c r="L108" i="53"/>
  <c r="K108" i="53"/>
  <c r="J108" i="53"/>
  <c r="I108" i="53"/>
  <c r="H108" i="53"/>
  <c r="G108" i="53"/>
  <c r="F108" i="53"/>
  <c r="E108" i="53"/>
  <c r="D108" i="53"/>
  <c r="P107" i="53"/>
  <c r="N107" i="53"/>
  <c r="M107" i="53"/>
  <c r="L107" i="53"/>
  <c r="K107" i="53"/>
  <c r="J107" i="53"/>
  <c r="I107" i="53"/>
  <c r="H107" i="53"/>
  <c r="G107" i="53"/>
  <c r="F107" i="53"/>
  <c r="E107" i="53"/>
  <c r="D107" i="53"/>
  <c r="P106" i="53"/>
  <c r="N106" i="53"/>
  <c r="M106" i="53"/>
  <c r="L106" i="53"/>
  <c r="K106" i="53"/>
  <c r="J106" i="53"/>
  <c r="I106" i="53"/>
  <c r="H106" i="53"/>
  <c r="G106" i="53"/>
  <c r="F106" i="53"/>
  <c r="E106" i="53"/>
  <c r="D106" i="53"/>
  <c r="P105" i="53"/>
  <c r="N105" i="53"/>
  <c r="M105" i="53"/>
  <c r="L105" i="53"/>
  <c r="K105" i="53"/>
  <c r="J105" i="53"/>
  <c r="I105" i="53"/>
  <c r="H105" i="53"/>
  <c r="G105" i="53"/>
  <c r="F105" i="53"/>
  <c r="E105" i="53"/>
  <c r="D105" i="53"/>
  <c r="P104" i="53"/>
  <c r="N104" i="53"/>
  <c r="M104" i="53"/>
  <c r="L104" i="53"/>
  <c r="K104" i="53"/>
  <c r="J104" i="53"/>
  <c r="I104" i="53"/>
  <c r="H104" i="53"/>
  <c r="G104" i="53"/>
  <c r="F104" i="53"/>
  <c r="E104" i="53"/>
  <c r="D104" i="53"/>
  <c r="P103" i="53"/>
  <c r="N103" i="53"/>
  <c r="M103" i="53"/>
  <c r="L103" i="53"/>
  <c r="K103" i="53"/>
  <c r="J103" i="53"/>
  <c r="I103" i="53"/>
  <c r="H103" i="53"/>
  <c r="G103" i="53"/>
  <c r="F103" i="53"/>
  <c r="E103" i="53"/>
  <c r="D103" i="53"/>
  <c r="P102" i="53"/>
  <c r="N102" i="53"/>
  <c r="M102" i="53"/>
  <c r="L102" i="53"/>
  <c r="K102" i="53"/>
  <c r="J102" i="53"/>
  <c r="I102" i="53"/>
  <c r="H102" i="53"/>
  <c r="G102" i="53"/>
  <c r="F102" i="53"/>
  <c r="E102" i="53"/>
  <c r="D102" i="53"/>
  <c r="P101" i="53"/>
  <c r="N101" i="53"/>
  <c r="M101" i="53"/>
  <c r="L101" i="53"/>
  <c r="K101" i="53"/>
  <c r="J101" i="53"/>
  <c r="I101" i="53"/>
  <c r="H101" i="53"/>
  <c r="G101" i="53"/>
  <c r="F101" i="53"/>
  <c r="E101" i="53"/>
  <c r="D101" i="53"/>
  <c r="P100" i="53"/>
  <c r="N100" i="53"/>
  <c r="M100" i="53"/>
  <c r="L100" i="53"/>
  <c r="K100" i="53"/>
  <c r="J100" i="53"/>
  <c r="I100" i="53"/>
  <c r="H100" i="53"/>
  <c r="G100" i="53"/>
  <c r="F100" i="53"/>
  <c r="E100" i="53"/>
  <c r="D100" i="53"/>
  <c r="P99" i="53"/>
  <c r="N99" i="53"/>
  <c r="M99" i="53"/>
  <c r="L99" i="53"/>
  <c r="K99" i="53"/>
  <c r="J99" i="53"/>
  <c r="I99" i="53"/>
  <c r="H99" i="53"/>
  <c r="G99" i="53"/>
  <c r="F99" i="53"/>
  <c r="E99" i="53"/>
  <c r="D99" i="53"/>
  <c r="P98" i="53"/>
  <c r="N98" i="53"/>
  <c r="M98" i="53"/>
  <c r="L98" i="53"/>
  <c r="K98" i="53"/>
  <c r="J98" i="53"/>
  <c r="I98" i="53"/>
  <c r="H98" i="53"/>
  <c r="G98" i="53"/>
  <c r="F98" i="53"/>
  <c r="E98" i="53"/>
  <c r="D98" i="53"/>
  <c r="P97" i="53"/>
  <c r="N97" i="53"/>
  <c r="M97" i="53"/>
  <c r="L97" i="53"/>
  <c r="K97" i="53"/>
  <c r="J97" i="53"/>
  <c r="I97" i="53"/>
  <c r="H97" i="53"/>
  <c r="G97" i="53"/>
  <c r="F97" i="53"/>
  <c r="E97" i="53"/>
  <c r="D97" i="53"/>
  <c r="P96" i="53"/>
  <c r="N96" i="53"/>
  <c r="M96" i="53"/>
  <c r="L96" i="53"/>
  <c r="K96" i="53"/>
  <c r="J96" i="53"/>
  <c r="I96" i="53"/>
  <c r="H96" i="53"/>
  <c r="G96" i="53"/>
  <c r="F96" i="53"/>
  <c r="E96" i="53"/>
  <c r="D96" i="53"/>
  <c r="P95" i="53"/>
  <c r="N95" i="53"/>
  <c r="M95" i="53"/>
  <c r="L95" i="53"/>
  <c r="K95" i="53"/>
  <c r="J95" i="53"/>
  <c r="I95" i="53"/>
  <c r="H95" i="53"/>
  <c r="G95" i="53"/>
  <c r="F95" i="53"/>
  <c r="E95" i="53"/>
  <c r="D95" i="53"/>
  <c r="P94" i="53"/>
  <c r="N94" i="53"/>
  <c r="M94" i="53"/>
  <c r="L94" i="53"/>
  <c r="K94" i="53"/>
  <c r="J94" i="53"/>
  <c r="I94" i="53"/>
  <c r="H94" i="53"/>
  <c r="G94" i="53"/>
  <c r="F94" i="53"/>
  <c r="E94" i="53"/>
  <c r="D94" i="53"/>
  <c r="P93" i="53"/>
  <c r="N93" i="53"/>
  <c r="M93" i="53"/>
  <c r="L93" i="53"/>
  <c r="K93" i="53"/>
  <c r="J93" i="53"/>
  <c r="I93" i="53"/>
  <c r="H93" i="53"/>
  <c r="G93" i="53"/>
  <c r="F93" i="53"/>
  <c r="E93" i="53"/>
  <c r="D93" i="53"/>
  <c r="P92" i="53"/>
  <c r="N92" i="53"/>
  <c r="M92" i="53"/>
  <c r="L92" i="53"/>
  <c r="K92" i="53"/>
  <c r="J92" i="53"/>
  <c r="I92" i="53"/>
  <c r="H92" i="53"/>
  <c r="G92" i="53"/>
  <c r="F92" i="53"/>
  <c r="E92" i="53"/>
  <c r="D92" i="53"/>
  <c r="P91" i="53"/>
  <c r="N91" i="53"/>
  <c r="M91" i="53"/>
  <c r="L91" i="53"/>
  <c r="K91" i="53"/>
  <c r="J91" i="53"/>
  <c r="I91" i="53"/>
  <c r="H91" i="53"/>
  <c r="G91" i="53"/>
  <c r="F91" i="53"/>
  <c r="E91" i="53"/>
  <c r="D91" i="53"/>
  <c r="P90" i="53"/>
  <c r="N90" i="53"/>
  <c r="M90" i="53"/>
  <c r="L90" i="53"/>
  <c r="K90" i="53"/>
  <c r="J90" i="53"/>
  <c r="I90" i="53"/>
  <c r="H90" i="53"/>
  <c r="G90" i="53"/>
  <c r="F90" i="53"/>
  <c r="E90" i="53"/>
  <c r="D90" i="53"/>
  <c r="P89" i="53"/>
  <c r="N89" i="53"/>
  <c r="M89" i="53"/>
  <c r="L89" i="53"/>
  <c r="K89" i="53"/>
  <c r="J89" i="53"/>
  <c r="I89" i="53"/>
  <c r="H89" i="53"/>
  <c r="G89" i="53"/>
  <c r="F89" i="53"/>
  <c r="E89" i="53"/>
  <c r="D89" i="53"/>
  <c r="P88" i="53"/>
  <c r="N88" i="53"/>
  <c r="M88" i="53"/>
  <c r="L88" i="53"/>
  <c r="K88" i="53"/>
  <c r="J88" i="53"/>
  <c r="I88" i="53"/>
  <c r="H88" i="53"/>
  <c r="G88" i="53"/>
  <c r="F88" i="53"/>
  <c r="E88" i="53"/>
  <c r="D88" i="53"/>
  <c r="P87" i="53"/>
  <c r="N87" i="53"/>
  <c r="M87" i="53"/>
  <c r="L87" i="53"/>
  <c r="K87" i="53"/>
  <c r="J87" i="53"/>
  <c r="I87" i="53"/>
  <c r="H87" i="53"/>
  <c r="G87" i="53"/>
  <c r="F87" i="53"/>
  <c r="E87" i="53"/>
  <c r="D87" i="53"/>
  <c r="P86" i="53"/>
  <c r="N86" i="53"/>
  <c r="M86" i="53"/>
  <c r="L86" i="53"/>
  <c r="K86" i="53"/>
  <c r="J86" i="53"/>
  <c r="I86" i="53"/>
  <c r="H86" i="53"/>
  <c r="G86" i="53"/>
  <c r="F86" i="53"/>
  <c r="E86" i="53"/>
  <c r="D86" i="53"/>
  <c r="P85" i="53"/>
  <c r="N85" i="53"/>
  <c r="M85" i="53"/>
  <c r="L85" i="53"/>
  <c r="K85" i="53"/>
  <c r="J85" i="53"/>
  <c r="I85" i="53"/>
  <c r="H85" i="53"/>
  <c r="G85" i="53"/>
  <c r="F85" i="53"/>
  <c r="E85" i="53"/>
  <c r="D85" i="53"/>
  <c r="P84" i="53"/>
  <c r="N84" i="53"/>
  <c r="M84" i="53"/>
  <c r="L84" i="53"/>
  <c r="K84" i="53"/>
  <c r="J84" i="53"/>
  <c r="I84" i="53"/>
  <c r="H84" i="53"/>
  <c r="G84" i="53"/>
  <c r="F84" i="53"/>
  <c r="E84" i="53"/>
  <c r="D84" i="53"/>
  <c r="P83" i="53"/>
  <c r="N83" i="53"/>
  <c r="M83" i="53"/>
  <c r="L83" i="53"/>
  <c r="K83" i="53"/>
  <c r="J83" i="53"/>
  <c r="I83" i="53"/>
  <c r="H83" i="53"/>
  <c r="G83" i="53"/>
  <c r="F83" i="53"/>
  <c r="E83" i="53"/>
  <c r="D83" i="53"/>
  <c r="P82" i="53"/>
  <c r="N82" i="53"/>
  <c r="M82" i="53"/>
  <c r="L82" i="53"/>
  <c r="K82" i="53"/>
  <c r="J82" i="53"/>
  <c r="I82" i="53"/>
  <c r="H82" i="53"/>
  <c r="G82" i="53"/>
  <c r="F82" i="53"/>
  <c r="E82" i="53"/>
  <c r="D82" i="53"/>
  <c r="P81" i="53"/>
  <c r="N81" i="53"/>
  <c r="M81" i="53"/>
  <c r="L81" i="53"/>
  <c r="K81" i="53"/>
  <c r="J81" i="53"/>
  <c r="I81" i="53"/>
  <c r="H81" i="53"/>
  <c r="G81" i="53"/>
  <c r="F81" i="53"/>
  <c r="E81" i="53"/>
  <c r="D81" i="53"/>
  <c r="P80" i="53"/>
  <c r="N80" i="53"/>
  <c r="M80" i="53"/>
  <c r="L80" i="53"/>
  <c r="K80" i="53"/>
  <c r="J80" i="53"/>
  <c r="I80" i="53"/>
  <c r="H80" i="53"/>
  <c r="G80" i="53"/>
  <c r="F80" i="53"/>
  <c r="E80" i="53"/>
  <c r="D80" i="53"/>
  <c r="P79" i="53"/>
  <c r="N79" i="53"/>
  <c r="M79" i="53"/>
  <c r="L79" i="53"/>
  <c r="K79" i="53"/>
  <c r="J79" i="53"/>
  <c r="I79" i="53"/>
  <c r="H79" i="53"/>
  <c r="G79" i="53"/>
  <c r="F79" i="53"/>
  <c r="E79" i="53"/>
  <c r="D79" i="53"/>
  <c r="P78" i="53"/>
  <c r="N78" i="53"/>
  <c r="M78" i="53"/>
  <c r="L78" i="53"/>
  <c r="K78" i="53"/>
  <c r="J78" i="53"/>
  <c r="I78" i="53"/>
  <c r="H78" i="53"/>
  <c r="G78" i="53"/>
  <c r="F78" i="53"/>
  <c r="E78" i="53"/>
  <c r="D78" i="53"/>
  <c r="P77" i="53"/>
  <c r="N77" i="53"/>
  <c r="M77" i="53"/>
  <c r="L77" i="53"/>
  <c r="K77" i="53"/>
  <c r="J77" i="53"/>
  <c r="I77" i="53"/>
  <c r="H77" i="53"/>
  <c r="G77" i="53"/>
  <c r="F77" i="53"/>
  <c r="E77" i="53"/>
  <c r="D77" i="53"/>
  <c r="P76" i="53"/>
  <c r="N76" i="53"/>
  <c r="M76" i="53"/>
  <c r="L76" i="53"/>
  <c r="K76" i="53"/>
  <c r="J76" i="53"/>
  <c r="I76" i="53"/>
  <c r="H76" i="53"/>
  <c r="G76" i="53"/>
  <c r="F76" i="53"/>
  <c r="E76" i="53"/>
  <c r="D76" i="53"/>
  <c r="P75" i="53"/>
  <c r="N75" i="53"/>
  <c r="M75" i="53"/>
  <c r="L75" i="53"/>
  <c r="K75" i="53"/>
  <c r="J75" i="53"/>
  <c r="I75" i="53"/>
  <c r="H75" i="53"/>
  <c r="G75" i="53"/>
  <c r="F75" i="53"/>
  <c r="E75" i="53"/>
  <c r="D75" i="53"/>
  <c r="P74" i="53"/>
  <c r="N74" i="53"/>
  <c r="M74" i="53"/>
  <c r="L74" i="53"/>
  <c r="K74" i="53"/>
  <c r="J74" i="53"/>
  <c r="I74" i="53"/>
  <c r="H74" i="53"/>
  <c r="G74" i="53"/>
  <c r="F74" i="53"/>
  <c r="E74" i="53"/>
  <c r="D74" i="53"/>
  <c r="P73" i="53"/>
  <c r="N73" i="53"/>
  <c r="M73" i="53"/>
  <c r="L73" i="53"/>
  <c r="K73" i="53"/>
  <c r="J73" i="53"/>
  <c r="I73" i="53"/>
  <c r="H73" i="53"/>
  <c r="G73" i="53"/>
  <c r="F73" i="53"/>
  <c r="E73" i="53"/>
  <c r="D73" i="53"/>
  <c r="P72" i="53"/>
  <c r="N72" i="53"/>
  <c r="M72" i="53"/>
  <c r="L72" i="53"/>
  <c r="K72" i="53"/>
  <c r="J72" i="53"/>
  <c r="I72" i="53"/>
  <c r="H72" i="53"/>
  <c r="G72" i="53"/>
  <c r="F72" i="53"/>
  <c r="E72" i="53"/>
  <c r="D72" i="53"/>
  <c r="P71" i="53"/>
  <c r="N71" i="53"/>
  <c r="M71" i="53"/>
  <c r="L71" i="53"/>
  <c r="K71" i="53"/>
  <c r="J71" i="53"/>
  <c r="I71" i="53"/>
  <c r="H71" i="53"/>
  <c r="G71" i="53"/>
  <c r="F71" i="53"/>
  <c r="E71" i="53"/>
  <c r="D71" i="53"/>
  <c r="P70" i="53"/>
  <c r="N70" i="53"/>
  <c r="M70" i="53"/>
  <c r="L70" i="53"/>
  <c r="K70" i="53"/>
  <c r="J70" i="53"/>
  <c r="I70" i="53"/>
  <c r="H70" i="53"/>
  <c r="G70" i="53"/>
  <c r="F70" i="53"/>
  <c r="E70" i="53"/>
  <c r="D70" i="53"/>
  <c r="P69" i="53"/>
  <c r="N69" i="53"/>
  <c r="M69" i="53"/>
  <c r="L69" i="53"/>
  <c r="K69" i="53"/>
  <c r="J69" i="53"/>
  <c r="I69" i="53"/>
  <c r="H69" i="53"/>
  <c r="G69" i="53"/>
  <c r="F69" i="53"/>
  <c r="E69" i="53"/>
  <c r="D69" i="53"/>
  <c r="P68" i="53"/>
  <c r="N68" i="53"/>
  <c r="M68" i="53"/>
  <c r="L68" i="53"/>
  <c r="K68" i="53"/>
  <c r="J68" i="53"/>
  <c r="I68" i="53"/>
  <c r="H68" i="53"/>
  <c r="G68" i="53"/>
  <c r="F68" i="53"/>
  <c r="E68" i="53"/>
  <c r="D68" i="53"/>
  <c r="P67" i="53"/>
  <c r="N67" i="53"/>
  <c r="M67" i="53"/>
  <c r="L67" i="53"/>
  <c r="K67" i="53"/>
  <c r="J67" i="53"/>
  <c r="I67" i="53"/>
  <c r="H67" i="53"/>
  <c r="G67" i="53"/>
  <c r="F67" i="53"/>
  <c r="E67" i="53"/>
  <c r="D67" i="53"/>
  <c r="P66" i="53"/>
  <c r="N66" i="53"/>
  <c r="M66" i="53"/>
  <c r="L66" i="53"/>
  <c r="K66" i="53"/>
  <c r="J66" i="53"/>
  <c r="I66" i="53"/>
  <c r="H66" i="53"/>
  <c r="G66" i="53"/>
  <c r="F66" i="53"/>
  <c r="E66" i="53"/>
  <c r="D66" i="53"/>
  <c r="P65" i="53"/>
  <c r="N65" i="53"/>
  <c r="M65" i="53"/>
  <c r="L65" i="53"/>
  <c r="K65" i="53"/>
  <c r="J65" i="53"/>
  <c r="I65" i="53"/>
  <c r="H65" i="53"/>
  <c r="G65" i="53"/>
  <c r="F65" i="53"/>
  <c r="E65" i="53"/>
  <c r="D65" i="53"/>
  <c r="P64" i="53"/>
  <c r="N64" i="53"/>
  <c r="M64" i="53"/>
  <c r="L64" i="53"/>
  <c r="K64" i="53"/>
  <c r="J64" i="53"/>
  <c r="I64" i="53"/>
  <c r="H64" i="53"/>
  <c r="G64" i="53"/>
  <c r="F64" i="53"/>
  <c r="E64" i="53"/>
  <c r="D64" i="53"/>
  <c r="P63" i="53"/>
  <c r="N63" i="53"/>
  <c r="M63" i="53"/>
  <c r="L63" i="53"/>
  <c r="K63" i="53"/>
  <c r="J63" i="53"/>
  <c r="I63" i="53"/>
  <c r="H63" i="53"/>
  <c r="G63" i="53"/>
  <c r="F63" i="53"/>
  <c r="E63" i="53"/>
  <c r="D63" i="53"/>
  <c r="P62" i="53"/>
  <c r="N62" i="53"/>
  <c r="M62" i="53"/>
  <c r="L62" i="53"/>
  <c r="K62" i="53"/>
  <c r="J62" i="53"/>
  <c r="I62" i="53"/>
  <c r="H62" i="53"/>
  <c r="G62" i="53"/>
  <c r="F62" i="53"/>
  <c r="E62" i="53"/>
  <c r="D62" i="53"/>
  <c r="P61" i="53"/>
  <c r="N61" i="53"/>
  <c r="M61" i="53"/>
  <c r="L61" i="53"/>
  <c r="K61" i="53"/>
  <c r="J61" i="53"/>
  <c r="I61" i="53"/>
  <c r="H61" i="53"/>
  <c r="G61" i="53"/>
  <c r="F61" i="53"/>
  <c r="E61" i="53"/>
  <c r="D61" i="53"/>
  <c r="P60" i="53"/>
  <c r="N60" i="53"/>
  <c r="M60" i="53"/>
  <c r="L60" i="53"/>
  <c r="K60" i="53"/>
  <c r="J60" i="53"/>
  <c r="I60" i="53"/>
  <c r="H60" i="53"/>
  <c r="G60" i="53"/>
  <c r="F60" i="53"/>
  <c r="E60" i="53"/>
  <c r="D60" i="53"/>
  <c r="P59" i="53"/>
  <c r="N59" i="53"/>
  <c r="M59" i="53"/>
  <c r="L59" i="53"/>
  <c r="K59" i="53"/>
  <c r="J59" i="53"/>
  <c r="I59" i="53"/>
  <c r="H59" i="53"/>
  <c r="G59" i="53"/>
  <c r="F59" i="53"/>
  <c r="E59" i="53"/>
  <c r="D59" i="53"/>
  <c r="P58" i="53"/>
  <c r="N58" i="53"/>
  <c r="M58" i="53"/>
  <c r="L58" i="53"/>
  <c r="K58" i="53"/>
  <c r="J58" i="53"/>
  <c r="I58" i="53"/>
  <c r="H58" i="53"/>
  <c r="G58" i="53"/>
  <c r="F58" i="53"/>
  <c r="E58" i="53"/>
  <c r="D58" i="53"/>
  <c r="P57" i="53"/>
  <c r="N57" i="53"/>
  <c r="M57" i="53"/>
  <c r="L57" i="53"/>
  <c r="K57" i="53"/>
  <c r="J57" i="53"/>
  <c r="I57" i="53"/>
  <c r="H57" i="53"/>
  <c r="G57" i="53"/>
  <c r="F57" i="53"/>
  <c r="E57" i="53"/>
  <c r="D57" i="53"/>
  <c r="P56" i="53"/>
  <c r="N56" i="53"/>
  <c r="M56" i="53"/>
  <c r="L56" i="53"/>
  <c r="K56" i="53"/>
  <c r="J56" i="53"/>
  <c r="I56" i="53"/>
  <c r="H56" i="53"/>
  <c r="G56" i="53"/>
  <c r="F56" i="53"/>
  <c r="E56" i="53"/>
  <c r="D56" i="53"/>
  <c r="P55" i="53"/>
  <c r="N55" i="53"/>
  <c r="M55" i="53"/>
  <c r="L55" i="53"/>
  <c r="K55" i="53"/>
  <c r="J55" i="53"/>
  <c r="I55" i="53"/>
  <c r="H55" i="53"/>
  <c r="G55" i="53"/>
  <c r="F55" i="53"/>
  <c r="E55" i="53"/>
  <c r="D55" i="53"/>
  <c r="P54" i="53"/>
  <c r="N54" i="53"/>
  <c r="M54" i="53"/>
  <c r="L54" i="53"/>
  <c r="K54" i="53"/>
  <c r="J54" i="53"/>
  <c r="I54" i="53"/>
  <c r="H54" i="53"/>
  <c r="G54" i="53"/>
  <c r="F54" i="53"/>
  <c r="E54" i="53"/>
  <c r="D54" i="53"/>
  <c r="P53" i="53"/>
  <c r="N53" i="53"/>
  <c r="M53" i="53"/>
  <c r="L53" i="53"/>
  <c r="K53" i="53"/>
  <c r="J53" i="53"/>
  <c r="I53" i="53"/>
  <c r="H53" i="53"/>
  <c r="G53" i="53"/>
  <c r="F53" i="53"/>
  <c r="E53" i="53"/>
  <c r="D53" i="53"/>
  <c r="P52" i="53"/>
  <c r="N52" i="53"/>
  <c r="M52" i="53"/>
  <c r="L52" i="53"/>
  <c r="K52" i="53"/>
  <c r="J52" i="53"/>
  <c r="I52" i="53"/>
  <c r="H52" i="53"/>
  <c r="G52" i="53"/>
  <c r="F52" i="53"/>
  <c r="E52" i="53"/>
  <c r="D52" i="53"/>
  <c r="P51" i="53"/>
  <c r="N51" i="53"/>
  <c r="M51" i="53"/>
  <c r="L51" i="53"/>
  <c r="K51" i="53"/>
  <c r="J51" i="53"/>
  <c r="I51" i="53"/>
  <c r="H51" i="53"/>
  <c r="G51" i="53"/>
  <c r="F51" i="53"/>
  <c r="E51" i="53"/>
  <c r="D51" i="53"/>
  <c r="P50" i="53"/>
  <c r="N50" i="53"/>
  <c r="M50" i="53"/>
  <c r="L50" i="53"/>
  <c r="K50" i="53"/>
  <c r="J50" i="53"/>
  <c r="I50" i="53"/>
  <c r="H50" i="53"/>
  <c r="G50" i="53"/>
  <c r="F50" i="53"/>
  <c r="E50" i="53"/>
  <c r="D50" i="53"/>
  <c r="P49" i="53"/>
  <c r="N49" i="53"/>
  <c r="M49" i="53"/>
  <c r="L49" i="53"/>
  <c r="K49" i="53"/>
  <c r="J49" i="53"/>
  <c r="I49" i="53"/>
  <c r="H49" i="53"/>
  <c r="G49" i="53"/>
  <c r="F49" i="53"/>
  <c r="E49" i="53"/>
  <c r="D49" i="53"/>
  <c r="P48" i="53"/>
  <c r="N48" i="53"/>
  <c r="M48" i="53"/>
  <c r="L48" i="53"/>
  <c r="K48" i="53"/>
  <c r="J48" i="53"/>
  <c r="I48" i="53"/>
  <c r="H48" i="53"/>
  <c r="G48" i="53"/>
  <c r="F48" i="53"/>
  <c r="E48" i="53"/>
  <c r="D48" i="53"/>
  <c r="P47" i="53"/>
  <c r="N47" i="53"/>
  <c r="M47" i="53"/>
  <c r="L47" i="53"/>
  <c r="K47" i="53"/>
  <c r="J47" i="53"/>
  <c r="I47" i="53"/>
  <c r="H47" i="53"/>
  <c r="G47" i="53"/>
  <c r="F47" i="53"/>
  <c r="E47" i="53"/>
  <c r="D47" i="53"/>
  <c r="P46" i="53"/>
  <c r="N46" i="53"/>
  <c r="M46" i="53"/>
  <c r="L46" i="53"/>
  <c r="K46" i="53"/>
  <c r="J46" i="53"/>
  <c r="I46" i="53"/>
  <c r="H46" i="53"/>
  <c r="G46" i="53"/>
  <c r="F46" i="53"/>
  <c r="E46" i="53"/>
  <c r="D46" i="53"/>
  <c r="P45" i="53"/>
  <c r="N45" i="53"/>
  <c r="M45" i="53"/>
  <c r="L45" i="53"/>
  <c r="K45" i="53"/>
  <c r="J45" i="53"/>
  <c r="I45" i="53"/>
  <c r="H45" i="53"/>
  <c r="G45" i="53"/>
  <c r="F45" i="53"/>
  <c r="E45" i="53"/>
  <c r="D45" i="53"/>
  <c r="P44" i="53"/>
  <c r="N44" i="53"/>
  <c r="M44" i="53"/>
  <c r="L44" i="53"/>
  <c r="K44" i="53"/>
  <c r="J44" i="53"/>
  <c r="I44" i="53"/>
  <c r="H44" i="53"/>
  <c r="G44" i="53"/>
  <c r="F44" i="53"/>
  <c r="E44" i="53"/>
  <c r="D44" i="53"/>
  <c r="P43" i="53"/>
  <c r="N43" i="53"/>
  <c r="M43" i="53"/>
  <c r="L43" i="53"/>
  <c r="K43" i="53"/>
  <c r="J43" i="53"/>
  <c r="I43" i="53"/>
  <c r="H43" i="53"/>
  <c r="G43" i="53"/>
  <c r="F43" i="53"/>
  <c r="E43" i="53"/>
  <c r="D43" i="53"/>
  <c r="P42" i="53"/>
  <c r="N42" i="53"/>
  <c r="M42" i="53"/>
  <c r="L42" i="53"/>
  <c r="K42" i="53"/>
  <c r="J42" i="53"/>
  <c r="I42" i="53"/>
  <c r="H42" i="53"/>
  <c r="G42" i="53"/>
  <c r="F42" i="53"/>
  <c r="E42" i="53"/>
  <c r="D42" i="53"/>
  <c r="P41" i="53"/>
  <c r="N41" i="53"/>
  <c r="M41" i="53"/>
  <c r="L41" i="53"/>
  <c r="K41" i="53"/>
  <c r="J41" i="53"/>
  <c r="I41" i="53"/>
  <c r="H41" i="53"/>
  <c r="G41" i="53"/>
  <c r="F41" i="53"/>
  <c r="E41" i="53"/>
  <c r="D41" i="53"/>
  <c r="P40" i="53"/>
  <c r="N40" i="53"/>
  <c r="M40" i="53"/>
  <c r="L40" i="53"/>
  <c r="K40" i="53"/>
  <c r="J40" i="53"/>
  <c r="I40" i="53"/>
  <c r="H40" i="53"/>
  <c r="G40" i="53"/>
  <c r="F40" i="53"/>
  <c r="E40" i="53"/>
  <c r="D40" i="53"/>
  <c r="P39" i="53"/>
  <c r="N39" i="53"/>
  <c r="M39" i="53"/>
  <c r="L39" i="53"/>
  <c r="K39" i="53"/>
  <c r="J39" i="53"/>
  <c r="I39" i="53"/>
  <c r="H39" i="53"/>
  <c r="G39" i="53"/>
  <c r="F39" i="53"/>
  <c r="E39" i="53"/>
  <c r="D39" i="53"/>
  <c r="P38" i="53"/>
  <c r="N38" i="53"/>
  <c r="M38" i="53"/>
  <c r="L38" i="53"/>
  <c r="K38" i="53"/>
  <c r="J38" i="53"/>
  <c r="I38" i="53"/>
  <c r="H38" i="53"/>
  <c r="G38" i="53"/>
  <c r="F38" i="53"/>
  <c r="E38" i="53"/>
  <c r="D38" i="53"/>
  <c r="P37" i="53"/>
  <c r="N37" i="53"/>
  <c r="M37" i="53"/>
  <c r="L37" i="53"/>
  <c r="K37" i="53"/>
  <c r="J37" i="53"/>
  <c r="I37" i="53"/>
  <c r="H37" i="53"/>
  <c r="G37" i="53"/>
  <c r="F37" i="53"/>
  <c r="E37" i="53"/>
  <c r="D37" i="53"/>
  <c r="P36" i="53"/>
  <c r="N36" i="53"/>
  <c r="M36" i="53"/>
  <c r="L36" i="53"/>
  <c r="K36" i="53"/>
  <c r="J36" i="53"/>
  <c r="I36" i="53"/>
  <c r="H36" i="53"/>
  <c r="G36" i="53"/>
  <c r="F36" i="53"/>
  <c r="E36" i="53"/>
  <c r="D36" i="53"/>
  <c r="P35" i="53"/>
  <c r="N35" i="53"/>
  <c r="M35" i="53"/>
  <c r="L35" i="53"/>
  <c r="K35" i="53"/>
  <c r="J35" i="53"/>
  <c r="I35" i="53"/>
  <c r="H35" i="53"/>
  <c r="G35" i="53"/>
  <c r="F35" i="53"/>
  <c r="E35" i="53"/>
  <c r="D35" i="53"/>
  <c r="P34" i="53"/>
  <c r="N34" i="53"/>
  <c r="M34" i="53"/>
  <c r="L34" i="53"/>
  <c r="K34" i="53"/>
  <c r="J34" i="53"/>
  <c r="I34" i="53"/>
  <c r="H34" i="53"/>
  <c r="G34" i="53"/>
  <c r="F34" i="53"/>
  <c r="E34" i="53"/>
  <c r="D34" i="53"/>
  <c r="P33" i="53"/>
  <c r="N33" i="53"/>
  <c r="M33" i="53"/>
  <c r="L33" i="53"/>
  <c r="K33" i="53"/>
  <c r="J33" i="53"/>
  <c r="I33" i="53"/>
  <c r="H33" i="53"/>
  <c r="G33" i="53"/>
  <c r="F33" i="53"/>
  <c r="E33" i="53"/>
  <c r="D33" i="53"/>
  <c r="P32" i="53"/>
  <c r="N32" i="53"/>
  <c r="M32" i="53"/>
  <c r="L32" i="53"/>
  <c r="K32" i="53"/>
  <c r="J32" i="53"/>
  <c r="I32" i="53"/>
  <c r="H32" i="53"/>
  <c r="G32" i="53"/>
  <c r="F32" i="53"/>
  <c r="E32" i="53"/>
  <c r="D32" i="53"/>
  <c r="P31" i="53"/>
  <c r="N31" i="53"/>
  <c r="M31" i="53"/>
  <c r="L31" i="53"/>
  <c r="K31" i="53"/>
  <c r="J31" i="53"/>
  <c r="I31" i="53"/>
  <c r="H31" i="53"/>
  <c r="G31" i="53"/>
  <c r="F31" i="53"/>
  <c r="E31" i="53"/>
  <c r="D31" i="53"/>
  <c r="P30" i="53"/>
  <c r="N30" i="53"/>
  <c r="M30" i="53"/>
  <c r="L30" i="53"/>
  <c r="K30" i="53"/>
  <c r="J30" i="53"/>
  <c r="I30" i="53"/>
  <c r="H30" i="53"/>
  <c r="G30" i="53"/>
  <c r="F30" i="53"/>
  <c r="E30" i="53"/>
  <c r="D30" i="53"/>
  <c r="P29" i="53"/>
  <c r="N29" i="53"/>
  <c r="M29" i="53"/>
  <c r="L29" i="53"/>
  <c r="K29" i="53"/>
  <c r="J29" i="53"/>
  <c r="I29" i="53"/>
  <c r="H29" i="53"/>
  <c r="G29" i="53"/>
  <c r="F29" i="53"/>
  <c r="E29" i="53"/>
  <c r="D29" i="53"/>
  <c r="P28" i="53"/>
  <c r="N28" i="53"/>
  <c r="M28" i="53"/>
  <c r="L28" i="53"/>
  <c r="K28" i="53"/>
  <c r="J28" i="53"/>
  <c r="I28" i="53"/>
  <c r="H28" i="53"/>
  <c r="G28" i="53"/>
  <c r="F28" i="53"/>
  <c r="E28" i="53"/>
  <c r="D28" i="53"/>
  <c r="P27" i="53"/>
  <c r="N27" i="53"/>
  <c r="M27" i="53"/>
  <c r="L27" i="53"/>
  <c r="K27" i="53"/>
  <c r="J27" i="53"/>
  <c r="I27" i="53"/>
  <c r="H27" i="53"/>
  <c r="G27" i="53"/>
  <c r="F27" i="53"/>
  <c r="E27" i="53"/>
  <c r="D27" i="53"/>
  <c r="P26" i="53"/>
  <c r="N26" i="53"/>
  <c r="M26" i="53"/>
  <c r="L26" i="53"/>
  <c r="K26" i="53"/>
  <c r="J26" i="53"/>
  <c r="I26" i="53"/>
  <c r="H26" i="53"/>
  <c r="G26" i="53"/>
  <c r="F26" i="53"/>
  <c r="E26" i="53"/>
  <c r="D26" i="53"/>
  <c r="P25" i="53"/>
  <c r="N25" i="53"/>
  <c r="M25" i="53"/>
  <c r="L25" i="53"/>
  <c r="K25" i="53"/>
  <c r="J25" i="53"/>
  <c r="I25" i="53"/>
  <c r="H25" i="53"/>
  <c r="G25" i="53"/>
  <c r="F25" i="53"/>
  <c r="E25" i="53"/>
  <c r="D25" i="53"/>
  <c r="P24" i="53"/>
  <c r="N24" i="53"/>
  <c r="M24" i="53"/>
  <c r="L24" i="53"/>
  <c r="K24" i="53"/>
  <c r="J24" i="53"/>
  <c r="I24" i="53"/>
  <c r="H24" i="53"/>
  <c r="G24" i="53"/>
  <c r="F24" i="53"/>
  <c r="E24" i="53"/>
  <c r="D24" i="53"/>
  <c r="P23" i="53"/>
  <c r="N23" i="53"/>
  <c r="M23" i="53"/>
  <c r="L23" i="53"/>
  <c r="K23" i="53"/>
  <c r="J23" i="53"/>
  <c r="I23" i="53"/>
  <c r="H23" i="53"/>
  <c r="G23" i="53"/>
  <c r="F23" i="53"/>
  <c r="E23" i="53"/>
  <c r="D23" i="53"/>
  <c r="P22" i="53"/>
  <c r="N22" i="53"/>
  <c r="M22" i="53"/>
  <c r="L22" i="53"/>
  <c r="K22" i="53"/>
  <c r="J22" i="53"/>
  <c r="I22" i="53"/>
  <c r="H22" i="53"/>
  <c r="G22" i="53"/>
  <c r="F22" i="53"/>
  <c r="E22" i="53"/>
  <c r="D22" i="53"/>
  <c r="N19" i="53"/>
  <c r="M19" i="53"/>
  <c r="L19" i="53"/>
  <c r="K19" i="53"/>
  <c r="J19" i="53"/>
  <c r="H19" i="53"/>
  <c r="G19" i="53"/>
  <c r="F19" i="53"/>
  <c r="E19" i="53"/>
  <c r="D19" i="53"/>
  <c r="O18" i="53"/>
  <c r="N18" i="53"/>
  <c r="M18" i="53"/>
  <c r="L18" i="53"/>
  <c r="K18" i="53"/>
  <c r="J18" i="53"/>
  <c r="I18" i="53"/>
  <c r="H18" i="53"/>
  <c r="G18" i="53"/>
  <c r="F18" i="53"/>
  <c r="E18" i="53"/>
  <c r="D18" i="53"/>
  <c r="P17" i="53"/>
  <c r="P16" i="53"/>
  <c r="P15" i="53"/>
  <c r="P14" i="53"/>
  <c r="N13" i="53"/>
  <c r="M13" i="53"/>
  <c r="L13" i="53"/>
  <c r="K13" i="53"/>
  <c r="J13" i="53"/>
  <c r="H13" i="53"/>
  <c r="G13" i="53"/>
  <c r="F13" i="53"/>
  <c r="E13" i="53"/>
  <c r="D13" i="53"/>
  <c r="N12" i="53"/>
  <c r="M12" i="53"/>
  <c r="L12" i="53"/>
  <c r="K12" i="53"/>
  <c r="J12" i="53"/>
  <c r="I12" i="53"/>
  <c r="P12" i="53" s="1"/>
  <c r="H12" i="53"/>
  <c r="G12" i="53"/>
  <c r="F12" i="53"/>
  <c r="E12" i="53"/>
  <c r="D12" i="53"/>
  <c r="N11" i="53"/>
  <c r="M11" i="53"/>
  <c r="L11" i="53"/>
  <c r="K11" i="53"/>
  <c r="J11" i="53"/>
  <c r="I11" i="53"/>
  <c r="P11" i="53" s="1"/>
  <c r="H11" i="53"/>
  <c r="G11" i="53"/>
  <c r="F11" i="53"/>
  <c r="E11" i="53"/>
  <c r="D11" i="53"/>
  <c r="N10" i="53"/>
  <c r="M10" i="53"/>
  <c r="L10" i="53"/>
  <c r="K10" i="53"/>
  <c r="J10" i="53"/>
  <c r="I10" i="53"/>
  <c r="P10" i="53" s="1"/>
  <c r="H10" i="53"/>
  <c r="G10" i="53"/>
  <c r="F10" i="53"/>
  <c r="E10" i="53"/>
  <c r="D10" i="53"/>
  <c r="N9" i="53"/>
  <c r="M9" i="53"/>
  <c r="L9" i="53"/>
  <c r="K9" i="53"/>
  <c r="J9" i="53"/>
  <c r="I9" i="53"/>
  <c r="P9" i="53" s="1"/>
  <c r="H9" i="53"/>
  <c r="G9" i="53"/>
  <c r="F9" i="53"/>
  <c r="E9" i="53"/>
  <c r="D9" i="53"/>
  <c r="O8" i="53"/>
  <c r="O13" i="53" s="1"/>
  <c r="N8" i="53"/>
  <c r="M8" i="53"/>
  <c r="L8" i="53"/>
  <c r="K8" i="53"/>
  <c r="J8" i="53"/>
  <c r="H8" i="53"/>
  <c r="G8" i="53"/>
  <c r="F8" i="53"/>
  <c r="E8" i="53"/>
  <c r="D8" i="53"/>
  <c r="H142" i="52"/>
  <c r="G141" i="52"/>
  <c r="N137" i="52"/>
  <c r="M137" i="52"/>
  <c r="L137" i="52"/>
  <c r="K137" i="52"/>
  <c r="J137" i="52"/>
  <c r="H137" i="52"/>
  <c r="G137" i="52"/>
  <c r="F137" i="52"/>
  <c r="E137" i="52"/>
  <c r="D137" i="52"/>
  <c r="N134" i="52"/>
  <c r="M134" i="52"/>
  <c r="L134" i="52"/>
  <c r="K134" i="52"/>
  <c r="J134" i="52"/>
  <c r="H134" i="52"/>
  <c r="G134" i="52"/>
  <c r="F134" i="52"/>
  <c r="E134" i="52"/>
  <c r="D134" i="52"/>
  <c r="O132" i="52"/>
  <c r="P132" i="52" s="1"/>
  <c r="N132" i="52"/>
  <c r="M132" i="52"/>
  <c r="L132" i="52"/>
  <c r="K132" i="52"/>
  <c r="J132" i="52"/>
  <c r="I132" i="52"/>
  <c r="H132" i="52"/>
  <c r="G132" i="52"/>
  <c r="F132" i="52"/>
  <c r="E132" i="52"/>
  <c r="D132" i="52"/>
  <c r="P131" i="52"/>
  <c r="N131" i="52"/>
  <c r="M131" i="52"/>
  <c r="L131" i="52"/>
  <c r="K131" i="52"/>
  <c r="J131" i="52"/>
  <c r="I131" i="52"/>
  <c r="H131" i="52"/>
  <c r="G131" i="52"/>
  <c r="F131" i="52"/>
  <c r="E131" i="52"/>
  <c r="D131" i="52"/>
  <c r="P130" i="52"/>
  <c r="N130" i="52"/>
  <c r="M130" i="52"/>
  <c r="L130" i="52"/>
  <c r="K130" i="52"/>
  <c r="J130" i="52"/>
  <c r="I130" i="52"/>
  <c r="H130" i="52"/>
  <c r="G130" i="52"/>
  <c r="F130" i="52"/>
  <c r="E130" i="52"/>
  <c r="D130" i="52"/>
  <c r="P129" i="52"/>
  <c r="N129" i="52"/>
  <c r="M129" i="52"/>
  <c r="L129" i="52"/>
  <c r="K129" i="52"/>
  <c r="J129" i="52"/>
  <c r="I129" i="52"/>
  <c r="H129" i="52"/>
  <c r="G129" i="52"/>
  <c r="F129" i="52"/>
  <c r="E129" i="52"/>
  <c r="D129" i="52"/>
  <c r="P128" i="52"/>
  <c r="N128" i="52"/>
  <c r="M128" i="52"/>
  <c r="L128" i="52"/>
  <c r="K128" i="52"/>
  <c r="J128" i="52"/>
  <c r="I128" i="52"/>
  <c r="H128" i="52"/>
  <c r="G128" i="52"/>
  <c r="F128" i="52"/>
  <c r="E128" i="52"/>
  <c r="D128" i="52"/>
  <c r="P127" i="52"/>
  <c r="N127" i="52"/>
  <c r="M127" i="52"/>
  <c r="L127" i="52"/>
  <c r="K127" i="52"/>
  <c r="J127" i="52"/>
  <c r="I127" i="52"/>
  <c r="H127" i="52"/>
  <c r="G127" i="52"/>
  <c r="F127" i="52"/>
  <c r="E127" i="52"/>
  <c r="D127" i="52"/>
  <c r="P126" i="52"/>
  <c r="N126" i="52"/>
  <c r="M126" i="52"/>
  <c r="L126" i="52"/>
  <c r="K126" i="52"/>
  <c r="J126" i="52"/>
  <c r="I126" i="52"/>
  <c r="H126" i="52"/>
  <c r="G126" i="52"/>
  <c r="F126" i="52"/>
  <c r="E126" i="52"/>
  <c r="D126" i="52"/>
  <c r="P125" i="52"/>
  <c r="N125" i="52"/>
  <c r="M125" i="52"/>
  <c r="L125" i="52"/>
  <c r="K125" i="52"/>
  <c r="J125" i="52"/>
  <c r="I125" i="52"/>
  <c r="H125" i="52"/>
  <c r="G125" i="52"/>
  <c r="F125" i="52"/>
  <c r="E125" i="52"/>
  <c r="D125" i="52"/>
  <c r="P124" i="52"/>
  <c r="N124" i="52"/>
  <c r="M124" i="52"/>
  <c r="L124" i="52"/>
  <c r="K124" i="52"/>
  <c r="J124" i="52"/>
  <c r="I124" i="52"/>
  <c r="H124" i="52"/>
  <c r="G124" i="52"/>
  <c r="F124" i="52"/>
  <c r="E124" i="52"/>
  <c r="D124" i="52"/>
  <c r="P123" i="52"/>
  <c r="N123" i="52"/>
  <c r="M123" i="52"/>
  <c r="L123" i="52"/>
  <c r="K123" i="52"/>
  <c r="J123" i="52"/>
  <c r="I123" i="52"/>
  <c r="H123" i="52"/>
  <c r="G123" i="52"/>
  <c r="F123" i="52"/>
  <c r="E123" i="52"/>
  <c r="D123" i="52"/>
  <c r="P122" i="52"/>
  <c r="N122" i="52"/>
  <c r="M122" i="52"/>
  <c r="L122" i="52"/>
  <c r="K122" i="52"/>
  <c r="J122" i="52"/>
  <c r="I122" i="52"/>
  <c r="H122" i="52"/>
  <c r="G122" i="52"/>
  <c r="F122" i="52"/>
  <c r="E122" i="52"/>
  <c r="D122" i="52"/>
  <c r="P121" i="52"/>
  <c r="N121" i="52"/>
  <c r="M121" i="52"/>
  <c r="L121" i="52"/>
  <c r="K121" i="52"/>
  <c r="J121" i="52"/>
  <c r="I121" i="52"/>
  <c r="H121" i="52"/>
  <c r="G121" i="52"/>
  <c r="F121" i="52"/>
  <c r="E121" i="52"/>
  <c r="D121" i="52"/>
  <c r="P120" i="52"/>
  <c r="N120" i="52"/>
  <c r="M120" i="52"/>
  <c r="L120" i="52"/>
  <c r="K120" i="52"/>
  <c r="J120" i="52"/>
  <c r="I120" i="52"/>
  <c r="H120" i="52"/>
  <c r="G120" i="52"/>
  <c r="F120" i="52"/>
  <c r="E120" i="52"/>
  <c r="D120" i="52"/>
  <c r="P119" i="52"/>
  <c r="N119" i="52"/>
  <c r="M119" i="52"/>
  <c r="L119" i="52"/>
  <c r="K119" i="52"/>
  <c r="J119" i="52"/>
  <c r="I119" i="52"/>
  <c r="H119" i="52"/>
  <c r="G119" i="52"/>
  <c r="F119" i="52"/>
  <c r="E119" i="52"/>
  <c r="D119" i="52"/>
  <c r="P118" i="52"/>
  <c r="N118" i="52"/>
  <c r="M118" i="52"/>
  <c r="L118" i="52"/>
  <c r="K118" i="52"/>
  <c r="J118" i="52"/>
  <c r="I118" i="52"/>
  <c r="H118" i="52"/>
  <c r="G118" i="52"/>
  <c r="F118" i="52"/>
  <c r="E118" i="52"/>
  <c r="D118" i="52"/>
  <c r="P117" i="52"/>
  <c r="N117" i="52"/>
  <c r="M117" i="52"/>
  <c r="L117" i="52"/>
  <c r="K117" i="52"/>
  <c r="J117" i="52"/>
  <c r="I117" i="52"/>
  <c r="H117" i="52"/>
  <c r="G117" i="52"/>
  <c r="F117" i="52"/>
  <c r="E117" i="52"/>
  <c r="D117" i="52"/>
  <c r="P116" i="52"/>
  <c r="N116" i="52"/>
  <c r="M116" i="52"/>
  <c r="L116" i="52"/>
  <c r="K116" i="52"/>
  <c r="J116" i="52"/>
  <c r="I116" i="52"/>
  <c r="H116" i="52"/>
  <c r="G116" i="52"/>
  <c r="F116" i="52"/>
  <c r="E116" i="52"/>
  <c r="D116" i="52"/>
  <c r="P115" i="52"/>
  <c r="N115" i="52"/>
  <c r="M115" i="52"/>
  <c r="L115" i="52"/>
  <c r="K115" i="52"/>
  <c r="J115" i="52"/>
  <c r="I115" i="52"/>
  <c r="H115" i="52"/>
  <c r="G115" i="52"/>
  <c r="F115" i="52"/>
  <c r="E115" i="52"/>
  <c r="D115" i="52"/>
  <c r="P114" i="52"/>
  <c r="N114" i="52"/>
  <c r="M114" i="52"/>
  <c r="L114" i="52"/>
  <c r="K114" i="52"/>
  <c r="J114" i="52"/>
  <c r="I114" i="52"/>
  <c r="H114" i="52"/>
  <c r="G114" i="52"/>
  <c r="F114" i="52"/>
  <c r="E114" i="52"/>
  <c r="D114" i="52"/>
  <c r="P113" i="52"/>
  <c r="N113" i="52"/>
  <c r="M113" i="52"/>
  <c r="L113" i="52"/>
  <c r="K113" i="52"/>
  <c r="J113" i="52"/>
  <c r="I113" i="52"/>
  <c r="H113" i="52"/>
  <c r="G113" i="52"/>
  <c r="F113" i="52"/>
  <c r="E113" i="52"/>
  <c r="D113" i="52"/>
  <c r="P112" i="52"/>
  <c r="N112" i="52"/>
  <c r="M112" i="52"/>
  <c r="L112" i="52"/>
  <c r="K112" i="52"/>
  <c r="J112" i="52"/>
  <c r="I112" i="52"/>
  <c r="H112" i="52"/>
  <c r="G112" i="52"/>
  <c r="F112" i="52"/>
  <c r="E112" i="52"/>
  <c r="D112" i="52"/>
  <c r="P111" i="52"/>
  <c r="N111" i="52"/>
  <c r="M111" i="52"/>
  <c r="L111" i="52"/>
  <c r="K111" i="52"/>
  <c r="J111" i="52"/>
  <c r="I111" i="52"/>
  <c r="H111" i="52"/>
  <c r="G111" i="52"/>
  <c r="F111" i="52"/>
  <c r="E111" i="52"/>
  <c r="D111" i="52"/>
  <c r="P110" i="52"/>
  <c r="N110" i="52"/>
  <c r="M110" i="52"/>
  <c r="L110" i="52"/>
  <c r="K110" i="52"/>
  <c r="J110" i="52"/>
  <c r="I110" i="52"/>
  <c r="H110" i="52"/>
  <c r="G110" i="52"/>
  <c r="F110" i="52"/>
  <c r="E110" i="52"/>
  <c r="D110" i="52"/>
  <c r="P109" i="52"/>
  <c r="N109" i="52"/>
  <c r="M109" i="52"/>
  <c r="L109" i="52"/>
  <c r="K109" i="52"/>
  <c r="J109" i="52"/>
  <c r="I109" i="52"/>
  <c r="H109" i="52"/>
  <c r="G109" i="52"/>
  <c r="F109" i="52"/>
  <c r="E109" i="52"/>
  <c r="D109" i="52"/>
  <c r="P108" i="52"/>
  <c r="N108" i="52"/>
  <c r="M108" i="52"/>
  <c r="L108" i="52"/>
  <c r="K108" i="52"/>
  <c r="J108" i="52"/>
  <c r="I108" i="52"/>
  <c r="H108" i="52"/>
  <c r="G108" i="52"/>
  <c r="F108" i="52"/>
  <c r="E108" i="52"/>
  <c r="D108" i="52"/>
  <c r="P107" i="52"/>
  <c r="N107" i="52"/>
  <c r="M107" i="52"/>
  <c r="L107" i="52"/>
  <c r="K107" i="52"/>
  <c r="J107" i="52"/>
  <c r="I107" i="52"/>
  <c r="H107" i="52"/>
  <c r="G107" i="52"/>
  <c r="F107" i="52"/>
  <c r="E107" i="52"/>
  <c r="D107" i="52"/>
  <c r="P106" i="52"/>
  <c r="N106" i="52"/>
  <c r="M106" i="52"/>
  <c r="L106" i="52"/>
  <c r="K106" i="52"/>
  <c r="J106" i="52"/>
  <c r="I106" i="52"/>
  <c r="H106" i="52"/>
  <c r="G106" i="52"/>
  <c r="F106" i="52"/>
  <c r="E106" i="52"/>
  <c r="D106" i="52"/>
  <c r="P105" i="52"/>
  <c r="N105" i="52"/>
  <c r="M105" i="52"/>
  <c r="L105" i="52"/>
  <c r="K105" i="52"/>
  <c r="J105" i="52"/>
  <c r="I105" i="52"/>
  <c r="H105" i="52"/>
  <c r="G105" i="52"/>
  <c r="F105" i="52"/>
  <c r="E105" i="52"/>
  <c r="D105" i="52"/>
  <c r="P104" i="52"/>
  <c r="N104" i="52"/>
  <c r="M104" i="52"/>
  <c r="L104" i="52"/>
  <c r="K104" i="52"/>
  <c r="J104" i="52"/>
  <c r="I104" i="52"/>
  <c r="H104" i="52"/>
  <c r="G104" i="52"/>
  <c r="F104" i="52"/>
  <c r="E104" i="52"/>
  <c r="D104" i="52"/>
  <c r="P103" i="52"/>
  <c r="N103" i="52"/>
  <c r="M103" i="52"/>
  <c r="L103" i="52"/>
  <c r="K103" i="52"/>
  <c r="J103" i="52"/>
  <c r="I103" i="52"/>
  <c r="H103" i="52"/>
  <c r="G103" i="52"/>
  <c r="F103" i="52"/>
  <c r="E103" i="52"/>
  <c r="D103" i="52"/>
  <c r="P102" i="52"/>
  <c r="N102" i="52"/>
  <c r="M102" i="52"/>
  <c r="L102" i="52"/>
  <c r="K102" i="52"/>
  <c r="J102" i="52"/>
  <c r="I102" i="52"/>
  <c r="H102" i="52"/>
  <c r="G102" i="52"/>
  <c r="F102" i="52"/>
  <c r="E102" i="52"/>
  <c r="D102" i="52"/>
  <c r="P101" i="52"/>
  <c r="N101" i="52"/>
  <c r="M101" i="52"/>
  <c r="L101" i="52"/>
  <c r="K101" i="52"/>
  <c r="J101" i="52"/>
  <c r="I101" i="52"/>
  <c r="H101" i="52"/>
  <c r="G101" i="52"/>
  <c r="F101" i="52"/>
  <c r="E101" i="52"/>
  <c r="D101" i="52"/>
  <c r="P100" i="52"/>
  <c r="N100" i="52"/>
  <c r="M100" i="52"/>
  <c r="L100" i="52"/>
  <c r="K100" i="52"/>
  <c r="J100" i="52"/>
  <c r="I100" i="52"/>
  <c r="H100" i="52"/>
  <c r="G100" i="52"/>
  <c r="F100" i="52"/>
  <c r="E100" i="52"/>
  <c r="D100" i="52"/>
  <c r="P99" i="52"/>
  <c r="N99" i="52"/>
  <c r="M99" i="52"/>
  <c r="L99" i="52"/>
  <c r="K99" i="52"/>
  <c r="J99" i="52"/>
  <c r="I99" i="52"/>
  <c r="H99" i="52"/>
  <c r="G99" i="52"/>
  <c r="F99" i="52"/>
  <c r="E99" i="52"/>
  <c r="D99" i="52"/>
  <c r="P98" i="52"/>
  <c r="N98" i="52"/>
  <c r="M98" i="52"/>
  <c r="L98" i="52"/>
  <c r="K98" i="52"/>
  <c r="J98" i="52"/>
  <c r="I98" i="52"/>
  <c r="H98" i="52"/>
  <c r="G98" i="52"/>
  <c r="F98" i="52"/>
  <c r="E98" i="52"/>
  <c r="D98" i="52"/>
  <c r="P97" i="52"/>
  <c r="N97" i="52"/>
  <c r="M97" i="52"/>
  <c r="L97" i="52"/>
  <c r="K97" i="52"/>
  <c r="J97" i="52"/>
  <c r="I97" i="52"/>
  <c r="H97" i="52"/>
  <c r="G97" i="52"/>
  <c r="F97" i="52"/>
  <c r="E97" i="52"/>
  <c r="D97" i="52"/>
  <c r="P96" i="52"/>
  <c r="N96" i="52"/>
  <c r="M96" i="52"/>
  <c r="L96" i="52"/>
  <c r="K96" i="52"/>
  <c r="J96" i="52"/>
  <c r="I96" i="52"/>
  <c r="H96" i="52"/>
  <c r="G96" i="52"/>
  <c r="F96" i="52"/>
  <c r="E96" i="52"/>
  <c r="D96" i="52"/>
  <c r="P95" i="52"/>
  <c r="N95" i="52"/>
  <c r="M95" i="52"/>
  <c r="L95" i="52"/>
  <c r="K95" i="52"/>
  <c r="J95" i="52"/>
  <c r="I95" i="52"/>
  <c r="H95" i="52"/>
  <c r="G95" i="52"/>
  <c r="F95" i="52"/>
  <c r="E95" i="52"/>
  <c r="D95" i="52"/>
  <c r="P94" i="52"/>
  <c r="N94" i="52"/>
  <c r="M94" i="52"/>
  <c r="L94" i="52"/>
  <c r="K94" i="52"/>
  <c r="J94" i="52"/>
  <c r="I94" i="52"/>
  <c r="H94" i="52"/>
  <c r="G94" i="52"/>
  <c r="F94" i="52"/>
  <c r="E94" i="52"/>
  <c r="D94" i="52"/>
  <c r="P93" i="52"/>
  <c r="N93" i="52"/>
  <c r="M93" i="52"/>
  <c r="L93" i="52"/>
  <c r="K93" i="52"/>
  <c r="J93" i="52"/>
  <c r="I93" i="52"/>
  <c r="H93" i="52"/>
  <c r="G93" i="52"/>
  <c r="F93" i="52"/>
  <c r="E93" i="52"/>
  <c r="D93" i="52"/>
  <c r="P92" i="52"/>
  <c r="N92" i="52"/>
  <c r="M92" i="52"/>
  <c r="L92" i="52"/>
  <c r="K92" i="52"/>
  <c r="J92" i="52"/>
  <c r="I92" i="52"/>
  <c r="H92" i="52"/>
  <c r="G92" i="52"/>
  <c r="F92" i="52"/>
  <c r="E92" i="52"/>
  <c r="D92" i="52"/>
  <c r="P91" i="52"/>
  <c r="N91" i="52"/>
  <c r="M91" i="52"/>
  <c r="L91" i="52"/>
  <c r="K91" i="52"/>
  <c r="J91" i="52"/>
  <c r="I91" i="52"/>
  <c r="H91" i="52"/>
  <c r="G91" i="52"/>
  <c r="F91" i="52"/>
  <c r="E91" i="52"/>
  <c r="D91" i="52"/>
  <c r="P90" i="52"/>
  <c r="N90" i="52"/>
  <c r="M90" i="52"/>
  <c r="L90" i="52"/>
  <c r="K90" i="52"/>
  <c r="J90" i="52"/>
  <c r="I90" i="52"/>
  <c r="H90" i="52"/>
  <c r="G90" i="52"/>
  <c r="F90" i="52"/>
  <c r="E90" i="52"/>
  <c r="D90" i="52"/>
  <c r="P89" i="52"/>
  <c r="N89" i="52"/>
  <c r="M89" i="52"/>
  <c r="L89" i="52"/>
  <c r="K89" i="52"/>
  <c r="J89" i="52"/>
  <c r="I89" i="52"/>
  <c r="H89" i="52"/>
  <c r="G89" i="52"/>
  <c r="F89" i="52"/>
  <c r="E89" i="52"/>
  <c r="D89" i="52"/>
  <c r="P88" i="52"/>
  <c r="N88" i="52"/>
  <c r="M88" i="52"/>
  <c r="L88" i="52"/>
  <c r="K88" i="52"/>
  <c r="J88" i="52"/>
  <c r="I88" i="52"/>
  <c r="H88" i="52"/>
  <c r="G88" i="52"/>
  <c r="F88" i="52"/>
  <c r="E88" i="52"/>
  <c r="D88" i="52"/>
  <c r="P87" i="52"/>
  <c r="N87" i="52"/>
  <c r="M87" i="52"/>
  <c r="L87" i="52"/>
  <c r="K87" i="52"/>
  <c r="J87" i="52"/>
  <c r="I87" i="52"/>
  <c r="H87" i="52"/>
  <c r="G87" i="52"/>
  <c r="F87" i="52"/>
  <c r="E87" i="52"/>
  <c r="D87" i="52"/>
  <c r="P86" i="52"/>
  <c r="N86" i="52"/>
  <c r="M86" i="52"/>
  <c r="L86" i="52"/>
  <c r="K86" i="52"/>
  <c r="J86" i="52"/>
  <c r="I86" i="52"/>
  <c r="H86" i="52"/>
  <c r="G86" i="52"/>
  <c r="F86" i="52"/>
  <c r="E86" i="52"/>
  <c r="D86" i="52"/>
  <c r="P85" i="52"/>
  <c r="N85" i="52"/>
  <c r="M85" i="52"/>
  <c r="L85" i="52"/>
  <c r="K85" i="52"/>
  <c r="J85" i="52"/>
  <c r="I85" i="52"/>
  <c r="H85" i="52"/>
  <c r="G85" i="52"/>
  <c r="F85" i="52"/>
  <c r="E85" i="52"/>
  <c r="D85" i="52"/>
  <c r="P84" i="52"/>
  <c r="N84" i="52"/>
  <c r="M84" i="52"/>
  <c r="L84" i="52"/>
  <c r="K84" i="52"/>
  <c r="J84" i="52"/>
  <c r="I84" i="52"/>
  <c r="H84" i="52"/>
  <c r="G84" i="52"/>
  <c r="F84" i="52"/>
  <c r="E84" i="52"/>
  <c r="D84" i="52"/>
  <c r="P83" i="52"/>
  <c r="N83" i="52"/>
  <c r="M83" i="52"/>
  <c r="L83" i="52"/>
  <c r="K83" i="52"/>
  <c r="J83" i="52"/>
  <c r="I83" i="52"/>
  <c r="H83" i="52"/>
  <c r="G83" i="52"/>
  <c r="F83" i="52"/>
  <c r="E83" i="52"/>
  <c r="D83" i="52"/>
  <c r="P82" i="52"/>
  <c r="N82" i="52"/>
  <c r="M82" i="52"/>
  <c r="L82" i="52"/>
  <c r="K82" i="52"/>
  <c r="J82" i="52"/>
  <c r="I82" i="52"/>
  <c r="H82" i="52"/>
  <c r="G82" i="52"/>
  <c r="F82" i="52"/>
  <c r="E82" i="52"/>
  <c r="D82" i="52"/>
  <c r="P81" i="52"/>
  <c r="N81" i="52"/>
  <c r="M81" i="52"/>
  <c r="L81" i="52"/>
  <c r="K81" i="52"/>
  <c r="J81" i="52"/>
  <c r="I81" i="52"/>
  <c r="H81" i="52"/>
  <c r="G81" i="52"/>
  <c r="F81" i="52"/>
  <c r="E81" i="52"/>
  <c r="D81" i="52"/>
  <c r="P80" i="52"/>
  <c r="N80" i="52"/>
  <c r="M80" i="52"/>
  <c r="L80" i="52"/>
  <c r="K80" i="52"/>
  <c r="J80" i="52"/>
  <c r="I80" i="52"/>
  <c r="H80" i="52"/>
  <c r="G80" i="52"/>
  <c r="F80" i="52"/>
  <c r="E80" i="52"/>
  <c r="D80" i="52"/>
  <c r="P79" i="52"/>
  <c r="N79" i="52"/>
  <c r="M79" i="52"/>
  <c r="L79" i="52"/>
  <c r="K79" i="52"/>
  <c r="J79" i="52"/>
  <c r="I79" i="52"/>
  <c r="H79" i="52"/>
  <c r="G79" i="52"/>
  <c r="F79" i="52"/>
  <c r="E79" i="52"/>
  <c r="D79" i="52"/>
  <c r="P78" i="52"/>
  <c r="N78" i="52"/>
  <c r="M78" i="52"/>
  <c r="L78" i="52"/>
  <c r="K78" i="52"/>
  <c r="J78" i="52"/>
  <c r="I78" i="52"/>
  <c r="H78" i="52"/>
  <c r="G78" i="52"/>
  <c r="F78" i="52"/>
  <c r="E78" i="52"/>
  <c r="D78" i="52"/>
  <c r="P77" i="52"/>
  <c r="N77" i="52"/>
  <c r="M77" i="52"/>
  <c r="L77" i="52"/>
  <c r="K77" i="52"/>
  <c r="J77" i="52"/>
  <c r="I77" i="52"/>
  <c r="H77" i="52"/>
  <c r="G77" i="52"/>
  <c r="F77" i="52"/>
  <c r="E77" i="52"/>
  <c r="D77" i="52"/>
  <c r="P76" i="52"/>
  <c r="N76" i="52"/>
  <c r="M76" i="52"/>
  <c r="L76" i="52"/>
  <c r="K76" i="52"/>
  <c r="J76" i="52"/>
  <c r="I76" i="52"/>
  <c r="H76" i="52"/>
  <c r="G76" i="52"/>
  <c r="F76" i="52"/>
  <c r="E76" i="52"/>
  <c r="D76" i="52"/>
  <c r="P75" i="52"/>
  <c r="N75" i="52"/>
  <c r="M75" i="52"/>
  <c r="L75" i="52"/>
  <c r="K75" i="52"/>
  <c r="J75" i="52"/>
  <c r="I75" i="52"/>
  <c r="H75" i="52"/>
  <c r="G75" i="52"/>
  <c r="F75" i="52"/>
  <c r="E75" i="52"/>
  <c r="D75" i="52"/>
  <c r="P74" i="52"/>
  <c r="N74" i="52"/>
  <c r="M74" i="52"/>
  <c r="L74" i="52"/>
  <c r="K74" i="52"/>
  <c r="J74" i="52"/>
  <c r="I74" i="52"/>
  <c r="H74" i="52"/>
  <c r="G74" i="52"/>
  <c r="F74" i="52"/>
  <c r="E74" i="52"/>
  <c r="D74" i="52"/>
  <c r="P73" i="52"/>
  <c r="N73" i="52"/>
  <c r="M73" i="52"/>
  <c r="L73" i="52"/>
  <c r="K73" i="52"/>
  <c r="J73" i="52"/>
  <c r="I73" i="52"/>
  <c r="H73" i="52"/>
  <c r="G73" i="52"/>
  <c r="F73" i="52"/>
  <c r="E73" i="52"/>
  <c r="D73" i="52"/>
  <c r="P72" i="52"/>
  <c r="N72" i="52"/>
  <c r="M72" i="52"/>
  <c r="L72" i="52"/>
  <c r="K72" i="52"/>
  <c r="J72" i="52"/>
  <c r="I72" i="52"/>
  <c r="H72" i="52"/>
  <c r="G72" i="52"/>
  <c r="F72" i="52"/>
  <c r="E72" i="52"/>
  <c r="D72" i="52"/>
  <c r="P71" i="52"/>
  <c r="N71" i="52"/>
  <c r="M71" i="52"/>
  <c r="L71" i="52"/>
  <c r="K71" i="52"/>
  <c r="J71" i="52"/>
  <c r="I71" i="52"/>
  <c r="H71" i="52"/>
  <c r="G71" i="52"/>
  <c r="F71" i="52"/>
  <c r="E71" i="52"/>
  <c r="D71" i="52"/>
  <c r="P70" i="52"/>
  <c r="N70" i="52"/>
  <c r="M70" i="52"/>
  <c r="L70" i="52"/>
  <c r="K70" i="52"/>
  <c r="J70" i="52"/>
  <c r="I70" i="52"/>
  <c r="H70" i="52"/>
  <c r="G70" i="52"/>
  <c r="F70" i="52"/>
  <c r="E70" i="52"/>
  <c r="D70" i="52"/>
  <c r="P69" i="52"/>
  <c r="N69" i="52"/>
  <c r="M69" i="52"/>
  <c r="L69" i="52"/>
  <c r="K69" i="52"/>
  <c r="J69" i="52"/>
  <c r="I69" i="52"/>
  <c r="H69" i="52"/>
  <c r="G69" i="52"/>
  <c r="F69" i="52"/>
  <c r="E69" i="52"/>
  <c r="D69" i="52"/>
  <c r="P68" i="52"/>
  <c r="N68" i="52"/>
  <c r="M68" i="52"/>
  <c r="L68" i="52"/>
  <c r="K68" i="52"/>
  <c r="J68" i="52"/>
  <c r="I68" i="52"/>
  <c r="H68" i="52"/>
  <c r="G68" i="52"/>
  <c r="F68" i="52"/>
  <c r="E68" i="52"/>
  <c r="D68" i="52"/>
  <c r="P67" i="52"/>
  <c r="N67" i="52"/>
  <c r="M67" i="52"/>
  <c r="L67" i="52"/>
  <c r="K67" i="52"/>
  <c r="J67" i="52"/>
  <c r="I67" i="52"/>
  <c r="H67" i="52"/>
  <c r="G67" i="52"/>
  <c r="F67" i="52"/>
  <c r="E67" i="52"/>
  <c r="D67" i="52"/>
  <c r="P66" i="52"/>
  <c r="N66" i="52"/>
  <c r="M66" i="52"/>
  <c r="L66" i="52"/>
  <c r="K66" i="52"/>
  <c r="J66" i="52"/>
  <c r="I66" i="52"/>
  <c r="H66" i="52"/>
  <c r="G66" i="52"/>
  <c r="F66" i="52"/>
  <c r="E66" i="52"/>
  <c r="D66" i="52"/>
  <c r="P65" i="52"/>
  <c r="N65" i="52"/>
  <c r="M65" i="52"/>
  <c r="L65" i="52"/>
  <c r="K65" i="52"/>
  <c r="J65" i="52"/>
  <c r="I65" i="52"/>
  <c r="H65" i="52"/>
  <c r="G65" i="52"/>
  <c r="F65" i="52"/>
  <c r="E65" i="52"/>
  <c r="D65" i="52"/>
  <c r="P64" i="52"/>
  <c r="N64" i="52"/>
  <c r="M64" i="52"/>
  <c r="L64" i="52"/>
  <c r="K64" i="52"/>
  <c r="J64" i="52"/>
  <c r="I64" i="52"/>
  <c r="H64" i="52"/>
  <c r="G64" i="52"/>
  <c r="F64" i="52"/>
  <c r="E64" i="52"/>
  <c r="D64" i="52"/>
  <c r="P63" i="52"/>
  <c r="N63" i="52"/>
  <c r="M63" i="52"/>
  <c r="L63" i="52"/>
  <c r="K63" i="52"/>
  <c r="J63" i="52"/>
  <c r="I63" i="52"/>
  <c r="H63" i="52"/>
  <c r="G63" i="52"/>
  <c r="F63" i="52"/>
  <c r="E63" i="52"/>
  <c r="D63" i="52"/>
  <c r="P62" i="52"/>
  <c r="N62" i="52"/>
  <c r="M62" i="52"/>
  <c r="L62" i="52"/>
  <c r="K62" i="52"/>
  <c r="J62" i="52"/>
  <c r="I62" i="52"/>
  <c r="H62" i="52"/>
  <c r="G62" i="52"/>
  <c r="F62" i="52"/>
  <c r="E62" i="52"/>
  <c r="D62" i="52"/>
  <c r="P61" i="52"/>
  <c r="N61" i="52"/>
  <c r="M61" i="52"/>
  <c r="L61" i="52"/>
  <c r="K61" i="52"/>
  <c r="J61" i="52"/>
  <c r="I61" i="52"/>
  <c r="H61" i="52"/>
  <c r="G61" i="52"/>
  <c r="F61" i="52"/>
  <c r="E61" i="52"/>
  <c r="D61" i="52"/>
  <c r="P60" i="52"/>
  <c r="N60" i="52"/>
  <c r="M60" i="52"/>
  <c r="L60" i="52"/>
  <c r="K60" i="52"/>
  <c r="J60" i="52"/>
  <c r="I60" i="52"/>
  <c r="H60" i="52"/>
  <c r="G60" i="52"/>
  <c r="F60" i="52"/>
  <c r="E60" i="52"/>
  <c r="D60" i="52"/>
  <c r="P59" i="52"/>
  <c r="N59" i="52"/>
  <c r="M59" i="52"/>
  <c r="L59" i="52"/>
  <c r="K59" i="52"/>
  <c r="J59" i="52"/>
  <c r="I59" i="52"/>
  <c r="H59" i="52"/>
  <c r="G59" i="52"/>
  <c r="F59" i="52"/>
  <c r="E59" i="52"/>
  <c r="D59" i="52"/>
  <c r="P58" i="52"/>
  <c r="N58" i="52"/>
  <c r="M58" i="52"/>
  <c r="L58" i="52"/>
  <c r="K58" i="52"/>
  <c r="J58" i="52"/>
  <c r="I58" i="52"/>
  <c r="H58" i="52"/>
  <c r="G58" i="52"/>
  <c r="F58" i="52"/>
  <c r="E58" i="52"/>
  <c r="D58" i="52"/>
  <c r="P57" i="52"/>
  <c r="N57" i="52"/>
  <c r="M57" i="52"/>
  <c r="L57" i="52"/>
  <c r="K57" i="52"/>
  <c r="J57" i="52"/>
  <c r="I57" i="52"/>
  <c r="H57" i="52"/>
  <c r="G57" i="52"/>
  <c r="F57" i="52"/>
  <c r="E57" i="52"/>
  <c r="D57" i="52"/>
  <c r="P56" i="52"/>
  <c r="N56" i="52"/>
  <c r="M56" i="52"/>
  <c r="L56" i="52"/>
  <c r="K56" i="52"/>
  <c r="J56" i="52"/>
  <c r="I56" i="52"/>
  <c r="H56" i="52"/>
  <c r="G56" i="52"/>
  <c r="F56" i="52"/>
  <c r="E56" i="52"/>
  <c r="D56" i="52"/>
  <c r="P55" i="52"/>
  <c r="N55" i="52"/>
  <c r="M55" i="52"/>
  <c r="L55" i="52"/>
  <c r="K55" i="52"/>
  <c r="J55" i="52"/>
  <c r="I55" i="52"/>
  <c r="H55" i="52"/>
  <c r="G55" i="52"/>
  <c r="F55" i="52"/>
  <c r="E55" i="52"/>
  <c r="D55" i="52"/>
  <c r="P54" i="52"/>
  <c r="N54" i="52"/>
  <c r="M54" i="52"/>
  <c r="L54" i="52"/>
  <c r="K54" i="52"/>
  <c r="J54" i="52"/>
  <c r="I54" i="52"/>
  <c r="H54" i="52"/>
  <c r="G54" i="52"/>
  <c r="F54" i="52"/>
  <c r="E54" i="52"/>
  <c r="D54" i="52"/>
  <c r="P53" i="52"/>
  <c r="N53" i="52"/>
  <c r="M53" i="52"/>
  <c r="L53" i="52"/>
  <c r="K53" i="52"/>
  <c r="J53" i="52"/>
  <c r="I53" i="52"/>
  <c r="H53" i="52"/>
  <c r="G53" i="52"/>
  <c r="F53" i="52"/>
  <c r="E53" i="52"/>
  <c r="D53" i="52"/>
  <c r="P52" i="52"/>
  <c r="N52" i="52"/>
  <c r="M52" i="52"/>
  <c r="L52" i="52"/>
  <c r="K52" i="52"/>
  <c r="J52" i="52"/>
  <c r="I52" i="52"/>
  <c r="H52" i="52"/>
  <c r="G52" i="52"/>
  <c r="F52" i="52"/>
  <c r="E52" i="52"/>
  <c r="D52" i="52"/>
  <c r="P51" i="52"/>
  <c r="N51" i="52"/>
  <c r="M51" i="52"/>
  <c r="L51" i="52"/>
  <c r="K51" i="52"/>
  <c r="J51" i="52"/>
  <c r="I51" i="52"/>
  <c r="H51" i="52"/>
  <c r="G51" i="52"/>
  <c r="F51" i="52"/>
  <c r="E51" i="52"/>
  <c r="D51" i="52"/>
  <c r="P50" i="52"/>
  <c r="N50" i="52"/>
  <c r="M50" i="52"/>
  <c r="L50" i="52"/>
  <c r="K50" i="52"/>
  <c r="J50" i="52"/>
  <c r="I50" i="52"/>
  <c r="H50" i="52"/>
  <c r="G50" i="52"/>
  <c r="F50" i="52"/>
  <c r="E50" i="52"/>
  <c r="D50" i="52"/>
  <c r="P49" i="52"/>
  <c r="N49" i="52"/>
  <c r="M49" i="52"/>
  <c r="L49" i="52"/>
  <c r="K49" i="52"/>
  <c r="J49" i="52"/>
  <c r="I49" i="52"/>
  <c r="H49" i="52"/>
  <c r="G49" i="52"/>
  <c r="F49" i="52"/>
  <c r="E49" i="52"/>
  <c r="D49" i="52"/>
  <c r="P48" i="52"/>
  <c r="N48" i="52"/>
  <c r="M48" i="52"/>
  <c r="L48" i="52"/>
  <c r="K48" i="52"/>
  <c r="J48" i="52"/>
  <c r="I48" i="52"/>
  <c r="H48" i="52"/>
  <c r="G48" i="52"/>
  <c r="F48" i="52"/>
  <c r="E48" i="52"/>
  <c r="D48" i="52"/>
  <c r="P47" i="52"/>
  <c r="N47" i="52"/>
  <c r="M47" i="52"/>
  <c r="L47" i="52"/>
  <c r="K47" i="52"/>
  <c r="J47" i="52"/>
  <c r="I47" i="52"/>
  <c r="H47" i="52"/>
  <c r="G47" i="52"/>
  <c r="F47" i="52"/>
  <c r="E47" i="52"/>
  <c r="D47" i="52"/>
  <c r="P46" i="52"/>
  <c r="N46" i="52"/>
  <c r="M46" i="52"/>
  <c r="L46" i="52"/>
  <c r="K46" i="52"/>
  <c r="J46" i="52"/>
  <c r="I46" i="52"/>
  <c r="H46" i="52"/>
  <c r="G46" i="52"/>
  <c r="F46" i="52"/>
  <c r="E46" i="52"/>
  <c r="D46" i="52"/>
  <c r="P45" i="52"/>
  <c r="N45" i="52"/>
  <c r="M45" i="52"/>
  <c r="L45" i="52"/>
  <c r="K45" i="52"/>
  <c r="J45" i="52"/>
  <c r="I45" i="52"/>
  <c r="H45" i="52"/>
  <c r="G45" i="52"/>
  <c r="F45" i="52"/>
  <c r="E45" i="52"/>
  <c r="D45" i="52"/>
  <c r="P44" i="52"/>
  <c r="N44" i="52"/>
  <c r="M44" i="52"/>
  <c r="L44" i="52"/>
  <c r="K44" i="52"/>
  <c r="J44" i="52"/>
  <c r="I44" i="52"/>
  <c r="H44" i="52"/>
  <c r="G44" i="52"/>
  <c r="F44" i="52"/>
  <c r="E44" i="52"/>
  <c r="D44" i="52"/>
  <c r="P43" i="52"/>
  <c r="N43" i="52"/>
  <c r="M43" i="52"/>
  <c r="L43" i="52"/>
  <c r="K43" i="52"/>
  <c r="J43" i="52"/>
  <c r="I43" i="52"/>
  <c r="H43" i="52"/>
  <c r="G43" i="52"/>
  <c r="F43" i="52"/>
  <c r="E43" i="52"/>
  <c r="D43" i="52"/>
  <c r="P42" i="52"/>
  <c r="N42" i="52"/>
  <c r="M42" i="52"/>
  <c r="L42" i="52"/>
  <c r="K42" i="52"/>
  <c r="J42" i="52"/>
  <c r="I42" i="52"/>
  <c r="H42" i="52"/>
  <c r="G42" i="52"/>
  <c r="F42" i="52"/>
  <c r="E42" i="52"/>
  <c r="D42" i="52"/>
  <c r="P41" i="52"/>
  <c r="N41" i="52"/>
  <c r="M41" i="52"/>
  <c r="L41" i="52"/>
  <c r="K41" i="52"/>
  <c r="J41" i="52"/>
  <c r="I41" i="52"/>
  <c r="H41" i="52"/>
  <c r="G41" i="52"/>
  <c r="F41" i="52"/>
  <c r="E41" i="52"/>
  <c r="D41" i="52"/>
  <c r="P40" i="52"/>
  <c r="N40" i="52"/>
  <c r="M40" i="52"/>
  <c r="L40" i="52"/>
  <c r="K40" i="52"/>
  <c r="J40" i="52"/>
  <c r="I40" i="52"/>
  <c r="H40" i="52"/>
  <c r="G40" i="52"/>
  <c r="F40" i="52"/>
  <c r="E40" i="52"/>
  <c r="D40" i="52"/>
  <c r="P39" i="52"/>
  <c r="N39" i="52"/>
  <c r="M39" i="52"/>
  <c r="L39" i="52"/>
  <c r="K39" i="52"/>
  <c r="J39" i="52"/>
  <c r="I39" i="52"/>
  <c r="H39" i="52"/>
  <c r="G39" i="52"/>
  <c r="F39" i="52"/>
  <c r="E39" i="52"/>
  <c r="D39" i="52"/>
  <c r="P38" i="52"/>
  <c r="N38" i="52"/>
  <c r="M38" i="52"/>
  <c r="L38" i="52"/>
  <c r="K38" i="52"/>
  <c r="J38" i="52"/>
  <c r="I38" i="52"/>
  <c r="H38" i="52"/>
  <c r="G38" i="52"/>
  <c r="F38" i="52"/>
  <c r="E38" i="52"/>
  <c r="D38" i="52"/>
  <c r="P37" i="52"/>
  <c r="N37" i="52"/>
  <c r="M37" i="52"/>
  <c r="L37" i="52"/>
  <c r="K37" i="52"/>
  <c r="J37" i="52"/>
  <c r="I37" i="52"/>
  <c r="H37" i="52"/>
  <c r="G37" i="52"/>
  <c r="F37" i="52"/>
  <c r="E37" i="52"/>
  <c r="D37" i="52"/>
  <c r="P36" i="52"/>
  <c r="N36" i="52"/>
  <c r="M36" i="52"/>
  <c r="L36" i="52"/>
  <c r="K36" i="52"/>
  <c r="J36" i="52"/>
  <c r="I36" i="52"/>
  <c r="H36" i="52"/>
  <c r="G36" i="52"/>
  <c r="F36" i="52"/>
  <c r="E36" i="52"/>
  <c r="D36" i="52"/>
  <c r="P35" i="52"/>
  <c r="N35" i="52"/>
  <c r="M35" i="52"/>
  <c r="L35" i="52"/>
  <c r="K35" i="52"/>
  <c r="J35" i="52"/>
  <c r="I35" i="52"/>
  <c r="H35" i="52"/>
  <c r="G35" i="52"/>
  <c r="F35" i="52"/>
  <c r="E35" i="52"/>
  <c r="D35" i="52"/>
  <c r="P34" i="52"/>
  <c r="N34" i="52"/>
  <c r="M34" i="52"/>
  <c r="L34" i="52"/>
  <c r="K34" i="52"/>
  <c r="J34" i="52"/>
  <c r="I34" i="52"/>
  <c r="H34" i="52"/>
  <c r="G34" i="52"/>
  <c r="F34" i="52"/>
  <c r="E34" i="52"/>
  <c r="D34" i="52"/>
  <c r="P33" i="52"/>
  <c r="N33" i="52"/>
  <c r="M33" i="52"/>
  <c r="L33" i="52"/>
  <c r="K33" i="52"/>
  <c r="J33" i="52"/>
  <c r="I33" i="52"/>
  <c r="H33" i="52"/>
  <c r="G33" i="52"/>
  <c r="F33" i="52"/>
  <c r="E33" i="52"/>
  <c r="D33" i="52"/>
  <c r="P32" i="52"/>
  <c r="N32" i="52"/>
  <c r="M32" i="52"/>
  <c r="L32" i="52"/>
  <c r="K32" i="52"/>
  <c r="J32" i="52"/>
  <c r="I32" i="52"/>
  <c r="H32" i="52"/>
  <c r="G32" i="52"/>
  <c r="F32" i="52"/>
  <c r="E32" i="52"/>
  <c r="D32" i="52"/>
  <c r="P31" i="52"/>
  <c r="N31" i="52"/>
  <c r="M31" i="52"/>
  <c r="L31" i="52"/>
  <c r="K31" i="52"/>
  <c r="J31" i="52"/>
  <c r="I31" i="52"/>
  <c r="H31" i="52"/>
  <c r="G31" i="52"/>
  <c r="F31" i="52"/>
  <c r="E31" i="52"/>
  <c r="D31" i="52"/>
  <c r="P30" i="52"/>
  <c r="N30" i="52"/>
  <c r="M30" i="52"/>
  <c r="L30" i="52"/>
  <c r="K30" i="52"/>
  <c r="J30" i="52"/>
  <c r="I30" i="52"/>
  <c r="H30" i="52"/>
  <c r="G30" i="52"/>
  <c r="F30" i="52"/>
  <c r="E30" i="52"/>
  <c r="D30" i="52"/>
  <c r="P29" i="52"/>
  <c r="N29" i="52"/>
  <c r="M29" i="52"/>
  <c r="L29" i="52"/>
  <c r="K29" i="52"/>
  <c r="J29" i="52"/>
  <c r="I29" i="52"/>
  <c r="H29" i="52"/>
  <c r="G29" i="52"/>
  <c r="F29" i="52"/>
  <c r="E29" i="52"/>
  <c r="D29" i="52"/>
  <c r="P28" i="52"/>
  <c r="N28" i="52"/>
  <c r="M28" i="52"/>
  <c r="L28" i="52"/>
  <c r="K28" i="52"/>
  <c r="J28" i="52"/>
  <c r="I28" i="52"/>
  <c r="H28" i="52"/>
  <c r="G28" i="52"/>
  <c r="F28" i="52"/>
  <c r="E28" i="52"/>
  <c r="D28" i="52"/>
  <c r="P27" i="52"/>
  <c r="N27" i="52"/>
  <c r="M27" i="52"/>
  <c r="L27" i="52"/>
  <c r="K27" i="52"/>
  <c r="J27" i="52"/>
  <c r="I27" i="52"/>
  <c r="H27" i="52"/>
  <c r="G27" i="52"/>
  <c r="F27" i="52"/>
  <c r="E27" i="52"/>
  <c r="D27" i="52"/>
  <c r="P26" i="52"/>
  <c r="N26" i="52"/>
  <c r="M26" i="52"/>
  <c r="L26" i="52"/>
  <c r="K26" i="52"/>
  <c r="J26" i="52"/>
  <c r="I26" i="52"/>
  <c r="H26" i="52"/>
  <c r="G26" i="52"/>
  <c r="F26" i="52"/>
  <c r="E26" i="52"/>
  <c r="D26" i="52"/>
  <c r="P25" i="52"/>
  <c r="N25" i="52"/>
  <c r="M25" i="52"/>
  <c r="L25" i="52"/>
  <c r="K25" i="52"/>
  <c r="J25" i="52"/>
  <c r="I25" i="52"/>
  <c r="H25" i="52"/>
  <c r="G25" i="52"/>
  <c r="F25" i="52"/>
  <c r="E25" i="52"/>
  <c r="D25" i="52"/>
  <c r="P24" i="52"/>
  <c r="N24" i="52"/>
  <c r="M24" i="52"/>
  <c r="L24" i="52"/>
  <c r="K24" i="52"/>
  <c r="J24" i="52"/>
  <c r="I24" i="52"/>
  <c r="H24" i="52"/>
  <c r="G24" i="52"/>
  <c r="F24" i="52"/>
  <c r="E24" i="52"/>
  <c r="D24" i="52"/>
  <c r="P23" i="52"/>
  <c r="N23" i="52"/>
  <c r="M23" i="52"/>
  <c r="L23" i="52"/>
  <c r="K23" i="52"/>
  <c r="J23" i="52"/>
  <c r="I23" i="52"/>
  <c r="H23" i="52"/>
  <c r="G23" i="52"/>
  <c r="F23" i="52"/>
  <c r="E23" i="52"/>
  <c r="D23" i="52"/>
  <c r="P22" i="52"/>
  <c r="N22" i="52"/>
  <c r="M22" i="52"/>
  <c r="L22" i="52"/>
  <c r="K22" i="52"/>
  <c r="J22" i="52"/>
  <c r="I22" i="52"/>
  <c r="H22" i="52"/>
  <c r="G22" i="52"/>
  <c r="F22" i="52"/>
  <c r="E22" i="52"/>
  <c r="D22" i="52"/>
  <c r="N19" i="52"/>
  <c r="M19" i="52"/>
  <c r="L19" i="52"/>
  <c r="K19" i="52"/>
  <c r="J19" i="52"/>
  <c r="H19" i="52"/>
  <c r="G19" i="52"/>
  <c r="F19" i="52"/>
  <c r="E19" i="52"/>
  <c r="D19" i="52"/>
  <c r="P18" i="52"/>
  <c r="O18" i="52"/>
  <c r="N18" i="52"/>
  <c r="M18" i="52"/>
  <c r="L18" i="52"/>
  <c r="K18" i="52"/>
  <c r="J18" i="52"/>
  <c r="I18" i="52"/>
  <c r="H18" i="52"/>
  <c r="G18" i="52"/>
  <c r="F18" i="52"/>
  <c r="E18" i="52"/>
  <c r="D18" i="52"/>
  <c r="P17" i="52"/>
  <c r="P16" i="52"/>
  <c r="P15" i="52"/>
  <c r="P14" i="52"/>
  <c r="N13" i="52"/>
  <c r="M13" i="52"/>
  <c r="L13" i="52"/>
  <c r="K13" i="52"/>
  <c r="J13" i="52"/>
  <c r="H13" i="52"/>
  <c r="G13" i="52"/>
  <c r="F13" i="52"/>
  <c r="E13" i="52"/>
  <c r="D13" i="52"/>
  <c r="N12" i="52"/>
  <c r="M12" i="52"/>
  <c r="L12" i="52"/>
  <c r="K12" i="52"/>
  <c r="J12" i="52"/>
  <c r="I12" i="52"/>
  <c r="P12" i="52" s="1"/>
  <c r="H12" i="52"/>
  <c r="G12" i="52"/>
  <c r="F12" i="52"/>
  <c r="E12" i="52"/>
  <c r="D12" i="52"/>
  <c r="N11" i="52"/>
  <c r="M11" i="52"/>
  <c r="L11" i="52"/>
  <c r="K11" i="52"/>
  <c r="J11" i="52"/>
  <c r="I11" i="52"/>
  <c r="P11" i="52" s="1"/>
  <c r="H11" i="52"/>
  <c r="G11" i="52"/>
  <c r="F11" i="52"/>
  <c r="E11" i="52"/>
  <c r="D11" i="52"/>
  <c r="N10" i="52"/>
  <c r="M10" i="52"/>
  <c r="L10" i="52"/>
  <c r="K10" i="52"/>
  <c r="J10" i="52"/>
  <c r="I10" i="52"/>
  <c r="H10" i="52"/>
  <c r="G10" i="52"/>
  <c r="F10" i="52"/>
  <c r="E10" i="52"/>
  <c r="D10" i="52"/>
  <c r="N9" i="52"/>
  <c r="M9" i="52"/>
  <c r="L9" i="52"/>
  <c r="K9" i="52"/>
  <c r="J9" i="52"/>
  <c r="I9" i="52"/>
  <c r="P9" i="52" s="1"/>
  <c r="H9" i="52"/>
  <c r="G9" i="52"/>
  <c r="F9" i="52"/>
  <c r="E9" i="52"/>
  <c r="D9" i="52"/>
  <c r="O8" i="52"/>
  <c r="O13" i="52" s="1"/>
  <c r="N8" i="52"/>
  <c r="M8" i="52"/>
  <c r="L8" i="52"/>
  <c r="K8" i="52"/>
  <c r="J8" i="52"/>
  <c r="H8" i="52"/>
  <c r="G8" i="52"/>
  <c r="F8" i="52"/>
  <c r="E8" i="52"/>
  <c r="D8" i="52"/>
  <c r="H142" i="51"/>
  <c r="G141" i="51"/>
  <c r="N137" i="51"/>
  <c r="M137" i="51"/>
  <c r="L137" i="51"/>
  <c r="K137" i="51"/>
  <c r="J137" i="51"/>
  <c r="H137" i="51"/>
  <c r="G137" i="51"/>
  <c r="F137" i="51"/>
  <c r="E137" i="51"/>
  <c r="D137" i="51"/>
  <c r="N134" i="51"/>
  <c r="M134" i="51"/>
  <c r="L134" i="51"/>
  <c r="K134" i="51"/>
  <c r="J134" i="51"/>
  <c r="H134" i="51"/>
  <c r="G134" i="51"/>
  <c r="F134" i="51"/>
  <c r="E134" i="51"/>
  <c r="D134" i="51"/>
  <c r="O132" i="51"/>
  <c r="P132" i="51" s="1"/>
  <c r="N132" i="51"/>
  <c r="M132" i="51"/>
  <c r="L132" i="51"/>
  <c r="K132" i="51"/>
  <c r="J132" i="51"/>
  <c r="I132" i="51"/>
  <c r="H132" i="51"/>
  <c r="G132" i="51"/>
  <c r="F132" i="51"/>
  <c r="E132" i="51"/>
  <c r="D132" i="51"/>
  <c r="P131" i="51"/>
  <c r="N131" i="51"/>
  <c r="M131" i="51"/>
  <c r="L131" i="51"/>
  <c r="K131" i="51"/>
  <c r="J131" i="51"/>
  <c r="I131" i="51"/>
  <c r="H131" i="51"/>
  <c r="G131" i="51"/>
  <c r="F131" i="51"/>
  <c r="E131" i="51"/>
  <c r="D131" i="51"/>
  <c r="P130" i="51"/>
  <c r="N130" i="51"/>
  <c r="M130" i="51"/>
  <c r="L130" i="51"/>
  <c r="K130" i="51"/>
  <c r="J130" i="51"/>
  <c r="I130" i="51"/>
  <c r="H130" i="51"/>
  <c r="G130" i="51"/>
  <c r="F130" i="51"/>
  <c r="E130" i="51"/>
  <c r="D130" i="51"/>
  <c r="P129" i="51"/>
  <c r="N129" i="51"/>
  <c r="M129" i="51"/>
  <c r="L129" i="51"/>
  <c r="K129" i="51"/>
  <c r="J129" i="51"/>
  <c r="I129" i="51"/>
  <c r="H129" i="51"/>
  <c r="G129" i="51"/>
  <c r="F129" i="51"/>
  <c r="E129" i="51"/>
  <c r="D129" i="51"/>
  <c r="P128" i="51"/>
  <c r="N128" i="51"/>
  <c r="M128" i="51"/>
  <c r="L128" i="51"/>
  <c r="K128" i="51"/>
  <c r="J128" i="51"/>
  <c r="I128" i="51"/>
  <c r="H128" i="51"/>
  <c r="G128" i="51"/>
  <c r="F128" i="51"/>
  <c r="E128" i="51"/>
  <c r="D128" i="51"/>
  <c r="P127" i="51"/>
  <c r="N127" i="51"/>
  <c r="M127" i="51"/>
  <c r="L127" i="51"/>
  <c r="K127" i="51"/>
  <c r="J127" i="51"/>
  <c r="I127" i="51"/>
  <c r="H127" i="51"/>
  <c r="G127" i="51"/>
  <c r="F127" i="51"/>
  <c r="E127" i="51"/>
  <c r="D127" i="51"/>
  <c r="P126" i="51"/>
  <c r="N126" i="51"/>
  <c r="M126" i="51"/>
  <c r="L126" i="51"/>
  <c r="K126" i="51"/>
  <c r="J126" i="51"/>
  <c r="I126" i="51"/>
  <c r="H126" i="51"/>
  <c r="G126" i="51"/>
  <c r="F126" i="51"/>
  <c r="E126" i="51"/>
  <c r="D126" i="51"/>
  <c r="P125" i="51"/>
  <c r="N125" i="51"/>
  <c r="M125" i="51"/>
  <c r="L125" i="51"/>
  <c r="K125" i="51"/>
  <c r="J125" i="51"/>
  <c r="I125" i="51"/>
  <c r="H125" i="51"/>
  <c r="G125" i="51"/>
  <c r="F125" i="51"/>
  <c r="E125" i="51"/>
  <c r="D125" i="51"/>
  <c r="P124" i="51"/>
  <c r="N124" i="51"/>
  <c r="M124" i="51"/>
  <c r="L124" i="51"/>
  <c r="K124" i="51"/>
  <c r="J124" i="51"/>
  <c r="I124" i="51"/>
  <c r="H124" i="51"/>
  <c r="G124" i="51"/>
  <c r="F124" i="51"/>
  <c r="E124" i="51"/>
  <c r="D124" i="51"/>
  <c r="P123" i="51"/>
  <c r="N123" i="51"/>
  <c r="M123" i="51"/>
  <c r="L123" i="51"/>
  <c r="K123" i="51"/>
  <c r="J123" i="51"/>
  <c r="I123" i="51"/>
  <c r="H123" i="51"/>
  <c r="G123" i="51"/>
  <c r="F123" i="51"/>
  <c r="E123" i="51"/>
  <c r="D123" i="51"/>
  <c r="P122" i="51"/>
  <c r="N122" i="51"/>
  <c r="M122" i="51"/>
  <c r="L122" i="51"/>
  <c r="K122" i="51"/>
  <c r="J122" i="51"/>
  <c r="I122" i="51"/>
  <c r="H122" i="51"/>
  <c r="G122" i="51"/>
  <c r="F122" i="51"/>
  <c r="E122" i="51"/>
  <c r="D122" i="51"/>
  <c r="P121" i="51"/>
  <c r="N121" i="51"/>
  <c r="M121" i="51"/>
  <c r="L121" i="51"/>
  <c r="K121" i="51"/>
  <c r="J121" i="51"/>
  <c r="I121" i="51"/>
  <c r="H121" i="51"/>
  <c r="G121" i="51"/>
  <c r="F121" i="51"/>
  <c r="E121" i="51"/>
  <c r="D121" i="51"/>
  <c r="P120" i="51"/>
  <c r="N120" i="51"/>
  <c r="M120" i="51"/>
  <c r="L120" i="51"/>
  <c r="K120" i="51"/>
  <c r="J120" i="51"/>
  <c r="I120" i="51"/>
  <c r="H120" i="51"/>
  <c r="G120" i="51"/>
  <c r="F120" i="51"/>
  <c r="E120" i="51"/>
  <c r="D120" i="51"/>
  <c r="P119" i="51"/>
  <c r="N119" i="51"/>
  <c r="M119" i="51"/>
  <c r="L119" i="51"/>
  <c r="K119" i="51"/>
  <c r="J119" i="51"/>
  <c r="I119" i="51"/>
  <c r="H119" i="51"/>
  <c r="G119" i="51"/>
  <c r="F119" i="51"/>
  <c r="E119" i="51"/>
  <c r="D119" i="51"/>
  <c r="P118" i="51"/>
  <c r="N118" i="51"/>
  <c r="M118" i="51"/>
  <c r="L118" i="51"/>
  <c r="K118" i="51"/>
  <c r="J118" i="51"/>
  <c r="I118" i="51"/>
  <c r="H118" i="51"/>
  <c r="G118" i="51"/>
  <c r="F118" i="51"/>
  <c r="E118" i="51"/>
  <c r="D118" i="51"/>
  <c r="P117" i="51"/>
  <c r="N117" i="51"/>
  <c r="M117" i="51"/>
  <c r="L117" i="51"/>
  <c r="K117" i="51"/>
  <c r="J117" i="51"/>
  <c r="I117" i="51"/>
  <c r="H117" i="51"/>
  <c r="G117" i="51"/>
  <c r="F117" i="51"/>
  <c r="E117" i="51"/>
  <c r="D117" i="51"/>
  <c r="P116" i="51"/>
  <c r="N116" i="51"/>
  <c r="M116" i="51"/>
  <c r="L116" i="51"/>
  <c r="K116" i="51"/>
  <c r="J116" i="51"/>
  <c r="I116" i="51"/>
  <c r="H116" i="51"/>
  <c r="G116" i="51"/>
  <c r="F116" i="51"/>
  <c r="E116" i="51"/>
  <c r="D116" i="51"/>
  <c r="P115" i="51"/>
  <c r="N115" i="51"/>
  <c r="M115" i="51"/>
  <c r="L115" i="51"/>
  <c r="K115" i="51"/>
  <c r="J115" i="51"/>
  <c r="I115" i="51"/>
  <c r="H115" i="51"/>
  <c r="G115" i="51"/>
  <c r="F115" i="51"/>
  <c r="E115" i="51"/>
  <c r="D115" i="51"/>
  <c r="P114" i="51"/>
  <c r="N114" i="51"/>
  <c r="M114" i="51"/>
  <c r="L114" i="51"/>
  <c r="K114" i="51"/>
  <c r="J114" i="51"/>
  <c r="I114" i="51"/>
  <c r="H114" i="51"/>
  <c r="G114" i="51"/>
  <c r="F114" i="51"/>
  <c r="E114" i="51"/>
  <c r="D114" i="51"/>
  <c r="P113" i="51"/>
  <c r="N113" i="51"/>
  <c r="M113" i="51"/>
  <c r="L113" i="51"/>
  <c r="K113" i="51"/>
  <c r="J113" i="51"/>
  <c r="I113" i="51"/>
  <c r="H113" i="51"/>
  <c r="G113" i="51"/>
  <c r="F113" i="51"/>
  <c r="E113" i="51"/>
  <c r="D113" i="51"/>
  <c r="P112" i="51"/>
  <c r="N112" i="51"/>
  <c r="M112" i="51"/>
  <c r="L112" i="51"/>
  <c r="K112" i="51"/>
  <c r="J112" i="51"/>
  <c r="I112" i="51"/>
  <c r="H112" i="51"/>
  <c r="G112" i="51"/>
  <c r="F112" i="51"/>
  <c r="E112" i="51"/>
  <c r="D112" i="51"/>
  <c r="P111" i="51"/>
  <c r="N111" i="51"/>
  <c r="M111" i="51"/>
  <c r="L111" i="51"/>
  <c r="K111" i="51"/>
  <c r="J111" i="51"/>
  <c r="I111" i="51"/>
  <c r="H111" i="51"/>
  <c r="G111" i="51"/>
  <c r="F111" i="51"/>
  <c r="E111" i="51"/>
  <c r="D111" i="51"/>
  <c r="P110" i="51"/>
  <c r="N110" i="51"/>
  <c r="M110" i="51"/>
  <c r="L110" i="51"/>
  <c r="K110" i="51"/>
  <c r="J110" i="51"/>
  <c r="I110" i="51"/>
  <c r="H110" i="51"/>
  <c r="G110" i="51"/>
  <c r="F110" i="51"/>
  <c r="E110" i="51"/>
  <c r="D110" i="51"/>
  <c r="P109" i="51"/>
  <c r="N109" i="51"/>
  <c r="M109" i="51"/>
  <c r="L109" i="51"/>
  <c r="K109" i="51"/>
  <c r="J109" i="51"/>
  <c r="I109" i="51"/>
  <c r="H109" i="51"/>
  <c r="G109" i="51"/>
  <c r="F109" i="51"/>
  <c r="E109" i="51"/>
  <c r="D109" i="51"/>
  <c r="P108" i="51"/>
  <c r="N108" i="51"/>
  <c r="M108" i="51"/>
  <c r="L108" i="51"/>
  <c r="K108" i="51"/>
  <c r="J108" i="51"/>
  <c r="I108" i="51"/>
  <c r="H108" i="51"/>
  <c r="G108" i="51"/>
  <c r="F108" i="51"/>
  <c r="E108" i="51"/>
  <c r="D108" i="51"/>
  <c r="P107" i="51"/>
  <c r="N107" i="51"/>
  <c r="M107" i="51"/>
  <c r="L107" i="51"/>
  <c r="K107" i="51"/>
  <c r="J107" i="51"/>
  <c r="I107" i="51"/>
  <c r="H107" i="51"/>
  <c r="G107" i="51"/>
  <c r="F107" i="51"/>
  <c r="E107" i="51"/>
  <c r="D107" i="51"/>
  <c r="P106" i="51"/>
  <c r="N106" i="51"/>
  <c r="M106" i="51"/>
  <c r="L106" i="51"/>
  <c r="K106" i="51"/>
  <c r="J106" i="51"/>
  <c r="I106" i="51"/>
  <c r="H106" i="51"/>
  <c r="G106" i="51"/>
  <c r="F106" i="51"/>
  <c r="E106" i="51"/>
  <c r="D106" i="51"/>
  <c r="P105" i="51"/>
  <c r="N105" i="51"/>
  <c r="M105" i="51"/>
  <c r="L105" i="51"/>
  <c r="K105" i="51"/>
  <c r="J105" i="51"/>
  <c r="I105" i="51"/>
  <c r="H105" i="51"/>
  <c r="G105" i="51"/>
  <c r="F105" i="51"/>
  <c r="E105" i="51"/>
  <c r="D105" i="51"/>
  <c r="P104" i="51"/>
  <c r="N104" i="51"/>
  <c r="M104" i="51"/>
  <c r="L104" i="51"/>
  <c r="K104" i="51"/>
  <c r="J104" i="51"/>
  <c r="I104" i="51"/>
  <c r="H104" i="51"/>
  <c r="G104" i="51"/>
  <c r="F104" i="51"/>
  <c r="E104" i="51"/>
  <c r="D104" i="51"/>
  <c r="P103" i="51"/>
  <c r="N103" i="51"/>
  <c r="M103" i="51"/>
  <c r="L103" i="51"/>
  <c r="K103" i="51"/>
  <c r="J103" i="51"/>
  <c r="I103" i="51"/>
  <c r="H103" i="51"/>
  <c r="G103" i="51"/>
  <c r="F103" i="51"/>
  <c r="E103" i="51"/>
  <c r="D103" i="51"/>
  <c r="P102" i="51"/>
  <c r="N102" i="51"/>
  <c r="M102" i="51"/>
  <c r="L102" i="51"/>
  <c r="K102" i="51"/>
  <c r="J102" i="51"/>
  <c r="I102" i="51"/>
  <c r="H102" i="51"/>
  <c r="G102" i="51"/>
  <c r="F102" i="51"/>
  <c r="E102" i="51"/>
  <c r="D102" i="51"/>
  <c r="P101" i="51"/>
  <c r="N101" i="51"/>
  <c r="M101" i="51"/>
  <c r="L101" i="51"/>
  <c r="K101" i="51"/>
  <c r="J101" i="51"/>
  <c r="I101" i="51"/>
  <c r="H101" i="51"/>
  <c r="G101" i="51"/>
  <c r="F101" i="51"/>
  <c r="E101" i="51"/>
  <c r="D101" i="51"/>
  <c r="P100" i="51"/>
  <c r="N100" i="51"/>
  <c r="M100" i="51"/>
  <c r="L100" i="51"/>
  <c r="K100" i="51"/>
  <c r="J100" i="51"/>
  <c r="I100" i="51"/>
  <c r="H100" i="51"/>
  <c r="G100" i="51"/>
  <c r="F100" i="51"/>
  <c r="E100" i="51"/>
  <c r="D100" i="51"/>
  <c r="P99" i="51"/>
  <c r="N99" i="51"/>
  <c r="M99" i="51"/>
  <c r="L99" i="51"/>
  <c r="K99" i="51"/>
  <c r="J99" i="51"/>
  <c r="I99" i="51"/>
  <c r="H99" i="51"/>
  <c r="G99" i="51"/>
  <c r="F99" i="51"/>
  <c r="E99" i="51"/>
  <c r="D99" i="51"/>
  <c r="P98" i="51"/>
  <c r="N98" i="51"/>
  <c r="M98" i="51"/>
  <c r="L98" i="51"/>
  <c r="K98" i="51"/>
  <c r="J98" i="51"/>
  <c r="I98" i="51"/>
  <c r="H98" i="51"/>
  <c r="G98" i="51"/>
  <c r="F98" i="51"/>
  <c r="E98" i="51"/>
  <c r="D98" i="51"/>
  <c r="P97" i="51"/>
  <c r="N97" i="51"/>
  <c r="M97" i="51"/>
  <c r="L97" i="51"/>
  <c r="K97" i="51"/>
  <c r="J97" i="51"/>
  <c r="I97" i="51"/>
  <c r="H97" i="51"/>
  <c r="G97" i="51"/>
  <c r="F97" i="51"/>
  <c r="E97" i="51"/>
  <c r="D97" i="51"/>
  <c r="P96" i="51"/>
  <c r="N96" i="51"/>
  <c r="M96" i="51"/>
  <c r="L96" i="51"/>
  <c r="K96" i="51"/>
  <c r="J96" i="51"/>
  <c r="I96" i="51"/>
  <c r="H96" i="51"/>
  <c r="G96" i="51"/>
  <c r="F96" i="51"/>
  <c r="E96" i="51"/>
  <c r="D96" i="51"/>
  <c r="P95" i="51"/>
  <c r="N95" i="51"/>
  <c r="M95" i="51"/>
  <c r="L95" i="51"/>
  <c r="K95" i="51"/>
  <c r="J95" i="51"/>
  <c r="I95" i="51"/>
  <c r="H95" i="51"/>
  <c r="G95" i="51"/>
  <c r="F95" i="51"/>
  <c r="E95" i="51"/>
  <c r="D95" i="51"/>
  <c r="P94" i="51"/>
  <c r="N94" i="51"/>
  <c r="M94" i="51"/>
  <c r="L94" i="51"/>
  <c r="K94" i="51"/>
  <c r="J94" i="51"/>
  <c r="I94" i="51"/>
  <c r="H94" i="51"/>
  <c r="G94" i="51"/>
  <c r="F94" i="51"/>
  <c r="E94" i="51"/>
  <c r="D94" i="51"/>
  <c r="P93" i="51"/>
  <c r="N93" i="51"/>
  <c r="M93" i="51"/>
  <c r="L93" i="51"/>
  <c r="K93" i="51"/>
  <c r="J93" i="51"/>
  <c r="I93" i="51"/>
  <c r="H93" i="51"/>
  <c r="G93" i="51"/>
  <c r="F93" i="51"/>
  <c r="E93" i="51"/>
  <c r="D93" i="51"/>
  <c r="P92" i="51"/>
  <c r="N92" i="51"/>
  <c r="M92" i="51"/>
  <c r="L92" i="51"/>
  <c r="K92" i="51"/>
  <c r="J92" i="51"/>
  <c r="I92" i="51"/>
  <c r="H92" i="51"/>
  <c r="G92" i="51"/>
  <c r="F92" i="51"/>
  <c r="E92" i="51"/>
  <c r="D92" i="51"/>
  <c r="P91" i="51"/>
  <c r="N91" i="51"/>
  <c r="M91" i="51"/>
  <c r="L91" i="51"/>
  <c r="K91" i="51"/>
  <c r="J91" i="51"/>
  <c r="I91" i="51"/>
  <c r="H91" i="51"/>
  <c r="G91" i="51"/>
  <c r="F91" i="51"/>
  <c r="E91" i="51"/>
  <c r="D91" i="51"/>
  <c r="P90" i="51"/>
  <c r="N90" i="51"/>
  <c r="M90" i="51"/>
  <c r="L90" i="51"/>
  <c r="K90" i="51"/>
  <c r="J90" i="51"/>
  <c r="I90" i="51"/>
  <c r="H90" i="51"/>
  <c r="G90" i="51"/>
  <c r="F90" i="51"/>
  <c r="E90" i="51"/>
  <c r="D90" i="51"/>
  <c r="P89" i="51"/>
  <c r="N89" i="51"/>
  <c r="M89" i="51"/>
  <c r="L89" i="51"/>
  <c r="K89" i="51"/>
  <c r="J89" i="51"/>
  <c r="I89" i="51"/>
  <c r="H89" i="51"/>
  <c r="G89" i="51"/>
  <c r="F89" i="51"/>
  <c r="E89" i="51"/>
  <c r="D89" i="51"/>
  <c r="P88" i="51"/>
  <c r="N88" i="51"/>
  <c r="M88" i="51"/>
  <c r="L88" i="51"/>
  <c r="K88" i="51"/>
  <c r="J88" i="51"/>
  <c r="I88" i="51"/>
  <c r="H88" i="51"/>
  <c r="G88" i="51"/>
  <c r="F88" i="51"/>
  <c r="E88" i="51"/>
  <c r="D88" i="51"/>
  <c r="P87" i="51"/>
  <c r="N87" i="51"/>
  <c r="M87" i="51"/>
  <c r="L87" i="51"/>
  <c r="K87" i="51"/>
  <c r="J87" i="51"/>
  <c r="I87" i="51"/>
  <c r="H87" i="51"/>
  <c r="G87" i="51"/>
  <c r="F87" i="51"/>
  <c r="E87" i="51"/>
  <c r="D87" i="51"/>
  <c r="P86" i="51"/>
  <c r="N86" i="51"/>
  <c r="M86" i="51"/>
  <c r="L86" i="51"/>
  <c r="K86" i="51"/>
  <c r="J86" i="51"/>
  <c r="I86" i="51"/>
  <c r="H86" i="51"/>
  <c r="G86" i="51"/>
  <c r="F86" i="51"/>
  <c r="E86" i="51"/>
  <c r="D86" i="51"/>
  <c r="P85" i="51"/>
  <c r="N85" i="51"/>
  <c r="M85" i="51"/>
  <c r="L85" i="51"/>
  <c r="K85" i="51"/>
  <c r="J85" i="51"/>
  <c r="I85" i="51"/>
  <c r="H85" i="51"/>
  <c r="G85" i="51"/>
  <c r="F85" i="51"/>
  <c r="E85" i="51"/>
  <c r="D85" i="51"/>
  <c r="P84" i="51"/>
  <c r="N84" i="51"/>
  <c r="M84" i="51"/>
  <c r="L84" i="51"/>
  <c r="K84" i="51"/>
  <c r="J84" i="51"/>
  <c r="I84" i="51"/>
  <c r="H84" i="51"/>
  <c r="G84" i="51"/>
  <c r="F84" i="51"/>
  <c r="E84" i="51"/>
  <c r="D84" i="51"/>
  <c r="P83" i="51"/>
  <c r="N83" i="51"/>
  <c r="M83" i="51"/>
  <c r="L83" i="51"/>
  <c r="K83" i="51"/>
  <c r="J83" i="51"/>
  <c r="I83" i="51"/>
  <c r="H83" i="51"/>
  <c r="G83" i="51"/>
  <c r="F83" i="51"/>
  <c r="E83" i="51"/>
  <c r="D83" i="51"/>
  <c r="P82" i="51"/>
  <c r="N82" i="51"/>
  <c r="M82" i="51"/>
  <c r="L82" i="51"/>
  <c r="K82" i="51"/>
  <c r="J82" i="51"/>
  <c r="I82" i="51"/>
  <c r="H82" i="51"/>
  <c r="G82" i="51"/>
  <c r="F82" i="51"/>
  <c r="E82" i="51"/>
  <c r="D82" i="51"/>
  <c r="P81" i="51"/>
  <c r="N81" i="51"/>
  <c r="M81" i="51"/>
  <c r="L81" i="51"/>
  <c r="K81" i="51"/>
  <c r="J81" i="51"/>
  <c r="I81" i="51"/>
  <c r="H81" i="51"/>
  <c r="G81" i="51"/>
  <c r="F81" i="51"/>
  <c r="E81" i="51"/>
  <c r="D81" i="51"/>
  <c r="P80" i="51"/>
  <c r="N80" i="51"/>
  <c r="M80" i="51"/>
  <c r="L80" i="51"/>
  <c r="K80" i="51"/>
  <c r="J80" i="51"/>
  <c r="I80" i="51"/>
  <c r="H80" i="51"/>
  <c r="G80" i="51"/>
  <c r="F80" i="51"/>
  <c r="E80" i="51"/>
  <c r="D80" i="51"/>
  <c r="P79" i="51"/>
  <c r="N79" i="51"/>
  <c r="M79" i="51"/>
  <c r="L79" i="51"/>
  <c r="K79" i="51"/>
  <c r="J79" i="51"/>
  <c r="I79" i="51"/>
  <c r="H79" i="51"/>
  <c r="G79" i="51"/>
  <c r="F79" i="51"/>
  <c r="E79" i="51"/>
  <c r="D79" i="51"/>
  <c r="P78" i="51"/>
  <c r="N78" i="51"/>
  <c r="M78" i="51"/>
  <c r="L78" i="51"/>
  <c r="K78" i="51"/>
  <c r="J78" i="51"/>
  <c r="I78" i="51"/>
  <c r="H78" i="51"/>
  <c r="G78" i="51"/>
  <c r="F78" i="51"/>
  <c r="E78" i="51"/>
  <c r="D78" i="51"/>
  <c r="P77" i="51"/>
  <c r="N77" i="51"/>
  <c r="M77" i="51"/>
  <c r="L77" i="51"/>
  <c r="K77" i="51"/>
  <c r="J77" i="51"/>
  <c r="I77" i="51"/>
  <c r="H77" i="51"/>
  <c r="G77" i="51"/>
  <c r="F77" i="51"/>
  <c r="E77" i="51"/>
  <c r="D77" i="51"/>
  <c r="P76" i="51"/>
  <c r="N76" i="51"/>
  <c r="M76" i="51"/>
  <c r="L76" i="51"/>
  <c r="K76" i="51"/>
  <c r="J76" i="51"/>
  <c r="I76" i="51"/>
  <c r="H76" i="51"/>
  <c r="G76" i="51"/>
  <c r="F76" i="51"/>
  <c r="E76" i="51"/>
  <c r="D76" i="51"/>
  <c r="P75" i="51"/>
  <c r="N75" i="51"/>
  <c r="M75" i="51"/>
  <c r="L75" i="51"/>
  <c r="K75" i="51"/>
  <c r="J75" i="51"/>
  <c r="I75" i="51"/>
  <c r="H75" i="51"/>
  <c r="G75" i="51"/>
  <c r="F75" i="51"/>
  <c r="E75" i="51"/>
  <c r="D75" i="51"/>
  <c r="P74" i="51"/>
  <c r="N74" i="51"/>
  <c r="M74" i="51"/>
  <c r="L74" i="51"/>
  <c r="K74" i="51"/>
  <c r="J74" i="51"/>
  <c r="I74" i="51"/>
  <c r="H74" i="51"/>
  <c r="G74" i="51"/>
  <c r="F74" i="51"/>
  <c r="E74" i="51"/>
  <c r="D74" i="51"/>
  <c r="P73" i="51"/>
  <c r="N73" i="51"/>
  <c r="M73" i="51"/>
  <c r="L73" i="51"/>
  <c r="K73" i="51"/>
  <c r="J73" i="51"/>
  <c r="I73" i="51"/>
  <c r="H73" i="51"/>
  <c r="G73" i="51"/>
  <c r="F73" i="51"/>
  <c r="E73" i="51"/>
  <c r="D73" i="51"/>
  <c r="P72" i="51"/>
  <c r="N72" i="51"/>
  <c r="M72" i="51"/>
  <c r="L72" i="51"/>
  <c r="K72" i="51"/>
  <c r="J72" i="51"/>
  <c r="I72" i="51"/>
  <c r="H72" i="51"/>
  <c r="G72" i="51"/>
  <c r="F72" i="51"/>
  <c r="E72" i="51"/>
  <c r="D72" i="51"/>
  <c r="P71" i="51"/>
  <c r="N71" i="51"/>
  <c r="M71" i="51"/>
  <c r="L71" i="51"/>
  <c r="K71" i="51"/>
  <c r="J71" i="51"/>
  <c r="I71" i="51"/>
  <c r="H71" i="51"/>
  <c r="G71" i="51"/>
  <c r="F71" i="51"/>
  <c r="E71" i="51"/>
  <c r="D71" i="51"/>
  <c r="P70" i="51"/>
  <c r="N70" i="51"/>
  <c r="M70" i="51"/>
  <c r="L70" i="51"/>
  <c r="K70" i="51"/>
  <c r="J70" i="51"/>
  <c r="I70" i="51"/>
  <c r="H70" i="51"/>
  <c r="G70" i="51"/>
  <c r="F70" i="51"/>
  <c r="E70" i="51"/>
  <c r="D70" i="51"/>
  <c r="P69" i="51"/>
  <c r="N69" i="51"/>
  <c r="M69" i="51"/>
  <c r="L69" i="51"/>
  <c r="K69" i="51"/>
  <c r="J69" i="51"/>
  <c r="I69" i="51"/>
  <c r="H69" i="51"/>
  <c r="G69" i="51"/>
  <c r="F69" i="51"/>
  <c r="E69" i="51"/>
  <c r="D69" i="51"/>
  <c r="P68" i="51"/>
  <c r="N68" i="51"/>
  <c r="M68" i="51"/>
  <c r="L68" i="51"/>
  <c r="K68" i="51"/>
  <c r="J68" i="51"/>
  <c r="I68" i="51"/>
  <c r="H68" i="51"/>
  <c r="G68" i="51"/>
  <c r="F68" i="51"/>
  <c r="E68" i="51"/>
  <c r="D68" i="51"/>
  <c r="P67" i="51"/>
  <c r="N67" i="51"/>
  <c r="M67" i="51"/>
  <c r="L67" i="51"/>
  <c r="K67" i="51"/>
  <c r="J67" i="51"/>
  <c r="I67" i="51"/>
  <c r="H67" i="51"/>
  <c r="G67" i="51"/>
  <c r="F67" i="51"/>
  <c r="E67" i="51"/>
  <c r="D67" i="51"/>
  <c r="P66" i="51"/>
  <c r="N66" i="51"/>
  <c r="M66" i="51"/>
  <c r="L66" i="51"/>
  <c r="K66" i="51"/>
  <c r="J66" i="51"/>
  <c r="I66" i="51"/>
  <c r="H66" i="51"/>
  <c r="G66" i="51"/>
  <c r="F66" i="51"/>
  <c r="E66" i="51"/>
  <c r="D66" i="51"/>
  <c r="P65" i="51"/>
  <c r="N65" i="51"/>
  <c r="M65" i="51"/>
  <c r="L65" i="51"/>
  <c r="K65" i="51"/>
  <c r="J65" i="51"/>
  <c r="I65" i="51"/>
  <c r="H65" i="51"/>
  <c r="G65" i="51"/>
  <c r="F65" i="51"/>
  <c r="E65" i="51"/>
  <c r="D65" i="51"/>
  <c r="P64" i="51"/>
  <c r="N64" i="51"/>
  <c r="M64" i="51"/>
  <c r="L64" i="51"/>
  <c r="K64" i="51"/>
  <c r="J64" i="51"/>
  <c r="I64" i="51"/>
  <c r="H64" i="51"/>
  <c r="G64" i="51"/>
  <c r="F64" i="51"/>
  <c r="E64" i="51"/>
  <c r="D64" i="51"/>
  <c r="P63" i="51"/>
  <c r="N63" i="51"/>
  <c r="M63" i="51"/>
  <c r="L63" i="51"/>
  <c r="K63" i="51"/>
  <c r="J63" i="51"/>
  <c r="I63" i="51"/>
  <c r="H63" i="51"/>
  <c r="G63" i="51"/>
  <c r="F63" i="51"/>
  <c r="E63" i="51"/>
  <c r="D63" i="51"/>
  <c r="P62" i="51"/>
  <c r="N62" i="51"/>
  <c r="M62" i="51"/>
  <c r="L62" i="51"/>
  <c r="K62" i="51"/>
  <c r="J62" i="51"/>
  <c r="I62" i="51"/>
  <c r="H62" i="51"/>
  <c r="G62" i="51"/>
  <c r="F62" i="51"/>
  <c r="E62" i="51"/>
  <c r="D62" i="51"/>
  <c r="P61" i="51"/>
  <c r="N61" i="51"/>
  <c r="M61" i="51"/>
  <c r="L61" i="51"/>
  <c r="K61" i="51"/>
  <c r="J61" i="51"/>
  <c r="I61" i="51"/>
  <c r="H61" i="51"/>
  <c r="G61" i="51"/>
  <c r="F61" i="51"/>
  <c r="E61" i="51"/>
  <c r="D61" i="51"/>
  <c r="P60" i="51"/>
  <c r="N60" i="51"/>
  <c r="M60" i="51"/>
  <c r="L60" i="51"/>
  <c r="K60" i="51"/>
  <c r="J60" i="51"/>
  <c r="I60" i="51"/>
  <c r="H60" i="51"/>
  <c r="G60" i="51"/>
  <c r="F60" i="51"/>
  <c r="E60" i="51"/>
  <c r="D60" i="51"/>
  <c r="P59" i="51"/>
  <c r="N59" i="51"/>
  <c r="M59" i="51"/>
  <c r="L59" i="51"/>
  <c r="K59" i="51"/>
  <c r="J59" i="51"/>
  <c r="I59" i="51"/>
  <c r="H59" i="51"/>
  <c r="G59" i="51"/>
  <c r="F59" i="51"/>
  <c r="E59" i="51"/>
  <c r="D59" i="51"/>
  <c r="P58" i="51"/>
  <c r="N58" i="51"/>
  <c r="M58" i="51"/>
  <c r="L58" i="51"/>
  <c r="K58" i="51"/>
  <c r="J58" i="51"/>
  <c r="I58" i="51"/>
  <c r="H58" i="51"/>
  <c r="G58" i="51"/>
  <c r="F58" i="51"/>
  <c r="E58" i="51"/>
  <c r="D58" i="51"/>
  <c r="P57" i="51"/>
  <c r="N57" i="51"/>
  <c r="M57" i="51"/>
  <c r="L57" i="51"/>
  <c r="K57" i="51"/>
  <c r="J57" i="51"/>
  <c r="I57" i="51"/>
  <c r="H57" i="51"/>
  <c r="G57" i="51"/>
  <c r="F57" i="51"/>
  <c r="E57" i="51"/>
  <c r="D57" i="51"/>
  <c r="P56" i="51"/>
  <c r="N56" i="51"/>
  <c r="M56" i="51"/>
  <c r="L56" i="51"/>
  <c r="K56" i="51"/>
  <c r="J56" i="51"/>
  <c r="I56" i="51"/>
  <c r="H56" i="51"/>
  <c r="G56" i="51"/>
  <c r="F56" i="51"/>
  <c r="E56" i="51"/>
  <c r="D56" i="51"/>
  <c r="P55" i="51"/>
  <c r="N55" i="51"/>
  <c r="M55" i="51"/>
  <c r="L55" i="51"/>
  <c r="K55" i="51"/>
  <c r="J55" i="51"/>
  <c r="I55" i="51"/>
  <c r="H55" i="51"/>
  <c r="G55" i="51"/>
  <c r="F55" i="51"/>
  <c r="E55" i="51"/>
  <c r="D55" i="51"/>
  <c r="P54" i="51"/>
  <c r="N54" i="51"/>
  <c r="M54" i="51"/>
  <c r="L54" i="51"/>
  <c r="K54" i="51"/>
  <c r="J54" i="51"/>
  <c r="I54" i="51"/>
  <c r="H54" i="51"/>
  <c r="G54" i="51"/>
  <c r="F54" i="51"/>
  <c r="E54" i="51"/>
  <c r="D54" i="51"/>
  <c r="P53" i="51"/>
  <c r="N53" i="51"/>
  <c r="M53" i="51"/>
  <c r="L53" i="51"/>
  <c r="K53" i="51"/>
  <c r="J53" i="51"/>
  <c r="I53" i="51"/>
  <c r="H53" i="51"/>
  <c r="G53" i="51"/>
  <c r="F53" i="51"/>
  <c r="E53" i="51"/>
  <c r="D53" i="51"/>
  <c r="P52" i="51"/>
  <c r="N52" i="51"/>
  <c r="M52" i="51"/>
  <c r="L52" i="51"/>
  <c r="K52" i="51"/>
  <c r="J52" i="51"/>
  <c r="I52" i="51"/>
  <c r="H52" i="51"/>
  <c r="G52" i="51"/>
  <c r="F52" i="51"/>
  <c r="E52" i="51"/>
  <c r="D52" i="51"/>
  <c r="P51" i="51"/>
  <c r="N51" i="51"/>
  <c r="M51" i="51"/>
  <c r="L51" i="51"/>
  <c r="K51" i="51"/>
  <c r="J51" i="51"/>
  <c r="I51" i="51"/>
  <c r="H51" i="51"/>
  <c r="G51" i="51"/>
  <c r="F51" i="51"/>
  <c r="E51" i="51"/>
  <c r="D51" i="51"/>
  <c r="P50" i="51"/>
  <c r="N50" i="51"/>
  <c r="M50" i="51"/>
  <c r="L50" i="51"/>
  <c r="K50" i="51"/>
  <c r="J50" i="51"/>
  <c r="I50" i="51"/>
  <c r="H50" i="51"/>
  <c r="G50" i="51"/>
  <c r="F50" i="51"/>
  <c r="E50" i="51"/>
  <c r="D50" i="51"/>
  <c r="P49" i="51"/>
  <c r="N49" i="51"/>
  <c r="M49" i="51"/>
  <c r="L49" i="51"/>
  <c r="K49" i="51"/>
  <c r="J49" i="51"/>
  <c r="I49" i="51"/>
  <c r="H49" i="51"/>
  <c r="G49" i="51"/>
  <c r="F49" i="51"/>
  <c r="E49" i="51"/>
  <c r="D49" i="51"/>
  <c r="P48" i="51"/>
  <c r="N48" i="51"/>
  <c r="M48" i="51"/>
  <c r="L48" i="51"/>
  <c r="K48" i="51"/>
  <c r="J48" i="51"/>
  <c r="I48" i="51"/>
  <c r="H48" i="51"/>
  <c r="G48" i="51"/>
  <c r="F48" i="51"/>
  <c r="E48" i="51"/>
  <c r="D48" i="51"/>
  <c r="P47" i="51"/>
  <c r="N47" i="51"/>
  <c r="M47" i="51"/>
  <c r="L47" i="51"/>
  <c r="K47" i="51"/>
  <c r="J47" i="51"/>
  <c r="I47" i="51"/>
  <c r="H47" i="51"/>
  <c r="G47" i="51"/>
  <c r="F47" i="51"/>
  <c r="E47" i="51"/>
  <c r="D47" i="51"/>
  <c r="P46" i="51"/>
  <c r="N46" i="51"/>
  <c r="M46" i="51"/>
  <c r="L46" i="51"/>
  <c r="K46" i="51"/>
  <c r="J46" i="51"/>
  <c r="I46" i="51"/>
  <c r="H46" i="51"/>
  <c r="G46" i="51"/>
  <c r="F46" i="51"/>
  <c r="E46" i="51"/>
  <c r="D46" i="51"/>
  <c r="P45" i="51"/>
  <c r="N45" i="51"/>
  <c r="M45" i="51"/>
  <c r="L45" i="51"/>
  <c r="K45" i="51"/>
  <c r="J45" i="51"/>
  <c r="I45" i="51"/>
  <c r="H45" i="51"/>
  <c r="G45" i="51"/>
  <c r="F45" i="51"/>
  <c r="E45" i="51"/>
  <c r="D45" i="51"/>
  <c r="P44" i="51"/>
  <c r="N44" i="51"/>
  <c r="M44" i="51"/>
  <c r="L44" i="51"/>
  <c r="K44" i="51"/>
  <c r="J44" i="51"/>
  <c r="I44" i="51"/>
  <c r="H44" i="51"/>
  <c r="G44" i="51"/>
  <c r="F44" i="51"/>
  <c r="E44" i="51"/>
  <c r="D44" i="51"/>
  <c r="P43" i="51"/>
  <c r="N43" i="51"/>
  <c r="M43" i="51"/>
  <c r="L43" i="51"/>
  <c r="K43" i="51"/>
  <c r="J43" i="51"/>
  <c r="I43" i="51"/>
  <c r="H43" i="51"/>
  <c r="G43" i="51"/>
  <c r="F43" i="51"/>
  <c r="E43" i="51"/>
  <c r="D43" i="51"/>
  <c r="P42" i="51"/>
  <c r="N42" i="51"/>
  <c r="M42" i="51"/>
  <c r="L42" i="51"/>
  <c r="K42" i="51"/>
  <c r="J42" i="51"/>
  <c r="I42" i="51"/>
  <c r="H42" i="51"/>
  <c r="G42" i="51"/>
  <c r="F42" i="51"/>
  <c r="E42" i="51"/>
  <c r="D42" i="51"/>
  <c r="P41" i="51"/>
  <c r="N41" i="51"/>
  <c r="M41" i="51"/>
  <c r="L41" i="51"/>
  <c r="K41" i="51"/>
  <c r="J41" i="51"/>
  <c r="I41" i="51"/>
  <c r="H41" i="51"/>
  <c r="G41" i="51"/>
  <c r="F41" i="51"/>
  <c r="E41" i="51"/>
  <c r="D41" i="51"/>
  <c r="P40" i="51"/>
  <c r="N40" i="51"/>
  <c r="M40" i="51"/>
  <c r="L40" i="51"/>
  <c r="K40" i="51"/>
  <c r="J40" i="51"/>
  <c r="I40" i="51"/>
  <c r="H40" i="51"/>
  <c r="G40" i="51"/>
  <c r="F40" i="51"/>
  <c r="E40" i="51"/>
  <c r="D40" i="51"/>
  <c r="P39" i="51"/>
  <c r="N39" i="51"/>
  <c r="M39" i="51"/>
  <c r="L39" i="51"/>
  <c r="K39" i="51"/>
  <c r="J39" i="51"/>
  <c r="I39" i="51"/>
  <c r="H39" i="51"/>
  <c r="G39" i="51"/>
  <c r="F39" i="51"/>
  <c r="E39" i="51"/>
  <c r="D39" i="51"/>
  <c r="P38" i="51"/>
  <c r="N38" i="51"/>
  <c r="M38" i="51"/>
  <c r="L38" i="51"/>
  <c r="K38" i="51"/>
  <c r="J38" i="51"/>
  <c r="I38" i="51"/>
  <c r="H38" i="51"/>
  <c r="G38" i="51"/>
  <c r="F38" i="51"/>
  <c r="E38" i="51"/>
  <c r="D38" i="51"/>
  <c r="P37" i="51"/>
  <c r="N37" i="51"/>
  <c r="M37" i="51"/>
  <c r="L37" i="51"/>
  <c r="K37" i="51"/>
  <c r="J37" i="51"/>
  <c r="I37" i="51"/>
  <c r="H37" i="51"/>
  <c r="G37" i="51"/>
  <c r="F37" i="51"/>
  <c r="E37" i="51"/>
  <c r="D37" i="51"/>
  <c r="P36" i="51"/>
  <c r="N36" i="51"/>
  <c r="M36" i="51"/>
  <c r="L36" i="51"/>
  <c r="K36" i="51"/>
  <c r="J36" i="51"/>
  <c r="I36" i="51"/>
  <c r="H36" i="51"/>
  <c r="G36" i="51"/>
  <c r="F36" i="51"/>
  <c r="E36" i="51"/>
  <c r="D36" i="51"/>
  <c r="P35" i="51"/>
  <c r="N35" i="51"/>
  <c r="M35" i="51"/>
  <c r="L35" i="51"/>
  <c r="K35" i="51"/>
  <c r="J35" i="51"/>
  <c r="I35" i="51"/>
  <c r="H35" i="51"/>
  <c r="G35" i="51"/>
  <c r="F35" i="51"/>
  <c r="E35" i="51"/>
  <c r="D35" i="51"/>
  <c r="P34" i="51"/>
  <c r="N34" i="51"/>
  <c r="M34" i="51"/>
  <c r="L34" i="51"/>
  <c r="K34" i="51"/>
  <c r="J34" i="51"/>
  <c r="I34" i="51"/>
  <c r="H34" i="51"/>
  <c r="G34" i="51"/>
  <c r="F34" i="51"/>
  <c r="E34" i="51"/>
  <c r="D34" i="51"/>
  <c r="P33" i="51"/>
  <c r="N33" i="51"/>
  <c r="M33" i="51"/>
  <c r="L33" i="51"/>
  <c r="K33" i="51"/>
  <c r="J33" i="51"/>
  <c r="I33" i="51"/>
  <c r="H33" i="51"/>
  <c r="G33" i="51"/>
  <c r="F33" i="51"/>
  <c r="E33" i="51"/>
  <c r="D33" i="51"/>
  <c r="P32" i="51"/>
  <c r="N32" i="51"/>
  <c r="M32" i="51"/>
  <c r="L32" i="51"/>
  <c r="K32" i="51"/>
  <c r="J32" i="51"/>
  <c r="I32" i="51"/>
  <c r="H32" i="51"/>
  <c r="G32" i="51"/>
  <c r="F32" i="51"/>
  <c r="E32" i="51"/>
  <c r="D32" i="51"/>
  <c r="P31" i="51"/>
  <c r="N31" i="51"/>
  <c r="M31" i="51"/>
  <c r="L31" i="51"/>
  <c r="K31" i="51"/>
  <c r="J31" i="51"/>
  <c r="I31" i="51"/>
  <c r="H31" i="51"/>
  <c r="G31" i="51"/>
  <c r="F31" i="51"/>
  <c r="E31" i="51"/>
  <c r="D31" i="51"/>
  <c r="P30" i="51"/>
  <c r="N30" i="51"/>
  <c r="M30" i="51"/>
  <c r="L30" i="51"/>
  <c r="K30" i="51"/>
  <c r="J30" i="51"/>
  <c r="I30" i="51"/>
  <c r="H30" i="51"/>
  <c r="G30" i="51"/>
  <c r="F30" i="51"/>
  <c r="E30" i="51"/>
  <c r="D30" i="51"/>
  <c r="P29" i="51"/>
  <c r="N29" i="51"/>
  <c r="M29" i="51"/>
  <c r="L29" i="51"/>
  <c r="K29" i="51"/>
  <c r="J29" i="51"/>
  <c r="I29" i="51"/>
  <c r="H29" i="51"/>
  <c r="G29" i="51"/>
  <c r="F29" i="51"/>
  <c r="E29" i="51"/>
  <c r="D29" i="51"/>
  <c r="P28" i="51"/>
  <c r="N28" i="51"/>
  <c r="M28" i="51"/>
  <c r="L28" i="51"/>
  <c r="K28" i="51"/>
  <c r="J28" i="51"/>
  <c r="I28" i="51"/>
  <c r="H28" i="51"/>
  <c r="G28" i="51"/>
  <c r="F28" i="51"/>
  <c r="E28" i="51"/>
  <c r="D28" i="51"/>
  <c r="P27" i="51"/>
  <c r="N27" i="51"/>
  <c r="M27" i="51"/>
  <c r="L27" i="51"/>
  <c r="K27" i="51"/>
  <c r="J27" i="51"/>
  <c r="I27" i="51"/>
  <c r="H27" i="51"/>
  <c r="G27" i="51"/>
  <c r="F27" i="51"/>
  <c r="E27" i="51"/>
  <c r="D27" i="51"/>
  <c r="P26" i="51"/>
  <c r="N26" i="51"/>
  <c r="M26" i="51"/>
  <c r="L26" i="51"/>
  <c r="K26" i="51"/>
  <c r="J26" i="51"/>
  <c r="I26" i="51"/>
  <c r="H26" i="51"/>
  <c r="G26" i="51"/>
  <c r="F26" i="51"/>
  <c r="E26" i="51"/>
  <c r="D26" i="51"/>
  <c r="P25" i="51"/>
  <c r="N25" i="51"/>
  <c r="M25" i="51"/>
  <c r="L25" i="51"/>
  <c r="K25" i="51"/>
  <c r="J25" i="51"/>
  <c r="I25" i="51"/>
  <c r="H25" i="51"/>
  <c r="G25" i="51"/>
  <c r="F25" i="51"/>
  <c r="E25" i="51"/>
  <c r="D25" i="51"/>
  <c r="P24" i="51"/>
  <c r="N24" i="51"/>
  <c r="M24" i="51"/>
  <c r="L24" i="51"/>
  <c r="K24" i="51"/>
  <c r="J24" i="51"/>
  <c r="I24" i="51"/>
  <c r="H24" i="51"/>
  <c r="G24" i="51"/>
  <c r="F24" i="51"/>
  <c r="E24" i="51"/>
  <c r="D24" i="51"/>
  <c r="P23" i="51"/>
  <c r="N23" i="51"/>
  <c r="M23" i="51"/>
  <c r="L23" i="51"/>
  <c r="K23" i="51"/>
  <c r="J23" i="51"/>
  <c r="I23" i="51"/>
  <c r="H23" i="51"/>
  <c r="G23" i="51"/>
  <c r="F23" i="51"/>
  <c r="E23" i="51"/>
  <c r="D23" i="51"/>
  <c r="P22" i="51"/>
  <c r="N22" i="51"/>
  <c r="M22" i="51"/>
  <c r="L22" i="51"/>
  <c r="K22" i="51"/>
  <c r="J22" i="51"/>
  <c r="I22" i="51"/>
  <c r="H22" i="51"/>
  <c r="G22" i="51"/>
  <c r="F22" i="51"/>
  <c r="E22" i="51"/>
  <c r="D22" i="51"/>
  <c r="N19" i="51"/>
  <c r="M19" i="51"/>
  <c r="L19" i="51"/>
  <c r="K19" i="51"/>
  <c r="J19" i="51"/>
  <c r="H19" i="51"/>
  <c r="G19" i="51"/>
  <c r="F19" i="51"/>
  <c r="E19" i="51"/>
  <c r="D19" i="51"/>
  <c r="O18" i="51"/>
  <c r="N18" i="51"/>
  <c r="M18" i="51"/>
  <c r="L18" i="51"/>
  <c r="K18" i="51"/>
  <c r="J18" i="51"/>
  <c r="I18" i="51"/>
  <c r="H18" i="51"/>
  <c r="G18" i="51"/>
  <c r="F18" i="51"/>
  <c r="E18" i="51"/>
  <c r="D18" i="51"/>
  <c r="P17" i="51"/>
  <c r="P16" i="51"/>
  <c r="P15" i="51"/>
  <c r="P14" i="51"/>
  <c r="N13" i="51"/>
  <c r="M13" i="51"/>
  <c r="L13" i="51"/>
  <c r="K13" i="51"/>
  <c r="J13" i="51"/>
  <c r="H13" i="51"/>
  <c r="G13" i="51"/>
  <c r="F13" i="51"/>
  <c r="E13" i="51"/>
  <c r="D13" i="51"/>
  <c r="N12" i="51"/>
  <c r="M12" i="51"/>
  <c r="L12" i="51"/>
  <c r="K12" i="51"/>
  <c r="J12" i="51"/>
  <c r="I12" i="51"/>
  <c r="H12" i="51"/>
  <c r="G12" i="51"/>
  <c r="F12" i="51"/>
  <c r="E12" i="51"/>
  <c r="D12" i="51"/>
  <c r="N11" i="51"/>
  <c r="M11" i="51"/>
  <c r="L11" i="51"/>
  <c r="K11" i="51"/>
  <c r="J11" i="51"/>
  <c r="I11" i="51"/>
  <c r="P11" i="51" s="1"/>
  <c r="H11" i="51"/>
  <c r="G11" i="51"/>
  <c r="F11" i="51"/>
  <c r="E11" i="51"/>
  <c r="D11" i="51"/>
  <c r="N10" i="51"/>
  <c r="M10" i="51"/>
  <c r="L10" i="51"/>
  <c r="K10" i="51"/>
  <c r="J10" i="51"/>
  <c r="I10" i="51"/>
  <c r="P10" i="51" s="1"/>
  <c r="H10" i="51"/>
  <c r="G10" i="51"/>
  <c r="F10" i="51"/>
  <c r="E10" i="51"/>
  <c r="D10" i="51"/>
  <c r="N9" i="51"/>
  <c r="M9" i="51"/>
  <c r="L9" i="51"/>
  <c r="K9" i="51"/>
  <c r="J9" i="51"/>
  <c r="I9" i="51"/>
  <c r="P9" i="51" s="1"/>
  <c r="H9" i="51"/>
  <c r="G9" i="51"/>
  <c r="F9" i="51"/>
  <c r="E9" i="51"/>
  <c r="D9" i="51"/>
  <c r="O8" i="51"/>
  <c r="O13" i="51" s="1"/>
  <c r="N8" i="51"/>
  <c r="M8" i="51"/>
  <c r="L8" i="51"/>
  <c r="K8" i="51"/>
  <c r="J8" i="51"/>
  <c r="H8" i="51"/>
  <c r="G8" i="51"/>
  <c r="F8" i="51"/>
  <c r="E8" i="51"/>
  <c r="D8" i="51"/>
  <c r="G141" i="50"/>
  <c r="N137" i="50"/>
  <c r="M137" i="50"/>
  <c r="L137" i="50"/>
  <c r="K137" i="50"/>
  <c r="J137" i="50"/>
  <c r="H137" i="50"/>
  <c r="G137" i="50"/>
  <c r="F137" i="50"/>
  <c r="E137" i="50"/>
  <c r="D137" i="50"/>
  <c r="N134" i="50"/>
  <c r="M134" i="50"/>
  <c r="L134" i="50"/>
  <c r="K134" i="50"/>
  <c r="J134" i="50"/>
  <c r="H134" i="50"/>
  <c r="G134" i="50"/>
  <c r="F134" i="50"/>
  <c r="E134" i="50"/>
  <c r="D134" i="50"/>
  <c r="O132" i="50"/>
  <c r="N132" i="50"/>
  <c r="M132" i="50"/>
  <c r="L132" i="50"/>
  <c r="K132" i="50"/>
  <c r="J132" i="50"/>
  <c r="I132" i="50"/>
  <c r="H132" i="50"/>
  <c r="G132" i="50"/>
  <c r="F132" i="50"/>
  <c r="E132" i="50"/>
  <c r="D132" i="50"/>
  <c r="P131" i="50"/>
  <c r="N131" i="50"/>
  <c r="M131" i="50"/>
  <c r="L131" i="50"/>
  <c r="K131" i="50"/>
  <c r="J131" i="50"/>
  <c r="I131" i="50"/>
  <c r="H131" i="50"/>
  <c r="G131" i="50"/>
  <c r="E131" i="50"/>
  <c r="D131" i="50"/>
  <c r="N130" i="50"/>
  <c r="M130" i="50"/>
  <c r="L130" i="50"/>
  <c r="P130" i="50" s="1"/>
  <c r="K130" i="50"/>
  <c r="J130" i="50"/>
  <c r="I130" i="50"/>
  <c r="H130" i="50"/>
  <c r="G130" i="50"/>
  <c r="E130" i="50"/>
  <c r="D130" i="50"/>
  <c r="P129" i="50"/>
  <c r="N129" i="50"/>
  <c r="M129" i="50"/>
  <c r="L129" i="50"/>
  <c r="K129" i="50"/>
  <c r="J129" i="50"/>
  <c r="I129" i="50"/>
  <c r="H129" i="50"/>
  <c r="G129" i="50"/>
  <c r="E129" i="50"/>
  <c r="D129" i="50"/>
  <c r="P128" i="50"/>
  <c r="N128" i="50"/>
  <c r="M128" i="50"/>
  <c r="L128" i="50"/>
  <c r="K128" i="50"/>
  <c r="J128" i="50"/>
  <c r="I128" i="50"/>
  <c r="H128" i="50"/>
  <c r="G128" i="50"/>
  <c r="E128" i="50"/>
  <c r="D128" i="50"/>
  <c r="P127" i="50"/>
  <c r="N127" i="50"/>
  <c r="M127" i="50"/>
  <c r="L127" i="50"/>
  <c r="K127" i="50"/>
  <c r="J127" i="50"/>
  <c r="I127" i="50"/>
  <c r="H127" i="50"/>
  <c r="G127" i="50"/>
  <c r="E127" i="50"/>
  <c r="D127" i="50"/>
  <c r="P126" i="50"/>
  <c r="N126" i="50"/>
  <c r="M126" i="50"/>
  <c r="L126" i="50"/>
  <c r="K126" i="50"/>
  <c r="J126" i="50"/>
  <c r="I126" i="50"/>
  <c r="H126" i="50"/>
  <c r="G126" i="50"/>
  <c r="E126" i="50"/>
  <c r="D126" i="50"/>
  <c r="P125" i="50"/>
  <c r="N125" i="50"/>
  <c r="M125" i="50"/>
  <c r="L125" i="50"/>
  <c r="K125" i="50"/>
  <c r="J125" i="50"/>
  <c r="I125" i="50"/>
  <c r="H125" i="50"/>
  <c r="G125" i="50"/>
  <c r="E125" i="50"/>
  <c r="D125" i="50"/>
  <c r="P124" i="50"/>
  <c r="N124" i="50"/>
  <c r="M124" i="50"/>
  <c r="L124" i="50"/>
  <c r="K124" i="50"/>
  <c r="J124" i="50"/>
  <c r="I124" i="50"/>
  <c r="H124" i="50"/>
  <c r="G124" i="50"/>
  <c r="E124" i="50"/>
  <c r="D124" i="50"/>
  <c r="P123" i="50"/>
  <c r="N123" i="50"/>
  <c r="M123" i="50"/>
  <c r="L123" i="50"/>
  <c r="K123" i="50"/>
  <c r="J123" i="50"/>
  <c r="I123" i="50"/>
  <c r="H123" i="50"/>
  <c r="G123" i="50"/>
  <c r="E123" i="50"/>
  <c r="D123" i="50"/>
  <c r="P122" i="50"/>
  <c r="N122" i="50"/>
  <c r="M122" i="50"/>
  <c r="L122" i="50"/>
  <c r="K122" i="50"/>
  <c r="J122" i="50"/>
  <c r="I122" i="50"/>
  <c r="H122" i="50"/>
  <c r="G122" i="50"/>
  <c r="E122" i="50"/>
  <c r="D122" i="50"/>
  <c r="P121" i="50"/>
  <c r="N121" i="50"/>
  <c r="M121" i="50"/>
  <c r="L121" i="50"/>
  <c r="K121" i="50"/>
  <c r="J121" i="50"/>
  <c r="I121" i="50"/>
  <c r="H121" i="50"/>
  <c r="G121" i="50"/>
  <c r="E121" i="50"/>
  <c r="D121" i="50"/>
  <c r="P120" i="50"/>
  <c r="N120" i="50"/>
  <c r="M120" i="50"/>
  <c r="L120" i="50"/>
  <c r="K120" i="50"/>
  <c r="J120" i="50"/>
  <c r="I120" i="50"/>
  <c r="H120" i="50"/>
  <c r="G120" i="50"/>
  <c r="E120" i="50"/>
  <c r="D120" i="50"/>
  <c r="P119" i="50"/>
  <c r="N119" i="50"/>
  <c r="M119" i="50"/>
  <c r="L119" i="50"/>
  <c r="K119" i="50"/>
  <c r="J119" i="50"/>
  <c r="I119" i="50"/>
  <c r="H119" i="50"/>
  <c r="G119" i="50"/>
  <c r="E119" i="50"/>
  <c r="D119" i="50"/>
  <c r="P118" i="50"/>
  <c r="N118" i="50"/>
  <c r="M118" i="50"/>
  <c r="L118" i="50"/>
  <c r="K118" i="50"/>
  <c r="J118" i="50"/>
  <c r="I118" i="50"/>
  <c r="H118" i="50"/>
  <c r="G118" i="50"/>
  <c r="E118" i="50"/>
  <c r="D118" i="50"/>
  <c r="P117" i="50"/>
  <c r="N117" i="50"/>
  <c r="M117" i="50"/>
  <c r="L117" i="50"/>
  <c r="K117" i="50"/>
  <c r="J117" i="50"/>
  <c r="I117" i="50"/>
  <c r="H117" i="50"/>
  <c r="G117" i="50"/>
  <c r="E117" i="50"/>
  <c r="D117" i="50"/>
  <c r="P116" i="50"/>
  <c r="N116" i="50"/>
  <c r="M116" i="50"/>
  <c r="L116" i="50"/>
  <c r="K116" i="50"/>
  <c r="J116" i="50"/>
  <c r="I116" i="50"/>
  <c r="H116" i="50"/>
  <c r="G116" i="50"/>
  <c r="E116" i="50"/>
  <c r="D116" i="50"/>
  <c r="P115" i="50"/>
  <c r="N115" i="50"/>
  <c r="M115" i="50"/>
  <c r="L115" i="50"/>
  <c r="K115" i="50"/>
  <c r="J115" i="50"/>
  <c r="I115" i="50"/>
  <c r="H115" i="50"/>
  <c r="G115" i="50"/>
  <c r="E115" i="50"/>
  <c r="D115" i="50"/>
  <c r="P114" i="50"/>
  <c r="N114" i="50"/>
  <c r="M114" i="50"/>
  <c r="L114" i="50"/>
  <c r="K114" i="50"/>
  <c r="J114" i="50"/>
  <c r="I114" i="50"/>
  <c r="H114" i="50"/>
  <c r="G114" i="50"/>
  <c r="E114" i="50"/>
  <c r="D114" i="50"/>
  <c r="P113" i="50"/>
  <c r="N113" i="50"/>
  <c r="M113" i="50"/>
  <c r="L113" i="50"/>
  <c r="K113" i="50"/>
  <c r="J113" i="50"/>
  <c r="I113" i="50"/>
  <c r="H113" i="50"/>
  <c r="G113" i="50"/>
  <c r="E113" i="50"/>
  <c r="D113" i="50"/>
  <c r="P112" i="50"/>
  <c r="N112" i="50"/>
  <c r="M112" i="50"/>
  <c r="L112" i="50"/>
  <c r="K112" i="50"/>
  <c r="J112" i="50"/>
  <c r="I112" i="50"/>
  <c r="H112" i="50"/>
  <c r="G112" i="50"/>
  <c r="E112" i="50"/>
  <c r="D112" i="50"/>
  <c r="P111" i="50"/>
  <c r="N111" i="50"/>
  <c r="M111" i="50"/>
  <c r="L111" i="50"/>
  <c r="K111" i="50"/>
  <c r="J111" i="50"/>
  <c r="I111" i="50"/>
  <c r="H111" i="50"/>
  <c r="G111" i="50"/>
  <c r="E111" i="50"/>
  <c r="D111" i="50"/>
  <c r="P110" i="50"/>
  <c r="N110" i="50"/>
  <c r="M110" i="50"/>
  <c r="L110" i="50"/>
  <c r="K110" i="50"/>
  <c r="J110" i="50"/>
  <c r="I110" i="50"/>
  <c r="H110" i="50"/>
  <c r="G110" i="50"/>
  <c r="E110" i="50"/>
  <c r="D110" i="50"/>
  <c r="P109" i="50"/>
  <c r="N109" i="50"/>
  <c r="M109" i="50"/>
  <c r="L109" i="50"/>
  <c r="K109" i="50"/>
  <c r="J109" i="50"/>
  <c r="I109" i="50"/>
  <c r="H109" i="50"/>
  <c r="G109" i="50"/>
  <c r="E109" i="50"/>
  <c r="D109" i="50"/>
  <c r="P108" i="50"/>
  <c r="N108" i="50"/>
  <c r="M108" i="50"/>
  <c r="L108" i="50"/>
  <c r="K108" i="50"/>
  <c r="J108" i="50"/>
  <c r="I108" i="50"/>
  <c r="H108" i="50"/>
  <c r="G108" i="50"/>
  <c r="E108" i="50"/>
  <c r="D108" i="50"/>
  <c r="P107" i="50"/>
  <c r="N107" i="50"/>
  <c r="M107" i="50"/>
  <c r="L107" i="50"/>
  <c r="K107" i="50"/>
  <c r="J107" i="50"/>
  <c r="I107" i="50"/>
  <c r="H107" i="50"/>
  <c r="G107" i="50"/>
  <c r="E107" i="50"/>
  <c r="D107" i="50"/>
  <c r="P106" i="50"/>
  <c r="N106" i="50"/>
  <c r="M106" i="50"/>
  <c r="L106" i="50"/>
  <c r="K106" i="50"/>
  <c r="J106" i="50"/>
  <c r="I106" i="50"/>
  <c r="H106" i="50"/>
  <c r="G106" i="50"/>
  <c r="E106" i="50"/>
  <c r="D106" i="50"/>
  <c r="P105" i="50"/>
  <c r="N105" i="50"/>
  <c r="M105" i="50"/>
  <c r="L105" i="50"/>
  <c r="K105" i="50"/>
  <c r="J105" i="50"/>
  <c r="I105" i="50"/>
  <c r="H105" i="50"/>
  <c r="G105" i="50"/>
  <c r="E105" i="50"/>
  <c r="D105" i="50"/>
  <c r="P104" i="50"/>
  <c r="N104" i="50"/>
  <c r="M104" i="50"/>
  <c r="L104" i="50"/>
  <c r="K104" i="50"/>
  <c r="J104" i="50"/>
  <c r="I104" i="50"/>
  <c r="H104" i="50"/>
  <c r="G104" i="50"/>
  <c r="E104" i="50"/>
  <c r="D104" i="50"/>
  <c r="P103" i="50"/>
  <c r="N103" i="50"/>
  <c r="M103" i="50"/>
  <c r="L103" i="50"/>
  <c r="K103" i="50"/>
  <c r="J103" i="50"/>
  <c r="I103" i="50"/>
  <c r="H103" i="50"/>
  <c r="G103" i="50"/>
  <c r="E103" i="50"/>
  <c r="D103" i="50"/>
  <c r="P102" i="50"/>
  <c r="N102" i="50"/>
  <c r="M102" i="50"/>
  <c r="L102" i="50"/>
  <c r="K102" i="50"/>
  <c r="J102" i="50"/>
  <c r="I102" i="50"/>
  <c r="H102" i="50"/>
  <c r="G102" i="50"/>
  <c r="E102" i="50"/>
  <c r="D102" i="50"/>
  <c r="P101" i="50"/>
  <c r="N101" i="50"/>
  <c r="M101" i="50"/>
  <c r="L101" i="50"/>
  <c r="K101" i="50"/>
  <c r="J101" i="50"/>
  <c r="I101" i="50"/>
  <c r="H101" i="50"/>
  <c r="G101" i="50"/>
  <c r="E101" i="50"/>
  <c r="D101" i="50"/>
  <c r="P100" i="50"/>
  <c r="N100" i="50"/>
  <c r="M100" i="50"/>
  <c r="L100" i="50"/>
  <c r="K100" i="50"/>
  <c r="J100" i="50"/>
  <c r="I100" i="50"/>
  <c r="H100" i="50"/>
  <c r="G100" i="50"/>
  <c r="E100" i="50"/>
  <c r="D100" i="50"/>
  <c r="P99" i="50"/>
  <c r="N99" i="50"/>
  <c r="M99" i="50"/>
  <c r="L99" i="50"/>
  <c r="K99" i="50"/>
  <c r="J99" i="50"/>
  <c r="I99" i="50"/>
  <c r="H99" i="50"/>
  <c r="G99" i="50"/>
  <c r="E99" i="50"/>
  <c r="D99" i="50"/>
  <c r="P98" i="50"/>
  <c r="N98" i="50"/>
  <c r="M98" i="50"/>
  <c r="L98" i="50"/>
  <c r="K98" i="50"/>
  <c r="J98" i="50"/>
  <c r="I98" i="50"/>
  <c r="H98" i="50"/>
  <c r="G98" i="50"/>
  <c r="E98" i="50"/>
  <c r="D98" i="50"/>
  <c r="P97" i="50"/>
  <c r="N97" i="50"/>
  <c r="M97" i="50"/>
  <c r="L97" i="50"/>
  <c r="K97" i="50"/>
  <c r="J97" i="50"/>
  <c r="I97" i="50"/>
  <c r="H97" i="50"/>
  <c r="G97" i="50"/>
  <c r="E97" i="50"/>
  <c r="D97" i="50"/>
  <c r="P96" i="50"/>
  <c r="N96" i="50"/>
  <c r="M96" i="50"/>
  <c r="L96" i="50"/>
  <c r="K96" i="50"/>
  <c r="J96" i="50"/>
  <c r="I96" i="50"/>
  <c r="H96" i="50"/>
  <c r="G96" i="50"/>
  <c r="E96" i="50"/>
  <c r="D96" i="50"/>
  <c r="P95" i="50"/>
  <c r="N95" i="50"/>
  <c r="M95" i="50"/>
  <c r="L95" i="50"/>
  <c r="K95" i="50"/>
  <c r="J95" i="50"/>
  <c r="I95" i="50"/>
  <c r="H95" i="50"/>
  <c r="G95" i="50"/>
  <c r="E95" i="50"/>
  <c r="D95" i="50"/>
  <c r="P94" i="50"/>
  <c r="N94" i="50"/>
  <c r="M94" i="50"/>
  <c r="L94" i="50"/>
  <c r="K94" i="50"/>
  <c r="J94" i="50"/>
  <c r="I94" i="50"/>
  <c r="H94" i="50"/>
  <c r="G94" i="50"/>
  <c r="E94" i="50"/>
  <c r="D94" i="50"/>
  <c r="P93" i="50"/>
  <c r="N93" i="50"/>
  <c r="M93" i="50"/>
  <c r="L93" i="50"/>
  <c r="K93" i="50"/>
  <c r="J93" i="50"/>
  <c r="I93" i="50"/>
  <c r="H93" i="50"/>
  <c r="G93" i="50"/>
  <c r="E93" i="50"/>
  <c r="D93" i="50"/>
  <c r="P92" i="50"/>
  <c r="N92" i="50"/>
  <c r="M92" i="50"/>
  <c r="L92" i="50"/>
  <c r="K92" i="50"/>
  <c r="J92" i="50"/>
  <c r="I92" i="50"/>
  <c r="H92" i="50"/>
  <c r="G92" i="50"/>
  <c r="E92" i="50"/>
  <c r="D92" i="50"/>
  <c r="P91" i="50"/>
  <c r="N91" i="50"/>
  <c r="M91" i="50"/>
  <c r="L91" i="50"/>
  <c r="K91" i="50"/>
  <c r="J91" i="50"/>
  <c r="I91" i="50"/>
  <c r="H91" i="50"/>
  <c r="G91" i="50"/>
  <c r="E91" i="50"/>
  <c r="D91" i="50"/>
  <c r="P90" i="50"/>
  <c r="N90" i="50"/>
  <c r="M90" i="50"/>
  <c r="L90" i="50"/>
  <c r="K90" i="50"/>
  <c r="J90" i="50"/>
  <c r="I90" i="50"/>
  <c r="H90" i="50"/>
  <c r="G90" i="50"/>
  <c r="E90" i="50"/>
  <c r="D90" i="50"/>
  <c r="P89" i="50"/>
  <c r="N89" i="50"/>
  <c r="M89" i="50"/>
  <c r="L89" i="50"/>
  <c r="K89" i="50"/>
  <c r="J89" i="50"/>
  <c r="I89" i="50"/>
  <c r="H89" i="50"/>
  <c r="G89" i="50"/>
  <c r="E89" i="50"/>
  <c r="D89" i="50"/>
  <c r="P88" i="50"/>
  <c r="N88" i="50"/>
  <c r="M88" i="50"/>
  <c r="L88" i="50"/>
  <c r="K88" i="50"/>
  <c r="J88" i="50"/>
  <c r="I88" i="50"/>
  <c r="H88" i="50"/>
  <c r="G88" i="50"/>
  <c r="E88" i="50"/>
  <c r="D88" i="50"/>
  <c r="P87" i="50"/>
  <c r="N87" i="50"/>
  <c r="M87" i="50"/>
  <c r="L87" i="50"/>
  <c r="K87" i="50"/>
  <c r="J87" i="50"/>
  <c r="I87" i="50"/>
  <c r="H87" i="50"/>
  <c r="G87" i="50"/>
  <c r="E87" i="50"/>
  <c r="D87" i="50"/>
  <c r="P86" i="50"/>
  <c r="N86" i="50"/>
  <c r="M86" i="50"/>
  <c r="L86" i="50"/>
  <c r="K86" i="50"/>
  <c r="J86" i="50"/>
  <c r="I86" i="50"/>
  <c r="H86" i="50"/>
  <c r="G86" i="50"/>
  <c r="E86" i="50"/>
  <c r="D86" i="50"/>
  <c r="P85" i="50"/>
  <c r="N85" i="50"/>
  <c r="M85" i="50"/>
  <c r="L85" i="50"/>
  <c r="K85" i="50"/>
  <c r="J85" i="50"/>
  <c r="I85" i="50"/>
  <c r="H85" i="50"/>
  <c r="G85" i="50"/>
  <c r="E85" i="50"/>
  <c r="D85" i="50"/>
  <c r="P84" i="50"/>
  <c r="N84" i="50"/>
  <c r="M84" i="50"/>
  <c r="L84" i="50"/>
  <c r="K84" i="50"/>
  <c r="J84" i="50"/>
  <c r="I84" i="50"/>
  <c r="H84" i="50"/>
  <c r="G84" i="50"/>
  <c r="E84" i="50"/>
  <c r="D84" i="50"/>
  <c r="P83" i="50"/>
  <c r="N83" i="50"/>
  <c r="M83" i="50"/>
  <c r="L83" i="50"/>
  <c r="K83" i="50"/>
  <c r="J83" i="50"/>
  <c r="I83" i="50"/>
  <c r="H83" i="50"/>
  <c r="G83" i="50"/>
  <c r="E83" i="50"/>
  <c r="D83" i="50"/>
  <c r="P82" i="50"/>
  <c r="N82" i="50"/>
  <c r="M82" i="50"/>
  <c r="L82" i="50"/>
  <c r="K82" i="50"/>
  <c r="J82" i="50"/>
  <c r="I82" i="50"/>
  <c r="H82" i="50"/>
  <c r="G82" i="50"/>
  <c r="E82" i="50"/>
  <c r="D82" i="50"/>
  <c r="P81" i="50"/>
  <c r="N81" i="50"/>
  <c r="M81" i="50"/>
  <c r="L81" i="50"/>
  <c r="K81" i="50"/>
  <c r="J81" i="50"/>
  <c r="I81" i="50"/>
  <c r="H81" i="50"/>
  <c r="G81" i="50"/>
  <c r="E81" i="50"/>
  <c r="D81" i="50"/>
  <c r="P80" i="50"/>
  <c r="N80" i="50"/>
  <c r="M80" i="50"/>
  <c r="L80" i="50"/>
  <c r="K80" i="50"/>
  <c r="J80" i="50"/>
  <c r="I80" i="50"/>
  <c r="H80" i="50"/>
  <c r="G80" i="50"/>
  <c r="E80" i="50"/>
  <c r="D80" i="50"/>
  <c r="P79" i="50"/>
  <c r="N79" i="50"/>
  <c r="M79" i="50"/>
  <c r="L79" i="50"/>
  <c r="K79" i="50"/>
  <c r="J79" i="50"/>
  <c r="I79" i="50"/>
  <c r="H79" i="50"/>
  <c r="G79" i="50"/>
  <c r="E79" i="50"/>
  <c r="D79" i="50"/>
  <c r="P78" i="50"/>
  <c r="N78" i="50"/>
  <c r="M78" i="50"/>
  <c r="L78" i="50"/>
  <c r="K78" i="50"/>
  <c r="J78" i="50"/>
  <c r="I78" i="50"/>
  <c r="H78" i="50"/>
  <c r="G78" i="50"/>
  <c r="E78" i="50"/>
  <c r="D78" i="50"/>
  <c r="P77" i="50"/>
  <c r="N77" i="50"/>
  <c r="M77" i="50"/>
  <c r="L77" i="50"/>
  <c r="K77" i="50"/>
  <c r="J77" i="50"/>
  <c r="I77" i="50"/>
  <c r="H77" i="50"/>
  <c r="G77" i="50"/>
  <c r="E77" i="50"/>
  <c r="D77" i="50"/>
  <c r="P76" i="50"/>
  <c r="N76" i="50"/>
  <c r="M76" i="50"/>
  <c r="L76" i="50"/>
  <c r="K76" i="50"/>
  <c r="J76" i="50"/>
  <c r="I76" i="50"/>
  <c r="H76" i="50"/>
  <c r="G76" i="50"/>
  <c r="E76" i="50"/>
  <c r="D76" i="50"/>
  <c r="P75" i="50"/>
  <c r="N75" i="50"/>
  <c r="M75" i="50"/>
  <c r="L75" i="50"/>
  <c r="K75" i="50"/>
  <c r="J75" i="50"/>
  <c r="I75" i="50"/>
  <c r="H75" i="50"/>
  <c r="G75" i="50"/>
  <c r="E75" i="50"/>
  <c r="D75" i="50"/>
  <c r="P74" i="50"/>
  <c r="N74" i="50"/>
  <c r="M74" i="50"/>
  <c r="L74" i="50"/>
  <c r="K74" i="50"/>
  <c r="J74" i="50"/>
  <c r="I74" i="50"/>
  <c r="H74" i="50"/>
  <c r="G74" i="50"/>
  <c r="E74" i="50"/>
  <c r="D74" i="50"/>
  <c r="P73" i="50"/>
  <c r="N73" i="50"/>
  <c r="M73" i="50"/>
  <c r="L73" i="50"/>
  <c r="K73" i="50"/>
  <c r="J73" i="50"/>
  <c r="I73" i="50"/>
  <c r="H73" i="50"/>
  <c r="G73" i="50"/>
  <c r="E73" i="50"/>
  <c r="D73" i="50"/>
  <c r="P72" i="50"/>
  <c r="N72" i="50"/>
  <c r="M72" i="50"/>
  <c r="L72" i="50"/>
  <c r="K72" i="50"/>
  <c r="J72" i="50"/>
  <c r="I72" i="50"/>
  <c r="H72" i="50"/>
  <c r="G72" i="50"/>
  <c r="E72" i="50"/>
  <c r="D72" i="50"/>
  <c r="P71" i="50"/>
  <c r="N71" i="50"/>
  <c r="M71" i="50"/>
  <c r="L71" i="50"/>
  <c r="K71" i="50"/>
  <c r="J71" i="50"/>
  <c r="I71" i="50"/>
  <c r="H71" i="50"/>
  <c r="G71" i="50"/>
  <c r="E71" i="50"/>
  <c r="D71" i="50"/>
  <c r="P70" i="50"/>
  <c r="N70" i="50"/>
  <c r="M70" i="50"/>
  <c r="L70" i="50"/>
  <c r="K70" i="50"/>
  <c r="J70" i="50"/>
  <c r="I70" i="50"/>
  <c r="H70" i="50"/>
  <c r="G70" i="50"/>
  <c r="E70" i="50"/>
  <c r="D70" i="50"/>
  <c r="P69" i="50"/>
  <c r="N69" i="50"/>
  <c r="M69" i="50"/>
  <c r="L69" i="50"/>
  <c r="K69" i="50"/>
  <c r="J69" i="50"/>
  <c r="I69" i="50"/>
  <c r="H69" i="50"/>
  <c r="G69" i="50"/>
  <c r="E69" i="50"/>
  <c r="D69" i="50"/>
  <c r="P68" i="50"/>
  <c r="N68" i="50"/>
  <c r="M68" i="50"/>
  <c r="L68" i="50"/>
  <c r="K68" i="50"/>
  <c r="J68" i="50"/>
  <c r="I68" i="50"/>
  <c r="H68" i="50"/>
  <c r="G68" i="50"/>
  <c r="E68" i="50"/>
  <c r="D68" i="50"/>
  <c r="P67" i="50"/>
  <c r="N67" i="50"/>
  <c r="M67" i="50"/>
  <c r="L67" i="50"/>
  <c r="K67" i="50"/>
  <c r="J67" i="50"/>
  <c r="I67" i="50"/>
  <c r="H67" i="50"/>
  <c r="G67" i="50"/>
  <c r="E67" i="50"/>
  <c r="D67" i="50"/>
  <c r="P66" i="50"/>
  <c r="N66" i="50"/>
  <c r="M66" i="50"/>
  <c r="L66" i="50"/>
  <c r="K66" i="50"/>
  <c r="J66" i="50"/>
  <c r="I66" i="50"/>
  <c r="H66" i="50"/>
  <c r="G66" i="50"/>
  <c r="E66" i="50"/>
  <c r="D66" i="50"/>
  <c r="P65" i="50"/>
  <c r="N65" i="50"/>
  <c r="M65" i="50"/>
  <c r="L65" i="50"/>
  <c r="K65" i="50"/>
  <c r="J65" i="50"/>
  <c r="I65" i="50"/>
  <c r="H65" i="50"/>
  <c r="G65" i="50"/>
  <c r="E65" i="50"/>
  <c r="D65" i="50"/>
  <c r="P64" i="50"/>
  <c r="N64" i="50"/>
  <c r="M64" i="50"/>
  <c r="L64" i="50"/>
  <c r="K64" i="50"/>
  <c r="J64" i="50"/>
  <c r="I64" i="50"/>
  <c r="H64" i="50"/>
  <c r="G64" i="50"/>
  <c r="E64" i="50"/>
  <c r="D64" i="50"/>
  <c r="P63" i="50"/>
  <c r="N63" i="50"/>
  <c r="M63" i="50"/>
  <c r="L63" i="50"/>
  <c r="K63" i="50"/>
  <c r="J63" i="50"/>
  <c r="I63" i="50"/>
  <c r="H63" i="50"/>
  <c r="G63" i="50"/>
  <c r="E63" i="50"/>
  <c r="D63" i="50"/>
  <c r="P62" i="50"/>
  <c r="N62" i="50"/>
  <c r="M62" i="50"/>
  <c r="L62" i="50"/>
  <c r="K62" i="50"/>
  <c r="J62" i="50"/>
  <c r="I62" i="50"/>
  <c r="H62" i="50"/>
  <c r="G62" i="50"/>
  <c r="E62" i="50"/>
  <c r="D62" i="50"/>
  <c r="P61" i="50"/>
  <c r="N61" i="50"/>
  <c r="M61" i="50"/>
  <c r="L61" i="50"/>
  <c r="K61" i="50"/>
  <c r="J61" i="50"/>
  <c r="I61" i="50"/>
  <c r="H61" i="50"/>
  <c r="G61" i="50"/>
  <c r="E61" i="50"/>
  <c r="D61" i="50"/>
  <c r="P60" i="50"/>
  <c r="N60" i="50"/>
  <c r="M60" i="50"/>
  <c r="L60" i="50"/>
  <c r="K60" i="50"/>
  <c r="J60" i="50"/>
  <c r="I60" i="50"/>
  <c r="H60" i="50"/>
  <c r="G60" i="50"/>
  <c r="E60" i="50"/>
  <c r="D60" i="50"/>
  <c r="P59" i="50"/>
  <c r="N59" i="50"/>
  <c r="M59" i="50"/>
  <c r="L59" i="50"/>
  <c r="K59" i="50"/>
  <c r="J59" i="50"/>
  <c r="I59" i="50"/>
  <c r="H59" i="50"/>
  <c r="G59" i="50"/>
  <c r="E59" i="50"/>
  <c r="D59" i="50"/>
  <c r="P58" i="50"/>
  <c r="N58" i="50"/>
  <c r="M58" i="50"/>
  <c r="L58" i="50"/>
  <c r="K58" i="50"/>
  <c r="J58" i="50"/>
  <c r="I58" i="50"/>
  <c r="H58" i="50"/>
  <c r="G58" i="50"/>
  <c r="E58" i="50"/>
  <c r="D58" i="50"/>
  <c r="P57" i="50"/>
  <c r="N57" i="50"/>
  <c r="M57" i="50"/>
  <c r="L57" i="50"/>
  <c r="K57" i="50"/>
  <c r="J57" i="50"/>
  <c r="I57" i="50"/>
  <c r="H57" i="50"/>
  <c r="G57" i="50"/>
  <c r="E57" i="50"/>
  <c r="D57" i="50"/>
  <c r="P56" i="50"/>
  <c r="N56" i="50"/>
  <c r="M56" i="50"/>
  <c r="L56" i="50"/>
  <c r="K56" i="50"/>
  <c r="J56" i="50"/>
  <c r="I56" i="50"/>
  <c r="H56" i="50"/>
  <c r="G56" i="50"/>
  <c r="E56" i="50"/>
  <c r="D56" i="50"/>
  <c r="P55" i="50"/>
  <c r="N55" i="50"/>
  <c r="M55" i="50"/>
  <c r="L55" i="50"/>
  <c r="K55" i="50"/>
  <c r="J55" i="50"/>
  <c r="I55" i="50"/>
  <c r="H55" i="50"/>
  <c r="G55" i="50"/>
  <c r="E55" i="50"/>
  <c r="D55" i="50"/>
  <c r="P54" i="50"/>
  <c r="N54" i="50"/>
  <c r="M54" i="50"/>
  <c r="L54" i="50"/>
  <c r="K54" i="50"/>
  <c r="J54" i="50"/>
  <c r="I54" i="50"/>
  <c r="H54" i="50"/>
  <c r="G54" i="50"/>
  <c r="E54" i="50"/>
  <c r="D54" i="50"/>
  <c r="P53" i="50"/>
  <c r="N53" i="50"/>
  <c r="M53" i="50"/>
  <c r="L53" i="50"/>
  <c r="K53" i="50"/>
  <c r="J53" i="50"/>
  <c r="I53" i="50"/>
  <c r="H53" i="50"/>
  <c r="G53" i="50"/>
  <c r="E53" i="50"/>
  <c r="D53" i="50"/>
  <c r="P52" i="50"/>
  <c r="N52" i="50"/>
  <c r="M52" i="50"/>
  <c r="L52" i="50"/>
  <c r="K52" i="50"/>
  <c r="J52" i="50"/>
  <c r="I52" i="50"/>
  <c r="H52" i="50"/>
  <c r="G52" i="50"/>
  <c r="E52" i="50"/>
  <c r="D52" i="50"/>
  <c r="P51" i="50"/>
  <c r="N51" i="50"/>
  <c r="M51" i="50"/>
  <c r="L51" i="50"/>
  <c r="K51" i="50"/>
  <c r="J51" i="50"/>
  <c r="I51" i="50"/>
  <c r="H51" i="50"/>
  <c r="G51" i="50"/>
  <c r="E51" i="50"/>
  <c r="D51" i="50"/>
  <c r="P50" i="50"/>
  <c r="N50" i="50"/>
  <c r="M50" i="50"/>
  <c r="L50" i="50"/>
  <c r="K50" i="50"/>
  <c r="J50" i="50"/>
  <c r="I50" i="50"/>
  <c r="H50" i="50"/>
  <c r="G50" i="50"/>
  <c r="E50" i="50"/>
  <c r="D50" i="50"/>
  <c r="P49" i="50"/>
  <c r="N49" i="50"/>
  <c r="M49" i="50"/>
  <c r="L49" i="50"/>
  <c r="K49" i="50"/>
  <c r="J49" i="50"/>
  <c r="I49" i="50"/>
  <c r="H49" i="50"/>
  <c r="G49" i="50"/>
  <c r="E49" i="50"/>
  <c r="D49" i="50"/>
  <c r="P48" i="50"/>
  <c r="N48" i="50"/>
  <c r="M48" i="50"/>
  <c r="L48" i="50"/>
  <c r="K48" i="50"/>
  <c r="J48" i="50"/>
  <c r="I48" i="50"/>
  <c r="H48" i="50"/>
  <c r="G48" i="50"/>
  <c r="E48" i="50"/>
  <c r="D48" i="50"/>
  <c r="P47" i="50"/>
  <c r="N47" i="50"/>
  <c r="M47" i="50"/>
  <c r="L47" i="50"/>
  <c r="K47" i="50"/>
  <c r="J47" i="50"/>
  <c r="I47" i="50"/>
  <c r="H47" i="50"/>
  <c r="G47" i="50"/>
  <c r="E47" i="50"/>
  <c r="D47" i="50"/>
  <c r="P46" i="50"/>
  <c r="N46" i="50"/>
  <c r="M46" i="50"/>
  <c r="L46" i="50"/>
  <c r="K46" i="50"/>
  <c r="J46" i="50"/>
  <c r="I46" i="50"/>
  <c r="H46" i="50"/>
  <c r="G46" i="50"/>
  <c r="E46" i="50"/>
  <c r="D46" i="50"/>
  <c r="P45" i="50"/>
  <c r="N45" i="50"/>
  <c r="M45" i="50"/>
  <c r="L45" i="50"/>
  <c r="K45" i="50"/>
  <c r="J45" i="50"/>
  <c r="I45" i="50"/>
  <c r="H45" i="50"/>
  <c r="G45" i="50"/>
  <c r="E45" i="50"/>
  <c r="D45" i="50"/>
  <c r="P44" i="50"/>
  <c r="N44" i="50"/>
  <c r="M44" i="50"/>
  <c r="L44" i="50"/>
  <c r="K44" i="50"/>
  <c r="J44" i="50"/>
  <c r="I44" i="50"/>
  <c r="H44" i="50"/>
  <c r="G44" i="50"/>
  <c r="E44" i="50"/>
  <c r="D44" i="50"/>
  <c r="P43" i="50"/>
  <c r="N43" i="50"/>
  <c r="M43" i="50"/>
  <c r="L43" i="50"/>
  <c r="K43" i="50"/>
  <c r="J43" i="50"/>
  <c r="I43" i="50"/>
  <c r="H43" i="50"/>
  <c r="G43" i="50"/>
  <c r="E43" i="50"/>
  <c r="D43" i="50"/>
  <c r="P42" i="50"/>
  <c r="N42" i="50"/>
  <c r="M42" i="50"/>
  <c r="L42" i="50"/>
  <c r="K42" i="50"/>
  <c r="J42" i="50"/>
  <c r="I42" i="50"/>
  <c r="H42" i="50"/>
  <c r="G42" i="50"/>
  <c r="E42" i="50"/>
  <c r="D42" i="50"/>
  <c r="P41" i="50"/>
  <c r="N41" i="50"/>
  <c r="M41" i="50"/>
  <c r="L41" i="50"/>
  <c r="K41" i="50"/>
  <c r="J41" i="50"/>
  <c r="I41" i="50"/>
  <c r="H41" i="50"/>
  <c r="G41" i="50"/>
  <c r="E41" i="50"/>
  <c r="D41" i="50"/>
  <c r="P40" i="50"/>
  <c r="N40" i="50"/>
  <c r="M40" i="50"/>
  <c r="L40" i="50"/>
  <c r="K40" i="50"/>
  <c r="J40" i="50"/>
  <c r="I40" i="50"/>
  <c r="H40" i="50"/>
  <c r="G40" i="50"/>
  <c r="E40" i="50"/>
  <c r="D40" i="50"/>
  <c r="P39" i="50"/>
  <c r="N39" i="50"/>
  <c r="M39" i="50"/>
  <c r="L39" i="50"/>
  <c r="K39" i="50"/>
  <c r="J39" i="50"/>
  <c r="I39" i="50"/>
  <c r="H39" i="50"/>
  <c r="G39" i="50"/>
  <c r="E39" i="50"/>
  <c r="D39" i="50"/>
  <c r="P38" i="50"/>
  <c r="N38" i="50"/>
  <c r="M38" i="50"/>
  <c r="L38" i="50"/>
  <c r="K38" i="50"/>
  <c r="J38" i="50"/>
  <c r="I38" i="50"/>
  <c r="H38" i="50"/>
  <c r="G38" i="50"/>
  <c r="E38" i="50"/>
  <c r="D38" i="50"/>
  <c r="P37" i="50"/>
  <c r="N37" i="50"/>
  <c r="M37" i="50"/>
  <c r="L37" i="50"/>
  <c r="K37" i="50"/>
  <c r="J37" i="50"/>
  <c r="I37" i="50"/>
  <c r="H37" i="50"/>
  <c r="G37" i="50"/>
  <c r="E37" i="50"/>
  <c r="D37" i="50"/>
  <c r="P36" i="50"/>
  <c r="N36" i="50"/>
  <c r="M36" i="50"/>
  <c r="L36" i="50"/>
  <c r="K36" i="50"/>
  <c r="J36" i="50"/>
  <c r="I36" i="50"/>
  <c r="H36" i="50"/>
  <c r="G36" i="50"/>
  <c r="E36" i="50"/>
  <c r="D36" i="50"/>
  <c r="P35" i="50"/>
  <c r="N35" i="50"/>
  <c r="M35" i="50"/>
  <c r="L35" i="50"/>
  <c r="K35" i="50"/>
  <c r="J35" i="50"/>
  <c r="I35" i="50"/>
  <c r="H35" i="50"/>
  <c r="G35" i="50"/>
  <c r="E35" i="50"/>
  <c r="D35" i="50"/>
  <c r="P34" i="50"/>
  <c r="N34" i="50"/>
  <c r="M34" i="50"/>
  <c r="L34" i="50"/>
  <c r="K34" i="50"/>
  <c r="J34" i="50"/>
  <c r="I34" i="50"/>
  <c r="H34" i="50"/>
  <c r="G34" i="50"/>
  <c r="E34" i="50"/>
  <c r="D34" i="50"/>
  <c r="P33" i="50"/>
  <c r="N33" i="50"/>
  <c r="M33" i="50"/>
  <c r="L33" i="50"/>
  <c r="K33" i="50"/>
  <c r="J33" i="50"/>
  <c r="I33" i="50"/>
  <c r="H33" i="50"/>
  <c r="G33" i="50"/>
  <c r="E33" i="50"/>
  <c r="D33" i="50"/>
  <c r="P32" i="50"/>
  <c r="N32" i="50"/>
  <c r="M32" i="50"/>
  <c r="L32" i="50"/>
  <c r="K32" i="50"/>
  <c r="J32" i="50"/>
  <c r="I32" i="50"/>
  <c r="H32" i="50"/>
  <c r="G32" i="50"/>
  <c r="E32" i="50"/>
  <c r="D32" i="50"/>
  <c r="P31" i="50"/>
  <c r="N31" i="50"/>
  <c r="M31" i="50"/>
  <c r="L31" i="50"/>
  <c r="K31" i="50"/>
  <c r="J31" i="50"/>
  <c r="I31" i="50"/>
  <c r="H31" i="50"/>
  <c r="G31" i="50"/>
  <c r="E31" i="50"/>
  <c r="D31" i="50"/>
  <c r="P30" i="50"/>
  <c r="N30" i="50"/>
  <c r="M30" i="50"/>
  <c r="L30" i="50"/>
  <c r="K30" i="50"/>
  <c r="J30" i="50"/>
  <c r="I30" i="50"/>
  <c r="H30" i="50"/>
  <c r="G30" i="50"/>
  <c r="E30" i="50"/>
  <c r="D30" i="50"/>
  <c r="P29" i="50"/>
  <c r="N29" i="50"/>
  <c r="M29" i="50"/>
  <c r="L29" i="50"/>
  <c r="K29" i="50"/>
  <c r="J29" i="50"/>
  <c r="I29" i="50"/>
  <c r="H29" i="50"/>
  <c r="G29" i="50"/>
  <c r="E29" i="50"/>
  <c r="D29" i="50"/>
  <c r="P28" i="50"/>
  <c r="N28" i="50"/>
  <c r="M28" i="50"/>
  <c r="L28" i="50"/>
  <c r="K28" i="50"/>
  <c r="J28" i="50"/>
  <c r="I28" i="50"/>
  <c r="H28" i="50"/>
  <c r="G28" i="50"/>
  <c r="E28" i="50"/>
  <c r="D28" i="50"/>
  <c r="P27" i="50"/>
  <c r="N27" i="50"/>
  <c r="M27" i="50"/>
  <c r="L27" i="50"/>
  <c r="K27" i="50"/>
  <c r="J27" i="50"/>
  <c r="I27" i="50"/>
  <c r="H27" i="50"/>
  <c r="G27" i="50"/>
  <c r="E27" i="50"/>
  <c r="D27" i="50"/>
  <c r="P26" i="50"/>
  <c r="N26" i="50"/>
  <c r="M26" i="50"/>
  <c r="L26" i="50"/>
  <c r="K26" i="50"/>
  <c r="J26" i="50"/>
  <c r="I26" i="50"/>
  <c r="H26" i="50"/>
  <c r="G26" i="50"/>
  <c r="E26" i="50"/>
  <c r="D26" i="50"/>
  <c r="P25" i="50"/>
  <c r="N25" i="50"/>
  <c r="M25" i="50"/>
  <c r="L25" i="50"/>
  <c r="K25" i="50"/>
  <c r="J25" i="50"/>
  <c r="I25" i="50"/>
  <c r="H25" i="50"/>
  <c r="G25" i="50"/>
  <c r="E25" i="50"/>
  <c r="D25" i="50"/>
  <c r="P24" i="50"/>
  <c r="N24" i="50"/>
  <c r="M24" i="50"/>
  <c r="L24" i="50"/>
  <c r="K24" i="50"/>
  <c r="J24" i="50"/>
  <c r="I24" i="50"/>
  <c r="H24" i="50"/>
  <c r="G24" i="50"/>
  <c r="E24" i="50"/>
  <c r="D24" i="50"/>
  <c r="P23" i="50"/>
  <c r="N23" i="50"/>
  <c r="M23" i="50"/>
  <c r="L23" i="50"/>
  <c r="K23" i="50"/>
  <c r="J23" i="50"/>
  <c r="I23" i="50"/>
  <c r="H23" i="50"/>
  <c r="G23" i="50"/>
  <c r="E23" i="50"/>
  <c r="D23" i="50"/>
  <c r="P22" i="50"/>
  <c r="N22" i="50"/>
  <c r="M22" i="50"/>
  <c r="L22" i="50"/>
  <c r="K22" i="50"/>
  <c r="J22" i="50"/>
  <c r="I22" i="50"/>
  <c r="H22" i="50"/>
  <c r="G22" i="50"/>
  <c r="E22" i="50"/>
  <c r="D22" i="50"/>
  <c r="N19" i="50"/>
  <c r="M19" i="50"/>
  <c r="L19" i="50"/>
  <c r="K19" i="50"/>
  <c r="J19" i="50"/>
  <c r="H19" i="50"/>
  <c r="G19" i="50"/>
  <c r="F19" i="50"/>
  <c r="E19" i="50"/>
  <c r="D19" i="50"/>
  <c r="O18" i="50"/>
  <c r="P18" i="50" s="1"/>
  <c r="N18" i="50"/>
  <c r="M18" i="50"/>
  <c r="L18" i="50"/>
  <c r="K18" i="50"/>
  <c r="J18" i="50"/>
  <c r="I18" i="50"/>
  <c r="H18" i="50"/>
  <c r="G18" i="50"/>
  <c r="F18" i="50"/>
  <c r="E18" i="50"/>
  <c r="D18" i="50"/>
  <c r="P17" i="50"/>
  <c r="P16" i="50"/>
  <c r="P15" i="50"/>
  <c r="P14" i="50"/>
  <c r="N13" i="50"/>
  <c r="M13" i="50"/>
  <c r="L13" i="50"/>
  <c r="K13" i="50"/>
  <c r="J13" i="50"/>
  <c r="H13" i="50"/>
  <c r="G13" i="50"/>
  <c r="F13" i="50"/>
  <c r="E13" i="50"/>
  <c r="D13" i="50"/>
  <c r="N12" i="50"/>
  <c r="M12" i="50"/>
  <c r="L12" i="50"/>
  <c r="K12" i="50"/>
  <c r="J12" i="50"/>
  <c r="I12" i="50"/>
  <c r="P12" i="50" s="1"/>
  <c r="H12" i="50"/>
  <c r="G12" i="50"/>
  <c r="F12" i="50"/>
  <c r="E12" i="50"/>
  <c r="D12" i="50"/>
  <c r="N11" i="50"/>
  <c r="M11" i="50"/>
  <c r="L11" i="50"/>
  <c r="K11" i="50"/>
  <c r="J11" i="50"/>
  <c r="I11" i="50"/>
  <c r="P11" i="50" s="1"/>
  <c r="H11" i="50"/>
  <c r="G11" i="50"/>
  <c r="F11" i="50"/>
  <c r="E11" i="50"/>
  <c r="D11" i="50"/>
  <c r="N10" i="50"/>
  <c r="M10" i="50"/>
  <c r="L10" i="50"/>
  <c r="K10" i="50"/>
  <c r="J10" i="50"/>
  <c r="I10" i="50"/>
  <c r="P10" i="50" s="1"/>
  <c r="H10" i="50"/>
  <c r="G10" i="50"/>
  <c r="F10" i="50"/>
  <c r="E10" i="50"/>
  <c r="D10" i="50"/>
  <c r="N9" i="50"/>
  <c r="M9" i="50"/>
  <c r="L9" i="50"/>
  <c r="K9" i="50"/>
  <c r="J9" i="50"/>
  <c r="I9" i="50"/>
  <c r="P9" i="50" s="1"/>
  <c r="H9" i="50"/>
  <c r="G9" i="50"/>
  <c r="F9" i="50"/>
  <c r="E9" i="50"/>
  <c r="D9" i="50"/>
  <c r="O8" i="50"/>
  <c r="N8" i="50"/>
  <c r="M8" i="50"/>
  <c r="L8" i="50"/>
  <c r="K8" i="50"/>
  <c r="J8" i="50"/>
  <c r="H8" i="50"/>
  <c r="G8" i="50"/>
  <c r="F8" i="50"/>
  <c r="E8" i="50"/>
  <c r="D8" i="50"/>
  <c r="N146" i="49"/>
  <c r="D145" i="49"/>
  <c r="M144" i="49"/>
  <c r="G144" i="49"/>
  <c r="N140" i="49"/>
  <c r="M140" i="49"/>
  <c r="K140" i="49"/>
  <c r="J140" i="49"/>
  <c r="H140" i="49"/>
  <c r="G140" i="49"/>
  <c r="F140" i="49"/>
  <c r="D140" i="49"/>
  <c r="N137" i="49"/>
  <c r="M137" i="49"/>
  <c r="L137" i="49"/>
  <c r="K137" i="49"/>
  <c r="J137" i="49"/>
  <c r="H137" i="49"/>
  <c r="G137" i="49"/>
  <c r="F137" i="49"/>
  <c r="E137" i="49"/>
  <c r="D137" i="49"/>
  <c r="N135" i="49"/>
  <c r="M135" i="49"/>
  <c r="K135" i="49"/>
  <c r="J135" i="49"/>
  <c r="I135" i="49"/>
  <c r="H135" i="49"/>
  <c r="G135" i="49"/>
  <c r="F135" i="49"/>
  <c r="D135" i="49"/>
  <c r="N134" i="49"/>
  <c r="M134" i="49"/>
  <c r="L134" i="49"/>
  <c r="K134" i="49"/>
  <c r="J134" i="49"/>
  <c r="N133" i="49"/>
  <c r="M133" i="49"/>
  <c r="L133" i="49"/>
  <c r="K133" i="49"/>
  <c r="J133" i="49"/>
  <c r="I133" i="49"/>
  <c r="N132" i="49"/>
  <c r="M132" i="49"/>
  <c r="L132" i="49"/>
  <c r="K132" i="49"/>
  <c r="J132" i="49"/>
  <c r="I132" i="49"/>
  <c r="H132" i="49"/>
  <c r="G132" i="49"/>
  <c r="E132" i="49"/>
  <c r="E135" i="49" s="1"/>
  <c r="E140" i="49" s="1"/>
  <c r="D132" i="49"/>
  <c r="P131" i="49"/>
  <c r="N131" i="49"/>
  <c r="M131" i="49"/>
  <c r="L131" i="49"/>
  <c r="K131" i="49"/>
  <c r="J131" i="49"/>
  <c r="I131" i="49"/>
  <c r="H131" i="49"/>
  <c r="G131" i="49"/>
  <c r="E131" i="49"/>
  <c r="D131" i="49"/>
  <c r="N130" i="49"/>
  <c r="M130" i="49"/>
  <c r="L130" i="49"/>
  <c r="L135" i="49" s="1"/>
  <c r="K130" i="49"/>
  <c r="J130" i="49"/>
  <c r="I130" i="49"/>
  <c r="H130" i="49"/>
  <c r="G130" i="49"/>
  <c r="E130" i="49"/>
  <c r="D130" i="49"/>
  <c r="P129" i="49"/>
  <c r="N129" i="49"/>
  <c r="M129" i="49"/>
  <c r="L129" i="49"/>
  <c r="K129" i="49"/>
  <c r="J129" i="49"/>
  <c r="I129" i="49"/>
  <c r="H129" i="49"/>
  <c r="G129" i="49"/>
  <c r="E129" i="49"/>
  <c r="D129" i="49"/>
  <c r="P128" i="49"/>
  <c r="N128" i="49"/>
  <c r="M128" i="49"/>
  <c r="L128" i="49"/>
  <c r="K128" i="49"/>
  <c r="J128" i="49"/>
  <c r="I128" i="49"/>
  <c r="H128" i="49"/>
  <c r="G128" i="49"/>
  <c r="E128" i="49"/>
  <c r="D128" i="49"/>
  <c r="P127" i="49"/>
  <c r="N127" i="49"/>
  <c r="M127" i="49"/>
  <c r="L127" i="49"/>
  <c r="K127" i="49"/>
  <c r="J127" i="49"/>
  <c r="I127" i="49"/>
  <c r="H127" i="49"/>
  <c r="G127" i="49"/>
  <c r="E127" i="49"/>
  <c r="D127" i="49"/>
  <c r="P126" i="49"/>
  <c r="N126" i="49"/>
  <c r="M126" i="49"/>
  <c r="L126" i="49"/>
  <c r="K126" i="49"/>
  <c r="J126" i="49"/>
  <c r="I126" i="49"/>
  <c r="H126" i="49"/>
  <c r="G126" i="49"/>
  <c r="E126" i="49"/>
  <c r="D126" i="49"/>
  <c r="P125" i="49"/>
  <c r="N125" i="49"/>
  <c r="M125" i="49"/>
  <c r="L125" i="49"/>
  <c r="K125" i="49"/>
  <c r="J125" i="49"/>
  <c r="I125" i="49"/>
  <c r="H125" i="49"/>
  <c r="G125" i="49"/>
  <c r="E125" i="49"/>
  <c r="D125" i="49"/>
  <c r="P124" i="49"/>
  <c r="N124" i="49"/>
  <c r="M124" i="49"/>
  <c r="L124" i="49"/>
  <c r="K124" i="49"/>
  <c r="J124" i="49"/>
  <c r="H124" i="49"/>
  <c r="G124" i="49"/>
  <c r="E124" i="49"/>
  <c r="D124" i="49"/>
  <c r="P123" i="49"/>
  <c r="N123" i="49"/>
  <c r="M123" i="49"/>
  <c r="L123" i="49"/>
  <c r="K123" i="49"/>
  <c r="J123" i="49"/>
  <c r="I123" i="49"/>
  <c r="H123" i="49"/>
  <c r="G123" i="49"/>
  <c r="E123" i="49"/>
  <c r="D123" i="49"/>
  <c r="P122" i="49"/>
  <c r="N122" i="49"/>
  <c r="M122" i="49"/>
  <c r="L122" i="49"/>
  <c r="K122" i="49"/>
  <c r="J122" i="49"/>
  <c r="I122" i="49"/>
  <c r="H122" i="49"/>
  <c r="G122" i="49"/>
  <c r="E122" i="49"/>
  <c r="D122" i="49"/>
  <c r="P121" i="49"/>
  <c r="N121" i="49"/>
  <c r="M121" i="49"/>
  <c r="L121" i="49"/>
  <c r="K121" i="49"/>
  <c r="J121" i="49"/>
  <c r="I121" i="49"/>
  <c r="H121" i="49"/>
  <c r="G121" i="49"/>
  <c r="E121" i="49"/>
  <c r="D121" i="49"/>
  <c r="P120" i="49"/>
  <c r="N120" i="49"/>
  <c r="M120" i="49"/>
  <c r="L120" i="49"/>
  <c r="K120" i="49"/>
  <c r="J120" i="49"/>
  <c r="I120" i="49"/>
  <c r="H120" i="49"/>
  <c r="G120" i="49"/>
  <c r="E120" i="49"/>
  <c r="D120" i="49"/>
  <c r="P119" i="49"/>
  <c r="N119" i="49"/>
  <c r="M119" i="49"/>
  <c r="L119" i="49"/>
  <c r="K119" i="49"/>
  <c r="J119" i="49"/>
  <c r="I119" i="49"/>
  <c r="H119" i="49"/>
  <c r="G119" i="49"/>
  <c r="E119" i="49"/>
  <c r="D119" i="49"/>
  <c r="P118" i="49"/>
  <c r="N118" i="49"/>
  <c r="M118" i="49"/>
  <c r="L118" i="49"/>
  <c r="K118" i="49"/>
  <c r="J118" i="49"/>
  <c r="I118" i="49"/>
  <c r="H118" i="49"/>
  <c r="G118" i="49"/>
  <c r="E118" i="49"/>
  <c r="D118" i="49"/>
  <c r="P117" i="49"/>
  <c r="N117" i="49"/>
  <c r="M117" i="49"/>
  <c r="L117" i="49"/>
  <c r="K117" i="49"/>
  <c r="J117" i="49"/>
  <c r="I117" i="49"/>
  <c r="H117" i="49"/>
  <c r="G117" i="49"/>
  <c r="E117" i="49"/>
  <c r="D117" i="49"/>
  <c r="P116" i="49"/>
  <c r="N116" i="49"/>
  <c r="M116" i="49"/>
  <c r="L116" i="49"/>
  <c r="K116" i="49"/>
  <c r="J116" i="49"/>
  <c r="I116" i="49"/>
  <c r="H116" i="49"/>
  <c r="G116" i="49"/>
  <c r="E116" i="49"/>
  <c r="D116" i="49"/>
  <c r="P115" i="49"/>
  <c r="N115" i="49"/>
  <c r="M115" i="49"/>
  <c r="L115" i="49"/>
  <c r="K115" i="49"/>
  <c r="J115" i="49"/>
  <c r="I115" i="49"/>
  <c r="H115" i="49"/>
  <c r="G115" i="49"/>
  <c r="E115" i="49"/>
  <c r="D115" i="49"/>
  <c r="P114" i="49"/>
  <c r="N114" i="49"/>
  <c r="M114" i="49"/>
  <c r="L114" i="49"/>
  <c r="K114" i="49"/>
  <c r="J114" i="49"/>
  <c r="I114" i="49"/>
  <c r="H114" i="49"/>
  <c r="G114" i="49"/>
  <c r="E114" i="49"/>
  <c r="D114" i="49"/>
  <c r="P113" i="49"/>
  <c r="N113" i="49"/>
  <c r="M113" i="49"/>
  <c r="L113" i="49"/>
  <c r="K113" i="49"/>
  <c r="J113" i="49"/>
  <c r="I113" i="49"/>
  <c r="H113" i="49"/>
  <c r="G113" i="49"/>
  <c r="E113" i="49"/>
  <c r="D113" i="49"/>
  <c r="P112" i="49"/>
  <c r="N112" i="49"/>
  <c r="M112" i="49"/>
  <c r="L112" i="49"/>
  <c r="K112" i="49"/>
  <c r="J112" i="49"/>
  <c r="I112" i="49"/>
  <c r="H112" i="49"/>
  <c r="G112" i="49"/>
  <c r="E112" i="49"/>
  <c r="D112" i="49"/>
  <c r="P111" i="49"/>
  <c r="N111" i="49"/>
  <c r="M111" i="49"/>
  <c r="L111" i="49"/>
  <c r="K111" i="49"/>
  <c r="J111" i="49"/>
  <c r="I111" i="49"/>
  <c r="H111" i="49"/>
  <c r="G111" i="49"/>
  <c r="E111" i="49"/>
  <c r="D111" i="49"/>
  <c r="P110" i="49"/>
  <c r="N110" i="49"/>
  <c r="M110" i="49"/>
  <c r="L110" i="49"/>
  <c r="K110" i="49"/>
  <c r="J110" i="49"/>
  <c r="I110" i="49"/>
  <c r="H110" i="49"/>
  <c r="G110" i="49"/>
  <c r="E110" i="49"/>
  <c r="D110" i="49"/>
  <c r="P109" i="49"/>
  <c r="N109" i="49"/>
  <c r="M109" i="49"/>
  <c r="L109" i="49"/>
  <c r="K109" i="49"/>
  <c r="J109" i="49"/>
  <c r="I109" i="49"/>
  <c r="H109" i="49"/>
  <c r="G109" i="49"/>
  <c r="E109" i="49"/>
  <c r="D109" i="49"/>
  <c r="P108" i="49"/>
  <c r="N108" i="49"/>
  <c r="M108" i="49"/>
  <c r="L108" i="49"/>
  <c r="K108" i="49"/>
  <c r="J108" i="49"/>
  <c r="I108" i="49"/>
  <c r="H108" i="49"/>
  <c r="G108" i="49"/>
  <c r="E108" i="49"/>
  <c r="D108" i="49"/>
  <c r="P107" i="49"/>
  <c r="N107" i="49"/>
  <c r="M107" i="49"/>
  <c r="L107" i="49"/>
  <c r="K107" i="49"/>
  <c r="J107" i="49"/>
  <c r="I107" i="49"/>
  <c r="H107" i="49"/>
  <c r="G107" i="49"/>
  <c r="E107" i="49"/>
  <c r="D107" i="49"/>
  <c r="P106" i="49"/>
  <c r="N106" i="49"/>
  <c r="M106" i="49"/>
  <c r="L106" i="49"/>
  <c r="K106" i="49"/>
  <c r="J106" i="49"/>
  <c r="I106" i="49"/>
  <c r="H106" i="49"/>
  <c r="G106" i="49"/>
  <c r="E106" i="49"/>
  <c r="D106" i="49"/>
  <c r="P105" i="49"/>
  <c r="N105" i="49"/>
  <c r="M105" i="49"/>
  <c r="L105" i="49"/>
  <c r="K105" i="49"/>
  <c r="J105" i="49"/>
  <c r="I105" i="49"/>
  <c r="H105" i="49"/>
  <c r="G105" i="49"/>
  <c r="E105" i="49"/>
  <c r="D105" i="49"/>
  <c r="P104" i="49"/>
  <c r="N104" i="49"/>
  <c r="M104" i="49"/>
  <c r="L104" i="49"/>
  <c r="K104" i="49"/>
  <c r="J104" i="49"/>
  <c r="I104" i="49"/>
  <c r="H104" i="49"/>
  <c r="G104" i="49"/>
  <c r="E104" i="49"/>
  <c r="D104" i="49"/>
  <c r="P103" i="49"/>
  <c r="N103" i="49"/>
  <c r="M103" i="49"/>
  <c r="L103" i="49"/>
  <c r="K103" i="49"/>
  <c r="J103" i="49"/>
  <c r="I103" i="49"/>
  <c r="H103" i="49"/>
  <c r="G103" i="49"/>
  <c r="E103" i="49"/>
  <c r="D103" i="49"/>
  <c r="P102" i="49"/>
  <c r="N102" i="49"/>
  <c r="M102" i="49"/>
  <c r="L102" i="49"/>
  <c r="K102" i="49"/>
  <c r="J102" i="49"/>
  <c r="I102" i="49"/>
  <c r="H102" i="49"/>
  <c r="G102" i="49"/>
  <c r="E102" i="49"/>
  <c r="D102" i="49"/>
  <c r="P101" i="49"/>
  <c r="N101" i="49"/>
  <c r="M101" i="49"/>
  <c r="L101" i="49"/>
  <c r="K101" i="49"/>
  <c r="J101" i="49"/>
  <c r="I101" i="49"/>
  <c r="H101" i="49"/>
  <c r="G101" i="49"/>
  <c r="E101" i="49"/>
  <c r="D101" i="49"/>
  <c r="P100" i="49"/>
  <c r="N100" i="49"/>
  <c r="M100" i="49"/>
  <c r="L100" i="49"/>
  <c r="K100" i="49"/>
  <c r="J100" i="49"/>
  <c r="I100" i="49"/>
  <c r="H100" i="49"/>
  <c r="G100" i="49"/>
  <c r="E100" i="49"/>
  <c r="D100" i="49"/>
  <c r="P99" i="49"/>
  <c r="N99" i="49"/>
  <c r="M99" i="49"/>
  <c r="L99" i="49"/>
  <c r="K99" i="49"/>
  <c r="J99" i="49"/>
  <c r="I99" i="49"/>
  <c r="H99" i="49"/>
  <c r="G99" i="49"/>
  <c r="E99" i="49"/>
  <c r="D99" i="49"/>
  <c r="P98" i="49"/>
  <c r="N98" i="49"/>
  <c r="M98" i="49"/>
  <c r="L98" i="49"/>
  <c r="K98" i="49"/>
  <c r="J98" i="49"/>
  <c r="I98" i="49"/>
  <c r="H98" i="49"/>
  <c r="G98" i="49"/>
  <c r="E98" i="49"/>
  <c r="D98" i="49"/>
  <c r="P97" i="49"/>
  <c r="N97" i="49"/>
  <c r="M97" i="49"/>
  <c r="L97" i="49"/>
  <c r="K97" i="49"/>
  <c r="J97" i="49"/>
  <c r="I97" i="49"/>
  <c r="H97" i="49"/>
  <c r="G97" i="49"/>
  <c r="E97" i="49"/>
  <c r="D97" i="49"/>
  <c r="P96" i="49"/>
  <c r="N96" i="49"/>
  <c r="M96" i="49"/>
  <c r="L96" i="49"/>
  <c r="K96" i="49"/>
  <c r="J96" i="49"/>
  <c r="I96" i="49"/>
  <c r="H96" i="49"/>
  <c r="G96" i="49"/>
  <c r="E96" i="49"/>
  <c r="D96" i="49"/>
  <c r="P95" i="49"/>
  <c r="N95" i="49"/>
  <c r="M95" i="49"/>
  <c r="L95" i="49"/>
  <c r="K95" i="49"/>
  <c r="J95" i="49"/>
  <c r="I95" i="49"/>
  <c r="H95" i="49"/>
  <c r="G95" i="49"/>
  <c r="E95" i="49"/>
  <c r="D95" i="49"/>
  <c r="P94" i="49"/>
  <c r="N94" i="49"/>
  <c r="M94" i="49"/>
  <c r="L94" i="49"/>
  <c r="K94" i="49"/>
  <c r="J94" i="49"/>
  <c r="I94" i="49"/>
  <c r="H94" i="49"/>
  <c r="G94" i="49"/>
  <c r="E94" i="49"/>
  <c r="D94" i="49"/>
  <c r="P93" i="49"/>
  <c r="N93" i="49"/>
  <c r="M93" i="49"/>
  <c r="L93" i="49"/>
  <c r="K93" i="49"/>
  <c r="J93" i="49"/>
  <c r="I93" i="49"/>
  <c r="H93" i="49"/>
  <c r="G93" i="49"/>
  <c r="E93" i="49"/>
  <c r="D93" i="49"/>
  <c r="P92" i="49"/>
  <c r="N92" i="49"/>
  <c r="M92" i="49"/>
  <c r="L92" i="49"/>
  <c r="K92" i="49"/>
  <c r="J92" i="49"/>
  <c r="I92" i="49"/>
  <c r="H92" i="49"/>
  <c r="G92" i="49"/>
  <c r="E92" i="49"/>
  <c r="D92" i="49"/>
  <c r="P91" i="49"/>
  <c r="N91" i="49"/>
  <c r="M91" i="49"/>
  <c r="L91" i="49"/>
  <c r="K91" i="49"/>
  <c r="J91" i="49"/>
  <c r="I91" i="49"/>
  <c r="H91" i="49"/>
  <c r="G91" i="49"/>
  <c r="E91" i="49"/>
  <c r="D91" i="49"/>
  <c r="P90" i="49"/>
  <c r="N90" i="49"/>
  <c r="M90" i="49"/>
  <c r="L90" i="49"/>
  <c r="K90" i="49"/>
  <c r="J90" i="49"/>
  <c r="I90" i="49"/>
  <c r="H90" i="49"/>
  <c r="G90" i="49"/>
  <c r="E90" i="49"/>
  <c r="D90" i="49"/>
  <c r="P89" i="49"/>
  <c r="N89" i="49"/>
  <c r="M89" i="49"/>
  <c r="L89" i="49"/>
  <c r="K89" i="49"/>
  <c r="J89" i="49"/>
  <c r="I89" i="49"/>
  <c r="H89" i="49"/>
  <c r="G89" i="49"/>
  <c r="E89" i="49"/>
  <c r="D89" i="49"/>
  <c r="P88" i="49"/>
  <c r="N88" i="49"/>
  <c r="M88" i="49"/>
  <c r="L88" i="49"/>
  <c r="K88" i="49"/>
  <c r="J88" i="49"/>
  <c r="I88" i="49"/>
  <c r="H88" i="49"/>
  <c r="G88" i="49"/>
  <c r="E88" i="49"/>
  <c r="D88" i="49"/>
  <c r="P87" i="49"/>
  <c r="N87" i="49"/>
  <c r="M87" i="49"/>
  <c r="L87" i="49"/>
  <c r="K87" i="49"/>
  <c r="J87" i="49"/>
  <c r="I87" i="49"/>
  <c r="H87" i="49"/>
  <c r="G87" i="49"/>
  <c r="E87" i="49"/>
  <c r="D87" i="49"/>
  <c r="P86" i="49"/>
  <c r="N86" i="49"/>
  <c r="M86" i="49"/>
  <c r="L86" i="49"/>
  <c r="K86" i="49"/>
  <c r="J86" i="49"/>
  <c r="I86" i="49"/>
  <c r="H86" i="49"/>
  <c r="G86" i="49"/>
  <c r="E86" i="49"/>
  <c r="D86" i="49"/>
  <c r="P85" i="49"/>
  <c r="N85" i="49"/>
  <c r="M85" i="49"/>
  <c r="L85" i="49"/>
  <c r="K85" i="49"/>
  <c r="J85" i="49"/>
  <c r="I85" i="49"/>
  <c r="H85" i="49"/>
  <c r="G85" i="49"/>
  <c r="E85" i="49"/>
  <c r="D85" i="49"/>
  <c r="P84" i="49"/>
  <c r="N84" i="49"/>
  <c r="M84" i="49"/>
  <c r="L84" i="49"/>
  <c r="K84" i="49"/>
  <c r="J84" i="49"/>
  <c r="I84" i="49"/>
  <c r="H84" i="49"/>
  <c r="G84" i="49"/>
  <c r="E84" i="49"/>
  <c r="D84" i="49"/>
  <c r="P83" i="49"/>
  <c r="N83" i="49"/>
  <c r="M83" i="49"/>
  <c r="L83" i="49"/>
  <c r="K83" i="49"/>
  <c r="J83" i="49"/>
  <c r="I83" i="49"/>
  <c r="H83" i="49"/>
  <c r="G83" i="49"/>
  <c r="E83" i="49"/>
  <c r="D83" i="49"/>
  <c r="P82" i="49"/>
  <c r="N82" i="49"/>
  <c r="M82" i="49"/>
  <c r="L82" i="49"/>
  <c r="K82" i="49"/>
  <c r="J82" i="49"/>
  <c r="I82" i="49"/>
  <c r="H82" i="49"/>
  <c r="G82" i="49"/>
  <c r="E82" i="49"/>
  <c r="D82" i="49"/>
  <c r="P81" i="49"/>
  <c r="N81" i="49"/>
  <c r="M81" i="49"/>
  <c r="L81" i="49"/>
  <c r="K81" i="49"/>
  <c r="J81" i="49"/>
  <c r="I81" i="49"/>
  <c r="H81" i="49"/>
  <c r="G81" i="49"/>
  <c r="E81" i="49"/>
  <c r="D81" i="49"/>
  <c r="P80" i="49"/>
  <c r="N80" i="49"/>
  <c r="M80" i="49"/>
  <c r="L80" i="49"/>
  <c r="K80" i="49"/>
  <c r="J80" i="49"/>
  <c r="I80" i="49"/>
  <c r="H80" i="49"/>
  <c r="G80" i="49"/>
  <c r="E80" i="49"/>
  <c r="D80" i="49"/>
  <c r="P79" i="49"/>
  <c r="N79" i="49"/>
  <c r="M79" i="49"/>
  <c r="L79" i="49"/>
  <c r="K79" i="49"/>
  <c r="J79" i="49"/>
  <c r="I79" i="49"/>
  <c r="H79" i="49"/>
  <c r="G79" i="49"/>
  <c r="E79" i="49"/>
  <c r="D79" i="49"/>
  <c r="P78" i="49"/>
  <c r="N78" i="49"/>
  <c r="M78" i="49"/>
  <c r="L78" i="49"/>
  <c r="K78" i="49"/>
  <c r="J78" i="49"/>
  <c r="I78" i="49"/>
  <c r="H78" i="49"/>
  <c r="G78" i="49"/>
  <c r="E78" i="49"/>
  <c r="D78" i="49"/>
  <c r="P77" i="49"/>
  <c r="N77" i="49"/>
  <c r="M77" i="49"/>
  <c r="L77" i="49"/>
  <c r="K77" i="49"/>
  <c r="J77" i="49"/>
  <c r="I77" i="49"/>
  <c r="H77" i="49"/>
  <c r="G77" i="49"/>
  <c r="E77" i="49"/>
  <c r="D77" i="49"/>
  <c r="P76" i="49"/>
  <c r="N76" i="49"/>
  <c r="M76" i="49"/>
  <c r="L76" i="49"/>
  <c r="K76" i="49"/>
  <c r="J76" i="49"/>
  <c r="I76" i="49"/>
  <c r="H76" i="49"/>
  <c r="G76" i="49"/>
  <c r="E76" i="49"/>
  <c r="D76" i="49"/>
  <c r="P75" i="49"/>
  <c r="N75" i="49"/>
  <c r="M75" i="49"/>
  <c r="L75" i="49"/>
  <c r="K75" i="49"/>
  <c r="J75" i="49"/>
  <c r="I75" i="49"/>
  <c r="H75" i="49"/>
  <c r="G75" i="49"/>
  <c r="E75" i="49"/>
  <c r="D75" i="49"/>
  <c r="P74" i="49"/>
  <c r="N74" i="49"/>
  <c r="M74" i="49"/>
  <c r="L74" i="49"/>
  <c r="K74" i="49"/>
  <c r="J74" i="49"/>
  <c r="I74" i="49"/>
  <c r="H74" i="49"/>
  <c r="G74" i="49"/>
  <c r="E74" i="49"/>
  <c r="D74" i="49"/>
  <c r="P73" i="49"/>
  <c r="N73" i="49"/>
  <c r="M73" i="49"/>
  <c r="L73" i="49"/>
  <c r="K73" i="49"/>
  <c r="J73" i="49"/>
  <c r="I73" i="49"/>
  <c r="H73" i="49"/>
  <c r="G73" i="49"/>
  <c r="E73" i="49"/>
  <c r="D73" i="49"/>
  <c r="P72" i="49"/>
  <c r="N72" i="49"/>
  <c r="M72" i="49"/>
  <c r="L72" i="49"/>
  <c r="K72" i="49"/>
  <c r="J72" i="49"/>
  <c r="I72" i="49"/>
  <c r="H72" i="49"/>
  <c r="G72" i="49"/>
  <c r="E72" i="49"/>
  <c r="D72" i="49"/>
  <c r="P71" i="49"/>
  <c r="N71" i="49"/>
  <c r="M71" i="49"/>
  <c r="L71" i="49"/>
  <c r="K71" i="49"/>
  <c r="J71" i="49"/>
  <c r="I71" i="49"/>
  <c r="H71" i="49"/>
  <c r="G71" i="49"/>
  <c r="E71" i="49"/>
  <c r="D71" i="49"/>
  <c r="P70" i="49"/>
  <c r="N70" i="49"/>
  <c r="M70" i="49"/>
  <c r="L70" i="49"/>
  <c r="K70" i="49"/>
  <c r="J70" i="49"/>
  <c r="I70" i="49"/>
  <c r="H70" i="49"/>
  <c r="G70" i="49"/>
  <c r="E70" i="49"/>
  <c r="D70" i="49"/>
  <c r="P69" i="49"/>
  <c r="N69" i="49"/>
  <c r="M69" i="49"/>
  <c r="L69" i="49"/>
  <c r="K69" i="49"/>
  <c r="J69" i="49"/>
  <c r="I69" i="49"/>
  <c r="H69" i="49"/>
  <c r="G69" i="49"/>
  <c r="E69" i="49"/>
  <c r="D69" i="49"/>
  <c r="P68" i="49"/>
  <c r="N68" i="49"/>
  <c r="M68" i="49"/>
  <c r="L68" i="49"/>
  <c r="K68" i="49"/>
  <c r="J68" i="49"/>
  <c r="I68" i="49"/>
  <c r="H68" i="49"/>
  <c r="G68" i="49"/>
  <c r="E68" i="49"/>
  <c r="D68" i="49"/>
  <c r="P67" i="49"/>
  <c r="N67" i="49"/>
  <c r="M67" i="49"/>
  <c r="L67" i="49"/>
  <c r="K67" i="49"/>
  <c r="J67" i="49"/>
  <c r="I67" i="49"/>
  <c r="H67" i="49"/>
  <c r="G67" i="49"/>
  <c r="E67" i="49"/>
  <c r="D67" i="49"/>
  <c r="P66" i="49"/>
  <c r="N66" i="49"/>
  <c r="M66" i="49"/>
  <c r="L66" i="49"/>
  <c r="K66" i="49"/>
  <c r="J66" i="49"/>
  <c r="I66" i="49"/>
  <c r="H66" i="49"/>
  <c r="G66" i="49"/>
  <c r="E66" i="49"/>
  <c r="D66" i="49"/>
  <c r="P65" i="49"/>
  <c r="N65" i="49"/>
  <c r="M65" i="49"/>
  <c r="L65" i="49"/>
  <c r="K65" i="49"/>
  <c r="J65" i="49"/>
  <c r="I65" i="49"/>
  <c r="H65" i="49"/>
  <c r="G65" i="49"/>
  <c r="E65" i="49"/>
  <c r="D65" i="49"/>
  <c r="P64" i="49"/>
  <c r="N64" i="49"/>
  <c r="M64" i="49"/>
  <c r="L64" i="49"/>
  <c r="K64" i="49"/>
  <c r="J64" i="49"/>
  <c r="I64" i="49"/>
  <c r="H64" i="49"/>
  <c r="G64" i="49"/>
  <c r="E64" i="49"/>
  <c r="D64" i="49"/>
  <c r="P63" i="49"/>
  <c r="N63" i="49"/>
  <c r="M63" i="49"/>
  <c r="L63" i="49"/>
  <c r="K63" i="49"/>
  <c r="J63" i="49"/>
  <c r="I63" i="49"/>
  <c r="H63" i="49"/>
  <c r="G63" i="49"/>
  <c r="E63" i="49"/>
  <c r="D63" i="49"/>
  <c r="P62" i="49"/>
  <c r="N62" i="49"/>
  <c r="M62" i="49"/>
  <c r="L62" i="49"/>
  <c r="K62" i="49"/>
  <c r="J62" i="49"/>
  <c r="I62" i="49"/>
  <c r="H62" i="49"/>
  <c r="G62" i="49"/>
  <c r="E62" i="49"/>
  <c r="D62" i="49"/>
  <c r="P61" i="49"/>
  <c r="N61" i="49"/>
  <c r="M61" i="49"/>
  <c r="L61" i="49"/>
  <c r="K61" i="49"/>
  <c r="J61" i="49"/>
  <c r="I61" i="49"/>
  <c r="H61" i="49"/>
  <c r="G61" i="49"/>
  <c r="E61" i="49"/>
  <c r="D61" i="49"/>
  <c r="P60" i="49"/>
  <c r="N60" i="49"/>
  <c r="M60" i="49"/>
  <c r="L60" i="49"/>
  <c r="K60" i="49"/>
  <c r="J60" i="49"/>
  <c r="I60" i="49"/>
  <c r="H60" i="49"/>
  <c r="G60" i="49"/>
  <c r="E60" i="49"/>
  <c r="D60" i="49"/>
  <c r="P59" i="49"/>
  <c r="N59" i="49"/>
  <c r="M59" i="49"/>
  <c r="L59" i="49"/>
  <c r="K59" i="49"/>
  <c r="J59" i="49"/>
  <c r="I59" i="49"/>
  <c r="H59" i="49"/>
  <c r="G59" i="49"/>
  <c r="E59" i="49"/>
  <c r="D59" i="49"/>
  <c r="P58" i="49"/>
  <c r="N58" i="49"/>
  <c r="M58" i="49"/>
  <c r="L58" i="49"/>
  <c r="K58" i="49"/>
  <c r="J58" i="49"/>
  <c r="I58" i="49"/>
  <c r="H58" i="49"/>
  <c r="G58" i="49"/>
  <c r="E58" i="49"/>
  <c r="D58" i="49"/>
  <c r="P57" i="49"/>
  <c r="N57" i="49"/>
  <c r="M57" i="49"/>
  <c r="L57" i="49"/>
  <c r="K57" i="49"/>
  <c r="J57" i="49"/>
  <c r="I57" i="49"/>
  <c r="H57" i="49"/>
  <c r="G57" i="49"/>
  <c r="E57" i="49"/>
  <c r="D57" i="49"/>
  <c r="P56" i="49"/>
  <c r="N56" i="49"/>
  <c r="M56" i="49"/>
  <c r="L56" i="49"/>
  <c r="K56" i="49"/>
  <c r="J56" i="49"/>
  <c r="I56" i="49"/>
  <c r="H56" i="49"/>
  <c r="G56" i="49"/>
  <c r="E56" i="49"/>
  <c r="D56" i="49"/>
  <c r="P55" i="49"/>
  <c r="N55" i="49"/>
  <c r="M55" i="49"/>
  <c r="L55" i="49"/>
  <c r="K55" i="49"/>
  <c r="J55" i="49"/>
  <c r="I55" i="49"/>
  <c r="H55" i="49"/>
  <c r="G55" i="49"/>
  <c r="E55" i="49"/>
  <c r="D55" i="49"/>
  <c r="P54" i="49"/>
  <c r="N54" i="49"/>
  <c r="M54" i="49"/>
  <c r="L54" i="49"/>
  <c r="K54" i="49"/>
  <c r="J54" i="49"/>
  <c r="I54" i="49"/>
  <c r="H54" i="49"/>
  <c r="G54" i="49"/>
  <c r="E54" i="49"/>
  <c r="D54" i="49"/>
  <c r="P53" i="49"/>
  <c r="N53" i="49"/>
  <c r="M53" i="49"/>
  <c r="L53" i="49"/>
  <c r="K53" i="49"/>
  <c r="J53" i="49"/>
  <c r="I53" i="49"/>
  <c r="H53" i="49"/>
  <c r="G53" i="49"/>
  <c r="E53" i="49"/>
  <c r="D53" i="49"/>
  <c r="P52" i="49"/>
  <c r="N52" i="49"/>
  <c r="M52" i="49"/>
  <c r="L52" i="49"/>
  <c r="K52" i="49"/>
  <c r="J52" i="49"/>
  <c r="I52" i="49"/>
  <c r="H52" i="49"/>
  <c r="G52" i="49"/>
  <c r="E52" i="49"/>
  <c r="D52" i="49"/>
  <c r="P51" i="49"/>
  <c r="N51" i="49"/>
  <c r="M51" i="49"/>
  <c r="L51" i="49"/>
  <c r="K51" i="49"/>
  <c r="J51" i="49"/>
  <c r="I51" i="49"/>
  <c r="H51" i="49"/>
  <c r="G51" i="49"/>
  <c r="E51" i="49"/>
  <c r="D51" i="49"/>
  <c r="P50" i="49"/>
  <c r="N50" i="49"/>
  <c r="M50" i="49"/>
  <c r="L50" i="49"/>
  <c r="K50" i="49"/>
  <c r="J50" i="49"/>
  <c r="I50" i="49"/>
  <c r="H50" i="49"/>
  <c r="G50" i="49"/>
  <c r="E50" i="49"/>
  <c r="D50" i="49"/>
  <c r="P49" i="49"/>
  <c r="N49" i="49"/>
  <c r="M49" i="49"/>
  <c r="L49" i="49"/>
  <c r="K49" i="49"/>
  <c r="J49" i="49"/>
  <c r="I49" i="49"/>
  <c r="H49" i="49"/>
  <c r="G49" i="49"/>
  <c r="E49" i="49"/>
  <c r="D49" i="49"/>
  <c r="P48" i="49"/>
  <c r="N48" i="49"/>
  <c r="M48" i="49"/>
  <c r="L48" i="49"/>
  <c r="K48" i="49"/>
  <c r="J48" i="49"/>
  <c r="I48" i="49"/>
  <c r="H48" i="49"/>
  <c r="G48" i="49"/>
  <c r="E48" i="49"/>
  <c r="D48" i="49"/>
  <c r="P47" i="49"/>
  <c r="N47" i="49"/>
  <c r="M47" i="49"/>
  <c r="L47" i="49"/>
  <c r="K47" i="49"/>
  <c r="J47" i="49"/>
  <c r="I47" i="49"/>
  <c r="H47" i="49"/>
  <c r="G47" i="49"/>
  <c r="E47" i="49"/>
  <c r="D47" i="49"/>
  <c r="P46" i="49"/>
  <c r="N46" i="49"/>
  <c r="M46" i="49"/>
  <c r="L46" i="49"/>
  <c r="K46" i="49"/>
  <c r="J46" i="49"/>
  <c r="I46" i="49"/>
  <c r="H46" i="49"/>
  <c r="G46" i="49"/>
  <c r="E46" i="49"/>
  <c r="D46" i="49"/>
  <c r="P45" i="49"/>
  <c r="N45" i="49"/>
  <c r="M45" i="49"/>
  <c r="L45" i="49"/>
  <c r="K45" i="49"/>
  <c r="J45" i="49"/>
  <c r="I45" i="49"/>
  <c r="H45" i="49"/>
  <c r="G45" i="49"/>
  <c r="E45" i="49"/>
  <c r="D45" i="49"/>
  <c r="P44" i="49"/>
  <c r="N44" i="49"/>
  <c r="M44" i="49"/>
  <c r="L44" i="49"/>
  <c r="K44" i="49"/>
  <c r="J44" i="49"/>
  <c r="I44" i="49"/>
  <c r="H44" i="49"/>
  <c r="G44" i="49"/>
  <c r="E44" i="49"/>
  <c r="D44" i="49"/>
  <c r="P43" i="49"/>
  <c r="N43" i="49"/>
  <c r="M43" i="49"/>
  <c r="L43" i="49"/>
  <c r="K43" i="49"/>
  <c r="J43" i="49"/>
  <c r="I43" i="49"/>
  <c r="H43" i="49"/>
  <c r="G43" i="49"/>
  <c r="E43" i="49"/>
  <c r="D43" i="49"/>
  <c r="P42" i="49"/>
  <c r="N42" i="49"/>
  <c r="M42" i="49"/>
  <c r="L42" i="49"/>
  <c r="K42" i="49"/>
  <c r="J42" i="49"/>
  <c r="I42" i="49"/>
  <c r="H42" i="49"/>
  <c r="G42" i="49"/>
  <c r="E42" i="49"/>
  <c r="D42" i="49"/>
  <c r="P41" i="49"/>
  <c r="N41" i="49"/>
  <c r="M41" i="49"/>
  <c r="L41" i="49"/>
  <c r="K41" i="49"/>
  <c r="J41" i="49"/>
  <c r="I41" i="49"/>
  <c r="H41" i="49"/>
  <c r="G41" i="49"/>
  <c r="E41" i="49"/>
  <c r="D41" i="49"/>
  <c r="P40" i="49"/>
  <c r="N40" i="49"/>
  <c r="M40" i="49"/>
  <c r="L40" i="49"/>
  <c r="K40" i="49"/>
  <c r="J40" i="49"/>
  <c r="I40" i="49"/>
  <c r="H40" i="49"/>
  <c r="G40" i="49"/>
  <c r="E40" i="49"/>
  <c r="D40" i="49"/>
  <c r="P39" i="49"/>
  <c r="N39" i="49"/>
  <c r="M39" i="49"/>
  <c r="L39" i="49"/>
  <c r="K39" i="49"/>
  <c r="J39" i="49"/>
  <c r="I39" i="49"/>
  <c r="H39" i="49"/>
  <c r="G39" i="49"/>
  <c r="E39" i="49"/>
  <c r="D39" i="49"/>
  <c r="P38" i="49"/>
  <c r="N38" i="49"/>
  <c r="M38" i="49"/>
  <c r="L38" i="49"/>
  <c r="K38" i="49"/>
  <c r="J38" i="49"/>
  <c r="I38" i="49"/>
  <c r="H38" i="49"/>
  <c r="G38" i="49"/>
  <c r="E38" i="49"/>
  <c r="D38" i="49"/>
  <c r="P37" i="49"/>
  <c r="N37" i="49"/>
  <c r="M37" i="49"/>
  <c r="L37" i="49"/>
  <c r="K37" i="49"/>
  <c r="J37" i="49"/>
  <c r="I37" i="49"/>
  <c r="H37" i="49"/>
  <c r="G37" i="49"/>
  <c r="E37" i="49"/>
  <c r="D37" i="49"/>
  <c r="P36" i="49"/>
  <c r="N36" i="49"/>
  <c r="M36" i="49"/>
  <c r="L36" i="49"/>
  <c r="K36" i="49"/>
  <c r="J36" i="49"/>
  <c r="I36" i="49"/>
  <c r="H36" i="49"/>
  <c r="G36" i="49"/>
  <c r="E36" i="49"/>
  <c r="D36" i="49"/>
  <c r="P35" i="49"/>
  <c r="N35" i="49"/>
  <c r="M35" i="49"/>
  <c r="L35" i="49"/>
  <c r="K35" i="49"/>
  <c r="J35" i="49"/>
  <c r="I35" i="49"/>
  <c r="H35" i="49"/>
  <c r="G35" i="49"/>
  <c r="E35" i="49"/>
  <c r="D35" i="49"/>
  <c r="P34" i="49"/>
  <c r="N34" i="49"/>
  <c r="M34" i="49"/>
  <c r="L34" i="49"/>
  <c r="K34" i="49"/>
  <c r="J34" i="49"/>
  <c r="I34" i="49"/>
  <c r="H34" i="49"/>
  <c r="G34" i="49"/>
  <c r="E34" i="49"/>
  <c r="D34" i="49"/>
  <c r="P33" i="49"/>
  <c r="N33" i="49"/>
  <c r="M33" i="49"/>
  <c r="L33" i="49"/>
  <c r="K33" i="49"/>
  <c r="J33" i="49"/>
  <c r="I33" i="49"/>
  <c r="H33" i="49"/>
  <c r="G33" i="49"/>
  <c r="E33" i="49"/>
  <c r="D33" i="49"/>
  <c r="P32" i="49"/>
  <c r="N32" i="49"/>
  <c r="M32" i="49"/>
  <c r="L32" i="49"/>
  <c r="K32" i="49"/>
  <c r="J32" i="49"/>
  <c r="I32" i="49"/>
  <c r="H32" i="49"/>
  <c r="G32" i="49"/>
  <c r="E32" i="49"/>
  <c r="D32" i="49"/>
  <c r="P31" i="49"/>
  <c r="N31" i="49"/>
  <c r="M31" i="49"/>
  <c r="L31" i="49"/>
  <c r="K31" i="49"/>
  <c r="J31" i="49"/>
  <c r="I31" i="49"/>
  <c r="H31" i="49"/>
  <c r="G31" i="49"/>
  <c r="E31" i="49"/>
  <c r="D31" i="49"/>
  <c r="P30" i="49"/>
  <c r="N30" i="49"/>
  <c r="M30" i="49"/>
  <c r="L30" i="49"/>
  <c r="K30" i="49"/>
  <c r="J30" i="49"/>
  <c r="I30" i="49"/>
  <c r="H30" i="49"/>
  <c r="G30" i="49"/>
  <c r="E30" i="49"/>
  <c r="D30" i="49"/>
  <c r="P29" i="49"/>
  <c r="N29" i="49"/>
  <c r="M29" i="49"/>
  <c r="L29" i="49"/>
  <c r="K29" i="49"/>
  <c r="J29" i="49"/>
  <c r="I29" i="49"/>
  <c r="H29" i="49"/>
  <c r="G29" i="49"/>
  <c r="E29" i="49"/>
  <c r="D29" i="49"/>
  <c r="P28" i="49"/>
  <c r="N28" i="49"/>
  <c r="M28" i="49"/>
  <c r="L28" i="49"/>
  <c r="K28" i="49"/>
  <c r="J28" i="49"/>
  <c r="I28" i="49"/>
  <c r="H28" i="49"/>
  <c r="G28" i="49"/>
  <c r="E28" i="49"/>
  <c r="D28" i="49"/>
  <c r="P27" i="49"/>
  <c r="N27" i="49"/>
  <c r="M27" i="49"/>
  <c r="L27" i="49"/>
  <c r="K27" i="49"/>
  <c r="J27" i="49"/>
  <c r="I27" i="49"/>
  <c r="H27" i="49"/>
  <c r="G27" i="49"/>
  <c r="E27" i="49"/>
  <c r="D27" i="49"/>
  <c r="P26" i="49"/>
  <c r="N26" i="49"/>
  <c r="M26" i="49"/>
  <c r="L26" i="49"/>
  <c r="K26" i="49"/>
  <c r="J26" i="49"/>
  <c r="I26" i="49"/>
  <c r="H26" i="49"/>
  <c r="G26" i="49"/>
  <c r="E26" i="49"/>
  <c r="D26" i="49"/>
  <c r="P25" i="49"/>
  <c r="N25" i="49"/>
  <c r="M25" i="49"/>
  <c r="L25" i="49"/>
  <c r="K25" i="49"/>
  <c r="J25" i="49"/>
  <c r="I25" i="49"/>
  <c r="H25" i="49"/>
  <c r="G25" i="49"/>
  <c r="E25" i="49"/>
  <c r="D25" i="49"/>
  <c r="P24" i="49"/>
  <c r="N24" i="49"/>
  <c r="M24" i="49"/>
  <c r="L24" i="49"/>
  <c r="K24" i="49"/>
  <c r="J24" i="49"/>
  <c r="I24" i="49"/>
  <c r="H24" i="49"/>
  <c r="G24" i="49"/>
  <c r="E24" i="49"/>
  <c r="D24" i="49"/>
  <c r="P23" i="49"/>
  <c r="N23" i="49"/>
  <c r="M23" i="49"/>
  <c r="L23" i="49"/>
  <c r="K23" i="49"/>
  <c r="J23" i="49"/>
  <c r="I23" i="49"/>
  <c r="H23" i="49"/>
  <c r="G23" i="49"/>
  <c r="E23" i="49"/>
  <c r="D23" i="49"/>
  <c r="P22" i="49"/>
  <c r="N22" i="49"/>
  <c r="M22" i="49"/>
  <c r="L22" i="49"/>
  <c r="K22" i="49"/>
  <c r="J22" i="49"/>
  <c r="I22" i="49"/>
  <c r="H22" i="49"/>
  <c r="G22" i="49"/>
  <c r="E22" i="49"/>
  <c r="D22" i="49"/>
  <c r="N19" i="49"/>
  <c r="M19" i="49"/>
  <c r="L19" i="49"/>
  <c r="K19" i="49"/>
  <c r="J19" i="49"/>
  <c r="H19" i="49"/>
  <c r="G19" i="49"/>
  <c r="F19" i="49"/>
  <c r="E19" i="49"/>
  <c r="D19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P17" i="49"/>
  <c r="P16" i="49"/>
  <c r="P15" i="49"/>
  <c r="P14" i="49"/>
  <c r="N13" i="49"/>
  <c r="M13" i="49"/>
  <c r="L13" i="49"/>
  <c r="K13" i="49"/>
  <c r="J13" i="49"/>
  <c r="H13" i="49"/>
  <c r="G13" i="49"/>
  <c r="F13" i="49"/>
  <c r="E13" i="49"/>
  <c r="D13" i="49"/>
  <c r="N12" i="49"/>
  <c r="M12" i="49"/>
  <c r="L12" i="49"/>
  <c r="K12" i="49"/>
  <c r="J12" i="49"/>
  <c r="I12" i="49"/>
  <c r="P12" i="49" s="1"/>
  <c r="H12" i="49"/>
  <c r="G12" i="49"/>
  <c r="F12" i="49"/>
  <c r="E12" i="49"/>
  <c r="D12" i="49"/>
  <c r="N11" i="49"/>
  <c r="M11" i="49"/>
  <c r="L11" i="49"/>
  <c r="K11" i="49"/>
  <c r="J11" i="49"/>
  <c r="I11" i="49"/>
  <c r="P11" i="49" s="1"/>
  <c r="H11" i="49"/>
  <c r="G11" i="49"/>
  <c r="F11" i="49"/>
  <c r="E11" i="49"/>
  <c r="D11" i="49"/>
  <c r="N10" i="49"/>
  <c r="M10" i="49"/>
  <c r="L10" i="49"/>
  <c r="K10" i="49"/>
  <c r="J10" i="49"/>
  <c r="I10" i="49"/>
  <c r="P10" i="49" s="1"/>
  <c r="H10" i="49"/>
  <c r="G10" i="49"/>
  <c r="F10" i="49"/>
  <c r="E10" i="49"/>
  <c r="D10" i="49"/>
  <c r="N9" i="49"/>
  <c r="M9" i="49"/>
  <c r="L9" i="49"/>
  <c r="K9" i="49"/>
  <c r="J9" i="49"/>
  <c r="I9" i="49"/>
  <c r="P9" i="49" s="1"/>
  <c r="H9" i="49"/>
  <c r="G9" i="49"/>
  <c r="F9" i="49"/>
  <c r="E9" i="49"/>
  <c r="D9" i="49"/>
  <c r="O8" i="49"/>
  <c r="O13" i="49" s="1"/>
  <c r="N8" i="49"/>
  <c r="M8" i="49"/>
  <c r="L8" i="49"/>
  <c r="K8" i="49"/>
  <c r="J8" i="49"/>
  <c r="H8" i="49"/>
  <c r="G8" i="49"/>
  <c r="F8" i="49"/>
  <c r="E8" i="49"/>
  <c r="D8" i="49"/>
  <c r="N143" i="48"/>
  <c r="J143" i="48"/>
  <c r="D143" i="48"/>
  <c r="G142" i="48"/>
  <c r="N138" i="48"/>
  <c r="M138" i="48"/>
  <c r="L138" i="48"/>
  <c r="K138" i="48"/>
  <c r="J138" i="48"/>
  <c r="H138" i="48"/>
  <c r="G138" i="48"/>
  <c r="F138" i="48"/>
  <c r="D138" i="48"/>
  <c r="N135" i="48"/>
  <c r="M135" i="48"/>
  <c r="L135" i="48"/>
  <c r="K135" i="48"/>
  <c r="J135" i="48"/>
  <c r="H135" i="48"/>
  <c r="G135" i="48"/>
  <c r="F135" i="48"/>
  <c r="E135" i="48"/>
  <c r="D135" i="48"/>
  <c r="O133" i="48"/>
  <c r="N133" i="48"/>
  <c r="M133" i="48"/>
  <c r="L133" i="48"/>
  <c r="K133" i="48"/>
  <c r="J133" i="48"/>
  <c r="I133" i="48"/>
  <c r="H133" i="48"/>
  <c r="G133" i="48"/>
  <c r="F133" i="48"/>
  <c r="D133" i="48"/>
  <c r="N132" i="48"/>
  <c r="M132" i="48"/>
  <c r="L132" i="48"/>
  <c r="K132" i="48"/>
  <c r="J132" i="48"/>
  <c r="I132" i="48"/>
  <c r="H132" i="48"/>
  <c r="G132" i="48"/>
  <c r="E132" i="48"/>
  <c r="P132" i="48" s="1"/>
  <c r="D132" i="48"/>
  <c r="P131" i="48"/>
  <c r="N131" i="48"/>
  <c r="M131" i="48"/>
  <c r="L131" i="48"/>
  <c r="K131" i="48"/>
  <c r="J131" i="48"/>
  <c r="I131" i="48"/>
  <c r="H131" i="48"/>
  <c r="G131" i="48"/>
  <c r="E131" i="48"/>
  <c r="D131" i="48"/>
  <c r="P130" i="48"/>
  <c r="N130" i="48"/>
  <c r="M130" i="48"/>
  <c r="L130" i="48"/>
  <c r="K130" i="48"/>
  <c r="J130" i="48"/>
  <c r="I130" i="48"/>
  <c r="H130" i="48"/>
  <c r="G130" i="48"/>
  <c r="E130" i="48"/>
  <c r="D130" i="48"/>
  <c r="P129" i="48"/>
  <c r="N129" i="48"/>
  <c r="M129" i="48"/>
  <c r="L129" i="48"/>
  <c r="K129" i="48"/>
  <c r="J129" i="48"/>
  <c r="I129" i="48"/>
  <c r="H129" i="48"/>
  <c r="G129" i="48"/>
  <c r="E129" i="48"/>
  <c r="D129" i="48"/>
  <c r="P128" i="48"/>
  <c r="N128" i="48"/>
  <c r="M128" i="48"/>
  <c r="L128" i="48"/>
  <c r="K128" i="48"/>
  <c r="J128" i="48"/>
  <c r="I128" i="48"/>
  <c r="H128" i="48"/>
  <c r="G128" i="48"/>
  <c r="E128" i="48"/>
  <c r="D128" i="48"/>
  <c r="P127" i="48"/>
  <c r="N127" i="48"/>
  <c r="M127" i="48"/>
  <c r="L127" i="48"/>
  <c r="K127" i="48"/>
  <c r="J127" i="48"/>
  <c r="I127" i="48"/>
  <c r="H127" i="48"/>
  <c r="G127" i="48"/>
  <c r="E127" i="48"/>
  <c r="D127" i="48"/>
  <c r="P126" i="48"/>
  <c r="N126" i="48"/>
  <c r="M126" i="48"/>
  <c r="L126" i="48"/>
  <c r="K126" i="48"/>
  <c r="J126" i="48"/>
  <c r="I126" i="48"/>
  <c r="H126" i="48"/>
  <c r="G126" i="48"/>
  <c r="E126" i="48"/>
  <c r="D126" i="48"/>
  <c r="P125" i="48"/>
  <c r="N125" i="48"/>
  <c r="M125" i="48"/>
  <c r="L125" i="48"/>
  <c r="K125" i="48"/>
  <c r="J125" i="48"/>
  <c r="I125" i="48"/>
  <c r="H125" i="48"/>
  <c r="G125" i="48"/>
  <c r="E125" i="48"/>
  <c r="D125" i="48"/>
  <c r="P124" i="48"/>
  <c r="N124" i="48"/>
  <c r="M124" i="48"/>
  <c r="L124" i="48"/>
  <c r="K124" i="48"/>
  <c r="J124" i="48"/>
  <c r="I124" i="48"/>
  <c r="H124" i="48"/>
  <c r="G124" i="48"/>
  <c r="E124" i="48"/>
  <c r="D124" i="48"/>
  <c r="P123" i="48"/>
  <c r="N123" i="48"/>
  <c r="M123" i="48"/>
  <c r="L123" i="48"/>
  <c r="K123" i="48"/>
  <c r="J123" i="48"/>
  <c r="I123" i="48"/>
  <c r="H123" i="48"/>
  <c r="G123" i="48"/>
  <c r="E123" i="48"/>
  <c r="D123" i="48"/>
  <c r="P122" i="48"/>
  <c r="N122" i="48"/>
  <c r="M122" i="48"/>
  <c r="L122" i="48"/>
  <c r="K122" i="48"/>
  <c r="J122" i="48"/>
  <c r="I122" i="48"/>
  <c r="H122" i="48"/>
  <c r="G122" i="48"/>
  <c r="E122" i="48"/>
  <c r="D122" i="48"/>
  <c r="P121" i="48"/>
  <c r="N121" i="48"/>
  <c r="M121" i="48"/>
  <c r="L121" i="48"/>
  <c r="K121" i="48"/>
  <c r="J121" i="48"/>
  <c r="I121" i="48"/>
  <c r="H121" i="48"/>
  <c r="G121" i="48"/>
  <c r="E121" i="48"/>
  <c r="D121" i="48"/>
  <c r="P120" i="48"/>
  <c r="N120" i="48"/>
  <c r="M120" i="48"/>
  <c r="L120" i="48"/>
  <c r="K120" i="48"/>
  <c r="J120" i="48"/>
  <c r="I120" i="48"/>
  <c r="H120" i="48"/>
  <c r="G120" i="48"/>
  <c r="E120" i="48"/>
  <c r="D120" i="48"/>
  <c r="P119" i="48"/>
  <c r="N119" i="48"/>
  <c r="M119" i="48"/>
  <c r="L119" i="48"/>
  <c r="K119" i="48"/>
  <c r="J119" i="48"/>
  <c r="I119" i="48"/>
  <c r="H119" i="48"/>
  <c r="G119" i="48"/>
  <c r="E119" i="48"/>
  <c r="D119" i="48"/>
  <c r="P118" i="48"/>
  <c r="N118" i="48"/>
  <c r="M118" i="48"/>
  <c r="L118" i="48"/>
  <c r="K118" i="48"/>
  <c r="J118" i="48"/>
  <c r="I118" i="48"/>
  <c r="H118" i="48"/>
  <c r="G118" i="48"/>
  <c r="E118" i="48"/>
  <c r="D118" i="48"/>
  <c r="P117" i="48"/>
  <c r="N117" i="48"/>
  <c r="M117" i="48"/>
  <c r="L117" i="48"/>
  <c r="K117" i="48"/>
  <c r="J117" i="48"/>
  <c r="I117" i="48"/>
  <c r="H117" i="48"/>
  <c r="G117" i="48"/>
  <c r="E117" i="48"/>
  <c r="D117" i="48"/>
  <c r="P116" i="48"/>
  <c r="N116" i="48"/>
  <c r="M116" i="48"/>
  <c r="L116" i="48"/>
  <c r="K116" i="48"/>
  <c r="J116" i="48"/>
  <c r="I116" i="48"/>
  <c r="H116" i="48"/>
  <c r="G116" i="48"/>
  <c r="E116" i="48"/>
  <c r="D116" i="48"/>
  <c r="P115" i="48"/>
  <c r="N115" i="48"/>
  <c r="M115" i="48"/>
  <c r="L115" i="48"/>
  <c r="K115" i="48"/>
  <c r="J115" i="48"/>
  <c r="I115" i="48"/>
  <c r="H115" i="48"/>
  <c r="G115" i="48"/>
  <c r="E115" i="48"/>
  <c r="D115" i="48"/>
  <c r="P114" i="48"/>
  <c r="N114" i="48"/>
  <c r="M114" i="48"/>
  <c r="L114" i="48"/>
  <c r="K114" i="48"/>
  <c r="J114" i="48"/>
  <c r="I114" i="48"/>
  <c r="H114" i="48"/>
  <c r="G114" i="48"/>
  <c r="E114" i="48"/>
  <c r="D114" i="48"/>
  <c r="P113" i="48"/>
  <c r="N113" i="48"/>
  <c r="M113" i="48"/>
  <c r="L113" i="48"/>
  <c r="K113" i="48"/>
  <c r="J113" i="48"/>
  <c r="I113" i="48"/>
  <c r="H113" i="48"/>
  <c r="G113" i="48"/>
  <c r="E113" i="48"/>
  <c r="D113" i="48"/>
  <c r="P112" i="48"/>
  <c r="N112" i="48"/>
  <c r="M112" i="48"/>
  <c r="L112" i="48"/>
  <c r="K112" i="48"/>
  <c r="J112" i="48"/>
  <c r="I112" i="48"/>
  <c r="H112" i="48"/>
  <c r="G112" i="48"/>
  <c r="E112" i="48"/>
  <c r="D112" i="48"/>
  <c r="P111" i="48"/>
  <c r="N111" i="48"/>
  <c r="M111" i="48"/>
  <c r="L111" i="48"/>
  <c r="K111" i="48"/>
  <c r="J111" i="48"/>
  <c r="I111" i="48"/>
  <c r="H111" i="48"/>
  <c r="G111" i="48"/>
  <c r="E111" i="48"/>
  <c r="D111" i="48"/>
  <c r="P110" i="48"/>
  <c r="N110" i="48"/>
  <c r="M110" i="48"/>
  <c r="L110" i="48"/>
  <c r="K110" i="48"/>
  <c r="J110" i="48"/>
  <c r="I110" i="48"/>
  <c r="H110" i="48"/>
  <c r="G110" i="48"/>
  <c r="E110" i="48"/>
  <c r="D110" i="48"/>
  <c r="P109" i="48"/>
  <c r="N109" i="48"/>
  <c r="M109" i="48"/>
  <c r="L109" i="48"/>
  <c r="K109" i="48"/>
  <c r="J109" i="48"/>
  <c r="I109" i="48"/>
  <c r="H109" i="48"/>
  <c r="G109" i="48"/>
  <c r="E109" i="48"/>
  <c r="D109" i="48"/>
  <c r="P108" i="48"/>
  <c r="N108" i="48"/>
  <c r="M108" i="48"/>
  <c r="L108" i="48"/>
  <c r="K108" i="48"/>
  <c r="J108" i="48"/>
  <c r="I108" i="48"/>
  <c r="H108" i="48"/>
  <c r="G108" i="48"/>
  <c r="E108" i="48"/>
  <c r="D108" i="48"/>
  <c r="P107" i="48"/>
  <c r="N107" i="48"/>
  <c r="M107" i="48"/>
  <c r="L107" i="48"/>
  <c r="K107" i="48"/>
  <c r="J107" i="48"/>
  <c r="I107" i="48"/>
  <c r="H107" i="48"/>
  <c r="G107" i="48"/>
  <c r="E107" i="48"/>
  <c r="D107" i="48"/>
  <c r="P106" i="48"/>
  <c r="N106" i="48"/>
  <c r="M106" i="48"/>
  <c r="L106" i="48"/>
  <c r="K106" i="48"/>
  <c r="J106" i="48"/>
  <c r="I106" i="48"/>
  <c r="H106" i="48"/>
  <c r="G106" i="48"/>
  <c r="E106" i="48"/>
  <c r="D106" i="48"/>
  <c r="P105" i="48"/>
  <c r="N105" i="48"/>
  <c r="M105" i="48"/>
  <c r="L105" i="48"/>
  <c r="K105" i="48"/>
  <c r="J105" i="48"/>
  <c r="I105" i="48"/>
  <c r="H105" i="48"/>
  <c r="G105" i="48"/>
  <c r="E105" i="48"/>
  <c r="D105" i="48"/>
  <c r="P104" i="48"/>
  <c r="N104" i="48"/>
  <c r="M104" i="48"/>
  <c r="L104" i="48"/>
  <c r="K104" i="48"/>
  <c r="J104" i="48"/>
  <c r="I104" i="48"/>
  <c r="H104" i="48"/>
  <c r="G104" i="48"/>
  <c r="E104" i="48"/>
  <c r="D104" i="48"/>
  <c r="P103" i="48"/>
  <c r="N103" i="48"/>
  <c r="M103" i="48"/>
  <c r="L103" i="48"/>
  <c r="K103" i="48"/>
  <c r="J103" i="48"/>
  <c r="I103" i="48"/>
  <c r="H103" i="48"/>
  <c r="G103" i="48"/>
  <c r="E103" i="48"/>
  <c r="D103" i="48"/>
  <c r="P102" i="48"/>
  <c r="N102" i="48"/>
  <c r="M102" i="48"/>
  <c r="L102" i="48"/>
  <c r="K102" i="48"/>
  <c r="J102" i="48"/>
  <c r="I102" i="48"/>
  <c r="H102" i="48"/>
  <c r="G102" i="48"/>
  <c r="E102" i="48"/>
  <c r="D102" i="48"/>
  <c r="P101" i="48"/>
  <c r="N101" i="48"/>
  <c r="M101" i="48"/>
  <c r="L101" i="48"/>
  <c r="K101" i="48"/>
  <c r="J101" i="48"/>
  <c r="I101" i="48"/>
  <c r="H101" i="48"/>
  <c r="G101" i="48"/>
  <c r="E101" i="48"/>
  <c r="D101" i="48"/>
  <c r="P100" i="48"/>
  <c r="N100" i="48"/>
  <c r="M100" i="48"/>
  <c r="L100" i="48"/>
  <c r="K100" i="48"/>
  <c r="J100" i="48"/>
  <c r="I100" i="48"/>
  <c r="H100" i="48"/>
  <c r="G100" i="48"/>
  <c r="E100" i="48"/>
  <c r="D100" i="48"/>
  <c r="P99" i="48"/>
  <c r="N99" i="48"/>
  <c r="M99" i="48"/>
  <c r="L99" i="48"/>
  <c r="K99" i="48"/>
  <c r="J99" i="48"/>
  <c r="I99" i="48"/>
  <c r="H99" i="48"/>
  <c r="G99" i="48"/>
  <c r="E99" i="48"/>
  <c r="D99" i="48"/>
  <c r="P98" i="48"/>
  <c r="N98" i="48"/>
  <c r="M98" i="48"/>
  <c r="L98" i="48"/>
  <c r="K98" i="48"/>
  <c r="J98" i="48"/>
  <c r="I98" i="48"/>
  <c r="H98" i="48"/>
  <c r="G98" i="48"/>
  <c r="E98" i="48"/>
  <c r="D98" i="48"/>
  <c r="P97" i="48"/>
  <c r="N97" i="48"/>
  <c r="M97" i="48"/>
  <c r="L97" i="48"/>
  <c r="K97" i="48"/>
  <c r="J97" i="48"/>
  <c r="I97" i="48"/>
  <c r="H97" i="48"/>
  <c r="G97" i="48"/>
  <c r="E97" i="48"/>
  <c r="D97" i="48"/>
  <c r="P96" i="48"/>
  <c r="N96" i="48"/>
  <c r="M96" i="48"/>
  <c r="L96" i="48"/>
  <c r="K96" i="48"/>
  <c r="J96" i="48"/>
  <c r="I96" i="48"/>
  <c r="H96" i="48"/>
  <c r="G96" i="48"/>
  <c r="E96" i="48"/>
  <c r="D96" i="48"/>
  <c r="P95" i="48"/>
  <c r="N95" i="48"/>
  <c r="M95" i="48"/>
  <c r="L95" i="48"/>
  <c r="K95" i="48"/>
  <c r="J95" i="48"/>
  <c r="I95" i="48"/>
  <c r="H95" i="48"/>
  <c r="G95" i="48"/>
  <c r="E95" i="48"/>
  <c r="D95" i="48"/>
  <c r="P94" i="48"/>
  <c r="N94" i="48"/>
  <c r="M94" i="48"/>
  <c r="L94" i="48"/>
  <c r="K94" i="48"/>
  <c r="J94" i="48"/>
  <c r="I94" i="48"/>
  <c r="H94" i="48"/>
  <c r="G94" i="48"/>
  <c r="E94" i="48"/>
  <c r="D94" i="48"/>
  <c r="P93" i="48"/>
  <c r="N93" i="48"/>
  <c r="M93" i="48"/>
  <c r="L93" i="48"/>
  <c r="K93" i="48"/>
  <c r="J93" i="48"/>
  <c r="I93" i="48"/>
  <c r="H93" i="48"/>
  <c r="G93" i="48"/>
  <c r="E93" i="48"/>
  <c r="D93" i="48"/>
  <c r="P92" i="48"/>
  <c r="N92" i="48"/>
  <c r="M92" i="48"/>
  <c r="L92" i="48"/>
  <c r="K92" i="48"/>
  <c r="J92" i="48"/>
  <c r="I92" i="48"/>
  <c r="H92" i="48"/>
  <c r="G92" i="48"/>
  <c r="E92" i="48"/>
  <c r="D92" i="48"/>
  <c r="P91" i="48"/>
  <c r="N91" i="48"/>
  <c r="M91" i="48"/>
  <c r="L91" i="48"/>
  <c r="K91" i="48"/>
  <c r="J91" i="48"/>
  <c r="I91" i="48"/>
  <c r="H91" i="48"/>
  <c r="G91" i="48"/>
  <c r="E91" i="48"/>
  <c r="D91" i="48"/>
  <c r="P90" i="48"/>
  <c r="N90" i="48"/>
  <c r="M90" i="48"/>
  <c r="L90" i="48"/>
  <c r="K90" i="48"/>
  <c r="J90" i="48"/>
  <c r="I90" i="48"/>
  <c r="H90" i="48"/>
  <c r="G90" i="48"/>
  <c r="E90" i="48"/>
  <c r="D90" i="48"/>
  <c r="P89" i="48"/>
  <c r="N89" i="48"/>
  <c r="M89" i="48"/>
  <c r="L89" i="48"/>
  <c r="K89" i="48"/>
  <c r="J89" i="48"/>
  <c r="I89" i="48"/>
  <c r="H89" i="48"/>
  <c r="G89" i="48"/>
  <c r="E89" i="48"/>
  <c r="D89" i="48"/>
  <c r="P88" i="48"/>
  <c r="N88" i="48"/>
  <c r="M88" i="48"/>
  <c r="L88" i="48"/>
  <c r="K88" i="48"/>
  <c r="J88" i="48"/>
  <c r="I88" i="48"/>
  <c r="H88" i="48"/>
  <c r="G88" i="48"/>
  <c r="E88" i="48"/>
  <c r="D88" i="48"/>
  <c r="P87" i="48"/>
  <c r="N87" i="48"/>
  <c r="M87" i="48"/>
  <c r="L87" i="48"/>
  <c r="K87" i="48"/>
  <c r="J87" i="48"/>
  <c r="I87" i="48"/>
  <c r="H87" i="48"/>
  <c r="G87" i="48"/>
  <c r="E87" i="48"/>
  <c r="D87" i="48"/>
  <c r="P86" i="48"/>
  <c r="N86" i="48"/>
  <c r="M86" i="48"/>
  <c r="L86" i="48"/>
  <c r="K86" i="48"/>
  <c r="J86" i="48"/>
  <c r="I86" i="48"/>
  <c r="H86" i="48"/>
  <c r="G86" i="48"/>
  <c r="E86" i="48"/>
  <c r="D86" i="48"/>
  <c r="P85" i="48"/>
  <c r="N85" i="48"/>
  <c r="M85" i="48"/>
  <c r="L85" i="48"/>
  <c r="K85" i="48"/>
  <c r="J85" i="48"/>
  <c r="I85" i="48"/>
  <c r="H85" i="48"/>
  <c r="G85" i="48"/>
  <c r="E85" i="48"/>
  <c r="D85" i="48"/>
  <c r="P84" i="48"/>
  <c r="N84" i="48"/>
  <c r="M84" i="48"/>
  <c r="L84" i="48"/>
  <c r="K84" i="48"/>
  <c r="J84" i="48"/>
  <c r="I84" i="48"/>
  <c r="H84" i="48"/>
  <c r="G84" i="48"/>
  <c r="E84" i="48"/>
  <c r="D84" i="48"/>
  <c r="P83" i="48"/>
  <c r="N83" i="48"/>
  <c r="M83" i="48"/>
  <c r="L83" i="48"/>
  <c r="K83" i="48"/>
  <c r="J83" i="48"/>
  <c r="I83" i="48"/>
  <c r="H83" i="48"/>
  <c r="G83" i="48"/>
  <c r="E83" i="48"/>
  <c r="D83" i="48"/>
  <c r="P82" i="48"/>
  <c r="N82" i="48"/>
  <c r="M82" i="48"/>
  <c r="L82" i="48"/>
  <c r="K82" i="48"/>
  <c r="J82" i="48"/>
  <c r="I82" i="48"/>
  <c r="H82" i="48"/>
  <c r="G82" i="48"/>
  <c r="E82" i="48"/>
  <c r="D82" i="48"/>
  <c r="P81" i="48"/>
  <c r="N81" i="48"/>
  <c r="M81" i="48"/>
  <c r="L81" i="48"/>
  <c r="K81" i="48"/>
  <c r="J81" i="48"/>
  <c r="I81" i="48"/>
  <c r="H81" i="48"/>
  <c r="G81" i="48"/>
  <c r="E81" i="48"/>
  <c r="D81" i="48"/>
  <c r="P80" i="48"/>
  <c r="N80" i="48"/>
  <c r="M80" i="48"/>
  <c r="L80" i="48"/>
  <c r="K80" i="48"/>
  <c r="J80" i="48"/>
  <c r="I80" i="48"/>
  <c r="H80" i="48"/>
  <c r="G80" i="48"/>
  <c r="E80" i="48"/>
  <c r="D80" i="48"/>
  <c r="P79" i="48"/>
  <c r="N79" i="48"/>
  <c r="M79" i="48"/>
  <c r="L79" i="48"/>
  <c r="K79" i="48"/>
  <c r="J79" i="48"/>
  <c r="I79" i="48"/>
  <c r="H79" i="48"/>
  <c r="G79" i="48"/>
  <c r="E79" i="48"/>
  <c r="D79" i="48"/>
  <c r="P78" i="48"/>
  <c r="N78" i="48"/>
  <c r="M78" i="48"/>
  <c r="L78" i="48"/>
  <c r="K78" i="48"/>
  <c r="J78" i="48"/>
  <c r="I78" i="48"/>
  <c r="H78" i="48"/>
  <c r="G78" i="48"/>
  <c r="E78" i="48"/>
  <c r="D78" i="48"/>
  <c r="P77" i="48"/>
  <c r="N77" i="48"/>
  <c r="M77" i="48"/>
  <c r="L77" i="48"/>
  <c r="K77" i="48"/>
  <c r="J77" i="48"/>
  <c r="I77" i="48"/>
  <c r="H77" i="48"/>
  <c r="G77" i="48"/>
  <c r="E77" i="48"/>
  <c r="D77" i="48"/>
  <c r="P76" i="48"/>
  <c r="N76" i="48"/>
  <c r="M76" i="48"/>
  <c r="L76" i="48"/>
  <c r="K76" i="48"/>
  <c r="J76" i="48"/>
  <c r="I76" i="48"/>
  <c r="H76" i="48"/>
  <c r="G76" i="48"/>
  <c r="E76" i="48"/>
  <c r="D76" i="48"/>
  <c r="P75" i="48"/>
  <c r="N75" i="48"/>
  <c r="M75" i="48"/>
  <c r="L75" i="48"/>
  <c r="K75" i="48"/>
  <c r="J75" i="48"/>
  <c r="I75" i="48"/>
  <c r="H75" i="48"/>
  <c r="G75" i="48"/>
  <c r="E75" i="48"/>
  <c r="D75" i="48"/>
  <c r="P74" i="48"/>
  <c r="N74" i="48"/>
  <c r="M74" i="48"/>
  <c r="L74" i="48"/>
  <c r="K74" i="48"/>
  <c r="J74" i="48"/>
  <c r="I74" i="48"/>
  <c r="H74" i="48"/>
  <c r="G74" i="48"/>
  <c r="E74" i="48"/>
  <c r="D74" i="48"/>
  <c r="P73" i="48"/>
  <c r="N73" i="48"/>
  <c r="M73" i="48"/>
  <c r="L73" i="48"/>
  <c r="K73" i="48"/>
  <c r="J73" i="48"/>
  <c r="I73" i="48"/>
  <c r="H73" i="48"/>
  <c r="G73" i="48"/>
  <c r="E73" i="48"/>
  <c r="D73" i="48"/>
  <c r="P72" i="48"/>
  <c r="N72" i="48"/>
  <c r="M72" i="48"/>
  <c r="L72" i="48"/>
  <c r="K72" i="48"/>
  <c r="J72" i="48"/>
  <c r="I72" i="48"/>
  <c r="H72" i="48"/>
  <c r="G72" i="48"/>
  <c r="E72" i="48"/>
  <c r="D72" i="48"/>
  <c r="P71" i="48"/>
  <c r="N71" i="48"/>
  <c r="M71" i="48"/>
  <c r="L71" i="48"/>
  <c r="K71" i="48"/>
  <c r="J71" i="48"/>
  <c r="I71" i="48"/>
  <c r="H71" i="48"/>
  <c r="G71" i="48"/>
  <c r="E71" i="48"/>
  <c r="D71" i="48"/>
  <c r="P70" i="48"/>
  <c r="N70" i="48"/>
  <c r="M70" i="48"/>
  <c r="L70" i="48"/>
  <c r="K70" i="48"/>
  <c r="J70" i="48"/>
  <c r="I70" i="48"/>
  <c r="H70" i="48"/>
  <c r="G70" i="48"/>
  <c r="E70" i="48"/>
  <c r="D70" i="48"/>
  <c r="P69" i="48"/>
  <c r="N69" i="48"/>
  <c r="M69" i="48"/>
  <c r="L69" i="48"/>
  <c r="K69" i="48"/>
  <c r="J69" i="48"/>
  <c r="I69" i="48"/>
  <c r="H69" i="48"/>
  <c r="G69" i="48"/>
  <c r="E69" i="48"/>
  <c r="D69" i="48"/>
  <c r="P68" i="48"/>
  <c r="N68" i="48"/>
  <c r="M68" i="48"/>
  <c r="L68" i="48"/>
  <c r="K68" i="48"/>
  <c r="J68" i="48"/>
  <c r="I68" i="48"/>
  <c r="H68" i="48"/>
  <c r="G68" i="48"/>
  <c r="E68" i="48"/>
  <c r="D68" i="48"/>
  <c r="P67" i="48"/>
  <c r="N67" i="48"/>
  <c r="M67" i="48"/>
  <c r="L67" i="48"/>
  <c r="K67" i="48"/>
  <c r="J67" i="48"/>
  <c r="I67" i="48"/>
  <c r="H67" i="48"/>
  <c r="G67" i="48"/>
  <c r="E67" i="48"/>
  <c r="D67" i="48"/>
  <c r="P66" i="48"/>
  <c r="N66" i="48"/>
  <c r="M66" i="48"/>
  <c r="L66" i="48"/>
  <c r="K66" i="48"/>
  <c r="J66" i="48"/>
  <c r="I66" i="48"/>
  <c r="H66" i="48"/>
  <c r="G66" i="48"/>
  <c r="E66" i="48"/>
  <c r="D66" i="48"/>
  <c r="P65" i="48"/>
  <c r="N65" i="48"/>
  <c r="M65" i="48"/>
  <c r="L65" i="48"/>
  <c r="K65" i="48"/>
  <c r="J65" i="48"/>
  <c r="I65" i="48"/>
  <c r="H65" i="48"/>
  <c r="G65" i="48"/>
  <c r="E65" i="48"/>
  <c r="D65" i="48"/>
  <c r="P64" i="48"/>
  <c r="N64" i="48"/>
  <c r="M64" i="48"/>
  <c r="L64" i="48"/>
  <c r="K64" i="48"/>
  <c r="J64" i="48"/>
  <c r="I64" i="48"/>
  <c r="H64" i="48"/>
  <c r="G64" i="48"/>
  <c r="E64" i="48"/>
  <c r="D64" i="48"/>
  <c r="P63" i="48"/>
  <c r="N63" i="48"/>
  <c r="M63" i="48"/>
  <c r="L63" i="48"/>
  <c r="K63" i="48"/>
  <c r="J63" i="48"/>
  <c r="I63" i="48"/>
  <c r="H63" i="48"/>
  <c r="G63" i="48"/>
  <c r="E63" i="48"/>
  <c r="D63" i="48"/>
  <c r="P62" i="48"/>
  <c r="N62" i="48"/>
  <c r="M62" i="48"/>
  <c r="L62" i="48"/>
  <c r="K62" i="48"/>
  <c r="J62" i="48"/>
  <c r="I62" i="48"/>
  <c r="H62" i="48"/>
  <c r="G62" i="48"/>
  <c r="E62" i="48"/>
  <c r="D62" i="48"/>
  <c r="P61" i="48"/>
  <c r="N61" i="48"/>
  <c r="M61" i="48"/>
  <c r="L61" i="48"/>
  <c r="K61" i="48"/>
  <c r="J61" i="48"/>
  <c r="I61" i="48"/>
  <c r="H61" i="48"/>
  <c r="G61" i="48"/>
  <c r="E61" i="48"/>
  <c r="D61" i="48"/>
  <c r="P60" i="48"/>
  <c r="N60" i="48"/>
  <c r="M60" i="48"/>
  <c r="L60" i="48"/>
  <c r="K60" i="48"/>
  <c r="J60" i="48"/>
  <c r="I60" i="48"/>
  <c r="H60" i="48"/>
  <c r="G60" i="48"/>
  <c r="E60" i="48"/>
  <c r="D60" i="48"/>
  <c r="P59" i="48"/>
  <c r="N59" i="48"/>
  <c r="M59" i="48"/>
  <c r="L59" i="48"/>
  <c r="K59" i="48"/>
  <c r="J59" i="48"/>
  <c r="I59" i="48"/>
  <c r="H59" i="48"/>
  <c r="G59" i="48"/>
  <c r="E59" i="48"/>
  <c r="D59" i="48"/>
  <c r="P58" i="48"/>
  <c r="N58" i="48"/>
  <c r="M58" i="48"/>
  <c r="L58" i="48"/>
  <c r="K58" i="48"/>
  <c r="J58" i="48"/>
  <c r="I58" i="48"/>
  <c r="H58" i="48"/>
  <c r="G58" i="48"/>
  <c r="E58" i="48"/>
  <c r="D58" i="48"/>
  <c r="P57" i="48"/>
  <c r="N57" i="48"/>
  <c r="M57" i="48"/>
  <c r="L57" i="48"/>
  <c r="K57" i="48"/>
  <c r="J57" i="48"/>
  <c r="I57" i="48"/>
  <c r="H57" i="48"/>
  <c r="G57" i="48"/>
  <c r="E57" i="48"/>
  <c r="D57" i="48"/>
  <c r="P56" i="48"/>
  <c r="N56" i="48"/>
  <c r="M56" i="48"/>
  <c r="L56" i="48"/>
  <c r="K56" i="48"/>
  <c r="J56" i="48"/>
  <c r="I56" i="48"/>
  <c r="H56" i="48"/>
  <c r="G56" i="48"/>
  <c r="E56" i="48"/>
  <c r="D56" i="48"/>
  <c r="P55" i="48"/>
  <c r="N55" i="48"/>
  <c r="M55" i="48"/>
  <c r="L55" i="48"/>
  <c r="K55" i="48"/>
  <c r="J55" i="48"/>
  <c r="I55" i="48"/>
  <c r="H55" i="48"/>
  <c r="G55" i="48"/>
  <c r="E55" i="48"/>
  <c r="D55" i="48"/>
  <c r="P54" i="48"/>
  <c r="N54" i="48"/>
  <c r="M54" i="48"/>
  <c r="L54" i="48"/>
  <c r="K54" i="48"/>
  <c r="J54" i="48"/>
  <c r="I54" i="48"/>
  <c r="H54" i="48"/>
  <c r="G54" i="48"/>
  <c r="E54" i="48"/>
  <c r="D54" i="48"/>
  <c r="P53" i="48"/>
  <c r="N53" i="48"/>
  <c r="M53" i="48"/>
  <c r="L53" i="48"/>
  <c r="K53" i="48"/>
  <c r="J53" i="48"/>
  <c r="I53" i="48"/>
  <c r="H53" i="48"/>
  <c r="G53" i="48"/>
  <c r="E53" i="48"/>
  <c r="D53" i="48"/>
  <c r="P52" i="48"/>
  <c r="N52" i="48"/>
  <c r="M52" i="48"/>
  <c r="L52" i="48"/>
  <c r="K52" i="48"/>
  <c r="J52" i="48"/>
  <c r="I52" i="48"/>
  <c r="H52" i="48"/>
  <c r="G52" i="48"/>
  <c r="E52" i="48"/>
  <c r="D52" i="48"/>
  <c r="P51" i="48"/>
  <c r="N51" i="48"/>
  <c r="M51" i="48"/>
  <c r="L51" i="48"/>
  <c r="K51" i="48"/>
  <c r="J51" i="48"/>
  <c r="I51" i="48"/>
  <c r="H51" i="48"/>
  <c r="G51" i="48"/>
  <c r="E51" i="48"/>
  <c r="D51" i="48"/>
  <c r="P50" i="48"/>
  <c r="N50" i="48"/>
  <c r="M50" i="48"/>
  <c r="L50" i="48"/>
  <c r="K50" i="48"/>
  <c r="J50" i="48"/>
  <c r="I50" i="48"/>
  <c r="H50" i="48"/>
  <c r="G50" i="48"/>
  <c r="E50" i="48"/>
  <c r="D50" i="48"/>
  <c r="P49" i="48"/>
  <c r="N49" i="48"/>
  <c r="M49" i="48"/>
  <c r="L49" i="48"/>
  <c r="K49" i="48"/>
  <c r="J49" i="48"/>
  <c r="I49" i="48"/>
  <c r="H49" i="48"/>
  <c r="G49" i="48"/>
  <c r="E49" i="48"/>
  <c r="D49" i="48"/>
  <c r="P48" i="48"/>
  <c r="N48" i="48"/>
  <c r="M48" i="48"/>
  <c r="L48" i="48"/>
  <c r="K48" i="48"/>
  <c r="J48" i="48"/>
  <c r="I48" i="48"/>
  <c r="H48" i="48"/>
  <c r="G48" i="48"/>
  <c r="E48" i="48"/>
  <c r="D48" i="48"/>
  <c r="P47" i="48"/>
  <c r="N47" i="48"/>
  <c r="M47" i="48"/>
  <c r="L47" i="48"/>
  <c r="K47" i="48"/>
  <c r="J47" i="48"/>
  <c r="I47" i="48"/>
  <c r="H47" i="48"/>
  <c r="G47" i="48"/>
  <c r="E47" i="48"/>
  <c r="D47" i="48"/>
  <c r="P46" i="48"/>
  <c r="N46" i="48"/>
  <c r="M46" i="48"/>
  <c r="L46" i="48"/>
  <c r="K46" i="48"/>
  <c r="J46" i="48"/>
  <c r="I46" i="48"/>
  <c r="H46" i="48"/>
  <c r="G46" i="48"/>
  <c r="E46" i="48"/>
  <c r="D46" i="48"/>
  <c r="P45" i="48"/>
  <c r="N45" i="48"/>
  <c r="M45" i="48"/>
  <c r="L45" i="48"/>
  <c r="K45" i="48"/>
  <c r="J45" i="48"/>
  <c r="I45" i="48"/>
  <c r="H45" i="48"/>
  <c r="G45" i="48"/>
  <c r="E45" i="48"/>
  <c r="D45" i="48"/>
  <c r="P44" i="48"/>
  <c r="N44" i="48"/>
  <c r="M44" i="48"/>
  <c r="L44" i="48"/>
  <c r="K44" i="48"/>
  <c r="J44" i="48"/>
  <c r="I44" i="48"/>
  <c r="H44" i="48"/>
  <c r="G44" i="48"/>
  <c r="E44" i="48"/>
  <c r="D44" i="48"/>
  <c r="P43" i="48"/>
  <c r="N43" i="48"/>
  <c r="M43" i="48"/>
  <c r="L43" i="48"/>
  <c r="K43" i="48"/>
  <c r="J43" i="48"/>
  <c r="I43" i="48"/>
  <c r="H43" i="48"/>
  <c r="G43" i="48"/>
  <c r="E43" i="48"/>
  <c r="D43" i="48"/>
  <c r="P42" i="48"/>
  <c r="N42" i="48"/>
  <c r="M42" i="48"/>
  <c r="L42" i="48"/>
  <c r="K42" i="48"/>
  <c r="J42" i="48"/>
  <c r="I42" i="48"/>
  <c r="H42" i="48"/>
  <c r="G42" i="48"/>
  <c r="E42" i="48"/>
  <c r="D42" i="48"/>
  <c r="P41" i="48"/>
  <c r="N41" i="48"/>
  <c r="M41" i="48"/>
  <c r="L41" i="48"/>
  <c r="K41" i="48"/>
  <c r="J41" i="48"/>
  <c r="I41" i="48"/>
  <c r="H41" i="48"/>
  <c r="G41" i="48"/>
  <c r="E41" i="48"/>
  <c r="D41" i="48"/>
  <c r="P40" i="48"/>
  <c r="N40" i="48"/>
  <c r="M40" i="48"/>
  <c r="L40" i="48"/>
  <c r="K40" i="48"/>
  <c r="J40" i="48"/>
  <c r="I40" i="48"/>
  <c r="H40" i="48"/>
  <c r="G40" i="48"/>
  <c r="E40" i="48"/>
  <c r="D40" i="48"/>
  <c r="P39" i="48"/>
  <c r="N39" i="48"/>
  <c r="M39" i="48"/>
  <c r="L39" i="48"/>
  <c r="K39" i="48"/>
  <c r="J39" i="48"/>
  <c r="I39" i="48"/>
  <c r="H39" i="48"/>
  <c r="G39" i="48"/>
  <c r="E39" i="48"/>
  <c r="D39" i="48"/>
  <c r="P38" i="48"/>
  <c r="N38" i="48"/>
  <c r="M38" i="48"/>
  <c r="L38" i="48"/>
  <c r="K38" i="48"/>
  <c r="J38" i="48"/>
  <c r="I38" i="48"/>
  <c r="H38" i="48"/>
  <c r="G38" i="48"/>
  <c r="E38" i="48"/>
  <c r="D38" i="48"/>
  <c r="P37" i="48"/>
  <c r="N37" i="48"/>
  <c r="M37" i="48"/>
  <c r="L37" i="48"/>
  <c r="K37" i="48"/>
  <c r="J37" i="48"/>
  <c r="I37" i="48"/>
  <c r="H37" i="48"/>
  <c r="G37" i="48"/>
  <c r="E37" i="48"/>
  <c r="D37" i="48"/>
  <c r="P36" i="48"/>
  <c r="N36" i="48"/>
  <c r="M36" i="48"/>
  <c r="L36" i="48"/>
  <c r="K36" i="48"/>
  <c r="J36" i="48"/>
  <c r="I36" i="48"/>
  <c r="H36" i="48"/>
  <c r="G36" i="48"/>
  <c r="E36" i="48"/>
  <c r="D36" i="48"/>
  <c r="P35" i="48"/>
  <c r="N35" i="48"/>
  <c r="M35" i="48"/>
  <c r="L35" i="48"/>
  <c r="K35" i="48"/>
  <c r="J35" i="48"/>
  <c r="I35" i="48"/>
  <c r="H35" i="48"/>
  <c r="G35" i="48"/>
  <c r="E35" i="48"/>
  <c r="D35" i="48"/>
  <c r="P34" i="48"/>
  <c r="N34" i="48"/>
  <c r="M34" i="48"/>
  <c r="L34" i="48"/>
  <c r="K34" i="48"/>
  <c r="J34" i="48"/>
  <c r="I34" i="48"/>
  <c r="H34" i="48"/>
  <c r="G34" i="48"/>
  <c r="E34" i="48"/>
  <c r="D34" i="48"/>
  <c r="P33" i="48"/>
  <c r="N33" i="48"/>
  <c r="M33" i="48"/>
  <c r="L33" i="48"/>
  <c r="K33" i="48"/>
  <c r="J33" i="48"/>
  <c r="I33" i="48"/>
  <c r="H33" i="48"/>
  <c r="G33" i="48"/>
  <c r="E33" i="48"/>
  <c r="D33" i="48"/>
  <c r="P32" i="48"/>
  <c r="N32" i="48"/>
  <c r="M32" i="48"/>
  <c r="L32" i="48"/>
  <c r="K32" i="48"/>
  <c r="J32" i="48"/>
  <c r="I32" i="48"/>
  <c r="H32" i="48"/>
  <c r="G32" i="48"/>
  <c r="E32" i="48"/>
  <c r="D32" i="48"/>
  <c r="P31" i="48"/>
  <c r="N31" i="48"/>
  <c r="M31" i="48"/>
  <c r="L31" i="48"/>
  <c r="K31" i="48"/>
  <c r="J31" i="48"/>
  <c r="I31" i="48"/>
  <c r="H31" i="48"/>
  <c r="G31" i="48"/>
  <c r="E31" i="48"/>
  <c r="D31" i="48"/>
  <c r="P30" i="48"/>
  <c r="N30" i="48"/>
  <c r="M30" i="48"/>
  <c r="L30" i="48"/>
  <c r="K30" i="48"/>
  <c r="J30" i="48"/>
  <c r="I30" i="48"/>
  <c r="H30" i="48"/>
  <c r="G30" i="48"/>
  <c r="E30" i="48"/>
  <c r="D30" i="48"/>
  <c r="P29" i="48"/>
  <c r="N29" i="48"/>
  <c r="M29" i="48"/>
  <c r="L29" i="48"/>
  <c r="K29" i="48"/>
  <c r="J29" i="48"/>
  <c r="I29" i="48"/>
  <c r="H29" i="48"/>
  <c r="G29" i="48"/>
  <c r="E29" i="48"/>
  <c r="D29" i="48"/>
  <c r="P28" i="48"/>
  <c r="N28" i="48"/>
  <c r="M28" i="48"/>
  <c r="L28" i="48"/>
  <c r="K28" i="48"/>
  <c r="J28" i="48"/>
  <c r="I28" i="48"/>
  <c r="H28" i="48"/>
  <c r="G28" i="48"/>
  <c r="E28" i="48"/>
  <c r="D28" i="48"/>
  <c r="P27" i="48"/>
  <c r="N27" i="48"/>
  <c r="M27" i="48"/>
  <c r="L27" i="48"/>
  <c r="K27" i="48"/>
  <c r="J27" i="48"/>
  <c r="I27" i="48"/>
  <c r="H27" i="48"/>
  <c r="G27" i="48"/>
  <c r="E27" i="48"/>
  <c r="D27" i="48"/>
  <c r="P26" i="48"/>
  <c r="N26" i="48"/>
  <c r="M26" i="48"/>
  <c r="L26" i="48"/>
  <c r="K26" i="48"/>
  <c r="J26" i="48"/>
  <c r="I26" i="48"/>
  <c r="H26" i="48"/>
  <c r="G26" i="48"/>
  <c r="E26" i="48"/>
  <c r="D26" i="48"/>
  <c r="P25" i="48"/>
  <c r="N25" i="48"/>
  <c r="M25" i="48"/>
  <c r="L25" i="48"/>
  <c r="K25" i="48"/>
  <c r="J25" i="48"/>
  <c r="I25" i="48"/>
  <c r="H25" i="48"/>
  <c r="G25" i="48"/>
  <c r="E25" i="48"/>
  <c r="D25" i="48"/>
  <c r="P24" i="48"/>
  <c r="N24" i="48"/>
  <c r="M24" i="48"/>
  <c r="L24" i="48"/>
  <c r="K24" i="48"/>
  <c r="J24" i="48"/>
  <c r="I24" i="48"/>
  <c r="H24" i="48"/>
  <c r="G24" i="48"/>
  <c r="E24" i="48"/>
  <c r="D24" i="48"/>
  <c r="P23" i="48"/>
  <c r="N23" i="48"/>
  <c r="M23" i="48"/>
  <c r="L23" i="48"/>
  <c r="K23" i="48"/>
  <c r="J23" i="48"/>
  <c r="I23" i="48"/>
  <c r="H23" i="48"/>
  <c r="G23" i="48"/>
  <c r="E23" i="48"/>
  <c r="D23" i="48"/>
  <c r="P22" i="48"/>
  <c r="N22" i="48"/>
  <c r="M22" i="48"/>
  <c r="L22" i="48"/>
  <c r="K22" i="48"/>
  <c r="J22" i="48"/>
  <c r="I22" i="48"/>
  <c r="H22" i="48"/>
  <c r="G22" i="48"/>
  <c r="E22" i="48"/>
  <c r="D22" i="48"/>
  <c r="N19" i="48"/>
  <c r="M19" i="48"/>
  <c r="L19" i="48"/>
  <c r="K19" i="48"/>
  <c r="J19" i="48"/>
  <c r="H19" i="48"/>
  <c r="G19" i="48"/>
  <c r="F19" i="48"/>
  <c r="E19" i="48"/>
  <c r="D19" i="48"/>
  <c r="P18" i="48"/>
  <c r="O18" i="48"/>
  <c r="N18" i="48"/>
  <c r="M18" i="48"/>
  <c r="L18" i="48"/>
  <c r="K18" i="48"/>
  <c r="J18" i="48"/>
  <c r="I18" i="48"/>
  <c r="H18" i="48"/>
  <c r="G18" i="48"/>
  <c r="F18" i="48"/>
  <c r="E18" i="48"/>
  <c r="D18" i="48"/>
  <c r="P17" i="48"/>
  <c r="P16" i="48"/>
  <c r="P15" i="48"/>
  <c r="P14" i="48"/>
  <c r="N13" i="48"/>
  <c r="M13" i="48"/>
  <c r="L13" i="48"/>
  <c r="K13" i="48"/>
  <c r="J13" i="48"/>
  <c r="H13" i="48"/>
  <c r="G13" i="48"/>
  <c r="F13" i="48"/>
  <c r="E13" i="48"/>
  <c r="D13" i="48"/>
  <c r="N12" i="48"/>
  <c r="M12" i="48"/>
  <c r="L12" i="48"/>
  <c r="K12" i="48"/>
  <c r="J12" i="48"/>
  <c r="I12" i="48"/>
  <c r="P12" i="48" s="1"/>
  <c r="H12" i="48"/>
  <c r="G12" i="48"/>
  <c r="F12" i="48"/>
  <c r="E12" i="48"/>
  <c r="D12" i="48"/>
  <c r="N11" i="48"/>
  <c r="M11" i="48"/>
  <c r="L11" i="48"/>
  <c r="K11" i="48"/>
  <c r="J11" i="48"/>
  <c r="I11" i="48"/>
  <c r="P11" i="48" s="1"/>
  <c r="H11" i="48"/>
  <c r="G11" i="48"/>
  <c r="F11" i="48"/>
  <c r="E11" i="48"/>
  <c r="D11" i="48"/>
  <c r="N10" i="48"/>
  <c r="M10" i="48"/>
  <c r="L10" i="48"/>
  <c r="K10" i="48"/>
  <c r="J10" i="48"/>
  <c r="I10" i="48"/>
  <c r="P10" i="48" s="1"/>
  <c r="H10" i="48"/>
  <c r="G10" i="48"/>
  <c r="F10" i="48"/>
  <c r="E10" i="48"/>
  <c r="D10" i="48"/>
  <c r="N9" i="48"/>
  <c r="M9" i="48"/>
  <c r="L9" i="48"/>
  <c r="K9" i="48"/>
  <c r="J9" i="48"/>
  <c r="I9" i="48"/>
  <c r="P9" i="48" s="1"/>
  <c r="H9" i="48"/>
  <c r="G9" i="48"/>
  <c r="F9" i="48"/>
  <c r="E9" i="48"/>
  <c r="D9" i="48"/>
  <c r="O8" i="48"/>
  <c r="O13" i="48" s="1"/>
  <c r="N8" i="48"/>
  <c r="M8" i="48"/>
  <c r="L8" i="48"/>
  <c r="K8" i="48"/>
  <c r="J8" i="48"/>
  <c r="H8" i="48"/>
  <c r="G8" i="48"/>
  <c r="F8" i="48"/>
  <c r="E8" i="48"/>
  <c r="D8" i="48"/>
  <c r="N145" i="47"/>
  <c r="D144" i="47"/>
  <c r="M143" i="47"/>
  <c r="G143" i="47"/>
  <c r="N139" i="47"/>
  <c r="M139" i="47"/>
  <c r="K139" i="47"/>
  <c r="J139" i="47"/>
  <c r="H139" i="47"/>
  <c r="G139" i="47"/>
  <c r="F139" i="47"/>
  <c r="D139" i="47"/>
  <c r="N136" i="47"/>
  <c r="M136" i="47"/>
  <c r="L136" i="47"/>
  <c r="K136" i="47"/>
  <c r="J136" i="47"/>
  <c r="H136" i="47"/>
  <c r="G136" i="47"/>
  <c r="F136" i="47"/>
  <c r="E136" i="47"/>
  <c r="D136" i="47"/>
  <c r="O134" i="47"/>
  <c r="N134" i="47"/>
  <c r="M134" i="47"/>
  <c r="K134" i="47"/>
  <c r="J134" i="47"/>
  <c r="I134" i="47"/>
  <c r="H134" i="47"/>
  <c r="G134" i="47"/>
  <c r="F134" i="47"/>
  <c r="D134" i="47"/>
  <c r="N133" i="47"/>
  <c r="M133" i="47"/>
  <c r="L133" i="47"/>
  <c r="L134" i="47" s="1"/>
  <c r="L139" i="47" s="1"/>
  <c r="K133" i="47"/>
  <c r="J133" i="47"/>
  <c r="N132" i="47"/>
  <c r="M132" i="47"/>
  <c r="L132" i="47"/>
  <c r="K132" i="47"/>
  <c r="J132" i="47"/>
  <c r="I132" i="47"/>
  <c r="H132" i="47"/>
  <c r="G132" i="47"/>
  <c r="E132" i="47"/>
  <c r="P132" i="47" s="1"/>
  <c r="D132" i="47"/>
  <c r="P131" i="47"/>
  <c r="N131" i="47"/>
  <c r="M131" i="47"/>
  <c r="L131" i="47"/>
  <c r="K131" i="47"/>
  <c r="J131" i="47"/>
  <c r="I131" i="47"/>
  <c r="H131" i="47"/>
  <c r="G131" i="47"/>
  <c r="E131" i="47"/>
  <c r="D131" i="47"/>
  <c r="P130" i="47"/>
  <c r="N130" i="47"/>
  <c r="M130" i="47"/>
  <c r="L130" i="47"/>
  <c r="K130" i="47"/>
  <c r="J130" i="47"/>
  <c r="I130" i="47"/>
  <c r="H130" i="47"/>
  <c r="G130" i="47"/>
  <c r="E130" i="47"/>
  <c r="D130" i="47"/>
  <c r="P129" i="47"/>
  <c r="N129" i="47"/>
  <c r="M129" i="47"/>
  <c r="L129" i="47"/>
  <c r="K129" i="47"/>
  <c r="J129" i="47"/>
  <c r="I129" i="47"/>
  <c r="H129" i="47"/>
  <c r="G129" i="47"/>
  <c r="E129" i="47"/>
  <c r="D129" i="47"/>
  <c r="P128" i="47"/>
  <c r="N128" i="47"/>
  <c r="M128" i="47"/>
  <c r="L128" i="47"/>
  <c r="K128" i="47"/>
  <c r="J128" i="47"/>
  <c r="I128" i="47"/>
  <c r="H128" i="47"/>
  <c r="G128" i="47"/>
  <c r="E128" i="47"/>
  <c r="D128" i="47"/>
  <c r="P127" i="47"/>
  <c r="N127" i="47"/>
  <c r="M127" i="47"/>
  <c r="L127" i="47"/>
  <c r="K127" i="47"/>
  <c r="J127" i="47"/>
  <c r="I127" i="47"/>
  <c r="H127" i="47"/>
  <c r="G127" i="47"/>
  <c r="E127" i="47"/>
  <c r="D127" i="47"/>
  <c r="P126" i="47"/>
  <c r="N126" i="47"/>
  <c r="M126" i="47"/>
  <c r="L126" i="47"/>
  <c r="K126" i="47"/>
  <c r="J126" i="47"/>
  <c r="I126" i="47"/>
  <c r="H126" i="47"/>
  <c r="G126" i="47"/>
  <c r="E126" i="47"/>
  <c r="D126" i="47"/>
  <c r="P125" i="47"/>
  <c r="N125" i="47"/>
  <c r="M125" i="47"/>
  <c r="L125" i="47"/>
  <c r="K125" i="47"/>
  <c r="J125" i="47"/>
  <c r="I125" i="47"/>
  <c r="H125" i="47"/>
  <c r="G125" i="47"/>
  <c r="E125" i="47"/>
  <c r="D125" i="47"/>
  <c r="P124" i="47"/>
  <c r="N124" i="47"/>
  <c r="M124" i="47"/>
  <c r="L124" i="47"/>
  <c r="K124" i="47"/>
  <c r="J124" i="47"/>
  <c r="I124" i="47"/>
  <c r="H124" i="47"/>
  <c r="G124" i="47"/>
  <c r="E124" i="47"/>
  <c r="D124" i="47"/>
  <c r="P123" i="47"/>
  <c r="N123" i="47"/>
  <c r="M123" i="47"/>
  <c r="L123" i="47"/>
  <c r="K123" i="47"/>
  <c r="J123" i="47"/>
  <c r="I123" i="47"/>
  <c r="H123" i="47"/>
  <c r="G123" i="47"/>
  <c r="E123" i="47"/>
  <c r="D123" i="47"/>
  <c r="P122" i="47"/>
  <c r="N122" i="47"/>
  <c r="M122" i="47"/>
  <c r="L122" i="47"/>
  <c r="K122" i="47"/>
  <c r="J122" i="47"/>
  <c r="I122" i="47"/>
  <c r="H122" i="47"/>
  <c r="G122" i="47"/>
  <c r="E122" i="47"/>
  <c r="D122" i="47"/>
  <c r="P121" i="47"/>
  <c r="N121" i="47"/>
  <c r="M121" i="47"/>
  <c r="L121" i="47"/>
  <c r="K121" i="47"/>
  <c r="J121" i="47"/>
  <c r="I121" i="47"/>
  <c r="H121" i="47"/>
  <c r="G121" i="47"/>
  <c r="E121" i="47"/>
  <c r="D121" i="47"/>
  <c r="P120" i="47"/>
  <c r="N120" i="47"/>
  <c r="M120" i="47"/>
  <c r="L120" i="47"/>
  <c r="K120" i="47"/>
  <c r="J120" i="47"/>
  <c r="I120" i="47"/>
  <c r="H120" i="47"/>
  <c r="G120" i="47"/>
  <c r="E120" i="47"/>
  <c r="D120" i="47"/>
  <c r="P119" i="47"/>
  <c r="N119" i="47"/>
  <c r="M119" i="47"/>
  <c r="L119" i="47"/>
  <c r="K119" i="47"/>
  <c r="J119" i="47"/>
  <c r="I119" i="47"/>
  <c r="H119" i="47"/>
  <c r="G119" i="47"/>
  <c r="E119" i="47"/>
  <c r="D119" i="47"/>
  <c r="P118" i="47"/>
  <c r="N118" i="47"/>
  <c r="M118" i="47"/>
  <c r="L118" i="47"/>
  <c r="K118" i="47"/>
  <c r="J118" i="47"/>
  <c r="I118" i="47"/>
  <c r="H118" i="47"/>
  <c r="G118" i="47"/>
  <c r="E118" i="47"/>
  <c r="D118" i="47"/>
  <c r="P117" i="47"/>
  <c r="N117" i="47"/>
  <c r="M117" i="47"/>
  <c r="L117" i="47"/>
  <c r="K117" i="47"/>
  <c r="J117" i="47"/>
  <c r="I117" i="47"/>
  <c r="H117" i="47"/>
  <c r="G117" i="47"/>
  <c r="E117" i="47"/>
  <c r="D117" i="47"/>
  <c r="P116" i="47"/>
  <c r="N116" i="47"/>
  <c r="M116" i="47"/>
  <c r="L116" i="47"/>
  <c r="K116" i="47"/>
  <c r="J116" i="47"/>
  <c r="I116" i="47"/>
  <c r="H116" i="47"/>
  <c r="G116" i="47"/>
  <c r="E116" i="47"/>
  <c r="D116" i="47"/>
  <c r="P115" i="47"/>
  <c r="N115" i="47"/>
  <c r="M115" i="47"/>
  <c r="L115" i="47"/>
  <c r="K115" i="47"/>
  <c r="J115" i="47"/>
  <c r="I115" i="47"/>
  <c r="H115" i="47"/>
  <c r="G115" i="47"/>
  <c r="E115" i="47"/>
  <c r="D115" i="47"/>
  <c r="P114" i="47"/>
  <c r="N114" i="47"/>
  <c r="M114" i="47"/>
  <c r="L114" i="47"/>
  <c r="K114" i="47"/>
  <c r="J114" i="47"/>
  <c r="I114" i="47"/>
  <c r="H114" i="47"/>
  <c r="G114" i="47"/>
  <c r="E114" i="47"/>
  <c r="D114" i="47"/>
  <c r="P113" i="47"/>
  <c r="N113" i="47"/>
  <c r="M113" i="47"/>
  <c r="L113" i="47"/>
  <c r="K113" i="47"/>
  <c r="J113" i="47"/>
  <c r="I113" i="47"/>
  <c r="H113" i="47"/>
  <c r="G113" i="47"/>
  <c r="E113" i="47"/>
  <c r="D113" i="47"/>
  <c r="P112" i="47"/>
  <c r="N112" i="47"/>
  <c r="M112" i="47"/>
  <c r="L112" i="47"/>
  <c r="K112" i="47"/>
  <c r="J112" i="47"/>
  <c r="I112" i="47"/>
  <c r="H112" i="47"/>
  <c r="G112" i="47"/>
  <c r="E112" i="47"/>
  <c r="D112" i="47"/>
  <c r="P111" i="47"/>
  <c r="N111" i="47"/>
  <c r="M111" i="47"/>
  <c r="L111" i="47"/>
  <c r="K111" i="47"/>
  <c r="J111" i="47"/>
  <c r="I111" i="47"/>
  <c r="H111" i="47"/>
  <c r="G111" i="47"/>
  <c r="E111" i="47"/>
  <c r="D111" i="47"/>
  <c r="P110" i="47"/>
  <c r="N110" i="47"/>
  <c r="M110" i="47"/>
  <c r="L110" i="47"/>
  <c r="K110" i="47"/>
  <c r="J110" i="47"/>
  <c r="I110" i="47"/>
  <c r="H110" i="47"/>
  <c r="G110" i="47"/>
  <c r="E110" i="47"/>
  <c r="D110" i="47"/>
  <c r="P109" i="47"/>
  <c r="N109" i="47"/>
  <c r="M109" i="47"/>
  <c r="L109" i="47"/>
  <c r="K109" i="47"/>
  <c r="J109" i="47"/>
  <c r="I109" i="47"/>
  <c r="H109" i="47"/>
  <c r="G109" i="47"/>
  <c r="E109" i="47"/>
  <c r="D109" i="47"/>
  <c r="P108" i="47"/>
  <c r="N108" i="47"/>
  <c r="M108" i="47"/>
  <c r="L108" i="47"/>
  <c r="K108" i="47"/>
  <c r="J108" i="47"/>
  <c r="I108" i="47"/>
  <c r="H108" i="47"/>
  <c r="G108" i="47"/>
  <c r="E108" i="47"/>
  <c r="D108" i="47"/>
  <c r="P107" i="47"/>
  <c r="N107" i="47"/>
  <c r="M107" i="47"/>
  <c r="L107" i="47"/>
  <c r="K107" i="47"/>
  <c r="J107" i="47"/>
  <c r="I107" i="47"/>
  <c r="H107" i="47"/>
  <c r="G107" i="47"/>
  <c r="E107" i="47"/>
  <c r="D107" i="47"/>
  <c r="P106" i="47"/>
  <c r="N106" i="47"/>
  <c r="M106" i="47"/>
  <c r="L106" i="47"/>
  <c r="K106" i="47"/>
  <c r="J106" i="47"/>
  <c r="I106" i="47"/>
  <c r="H106" i="47"/>
  <c r="G106" i="47"/>
  <c r="E106" i="47"/>
  <c r="D106" i="47"/>
  <c r="P105" i="47"/>
  <c r="N105" i="47"/>
  <c r="M105" i="47"/>
  <c r="L105" i="47"/>
  <c r="K105" i="47"/>
  <c r="J105" i="47"/>
  <c r="I105" i="47"/>
  <c r="H105" i="47"/>
  <c r="G105" i="47"/>
  <c r="E105" i="47"/>
  <c r="D105" i="47"/>
  <c r="P104" i="47"/>
  <c r="N104" i="47"/>
  <c r="M104" i="47"/>
  <c r="L104" i="47"/>
  <c r="K104" i="47"/>
  <c r="J104" i="47"/>
  <c r="I104" i="47"/>
  <c r="H104" i="47"/>
  <c r="G104" i="47"/>
  <c r="E104" i="47"/>
  <c r="D104" i="47"/>
  <c r="P103" i="47"/>
  <c r="N103" i="47"/>
  <c r="M103" i="47"/>
  <c r="L103" i="47"/>
  <c r="K103" i="47"/>
  <c r="J103" i="47"/>
  <c r="I103" i="47"/>
  <c r="H103" i="47"/>
  <c r="G103" i="47"/>
  <c r="E103" i="47"/>
  <c r="D103" i="47"/>
  <c r="P102" i="47"/>
  <c r="N102" i="47"/>
  <c r="M102" i="47"/>
  <c r="L102" i="47"/>
  <c r="K102" i="47"/>
  <c r="J102" i="47"/>
  <c r="I102" i="47"/>
  <c r="H102" i="47"/>
  <c r="G102" i="47"/>
  <c r="E102" i="47"/>
  <c r="D102" i="47"/>
  <c r="P101" i="47"/>
  <c r="N101" i="47"/>
  <c r="M101" i="47"/>
  <c r="L101" i="47"/>
  <c r="K101" i="47"/>
  <c r="J101" i="47"/>
  <c r="I101" i="47"/>
  <c r="H101" i="47"/>
  <c r="G101" i="47"/>
  <c r="E101" i="47"/>
  <c r="D101" i="47"/>
  <c r="P100" i="47"/>
  <c r="N100" i="47"/>
  <c r="M100" i="47"/>
  <c r="L100" i="47"/>
  <c r="K100" i="47"/>
  <c r="J100" i="47"/>
  <c r="I100" i="47"/>
  <c r="H100" i="47"/>
  <c r="G100" i="47"/>
  <c r="E100" i="47"/>
  <c r="D100" i="47"/>
  <c r="P99" i="47"/>
  <c r="N99" i="47"/>
  <c r="M99" i="47"/>
  <c r="L99" i="47"/>
  <c r="K99" i="47"/>
  <c r="J99" i="47"/>
  <c r="I99" i="47"/>
  <c r="H99" i="47"/>
  <c r="G99" i="47"/>
  <c r="E99" i="47"/>
  <c r="D99" i="47"/>
  <c r="P98" i="47"/>
  <c r="N98" i="47"/>
  <c r="M98" i="47"/>
  <c r="L98" i="47"/>
  <c r="K98" i="47"/>
  <c r="J98" i="47"/>
  <c r="I98" i="47"/>
  <c r="H98" i="47"/>
  <c r="G98" i="47"/>
  <c r="E98" i="47"/>
  <c r="D98" i="47"/>
  <c r="P97" i="47"/>
  <c r="N97" i="47"/>
  <c r="M97" i="47"/>
  <c r="L97" i="47"/>
  <c r="K97" i="47"/>
  <c r="J97" i="47"/>
  <c r="I97" i="47"/>
  <c r="H97" i="47"/>
  <c r="G97" i="47"/>
  <c r="E97" i="47"/>
  <c r="D97" i="47"/>
  <c r="P96" i="47"/>
  <c r="N96" i="47"/>
  <c r="M96" i="47"/>
  <c r="L96" i="47"/>
  <c r="K96" i="47"/>
  <c r="J96" i="47"/>
  <c r="I96" i="47"/>
  <c r="H96" i="47"/>
  <c r="G96" i="47"/>
  <c r="E96" i="47"/>
  <c r="D96" i="47"/>
  <c r="P95" i="47"/>
  <c r="N95" i="47"/>
  <c r="M95" i="47"/>
  <c r="L95" i="47"/>
  <c r="K95" i="47"/>
  <c r="J95" i="47"/>
  <c r="I95" i="47"/>
  <c r="H95" i="47"/>
  <c r="G95" i="47"/>
  <c r="E95" i="47"/>
  <c r="D95" i="47"/>
  <c r="P94" i="47"/>
  <c r="N94" i="47"/>
  <c r="M94" i="47"/>
  <c r="L94" i="47"/>
  <c r="K94" i="47"/>
  <c r="J94" i="47"/>
  <c r="I94" i="47"/>
  <c r="H94" i="47"/>
  <c r="G94" i="47"/>
  <c r="E94" i="47"/>
  <c r="D94" i="47"/>
  <c r="P93" i="47"/>
  <c r="N93" i="47"/>
  <c r="M93" i="47"/>
  <c r="L93" i="47"/>
  <c r="K93" i="47"/>
  <c r="J93" i="47"/>
  <c r="I93" i="47"/>
  <c r="H93" i="47"/>
  <c r="G93" i="47"/>
  <c r="E93" i="47"/>
  <c r="D93" i="47"/>
  <c r="P92" i="47"/>
  <c r="N92" i="47"/>
  <c r="M92" i="47"/>
  <c r="L92" i="47"/>
  <c r="K92" i="47"/>
  <c r="J92" i="47"/>
  <c r="I92" i="47"/>
  <c r="H92" i="47"/>
  <c r="G92" i="47"/>
  <c r="E92" i="47"/>
  <c r="D92" i="47"/>
  <c r="P91" i="47"/>
  <c r="N91" i="47"/>
  <c r="M91" i="47"/>
  <c r="L91" i="47"/>
  <c r="K91" i="47"/>
  <c r="J91" i="47"/>
  <c r="I91" i="47"/>
  <c r="H91" i="47"/>
  <c r="G91" i="47"/>
  <c r="E91" i="47"/>
  <c r="D91" i="47"/>
  <c r="P90" i="47"/>
  <c r="N90" i="47"/>
  <c r="M90" i="47"/>
  <c r="L90" i="47"/>
  <c r="K90" i="47"/>
  <c r="J90" i="47"/>
  <c r="I90" i="47"/>
  <c r="H90" i="47"/>
  <c r="G90" i="47"/>
  <c r="E90" i="47"/>
  <c r="D90" i="47"/>
  <c r="P89" i="47"/>
  <c r="N89" i="47"/>
  <c r="M89" i="47"/>
  <c r="L89" i="47"/>
  <c r="K89" i="47"/>
  <c r="J89" i="47"/>
  <c r="I89" i="47"/>
  <c r="H89" i="47"/>
  <c r="G89" i="47"/>
  <c r="E89" i="47"/>
  <c r="D89" i="47"/>
  <c r="P88" i="47"/>
  <c r="N88" i="47"/>
  <c r="M88" i="47"/>
  <c r="L88" i="47"/>
  <c r="K88" i="47"/>
  <c r="J88" i="47"/>
  <c r="I88" i="47"/>
  <c r="H88" i="47"/>
  <c r="G88" i="47"/>
  <c r="E88" i="47"/>
  <c r="D88" i="47"/>
  <c r="P87" i="47"/>
  <c r="N87" i="47"/>
  <c r="M87" i="47"/>
  <c r="L87" i="47"/>
  <c r="K87" i="47"/>
  <c r="J87" i="47"/>
  <c r="I87" i="47"/>
  <c r="H87" i="47"/>
  <c r="G87" i="47"/>
  <c r="E87" i="47"/>
  <c r="D87" i="47"/>
  <c r="P86" i="47"/>
  <c r="N86" i="47"/>
  <c r="M86" i="47"/>
  <c r="L86" i="47"/>
  <c r="K86" i="47"/>
  <c r="J86" i="47"/>
  <c r="I86" i="47"/>
  <c r="H86" i="47"/>
  <c r="G86" i="47"/>
  <c r="E86" i="47"/>
  <c r="D86" i="47"/>
  <c r="P85" i="47"/>
  <c r="N85" i="47"/>
  <c r="M85" i="47"/>
  <c r="L85" i="47"/>
  <c r="K85" i="47"/>
  <c r="J85" i="47"/>
  <c r="I85" i="47"/>
  <c r="H85" i="47"/>
  <c r="G85" i="47"/>
  <c r="E85" i="47"/>
  <c r="D85" i="47"/>
  <c r="P84" i="47"/>
  <c r="N84" i="47"/>
  <c r="M84" i="47"/>
  <c r="L84" i="47"/>
  <c r="K84" i="47"/>
  <c r="J84" i="47"/>
  <c r="I84" i="47"/>
  <c r="H84" i="47"/>
  <c r="G84" i="47"/>
  <c r="E84" i="47"/>
  <c r="D84" i="47"/>
  <c r="P83" i="47"/>
  <c r="N83" i="47"/>
  <c r="M83" i="47"/>
  <c r="L83" i="47"/>
  <c r="K83" i="47"/>
  <c r="J83" i="47"/>
  <c r="I83" i="47"/>
  <c r="H83" i="47"/>
  <c r="G83" i="47"/>
  <c r="E83" i="47"/>
  <c r="D83" i="47"/>
  <c r="P82" i="47"/>
  <c r="N82" i="47"/>
  <c r="M82" i="47"/>
  <c r="L82" i="47"/>
  <c r="K82" i="47"/>
  <c r="J82" i="47"/>
  <c r="I82" i="47"/>
  <c r="H82" i="47"/>
  <c r="G82" i="47"/>
  <c r="E82" i="47"/>
  <c r="D82" i="47"/>
  <c r="P81" i="47"/>
  <c r="N81" i="47"/>
  <c r="M81" i="47"/>
  <c r="L81" i="47"/>
  <c r="K81" i="47"/>
  <c r="J81" i="47"/>
  <c r="I81" i="47"/>
  <c r="H81" i="47"/>
  <c r="G81" i="47"/>
  <c r="E81" i="47"/>
  <c r="D81" i="47"/>
  <c r="P80" i="47"/>
  <c r="N80" i="47"/>
  <c r="M80" i="47"/>
  <c r="L80" i="47"/>
  <c r="K80" i="47"/>
  <c r="J80" i="47"/>
  <c r="I80" i="47"/>
  <c r="H80" i="47"/>
  <c r="G80" i="47"/>
  <c r="E80" i="47"/>
  <c r="D80" i="47"/>
  <c r="P79" i="47"/>
  <c r="N79" i="47"/>
  <c r="M79" i="47"/>
  <c r="L79" i="47"/>
  <c r="K79" i="47"/>
  <c r="J79" i="47"/>
  <c r="I79" i="47"/>
  <c r="H79" i="47"/>
  <c r="G79" i="47"/>
  <c r="E79" i="47"/>
  <c r="D79" i="47"/>
  <c r="P78" i="47"/>
  <c r="N78" i="47"/>
  <c r="M78" i="47"/>
  <c r="L78" i="47"/>
  <c r="K78" i="47"/>
  <c r="J78" i="47"/>
  <c r="I78" i="47"/>
  <c r="H78" i="47"/>
  <c r="G78" i="47"/>
  <c r="E78" i="47"/>
  <c r="D78" i="47"/>
  <c r="P77" i="47"/>
  <c r="N77" i="47"/>
  <c r="M77" i="47"/>
  <c r="L77" i="47"/>
  <c r="K77" i="47"/>
  <c r="J77" i="47"/>
  <c r="I77" i="47"/>
  <c r="H77" i="47"/>
  <c r="G77" i="47"/>
  <c r="E77" i="47"/>
  <c r="D77" i="47"/>
  <c r="P76" i="47"/>
  <c r="N76" i="47"/>
  <c r="M76" i="47"/>
  <c r="L76" i="47"/>
  <c r="K76" i="47"/>
  <c r="J76" i="47"/>
  <c r="I76" i="47"/>
  <c r="H76" i="47"/>
  <c r="G76" i="47"/>
  <c r="E76" i="47"/>
  <c r="D76" i="47"/>
  <c r="P75" i="47"/>
  <c r="N75" i="47"/>
  <c r="M75" i="47"/>
  <c r="L75" i="47"/>
  <c r="K75" i="47"/>
  <c r="J75" i="47"/>
  <c r="I75" i="47"/>
  <c r="H75" i="47"/>
  <c r="G75" i="47"/>
  <c r="E75" i="47"/>
  <c r="D75" i="47"/>
  <c r="P74" i="47"/>
  <c r="N74" i="47"/>
  <c r="M74" i="47"/>
  <c r="L74" i="47"/>
  <c r="K74" i="47"/>
  <c r="J74" i="47"/>
  <c r="I74" i="47"/>
  <c r="H74" i="47"/>
  <c r="G74" i="47"/>
  <c r="E74" i="47"/>
  <c r="D74" i="47"/>
  <c r="P73" i="47"/>
  <c r="N73" i="47"/>
  <c r="M73" i="47"/>
  <c r="L73" i="47"/>
  <c r="K73" i="47"/>
  <c r="J73" i="47"/>
  <c r="I73" i="47"/>
  <c r="H73" i="47"/>
  <c r="G73" i="47"/>
  <c r="E73" i="47"/>
  <c r="D73" i="47"/>
  <c r="P72" i="47"/>
  <c r="N72" i="47"/>
  <c r="M72" i="47"/>
  <c r="L72" i="47"/>
  <c r="K72" i="47"/>
  <c r="J72" i="47"/>
  <c r="I72" i="47"/>
  <c r="H72" i="47"/>
  <c r="G72" i="47"/>
  <c r="E72" i="47"/>
  <c r="D72" i="47"/>
  <c r="P71" i="47"/>
  <c r="N71" i="47"/>
  <c r="M71" i="47"/>
  <c r="L71" i="47"/>
  <c r="K71" i="47"/>
  <c r="J71" i="47"/>
  <c r="I71" i="47"/>
  <c r="H71" i="47"/>
  <c r="G71" i="47"/>
  <c r="E71" i="47"/>
  <c r="D71" i="47"/>
  <c r="P70" i="47"/>
  <c r="N70" i="47"/>
  <c r="M70" i="47"/>
  <c r="L70" i="47"/>
  <c r="K70" i="47"/>
  <c r="J70" i="47"/>
  <c r="I70" i="47"/>
  <c r="H70" i="47"/>
  <c r="G70" i="47"/>
  <c r="E70" i="47"/>
  <c r="D70" i="47"/>
  <c r="P69" i="47"/>
  <c r="N69" i="47"/>
  <c r="M69" i="47"/>
  <c r="L69" i="47"/>
  <c r="K69" i="47"/>
  <c r="J69" i="47"/>
  <c r="I69" i="47"/>
  <c r="H69" i="47"/>
  <c r="G69" i="47"/>
  <c r="E69" i="47"/>
  <c r="D69" i="47"/>
  <c r="P68" i="47"/>
  <c r="N68" i="47"/>
  <c r="M68" i="47"/>
  <c r="L68" i="47"/>
  <c r="K68" i="47"/>
  <c r="J68" i="47"/>
  <c r="I68" i="47"/>
  <c r="H68" i="47"/>
  <c r="G68" i="47"/>
  <c r="E68" i="47"/>
  <c r="D68" i="47"/>
  <c r="P67" i="47"/>
  <c r="N67" i="47"/>
  <c r="M67" i="47"/>
  <c r="L67" i="47"/>
  <c r="K67" i="47"/>
  <c r="J67" i="47"/>
  <c r="I67" i="47"/>
  <c r="H67" i="47"/>
  <c r="G67" i="47"/>
  <c r="E67" i="47"/>
  <c r="D67" i="47"/>
  <c r="P66" i="47"/>
  <c r="N66" i="47"/>
  <c r="M66" i="47"/>
  <c r="L66" i="47"/>
  <c r="K66" i="47"/>
  <c r="J66" i="47"/>
  <c r="I66" i="47"/>
  <c r="H66" i="47"/>
  <c r="G66" i="47"/>
  <c r="E66" i="47"/>
  <c r="D66" i="47"/>
  <c r="P65" i="47"/>
  <c r="N65" i="47"/>
  <c r="M65" i="47"/>
  <c r="L65" i="47"/>
  <c r="K65" i="47"/>
  <c r="J65" i="47"/>
  <c r="I65" i="47"/>
  <c r="H65" i="47"/>
  <c r="G65" i="47"/>
  <c r="E65" i="47"/>
  <c r="D65" i="47"/>
  <c r="P64" i="47"/>
  <c r="N64" i="47"/>
  <c r="M64" i="47"/>
  <c r="L64" i="47"/>
  <c r="K64" i="47"/>
  <c r="J64" i="47"/>
  <c r="I64" i="47"/>
  <c r="H64" i="47"/>
  <c r="G64" i="47"/>
  <c r="E64" i="47"/>
  <c r="D64" i="47"/>
  <c r="P63" i="47"/>
  <c r="N63" i="47"/>
  <c r="M63" i="47"/>
  <c r="L63" i="47"/>
  <c r="K63" i="47"/>
  <c r="J63" i="47"/>
  <c r="I63" i="47"/>
  <c r="H63" i="47"/>
  <c r="G63" i="47"/>
  <c r="E63" i="47"/>
  <c r="D63" i="47"/>
  <c r="P62" i="47"/>
  <c r="N62" i="47"/>
  <c r="M62" i="47"/>
  <c r="L62" i="47"/>
  <c r="K62" i="47"/>
  <c r="J62" i="47"/>
  <c r="I62" i="47"/>
  <c r="H62" i="47"/>
  <c r="G62" i="47"/>
  <c r="E62" i="47"/>
  <c r="D62" i="47"/>
  <c r="P61" i="47"/>
  <c r="N61" i="47"/>
  <c r="M61" i="47"/>
  <c r="L61" i="47"/>
  <c r="K61" i="47"/>
  <c r="J61" i="47"/>
  <c r="I61" i="47"/>
  <c r="H61" i="47"/>
  <c r="G61" i="47"/>
  <c r="E61" i="47"/>
  <c r="D61" i="47"/>
  <c r="P60" i="47"/>
  <c r="N60" i="47"/>
  <c r="M60" i="47"/>
  <c r="L60" i="47"/>
  <c r="K60" i="47"/>
  <c r="J60" i="47"/>
  <c r="I60" i="47"/>
  <c r="H60" i="47"/>
  <c r="G60" i="47"/>
  <c r="E60" i="47"/>
  <c r="D60" i="47"/>
  <c r="P59" i="47"/>
  <c r="N59" i="47"/>
  <c r="M59" i="47"/>
  <c r="L59" i="47"/>
  <c r="K59" i="47"/>
  <c r="J59" i="47"/>
  <c r="I59" i="47"/>
  <c r="H59" i="47"/>
  <c r="G59" i="47"/>
  <c r="E59" i="47"/>
  <c r="D59" i="47"/>
  <c r="P58" i="47"/>
  <c r="N58" i="47"/>
  <c r="M58" i="47"/>
  <c r="L58" i="47"/>
  <c r="K58" i="47"/>
  <c r="J58" i="47"/>
  <c r="I58" i="47"/>
  <c r="H58" i="47"/>
  <c r="G58" i="47"/>
  <c r="E58" i="47"/>
  <c r="D58" i="47"/>
  <c r="P57" i="47"/>
  <c r="N57" i="47"/>
  <c r="M57" i="47"/>
  <c r="L57" i="47"/>
  <c r="K57" i="47"/>
  <c r="J57" i="47"/>
  <c r="I57" i="47"/>
  <c r="H57" i="47"/>
  <c r="G57" i="47"/>
  <c r="E57" i="47"/>
  <c r="D57" i="47"/>
  <c r="P56" i="47"/>
  <c r="N56" i="47"/>
  <c r="M56" i="47"/>
  <c r="L56" i="47"/>
  <c r="K56" i="47"/>
  <c r="J56" i="47"/>
  <c r="I56" i="47"/>
  <c r="H56" i="47"/>
  <c r="G56" i="47"/>
  <c r="E56" i="47"/>
  <c r="D56" i="47"/>
  <c r="P55" i="47"/>
  <c r="N55" i="47"/>
  <c r="M55" i="47"/>
  <c r="L55" i="47"/>
  <c r="K55" i="47"/>
  <c r="J55" i="47"/>
  <c r="I55" i="47"/>
  <c r="H55" i="47"/>
  <c r="G55" i="47"/>
  <c r="E55" i="47"/>
  <c r="D55" i="47"/>
  <c r="P54" i="47"/>
  <c r="N54" i="47"/>
  <c r="M54" i="47"/>
  <c r="L54" i="47"/>
  <c r="K54" i="47"/>
  <c r="J54" i="47"/>
  <c r="I54" i="47"/>
  <c r="H54" i="47"/>
  <c r="G54" i="47"/>
  <c r="E54" i="47"/>
  <c r="D54" i="47"/>
  <c r="P53" i="47"/>
  <c r="N53" i="47"/>
  <c r="M53" i="47"/>
  <c r="L53" i="47"/>
  <c r="K53" i="47"/>
  <c r="J53" i="47"/>
  <c r="I53" i="47"/>
  <c r="H53" i="47"/>
  <c r="G53" i="47"/>
  <c r="E53" i="47"/>
  <c r="D53" i="47"/>
  <c r="P52" i="47"/>
  <c r="N52" i="47"/>
  <c r="M52" i="47"/>
  <c r="L52" i="47"/>
  <c r="K52" i="47"/>
  <c r="J52" i="47"/>
  <c r="I52" i="47"/>
  <c r="H52" i="47"/>
  <c r="G52" i="47"/>
  <c r="E52" i="47"/>
  <c r="D52" i="47"/>
  <c r="P51" i="47"/>
  <c r="N51" i="47"/>
  <c r="M51" i="47"/>
  <c r="L51" i="47"/>
  <c r="K51" i="47"/>
  <c r="J51" i="47"/>
  <c r="I51" i="47"/>
  <c r="H51" i="47"/>
  <c r="G51" i="47"/>
  <c r="E51" i="47"/>
  <c r="D51" i="47"/>
  <c r="P50" i="47"/>
  <c r="N50" i="47"/>
  <c r="M50" i="47"/>
  <c r="L50" i="47"/>
  <c r="K50" i="47"/>
  <c r="J50" i="47"/>
  <c r="I50" i="47"/>
  <c r="H50" i="47"/>
  <c r="G50" i="47"/>
  <c r="E50" i="47"/>
  <c r="D50" i="47"/>
  <c r="P49" i="47"/>
  <c r="N49" i="47"/>
  <c r="M49" i="47"/>
  <c r="L49" i="47"/>
  <c r="K49" i="47"/>
  <c r="J49" i="47"/>
  <c r="I49" i="47"/>
  <c r="H49" i="47"/>
  <c r="G49" i="47"/>
  <c r="E49" i="47"/>
  <c r="D49" i="47"/>
  <c r="P48" i="47"/>
  <c r="N48" i="47"/>
  <c r="M48" i="47"/>
  <c r="L48" i="47"/>
  <c r="K48" i="47"/>
  <c r="J48" i="47"/>
  <c r="I48" i="47"/>
  <c r="H48" i="47"/>
  <c r="G48" i="47"/>
  <c r="E48" i="47"/>
  <c r="D48" i="47"/>
  <c r="P47" i="47"/>
  <c r="N47" i="47"/>
  <c r="M47" i="47"/>
  <c r="L47" i="47"/>
  <c r="K47" i="47"/>
  <c r="J47" i="47"/>
  <c r="I47" i="47"/>
  <c r="H47" i="47"/>
  <c r="G47" i="47"/>
  <c r="E47" i="47"/>
  <c r="D47" i="47"/>
  <c r="P46" i="47"/>
  <c r="N46" i="47"/>
  <c r="M46" i="47"/>
  <c r="L46" i="47"/>
  <c r="K46" i="47"/>
  <c r="J46" i="47"/>
  <c r="I46" i="47"/>
  <c r="H46" i="47"/>
  <c r="G46" i="47"/>
  <c r="E46" i="47"/>
  <c r="D46" i="47"/>
  <c r="P45" i="47"/>
  <c r="N45" i="47"/>
  <c r="M45" i="47"/>
  <c r="L45" i="47"/>
  <c r="K45" i="47"/>
  <c r="J45" i="47"/>
  <c r="I45" i="47"/>
  <c r="H45" i="47"/>
  <c r="G45" i="47"/>
  <c r="E45" i="47"/>
  <c r="D45" i="47"/>
  <c r="P44" i="47"/>
  <c r="N44" i="47"/>
  <c r="M44" i="47"/>
  <c r="L44" i="47"/>
  <c r="K44" i="47"/>
  <c r="J44" i="47"/>
  <c r="I44" i="47"/>
  <c r="H44" i="47"/>
  <c r="G44" i="47"/>
  <c r="E44" i="47"/>
  <c r="D44" i="47"/>
  <c r="P43" i="47"/>
  <c r="N43" i="47"/>
  <c r="M43" i="47"/>
  <c r="L43" i="47"/>
  <c r="K43" i="47"/>
  <c r="J43" i="47"/>
  <c r="I43" i="47"/>
  <c r="H43" i="47"/>
  <c r="G43" i="47"/>
  <c r="E43" i="47"/>
  <c r="D43" i="47"/>
  <c r="P42" i="47"/>
  <c r="N42" i="47"/>
  <c r="M42" i="47"/>
  <c r="L42" i="47"/>
  <c r="K42" i="47"/>
  <c r="J42" i="47"/>
  <c r="I42" i="47"/>
  <c r="H42" i="47"/>
  <c r="G42" i="47"/>
  <c r="E42" i="47"/>
  <c r="D42" i="47"/>
  <c r="P41" i="47"/>
  <c r="N41" i="47"/>
  <c r="M41" i="47"/>
  <c r="L41" i="47"/>
  <c r="K41" i="47"/>
  <c r="J41" i="47"/>
  <c r="I41" i="47"/>
  <c r="H41" i="47"/>
  <c r="G41" i="47"/>
  <c r="E41" i="47"/>
  <c r="D41" i="47"/>
  <c r="P40" i="47"/>
  <c r="N40" i="47"/>
  <c r="M40" i="47"/>
  <c r="L40" i="47"/>
  <c r="K40" i="47"/>
  <c r="J40" i="47"/>
  <c r="I40" i="47"/>
  <c r="H40" i="47"/>
  <c r="G40" i="47"/>
  <c r="E40" i="47"/>
  <c r="D40" i="47"/>
  <c r="P39" i="47"/>
  <c r="N39" i="47"/>
  <c r="M39" i="47"/>
  <c r="L39" i="47"/>
  <c r="K39" i="47"/>
  <c r="J39" i="47"/>
  <c r="I39" i="47"/>
  <c r="H39" i="47"/>
  <c r="G39" i="47"/>
  <c r="E39" i="47"/>
  <c r="D39" i="47"/>
  <c r="P38" i="47"/>
  <c r="N38" i="47"/>
  <c r="M38" i="47"/>
  <c r="L38" i="47"/>
  <c r="K38" i="47"/>
  <c r="J38" i="47"/>
  <c r="I38" i="47"/>
  <c r="H38" i="47"/>
  <c r="G38" i="47"/>
  <c r="E38" i="47"/>
  <c r="D38" i="47"/>
  <c r="P37" i="47"/>
  <c r="N37" i="47"/>
  <c r="M37" i="47"/>
  <c r="L37" i="47"/>
  <c r="K37" i="47"/>
  <c r="J37" i="47"/>
  <c r="I37" i="47"/>
  <c r="H37" i="47"/>
  <c r="G37" i="47"/>
  <c r="E37" i="47"/>
  <c r="D37" i="47"/>
  <c r="P36" i="47"/>
  <c r="N36" i="47"/>
  <c r="M36" i="47"/>
  <c r="L36" i="47"/>
  <c r="K36" i="47"/>
  <c r="J36" i="47"/>
  <c r="I36" i="47"/>
  <c r="H36" i="47"/>
  <c r="G36" i="47"/>
  <c r="E36" i="47"/>
  <c r="D36" i="47"/>
  <c r="P35" i="47"/>
  <c r="N35" i="47"/>
  <c r="M35" i="47"/>
  <c r="L35" i="47"/>
  <c r="K35" i="47"/>
  <c r="J35" i="47"/>
  <c r="I35" i="47"/>
  <c r="H35" i="47"/>
  <c r="G35" i="47"/>
  <c r="E35" i="47"/>
  <c r="D35" i="47"/>
  <c r="P34" i="47"/>
  <c r="N34" i="47"/>
  <c r="M34" i="47"/>
  <c r="L34" i="47"/>
  <c r="K34" i="47"/>
  <c r="J34" i="47"/>
  <c r="I34" i="47"/>
  <c r="H34" i="47"/>
  <c r="G34" i="47"/>
  <c r="E34" i="47"/>
  <c r="D34" i="47"/>
  <c r="P33" i="47"/>
  <c r="N33" i="47"/>
  <c r="M33" i="47"/>
  <c r="L33" i="47"/>
  <c r="K33" i="47"/>
  <c r="J33" i="47"/>
  <c r="I33" i="47"/>
  <c r="H33" i="47"/>
  <c r="G33" i="47"/>
  <c r="E33" i="47"/>
  <c r="D33" i="47"/>
  <c r="P32" i="47"/>
  <c r="N32" i="47"/>
  <c r="M32" i="47"/>
  <c r="L32" i="47"/>
  <c r="K32" i="47"/>
  <c r="J32" i="47"/>
  <c r="I32" i="47"/>
  <c r="H32" i="47"/>
  <c r="G32" i="47"/>
  <c r="E32" i="47"/>
  <c r="D32" i="47"/>
  <c r="P31" i="47"/>
  <c r="N31" i="47"/>
  <c r="M31" i="47"/>
  <c r="L31" i="47"/>
  <c r="K31" i="47"/>
  <c r="J31" i="47"/>
  <c r="I31" i="47"/>
  <c r="H31" i="47"/>
  <c r="G31" i="47"/>
  <c r="E31" i="47"/>
  <c r="D31" i="47"/>
  <c r="P30" i="47"/>
  <c r="N30" i="47"/>
  <c r="M30" i="47"/>
  <c r="L30" i="47"/>
  <c r="K30" i="47"/>
  <c r="J30" i="47"/>
  <c r="I30" i="47"/>
  <c r="H30" i="47"/>
  <c r="G30" i="47"/>
  <c r="E30" i="47"/>
  <c r="D30" i="47"/>
  <c r="P29" i="47"/>
  <c r="N29" i="47"/>
  <c r="M29" i="47"/>
  <c r="L29" i="47"/>
  <c r="K29" i="47"/>
  <c r="J29" i="47"/>
  <c r="I29" i="47"/>
  <c r="H29" i="47"/>
  <c r="G29" i="47"/>
  <c r="E29" i="47"/>
  <c r="D29" i="47"/>
  <c r="P28" i="47"/>
  <c r="N28" i="47"/>
  <c r="M28" i="47"/>
  <c r="L28" i="47"/>
  <c r="K28" i="47"/>
  <c r="J28" i="47"/>
  <c r="I28" i="47"/>
  <c r="H28" i="47"/>
  <c r="G28" i="47"/>
  <c r="E28" i="47"/>
  <c r="D28" i="47"/>
  <c r="P27" i="47"/>
  <c r="N27" i="47"/>
  <c r="M27" i="47"/>
  <c r="L27" i="47"/>
  <c r="K27" i="47"/>
  <c r="J27" i="47"/>
  <c r="I27" i="47"/>
  <c r="H27" i="47"/>
  <c r="G27" i="47"/>
  <c r="E27" i="47"/>
  <c r="D27" i="47"/>
  <c r="P26" i="47"/>
  <c r="N26" i="47"/>
  <c r="M26" i="47"/>
  <c r="L26" i="47"/>
  <c r="K26" i="47"/>
  <c r="J26" i="47"/>
  <c r="I26" i="47"/>
  <c r="H26" i="47"/>
  <c r="G26" i="47"/>
  <c r="E26" i="47"/>
  <c r="D26" i="47"/>
  <c r="P25" i="47"/>
  <c r="N25" i="47"/>
  <c r="M25" i="47"/>
  <c r="L25" i="47"/>
  <c r="K25" i="47"/>
  <c r="J25" i="47"/>
  <c r="I25" i="47"/>
  <c r="H25" i="47"/>
  <c r="G25" i="47"/>
  <c r="E25" i="47"/>
  <c r="D25" i="47"/>
  <c r="P24" i="47"/>
  <c r="N24" i="47"/>
  <c r="M24" i="47"/>
  <c r="L24" i="47"/>
  <c r="K24" i="47"/>
  <c r="J24" i="47"/>
  <c r="I24" i="47"/>
  <c r="H24" i="47"/>
  <c r="G24" i="47"/>
  <c r="E24" i="47"/>
  <c r="D24" i="47"/>
  <c r="P23" i="47"/>
  <c r="N23" i="47"/>
  <c r="M23" i="47"/>
  <c r="L23" i="47"/>
  <c r="K23" i="47"/>
  <c r="J23" i="47"/>
  <c r="I23" i="47"/>
  <c r="H23" i="47"/>
  <c r="G23" i="47"/>
  <c r="E23" i="47"/>
  <c r="D23" i="47"/>
  <c r="P22" i="47"/>
  <c r="N22" i="47"/>
  <c r="M22" i="47"/>
  <c r="L22" i="47"/>
  <c r="K22" i="47"/>
  <c r="J22" i="47"/>
  <c r="I22" i="47"/>
  <c r="H22" i="47"/>
  <c r="G22" i="47"/>
  <c r="E22" i="47"/>
  <c r="D22" i="47"/>
  <c r="N20" i="47"/>
  <c r="M20" i="47"/>
  <c r="L20" i="47"/>
  <c r="K20" i="47"/>
  <c r="J20" i="47"/>
  <c r="H20" i="47"/>
  <c r="G20" i="47"/>
  <c r="F20" i="47"/>
  <c r="E20" i="47"/>
  <c r="D20" i="47"/>
  <c r="N19" i="47"/>
  <c r="M19" i="47"/>
  <c r="L19" i="47"/>
  <c r="K19" i="47"/>
  <c r="J19" i="47"/>
  <c r="H19" i="47"/>
  <c r="G19" i="47"/>
  <c r="F19" i="47"/>
  <c r="E19" i="47"/>
  <c r="D19" i="47"/>
  <c r="P18" i="47"/>
  <c r="O18" i="47"/>
  <c r="N18" i="47"/>
  <c r="M18" i="47"/>
  <c r="L18" i="47"/>
  <c r="K18" i="47"/>
  <c r="J18" i="47"/>
  <c r="I18" i="47"/>
  <c r="H18" i="47"/>
  <c r="G18" i="47"/>
  <c r="F18" i="47"/>
  <c r="E18" i="47"/>
  <c r="D18" i="47"/>
  <c r="P17" i="47"/>
  <c r="P16" i="47"/>
  <c r="E16" i="47"/>
  <c r="P15" i="47"/>
  <c r="P14" i="47"/>
  <c r="N13" i="47"/>
  <c r="M13" i="47"/>
  <c r="L13" i="47"/>
  <c r="K13" i="47"/>
  <c r="J13" i="47"/>
  <c r="H13" i="47"/>
  <c r="G13" i="47"/>
  <c r="F13" i="47"/>
  <c r="E13" i="47"/>
  <c r="D13" i="47"/>
  <c r="N12" i="47"/>
  <c r="M12" i="47"/>
  <c r="L12" i="47"/>
  <c r="K12" i="47"/>
  <c r="J12" i="47"/>
  <c r="I12" i="47"/>
  <c r="P12" i="47" s="1"/>
  <c r="H12" i="47"/>
  <c r="G12" i="47"/>
  <c r="F12" i="47"/>
  <c r="E12" i="47"/>
  <c r="D12" i="47"/>
  <c r="N11" i="47"/>
  <c r="M11" i="47"/>
  <c r="L11" i="47"/>
  <c r="K11" i="47"/>
  <c r="J11" i="47"/>
  <c r="I11" i="47"/>
  <c r="P11" i="47" s="1"/>
  <c r="H11" i="47"/>
  <c r="G11" i="47"/>
  <c r="F11" i="47"/>
  <c r="E11" i="47"/>
  <c r="D11" i="47"/>
  <c r="N10" i="47"/>
  <c r="M10" i="47"/>
  <c r="L10" i="47"/>
  <c r="K10" i="47"/>
  <c r="J10" i="47"/>
  <c r="I10" i="47"/>
  <c r="P10" i="47" s="1"/>
  <c r="H10" i="47"/>
  <c r="G10" i="47"/>
  <c r="F10" i="47"/>
  <c r="E10" i="47"/>
  <c r="D10" i="47"/>
  <c r="P9" i="47"/>
  <c r="N9" i="47"/>
  <c r="M9" i="47"/>
  <c r="L9" i="47"/>
  <c r="K9" i="47"/>
  <c r="J9" i="47"/>
  <c r="I9" i="47"/>
  <c r="H9" i="47"/>
  <c r="G9" i="47"/>
  <c r="F9" i="47"/>
  <c r="E9" i="47"/>
  <c r="D9" i="47"/>
  <c r="O8" i="47"/>
  <c r="O13" i="47" s="1"/>
  <c r="N8" i="47"/>
  <c r="M8" i="47"/>
  <c r="L8" i="47"/>
  <c r="K8" i="47"/>
  <c r="J8" i="47"/>
  <c r="I8" i="47"/>
  <c r="H8" i="47"/>
  <c r="G8" i="47"/>
  <c r="F8" i="47"/>
  <c r="E8" i="47"/>
  <c r="D8" i="47"/>
  <c r="N145" i="46"/>
  <c r="D144" i="46"/>
  <c r="M143" i="46"/>
  <c r="G143" i="46"/>
  <c r="N139" i="46"/>
  <c r="M139" i="46"/>
  <c r="K139" i="46"/>
  <c r="J139" i="46"/>
  <c r="H139" i="46"/>
  <c r="G139" i="46"/>
  <c r="F139" i="46"/>
  <c r="D139" i="46"/>
  <c r="N136" i="46"/>
  <c r="M136" i="46"/>
  <c r="L136" i="46"/>
  <c r="K136" i="46"/>
  <c r="J136" i="46"/>
  <c r="H136" i="46"/>
  <c r="G136" i="46"/>
  <c r="F136" i="46"/>
  <c r="E136" i="46"/>
  <c r="D136" i="46"/>
  <c r="N134" i="46"/>
  <c r="M134" i="46"/>
  <c r="K134" i="46"/>
  <c r="J134" i="46"/>
  <c r="I134" i="46"/>
  <c r="H134" i="46"/>
  <c r="G134" i="46"/>
  <c r="F134" i="46"/>
  <c r="D134" i="46"/>
  <c r="N133" i="46"/>
  <c r="M133" i="46"/>
  <c r="L133" i="46"/>
  <c r="L134" i="46" s="1"/>
  <c r="K133" i="46"/>
  <c r="J133" i="46"/>
  <c r="N132" i="46"/>
  <c r="M132" i="46"/>
  <c r="L132" i="46"/>
  <c r="K132" i="46"/>
  <c r="J132" i="46"/>
  <c r="I132" i="46"/>
  <c r="H132" i="46"/>
  <c r="G132" i="46"/>
  <c r="E132" i="46"/>
  <c r="E134" i="46" s="1"/>
  <c r="E139" i="46" s="1"/>
  <c r="D132" i="46"/>
  <c r="P131" i="46"/>
  <c r="N131" i="46"/>
  <c r="M131" i="46"/>
  <c r="L131" i="46"/>
  <c r="K131" i="46"/>
  <c r="J131" i="46"/>
  <c r="I131" i="46"/>
  <c r="H131" i="46"/>
  <c r="G131" i="46"/>
  <c r="E131" i="46"/>
  <c r="D131" i="46"/>
  <c r="P130" i="46"/>
  <c r="N130" i="46"/>
  <c r="M130" i="46"/>
  <c r="L130" i="46"/>
  <c r="K130" i="46"/>
  <c r="J130" i="46"/>
  <c r="I130" i="46"/>
  <c r="H130" i="46"/>
  <c r="G130" i="46"/>
  <c r="E130" i="46"/>
  <c r="D130" i="46"/>
  <c r="N129" i="46"/>
  <c r="M129" i="46"/>
  <c r="L129" i="46"/>
  <c r="K129" i="46"/>
  <c r="J129" i="46"/>
  <c r="I129" i="46"/>
  <c r="H129" i="46"/>
  <c r="G129" i="46"/>
  <c r="E129" i="46"/>
  <c r="D129" i="46"/>
  <c r="P128" i="46"/>
  <c r="N128" i="46"/>
  <c r="M128" i="46"/>
  <c r="L128" i="46"/>
  <c r="K128" i="46"/>
  <c r="J128" i="46"/>
  <c r="I128" i="46"/>
  <c r="H128" i="46"/>
  <c r="G128" i="46"/>
  <c r="E128" i="46"/>
  <c r="D128" i="46"/>
  <c r="P127" i="46"/>
  <c r="N127" i="46"/>
  <c r="M127" i="46"/>
  <c r="L127" i="46"/>
  <c r="K127" i="46"/>
  <c r="J127" i="46"/>
  <c r="I127" i="46"/>
  <c r="H127" i="46"/>
  <c r="G127" i="46"/>
  <c r="E127" i="46"/>
  <c r="D127" i="46"/>
  <c r="P126" i="46"/>
  <c r="N126" i="46"/>
  <c r="M126" i="46"/>
  <c r="L126" i="46"/>
  <c r="K126" i="46"/>
  <c r="J126" i="46"/>
  <c r="I126" i="46"/>
  <c r="H126" i="46"/>
  <c r="G126" i="46"/>
  <c r="E126" i="46"/>
  <c r="D126" i="46"/>
  <c r="P125" i="46"/>
  <c r="N125" i="46"/>
  <c r="M125" i="46"/>
  <c r="L125" i="46"/>
  <c r="K125" i="46"/>
  <c r="J125" i="46"/>
  <c r="I125" i="46"/>
  <c r="H125" i="46"/>
  <c r="G125" i="46"/>
  <c r="E125" i="46"/>
  <c r="D125" i="46"/>
  <c r="P124" i="46"/>
  <c r="N124" i="46"/>
  <c r="M124" i="46"/>
  <c r="L124" i="46"/>
  <c r="K124" i="46"/>
  <c r="J124" i="46"/>
  <c r="I124" i="46"/>
  <c r="H124" i="46"/>
  <c r="G124" i="46"/>
  <c r="E124" i="46"/>
  <c r="D124" i="46"/>
  <c r="P123" i="46"/>
  <c r="N123" i="46"/>
  <c r="M123" i="46"/>
  <c r="L123" i="46"/>
  <c r="K123" i="46"/>
  <c r="J123" i="46"/>
  <c r="I123" i="46"/>
  <c r="H123" i="46"/>
  <c r="G123" i="46"/>
  <c r="E123" i="46"/>
  <c r="D123" i="46"/>
  <c r="P122" i="46"/>
  <c r="N122" i="46"/>
  <c r="M122" i="46"/>
  <c r="L122" i="46"/>
  <c r="K122" i="46"/>
  <c r="J122" i="46"/>
  <c r="I122" i="46"/>
  <c r="H122" i="46"/>
  <c r="G122" i="46"/>
  <c r="E122" i="46"/>
  <c r="D122" i="46"/>
  <c r="N121" i="46"/>
  <c r="M121" i="46"/>
  <c r="L121" i="46"/>
  <c r="K121" i="46"/>
  <c r="J121" i="46"/>
  <c r="I121" i="46"/>
  <c r="H121" i="46"/>
  <c r="G121" i="46"/>
  <c r="E121" i="46"/>
  <c r="D121" i="46"/>
  <c r="P120" i="46"/>
  <c r="N120" i="46"/>
  <c r="M120" i="46"/>
  <c r="L120" i="46"/>
  <c r="K120" i="46"/>
  <c r="J120" i="46"/>
  <c r="I120" i="46"/>
  <c r="H120" i="46"/>
  <c r="G120" i="46"/>
  <c r="E120" i="46"/>
  <c r="D120" i="46"/>
  <c r="P119" i="46"/>
  <c r="N119" i="46"/>
  <c r="M119" i="46"/>
  <c r="L119" i="46"/>
  <c r="K119" i="46"/>
  <c r="J119" i="46"/>
  <c r="I119" i="46"/>
  <c r="H119" i="46"/>
  <c r="G119" i="46"/>
  <c r="E119" i="46"/>
  <c r="D119" i="46"/>
  <c r="P118" i="46"/>
  <c r="N118" i="46"/>
  <c r="M118" i="46"/>
  <c r="L118" i="46"/>
  <c r="K118" i="46"/>
  <c r="J118" i="46"/>
  <c r="I118" i="46"/>
  <c r="H118" i="46"/>
  <c r="G118" i="46"/>
  <c r="E118" i="46"/>
  <c r="D118" i="46"/>
  <c r="P117" i="46"/>
  <c r="N117" i="46"/>
  <c r="M117" i="46"/>
  <c r="L117" i="46"/>
  <c r="K117" i="46"/>
  <c r="J117" i="46"/>
  <c r="I117" i="46"/>
  <c r="H117" i="46"/>
  <c r="G117" i="46"/>
  <c r="E117" i="46"/>
  <c r="D117" i="46"/>
  <c r="P116" i="46"/>
  <c r="N116" i="46"/>
  <c r="M116" i="46"/>
  <c r="L116" i="46"/>
  <c r="K116" i="46"/>
  <c r="J116" i="46"/>
  <c r="I116" i="46"/>
  <c r="H116" i="46"/>
  <c r="G116" i="46"/>
  <c r="E116" i="46"/>
  <c r="D116" i="46"/>
  <c r="P115" i="46"/>
  <c r="N115" i="46"/>
  <c r="M115" i="46"/>
  <c r="L115" i="46"/>
  <c r="K115" i="46"/>
  <c r="J115" i="46"/>
  <c r="I115" i="46"/>
  <c r="H115" i="46"/>
  <c r="G115" i="46"/>
  <c r="E115" i="46"/>
  <c r="D115" i="46"/>
  <c r="P114" i="46"/>
  <c r="N114" i="46"/>
  <c r="M114" i="46"/>
  <c r="L114" i="46"/>
  <c r="K114" i="46"/>
  <c r="J114" i="46"/>
  <c r="I114" i="46"/>
  <c r="H114" i="46"/>
  <c r="G114" i="46"/>
  <c r="E114" i="46"/>
  <c r="D114" i="46"/>
  <c r="N113" i="46"/>
  <c r="M113" i="46"/>
  <c r="L113" i="46"/>
  <c r="K113" i="46"/>
  <c r="J113" i="46"/>
  <c r="I113" i="46"/>
  <c r="H113" i="46"/>
  <c r="G113" i="46"/>
  <c r="E113" i="46"/>
  <c r="D113" i="46"/>
  <c r="P112" i="46"/>
  <c r="N112" i="46"/>
  <c r="M112" i="46"/>
  <c r="L112" i="46"/>
  <c r="K112" i="46"/>
  <c r="J112" i="46"/>
  <c r="I112" i="46"/>
  <c r="H112" i="46"/>
  <c r="G112" i="46"/>
  <c r="E112" i="46"/>
  <c r="D112" i="46"/>
  <c r="P111" i="46"/>
  <c r="N111" i="46"/>
  <c r="M111" i="46"/>
  <c r="L111" i="46"/>
  <c r="K111" i="46"/>
  <c r="J111" i="46"/>
  <c r="I111" i="46"/>
  <c r="H111" i="46"/>
  <c r="G111" i="46"/>
  <c r="E111" i="46"/>
  <c r="D111" i="46"/>
  <c r="P110" i="46"/>
  <c r="N110" i="46"/>
  <c r="M110" i="46"/>
  <c r="L110" i="46"/>
  <c r="K110" i="46"/>
  <c r="J110" i="46"/>
  <c r="I110" i="46"/>
  <c r="H110" i="46"/>
  <c r="G110" i="46"/>
  <c r="E110" i="46"/>
  <c r="D110" i="46"/>
  <c r="P109" i="46"/>
  <c r="N109" i="46"/>
  <c r="M109" i="46"/>
  <c r="L109" i="46"/>
  <c r="K109" i="46"/>
  <c r="J109" i="46"/>
  <c r="I109" i="46"/>
  <c r="H109" i="46"/>
  <c r="G109" i="46"/>
  <c r="E109" i="46"/>
  <c r="D109" i="46"/>
  <c r="P108" i="46"/>
  <c r="N108" i="46"/>
  <c r="M108" i="46"/>
  <c r="L108" i="46"/>
  <c r="K108" i="46"/>
  <c r="J108" i="46"/>
  <c r="I108" i="46"/>
  <c r="H108" i="46"/>
  <c r="G108" i="46"/>
  <c r="E108" i="46"/>
  <c r="D108" i="46"/>
  <c r="P107" i="46"/>
  <c r="N107" i="46"/>
  <c r="M107" i="46"/>
  <c r="L107" i="46"/>
  <c r="K107" i="46"/>
  <c r="J107" i="46"/>
  <c r="I107" i="46"/>
  <c r="H107" i="46"/>
  <c r="G107" i="46"/>
  <c r="E107" i="46"/>
  <c r="D107" i="46"/>
  <c r="P106" i="46"/>
  <c r="N106" i="46"/>
  <c r="M106" i="46"/>
  <c r="L106" i="46"/>
  <c r="K106" i="46"/>
  <c r="J106" i="46"/>
  <c r="I106" i="46"/>
  <c r="H106" i="46"/>
  <c r="G106" i="46"/>
  <c r="E106" i="46"/>
  <c r="D106" i="46"/>
  <c r="N105" i="46"/>
  <c r="M105" i="46"/>
  <c r="L105" i="46"/>
  <c r="K105" i="46"/>
  <c r="J105" i="46"/>
  <c r="I105" i="46"/>
  <c r="H105" i="46"/>
  <c r="G105" i="46"/>
  <c r="E105" i="46"/>
  <c r="D105" i="46"/>
  <c r="P104" i="46"/>
  <c r="N104" i="46"/>
  <c r="M104" i="46"/>
  <c r="L104" i="46"/>
  <c r="K104" i="46"/>
  <c r="J104" i="46"/>
  <c r="I104" i="46"/>
  <c r="H104" i="46"/>
  <c r="G104" i="46"/>
  <c r="E104" i="46"/>
  <c r="D104" i="46"/>
  <c r="P103" i="46"/>
  <c r="N103" i="46"/>
  <c r="M103" i="46"/>
  <c r="L103" i="46"/>
  <c r="K103" i="46"/>
  <c r="J103" i="46"/>
  <c r="I103" i="46"/>
  <c r="H103" i="46"/>
  <c r="G103" i="46"/>
  <c r="E103" i="46"/>
  <c r="D103" i="46"/>
  <c r="P102" i="46"/>
  <c r="N102" i="46"/>
  <c r="M102" i="46"/>
  <c r="L102" i="46"/>
  <c r="K102" i="46"/>
  <c r="J102" i="46"/>
  <c r="I102" i="46"/>
  <c r="H102" i="46"/>
  <c r="G102" i="46"/>
  <c r="E102" i="46"/>
  <c r="D102" i="46"/>
  <c r="P101" i="46"/>
  <c r="N101" i="46"/>
  <c r="M101" i="46"/>
  <c r="L101" i="46"/>
  <c r="K101" i="46"/>
  <c r="J101" i="46"/>
  <c r="I101" i="46"/>
  <c r="H101" i="46"/>
  <c r="G101" i="46"/>
  <c r="E101" i="46"/>
  <c r="D101" i="46"/>
  <c r="P100" i="46"/>
  <c r="N100" i="46"/>
  <c r="M100" i="46"/>
  <c r="L100" i="46"/>
  <c r="K100" i="46"/>
  <c r="J100" i="46"/>
  <c r="I100" i="46"/>
  <c r="H100" i="46"/>
  <c r="G100" i="46"/>
  <c r="E100" i="46"/>
  <c r="D100" i="46"/>
  <c r="P99" i="46"/>
  <c r="N99" i="46"/>
  <c r="M99" i="46"/>
  <c r="L99" i="46"/>
  <c r="K99" i="46"/>
  <c r="J99" i="46"/>
  <c r="I99" i="46"/>
  <c r="H99" i="46"/>
  <c r="G99" i="46"/>
  <c r="E99" i="46"/>
  <c r="D99" i="46"/>
  <c r="P98" i="46"/>
  <c r="N98" i="46"/>
  <c r="M98" i="46"/>
  <c r="L98" i="46"/>
  <c r="K98" i="46"/>
  <c r="J98" i="46"/>
  <c r="I98" i="46"/>
  <c r="H98" i="46"/>
  <c r="G98" i="46"/>
  <c r="E98" i="46"/>
  <c r="D98" i="46"/>
  <c r="N97" i="46"/>
  <c r="M97" i="46"/>
  <c r="L97" i="46"/>
  <c r="K97" i="46"/>
  <c r="J97" i="46"/>
  <c r="I97" i="46"/>
  <c r="H97" i="46"/>
  <c r="G97" i="46"/>
  <c r="E97" i="46"/>
  <c r="D97" i="46"/>
  <c r="P96" i="46"/>
  <c r="N96" i="46"/>
  <c r="M96" i="46"/>
  <c r="L96" i="46"/>
  <c r="K96" i="46"/>
  <c r="J96" i="46"/>
  <c r="I96" i="46"/>
  <c r="H96" i="46"/>
  <c r="G96" i="46"/>
  <c r="E96" i="46"/>
  <c r="D96" i="46"/>
  <c r="P95" i="46"/>
  <c r="N95" i="46"/>
  <c r="M95" i="46"/>
  <c r="L95" i="46"/>
  <c r="K95" i="46"/>
  <c r="J95" i="46"/>
  <c r="I95" i="46"/>
  <c r="H95" i="46"/>
  <c r="G95" i="46"/>
  <c r="E95" i="46"/>
  <c r="D95" i="46"/>
  <c r="P94" i="46"/>
  <c r="N94" i="46"/>
  <c r="M94" i="46"/>
  <c r="L94" i="46"/>
  <c r="K94" i="46"/>
  <c r="J94" i="46"/>
  <c r="I94" i="46"/>
  <c r="H94" i="46"/>
  <c r="G94" i="46"/>
  <c r="E94" i="46"/>
  <c r="D94" i="46"/>
  <c r="P93" i="46"/>
  <c r="N93" i="46"/>
  <c r="M93" i="46"/>
  <c r="L93" i="46"/>
  <c r="K93" i="46"/>
  <c r="J93" i="46"/>
  <c r="I93" i="46"/>
  <c r="H93" i="46"/>
  <c r="G93" i="46"/>
  <c r="E93" i="46"/>
  <c r="D93" i="46"/>
  <c r="P92" i="46"/>
  <c r="N92" i="46"/>
  <c r="M92" i="46"/>
  <c r="L92" i="46"/>
  <c r="K92" i="46"/>
  <c r="J92" i="46"/>
  <c r="I92" i="46"/>
  <c r="H92" i="46"/>
  <c r="G92" i="46"/>
  <c r="E92" i="46"/>
  <c r="D92" i="46"/>
  <c r="P91" i="46"/>
  <c r="N91" i="46"/>
  <c r="M91" i="46"/>
  <c r="L91" i="46"/>
  <c r="K91" i="46"/>
  <c r="J91" i="46"/>
  <c r="I91" i="46"/>
  <c r="H91" i="46"/>
  <c r="G91" i="46"/>
  <c r="E91" i="46"/>
  <c r="D91" i="46"/>
  <c r="P90" i="46"/>
  <c r="N90" i="46"/>
  <c r="M90" i="46"/>
  <c r="L90" i="46"/>
  <c r="K90" i="46"/>
  <c r="J90" i="46"/>
  <c r="I90" i="46"/>
  <c r="H90" i="46"/>
  <c r="G90" i="46"/>
  <c r="E90" i="46"/>
  <c r="D90" i="46"/>
  <c r="N89" i="46"/>
  <c r="M89" i="46"/>
  <c r="L89" i="46"/>
  <c r="K89" i="46"/>
  <c r="J89" i="46"/>
  <c r="I89" i="46"/>
  <c r="H89" i="46"/>
  <c r="G89" i="46"/>
  <c r="E89" i="46"/>
  <c r="D89" i="46"/>
  <c r="P88" i="46"/>
  <c r="N88" i="46"/>
  <c r="M88" i="46"/>
  <c r="L88" i="46"/>
  <c r="K88" i="46"/>
  <c r="J88" i="46"/>
  <c r="I88" i="46"/>
  <c r="H88" i="46"/>
  <c r="G88" i="46"/>
  <c r="E88" i="46"/>
  <c r="D88" i="46"/>
  <c r="P87" i="46"/>
  <c r="N87" i="46"/>
  <c r="M87" i="46"/>
  <c r="L87" i="46"/>
  <c r="K87" i="46"/>
  <c r="J87" i="46"/>
  <c r="I87" i="46"/>
  <c r="H87" i="46"/>
  <c r="G87" i="46"/>
  <c r="E87" i="46"/>
  <c r="D87" i="46"/>
  <c r="P86" i="46"/>
  <c r="N86" i="46"/>
  <c r="M86" i="46"/>
  <c r="L86" i="46"/>
  <c r="K86" i="46"/>
  <c r="J86" i="46"/>
  <c r="I86" i="46"/>
  <c r="H86" i="46"/>
  <c r="G86" i="46"/>
  <c r="E86" i="46"/>
  <c r="D86" i="46"/>
  <c r="P85" i="46"/>
  <c r="N85" i="46"/>
  <c r="M85" i="46"/>
  <c r="L85" i="46"/>
  <c r="K85" i="46"/>
  <c r="J85" i="46"/>
  <c r="I85" i="46"/>
  <c r="H85" i="46"/>
  <c r="G85" i="46"/>
  <c r="E85" i="46"/>
  <c r="D85" i="46"/>
  <c r="P84" i="46"/>
  <c r="N84" i="46"/>
  <c r="M84" i="46"/>
  <c r="L84" i="46"/>
  <c r="K84" i="46"/>
  <c r="J84" i="46"/>
  <c r="I84" i="46"/>
  <c r="H84" i="46"/>
  <c r="G84" i="46"/>
  <c r="E84" i="46"/>
  <c r="D84" i="46"/>
  <c r="P83" i="46"/>
  <c r="N83" i="46"/>
  <c r="M83" i="46"/>
  <c r="L83" i="46"/>
  <c r="K83" i="46"/>
  <c r="J83" i="46"/>
  <c r="I83" i="46"/>
  <c r="H83" i="46"/>
  <c r="G83" i="46"/>
  <c r="E83" i="46"/>
  <c r="D83" i="46"/>
  <c r="P82" i="46"/>
  <c r="N82" i="46"/>
  <c r="M82" i="46"/>
  <c r="L82" i="46"/>
  <c r="K82" i="46"/>
  <c r="J82" i="46"/>
  <c r="I82" i="46"/>
  <c r="H82" i="46"/>
  <c r="G82" i="46"/>
  <c r="E82" i="46"/>
  <c r="D82" i="46"/>
  <c r="N81" i="46"/>
  <c r="M81" i="46"/>
  <c r="L81" i="46"/>
  <c r="K81" i="46"/>
  <c r="J81" i="46"/>
  <c r="I81" i="46"/>
  <c r="H81" i="46"/>
  <c r="G81" i="46"/>
  <c r="E81" i="46"/>
  <c r="D81" i="46"/>
  <c r="P80" i="46"/>
  <c r="N80" i="46"/>
  <c r="M80" i="46"/>
  <c r="L80" i="46"/>
  <c r="K80" i="46"/>
  <c r="J80" i="46"/>
  <c r="I80" i="46"/>
  <c r="H80" i="46"/>
  <c r="G80" i="46"/>
  <c r="E80" i="46"/>
  <c r="D80" i="46"/>
  <c r="P79" i="46"/>
  <c r="N79" i="46"/>
  <c r="M79" i="46"/>
  <c r="L79" i="46"/>
  <c r="K79" i="46"/>
  <c r="J79" i="46"/>
  <c r="I79" i="46"/>
  <c r="H79" i="46"/>
  <c r="G79" i="46"/>
  <c r="E79" i="46"/>
  <c r="D79" i="46"/>
  <c r="P78" i="46"/>
  <c r="N78" i="46"/>
  <c r="M78" i="46"/>
  <c r="L78" i="46"/>
  <c r="K78" i="46"/>
  <c r="J78" i="46"/>
  <c r="I78" i="46"/>
  <c r="H78" i="46"/>
  <c r="G78" i="46"/>
  <c r="E78" i="46"/>
  <c r="D78" i="46"/>
  <c r="P77" i="46"/>
  <c r="N77" i="46"/>
  <c r="M77" i="46"/>
  <c r="L77" i="46"/>
  <c r="K77" i="46"/>
  <c r="J77" i="46"/>
  <c r="I77" i="46"/>
  <c r="H77" i="46"/>
  <c r="G77" i="46"/>
  <c r="E77" i="46"/>
  <c r="D77" i="46"/>
  <c r="P76" i="46"/>
  <c r="N76" i="46"/>
  <c r="M76" i="46"/>
  <c r="L76" i="46"/>
  <c r="K76" i="46"/>
  <c r="J76" i="46"/>
  <c r="I76" i="46"/>
  <c r="H76" i="46"/>
  <c r="G76" i="46"/>
  <c r="E76" i="46"/>
  <c r="D76" i="46"/>
  <c r="P75" i="46"/>
  <c r="N75" i="46"/>
  <c r="M75" i="46"/>
  <c r="L75" i="46"/>
  <c r="K75" i="46"/>
  <c r="J75" i="46"/>
  <c r="I75" i="46"/>
  <c r="H75" i="46"/>
  <c r="G75" i="46"/>
  <c r="E75" i="46"/>
  <c r="D75" i="46"/>
  <c r="P74" i="46"/>
  <c r="N74" i="46"/>
  <c r="M74" i="46"/>
  <c r="L74" i="46"/>
  <c r="K74" i="46"/>
  <c r="J74" i="46"/>
  <c r="I74" i="46"/>
  <c r="H74" i="46"/>
  <c r="G74" i="46"/>
  <c r="E74" i="46"/>
  <c r="D74" i="46"/>
  <c r="N73" i="46"/>
  <c r="M73" i="46"/>
  <c r="L73" i="46"/>
  <c r="K73" i="46"/>
  <c r="J73" i="46"/>
  <c r="I73" i="46"/>
  <c r="H73" i="46"/>
  <c r="G73" i="46"/>
  <c r="E73" i="46"/>
  <c r="D73" i="46"/>
  <c r="P72" i="46"/>
  <c r="N72" i="46"/>
  <c r="M72" i="46"/>
  <c r="L72" i="46"/>
  <c r="K72" i="46"/>
  <c r="J72" i="46"/>
  <c r="I72" i="46"/>
  <c r="H72" i="46"/>
  <c r="G72" i="46"/>
  <c r="E72" i="46"/>
  <c r="D72" i="46"/>
  <c r="P71" i="46"/>
  <c r="N71" i="46"/>
  <c r="M71" i="46"/>
  <c r="L71" i="46"/>
  <c r="K71" i="46"/>
  <c r="J71" i="46"/>
  <c r="I71" i="46"/>
  <c r="H71" i="46"/>
  <c r="G71" i="46"/>
  <c r="E71" i="46"/>
  <c r="D71" i="46"/>
  <c r="P70" i="46"/>
  <c r="N70" i="46"/>
  <c r="M70" i="46"/>
  <c r="L70" i="46"/>
  <c r="K70" i="46"/>
  <c r="J70" i="46"/>
  <c r="I70" i="46"/>
  <c r="H70" i="46"/>
  <c r="G70" i="46"/>
  <c r="E70" i="46"/>
  <c r="D70" i="46"/>
  <c r="P69" i="46"/>
  <c r="N69" i="46"/>
  <c r="M69" i="46"/>
  <c r="L69" i="46"/>
  <c r="K69" i="46"/>
  <c r="J69" i="46"/>
  <c r="I69" i="46"/>
  <c r="H69" i="46"/>
  <c r="G69" i="46"/>
  <c r="E69" i="46"/>
  <c r="D69" i="46"/>
  <c r="P68" i="46"/>
  <c r="N68" i="46"/>
  <c r="M68" i="46"/>
  <c r="L68" i="46"/>
  <c r="K68" i="46"/>
  <c r="J68" i="46"/>
  <c r="I68" i="46"/>
  <c r="H68" i="46"/>
  <c r="G68" i="46"/>
  <c r="E68" i="46"/>
  <c r="D68" i="46"/>
  <c r="P67" i="46"/>
  <c r="N67" i="46"/>
  <c r="M67" i="46"/>
  <c r="L67" i="46"/>
  <c r="K67" i="46"/>
  <c r="J67" i="46"/>
  <c r="I67" i="46"/>
  <c r="H67" i="46"/>
  <c r="G67" i="46"/>
  <c r="E67" i="46"/>
  <c r="D67" i="46"/>
  <c r="N66" i="46"/>
  <c r="M66" i="46"/>
  <c r="L66" i="46"/>
  <c r="K66" i="46"/>
  <c r="J66" i="46"/>
  <c r="I66" i="46"/>
  <c r="H66" i="46"/>
  <c r="G66" i="46"/>
  <c r="E66" i="46"/>
  <c r="D66" i="46"/>
  <c r="N65" i="46"/>
  <c r="M65" i="46"/>
  <c r="L65" i="46"/>
  <c r="K65" i="46"/>
  <c r="J65" i="46"/>
  <c r="I65" i="46"/>
  <c r="H65" i="46"/>
  <c r="G65" i="46"/>
  <c r="E65" i="46"/>
  <c r="D65" i="46"/>
  <c r="P64" i="46"/>
  <c r="N64" i="46"/>
  <c r="M64" i="46"/>
  <c r="L64" i="46"/>
  <c r="K64" i="46"/>
  <c r="J64" i="46"/>
  <c r="I64" i="46"/>
  <c r="H64" i="46"/>
  <c r="G64" i="46"/>
  <c r="E64" i="46"/>
  <c r="D64" i="46"/>
  <c r="P63" i="46"/>
  <c r="N63" i="46"/>
  <c r="M63" i="46"/>
  <c r="L63" i="46"/>
  <c r="K63" i="46"/>
  <c r="J63" i="46"/>
  <c r="I63" i="46"/>
  <c r="H63" i="46"/>
  <c r="G63" i="46"/>
  <c r="E63" i="46"/>
  <c r="D63" i="46"/>
  <c r="P62" i="46"/>
  <c r="N62" i="46"/>
  <c r="M62" i="46"/>
  <c r="L62" i="46"/>
  <c r="K62" i="46"/>
  <c r="J62" i="46"/>
  <c r="I62" i="46"/>
  <c r="H62" i="46"/>
  <c r="G62" i="46"/>
  <c r="E62" i="46"/>
  <c r="D62" i="46"/>
  <c r="P61" i="46"/>
  <c r="N61" i="46"/>
  <c r="M61" i="46"/>
  <c r="L61" i="46"/>
  <c r="K61" i="46"/>
  <c r="J61" i="46"/>
  <c r="I61" i="46"/>
  <c r="H61" i="46"/>
  <c r="G61" i="46"/>
  <c r="E61" i="46"/>
  <c r="D61" i="46"/>
  <c r="P60" i="46"/>
  <c r="N60" i="46"/>
  <c r="M60" i="46"/>
  <c r="L60" i="46"/>
  <c r="K60" i="46"/>
  <c r="J60" i="46"/>
  <c r="I60" i="46"/>
  <c r="H60" i="46"/>
  <c r="G60" i="46"/>
  <c r="E60" i="46"/>
  <c r="D60" i="46"/>
  <c r="P59" i="46"/>
  <c r="N59" i="46"/>
  <c r="M59" i="46"/>
  <c r="L59" i="46"/>
  <c r="K59" i="46"/>
  <c r="J59" i="46"/>
  <c r="I59" i="46"/>
  <c r="H59" i="46"/>
  <c r="G59" i="46"/>
  <c r="E59" i="46"/>
  <c r="D59" i="46"/>
  <c r="N58" i="46"/>
  <c r="M58" i="46"/>
  <c r="L58" i="46"/>
  <c r="K58" i="46"/>
  <c r="J58" i="46"/>
  <c r="I58" i="46"/>
  <c r="H58" i="46"/>
  <c r="G58" i="46"/>
  <c r="E58" i="46"/>
  <c r="D58" i="46"/>
  <c r="N57" i="46"/>
  <c r="M57" i="46"/>
  <c r="L57" i="46"/>
  <c r="K57" i="46"/>
  <c r="J57" i="46"/>
  <c r="I57" i="46"/>
  <c r="H57" i="46"/>
  <c r="G57" i="46"/>
  <c r="E57" i="46"/>
  <c r="D57" i="46"/>
  <c r="P56" i="46"/>
  <c r="N56" i="46"/>
  <c r="M56" i="46"/>
  <c r="L56" i="46"/>
  <c r="K56" i="46"/>
  <c r="J56" i="46"/>
  <c r="I56" i="46"/>
  <c r="H56" i="46"/>
  <c r="G56" i="46"/>
  <c r="E56" i="46"/>
  <c r="D56" i="46"/>
  <c r="P55" i="46"/>
  <c r="N55" i="46"/>
  <c r="M55" i="46"/>
  <c r="L55" i="46"/>
  <c r="K55" i="46"/>
  <c r="J55" i="46"/>
  <c r="I55" i="46"/>
  <c r="H55" i="46"/>
  <c r="G55" i="46"/>
  <c r="E55" i="46"/>
  <c r="D55" i="46"/>
  <c r="P54" i="46"/>
  <c r="N54" i="46"/>
  <c r="M54" i="46"/>
  <c r="L54" i="46"/>
  <c r="K54" i="46"/>
  <c r="J54" i="46"/>
  <c r="I54" i="46"/>
  <c r="H54" i="46"/>
  <c r="G54" i="46"/>
  <c r="E54" i="46"/>
  <c r="D54" i="46"/>
  <c r="P53" i="46"/>
  <c r="N53" i="46"/>
  <c r="M53" i="46"/>
  <c r="L53" i="46"/>
  <c r="K53" i="46"/>
  <c r="J53" i="46"/>
  <c r="I53" i="46"/>
  <c r="H53" i="46"/>
  <c r="G53" i="46"/>
  <c r="E53" i="46"/>
  <c r="D53" i="46"/>
  <c r="P52" i="46"/>
  <c r="N52" i="46"/>
  <c r="M52" i="46"/>
  <c r="L52" i="46"/>
  <c r="K52" i="46"/>
  <c r="J52" i="46"/>
  <c r="I52" i="46"/>
  <c r="H52" i="46"/>
  <c r="G52" i="46"/>
  <c r="E52" i="46"/>
  <c r="D52" i="46"/>
  <c r="P51" i="46"/>
  <c r="N51" i="46"/>
  <c r="M51" i="46"/>
  <c r="L51" i="46"/>
  <c r="K51" i="46"/>
  <c r="J51" i="46"/>
  <c r="I51" i="46"/>
  <c r="H51" i="46"/>
  <c r="G51" i="46"/>
  <c r="E51" i="46"/>
  <c r="D51" i="46"/>
  <c r="N50" i="46"/>
  <c r="M50" i="46"/>
  <c r="L50" i="46"/>
  <c r="K50" i="46"/>
  <c r="J50" i="46"/>
  <c r="I50" i="46"/>
  <c r="H50" i="46"/>
  <c r="G50" i="46"/>
  <c r="E50" i="46"/>
  <c r="D50" i="46"/>
  <c r="N49" i="46"/>
  <c r="M49" i="46"/>
  <c r="L49" i="46"/>
  <c r="K49" i="46"/>
  <c r="J49" i="46"/>
  <c r="I49" i="46"/>
  <c r="H49" i="46"/>
  <c r="G49" i="46"/>
  <c r="E49" i="46"/>
  <c r="D49" i="46"/>
  <c r="P48" i="46"/>
  <c r="N48" i="46"/>
  <c r="M48" i="46"/>
  <c r="L48" i="46"/>
  <c r="K48" i="46"/>
  <c r="J48" i="46"/>
  <c r="I48" i="46"/>
  <c r="H48" i="46"/>
  <c r="G48" i="46"/>
  <c r="E48" i="46"/>
  <c r="D48" i="46"/>
  <c r="P47" i="46"/>
  <c r="N47" i="46"/>
  <c r="M47" i="46"/>
  <c r="L47" i="46"/>
  <c r="K47" i="46"/>
  <c r="J47" i="46"/>
  <c r="I47" i="46"/>
  <c r="H47" i="46"/>
  <c r="G47" i="46"/>
  <c r="E47" i="46"/>
  <c r="D47" i="46"/>
  <c r="P46" i="46"/>
  <c r="N46" i="46"/>
  <c r="M46" i="46"/>
  <c r="L46" i="46"/>
  <c r="K46" i="46"/>
  <c r="J46" i="46"/>
  <c r="I46" i="46"/>
  <c r="H46" i="46"/>
  <c r="G46" i="46"/>
  <c r="E46" i="46"/>
  <c r="D46" i="46"/>
  <c r="P45" i="46"/>
  <c r="N45" i="46"/>
  <c r="M45" i="46"/>
  <c r="L45" i="46"/>
  <c r="K45" i="46"/>
  <c r="J45" i="46"/>
  <c r="I45" i="46"/>
  <c r="H45" i="46"/>
  <c r="G45" i="46"/>
  <c r="E45" i="46"/>
  <c r="D45" i="46"/>
  <c r="P44" i="46"/>
  <c r="N44" i="46"/>
  <c r="M44" i="46"/>
  <c r="L44" i="46"/>
  <c r="K44" i="46"/>
  <c r="J44" i="46"/>
  <c r="I44" i="46"/>
  <c r="H44" i="46"/>
  <c r="G44" i="46"/>
  <c r="E44" i="46"/>
  <c r="D44" i="46"/>
  <c r="P43" i="46"/>
  <c r="N43" i="46"/>
  <c r="M43" i="46"/>
  <c r="L43" i="46"/>
  <c r="K43" i="46"/>
  <c r="J43" i="46"/>
  <c r="I43" i="46"/>
  <c r="H43" i="46"/>
  <c r="G43" i="46"/>
  <c r="E43" i="46"/>
  <c r="D43" i="46"/>
  <c r="N42" i="46"/>
  <c r="M42" i="46"/>
  <c r="L42" i="46"/>
  <c r="K42" i="46"/>
  <c r="J42" i="46"/>
  <c r="I42" i="46"/>
  <c r="H42" i="46"/>
  <c r="G42" i="46"/>
  <c r="E42" i="46"/>
  <c r="D42" i="46"/>
  <c r="N41" i="46"/>
  <c r="M41" i="46"/>
  <c r="L41" i="46"/>
  <c r="K41" i="46"/>
  <c r="J41" i="46"/>
  <c r="I41" i="46"/>
  <c r="H41" i="46"/>
  <c r="G41" i="46"/>
  <c r="E41" i="46"/>
  <c r="D41" i="46"/>
  <c r="P40" i="46"/>
  <c r="N40" i="46"/>
  <c r="M40" i="46"/>
  <c r="L40" i="46"/>
  <c r="K40" i="46"/>
  <c r="J40" i="46"/>
  <c r="I40" i="46"/>
  <c r="H40" i="46"/>
  <c r="G40" i="46"/>
  <c r="E40" i="46"/>
  <c r="D40" i="46"/>
  <c r="P39" i="46"/>
  <c r="N39" i="46"/>
  <c r="M39" i="46"/>
  <c r="L39" i="46"/>
  <c r="K39" i="46"/>
  <c r="J39" i="46"/>
  <c r="I39" i="46"/>
  <c r="H39" i="46"/>
  <c r="G39" i="46"/>
  <c r="E39" i="46"/>
  <c r="D39" i="46"/>
  <c r="P38" i="46"/>
  <c r="N38" i="46"/>
  <c r="M38" i="46"/>
  <c r="L38" i="46"/>
  <c r="K38" i="46"/>
  <c r="J38" i="46"/>
  <c r="I38" i="46"/>
  <c r="H38" i="46"/>
  <c r="G38" i="46"/>
  <c r="E38" i="46"/>
  <c r="D38" i="46"/>
  <c r="P37" i="46"/>
  <c r="N37" i="46"/>
  <c r="M37" i="46"/>
  <c r="L37" i="46"/>
  <c r="K37" i="46"/>
  <c r="J37" i="46"/>
  <c r="I37" i="46"/>
  <c r="H37" i="46"/>
  <c r="G37" i="46"/>
  <c r="E37" i="46"/>
  <c r="D37" i="46"/>
  <c r="P36" i="46"/>
  <c r="N36" i="46"/>
  <c r="M36" i="46"/>
  <c r="L36" i="46"/>
  <c r="K36" i="46"/>
  <c r="J36" i="46"/>
  <c r="I36" i="46"/>
  <c r="H36" i="46"/>
  <c r="G36" i="46"/>
  <c r="E36" i="46"/>
  <c r="D36" i="46"/>
  <c r="P35" i="46"/>
  <c r="N35" i="46"/>
  <c r="M35" i="46"/>
  <c r="L35" i="46"/>
  <c r="K35" i="46"/>
  <c r="J35" i="46"/>
  <c r="I35" i="46"/>
  <c r="H35" i="46"/>
  <c r="G35" i="46"/>
  <c r="E35" i="46"/>
  <c r="D35" i="46"/>
  <c r="N34" i="46"/>
  <c r="M34" i="46"/>
  <c r="L34" i="46"/>
  <c r="K34" i="46"/>
  <c r="J34" i="46"/>
  <c r="I34" i="46"/>
  <c r="H34" i="46"/>
  <c r="G34" i="46"/>
  <c r="E34" i="46"/>
  <c r="D34" i="46"/>
  <c r="N33" i="46"/>
  <c r="M33" i="46"/>
  <c r="L33" i="46"/>
  <c r="K33" i="46"/>
  <c r="J33" i="46"/>
  <c r="I33" i="46"/>
  <c r="H33" i="46"/>
  <c r="G33" i="46"/>
  <c r="E33" i="46"/>
  <c r="D33" i="46"/>
  <c r="P32" i="46"/>
  <c r="N32" i="46"/>
  <c r="M32" i="46"/>
  <c r="L32" i="46"/>
  <c r="K32" i="46"/>
  <c r="J32" i="46"/>
  <c r="I32" i="46"/>
  <c r="H32" i="46"/>
  <c r="G32" i="46"/>
  <c r="E32" i="46"/>
  <c r="D32" i="46"/>
  <c r="P31" i="46"/>
  <c r="N31" i="46"/>
  <c r="M31" i="46"/>
  <c r="L31" i="46"/>
  <c r="K31" i="46"/>
  <c r="J31" i="46"/>
  <c r="I31" i="46"/>
  <c r="H31" i="46"/>
  <c r="G31" i="46"/>
  <c r="E31" i="46"/>
  <c r="D31" i="46"/>
  <c r="P30" i="46"/>
  <c r="N30" i="46"/>
  <c r="M30" i="46"/>
  <c r="L30" i="46"/>
  <c r="K30" i="46"/>
  <c r="J30" i="46"/>
  <c r="I30" i="46"/>
  <c r="H30" i="46"/>
  <c r="G30" i="46"/>
  <c r="E30" i="46"/>
  <c r="D30" i="46"/>
  <c r="P29" i="46"/>
  <c r="N29" i="46"/>
  <c r="M29" i="46"/>
  <c r="L29" i="46"/>
  <c r="K29" i="46"/>
  <c r="J29" i="46"/>
  <c r="I29" i="46"/>
  <c r="H29" i="46"/>
  <c r="G29" i="46"/>
  <c r="E29" i="46"/>
  <c r="D29" i="46"/>
  <c r="P28" i="46"/>
  <c r="N28" i="46"/>
  <c r="M28" i="46"/>
  <c r="L28" i="46"/>
  <c r="K28" i="46"/>
  <c r="J28" i="46"/>
  <c r="I28" i="46"/>
  <c r="H28" i="46"/>
  <c r="G28" i="46"/>
  <c r="E28" i="46"/>
  <c r="D28" i="46"/>
  <c r="P27" i="46"/>
  <c r="N27" i="46"/>
  <c r="M27" i="46"/>
  <c r="L27" i="46"/>
  <c r="K27" i="46"/>
  <c r="J27" i="46"/>
  <c r="I27" i="46"/>
  <c r="H27" i="46"/>
  <c r="G27" i="46"/>
  <c r="E27" i="46"/>
  <c r="D27" i="46"/>
  <c r="N26" i="46"/>
  <c r="M26" i="46"/>
  <c r="L26" i="46"/>
  <c r="K26" i="46"/>
  <c r="J26" i="46"/>
  <c r="I26" i="46"/>
  <c r="H26" i="46"/>
  <c r="G26" i="46"/>
  <c r="E26" i="46"/>
  <c r="D26" i="46"/>
  <c r="N25" i="46"/>
  <c r="M25" i="46"/>
  <c r="L25" i="46"/>
  <c r="K25" i="46"/>
  <c r="J25" i="46"/>
  <c r="I25" i="46"/>
  <c r="H25" i="46"/>
  <c r="G25" i="46"/>
  <c r="E25" i="46"/>
  <c r="D25" i="46"/>
  <c r="P24" i="46"/>
  <c r="N24" i="46"/>
  <c r="M24" i="46"/>
  <c r="L24" i="46"/>
  <c r="K24" i="46"/>
  <c r="J24" i="46"/>
  <c r="I24" i="46"/>
  <c r="H24" i="46"/>
  <c r="G24" i="46"/>
  <c r="E24" i="46"/>
  <c r="D24" i="46"/>
  <c r="P23" i="46"/>
  <c r="N23" i="46"/>
  <c r="M23" i="46"/>
  <c r="L23" i="46"/>
  <c r="K23" i="46"/>
  <c r="J23" i="46"/>
  <c r="I23" i="46"/>
  <c r="H23" i="46"/>
  <c r="G23" i="46"/>
  <c r="E23" i="46"/>
  <c r="D23" i="46"/>
  <c r="P22" i="46"/>
  <c r="N22" i="46"/>
  <c r="M22" i="46"/>
  <c r="L22" i="46"/>
  <c r="K22" i="46"/>
  <c r="J22" i="46"/>
  <c r="I22" i="46"/>
  <c r="H22" i="46"/>
  <c r="G22" i="46"/>
  <c r="E22" i="46"/>
  <c r="D22" i="46"/>
  <c r="D21" i="46"/>
  <c r="N19" i="46"/>
  <c r="M19" i="46"/>
  <c r="L19" i="46"/>
  <c r="K19" i="46"/>
  <c r="J19" i="46"/>
  <c r="H19" i="46"/>
  <c r="G19" i="46"/>
  <c r="F19" i="46"/>
  <c r="E19" i="46"/>
  <c r="D19" i="46"/>
  <c r="P18" i="46"/>
  <c r="N18" i="46"/>
  <c r="M18" i="46"/>
  <c r="L18" i="46"/>
  <c r="K18" i="46"/>
  <c r="J18" i="46"/>
  <c r="I18" i="46"/>
  <c r="H18" i="46"/>
  <c r="G18" i="46"/>
  <c r="F18" i="46"/>
  <c r="E18" i="46"/>
  <c r="D18" i="46"/>
  <c r="P17" i="46"/>
  <c r="P16" i="46"/>
  <c r="E16" i="46"/>
  <c r="P15" i="46"/>
  <c r="P14" i="46"/>
  <c r="N13" i="46"/>
  <c r="M13" i="46"/>
  <c r="L13" i="46"/>
  <c r="K13" i="46"/>
  <c r="J13" i="46"/>
  <c r="H13" i="46"/>
  <c r="G13" i="46"/>
  <c r="F13" i="46"/>
  <c r="E13" i="46"/>
  <c r="D13" i="46"/>
  <c r="N12" i="46"/>
  <c r="M12" i="46"/>
  <c r="L12" i="46"/>
  <c r="K12" i="46"/>
  <c r="J12" i="46"/>
  <c r="I12" i="46"/>
  <c r="H12" i="46"/>
  <c r="G12" i="46"/>
  <c r="F12" i="46"/>
  <c r="E12" i="46"/>
  <c r="D12" i="46"/>
  <c r="N11" i="46"/>
  <c r="M11" i="46"/>
  <c r="L11" i="46"/>
  <c r="K11" i="46"/>
  <c r="J11" i="46"/>
  <c r="I11" i="46"/>
  <c r="P11" i="46" s="1"/>
  <c r="H11" i="46"/>
  <c r="G11" i="46"/>
  <c r="F11" i="46"/>
  <c r="E11" i="46"/>
  <c r="D11" i="46"/>
  <c r="N10" i="46"/>
  <c r="M10" i="46"/>
  <c r="L10" i="46"/>
  <c r="K10" i="46"/>
  <c r="J10" i="46"/>
  <c r="I10" i="46"/>
  <c r="P10" i="46" s="1"/>
  <c r="H10" i="46"/>
  <c r="G10" i="46"/>
  <c r="F10" i="46"/>
  <c r="E10" i="46"/>
  <c r="D10" i="46"/>
  <c r="N9" i="46"/>
  <c r="M9" i="46"/>
  <c r="L9" i="46"/>
  <c r="K9" i="46"/>
  <c r="J9" i="46"/>
  <c r="I9" i="46"/>
  <c r="P9" i="46" s="1"/>
  <c r="H9" i="46"/>
  <c r="G9" i="46"/>
  <c r="F9" i="46"/>
  <c r="E9" i="46"/>
  <c r="D9" i="46"/>
  <c r="N8" i="46"/>
  <c r="M8" i="46"/>
  <c r="L8" i="46"/>
  <c r="K8" i="46"/>
  <c r="J8" i="46"/>
  <c r="H8" i="46"/>
  <c r="G8" i="46"/>
  <c r="F8" i="46"/>
  <c r="E8" i="46"/>
  <c r="D8" i="46"/>
  <c r="K150" i="72"/>
  <c r="G150" i="72"/>
  <c r="D150" i="72"/>
  <c r="N145" i="72"/>
  <c r="N149" i="72" s="1"/>
  <c r="M145" i="72"/>
  <c r="L145" i="72"/>
  <c r="K145" i="72"/>
  <c r="J145" i="72"/>
  <c r="J150" i="72" s="1"/>
  <c r="I145" i="72"/>
  <c r="H145" i="72"/>
  <c r="H150" i="72" s="1"/>
  <c r="G145" i="72"/>
  <c r="D145" i="72"/>
  <c r="N142" i="72"/>
  <c r="M142" i="72"/>
  <c r="L142" i="72"/>
  <c r="K142" i="72"/>
  <c r="J142" i="72"/>
  <c r="I142" i="72"/>
  <c r="H142" i="72"/>
  <c r="G142" i="72"/>
  <c r="F142" i="72"/>
  <c r="E142" i="72"/>
  <c r="D142" i="72"/>
  <c r="D140" i="72"/>
  <c r="N139" i="72"/>
  <c r="M139" i="72"/>
  <c r="L139" i="72"/>
  <c r="K139" i="72"/>
  <c r="J139" i="72"/>
  <c r="I139" i="72"/>
  <c r="H139" i="72"/>
  <c r="G139" i="72"/>
  <c r="E139" i="72"/>
  <c r="D139" i="72"/>
  <c r="N138" i="72"/>
  <c r="M138" i="72"/>
  <c r="L138" i="72"/>
  <c r="K138" i="72"/>
  <c r="J138" i="72"/>
  <c r="I138" i="72"/>
  <c r="H138" i="72"/>
  <c r="G138" i="72"/>
  <c r="E138" i="72"/>
  <c r="D138" i="72"/>
  <c r="N137" i="72"/>
  <c r="M137" i="72"/>
  <c r="L137" i="72"/>
  <c r="K137" i="72"/>
  <c r="J137" i="72"/>
  <c r="I137" i="72"/>
  <c r="H137" i="72"/>
  <c r="G137" i="72"/>
  <c r="E137" i="72"/>
  <c r="D137" i="72"/>
  <c r="N136" i="72"/>
  <c r="M136" i="72"/>
  <c r="L136" i="72"/>
  <c r="K136" i="72"/>
  <c r="J136" i="72"/>
  <c r="I136" i="72"/>
  <c r="H136" i="72"/>
  <c r="G136" i="72"/>
  <c r="E136" i="72"/>
  <c r="D136" i="72"/>
  <c r="N135" i="72"/>
  <c r="M135" i="72"/>
  <c r="L135" i="72"/>
  <c r="K135" i="72"/>
  <c r="J135" i="72"/>
  <c r="I135" i="72"/>
  <c r="H135" i="72"/>
  <c r="G135" i="72"/>
  <c r="E135" i="72"/>
  <c r="D135" i="72"/>
  <c r="N134" i="72"/>
  <c r="M134" i="72"/>
  <c r="L134" i="72"/>
  <c r="K134" i="72"/>
  <c r="J134" i="72"/>
  <c r="I134" i="72"/>
  <c r="H134" i="72"/>
  <c r="G134" i="72"/>
  <c r="E134" i="72"/>
  <c r="D134" i="72"/>
  <c r="N133" i="72"/>
  <c r="M133" i="72"/>
  <c r="L133" i="72"/>
  <c r="K133" i="72"/>
  <c r="J133" i="72"/>
  <c r="I133" i="72"/>
  <c r="H133" i="72"/>
  <c r="G133" i="72"/>
  <c r="E133" i="72"/>
  <c r="D133" i="72"/>
  <c r="N132" i="72"/>
  <c r="M132" i="72"/>
  <c r="L132" i="72"/>
  <c r="K132" i="72"/>
  <c r="J132" i="72"/>
  <c r="I132" i="72"/>
  <c r="H132" i="72"/>
  <c r="G132" i="72"/>
  <c r="E132" i="72"/>
  <c r="D132" i="72"/>
  <c r="N131" i="72"/>
  <c r="M131" i="72"/>
  <c r="L131" i="72"/>
  <c r="K131" i="72"/>
  <c r="J131" i="72"/>
  <c r="I131" i="72"/>
  <c r="H131" i="72"/>
  <c r="G131" i="72"/>
  <c r="E131" i="72"/>
  <c r="D131" i="72"/>
  <c r="N130" i="72"/>
  <c r="M130" i="72"/>
  <c r="L130" i="72"/>
  <c r="K130" i="72"/>
  <c r="J130" i="72"/>
  <c r="I130" i="72"/>
  <c r="H130" i="72"/>
  <c r="G130" i="72"/>
  <c r="E130" i="72"/>
  <c r="D130" i="72"/>
  <c r="N129" i="72"/>
  <c r="M129" i="72"/>
  <c r="L129" i="72"/>
  <c r="K129" i="72"/>
  <c r="J129" i="72"/>
  <c r="I129" i="72"/>
  <c r="H129" i="72"/>
  <c r="G129" i="72"/>
  <c r="E129" i="72"/>
  <c r="D129" i="72"/>
  <c r="N128" i="72"/>
  <c r="M128" i="72"/>
  <c r="L128" i="72"/>
  <c r="K128" i="72"/>
  <c r="J128" i="72"/>
  <c r="I128" i="72"/>
  <c r="H128" i="72"/>
  <c r="G128" i="72"/>
  <c r="E128" i="72"/>
  <c r="D128" i="72"/>
  <c r="N127" i="72"/>
  <c r="M127" i="72"/>
  <c r="L127" i="72"/>
  <c r="K127" i="72"/>
  <c r="J127" i="72"/>
  <c r="I127" i="72"/>
  <c r="H127" i="72"/>
  <c r="G127" i="72"/>
  <c r="E127" i="72"/>
  <c r="D127" i="72"/>
  <c r="N126" i="72"/>
  <c r="M126" i="72"/>
  <c r="L126" i="72"/>
  <c r="K126" i="72"/>
  <c r="J126" i="72"/>
  <c r="I126" i="72"/>
  <c r="H126" i="72"/>
  <c r="G126" i="72"/>
  <c r="E126" i="72"/>
  <c r="D126" i="72"/>
  <c r="N125" i="72"/>
  <c r="M125" i="72"/>
  <c r="L125" i="72"/>
  <c r="K125" i="72"/>
  <c r="J125" i="72"/>
  <c r="I125" i="72"/>
  <c r="H125" i="72"/>
  <c r="G125" i="72"/>
  <c r="E125" i="72"/>
  <c r="D125" i="72"/>
  <c r="N124" i="72"/>
  <c r="M124" i="72"/>
  <c r="L124" i="72"/>
  <c r="K124" i="72"/>
  <c r="J124" i="72"/>
  <c r="I124" i="72"/>
  <c r="H124" i="72"/>
  <c r="G124" i="72"/>
  <c r="E124" i="72"/>
  <c r="D124" i="72"/>
  <c r="N123" i="72"/>
  <c r="M123" i="72"/>
  <c r="L123" i="72"/>
  <c r="K123" i="72"/>
  <c r="J123" i="72"/>
  <c r="I123" i="72"/>
  <c r="H123" i="72"/>
  <c r="G123" i="72"/>
  <c r="E123" i="72"/>
  <c r="D123" i="72"/>
  <c r="N122" i="72"/>
  <c r="M122" i="72"/>
  <c r="L122" i="72"/>
  <c r="K122" i="72"/>
  <c r="J122" i="72"/>
  <c r="I122" i="72"/>
  <c r="H122" i="72"/>
  <c r="G122" i="72"/>
  <c r="E122" i="72"/>
  <c r="D122" i="72"/>
  <c r="N121" i="72"/>
  <c r="M121" i="72"/>
  <c r="L121" i="72"/>
  <c r="K121" i="72"/>
  <c r="J121" i="72"/>
  <c r="I121" i="72"/>
  <c r="H121" i="72"/>
  <c r="G121" i="72"/>
  <c r="E121" i="72"/>
  <c r="D121" i="72"/>
  <c r="N120" i="72"/>
  <c r="M120" i="72"/>
  <c r="L120" i="72"/>
  <c r="K120" i="72"/>
  <c r="J120" i="72"/>
  <c r="I120" i="72"/>
  <c r="H120" i="72"/>
  <c r="G120" i="72"/>
  <c r="E120" i="72"/>
  <c r="D120" i="72"/>
  <c r="N119" i="72"/>
  <c r="M119" i="72"/>
  <c r="L119" i="72"/>
  <c r="K119" i="72"/>
  <c r="J119" i="72"/>
  <c r="I119" i="72"/>
  <c r="H119" i="72"/>
  <c r="G119" i="72"/>
  <c r="E119" i="72"/>
  <c r="D119" i="72"/>
  <c r="N118" i="72"/>
  <c r="M118" i="72"/>
  <c r="L118" i="72"/>
  <c r="K118" i="72"/>
  <c r="J118" i="72"/>
  <c r="I118" i="72"/>
  <c r="H118" i="72"/>
  <c r="G118" i="72"/>
  <c r="E118" i="72"/>
  <c r="D118" i="72"/>
  <c r="N117" i="72"/>
  <c r="M117" i="72"/>
  <c r="L117" i="72"/>
  <c r="K117" i="72"/>
  <c r="J117" i="72"/>
  <c r="I117" i="72"/>
  <c r="H117" i="72"/>
  <c r="G117" i="72"/>
  <c r="E117" i="72"/>
  <c r="D117" i="72"/>
  <c r="N116" i="72"/>
  <c r="M116" i="72"/>
  <c r="L116" i="72"/>
  <c r="K116" i="72"/>
  <c r="J116" i="72"/>
  <c r="I116" i="72"/>
  <c r="H116" i="72"/>
  <c r="G116" i="72"/>
  <c r="E116" i="72"/>
  <c r="D116" i="72"/>
  <c r="N115" i="72"/>
  <c r="M115" i="72"/>
  <c r="L115" i="72"/>
  <c r="K115" i="72"/>
  <c r="J115" i="72"/>
  <c r="I115" i="72"/>
  <c r="H115" i="72"/>
  <c r="G115" i="72"/>
  <c r="E115" i="72"/>
  <c r="D115" i="72"/>
  <c r="N114" i="72"/>
  <c r="M114" i="72"/>
  <c r="L114" i="72"/>
  <c r="K114" i="72"/>
  <c r="J114" i="72"/>
  <c r="I114" i="72"/>
  <c r="H114" i="72"/>
  <c r="G114" i="72"/>
  <c r="E114" i="72"/>
  <c r="D114" i="72"/>
  <c r="N113" i="72"/>
  <c r="M113" i="72"/>
  <c r="L113" i="72"/>
  <c r="K113" i="72"/>
  <c r="J113" i="72"/>
  <c r="I113" i="72"/>
  <c r="H113" i="72"/>
  <c r="G113" i="72"/>
  <c r="E113" i="72"/>
  <c r="D113" i="72"/>
  <c r="N112" i="72"/>
  <c r="M112" i="72"/>
  <c r="L112" i="72"/>
  <c r="K112" i="72"/>
  <c r="J112" i="72"/>
  <c r="I112" i="72"/>
  <c r="H112" i="72"/>
  <c r="G112" i="72"/>
  <c r="E112" i="72"/>
  <c r="D112" i="72"/>
  <c r="N111" i="72"/>
  <c r="M111" i="72"/>
  <c r="L111" i="72"/>
  <c r="K111" i="72"/>
  <c r="J111" i="72"/>
  <c r="I111" i="72"/>
  <c r="H111" i="72"/>
  <c r="G111" i="72"/>
  <c r="E111" i="72"/>
  <c r="D111" i="72"/>
  <c r="N110" i="72"/>
  <c r="M110" i="72"/>
  <c r="L110" i="72"/>
  <c r="K110" i="72"/>
  <c r="J110" i="72"/>
  <c r="I110" i="72"/>
  <c r="H110" i="72"/>
  <c r="G110" i="72"/>
  <c r="E110" i="72"/>
  <c r="D110" i="72"/>
  <c r="N109" i="72"/>
  <c r="M109" i="72"/>
  <c r="L109" i="72"/>
  <c r="K109" i="72"/>
  <c r="J109" i="72"/>
  <c r="I109" i="72"/>
  <c r="H109" i="72"/>
  <c r="G109" i="72"/>
  <c r="E109" i="72"/>
  <c r="D109" i="72"/>
  <c r="N108" i="72"/>
  <c r="M108" i="72"/>
  <c r="L108" i="72"/>
  <c r="K108" i="72"/>
  <c r="J108" i="72"/>
  <c r="I108" i="72"/>
  <c r="H108" i="72"/>
  <c r="G108" i="72"/>
  <c r="E108" i="72"/>
  <c r="D108" i="72"/>
  <c r="N107" i="72"/>
  <c r="M107" i="72"/>
  <c r="L107" i="72"/>
  <c r="K107" i="72"/>
  <c r="J107" i="72"/>
  <c r="I107" i="72"/>
  <c r="H107" i="72"/>
  <c r="G107" i="72"/>
  <c r="E107" i="72"/>
  <c r="D107" i="72"/>
  <c r="N106" i="72"/>
  <c r="M106" i="72"/>
  <c r="L106" i="72"/>
  <c r="K106" i="72"/>
  <c r="J106" i="72"/>
  <c r="I106" i="72"/>
  <c r="H106" i="72"/>
  <c r="G106" i="72"/>
  <c r="E106" i="72"/>
  <c r="D106" i="72"/>
  <c r="N105" i="72"/>
  <c r="M105" i="72"/>
  <c r="L105" i="72"/>
  <c r="K105" i="72"/>
  <c r="J105" i="72"/>
  <c r="I105" i="72"/>
  <c r="H105" i="72"/>
  <c r="G105" i="72"/>
  <c r="E105" i="72"/>
  <c r="D105" i="72"/>
  <c r="N104" i="72"/>
  <c r="M104" i="72"/>
  <c r="L104" i="72"/>
  <c r="K104" i="72"/>
  <c r="J104" i="72"/>
  <c r="I104" i="72"/>
  <c r="H104" i="72"/>
  <c r="G104" i="72"/>
  <c r="E104" i="72"/>
  <c r="D104" i="72"/>
  <c r="N103" i="72"/>
  <c r="M103" i="72"/>
  <c r="L103" i="72"/>
  <c r="K103" i="72"/>
  <c r="J103" i="72"/>
  <c r="I103" i="72"/>
  <c r="H103" i="72"/>
  <c r="G103" i="72"/>
  <c r="E103" i="72"/>
  <c r="D103" i="72"/>
  <c r="N102" i="72"/>
  <c r="M102" i="72"/>
  <c r="L102" i="72"/>
  <c r="K102" i="72"/>
  <c r="J102" i="72"/>
  <c r="I102" i="72"/>
  <c r="H102" i="72"/>
  <c r="G102" i="72"/>
  <c r="E102" i="72"/>
  <c r="D102" i="72"/>
  <c r="N101" i="72"/>
  <c r="M101" i="72"/>
  <c r="L101" i="72"/>
  <c r="K101" i="72"/>
  <c r="J101" i="72"/>
  <c r="I101" i="72"/>
  <c r="H101" i="72"/>
  <c r="G101" i="72"/>
  <c r="E101" i="72"/>
  <c r="D101" i="72"/>
  <c r="N100" i="72"/>
  <c r="M100" i="72"/>
  <c r="L100" i="72"/>
  <c r="K100" i="72"/>
  <c r="J100" i="72"/>
  <c r="I100" i="72"/>
  <c r="H100" i="72"/>
  <c r="G100" i="72"/>
  <c r="E100" i="72"/>
  <c r="D100" i="72"/>
  <c r="N99" i="72"/>
  <c r="M99" i="72"/>
  <c r="L99" i="72"/>
  <c r="K99" i="72"/>
  <c r="J99" i="72"/>
  <c r="I99" i="72"/>
  <c r="H99" i="72"/>
  <c r="G99" i="72"/>
  <c r="E99" i="72"/>
  <c r="D99" i="72"/>
  <c r="N98" i="72"/>
  <c r="M98" i="72"/>
  <c r="L98" i="72"/>
  <c r="K98" i="72"/>
  <c r="J98" i="72"/>
  <c r="I98" i="72"/>
  <c r="H98" i="72"/>
  <c r="G98" i="72"/>
  <c r="E98" i="72"/>
  <c r="D98" i="72"/>
  <c r="N97" i="72"/>
  <c r="M97" i="72"/>
  <c r="L97" i="72"/>
  <c r="K97" i="72"/>
  <c r="J97" i="72"/>
  <c r="I97" i="72"/>
  <c r="H97" i="72"/>
  <c r="G97" i="72"/>
  <c r="E97" i="72"/>
  <c r="D97" i="72"/>
  <c r="N96" i="72"/>
  <c r="M96" i="72"/>
  <c r="L96" i="72"/>
  <c r="K96" i="72"/>
  <c r="J96" i="72"/>
  <c r="I96" i="72"/>
  <c r="H96" i="72"/>
  <c r="G96" i="72"/>
  <c r="E96" i="72"/>
  <c r="D96" i="72"/>
  <c r="N95" i="72"/>
  <c r="M95" i="72"/>
  <c r="L95" i="72"/>
  <c r="K95" i="72"/>
  <c r="J95" i="72"/>
  <c r="I95" i="72"/>
  <c r="H95" i="72"/>
  <c r="G95" i="72"/>
  <c r="E95" i="72"/>
  <c r="D95" i="72"/>
  <c r="N94" i="72"/>
  <c r="M94" i="72"/>
  <c r="L94" i="72"/>
  <c r="K94" i="72"/>
  <c r="J94" i="72"/>
  <c r="I94" i="72"/>
  <c r="H94" i="72"/>
  <c r="G94" i="72"/>
  <c r="E94" i="72"/>
  <c r="D94" i="72"/>
  <c r="N93" i="72"/>
  <c r="M93" i="72"/>
  <c r="L93" i="72"/>
  <c r="K93" i="72"/>
  <c r="J93" i="72"/>
  <c r="I93" i="72"/>
  <c r="H93" i="72"/>
  <c r="G93" i="72"/>
  <c r="E93" i="72"/>
  <c r="D93" i="72"/>
  <c r="N92" i="72"/>
  <c r="M92" i="72"/>
  <c r="L92" i="72"/>
  <c r="K92" i="72"/>
  <c r="J92" i="72"/>
  <c r="I92" i="72"/>
  <c r="H92" i="72"/>
  <c r="G92" i="72"/>
  <c r="E92" i="72"/>
  <c r="D92" i="72"/>
  <c r="N91" i="72"/>
  <c r="M91" i="72"/>
  <c r="L91" i="72"/>
  <c r="K91" i="72"/>
  <c r="J91" i="72"/>
  <c r="I91" i="72"/>
  <c r="H91" i="72"/>
  <c r="G91" i="72"/>
  <c r="E91" i="72"/>
  <c r="D91" i="72"/>
  <c r="N90" i="72"/>
  <c r="M90" i="72"/>
  <c r="L90" i="72"/>
  <c r="K90" i="72"/>
  <c r="J90" i="72"/>
  <c r="I90" i="72"/>
  <c r="H90" i="72"/>
  <c r="G90" i="72"/>
  <c r="E90" i="72"/>
  <c r="D90" i="72"/>
  <c r="N89" i="72"/>
  <c r="M89" i="72"/>
  <c r="L89" i="72"/>
  <c r="K89" i="72"/>
  <c r="J89" i="72"/>
  <c r="I89" i="72"/>
  <c r="H89" i="72"/>
  <c r="G89" i="72"/>
  <c r="E89" i="72"/>
  <c r="D89" i="72"/>
  <c r="N88" i="72"/>
  <c r="M88" i="72"/>
  <c r="L88" i="72"/>
  <c r="K88" i="72"/>
  <c r="J88" i="72"/>
  <c r="I88" i="72"/>
  <c r="H88" i="72"/>
  <c r="G88" i="72"/>
  <c r="E88" i="72"/>
  <c r="D88" i="72"/>
  <c r="N87" i="72"/>
  <c r="M87" i="72"/>
  <c r="L87" i="72"/>
  <c r="K87" i="72"/>
  <c r="J87" i="72"/>
  <c r="I87" i="72"/>
  <c r="H87" i="72"/>
  <c r="G87" i="72"/>
  <c r="E87" i="72"/>
  <c r="D87" i="72"/>
  <c r="N86" i="72"/>
  <c r="M86" i="72"/>
  <c r="L86" i="72"/>
  <c r="K86" i="72"/>
  <c r="J86" i="72"/>
  <c r="I86" i="72"/>
  <c r="H86" i="72"/>
  <c r="G86" i="72"/>
  <c r="E86" i="72"/>
  <c r="D86" i="72"/>
  <c r="N85" i="72"/>
  <c r="M85" i="72"/>
  <c r="L85" i="72"/>
  <c r="K85" i="72"/>
  <c r="J85" i="72"/>
  <c r="I85" i="72"/>
  <c r="H85" i="72"/>
  <c r="G85" i="72"/>
  <c r="E85" i="72"/>
  <c r="D85" i="72"/>
  <c r="N84" i="72"/>
  <c r="M84" i="72"/>
  <c r="L84" i="72"/>
  <c r="K84" i="72"/>
  <c r="J84" i="72"/>
  <c r="I84" i="72"/>
  <c r="H84" i="72"/>
  <c r="G84" i="72"/>
  <c r="E84" i="72"/>
  <c r="D84" i="72"/>
  <c r="N83" i="72"/>
  <c r="M83" i="72"/>
  <c r="L83" i="72"/>
  <c r="K83" i="72"/>
  <c r="J83" i="72"/>
  <c r="I83" i="72"/>
  <c r="H83" i="72"/>
  <c r="G83" i="72"/>
  <c r="E83" i="72"/>
  <c r="D83" i="72"/>
  <c r="N82" i="72"/>
  <c r="M82" i="72"/>
  <c r="L82" i="72"/>
  <c r="K82" i="72"/>
  <c r="J82" i="72"/>
  <c r="I82" i="72"/>
  <c r="H82" i="72"/>
  <c r="G82" i="72"/>
  <c r="E82" i="72"/>
  <c r="D82" i="72"/>
  <c r="N81" i="72"/>
  <c r="M81" i="72"/>
  <c r="L81" i="72"/>
  <c r="K81" i="72"/>
  <c r="J81" i="72"/>
  <c r="I81" i="72"/>
  <c r="H81" i="72"/>
  <c r="G81" i="72"/>
  <c r="E81" i="72"/>
  <c r="D81" i="72"/>
  <c r="N80" i="72"/>
  <c r="M80" i="72"/>
  <c r="L80" i="72"/>
  <c r="K80" i="72"/>
  <c r="J80" i="72"/>
  <c r="I80" i="72"/>
  <c r="H80" i="72"/>
  <c r="G80" i="72"/>
  <c r="E80" i="72"/>
  <c r="D80" i="72"/>
  <c r="N79" i="72"/>
  <c r="M79" i="72"/>
  <c r="L79" i="72"/>
  <c r="K79" i="72"/>
  <c r="J79" i="72"/>
  <c r="I79" i="72"/>
  <c r="H79" i="72"/>
  <c r="G79" i="72"/>
  <c r="E79" i="72"/>
  <c r="D79" i="72"/>
  <c r="N78" i="72"/>
  <c r="M78" i="72"/>
  <c r="L78" i="72"/>
  <c r="K78" i="72"/>
  <c r="J78" i="72"/>
  <c r="I78" i="72"/>
  <c r="H78" i="72"/>
  <c r="G78" i="72"/>
  <c r="E78" i="72"/>
  <c r="D78" i="72"/>
  <c r="N77" i="72"/>
  <c r="M77" i="72"/>
  <c r="L77" i="72"/>
  <c r="K77" i="72"/>
  <c r="J77" i="72"/>
  <c r="I77" i="72"/>
  <c r="H77" i="72"/>
  <c r="G77" i="72"/>
  <c r="E77" i="72"/>
  <c r="D77" i="72"/>
  <c r="N76" i="72"/>
  <c r="M76" i="72"/>
  <c r="L76" i="72"/>
  <c r="K76" i="72"/>
  <c r="J76" i="72"/>
  <c r="I76" i="72"/>
  <c r="H76" i="72"/>
  <c r="G76" i="72"/>
  <c r="E76" i="72"/>
  <c r="D76" i="72"/>
  <c r="N75" i="72"/>
  <c r="M75" i="72"/>
  <c r="L75" i="72"/>
  <c r="K75" i="72"/>
  <c r="J75" i="72"/>
  <c r="I75" i="72"/>
  <c r="H75" i="72"/>
  <c r="G75" i="72"/>
  <c r="E75" i="72"/>
  <c r="D75" i="72"/>
  <c r="N74" i="72"/>
  <c r="M74" i="72"/>
  <c r="L74" i="72"/>
  <c r="K74" i="72"/>
  <c r="J74" i="72"/>
  <c r="I74" i="72"/>
  <c r="H74" i="72"/>
  <c r="G74" i="72"/>
  <c r="E74" i="72"/>
  <c r="D74" i="72"/>
  <c r="N73" i="72"/>
  <c r="M73" i="72"/>
  <c r="L73" i="72"/>
  <c r="K73" i="72"/>
  <c r="J73" i="72"/>
  <c r="I73" i="72"/>
  <c r="H73" i="72"/>
  <c r="G73" i="72"/>
  <c r="E73" i="72"/>
  <c r="D73" i="72"/>
  <c r="N72" i="72"/>
  <c r="M72" i="72"/>
  <c r="L72" i="72"/>
  <c r="K72" i="72"/>
  <c r="J72" i="72"/>
  <c r="I72" i="72"/>
  <c r="H72" i="72"/>
  <c r="G72" i="72"/>
  <c r="E72" i="72"/>
  <c r="D72" i="72"/>
  <c r="N71" i="72"/>
  <c r="M71" i="72"/>
  <c r="L71" i="72"/>
  <c r="K71" i="72"/>
  <c r="J71" i="72"/>
  <c r="I71" i="72"/>
  <c r="H71" i="72"/>
  <c r="G71" i="72"/>
  <c r="E71" i="72"/>
  <c r="D71" i="72"/>
  <c r="N70" i="72"/>
  <c r="M70" i="72"/>
  <c r="L70" i="72"/>
  <c r="K70" i="72"/>
  <c r="J70" i="72"/>
  <c r="I70" i="72"/>
  <c r="H70" i="72"/>
  <c r="G70" i="72"/>
  <c r="E70" i="72"/>
  <c r="D70" i="72"/>
  <c r="N69" i="72"/>
  <c r="M69" i="72"/>
  <c r="L69" i="72"/>
  <c r="K69" i="72"/>
  <c r="J69" i="72"/>
  <c r="I69" i="72"/>
  <c r="H69" i="72"/>
  <c r="G69" i="72"/>
  <c r="E69" i="72"/>
  <c r="D69" i="72"/>
  <c r="N68" i="72"/>
  <c r="M68" i="72"/>
  <c r="L68" i="72"/>
  <c r="K68" i="72"/>
  <c r="J68" i="72"/>
  <c r="I68" i="72"/>
  <c r="H68" i="72"/>
  <c r="G68" i="72"/>
  <c r="E68" i="72"/>
  <c r="D68" i="72"/>
  <c r="N67" i="72"/>
  <c r="M67" i="72"/>
  <c r="L67" i="72"/>
  <c r="K67" i="72"/>
  <c r="J67" i="72"/>
  <c r="I67" i="72"/>
  <c r="H67" i="72"/>
  <c r="G67" i="72"/>
  <c r="E67" i="72"/>
  <c r="D67" i="72"/>
  <c r="N66" i="72"/>
  <c r="M66" i="72"/>
  <c r="L66" i="72"/>
  <c r="K66" i="72"/>
  <c r="J66" i="72"/>
  <c r="I66" i="72"/>
  <c r="H66" i="72"/>
  <c r="G66" i="72"/>
  <c r="E66" i="72"/>
  <c r="D66" i="72"/>
  <c r="N65" i="72"/>
  <c r="M65" i="72"/>
  <c r="L65" i="72"/>
  <c r="K65" i="72"/>
  <c r="J65" i="72"/>
  <c r="I65" i="72"/>
  <c r="H65" i="72"/>
  <c r="G65" i="72"/>
  <c r="E65" i="72"/>
  <c r="D65" i="72"/>
  <c r="N64" i="72"/>
  <c r="M64" i="72"/>
  <c r="L64" i="72"/>
  <c r="K64" i="72"/>
  <c r="J64" i="72"/>
  <c r="I64" i="72"/>
  <c r="H64" i="72"/>
  <c r="G64" i="72"/>
  <c r="E64" i="72"/>
  <c r="D64" i="72"/>
  <c r="N63" i="72"/>
  <c r="M63" i="72"/>
  <c r="L63" i="72"/>
  <c r="K63" i="72"/>
  <c r="J63" i="72"/>
  <c r="I63" i="72"/>
  <c r="H63" i="72"/>
  <c r="G63" i="72"/>
  <c r="E63" i="72"/>
  <c r="D63" i="72"/>
  <c r="N62" i="72"/>
  <c r="M62" i="72"/>
  <c r="L62" i="72"/>
  <c r="K62" i="72"/>
  <c r="J62" i="72"/>
  <c r="I62" i="72"/>
  <c r="H62" i="72"/>
  <c r="G62" i="72"/>
  <c r="E62" i="72"/>
  <c r="D62" i="72"/>
  <c r="N61" i="72"/>
  <c r="M61" i="72"/>
  <c r="L61" i="72"/>
  <c r="K61" i="72"/>
  <c r="J61" i="72"/>
  <c r="I61" i="72"/>
  <c r="H61" i="72"/>
  <c r="G61" i="72"/>
  <c r="E61" i="72"/>
  <c r="D61" i="72"/>
  <c r="N60" i="72"/>
  <c r="M60" i="72"/>
  <c r="L60" i="72"/>
  <c r="K60" i="72"/>
  <c r="J60" i="72"/>
  <c r="I60" i="72"/>
  <c r="H60" i="72"/>
  <c r="G60" i="72"/>
  <c r="E60" i="72"/>
  <c r="D60" i="72"/>
  <c r="N59" i="72"/>
  <c r="M59" i="72"/>
  <c r="L59" i="72"/>
  <c r="K59" i="72"/>
  <c r="J59" i="72"/>
  <c r="I59" i="72"/>
  <c r="H59" i="72"/>
  <c r="G59" i="72"/>
  <c r="E59" i="72"/>
  <c r="D59" i="72"/>
  <c r="N58" i="72"/>
  <c r="M58" i="72"/>
  <c r="L58" i="72"/>
  <c r="K58" i="72"/>
  <c r="J58" i="72"/>
  <c r="I58" i="72"/>
  <c r="H58" i="72"/>
  <c r="G58" i="72"/>
  <c r="E58" i="72"/>
  <c r="D58" i="72"/>
  <c r="N57" i="72"/>
  <c r="M57" i="72"/>
  <c r="L57" i="72"/>
  <c r="K57" i="72"/>
  <c r="J57" i="72"/>
  <c r="I57" i="72"/>
  <c r="H57" i="72"/>
  <c r="G57" i="72"/>
  <c r="E57" i="72"/>
  <c r="D57" i="72"/>
  <c r="N56" i="72"/>
  <c r="M56" i="72"/>
  <c r="L56" i="72"/>
  <c r="K56" i="72"/>
  <c r="J56" i="72"/>
  <c r="I56" i="72"/>
  <c r="H56" i="72"/>
  <c r="G56" i="72"/>
  <c r="E56" i="72"/>
  <c r="D56" i="72"/>
  <c r="N55" i="72"/>
  <c r="M55" i="72"/>
  <c r="L55" i="72"/>
  <c r="K55" i="72"/>
  <c r="J55" i="72"/>
  <c r="I55" i="72"/>
  <c r="H55" i="72"/>
  <c r="G55" i="72"/>
  <c r="E55" i="72"/>
  <c r="D55" i="72"/>
  <c r="N54" i="72"/>
  <c r="M54" i="72"/>
  <c r="L54" i="72"/>
  <c r="K54" i="72"/>
  <c r="J54" i="72"/>
  <c r="I54" i="72"/>
  <c r="H54" i="72"/>
  <c r="G54" i="72"/>
  <c r="E54" i="72"/>
  <c r="D54" i="72"/>
  <c r="N53" i="72"/>
  <c r="M53" i="72"/>
  <c r="L53" i="72"/>
  <c r="K53" i="72"/>
  <c r="J53" i="72"/>
  <c r="I53" i="72"/>
  <c r="H53" i="72"/>
  <c r="G53" i="72"/>
  <c r="E53" i="72"/>
  <c r="D53" i="72"/>
  <c r="N52" i="72"/>
  <c r="M52" i="72"/>
  <c r="L52" i="72"/>
  <c r="K52" i="72"/>
  <c r="J52" i="72"/>
  <c r="I52" i="72"/>
  <c r="H52" i="72"/>
  <c r="G52" i="72"/>
  <c r="E52" i="72"/>
  <c r="D52" i="72"/>
  <c r="N51" i="72"/>
  <c r="M51" i="72"/>
  <c r="L51" i="72"/>
  <c r="K51" i="72"/>
  <c r="J51" i="72"/>
  <c r="I51" i="72"/>
  <c r="H51" i="72"/>
  <c r="G51" i="72"/>
  <c r="E51" i="72"/>
  <c r="D51" i="72"/>
  <c r="N50" i="72"/>
  <c r="M50" i="72"/>
  <c r="L50" i="72"/>
  <c r="K50" i="72"/>
  <c r="J50" i="72"/>
  <c r="I50" i="72"/>
  <c r="H50" i="72"/>
  <c r="G50" i="72"/>
  <c r="E50" i="72"/>
  <c r="D50" i="72"/>
  <c r="N49" i="72"/>
  <c r="M49" i="72"/>
  <c r="L49" i="72"/>
  <c r="K49" i="72"/>
  <c r="J49" i="72"/>
  <c r="I49" i="72"/>
  <c r="H49" i="72"/>
  <c r="G49" i="72"/>
  <c r="E49" i="72"/>
  <c r="D49" i="72"/>
  <c r="N48" i="72"/>
  <c r="M48" i="72"/>
  <c r="L48" i="72"/>
  <c r="K48" i="72"/>
  <c r="J48" i="72"/>
  <c r="I48" i="72"/>
  <c r="H48" i="72"/>
  <c r="G48" i="72"/>
  <c r="E48" i="72"/>
  <c r="D48" i="72"/>
  <c r="N47" i="72"/>
  <c r="M47" i="72"/>
  <c r="L47" i="72"/>
  <c r="K47" i="72"/>
  <c r="J47" i="72"/>
  <c r="I47" i="72"/>
  <c r="H47" i="72"/>
  <c r="G47" i="72"/>
  <c r="E47" i="72"/>
  <c r="D47" i="72"/>
  <c r="N46" i="72"/>
  <c r="M46" i="72"/>
  <c r="L46" i="72"/>
  <c r="K46" i="72"/>
  <c r="J46" i="72"/>
  <c r="I46" i="72"/>
  <c r="H46" i="72"/>
  <c r="G46" i="72"/>
  <c r="E46" i="72"/>
  <c r="D46" i="72"/>
  <c r="N45" i="72"/>
  <c r="M45" i="72"/>
  <c r="L45" i="72"/>
  <c r="K45" i="72"/>
  <c r="J45" i="72"/>
  <c r="I45" i="72"/>
  <c r="H45" i="72"/>
  <c r="G45" i="72"/>
  <c r="E45" i="72"/>
  <c r="D45" i="72"/>
  <c r="N44" i="72"/>
  <c r="M44" i="72"/>
  <c r="L44" i="72"/>
  <c r="K44" i="72"/>
  <c r="J44" i="72"/>
  <c r="I44" i="72"/>
  <c r="H44" i="72"/>
  <c r="G44" i="72"/>
  <c r="E44" i="72"/>
  <c r="D44" i="72"/>
  <c r="N43" i="72"/>
  <c r="M43" i="72"/>
  <c r="L43" i="72"/>
  <c r="K43" i="72"/>
  <c r="J43" i="72"/>
  <c r="I43" i="72"/>
  <c r="H43" i="72"/>
  <c r="G43" i="72"/>
  <c r="E43" i="72"/>
  <c r="D43" i="72"/>
  <c r="N42" i="72"/>
  <c r="M42" i="72"/>
  <c r="L42" i="72"/>
  <c r="K42" i="72"/>
  <c r="J42" i="72"/>
  <c r="I42" i="72"/>
  <c r="H42" i="72"/>
  <c r="G42" i="72"/>
  <c r="E42" i="72"/>
  <c r="D42" i="72"/>
  <c r="N41" i="72"/>
  <c r="M41" i="72"/>
  <c r="L41" i="72"/>
  <c r="K41" i="72"/>
  <c r="J41" i="72"/>
  <c r="I41" i="72"/>
  <c r="H41" i="72"/>
  <c r="G41" i="72"/>
  <c r="E41" i="72"/>
  <c r="D41" i="72"/>
  <c r="N40" i="72"/>
  <c r="M40" i="72"/>
  <c r="L40" i="72"/>
  <c r="K40" i="72"/>
  <c r="J40" i="72"/>
  <c r="I40" i="72"/>
  <c r="H40" i="72"/>
  <c r="G40" i="72"/>
  <c r="E40" i="72"/>
  <c r="D40" i="72"/>
  <c r="N39" i="72"/>
  <c r="M39" i="72"/>
  <c r="L39" i="72"/>
  <c r="K39" i="72"/>
  <c r="J39" i="72"/>
  <c r="I39" i="72"/>
  <c r="H39" i="72"/>
  <c r="G39" i="72"/>
  <c r="E39" i="72"/>
  <c r="D39" i="72"/>
  <c r="N38" i="72"/>
  <c r="M38" i="72"/>
  <c r="L38" i="72"/>
  <c r="K38" i="72"/>
  <c r="J38" i="72"/>
  <c r="I38" i="72"/>
  <c r="H38" i="72"/>
  <c r="G38" i="72"/>
  <c r="E38" i="72"/>
  <c r="D38" i="72"/>
  <c r="N37" i="72"/>
  <c r="M37" i="72"/>
  <c r="L37" i="72"/>
  <c r="K37" i="72"/>
  <c r="J37" i="72"/>
  <c r="I37" i="72"/>
  <c r="H37" i="72"/>
  <c r="G37" i="72"/>
  <c r="E37" i="72"/>
  <c r="D37" i="72"/>
  <c r="N36" i="72"/>
  <c r="M36" i="72"/>
  <c r="L36" i="72"/>
  <c r="K36" i="72"/>
  <c r="J36" i="72"/>
  <c r="I36" i="72"/>
  <c r="H36" i="72"/>
  <c r="G36" i="72"/>
  <c r="E36" i="72"/>
  <c r="D36" i="72"/>
  <c r="N35" i="72"/>
  <c r="M35" i="72"/>
  <c r="L35" i="72"/>
  <c r="K35" i="72"/>
  <c r="J35" i="72"/>
  <c r="I35" i="72"/>
  <c r="H35" i="72"/>
  <c r="G35" i="72"/>
  <c r="E35" i="72"/>
  <c r="D35" i="72"/>
  <c r="N34" i="72"/>
  <c r="M34" i="72"/>
  <c r="L34" i="72"/>
  <c r="K34" i="72"/>
  <c r="J34" i="72"/>
  <c r="I34" i="72"/>
  <c r="H34" i="72"/>
  <c r="G34" i="72"/>
  <c r="E34" i="72"/>
  <c r="D34" i="72"/>
  <c r="N33" i="72"/>
  <c r="M33" i="72"/>
  <c r="L33" i="72"/>
  <c r="K33" i="72"/>
  <c r="J33" i="72"/>
  <c r="I33" i="72"/>
  <c r="H33" i="72"/>
  <c r="G33" i="72"/>
  <c r="E33" i="72"/>
  <c r="D33" i="72"/>
  <c r="N32" i="72"/>
  <c r="M32" i="72"/>
  <c r="L32" i="72"/>
  <c r="K32" i="72"/>
  <c r="J32" i="72"/>
  <c r="I32" i="72"/>
  <c r="H32" i="72"/>
  <c r="G32" i="72"/>
  <c r="E32" i="72"/>
  <c r="D32" i="72"/>
  <c r="N31" i="72"/>
  <c r="M31" i="72"/>
  <c r="L31" i="72"/>
  <c r="K31" i="72"/>
  <c r="J31" i="72"/>
  <c r="I31" i="72"/>
  <c r="H31" i="72"/>
  <c r="G31" i="72"/>
  <c r="E31" i="72"/>
  <c r="D31" i="72"/>
  <c r="N30" i="72"/>
  <c r="M30" i="72"/>
  <c r="L30" i="72"/>
  <c r="K30" i="72"/>
  <c r="J30" i="72"/>
  <c r="I30" i="72"/>
  <c r="H30" i="72"/>
  <c r="G30" i="72"/>
  <c r="E30" i="72"/>
  <c r="D30" i="72"/>
  <c r="N29" i="72"/>
  <c r="M29" i="72"/>
  <c r="L29" i="72"/>
  <c r="K29" i="72"/>
  <c r="J29" i="72"/>
  <c r="I29" i="72"/>
  <c r="H29" i="72"/>
  <c r="G29" i="72"/>
  <c r="E29" i="72"/>
  <c r="D29" i="72"/>
  <c r="N28" i="72"/>
  <c r="M28" i="72"/>
  <c r="L28" i="72"/>
  <c r="K28" i="72"/>
  <c r="J28" i="72"/>
  <c r="I28" i="72"/>
  <c r="H28" i="72"/>
  <c r="G28" i="72"/>
  <c r="E28" i="72"/>
  <c r="D28" i="72"/>
  <c r="N27" i="72"/>
  <c r="M27" i="72"/>
  <c r="L27" i="72"/>
  <c r="K27" i="72"/>
  <c r="J27" i="72"/>
  <c r="I27" i="72"/>
  <c r="H27" i="72"/>
  <c r="G27" i="72"/>
  <c r="E27" i="72"/>
  <c r="D27" i="72"/>
  <c r="N26" i="72"/>
  <c r="M26" i="72"/>
  <c r="L26" i="72"/>
  <c r="K26" i="72"/>
  <c r="J26" i="72"/>
  <c r="I26" i="72"/>
  <c r="H26" i="72"/>
  <c r="G26" i="72"/>
  <c r="E26" i="72"/>
  <c r="D26" i="72"/>
  <c r="N25" i="72"/>
  <c r="M25" i="72"/>
  <c r="L25" i="72"/>
  <c r="K25" i="72"/>
  <c r="J25" i="72"/>
  <c r="I25" i="72"/>
  <c r="H25" i="72"/>
  <c r="G25" i="72"/>
  <c r="E25" i="72"/>
  <c r="D25" i="72"/>
  <c r="N24" i="72"/>
  <c r="M24" i="72"/>
  <c r="L24" i="72"/>
  <c r="K24" i="72"/>
  <c r="J24" i="72"/>
  <c r="I24" i="72"/>
  <c r="H24" i="72"/>
  <c r="G24" i="72"/>
  <c r="E24" i="72"/>
  <c r="D24" i="72"/>
  <c r="N23" i="72"/>
  <c r="M23" i="72"/>
  <c r="L23" i="72"/>
  <c r="K23" i="72"/>
  <c r="J23" i="72"/>
  <c r="I23" i="72"/>
  <c r="H23" i="72"/>
  <c r="G23" i="72"/>
  <c r="E23" i="72"/>
  <c r="D23" i="72"/>
  <c r="N22" i="72"/>
  <c r="M22" i="72"/>
  <c r="L22" i="72"/>
  <c r="K22" i="72"/>
  <c r="J22" i="72"/>
  <c r="I22" i="72"/>
  <c r="H22" i="72"/>
  <c r="G22" i="72"/>
  <c r="E22" i="72"/>
  <c r="D22" i="72"/>
  <c r="N19" i="72"/>
  <c r="M19" i="72"/>
  <c r="L19" i="72"/>
  <c r="K19" i="72"/>
  <c r="J19" i="72"/>
  <c r="I19" i="72"/>
  <c r="H19" i="72"/>
  <c r="G19" i="72"/>
  <c r="F19" i="72"/>
  <c r="E19" i="72"/>
  <c r="D19" i="72"/>
  <c r="O18" i="72"/>
  <c r="N18" i="72"/>
  <c r="M18" i="72"/>
  <c r="L18" i="72"/>
  <c r="K18" i="72"/>
  <c r="J18" i="72"/>
  <c r="I18" i="72"/>
  <c r="H18" i="72"/>
  <c r="G18" i="72"/>
  <c r="F18" i="72"/>
  <c r="E18" i="72"/>
  <c r="D18" i="72"/>
  <c r="P17" i="72"/>
  <c r="J17" i="72"/>
  <c r="I17" i="72"/>
  <c r="H17" i="72"/>
  <c r="E17" i="72"/>
  <c r="P16" i="72"/>
  <c r="P15" i="72"/>
  <c r="P14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P12" i="72"/>
  <c r="P11" i="72"/>
  <c r="P10" i="72"/>
  <c r="P9" i="72"/>
  <c r="P8" i="72"/>
  <c r="O8" i="72"/>
  <c r="N8" i="72"/>
  <c r="M8" i="72"/>
  <c r="L8" i="72"/>
  <c r="K8" i="72"/>
  <c r="J8" i="72"/>
  <c r="I8" i="72"/>
  <c r="H8" i="72"/>
  <c r="G8" i="72"/>
  <c r="F8" i="72"/>
  <c r="E8" i="72"/>
  <c r="D8" i="72"/>
  <c r="AB101" i="73"/>
  <c r="J29" i="73" s="1"/>
  <c r="EL100" i="73"/>
  <c r="EJ100" i="73"/>
  <c r="EI100" i="73"/>
  <c r="EH100" i="73"/>
  <c r="EG100" i="73"/>
  <c r="EF100" i="73"/>
  <c r="EE100" i="73"/>
  <c r="ED100" i="73"/>
  <c r="EC100" i="73"/>
  <c r="EB100" i="73"/>
  <c r="EA100" i="73"/>
  <c r="DZ100" i="73"/>
  <c r="DY100" i="73"/>
  <c r="DX100" i="73"/>
  <c r="DW100" i="73"/>
  <c r="DV100" i="73"/>
  <c r="DU100" i="73"/>
  <c r="DT100" i="73"/>
  <c r="DS100" i="73"/>
  <c r="DR100" i="73"/>
  <c r="DQ100" i="73"/>
  <c r="DP100" i="73"/>
  <c r="DO100" i="73"/>
  <c r="DN100" i="73"/>
  <c r="DM100" i="73"/>
  <c r="DL100" i="73"/>
  <c r="DK100" i="73"/>
  <c r="DJ100" i="73"/>
  <c r="DI100" i="73"/>
  <c r="DH100" i="73"/>
  <c r="DG100" i="73"/>
  <c r="DF100" i="73"/>
  <c r="DE100" i="73"/>
  <c r="DD100" i="73"/>
  <c r="DC100" i="73"/>
  <c r="DB100" i="73"/>
  <c r="DA100" i="73"/>
  <c r="CZ100" i="73"/>
  <c r="CY100" i="73"/>
  <c r="CX100" i="73"/>
  <c r="CW100" i="73"/>
  <c r="CV100" i="73"/>
  <c r="CU100" i="73"/>
  <c r="CT100" i="73"/>
  <c r="CS100" i="73"/>
  <c r="CR100" i="73"/>
  <c r="CQ100" i="73"/>
  <c r="CP100" i="73"/>
  <c r="CO100" i="73"/>
  <c r="CN100" i="73"/>
  <c r="CM100" i="73"/>
  <c r="CL100" i="73"/>
  <c r="CK100" i="73"/>
  <c r="CJ100" i="73"/>
  <c r="CI100" i="73"/>
  <c r="CH100" i="73"/>
  <c r="CG100" i="73"/>
  <c r="CF100" i="73"/>
  <c r="CE100" i="73"/>
  <c r="CD100" i="73"/>
  <c r="CC100" i="73"/>
  <c r="CB100" i="73"/>
  <c r="CA100" i="73"/>
  <c r="BZ100" i="73"/>
  <c r="BY100" i="73"/>
  <c r="BX100" i="73"/>
  <c r="BW100" i="73"/>
  <c r="BV100" i="73"/>
  <c r="BU100" i="73"/>
  <c r="BT100" i="73"/>
  <c r="BS100" i="73"/>
  <c r="BR100" i="73"/>
  <c r="BQ100" i="73"/>
  <c r="BP100" i="73"/>
  <c r="BO100" i="73"/>
  <c r="BN100" i="73"/>
  <c r="BM100" i="73"/>
  <c r="BL100" i="73"/>
  <c r="BK100" i="73"/>
  <c r="BJ100" i="73"/>
  <c r="BI100" i="73"/>
  <c r="BH100" i="73"/>
  <c r="BG100" i="73"/>
  <c r="BF100" i="73"/>
  <c r="BE100" i="73"/>
  <c r="BD100" i="73"/>
  <c r="BC100" i="73"/>
  <c r="BB100" i="73"/>
  <c r="BA100" i="73"/>
  <c r="AZ100" i="73"/>
  <c r="AY100" i="73"/>
  <c r="AX100" i="73"/>
  <c r="AW100" i="73"/>
  <c r="AV100" i="73"/>
  <c r="AU100" i="73"/>
  <c r="AT100" i="73"/>
  <c r="AS100" i="73"/>
  <c r="AR100" i="73"/>
  <c r="AQ100" i="73"/>
  <c r="AP100" i="73"/>
  <c r="AO100" i="73"/>
  <c r="AN100" i="73"/>
  <c r="AM100" i="73"/>
  <c r="AL100" i="73"/>
  <c r="AK100" i="73"/>
  <c r="AJ100" i="73"/>
  <c r="AI100" i="73"/>
  <c r="AH100" i="73"/>
  <c r="AG100" i="73"/>
  <c r="AF100" i="73"/>
  <c r="AE100" i="73"/>
  <c r="AD100" i="73"/>
  <c r="AC100" i="73"/>
  <c r="AB100" i="73"/>
  <c r="EL99" i="73"/>
  <c r="EK99" i="73"/>
  <c r="EJ99" i="73"/>
  <c r="EH99" i="73"/>
  <c r="EF99" i="73"/>
  <c r="ED99" i="73"/>
  <c r="EB99" i="73"/>
  <c r="DZ99" i="73"/>
  <c r="DX99" i="73"/>
  <c r="DV99" i="73"/>
  <c r="DT99" i="73"/>
  <c r="DR99" i="73"/>
  <c r="DP99" i="73"/>
  <c r="DN99" i="73"/>
  <c r="DL99" i="73"/>
  <c r="DJ99" i="73"/>
  <c r="DH99" i="73"/>
  <c r="DF99" i="73"/>
  <c r="DD99" i="73"/>
  <c r="DB99" i="73"/>
  <c r="CZ99" i="73"/>
  <c r="CX99" i="73"/>
  <c r="CV99" i="73"/>
  <c r="CT99" i="73"/>
  <c r="CR99" i="73"/>
  <c r="CP99" i="73"/>
  <c r="CN99" i="73"/>
  <c r="CL99" i="73"/>
  <c r="CJ99" i="73"/>
  <c r="CH99" i="73"/>
  <c r="CF99" i="73"/>
  <c r="CD99" i="73"/>
  <c r="CB99" i="73"/>
  <c r="BZ99" i="73"/>
  <c r="BX99" i="73"/>
  <c r="BV99" i="73"/>
  <c r="BT99" i="73"/>
  <c r="BR99" i="73"/>
  <c r="BP99" i="73"/>
  <c r="BN99" i="73"/>
  <c r="BL99" i="73"/>
  <c r="BJ99" i="73"/>
  <c r="BH99" i="73"/>
  <c r="BF99" i="73"/>
  <c r="BD99" i="73"/>
  <c r="BB99" i="73"/>
  <c r="AZ99" i="73"/>
  <c r="AX99" i="73"/>
  <c r="AV99" i="73"/>
  <c r="AT99" i="73"/>
  <c r="AR99" i="73"/>
  <c r="AP99" i="73"/>
  <c r="AO99" i="73"/>
  <c r="AN99" i="73"/>
  <c r="AM99" i="73"/>
  <c r="AL99" i="73"/>
  <c r="AK99" i="73"/>
  <c r="AJ99" i="73"/>
  <c r="AI99" i="73"/>
  <c r="AH99" i="73"/>
  <c r="AG99" i="73"/>
  <c r="AF99" i="73"/>
  <c r="AE99" i="73"/>
  <c r="AD99" i="73"/>
  <c r="AC99" i="73"/>
  <c r="AB99" i="73"/>
  <c r="EL98" i="73"/>
  <c r="EK98" i="73"/>
  <c r="EJ98" i="73"/>
  <c r="EI98" i="73"/>
  <c r="EH98" i="73"/>
  <c r="EG98" i="73"/>
  <c r="EF98" i="73"/>
  <c r="EE98" i="73"/>
  <c r="ED98" i="73"/>
  <c r="EC98" i="73"/>
  <c r="EB98" i="73"/>
  <c r="EA98" i="73"/>
  <c r="DZ98" i="73"/>
  <c r="DY98" i="73"/>
  <c r="DX98" i="73"/>
  <c r="DW98" i="73"/>
  <c r="DV98" i="73"/>
  <c r="DU98" i="73"/>
  <c r="DT98" i="73"/>
  <c r="DS98" i="73"/>
  <c r="DR98" i="73"/>
  <c r="DQ98" i="73"/>
  <c r="DP98" i="73"/>
  <c r="DO98" i="73"/>
  <c r="DN98" i="73"/>
  <c r="DM98" i="73"/>
  <c r="DL98" i="73"/>
  <c r="DK98" i="73"/>
  <c r="DJ98" i="73"/>
  <c r="DI98" i="73"/>
  <c r="DH98" i="73"/>
  <c r="DG98" i="73"/>
  <c r="DF98" i="73"/>
  <c r="DE98" i="73"/>
  <c r="DD98" i="73"/>
  <c r="DC98" i="73"/>
  <c r="DB98" i="73"/>
  <c r="DA98" i="73"/>
  <c r="CZ98" i="73"/>
  <c r="CY98" i="73"/>
  <c r="CX98" i="73"/>
  <c r="CW98" i="73"/>
  <c r="CV98" i="73"/>
  <c r="CU98" i="73"/>
  <c r="CT98" i="73"/>
  <c r="CS98" i="73"/>
  <c r="CR98" i="73"/>
  <c r="CQ98" i="73"/>
  <c r="CP98" i="73"/>
  <c r="CO98" i="73"/>
  <c r="CN98" i="73"/>
  <c r="CM98" i="73"/>
  <c r="CL98" i="73"/>
  <c r="CK98" i="73"/>
  <c r="CJ98" i="73"/>
  <c r="CI98" i="73"/>
  <c r="CH98" i="73"/>
  <c r="CG98" i="73"/>
  <c r="CF98" i="73"/>
  <c r="CE98" i="73"/>
  <c r="CD98" i="73"/>
  <c r="CC98" i="73"/>
  <c r="CB98" i="73"/>
  <c r="CA98" i="73"/>
  <c r="BZ98" i="73"/>
  <c r="BY98" i="73"/>
  <c r="BX98" i="73"/>
  <c r="BW98" i="73"/>
  <c r="BV98" i="73"/>
  <c r="BU98" i="73"/>
  <c r="BT98" i="73"/>
  <c r="BS98" i="73"/>
  <c r="BR98" i="73"/>
  <c r="BQ98" i="73"/>
  <c r="BP98" i="73"/>
  <c r="BO98" i="73"/>
  <c r="BN98" i="73"/>
  <c r="BM98" i="73"/>
  <c r="BL98" i="73"/>
  <c r="BK98" i="73"/>
  <c r="BJ98" i="73"/>
  <c r="BI98" i="73"/>
  <c r="BH98" i="73"/>
  <c r="BG98" i="73"/>
  <c r="BF98" i="73"/>
  <c r="BE98" i="73"/>
  <c r="BD98" i="73"/>
  <c r="BC98" i="73"/>
  <c r="BB98" i="73"/>
  <c r="BA98" i="73"/>
  <c r="AZ98" i="73"/>
  <c r="AY98" i="73"/>
  <c r="AX98" i="73"/>
  <c r="AW98" i="73"/>
  <c r="AV98" i="73"/>
  <c r="AU98" i="73"/>
  <c r="AT98" i="73"/>
  <c r="AS98" i="73"/>
  <c r="AR98" i="73"/>
  <c r="AQ98" i="73"/>
  <c r="AP98" i="73"/>
  <c r="AN98" i="73"/>
  <c r="AM98" i="73"/>
  <c r="AL98" i="73"/>
  <c r="AJ98" i="73"/>
  <c r="AH98" i="73"/>
  <c r="AF98" i="73"/>
  <c r="AE98" i="73"/>
  <c r="AD98" i="73"/>
  <c r="AB98" i="73"/>
  <c r="EL97" i="73"/>
  <c r="EK97" i="73"/>
  <c r="EJ97" i="73"/>
  <c r="EI97" i="73"/>
  <c r="EH97" i="73"/>
  <c r="EG97" i="73"/>
  <c r="EF97" i="73"/>
  <c r="EE97" i="73"/>
  <c r="ED97" i="73"/>
  <c r="EC97" i="73"/>
  <c r="EB97" i="73"/>
  <c r="EA97" i="73"/>
  <c r="DZ97" i="73"/>
  <c r="DY97" i="73"/>
  <c r="DX97" i="73"/>
  <c r="DW97" i="73"/>
  <c r="DV97" i="73"/>
  <c r="DU97" i="73"/>
  <c r="DT97" i="73"/>
  <c r="DS97" i="73"/>
  <c r="DR97" i="73"/>
  <c r="DQ97" i="73"/>
  <c r="DP97" i="73"/>
  <c r="DO97" i="73"/>
  <c r="DN97" i="73"/>
  <c r="DM97" i="73"/>
  <c r="DL97" i="73"/>
  <c r="DK97" i="73"/>
  <c r="DJ97" i="73"/>
  <c r="DI97" i="73"/>
  <c r="DH97" i="73"/>
  <c r="DG97" i="73"/>
  <c r="DF97" i="73"/>
  <c r="DE97" i="73"/>
  <c r="DD97" i="73"/>
  <c r="DC97" i="73"/>
  <c r="DB97" i="73"/>
  <c r="DA97" i="73"/>
  <c r="CZ97" i="73"/>
  <c r="CY97" i="73"/>
  <c r="CX97" i="73"/>
  <c r="CW97" i="73"/>
  <c r="CV97" i="73"/>
  <c r="CU97" i="73"/>
  <c r="CT97" i="73"/>
  <c r="CS97" i="73"/>
  <c r="CR97" i="73"/>
  <c r="CQ97" i="73"/>
  <c r="CP97" i="73"/>
  <c r="CO97" i="73"/>
  <c r="CN97" i="73"/>
  <c r="CM97" i="73"/>
  <c r="CL97" i="73"/>
  <c r="CK97" i="73"/>
  <c r="CJ97" i="73"/>
  <c r="CI97" i="73"/>
  <c r="CH97" i="73"/>
  <c r="CG97" i="73"/>
  <c r="CF97" i="73"/>
  <c r="CE97" i="73"/>
  <c r="CD97" i="73"/>
  <c r="CC97" i="73"/>
  <c r="CB97" i="73"/>
  <c r="CA97" i="73"/>
  <c r="BZ97" i="73"/>
  <c r="BY97" i="73"/>
  <c r="BX97" i="73"/>
  <c r="BW97" i="73"/>
  <c r="BV97" i="73"/>
  <c r="BU97" i="73"/>
  <c r="BT97" i="73"/>
  <c r="BS97" i="73"/>
  <c r="BR97" i="73"/>
  <c r="BQ97" i="73"/>
  <c r="BP97" i="73"/>
  <c r="BO97" i="73"/>
  <c r="BN97" i="73"/>
  <c r="BM97" i="73"/>
  <c r="BL97" i="73"/>
  <c r="BK97" i="73"/>
  <c r="BJ97" i="73"/>
  <c r="BI97" i="73"/>
  <c r="BH97" i="73"/>
  <c r="BG97" i="73"/>
  <c r="BF97" i="73"/>
  <c r="BE97" i="73"/>
  <c r="BD97" i="73"/>
  <c r="BC97" i="73"/>
  <c r="BB97" i="73"/>
  <c r="BA97" i="73"/>
  <c r="AZ97" i="73"/>
  <c r="AY97" i="73"/>
  <c r="AX97" i="73"/>
  <c r="AW97" i="73"/>
  <c r="AV97" i="73"/>
  <c r="AU97" i="73"/>
  <c r="AT97" i="73"/>
  <c r="AS97" i="73"/>
  <c r="AR97" i="73"/>
  <c r="AQ97" i="73"/>
  <c r="AP97" i="73"/>
  <c r="AO97" i="73"/>
  <c r="AN97" i="73"/>
  <c r="AM97" i="73"/>
  <c r="AL97" i="73"/>
  <c r="AK97" i="73"/>
  <c r="AJ97" i="73"/>
  <c r="AI97" i="73"/>
  <c r="AH97" i="73"/>
  <c r="AG97" i="73"/>
  <c r="AF97" i="73"/>
  <c r="AE97" i="73"/>
  <c r="AD97" i="73"/>
  <c r="AC97" i="73"/>
  <c r="AB97" i="73"/>
  <c r="EL96" i="73"/>
  <c r="EK96" i="73"/>
  <c r="EJ96" i="73"/>
  <c r="EI96" i="73"/>
  <c r="EH96" i="73"/>
  <c r="EG96" i="73"/>
  <c r="EF96" i="73"/>
  <c r="EE96" i="73"/>
  <c r="ED96" i="73"/>
  <c r="EC96" i="73"/>
  <c r="EB96" i="73"/>
  <c r="EA96" i="73"/>
  <c r="DZ96" i="73"/>
  <c r="DY96" i="73"/>
  <c r="DX96" i="73"/>
  <c r="DW96" i="73"/>
  <c r="DV96" i="73"/>
  <c r="DU96" i="73"/>
  <c r="DT96" i="73"/>
  <c r="DS96" i="73"/>
  <c r="DR96" i="73"/>
  <c r="DQ96" i="73"/>
  <c r="DP96" i="73"/>
  <c r="DO96" i="73"/>
  <c r="DN96" i="73"/>
  <c r="DM96" i="73"/>
  <c r="DL96" i="73"/>
  <c r="DK96" i="73"/>
  <c r="DJ96" i="73"/>
  <c r="DI96" i="73"/>
  <c r="DH96" i="73"/>
  <c r="DG96" i="73"/>
  <c r="DF96" i="73"/>
  <c r="DE96" i="73"/>
  <c r="DD96" i="73"/>
  <c r="DC96" i="73"/>
  <c r="DB96" i="73"/>
  <c r="DA96" i="73"/>
  <c r="CZ96" i="73"/>
  <c r="CY96" i="73"/>
  <c r="CX96" i="73"/>
  <c r="CW96" i="73"/>
  <c r="CV96" i="73"/>
  <c r="CU96" i="73"/>
  <c r="CT96" i="73"/>
  <c r="CS96" i="73"/>
  <c r="CR96" i="73"/>
  <c r="CQ96" i="73"/>
  <c r="CP96" i="73"/>
  <c r="CO96" i="73"/>
  <c r="CN96" i="73"/>
  <c r="CM96" i="73"/>
  <c r="CL96" i="73"/>
  <c r="CK96" i="73"/>
  <c r="CJ96" i="73"/>
  <c r="CI96" i="73"/>
  <c r="CH96" i="73"/>
  <c r="CG96" i="73"/>
  <c r="CF96" i="73"/>
  <c r="CE96" i="73"/>
  <c r="CD96" i="73"/>
  <c r="CC96" i="73"/>
  <c r="CB96" i="73"/>
  <c r="CA96" i="73"/>
  <c r="BZ96" i="73"/>
  <c r="BY96" i="73"/>
  <c r="BX96" i="73"/>
  <c r="BW96" i="73"/>
  <c r="BV96" i="73"/>
  <c r="BU96" i="73"/>
  <c r="BT96" i="73"/>
  <c r="BS96" i="73"/>
  <c r="BR96" i="73"/>
  <c r="BQ96" i="73"/>
  <c r="BP96" i="73"/>
  <c r="BO96" i="73"/>
  <c r="BN96" i="73"/>
  <c r="BM96" i="73"/>
  <c r="BL96" i="73"/>
  <c r="BK96" i="73"/>
  <c r="BJ96" i="73"/>
  <c r="BI96" i="73"/>
  <c r="BH96" i="73"/>
  <c r="BG96" i="73"/>
  <c r="BF96" i="73"/>
  <c r="BE96" i="73"/>
  <c r="BD96" i="73"/>
  <c r="BC96" i="73"/>
  <c r="BB96" i="73"/>
  <c r="BA96" i="73"/>
  <c r="AZ96" i="73"/>
  <c r="AY96" i="73"/>
  <c r="AX96" i="73"/>
  <c r="AW96" i="73"/>
  <c r="AV96" i="73"/>
  <c r="AU96" i="73"/>
  <c r="AT96" i="73"/>
  <c r="AS96" i="73"/>
  <c r="AR96" i="73"/>
  <c r="AQ96" i="73"/>
  <c r="AP96" i="73"/>
  <c r="AO96" i="73"/>
  <c r="AN96" i="73"/>
  <c r="AM96" i="73"/>
  <c r="AL96" i="73"/>
  <c r="AK96" i="73"/>
  <c r="AJ96" i="73"/>
  <c r="AI96" i="73"/>
  <c r="AH96" i="73"/>
  <c r="AG96" i="73"/>
  <c r="AF96" i="73"/>
  <c r="AE96" i="73"/>
  <c r="AD96" i="73"/>
  <c r="AC96" i="73"/>
  <c r="AB96" i="73"/>
  <c r="EL95" i="73"/>
  <c r="EI95" i="73"/>
  <c r="EG95" i="73"/>
  <c r="EE95" i="73"/>
  <c r="ED95" i="73"/>
  <c r="EC95" i="73"/>
  <c r="EA95" i="73"/>
  <c r="DY95" i="73"/>
  <c r="DW95" i="73"/>
  <c r="DV95" i="73"/>
  <c r="DU95" i="73"/>
  <c r="DS95" i="73"/>
  <c r="DQ95" i="73"/>
  <c r="DO95" i="73"/>
  <c r="DN95" i="73"/>
  <c r="DM95" i="73"/>
  <c r="DK95" i="73"/>
  <c r="DI95" i="73"/>
  <c r="DG95" i="73"/>
  <c r="DF95" i="73"/>
  <c r="DE95" i="73"/>
  <c r="DC95" i="73"/>
  <c r="DA95" i="73"/>
  <c r="CY95" i="73"/>
  <c r="CX95" i="73"/>
  <c r="CW95" i="73"/>
  <c r="CU95" i="73"/>
  <c r="CS95" i="73"/>
  <c r="CQ95" i="73"/>
  <c r="CP95" i="73"/>
  <c r="CO95" i="73"/>
  <c r="CM95" i="73"/>
  <c r="CK95" i="73"/>
  <c r="CI95" i="73"/>
  <c r="CH95" i="73"/>
  <c r="CG95" i="73"/>
  <c r="CE95" i="73"/>
  <c r="CC95" i="73"/>
  <c r="CA95" i="73"/>
  <c r="BZ95" i="73"/>
  <c r="BY95" i="73"/>
  <c r="BW95" i="73"/>
  <c r="BU95" i="73"/>
  <c r="BS95" i="73"/>
  <c r="BR95" i="73"/>
  <c r="BQ95" i="73"/>
  <c r="BO95" i="73"/>
  <c r="BM95" i="73"/>
  <c r="BK95" i="73"/>
  <c r="BJ95" i="73"/>
  <c r="BI95" i="73"/>
  <c r="BG95" i="73"/>
  <c r="BE95" i="73"/>
  <c r="BC95" i="73"/>
  <c r="BB95" i="73"/>
  <c r="BA95" i="73"/>
  <c r="AY95" i="73"/>
  <c r="AW95" i="73"/>
  <c r="AU95" i="73"/>
  <c r="AT95" i="73"/>
  <c r="AS95" i="73"/>
  <c r="AQ95" i="73"/>
  <c r="AP95" i="73"/>
  <c r="AO95" i="73"/>
  <c r="AN95" i="73"/>
  <c r="AM95" i="73"/>
  <c r="AL95" i="73"/>
  <c r="AK95" i="73"/>
  <c r="AJ95" i="73"/>
  <c r="AI95" i="73"/>
  <c r="AH95" i="73"/>
  <c r="AG95" i="73"/>
  <c r="AF95" i="73"/>
  <c r="AE95" i="73"/>
  <c r="AD95" i="73"/>
  <c r="AC95" i="73"/>
  <c r="AB95" i="73"/>
  <c r="EL94" i="73"/>
  <c r="EI94" i="73"/>
  <c r="EH94" i="73"/>
  <c r="EG94" i="73"/>
  <c r="EF94" i="73"/>
  <c r="EE94" i="73"/>
  <c r="ED94" i="73"/>
  <c r="EC94" i="73"/>
  <c r="EB94" i="73"/>
  <c r="EA94" i="73"/>
  <c r="DZ94" i="73"/>
  <c r="DY94" i="73"/>
  <c r="DX94" i="73"/>
  <c r="DW94" i="73"/>
  <c r="DV94" i="73"/>
  <c r="DU94" i="73"/>
  <c r="DT94" i="73"/>
  <c r="DS94" i="73"/>
  <c r="DR94" i="73"/>
  <c r="DQ94" i="73"/>
  <c r="DP94" i="73"/>
  <c r="DO94" i="73"/>
  <c r="DN94" i="73"/>
  <c r="DM94" i="73"/>
  <c r="DL94" i="73"/>
  <c r="DK94" i="73"/>
  <c r="DJ94" i="73"/>
  <c r="DI94" i="73"/>
  <c r="DH94" i="73"/>
  <c r="DG94" i="73"/>
  <c r="DF94" i="73"/>
  <c r="DE94" i="73"/>
  <c r="DD94" i="73"/>
  <c r="DC94" i="73"/>
  <c r="DB94" i="73"/>
  <c r="DA94" i="73"/>
  <c r="CZ94" i="73"/>
  <c r="CY94" i="73"/>
  <c r="CX94" i="73"/>
  <c r="CW94" i="73"/>
  <c r="CV94" i="73"/>
  <c r="CU94" i="73"/>
  <c r="CT94" i="73"/>
  <c r="CS94" i="73"/>
  <c r="CR94" i="73"/>
  <c r="CQ94" i="73"/>
  <c r="CP94" i="73"/>
  <c r="CO94" i="73"/>
  <c r="CN94" i="73"/>
  <c r="CM94" i="73"/>
  <c r="CL94" i="73"/>
  <c r="CK94" i="73"/>
  <c r="CJ94" i="73"/>
  <c r="CI94" i="73"/>
  <c r="CH94" i="73"/>
  <c r="CG94" i="73"/>
  <c r="CF94" i="73"/>
  <c r="CE94" i="73"/>
  <c r="CD94" i="73"/>
  <c r="CC94" i="73"/>
  <c r="CB94" i="73"/>
  <c r="CA94" i="73"/>
  <c r="BZ94" i="73"/>
  <c r="BY94" i="73"/>
  <c r="BX94" i="73"/>
  <c r="BW94" i="73"/>
  <c r="BV94" i="73"/>
  <c r="BU94" i="73"/>
  <c r="BT94" i="73"/>
  <c r="BS94" i="73"/>
  <c r="BR94" i="73"/>
  <c r="BQ94" i="73"/>
  <c r="BP94" i="73"/>
  <c r="BO94" i="73"/>
  <c r="BN94" i="73"/>
  <c r="BM94" i="73"/>
  <c r="BL94" i="73"/>
  <c r="BK94" i="73"/>
  <c r="BJ94" i="73"/>
  <c r="BI94" i="73"/>
  <c r="BH94" i="73"/>
  <c r="BG94" i="73"/>
  <c r="BF94" i="73"/>
  <c r="BE94" i="73"/>
  <c r="BD94" i="73"/>
  <c r="BC94" i="73"/>
  <c r="BB94" i="73"/>
  <c r="BA94" i="73"/>
  <c r="AZ94" i="73"/>
  <c r="AY94" i="73"/>
  <c r="AX94" i="73"/>
  <c r="AW94" i="73"/>
  <c r="AV94" i="73"/>
  <c r="AU94" i="73"/>
  <c r="AT94" i="73"/>
  <c r="AS94" i="73"/>
  <c r="AR94" i="73"/>
  <c r="AQ94" i="73"/>
  <c r="AO94" i="73"/>
  <c r="AM94" i="73"/>
  <c r="AK94" i="73"/>
  <c r="AI94" i="73"/>
  <c r="AG94" i="73"/>
  <c r="AE94" i="73"/>
  <c r="AC94" i="73"/>
  <c r="EL93" i="73"/>
  <c r="EI93" i="73"/>
  <c r="EH93" i="73"/>
  <c r="EG93" i="73"/>
  <c r="EF93" i="73"/>
  <c r="EE93" i="73"/>
  <c r="ED93" i="73"/>
  <c r="EC93" i="73"/>
  <c r="EB93" i="73"/>
  <c r="EA93" i="73"/>
  <c r="DZ93" i="73"/>
  <c r="DY93" i="73"/>
  <c r="DX93" i="73"/>
  <c r="DW93" i="73"/>
  <c r="DV93" i="73"/>
  <c r="DU93" i="73"/>
  <c r="DT93" i="73"/>
  <c r="DS93" i="73"/>
  <c r="DR93" i="73"/>
  <c r="DQ93" i="73"/>
  <c r="DP93" i="73"/>
  <c r="DO93" i="73"/>
  <c r="DN93" i="73"/>
  <c r="DM93" i="73"/>
  <c r="DL93" i="73"/>
  <c r="DK93" i="73"/>
  <c r="DJ93" i="73"/>
  <c r="DI93" i="73"/>
  <c r="DH93" i="73"/>
  <c r="DG93" i="73"/>
  <c r="DF93" i="73"/>
  <c r="DE93" i="73"/>
  <c r="DD93" i="73"/>
  <c r="DC93" i="73"/>
  <c r="DB93" i="73"/>
  <c r="DA93" i="73"/>
  <c r="CZ93" i="73"/>
  <c r="CY93" i="73"/>
  <c r="CX93" i="73"/>
  <c r="CW93" i="73"/>
  <c r="CV93" i="73"/>
  <c r="CU93" i="73"/>
  <c r="CT93" i="73"/>
  <c r="CS93" i="73"/>
  <c r="CR93" i="73"/>
  <c r="CQ93" i="73"/>
  <c r="CP93" i="73"/>
  <c r="CO93" i="73"/>
  <c r="CN93" i="73"/>
  <c r="CM93" i="73"/>
  <c r="CL93" i="73"/>
  <c r="CK93" i="73"/>
  <c r="CJ93" i="73"/>
  <c r="CI93" i="73"/>
  <c r="CH93" i="73"/>
  <c r="CG93" i="73"/>
  <c r="CF93" i="73"/>
  <c r="CE93" i="73"/>
  <c r="CD93" i="73"/>
  <c r="CC93" i="73"/>
  <c r="CB93" i="73"/>
  <c r="CA93" i="73"/>
  <c r="BZ93" i="73"/>
  <c r="BY93" i="73"/>
  <c r="BX93" i="73"/>
  <c r="BW93" i="73"/>
  <c r="BV93" i="73"/>
  <c r="BU93" i="73"/>
  <c r="BT93" i="73"/>
  <c r="BS93" i="73"/>
  <c r="BR93" i="73"/>
  <c r="BQ93" i="73"/>
  <c r="BP93" i="73"/>
  <c r="BO93" i="73"/>
  <c r="BN93" i="73"/>
  <c r="BM93" i="73"/>
  <c r="BL93" i="73"/>
  <c r="BK93" i="73"/>
  <c r="BJ93" i="73"/>
  <c r="BI93" i="73"/>
  <c r="BH93" i="73"/>
  <c r="BG93" i="73"/>
  <c r="BF93" i="73"/>
  <c r="BE93" i="73"/>
  <c r="BD93" i="73"/>
  <c r="BC93" i="73"/>
  <c r="BB93" i="73"/>
  <c r="BA93" i="73"/>
  <c r="AZ93" i="73"/>
  <c r="AY93" i="73"/>
  <c r="AX93" i="73"/>
  <c r="AW93" i="73"/>
  <c r="AV93" i="73"/>
  <c r="AU93" i="73"/>
  <c r="AT93" i="73"/>
  <c r="AS93" i="73"/>
  <c r="AR93" i="73"/>
  <c r="AQ93" i="73"/>
  <c r="AP93" i="73"/>
  <c r="AO93" i="73"/>
  <c r="AN93" i="73"/>
  <c r="AM93" i="73"/>
  <c r="AL93" i="73"/>
  <c r="AK93" i="73"/>
  <c r="AJ93" i="73"/>
  <c r="AI93" i="73"/>
  <c r="AH93" i="73"/>
  <c r="AG93" i="73"/>
  <c r="AF93" i="73"/>
  <c r="AE93" i="73"/>
  <c r="AD93" i="73"/>
  <c r="AC93" i="73"/>
  <c r="AB93" i="73"/>
  <c r="EL92" i="73"/>
  <c r="EI92" i="73"/>
  <c r="EH92" i="73"/>
  <c r="EG92" i="73"/>
  <c r="EF92" i="73"/>
  <c r="EE92" i="73"/>
  <c r="ED92" i="73"/>
  <c r="EC92" i="73"/>
  <c r="EB92" i="73"/>
  <c r="EA92" i="73"/>
  <c r="DZ92" i="73"/>
  <c r="DY92" i="73"/>
  <c r="DX92" i="73"/>
  <c r="DW92" i="73"/>
  <c r="DV92" i="73"/>
  <c r="DU92" i="73"/>
  <c r="DT92" i="73"/>
  <c r="DS92" i="73"/>
  <c r="DR92" i="73"/>
  <c r="DQ92" i="73"/>
  <c r="DP92" i="73"/>
  <c r="DO92" i="73"/>
  <c r="DN92" i="73"/>
  <c r="DM92" i="73"/>
  <c r="DL92" i="73"/>
  <c r="DK92" i="73"/>
  <c r="DJ92" i="73"/>
  <c r="DI92" i="73"/>
  <c r="DH92" i="73"/>
  <c r="DG92" i="73"/>
  <c r="DF92" i="73"/>
  <c r="DE92" i="73"/>
  <c r="DD92" i="73"/>
  <c r="DC92" i="73"/>
  <c r="DB92" i="73"/>
  <c r="DA92" i="73"/>
  <c r="CZ92" i="73"/>
  <c r="CY92" i="73"/>
  <c r="CX92" i="73"/>
  <c r="CW92" i="73"/>
  <c r="CV92" i="73"/>
  <c r="CU92" i="73"/>
  <c r="CT92" i="73"/>
  <c r="CS92" i="73"/>
  <c r="CR92" i="73"/>
  <c r="CQ92" i="73"/>
  <c r="CP92" i="73"/>
  <c r="CO92" i="73"/>
  <c r="CN92" i="73"/>
  <c r="CM92" i="73"/>
  <c r="CL92" i="73"/>
  <c r="CK92" i="73"/>
  <c r="CJ92" i="73"/>
  <c r="CI92" i="73"/>
  <c r="CH92" i="73"/>
  <c r="CG92" i="73"/>
  <c r="CF92" i="73"/>
  <c r="CE92" i="73"/>
  <c r="CD92" i="73"/>
  <c r="CC92" i="73"/>
  <c r="CB92" i="73"/>
  <c r="CA92" i="73"/>
  <c r="BZ92" i="73"/>
  <c r="BY92" i="73"/>
  <c r="BX92" i="73"/>
  <c r="BW92" i="73"/>
  <c r="BV92" i="73"/>
  <c r="BU92" i="73"/>
  <c r="BT92" i="73"/>
  <c r="BS92" i="73"/>
  <c r="BR92" i="73"/>
  <c r="BQ92" i="73"/>
  <c r="BP92" i="73"/>
  <c r="BO92" i="73"/>
  <c r="BN92" i="73"/>
  <c r="BM92" i="73"/>
  <c r="BL92" i="73"/>
  <c r="BK92" i="73"/>
  <c r="BJ92" i="73"/>
  <c r="BI92" i="73"/>
  <c r="BH92" i="73"/>
  <c r="BG92" i="73"/>
  <c r="BF92" i="73"/>
  <c r="BE92" i="73"/>
  <c r="BD92" i="73"/>
  <c r="BC92" i="73"/>
  <c r="BB92" i="73"/>
  <c r="BA92" i="73"/>
  <c r="AZ92" i="73"/>
  <c r="AY92" i="73"/>
  <c r="AX92" i="73"/>
  <c r="AW92" i="73"/>
  <c r="AV92" i="73"/>
  <c r="AU92" i="73"/>
  <c r="AT92" i="73"/>
  <c r="AS92" i="73"/>
  <c r="AR92" i="73"/>
  <c r="AQ92" i="73"/>
  <c r="AP92" i="73"/>
  <c r="AO92" i="73"/>
  <c r="AN92" i="73"/>
  <c r="AM92" i="73"/>
  <c r="AL92" i="73"/>
  <c r="AK92" i="73"/>
  <c r="AJ92" i="73"/>
  <c r="AI92" i="73"/>
  <c r="AH92" i="73"/>
  <c r="AG92" i="73"/>
  <c r="AF92" i="73"/>
  <c r="AE92" i="73"/>
  <c r="AD92" i="73"/>
  <c r="AC92" i="73"/>
  <c r="AB92" i="73"/>
  <c r="EL91" i="73"/>
  <c r="J86" i="73" s="1"/>
  <c r="EI91" i="73"/>
  <c r="EH91" i="73"/>
  <c r="O83" i="73" s="1"/>
  <c r="EG91" i="73"/>
  <c r="O82" i="73" s="1"/>
  <c r="EF91" i="73"/>
  <c r="EE91" i="73"/>
  <c r="ED91" i="73"/>
  <c r="EC91" i="73"/>
  <c r="EB91" i="73"/>
  <c r="EA91" i="73"/>
  <c r="DZ91" i="73"/>
  <c r="O75" i="73" s="1"/>
  <c r="DY91" i="73"/>
  <c r="O74" i="73" s="1"/>
  <c r="DX91" i="73"/>
  <c r="DW91" i="73"/>
  <c r="DV91" i="73"/>
  <c r="DU91" i="73"/>
  <c r="DT91" i="73"/>
  <c r="DS91" i="73"/>
  <c r="DR91" i="73"/>
  <c r="O67" i="73" s="1"/>
  <c r="DQ91" i="73"/>
  <c r="O66" i="73" s="1"/>
  <c r="DP91" i="73"/>
  <c r="DO91" i="73"/>
  <c r="DN91" i="73"/>
  <c r="DM91" i="73"/>
  <c r="DL91" i="73"/>
  <c r="DK91" i="73"/>
  <c r="DJ91" i="73"/>
  <c r="O59" i="73" s="1"/>
  <c r="DI91" i="73"/>
  <c r="O58" i="73" s="1"/>
  <c r="DH91" i="73"/>
  <c r="DG91" i="73"/>
  <c r="DF91" i="73"/>
  <c r="DE91" i="73"/>
  <c r="DD91" i="73"/>
  <c r="DC91" i="73"/>
  <c r="DB91" i="73"/>
  <c r="O51" i="73" s="1"/>
  <c r="DA91" i="73"/>
  <c r="O50" i="73" s="1"/>
  <c r="CZ91" i="73"/>
  <c r="CY91" i="73"/>
  <c r="CX91" i="73"/>
  <c r="CW91" i="73"/>
  <c r="CV91" i="73"/>
  <c r="CU91" i="73"/>
  <c r="CT91" i="73"/>
  <c r="O43" i="73" s="1"/>
  <c r="CS91" i="73"/>
  <c r="O42" i="73" s="1"/>
  <c r="CR91" i="73"/>
  <c r="CQ91" i="73"/>
  <c r="CP91" i="73"/>
  <c r="CO91" i="73"/>
  <c r="CN91" i="73"/>
  <c r="CM91" i="73"/>
  <c r="CL91" i="73"/>
  <c r="O35" i="73" s="1"/>
  <c r="CK91" i="73"/>
  <c r="O34" i="73" s="1"/>
  <c r="CJ91" i="73"/>
  <c r="CI91" i="73"/>
  <c r="CH91" i="73"/>
  <c r="CG91" i="73"/>
  <c r="CF91" i="73"/>
  <c r="CE91" i="73"/>
  <c r="CD91" i="73"/>
  <c r="J83" i="73" s="1"/>
  <c r="CC91" i="73"/>
  <c r="J82" i="73" s="1"/>
  <c r="CB91" i="73"/>
  <c r="CA91" i="73"/>
  <c r="BZ91" i="73"/>
  <c r="BY91" i="73"/>
  <c r="BX91" i="73"/>
  <c r="BW91" i="73"/>
  <c r="BV91" i="73"/>
  <c r="J75" i="73" s="1"/>
  <c r="BU91" i="73"/>
  <c r="J74" i="73" s="1"/>
  <c r="BT91" i="73"/>
  <c r="BS91" i="73"/>
  <c r="BR91" i="73"/>
  <c r="BQ91" i="73"/>
  <c r="BP91" i="73"/>
  <c r="BO91" i="73"/>
  <c r="BN91" i="73"/>
  <c r="J67" i="73" s="1"/>
  <c r="BM91" i="73"/>
  <c r="J66" i="73" s="1"/>
  <c r="BL91" i="73"/>
  <c r="BK91" i="73"/>
  <c r="BJ91" i="73"/>
  <c r="BI91" i="73"/>
  <c r="BH91" i="73"/>
  <c r="BG91" i="73"/>
  <c r="BF91" i="73"/>
  <c r="J59" i="73" s="1"/>
  <c r="BE91" i="73"/>
  <c r="J58" i="73" s="1"/>
  <c r="BD91" i="73"/>
  <c r="BC91" i="73"/>
  <c r="BB91" i="73"/>
  <c r="BA91" i="73"/>
  <c r="AZ91" i="73"/>
  <c r="AY91" i="73"/>
  <c r="AX91" i="73"/>
  <c r="J51" i="73" s="1"/>
  <c r="AW91" i="73"/>
  <c r="J50" i="73" s="1"/>
  <c r="AV91" i="73"/>
  <c r="AU91" i="73"/>
  <c r="AT91" i="73"/>
  <c r="AS91" i="73"/>
  <c r="AR91" i="73"/>
  <c r="AQ91" i="73"/>
  <c r="AP91" i="73"/>
  <c r="J43" i="73" s="1"/>
  <c r="AO91" i="73"/>
  <c r="J42" i="73" s="1"/>
  <c r="AN91" i="73"/>
  <c r="AM91" i="73"/>
  <c r="J40" i="73" s="1"/>
  <c r="AL91" i="73"/>
  <c r="AK91" i="73"/>
  <c r="AJ91" i="73"/>
  <c r="AI91" i="73"/>
  <c r="J36" i="73" s="1"/>
  <c r="AH91" i="73"/>
  <c r="J35" i="73" s="1"/>
  <c r="AG91" i="73"/>
  <c r="AF91" i="73"/>
  <c r="AE91" i="73"/>
  <c r="J32" i="73" s="1"/>
  <c r="AD91" i="73"/>
  <c r="AC91" i="73"/>
  <c r="AB91" i="73"/>
  <c r="EL90" i="73"/>
  <c r="EI90" i="73"/>
  <c r="EH90" i="73"/>
  <c r="EG90" i="73"/>
  <c r="EF90" i="73"/>
  <c r="EE90" i="73"/>
  <c r="ED90" i="73"/>
  <c r="EC90" i="73"/>
  <c r="EB90" i="73"/>
  <c r="EA90" i="73"/>
  <c r="DZ90" i="73"/>
  <c r="DY90" i="73"/>
  <c r="DX90" i="73"/>
  <c r="DW90" i="73"/>
  <c r="DV90" i="73"/>
  <c r="DU90" i="73"/>
  <c r="DT90" i="73"/>
  <c r="DS90" i="73"/>
  <c r="DR90" i="73"/>
  <c r="DQ90" i="73"/>
  <c r="DP90" i="73"/>
  <c r="DO90" i="73"/>
  <c r="DN90" i="73"/>
  <c r="DM90" i="73"/>
  <c r="DL90" i="73"/>
  <c r="DK90" i="73"/>
  <c r="DJ90" i="73"/>
  <c r="DI90" i="73"/>
  <c r="DH90" i="73"/>
  <c r="DG90" i="73"/>
  <c r="DF90" i="73"/>
  <c r="DE90" i="73"/>
  <c r="DD90" i="73"/>
  <c r="DC90" i="73"/>
  <c r="DB90" i="73"/>
  <c r="DA90" i="73"/>
  <c r="CZ90" i="73"/>
  <c r="CY90" i="73"/>
  <c r="CX90" i="73"/>
  <c r="CW90" i="73"/>
  <c r="CV90" i="73"/>
  <c r="CU90" i="73"/>
  <c r="CT90" i="73"/>
  <c r="CS90" i="73"/>
  <c r="CR90" i="73"/>
  <c r="CQ90" i="73"/>
  <c r="CP90" i="73"/>
  <c r="CO90" i="73"/>
  <c r="CN90" i="73"/>
  <c r="CM90" i="73"/>
  <c r="CL90" i="73"/>
  <c r="CK90" i="73"/>
  <c r="CJ90" i="73"/>
  <c r="CI90" i="73"/>
  <c r="CH90" i="73"/>
  <c r="CG90" i="73"/>
  <c r="CF90" i="73"/>
  <c r="CE90" i="73"/>
  <c r="CD90" i="73"/>
  <c r="CC90" i="73"/>
  <c r="CB90" i="73"/>
  <c r="CA90" i="73"/>
  <c r="BZ90" i="73"/>
  <c r="BY90" i="73"/>
  <c r="BX90" i="73"/>
  <c r="BW90" i="73"/>
  <c r="BV90" i="73"/>
  <c r="BU90" i="73"/>
  <c r="BT90" i="73"/>
  <c r="BS90" i="73"/>
  <c r="BR90" i="73"/>
  <c r="BQ90" i="73"/>
  <c r="BP90" i="73"/>
  <c r="BO90" i="73"/>
  <c r="BN90" i="73"/>
  <c r="BM90" i="73"/>
  <c r="BL90" i="73"/>
  <c r="BK90" i="73"/>
  <c r="BJ90" i="73"/>
  <c r="BI90" i="73"/>
  <c r="BH90" i="73"/>
  <c r="BG90" i="73"/>
  <c r="BF90" i="73"/>
  <c r="BE90" i="73"/>
  <c r="BD90" i="73"/>
  <c r="BC90" i="73"/>
  <c r="BB90" i="73"/>
  <c r="BA90" i="73"/>
  <c r="AZ90" i="73"/>
  <c r="AY90" i="73"/>
  <c r="AX90" i="73"/>
  <c r="AW90" i="73"/>
  <c r="AV90" i="73"/>
  <c r="AU90" i="73"/>
  <c r="AT90" i="73"/>
  <c r="AS90" i="73"/>
  <c r="AR90" i="73"/>
  <c r="AQ90" i="73"/>
  <c r="AP90" i="73"/>
  <c r="AN90" i="73"/>
  <c r="AL90" i="73"/>
  <c r="AJ90" i="73"/>
  <c r="AI90" i="73"/>
  <c r="AH90" i="73"/>
  <c r="AF90" i="73"/>
  <c r="AD90" i="73"/>
  <c r="AB90" i="73"/>
  <c r="O85" i="73"/>
  <c r="J85" i="73"/>
  <c r="O84" i="73"/>
  <c r="J84" i="73"/>
  <c r="O81" i="73"/>
  <c r="J81" i="73"/>
  <c r="O80" i="73"/>
  <c r="J80" i="73"/>
  <c r="O79" i="73"/>
  <c r="J79" i="73"/>
  <c r="O78" i="73"/>
  <c r="J78" i="73"/>
  <c r="O77" i="73"/>
  <c r="J77" i="73"/>
  <c r="O76" i="73"/>
  <c r="J76" i="73"/>
  <c r="O73" i="73"/>
  <c r="J73" i="73"/>
  <c r="O72" i="73"/>
  <c r="J72" i="73"/>
  <c r="O71" i="73"/>
  <c r="J71" i="73"/>
  <c r="O70" i="73"/>
  <c r="J70" i="73"/>
  <c r="O69" i="73"/>
  <c r="J69" i="73"/>
  <c r="O68" i="73"/>
  <c r="J68" i="73"/>
  <c r="O65" i="73"/>
  <c r="J65" i="73"/>
  <c r="O64" i="73"/>
  <c r="J64" i="73"/>
  <c r="O63" i="73"/>
  <c r="J63" i="73"/>
  <c r="O62" i="73"/>
  <c r="J62" i="73"/>
  <c r="O61" i="73"/>
  <c r="J61" i="73"/>
  <c r="O60" i="73"/>
  <c r="J60" i="73"/>
  <c r="O57" i="73"/>
  <c r="J57" i="73"/>
  <c r="O56" i="73"/>
  <c r="J56" i="73"/>
  <c r="O55" i="73"/>
  <c r="J55" i="73"/>
  <c r="O54" i="73"/>
  <c r="J54" i="73"/>
  <c r="O53" i="73"/>
  <c r="J53" i="73"/>
  <c r="O52" i="73"/>
  <c r="J52" i="73"/>
  <c r="O49" i="73"/>
  <c r="J49" i="73"/>
  <c r="O48" i="73"/>
  <c r="J48" i="73"/>
  <c r="O47" i="73"/>
  <c r="J47" i="73"/>
  <c r="O46" i="73"/>
  <c r="J46" i="73"/>
  <c r="O45" i="73"/>
  <c r="J45" i="73"/>
  <c r="O44" i="73"/>
  <c r="J44" i="73"/>
  <c r="O41" i="73"/>
  <c r="J41" i="73"/>
  <c r="O40" i="73"/>
  <c r="O39" i="73"/>
  <c r="J39" i="73"/>
  <c r="O38" i="73"/>
  <c r="J38" i="73"/>
  <c r="O37" i="73"/>
  <c r="J37" i="73"/>
  <c r="O36" i="73"/>
  <c r="J34" i="73"/>
  <c r="O33" i="73"/>
  <c r="J33" i="73"/>
  <c r="O32" i="73"/>
  <c r="O31" i="73"/>
  <c r="J31" i="73"/>
  <c r="O30" i="73"/>
  <c r="J30" i="73"/>
  <c r="O29" i="73"/>
  <c r="C29" i="73"/>
  <c r="EJ9" i="73"/>
  <c r="I8" i="80" l="1"/>
  <c r="I8" i="52"/>
  <c r="I8" i="66"/>
  <c r="P8" i="66" s="1"/>
  <c r="I8" i="81"/>
  <c r="P8" i="81" s="1"/>
  <c r="I8" i="61"/>
  <c r="I8" i="69"/>
  <c r="P8" i="69" s="1"/>
  <c r="I8" i="79"/>
  <c r="P8" i="79" s="1"/>
  <c r="I8" i="64"/>
  <c r="I8" i="50"/>
  <c r="I8" i="51"/>
  <c r="P8" i="51" s="1"/>
  <c r="I8" i="58"/>
  <c r="P8" i="58" s="1"/>
  <c r="P10" i="66"/>
  <c r="I8" i="67"/>
  <c r="P8" i="67" s="1"/>
  <c r="P9" i="71"/>
  <c r="P10" i="52"/>
  <c r="I8" i="55"/>
  <c r="P8" i="55" s="1"/>
  <c r="P9" i="80"/>
  <c r="I8" i="70"/>
  <c r="P8" i="70" s="1"/>
  <c r="I8" i="49"/>
  <c r="P8" i="49" s="1"/>
  <c r="I8" i="59"/>
  <c r="P8" i="59" s="1"/>
  <c r="I8" i="68"/>
  <c r="P8" i="68" s="1"/>
  <c r="I13" i="80"/>
  <c r="I19" i="80" s="1"/>
  <c r="I134" i="80" s="1"/>
  <c r="I137" i="80" s="1"/>
  <c r="G201" i="3"/>
  <c r="H201" i="3" s="1"/>
  <c r="N209" i="28"/>
  <c r="N212" i="28" s="1"/>
  <c r="I8" i="46"/>
  <c r="I13" i="46" s="1"/>
  <c r="I19" i="46" s="1"/>
  <c r="I136" i="46" s="1"/>
  <c r="I139" i="46" s="1"/>
  <c r="I144" i="46" s="1"/>
  <c r="I8" i="48"/>
  <c r="P8" i="48" s="1"/>
  <c r="I8" i="53"/>
  <c r="P8" i="53" s="1"/>
  <c r="I8" i="57"/>
  <c r="P8" i="57" s="1"/>
  <c r="P9" i="65"/>
  <c r="I13" i="68"/>
  <c r="I19" i="68" s="1"/>
  <c r="I134" i="68" s="1"/>
  <c r="I137" i="68" s="1"/>
  <c r="I13" i="65"/>
  <c r="I19" i="65" s="1"/>
  <c r="I134" i="65" s="1"/>
  <c r="I137" i="65" s="1"/>
  <c r="I8" i="82"/>
  <c r="I13" i="82" s="1"/>
  <c r="I19" i="82" s="1"/>
  <c r="I136" i="82" s="1"/>
  <c r="I139" i="82" s="1"/>
  <c r="P8" i="50"/>
  <c r="I8" i="54"/>
  <c r="P8" i="54" s="1"/>
  <c r="I8" i="62"/>
  <c r="P8" i="62" s="1"/>
  <c r="I8" i="56"/>
  <c r="I13" i="56" s="1"/>
  <c r="I8" i="60"/>
  <c r="I13" i="60" s="1"/>
  <c r="I8" i="63"/>
  <c r="P8" i="63" s="1"/>
  <c r="I13" i="64"/>
  <c r="I19" i="64" s="1"/>
  <c r="I134" i="64" s="1"/>
  <c r="I137" i="64" s="1"/>
  <c r="I13" i="51"/>
  <c r="I19" i="51" s="1"/>
  <c r="I134" i="51" s="1"/>
  <c r="I137" i="51" s="1"/>
  <c r="I13" i="58"/>
  <c r="I19" i="58" s="1"/>
  <c r="I136" i="58" s="1"/>
  <c r="I139" i="58" s="1"/>
  <c r="P12" i="79"/>
  <c r="P12" i="46"/>
  <c r="I13" i="71"/>
  <c r="P13" i="71" s="1"/>
  <c r="P12" i="65"/>
  <c r="P12" i="56"/>
  <c r="I13" i="47"/>
  <c r="I19" i="47" s="1"/>
  <c r="I13" i="50"/>
  <c r="I19" i="50" s="1"/>
  <c r="I134" i="50" s="1"/>
  <c r="I137" i="50" s="1"/>
  <c r="P12" i="51"/>
  <c r="I13" i="57"/>
  <c r="I19" i="57" s="1"/>
  <c r="I136" i="57" s="1"/>
  <c r="I139" i="57" s="1"/>
  <c r="P12" i="58"/>
  <c r="P13" i="64"/>
  <c r="P12" i="64"/>
  <c r="I13" i="67"/>
  <c r="I19" i="67" s="1"/>
  <c r="I134" i="67" s="1"/>
  <c r="I137" i="67" s="1"/>
  <c r="P12" i="68"/>
  <c r="P12" i="80"/>
  <c r="I13" i="61"/>
  <c r="I19" i="61" s="1"/>
  <c r="I134" i="61" s="1"/>
  <c r="I137" i="61" s="1"/>
  <c r="I19" i="71"/>
  <c r="I13" i="62"/>
  <c r="I19" i="62" s="1"/>
  <c r="I134" i="62" s="1"/>
  <c r="I137" i="62" s="1"/>
  <c r="I13" i="81"/>
  <c r="I13" i="52"/>
  <c r="I19" i="52" s="1"/>
  <c r="I134" i="52" s="1"/>
  <c r="I137" i="52" s="1"/>
  <c r="I13" i="53"/>
  <c r="I19" i="53" s="1"/>
  <c r="I134" i="53" s="1"/>
  <c r="I137" i="53" s="1"/>
  <c r="I13" i="55"/>
  <c r="I19" i="55" s="1"/>
  <c r="I136" i="55" s="1"/>
  <c r="I139" i="55" s="1"/>
  <c r="I13" i="59"/>
  <c r="I19" i="59" s="1"/>
  <c r="I136" i="59" s="1"/>
  <c r="I139" i="59" s="1"/>
  <c r="I13" i="69"/>
  <c r="I19" i="69" s="1"/>
  <c r="I134" i="69" s="1"/>
  <c r="I137" i="69" s="1"/>
  <c r="P13" i="65"/>
  <c r="P132" i="49"/>
  <c r="P39" i="80"/>
  <c r="E140" i="72"/>
  <c r="E150" i="72" s="1"/>
  <c r="P107" i="80"/>
  <c r="P132" i="46"/>
  <c r="E132" i="80"/>
  <c r="E137" i="80" s="1"/>
  <c r="E143" i="80" s="1"/>
  <c r="P70" i="80"/>
  <c r="E134" i="82"/>
  <c r="E139" i="82" s="1"/>
  <c r="E132" i="79"/>
  <c r="E137" i="79" s="1"/>
  <c r="P54" i="80"/>
  <c r="P35" i="80"/>
  <c r="E134" i="54"/>
  <c r="E139" i="54" s="1"/>
  <c r="E133" i="48"/>
  <c r="E138" i="48" s="1"/>
  <c r="P132" i="57"/>
  <c r="P22" i="72"/>
  <c r="P61" i="82"/>
  <c r="P71" i="80"/>
  <c r="P86" i="80"/>
  <c r="P52" i="80"/>
  <c r="E134" i="47"/>
  <c r="E139" i="47" s="1"/>
  <c r="E134" i="60"/>
  <c r="E139" i="60" s="1"/>
  <c r="P25" i="82"/>
  <c r="P51" i="80"/>
  <c r="P94" i="80"/>
  <c r="E134" i="58"/>
  <c r="E139" i="58" s="1"/>
  <c r="P123" i="80"/>
  <c r="P126" i="80"/>
  <c r="P121" i="82"/>
  <c r="P22" i="80"/>
  <c r="P68" i="82"/>
  <c r="P84" i="82"/>
  <c r="P109" i="80"/>
  <c r="P128" i="80"/>
  <c r="P22" i="82"/>
  <c r="P83" i="80"/>
  <c r="P84" i="80"/>
  <c r="P99" i="80"/>
  <c r="P118" i="80"/>
  <c r="P65" i="82"/>
  <c r="P89" i="82"/>
  <c r="P38" i="80"/>
  <c r="P46" i="80"/>
  <c r="P96" i="80"/>
  <c r="P100" i="80"/>
  <c r="P32" i="82"/>
  <c r="P39" i="82"/>
  <c r="P47" i="82"/>
  <c r="P55" i="82"/>
  <c r="P59" i="82"/>
  <c r="P70" i="82"/>
  <c r="P75" i="82"/>
  <c r="P78" i="82"/>
  <c r="P86" i="82"/>
  <c r="P77" i="80"/>
  <c r="P29" i="82"/>
  <c r="P36" i="82"/>
  <c r="P52" i="82"/>
  <c r="P62" i="82"/>
  <c r="P63" i="82"/>
  <c r="P71" i="82"/>
  <c r="P79" i="82"/>
  <c r="P87" i="82"/>
  <c r="P94" i="82"/>
  <c r="P32" i="80"/>
  <c r="P36" i="80"/>
  <c r="L140" i="49"/>
  <c r="P135" i="49"/>
  <c r="P134" i="54"/>
  <c r="L139" i="54"/>
  <c r="L139" i="55"/>
  <c r="P134" i="55"/>
  <c r="L139" i="60"/>
  <c r="L139" i="58"/>
  <c r="L139" i="46"/>
  <c r="P134" i="46"/>
  <c r="P73" i="82"/>
  <c r="P81" i="82"/>
  <c r="L134" i="82"/>
  <c r="L139" i="82" s="1"/>
  <c r="P27" i="80"/>
  <c r="P50" i="80"/>
  <c r="P69" i="80"/>
  <c r="P76" i="80"/>
  <c r="P91" i="80"/>
  <c r="P103" i="80"/>
  <c r="P110" i="80"/>
  <c r="L134" i="56"/>
  <c r="L139" i="56" s="1"/>
  <c r="L134" i="57"/>
  <c r="L134" i="59"/>
  <c r="L139" i="59" s="1"/>
  <c r="P131" i="54"/>
  <c r="P131" i="58"/>
  <c r="P45" i="82"/>
  <c r="P64" i="82"/>
  <c r="P105" i="82"/>
  <c r="P113" i="82"/>
  <c r="P25" i="80"/>
  <c r="P29" i="80"/>
  <c r="P89" i="80"/>
  <c r="P93" i="80"/>
  <c r="P108" i="80"/>
  <c r="P132" i="50"/>
  <c r="P37" i="80"/>
  <c r="P44" i="80"/>
  <c r="P59" i="80"/>
  <c r="P82" i="80"/>
  <c r="P101" i="80"/>
  <c r="P116" i="80"/>
  <c r="P131" i="80"/>
  <c r="P130" i="49"/>
  <c r="P132" i="56"/>
  <c r="P134" i="59"/>
  <c r="P131" i="60"/>
  <c r="P27" i="82"/>
  <c r="P41" i="82"/>
  <c r="P49" i="82"/>
  <c r="P95" i="82"/>
  <c r="P102" i="82"/>
  <c r="P107" i="82"/>
  <c r="P110" i="82"/>
  <c r="P118" i="82"/>
  <c r="P67" i="80"/>
  <c r="P78" i="80"/>
  <c r="P77" i="82"/>
  <c r="P96" i="82"/>
  <c r="P103" i="82"/>
  <c r="P111" i="82"/>
  <c r="P119" i="82"/>
  <c r="P64" i="80"/>
  <c r="P68" i="80"/>
  <c r="P121" i="80"/>
  <c r="P31" i="82"/>
  <c r="P38" i="82"/>
  <c r="P43" i="82"/>
  <c r="P46" i="82"/>
  <c r="P54" i="82"/>
  <c r="P93" i="82"/>
  <c r="P100" i="82"/>
  <c r="P25" i="79"/>
  <c r="P29" i="79"/>
  <c r="P33" i="79"/>
  <c r="P37" i="79"/>
  <c r="P41" i="79"/>
  <c r="P45" i="79"/>
  <c r="P49" i="79"/>
  <c r="P53" i="79"/>
  <c r="P57" i="79"/>
  <c r="P61" i="79"/>
  <c r="P65" i="79"/>
  <c r="P69" i="79"/>
  <c r="P73" i="79"/>
  <c r="P77" i="79"/>
  <c r="P81" i="79"/>
  <c r="P85" i="79"/>
  <c r="P89" i="79"/>
  <c r="P93" i="79"/>
  <c r="P97" i="79"/>
  <c r="P101" i="79"/>
  <c r="P105" i="79"/>
  <c r="P109" i="79"/>
  <c r="P113" i="79"/>
  <c r="P117" i="79"/>
  <c r="P121" i="79"/>
  <c r="P125" i="79"/>
  <c r="P129" i="79"/>
  <c r="P57" i="80"/>
  <c r="P61" i="80"/>
  <c r="P102" i="80"/>
  <c r="P114" i="80"/>
  <c r="P42" i="82"/>
  <c r="P74" i="82"/>
  <c r="P106" i="82"/>
  <c r="P28" i="80"/>
  <c r="P53" i="80"/>
  <c r="P60" i="80"/>
  <c r="P85" i="80"/>
  <c r="P92" i="80"/>
  <c r="P117" i="80"/>
  <c r="P124" i="80"/>
  <c r="P40" i="82"/>
  <c r="P50" i="82"/>
  <c r="P72" i="82"/>
  <c r="P82" i="82"/>
  <c r="P104" i="82"/>
  <c r="P114" i="82"/>
  <c r="P129" i="82"/>
  <c r="P125" i="80"/>
  <c r="P37" i="82"/>
  <c r="P44" i="82"/>
  <c r="P51" i="82"/>
  <c r="P69" i="82"/>
  <c r="P76" i="82"/>
  <c r="P83" i="82"/>
  <c r="P101" i="82"/>
  <c r="P108" i="82"/>
  <c r="P115" i="82"/>
  <c r="P130" i="82"/>
  <c r="P26" i="80"/>
  <c r="P33" i="80"/>
  <c r="P40" i="80"/>
  <c r="P47" i="80"/>
  <c r="P58" i="80"/>
  <c r="P65" i="80"/>
  <c r="P72" i="80"/>
  <c r="P79" i="80"/>
  <c r="P90" i="80"/>
  <c r="P97" i="80"/>
  <c r="P104" i="80"/>
  <c r="P111" i="80"/>
  <c r="P122" i="80"/>
  <c r="P129" i="80"/>
  <c r="K132" i="80"/>
  <c r="K137" i="80" s="1"/>
  <c r="P26" i="82"/>
  <c r="P48" i="82"/>
  <c r="P58" i="82"/>
  <c r="P80" i="82"/>
  <c r="P90" i="82"/>
  <c r="P112" i="82"/>
  <c r="P126" i="82"/>
  <c r="P91" i="82"/>
  <c r="P109" i="82"/>
  <c r="P116" i="82"/>
  <c r="P131" i="82"/>
  <c r="P23" i="80"/>
  <c r="P34" i="80"/>
  <c r="P41" i="80"/>
  <c r="P48" i="80"/>
  <c r="P55" i="80"/>
  <c r="P66" i="80"/>
  <c r="P73" i="80"/>
  <c r="P80" i="80"/>
  <c r="P87" i="80"/>
  <c r="P98" i="80"/>
  <c r="P105" i="80"/>
  <c r="P112" i="80"/>
  <c r="P119" i="80"/>
  <c r="P130" i="80"/>
  <c r="P24" i="82"/>
  <c r="P34" i="82"/>
  <c r="P56" i="82"/>
  <c r="P66" i="82"/>
  <c r="P88" i="82"/>
  <c r="P98" i="82"/>
  <c r="P120" i="82"/>
  <c r="P127" i="82"/>
  <c r="P28" i="82"/>
  <c r="P35" i="82"/>
  <c r="P53" i="82"/>
  <c r="P60" i="82"/>
  <c r="P67" i="82"/>
  <c r="P85" i="82"/>
  <c r="P92" i="82"/>
  <c r="P99" i="82"/>
  <c r="P117" i="82"/>
  <c r="P124" i="82"/>
  <c r="P132" i="82"/>
  <c r="P24" i="80"/>
  <c r="P31" i="80"/>
  <c r="P42" i="80"/>
  <c r="P49" i="80"/>
  <c r="P56" i="80"/>
  <c r="P63" i="80"/>
  <c r="P74" i="80"/>
  <c r="P81" i="80"/>
  <c r="P88" i="80"/>
  <c r="P95" i="80"/>
  <c r="P106" i="80"/>
  <c r="P113" i="80"/>
  <c r="P120" i="80"/>
  <c r="P127" i="80"/>
  <c r="P123" i="82"/>
  <c r="P24" i="79"/>
  <c r="P28" i="79"/>
  <c r="P32" i="79"/>
  <c r="P36" i="79"/>
  <c r="P40" i="79"/>
  <c r="P44" i="79"/>
  <c r="P48" i="79"/>
  <c r="P52" i="79"/>
  <c r="P56" i="79"/>
  <c r="P60" i="79"/>
  <c r="P64" i="79"/>
  <c r="P68" i="79"/>
  <c r="P72" i="79"/>
  <c r="P76" i="79"/>
  <c r="P80" i="79"/>
  <c r="P84" i="79"/>
  <c r="P88" i="79"/>
  <c r="P92" i="79"/>
  <c r="P96" i="79"/>
  <c r="P100" i="79"/>
  <c r="P104" i="79"/>
  <c r="P108" i="79"/>
  <c r="P112" i="79"/>
  <c r="P116" i="79"/>
  <c r="P120" i="79"/>
  <c r="P124" i="79"/>
  <c r="P128" i="79"/>
  <c r="P23" i="82"/>
  <c r="P125" i="82"/>
  <c r="P128" i="82"/>
  <c r="P22" i="79"/>
  <c r="P26" i="79"/>
  <c r="P30" i="79"/>
  <c r="P34" i="79"/>
  <c r="P38" i="79"/>
  <c r="P42" i="79"/>
  <c r="P46" i="79"/>
  <c r="P50" i="79"/>
  <c r="P54" i="79"/>
  <c r="P58" i="79"/>
  <c r="P62" i="79"/>
  <c r="P66" i="79"/>
  <c r="P70" i="79"/>
  <c r="P74" i="79"/>
  <c r="P78" i="79"/>
  <c r="P82" i="79"/>
  <c r="P86" i="79"/>
  <c r="P90" i="79"/>
  <c r="P94" i="79"/>
  <c r="P98" i="79"/>
  <c r="P102" i="79"/>
  <c r="P106" i="79"/>
  <c r="P110" i="79"/>
  <c r="P114" i="79"/>
  <c r="P118" i="79"/>
  <c r="P122" i="79"/>
  <c r="P126" i="79"/>
  <c r="P130" i="79"/>
  <c r="P122" i="82"/>
  <c r="P23" i="79"/>
  <c r="P27" i="79"/>
  <c r="P31" i="79"/>
  <c r="P35" i="79"/>
  <c r="P39" i="79"/>
  <c r="P43" i="79"/>
  <c r="P47" i="79"/>
  <c r="P51" i="79"/>
  <c r="P55" i="79"/>
  <c r="P59" i="79"/>
  <c r="P63" i="79"/>
  <c r="P67" i="79"/>
  <c r="P71" i="79"/>
  <c r="P75" i="79"/>
  <c r="P79" i="79"/>
  <c r="P83" i="79"/>
  <c r="P87" i="79"/>
  <c r="P91" i="79"/>
  <c r="P95" i="79"/>
  <c r="P99" i="79"/>
  <c r="P103" i="79"/>
  <c r="P107" i="79"/>
  <c r="P111" i="79"/>
  <c r="P115" i="79"/>
  <c r="P119" i="79"/>
  <c r="P123" i="79"/>
  <c r="P127" i="79"/>
  <c r="P131" i="79"/>
  <c r="P134" i="82"/>
  <c r="G132" i="79"/>
  <c r="G137" i="79" s="1"/>
  <c r="P19" i="72"/>
  <c r="M401" i="3"/>
  <c r="G119" i="9"/>
  <c r="AC90" i="73"/>
  <c r="AC102" i="73" s="1"/>
  <c r="O7" i="9"/>
  <c r="O9" i="9"/>
  <c r="O13" i="9"/>
  <c r="O15" i="9"/>
  <c r="O17" i="9"/>
  <c r="O117" i="9"/>
  <c r="O118" i="9"/>
  <c r="O4" i="9"/>
  <c r="G150" i="3"/>
  <c r="G320" i="3"/>
  <c r="G49" i="3"/>
  <c r="G130" i="3"/>
  <c r="G43" i="3"/>
  <c r="G15" i="3"/>
  <c r="H15" i="3" s="1"/>
  <c r="G262" i="3"/>
  <c r="J262" i="3" s="1"/>
  <c r="N262" i="3" s="1"/>
  <c r="G31" i="3"/>
  <c r="G251" i="3"/>
  <c r="J251" i="3" s="1"/>
  <c r="N251" i="3" s="1"/>
  <c r="G261" i="3"/>
  <c r="G67" i="3"/>
  <c r="J67" i="3" s="1"/>
  <c r="N67" i="3" s="1"/>
  <c r="G131" i="3"/>
  <c r="G134" i="3"/>
  <c r="J134" i="3" s="1"/>
  <c r="G164" i="3"/>
  <c r="J164" i="3" s="1"/>
  <c r="G84" i="3"/>
  <c r="G88" i="3"/>
  <c r="G70" i="3"/>
  <c r="J70" i="3" s="1"/>
  <c r="G116" i="3"/>
  <c r="G120" i="3"/>
  <c r="G136" i="3"/>
  <c r="G140" i="3"/>
  <c r="G230" i="3"/>
  <c r="G233" i="3"/>
  <c r="J233" i="3" s="1"/>
  <c r="G234" i="3"/>
  <c r="G237" i="3"/>
  <c r="G238" i="3"/>
  <c r="G241" i="3"/>
  <c r="J241" i="3" s="1"/>
  <c r="N241" i="3" s="1"/>
  <c r="G48" i="3"/>
  <c r="G65" i="3"/>
  <c r="G153" i="3"/>
  <c r="H153" i="3" s="1"/>
  <c r="G187" i="3"/>
  <c r="G191" i="3"/>
  <c r="H191" i="3" s="1"/>
  <c r="G195" i="3"/>
  <c r="H195" i="3" s="1"/>
  <c r="G282" i="3"/>
  <c r="J282" i="3" s="1"/>
  <c r="N282" i="3" s="1"/>
  <c r="G286" i="3"/>
  <c r="G304" i="3"/>
  <c r="H304" i="3" s="1"/>
  <c r="G52" i="3"/>
  <c r="H52" i="3" s="1"/>
  <c r="G56" i="3"/>
  <c r="H56" i="3" s="1"/>
  <c r="G60" i="3"/>
  <c r="H60" i="3" s="1"/>
  <c r="G143" i="3"/>
  <c r="G299" i="3"/>
  <c r="G307" i="3"/>
  <c r="G308" i="3"/>
  <c r="H308" i="3" s="1"/>
  <c r="G386" i="3"/>
  <c r="J386" i="3" s="1"/>
  <c r="N386" i="3" s="1"/>
  <c r="G47" i="3"/>
  <c r="G156" i="3"/>
  <c r="G165" i="3"/>
  <c r="G177" i="3"/>
  <c r="G257" i="3"/>
  <c r="G333" i="3"/>
  <c r="G341" i="3"/>
  <c r="G378" i="3"/>
  <c r="J378" i="3" s="1"/>
  <c r="G13" i="3"/>
  <c r="G21" i="3"/>
  <c r="G63" i="3"/>
  <c r="G92" i="3"/>
  <c r="G100" i="3"/>
  <c r="G104" i="3"/>
  <c r="G272" i="3"/>
  <c r="N70" i="3"/>
  <c r="G80" i="3"/>
  <c r="G155" i="3"/>
  <c r="H155" i="3" s="1"/>
  <c r="G297" i="3"/>
  <c r="J297" i="3" s="1"/>
  <c r="N297" i="3" s="1"/>
  <c r="G301" i="3"/>
  <c r="G309" i="3"/>
  <c r="G384" i="3"/>
  <c r="G32" i="3"/>
  <c r="G62" i="3"/>
  <c r="G171" i="3"/>
  <c r="G305" i="3"/>
  <c r="G354" i="3"/>
  <c r="G358" i="3"/>
  <c r="J309" i="3"/>
  <c r="N309" i="3" s="1"/>
  <c r="H309" i="3"/>
  <c r="G8" i="3"/>
  <c r="G29" i="3"/>
  <c r="G61" i="3"/>
  <c r="G93" i="3"/>
  <c r="G101" i="3"/>
  <c r="G135" i="3"/>
  <c r="G157" i="3"/>
  <c r="G166" i="3"/>
  <c r="G204" i="3"/>
  <c r="J204" i="3" s="1"/>
  <c r="N204" i="3" s="1"/>
  <c r="G212" i="3"/>
  <c r="J212" i="3" s="1"/>
  <c r="N212" i="3" s="1"/>
  <c r="G260" i="3"/>
  <c r="G269" i="3"/>
  <c r="J269" i="3" s="1"/>
  <c r="N269" i="3" s="1"/>
  <c r="G300" i="3"/>
  <c r="H300" i="3" s="1"/>
  <c r="G336" i="3"/>
  <c r="G370" i="3"/>
  <c r="G374" i="3"/>
  <c r="G379" i="3"/>
  <c r="G395" i="3"/>
  <c r="N233" i="3"/>
  <c r="G387" i="3"/>
  <c r="G24" i="3"/>
  <c r="G33" i="3"/>
  <c r="J33" i="3" s="1"/>
  <c r="N33" i="3" s="1"/>
  <c r="P33" i="3" s="1"/>
  <c r="G79" i="3"/>
  <c r="H79" i="3" s="1"/>
  <c r="G96" i="3"/>
  <c r="J156" i="3"/>
  <c r="N156" i="3" s="1"/>
  <c r="G249" i="3"/>
  <c r="J249" i="3" s="1"/>
  <c r="N249" i="3" s="1"/>
  <c r="G259" i="3"/>
  <c r="G369" i="3"/>
  <c r="H369" i="3" s="1"/>
  <c r="G373" i="3"/>
  <c r="H373" i="3" s="1"/>
  <c r="G382" i="3"/>
  <c r="J382" i="3" s="1"/>
  <c r="N382" i="3" s="1"/>
  <c r="G394" i="3"/>
  <c r="J394" i="3" s="1"/>
  <c r="N394" i="3" s="1"/>
  <c r="G83" i="3"/>
  <c r="G91" i="3"/>
  <c r="G133" i="3"/>
  <c r="G141" i="3"/>
  <c r="G263" i="3"/>
  <c r="G279" i="3"/>
  <c r="G293" i="3"/>
  <c r="G313" i="3"/>
  <c r="J313" i="3" s="1"/>
  <c r="N313" i="3" s="1"/>
  <c r="G317" i="3"/>
  <c r="G321" i="3"/>
  <c r="G385" i="3"/>
  <c r="H385" i="3" s="1"/>
  <c r="G10" i="3"/>
  <c r="H10" i="3" s="1"/>
  <c r="G23" i="3"/>
  <c r="G51" i="3"/>
  <c r="G55" i="3"/>
  <c r="G168" i="3"/>
  <c r="G172" i="3"/>
  <c r="G176" i="3"/>
  <c r="G190" i="3"/>
  <c r="H190" i="3" s="1"/>
  <c r="G207" i="3"/>
  <c r="H207" i="3" s="1"/>
  <c r="G210" i="3"/>
  <c r="J210" i="3" s="1"/>
  <c r="N210" i="3" s="1"/>
  <c r="G211" i="3"/>
  <c r="H211" i="3" s="1"/>
  <c r="G214" i="3"/>
  <c r="I252" i="3"/>
  <c r="H10" i="8" s="1"/>
  <c r="G330" i="3"/>
  <c r="G338" i="3"/>
  <c r="G368" i="3"/>
  <c r="J304" i="3"/>
  <c r="N304" i="3" s="1"/>
  <c r="I37" i="3"/>
  <c r="G45" i="3"/>
  <c r="G50" i="3"/>
  <c r="G58" i="3"/>
  <c r="G86" i="3"/>
  <c r="G106" i="3"/>
  <c r="G124" i="3"/>
  <c r="H164" i="3"/>
  <c r="G266" i="3"/>
  <c r="G278" i="3"/>
  <c r="J301" i="3"/>
  <c r="N301" i="3" s="1"/>
  <c r="G392" i="3"/>
  <c r="G17" i="3"/>
  <c r="H17" i="3" s="1"/>
  <c r="G44" i="3"/>
  <c r="G53" i="3"/>
  <c r="G57" i="3"/>
  <c r="G90" i="3"/>
  <c r="G94" i="3"/>
  <c r="G119" i="3"/>
  <c r="G265" i="3"/>
  <c r="G277" i="3"/>
  <c r="G281" i="3"/>
  <c r="H281" i="3" s="1"/>
  <c r="G285" i="3"/>
  <c r="H285" i="3" s="1"/>
  <c r="G306" i="3"/>
  <c r="G311" i="3"/>
  <c r="J336" i="3"/>
  <c r="N336" i="3" s="1"/>
  <c r="H336" i="3"/>
  <c r="H331" i="3"/>
  <c r="J331" i="3"/>
  <c r="N331" i="3" s="1"/>
  <c r="H335" i="3"/>
  <c r="J335" i="3"/>
  <c r="N335" i="3" s="1"/>
  <c r="H339" i="3"/>
  <c r="J339" i="3"/>
  <c r="N339" i="3" s="1"/>
  <c r="H133" i="3"/>
  <c r="J133" i="3"/>
  <c r="N133" i="3" s="1"/>
  <c r="H141" i="3"/>
  <c r="J141" i="3"/>
  <c r="N141" i="3" s="1"/>
  <c r="J23" i="3"/>
  <c r="N23" i="3" s="1"/>
  <c r="P23" i="3" s="1"/>
  <c r="H23" i="3"/>
  <c r="J286" i="3"/>
  <c r="N286" i="3" s="1"/>
  <c r="H286" i="3"/>
  <c r="H277" i="3"/>
  <c r="J277" i="3"/>
  <c r="N277" i="3" s="1"/>
  <c r="K37" i="3"/>
  <c r="G9" i="3"/>
  <c r="H9" i="3" s="1"/>
  <c r="G35" i="3"/>
  <c r="J35" i="3" s="1"/>
  <c r="N35" i="3" s="1"/>
  <c r="P35" i="3" s="1"/>
  <c r="F72" i="3"/>
  <c r="E5" i="8" s="1"/>
  <c r="G46" i="3"/>
  <c r="J46" i="3" s="1"/>
  <c r="N46" i="3" s="1"/>
  <c r="G68" i="3"/>
  <c r="J68" i="3" s="1"/>
  <c r="G87" i="3"/>
  <c r="G97" i="3"/>
  <c r="G115" i="3"/>
  <c r="M180" i="3"/>
  <c r="G151" i="3"/>
  <c r="G161" i="3"/>
  <c r="G167" i="3"/>
  <c r="H167" i="3" s="1"/>
  <c r="G186" i="3"/>
  <c r="K252" i="3"/>
  <c r="G223" i="3"/>
  <c r="G224" i="3"/>
  <c r="H224" i="3" s="1"/>
  <c r="G242" i="3"/>
  <c r="H242" i="3" s="1"/>
  <c r="G245" i="3"/>
  <c r="J245" i="3" s="1"/>
  <c r="N245" i="3" s="1"/>
  <c r="G246" i="3"/>
  <c r="G270" i="3"/>
  <c r="H270" i="3" s="1"/>
  <c r="G280" i="3"/>
  <c r="I324" i="3"/>
  <c r="J308" i="3"/>
  <c r="N308" i="3" s="1"/>
  <c r="G316" i="3"/>
  <c r="M360" i="3"/>
  <c r="G332" i="3"/>
  <c r="J332" i="3" s="1"/>
  <c r="N332" i="3" s="1"/>
  <c r="G343" i="3"/>
  <c r="G344" i="3"/>
  <c r="G345" i="3"/>
  <c r="F396" i="3"/>
  <c r="E14" i="8" s="1"/>
  <c r="G375" i="3"/>
  <c r="M72" i="3"/>
  <c r="G78" i="3"/>
  <c r="J78" i="3" s="1"/>
  <c r="N78" i="3" s="1"/>
  <c r="M144" i="3"/>
  <c r="N134" i="3"/>
  <c r="D216" i="3"/>
  <c r="C9" i="8" s="1"/>
  <c r="J201" i="3"/>
  <c r="N201" i="3" s="1"/>
  <c r="G205" i="3"/>
  <c r="G228" i="3"/>
  <c r="G274" i="3"/>
  <c r="G312" i="3"/>
  <c r="H312" i="3" s="1"/>
  <c r="J385" i="3"/>
  <c r="N385" i="3" s="1"/>
  <c r="G388" i="3"/>
  <c r="G12" i="3"/>
  <c r="J12" i="3" s="1"/>
  <c r="N12" i="3" s="1"/>
  <c r="P12" i="3" s="1"/>
  <c r="G18" i="3"/>
  <c r="G27" i="3"/>
  <c r="G34" i="3"/>
  <c r="J34" i="3" s="1"/>
  <c r="N34" i="3" s="1"/>
  <c r="P34" i="3" s="1"/>
  <c r="G66" i="3"/>
  <c r="J66" i="3" s="1"/>
  <c r="N66" i="3" s="1"/>
  <c r="G71" i="3"/>
  <c r="E108" i="3"/>
  <c r="D6" i="8" s="1"/>
  <c r="G95" i="3"/>
  <c r="G105" i="3"/>
  <c r="J105" i="3" s="1"/>
  <c r="N105" i="3" s="1"/>
  <c r="G114" i="3"/>
  <c r="G123" i="3"/>
  <c r="G128" i="3"/>
  <c r="G154" i="3"/>
  <c r="H156" i="3"/>
  <c r="G160" i="3"/>
  <c r="J160" i="3" s="1"/>
  <c r="N160" i="3" s="1"/>
  <c r="G170" i="3"/>
  <c r="H170" i="3" s="1"/>
  <c r="G175" i="3"/>
  <c r="J175" i="3" s="1"/>
  <c r="N175" i="3" s="1"/>
  <c r="G189" i="3"/>
  <c r="G194" i="3"/>
  <c r="J194" i="3" s="1"/>
  <c r="N194" i="3" s="1"/>
  <c r="G199" i="3"/>
  <c r="J199" i="3" s="1"/>
  <c r="N199" i="3" s="1"/>
  <c r="G208" i="3"/>
  <c r="H208" i="3" s="1"/>
  <c r="G209" i="3"/>
  <c r="G231" i="3"/>
  <c r="G232" i="3"/>
  <c r="H241" i="3"/>
  <c r="G244" i="3"/>
  <c r="H244" i="3" s="1"/>
  <c r="G248" i="3"/>
  <c r="J248" i="3" s="1"/>
  <c r="G264" i="3"/>
  <c r="G268" i="3"/>
  <c r="G273" i="3"/>
  <c r="J273" i="3" s="1"/>
  <c r="N273" i="3" s="1"/>
  <c r="F324" i="3"/>
  <c r="E12" i="8" s="1"/>
  <c r="G315" i="3"/>
  <c r="G342" i="3"/>
  <c r="G347" i="3"/>
  <c r="H347" i="3" s="1"/>
  <c r="G349" i="3"/>
  <c r="G383" i="3"/>
  <c r="AC36" i="73"/>
  <c r="F108" i="3"/>
  <c r="E6" i="8" s="1"/>
  <c r="G82" i="3"/>
  <c r="G99" i="3"/>
  <c r="H99" i="3" s="1"/>
  <c r="G118" i="3"/>
  <c r="J118" i="3" s="1"/>
  <c r="N118" i="3" s="1"/>
  <c r="G127" i="3"/>
  <c r="G129" i="3"/>
  <c r="G132" i="3"/>
  <c r="G138" i="3"/>
  <c r="G139" i="3"/>
  <c r="H139" i="3" s="1"/>
  <c r="G174" i="3"/>
  <c r="G179" i="3"/>
  <c r="G193" i="3"/>
  <c r="H193" i="3" s="1"/>
  <c r="G198" i="3"/>
  <c r="G213" i="3"/>
  <c r="H213" i="3" s="1"/>
  <c r="G236" i="3"/>
  <c r="H236" i="3" s="1"/>
  <c r="G240" i="3"/>
  <c r="H240" i="3" s="1"/>
  <c r="G284" i="3"/>
  <c r="J284" i="3" s="1"/>
  <c r="N284" i="3" s="1"/>
  <c r="G319" i="3"/>
  <c r="G334" i="3"/>
  <c r="G337" i="3"/>
  <c r="J337" i="3" s="1"/>
  <c r="N337" i="3" s="1"/>
  <c r="J352" i="3"/>
  <c r="N352" i="3" s="1"/>
  <c r="G353" i="3"/>
  <c r="G356" i="3"/>
  <c r="J356" i="3" s="1"/>
  <c r="N356" i="3" s="1"/>
  <c r="G357" i="3"/>
  <c r="J369" i="3"/>
  <c r="N369" i="3" s="1"/>
  <c r="G372" i="3"/>
  <c r="J389" i="3"/>
  <c r="N389" i="3" s="1"/>
  <c r="K360" i="3"/>
  <c r="G7" i="3"/>
  <c r="G16" i="3"/>
  <c r="G26" i="3"/>
  <c r="K16" i="8"/>
  <c r="G64" i="3"/>
  <c r="H64" i="3" s="1"/>
  <c r="G69" i="3"/>
  <c r="J69" i="3" s="1"/>
  <c r="N69" i="3" s="1"/>
  <c r="I108" i="3"/>
  <c r="G81" i="3"/>
  <c r="J81" i="3" s="1"/>
  <c r="N81" i="3" s="1"/>
  <c r="G103" i="3"/>
  <c r="G122" i="3"/>
  <c r="H134" i="3"/>
  <c r="J155" i="3"/>
  <c r="N155" i="3" s="1"/>
  <c r="G178" i="3"/>
  <c r="H178" i="3" s="1"/>
  <c r="G197" i="3"/>
  <c r="J197" i="3" s="1"/>
  <c r="N197" i="3" s="1"/>
  <c r="G202" i="3"/>
  <c r="G221" i="3"/>
  <c r="G222" i="3"/>
  <c r="G225" i="3"/>
  <c r="G243" i="3"/>
  <c r="G247" i="3"/>
  <c r="D288" i="3"/>
  <c r="C11" i="8" s="1"/>
  <c r="G258" i="3"/>
  <c r="G267" i="3"/>
  <c r="J300" i="3"/>
  <c r="N300" i="3" s="1"/>
  <c r="G303" i="3"/>
  <c r="G314" i="3"/>
  <c r="G323" i="3"/>
  <c r="E360" i="3"/>
  <c r="D13" i="8" s="1"/>
  <c r="I360" i="3"/>
  <c r="G346" i="3"/>
  <c r="G351" i="3"/>
  <c r="H351" i="3" s="1"/>
  <c r="M396" i="3"/>
  <c r="G367" i="3"/>
  <c r="N378" i="3"/>
  <c r="G11" i="3"/>
  <c r="J21" i="3"/>
  <c r="N21" i="3" s="1"/>
  <c r="P21" i="3" s="1"/>
  <c r="G30" i="3"/>
  <c r="J30" i="3" s="1"/>
  <c r="N30" i="3" s="1"/>
  <c r="P30" i="3" s="1"/>
  <c r="J32" i="3"/>
  <c r="N32" i="3" s="1"/>
  <c r="P32" i="3" s="1"/>
  <c r="G42" i="3"/>
  <c r="J42" i="3" s="1"/>
  <c r="N42" i="3" s="1"/>
  <c r="J43" i="3"/>
  <c r="N43" i="3" s="1"/>
  <c r="G54" i="3"/>
  <c r="G59" i="3"/>
  <c r="G85" i="3"/>
  <c r="G98" i="3"/>
  <c r="G107" i="3"/>
  <c r="J107" i="3" s="1"/>
  <c r="N107" i="3" s="1"/>
  <c r="G126" i="3"/>
  <c r="H126" i="3" s="1"/>
  <c r="G142" i="3"/>
  <c r="J142" i="3" s="1"/>
  <c r="N142" i="3" s="1"/>
  <c r="F180" i="3"/>
  <c r="E8" i="8" s="1"/>
  <c r="G152" i="3"/>
  <c r="G158" i="3"/>
  <c r="G159" i="3"/>
  <c r="G163" i="3"/>
  <c r="G169" i="3"/>
  <c r="J169" i="3" s="1"/>
  <c r="N169" i="3" s="1"/>
  <c r="K216" i="3"/>
  <c r="G192" i="3"/>
  <c r="J192" i="3" s="1"/>
  <c r="N192" i="3" s="1"/>
  <c r="G203" i="3"/>
  <c r="H203" i="3" s="1"/>
  <c r="E252" i="3"/>
  <c r="D10" i="8" s="1"/>
  <c r="G226" i="3"/>
  <c r="G271" i="3"/>
  <c r="G295" i="3"/>
  <c r="J305" i="3"/>
  <c r="N305" i="3" s="1"/>
  <c r="J348" i="3"/>
  <c r="N348" i="3" s="1"/>
  <c r="G355" i="3"/>
  <c r="H355" i="3" s="1"/>
  <c r="G359" i="3"/>
  <c r="G366" i="3"/>
  <c r="J366" i="3" s="1"/>
  <c r="N366" i="3" s="1"/>
  <c r="Q366" i="3" s="1"/>
  <c r="J373" i="3"/>
  <c r="N373" i="3" s="1"/>
  <c r="G376" i="3"/>
  <c r="G377" i="3"/>
  <c r="G391" i="3"/>
  <c r="H391" i="3" s="1"/>
  <c r="J393" i="3"/>
  <c r="N393" i="3" s="1"/>
  <c r="I144" i="3"/>
  <c r="G19" i="3"/>
  <c r="H19" i="3" s="1"/>
  <c r="G25" i="3"/>
  <c r="J31" i="3"/>
  <c r="N31" i="3" s="1"/>
  <c r="P31" i="3" s="1"/>
  <c r="G36" i="3"/>
  <c r="J36" i="3" s="1"/>
  <c r="N36" i="3" s="1"/>
  <c r="P36" i="3" s="1"/>
  <c r="M108" i="3"/>
  <c r="G89" i="3"/>
  <c r="H89" i="3" s="1"/>
  <c r="G102" i="3"/>
  <c r="J102" i="3" s="1"/>
  <c r="N102" i="3" s="1"/>
  <c r="G137" i="3"/>
  <c r="G162" i="3"/>
  <c r="J162" i="3" s="1"/>
  <c r="N162" i="3" s="1"/>
  <c r="G173" i="3"/>
  <c r="G200" i="3"/>
  <c r="J200" i="3" s="1"/>
  <c r="N200" i="3" s="1"/>
  <c r="G206" i="3"/>
  <c r="J206" i="3" s="1"/>
  <c r="N206" i="3" s="1"/>
  <c r="G215" i="3"/>
  <c r="J215" i="3" s="1"/>
  <c r="N215" i="3" s="1"/>
  <c r="G229" i="3"/>
  <c r="J229" i="3" s="1"/>
  <c r="N229" i="3" s="1"/>
  <c r="G250" i="3"/>
  <c r="J250" i="3" s="1"/>
  <c r="N250" i="3" s="1"/>
  <c r="G275" i="3"/>
  <c r="J285" i="3"/>
  <c r="N285" i="3" s="1"/>
  <c r="G322" i="3"/>
  <c r="G340" i="3"/>
  <c r="G350" i="3"/>
  <c r="G365" i="3"/>
  <c r="J365" i="3" s="1"/>
  <c r="G371" i="3"/>
  <c r="G380" i="3"/>
  <c r="G381" i="3"/>
  <c r="H4" i="8"/>
  <c r="AC30" i="73"/>
  <c r="J4" i="8"/>
  <c r="AE30" i="73"/>
  <c r="J9" i="3"/>
  <c r="N9" i="3" s="1"/>
  <c r="P9" i="3" s="1"/>
  <c r="H24" i="3"/>
  <c r="J24" i="3"/>
  <c r="N24" i="3" s="1"/>
  <c r="P24" i="3" s="1"/>
  <c r="J8" i="3"/>
  <c r="N8" i="3" s="1"/>
  <c r="P8" i="3" s="1"/>
  <c r="H8" i="3"/>
  <c r="J13" i="3"/>
  <c r="N13" i="3" s="1"/>
  <c r="P13" i="3" s="1"/>
  <c r="H13" i="3"/>
  <c r="J18" i="3"/>
  <c r="N18" i="3" s="1"/>
  <c r="P18" i="3" s="1"/>
  <c r="H18" i="3"/>
  <c r="J27" i="3"/>
  <c r="N27" i="3" s="1"/>
  <c r="P27" i="3" s="1"/>
  <c r="H27" i="3"/>
  <c r="J7" i="3"/>
  <c r="N7" i="3" s="1"/>
  <c r="P7" i="3" s="1"/>
  <c r="H7" i="3"/>
  <c r="J16" i="3"/>
  <c r="N16" i="3" s="1"/>
  <c r="P16" i="3" s="1"/>
  <c r="H16" i="3"/>
  <c r="J26" i="3"/>
  <c r="N26" i="3" s="1"/>
  <c r="P26" i="3" s="1"/>
  <c r="H26" i="3"/>
  <c r="J11" i="3"/>
  <c r="N11" i="3" s="1"/>
  <c r="P11" i="3" s="1"/>
  <c r="H11" i="3"/>
  <c r="H25" i="3"/>
  <c r="J25" i="3"/>
  <c r="N25" i="3" s="1"/>
  <c r="P25" i="3" s="1"/>
  <c r="M37" i="3"/>
  <c r="J10" i="3"/>
  <c r="N10" i="3" s="1"/>
  <c r="P10" i="3" s="1"/>
  <c r="G14" i="3"/>
  <c r="J15" i="3"/>
  <c r="N15" i="3" s="1"/>
  <c r="P15" i="3" s="1"/>
  <c r="H21" i="3"/>
  <c r="H48" i="3"/>
  <c r="J48" i="3"/>
  <c r="N48" i="3" s="1"/>
  <c r="J61" i="3"/>
  <c r="N61" i="3" s="1"/>
  <c r="H61" i="3"/>
  <c r="J84" i="3"/>
  <c r="N84" i="3" s="1"/>
  <c r="H84" i="3"/>
  <c r="J100" i="3"/>
  <c r="N100" i="3" s="1"/>
  <c r="H100" i="3"/>
  <c r="H115" i="3"/>
  <c r="J115" i="3"/>
  <c r="N115" i="3" s="1"/>
  <c r="J126" i="3"/>
  <c r="N126" i="3" s="1"/>
  <c r="J150" i="3"/>
  <c r="N150" i="3" s="1"/>
  <c r="H150" i="3"/>
  <c r="J214" i="3"/>
  <c r="N214" i="3" s="1"/>
  <c r="R214" i="3" s="1"/>
  <c r="H214" i="3"/>
  <c r="J237" i="3"/>
  <c r="N237" i="3" s="1"/>
  <c r="H237" i="3"/>
  <c r="J266" i="3"/>
  <c r="N266" i="3" s="1"/>
  <c r="H266" i="3"/>
  <c r="G28" i="3"/>
  <c r="J47" i="3"/>
  <c r="N47" i="3" s="1"/>
  <c r="J59" i="3"/>
  <c r="N59" i="3" s="1"/>
  <c r="H59" i="3"/>
  <c r="H87" i="3"/>
  <c r="J87" i="3"/>
  <c r="N87" i="3" s="1"/>
  <c r="J93" i="3"/>
  <c r="N93" i="3" s="1"/>
  <c r="H93" i="3"/>
  <c r="J94" i="3"/>
  <c r="N94" i="3" s="1"/>
  <c r="H94" i="3"/>
  <c r="J98" i="3"/>
  <c r="N98" i="3" s="1"/>
  <c r="H98" i="3"/>
  <c r="H103" i="3"/>
  <c r="J103" i="3"/>
  <c r="N103" i="3" s="1"/>
  <c r="J116" i="3"/>
  <c r="N116" i="3" s="1"/>
  <c r="H116" i="3"/>
  <c r="G125" i="3"/>
  <c r="H157" i="3"/>
  <c r="J157" i="3"/>
  <c r="N157" i="3" s="1"/>
  <c r="G6" i="3"/>
  <c r="D37" i="3"/>
  <c r="C4" i="8" s="1"/>
  <c r="J45" i="3"/>
  <c r="N45" i="3" s="1"/>
  <c r="H45" i="3"/>
  <c r="J53" i="3"/>
  <c r="N53" i="3" s="1"/>
  <c r="H53" i="3"/>
  <c r="J58" i="3"/>
  <c r="N58" i="3" s="1"/>
  <c r="H58" i="3"/>
  <c r="J65" i="3"/>
  <c r="N65" i="3" s="1"/>
  <c r="H65" i="3"/>
  <c r="J88" i="3"/>
  <c r="N88" i="3" s="1"/>
  <c r="H88" i="3"/>
  <c r="J104" i="3"/>
  <c r="N104" i="3" s="1"/>
  <c r="H104" i="3"/>
  <c r="J114" i="3"/>
  <c r="N114" i="3" s="1"/>
  <c r="H114" i="3"/>
  <c r="H119" i="3"/>
  <c r="J119" i="3"/>
  <c r="N119" i="3" s="1"/>
  <c r="J130" i="3"/>
  <c r="N130" i="3" s="1"/>
  <c r="H130" i="3"/>
  <c r="H137" i="3"/>
  <c r="J137" i="3"/>
  <c r="N137" i="3" s="1"/>
  <c r="J154" i="3"/>
  <c r="N154" i="3" s="1"/>
  <c r="H154" i="3"/>
  <c r="J171" i="3"/>
  <c r="N171" i="3" s="1"/>
  <c r="H171" i="3"/>
  <c r="H172" i="3"/>
  <c r="J172" i="3"/>
  <c r="N172" i="3" s="1"/>
  <c r="E37" i="3"/>
  <c r="D4" i="8" s="1"/>
  <c r="G20" i="3"/>
  <c r="D72" i="3"/>
  <c r="C5" i="8" s="1"/>
  <c r="G41" i="3"/>
  <c r="H42" i="3"/>
  <c r="H44" i="3"/>
  <c r="J44" i="3"/>
  <c r="N44" i="3" s="1"/>
  <c r="J51" i="3"/>
  <c r="N51" i="3" s="1"/>
  <c r="H51" i="3"/>
  <c r="K108" i="3"/>
  <c r="J82" i="3"/>
  <c r="N82" i="3" s="1"/>
  <c r="H82" i="3"/>
  <c r="H91" i="3"/>
  <c r="J91" i="3"/>
  <c r="N91" i="3" s="1"/>
  <c r="J97" i="3"/>
  <c r="N97" i="3" s="1"/>
  <c r="H97" i="3"/>
  <c r="H107" i="3"/>
  <c r="D144" i="3"/>
  <c r="C7" i="8" s="1"/>
  <c r="G113" i="3"/>
  <c r="J120" i="3"/>
  <c r="N120" i="3" s="1"/>
  <c r="H120" i="3"/>
  <c r="H131" i="3"/>
  <c r="J131" i="3"/>
  <c r="N131" i="3" s="1"/>
  <c r="J136" i="3"/>
  <c r="N136" i="3" s="1"/>
  <c r="H136" i="3"/>
  <c r="F37" i="3"/>
  <c r="E4" i="8" s="1"/>
  <c r="J17" i="3"/>
  <c r="N17" i="3" s="1"/>
  <c r="P17" i="3" s="1"/>
  <c r="E72" i="3"/>
  <c r="D5" i="8" s="1"/>
  <c r="J50" i="3"/>
  <c r="N50" i="3" s="1"/>
  <c r="H50" i="3"/>
  <c r="J63" i="3"/>
  <c r="N63" i="3" s="1"/>
  <c r="H63" i="3"/>
  <c r="J86" i="3"/>
  <c r="N86" i="3" s="1"/>
  <c r="H86" i="3"/>
  <c r="J92" i="3"/>
  <c r="N92" i="3" s="1"/>
  <c r="H92" i="3"/>
  <c r="E144" i="3"/>
  <c r="D7" i="8" s="1"/>
  <c r="H118" i="3"/>
  <c r="H123" i="3"/>
  <c r="J123" i="3"/>
  <c r="N123" i="3" s="1"/>
  <c r="J140" i="3"/>
  <c r="N140" i="3" s="1"/>
  <c r="H140" i="3"/>
  <c r="H143" i="3"/>
  <c r="J143" i="3"/>
  <c r="N143" i="3" s="1"/>
  <c r="J152" i="3"/>
  <c r="N152" i="3" s="1"/>
  <c r="H152" i="3"/>
  <c r="J29" i="3"/>
  <c r="N29" i="3" s="1"/>
  <c r="P29" i="3" s="1"/>
  <c r="H29" i="3"/>
  <c r="J57" i="3"/>
  <c r="N57" i="3" s="1"/>
  <c r="H57" i="3"/>
  <c r="J62" i="3"/>
  <c r="N62" i="3" s="1"/>
  <c r="H62" i="3"/>
  <c r="N68" i="3"/>
  <c r="J85" i="3"/>
  <c r="N85" i="3" s="1"/>
  <c r="H85" i="3"/>
  <c r="H95" i="3"/>
  <c r="J95" i="3"/>
  <c r="N95" i="3" s="1"/>
  <c r="J101" i="3"/>
  <c r="N101" i="3" s="1"/>
  <c r="H101" i="3"/>
  <c r="J106" i="3"/>
  <c r="N106" i="3" s="1"/>
  <c r="H106" i="3"/>
  <c r="G117" i="3"/>
  <c r="J124" i="3"/>
  <c r="N124" i="3" s="1"/>
  <c r="H124" i="3"/>
  <c r="H142" i="3"/>
  <c r="J158" i="3"/>
  <c r="N158" i="3" s="1"/>
  <c r="H158" i="3"/>
  <c r="H159" i="3"/>
  <c r="J159" i="3"/>
  <c r="N159" i="3" s="1"/>
  <c r="G22" i="3"/>
  <c r="I72" i="3"/>
  <c r="J55" i="3"/>
  <c r="N55" i="3" s="1"/>
  <c r="H55" i="3"/>
  <c r="J80" i="3"/>
  <c r="N80" i="3" s="1"/>
  <c r="H80" i="3"/>
  <c r="J96" i="3"/>
  <c r="N96" i="3" s="1"/>
  <c r="H96" i="3"/>
  <c r="J122" i="3"/>
  <c r="N122" i="3" s="1"/>
  <c r="H122" i="3"/>
  <c r="J129" i="3"/>
  <c r="N129" i="3" s="1"/>
  <c r="H129" i="3"/>
  <c r="J49" i="3"/>
  <c r="N49" i="3" s="1"/>
  <c r="H49" i="3"/>
  <c r="J54" i="3"/>
  <c r="N54" i="3" s="1"/>
  <c r="H54" i="3"/>
  <c r="J71" i="3"/>
  <c r="N71" i="3" s="1"/>
  <c r="D108" i="3"/>
  <c r="C6" i="8" s="1"/>
  <c r="G77" i="3"/>
  <c r="H83" i="3"/>
  <c r="J83" i="3"/>
  <c r="N83" i="3" s="1"/>
  <c r="J89" i="3"/>
  <c r="N89" i="3" s="1"/>
  <c r="J90" i="3"/>
  <c r="N90" i="3" s="1"/>
  <c r="H90" i="3"/>
  <c r="K144" i="3"/>
  <c r="G121" i="3"/>
  <c r="J132" i="3"/>
  <c r="N132" i="3" s="1"/>
  <c r="H132" i="3"/>
  <c r="H135" i="3"/>
  <c r="J135" i="3"/>
  <c r="N135" i="3" s="1"/>
  <c r="J138" i="3"/>
  <c r="N138" i="3" s="1"/>
  <c r="H138" i="3"/>
  <c r="H151" i="3"/>
  <c r="J151" i="3"/>
  <c r="N151" i="3" s="1"/>
  <c r="J52" i="3"/>
  <c r="N52" i="3" s="1"/>
  <c r="J56" i="3"/>
  <c r="N56" i="3" s="1"/>
  <c r="J60" i="3"/>
  <c r="N60" i="3" s="1"/>
  <c r="J79" i="3"/>
  <c r="N79" i="3" s="1"/>
  <c r="I180" i="3"/>
  <c r="J165" i="3"/>
  <c r="N165" i="3" s="1"/>
  <c r="H165" i="3"/>
  <c r="J170" i="3"/>
  <c r="N170" i="3" s="1"/>
  <c r="M216" i="3"/>
  <c r="J198" i="3"/>
  <c r="N198" i="3" s="1"/>
  <c r="R198" i="3" s="1"/>
  <c r="H198" i="3"/>
  <c r="J208" i="3"/>
  <c r="N208" i="3" s="1"/>
  <c r="H210" i="3"/>
  <c r="J222" i="3"/>
  <c r="N222" i="3" s="1"/>
  <c r="H222" i="3"/>
  <c r="J231" i="3"/>
  <c r="N231" i="3" s="1"/>
  <c r="H231" i="3"/>
  <c r="H233" i="3"/>
  <c r="J238" i="3"/>
  <c r="N238" i="3" s="1"/>
  <c r="H238" i="3"/>
  <c r="J244" i="3"/>
  <c r="N244" i="3" s="1"/>
  <c r="J247" i="3"/>
  <c r="N247" i="3" s="1"/>
  <c r="H247" i="3"/>
  <c r="F252" i="3"/>
  <c r="E10" i="8" s="1"/>
  <c r="K288" i="3"/>
  <c r="H259" i="3"/>
  <c r="J259" i="3"/>
  <c r="N259" i="3" s="1"/>
  <c r="J270" i="3"/>
  <c r="N270" i="3" s="1"/>
  <c r="F144" i="3"/>
  <c r="E7" i="8" s="1"/>
  <c r="H176" i="3"/>
  <c r="J176" i="3"/>
  <c r="N176" i="3" s="1"/>
  <c r="H197" i="3"/>
  <c r="H260" i="3"/>
  <c r="J260" i="3"/>
  <c r="N260" i="3" s="1"/>
  <c r="J274" i="3"/>
  <c r="N274" i="3" s="1"/>
  <c r="H274" i="3"/>
  <c r="K180" i="3"/>
  <c r="N164" i="3"/>
  <c r="H169" i="3"/>
  <c r="J174" i="3"/>
  <c r="N174" i="3" s="1"/>
  <c r="H174" i="3"/>
  <c r="J186" i="3"/>
  <c r="N186" i="3" s="1"/>
  <c r="H186" i="3"/>
  <c r="H187" i="3"/>
  <c r="J187" i="3"/>
  <c r="N187" i="3" s="1"/>
  <c r="G196" i="3"/>
  <c r="J226" i="3"/>
  <c r="N226" i="3" s="1"/>
  <c r="H226" i="3"/>
  <c r="J235" i="3"/>
  <c r="N235" i="3" s="1"/>
  <c r="H235" i="3"/>
  <c r="J242" i="3"/>
  <c r="N242" i="3" s="1"/>
  <c r="J264" i="3"/>
  <c r="N264" i="3" s="1"/>
  <c r="H264" i="3"/>
  <c r="H265" i="3"/>
  <c r="J265" i="3"/>
  <c r="N265" i="3" s="1"/>
  <c r="H268" i="3"/>
  <c r="J268" i="3"/>
  <c r="N268" i="3" s="1"/>
  <c r="H273" i="3"/>
  <c r="J179" i="3"/>
  <c r="N179" i="3" s="1"/>
  <c r="H179" i="3"/>
  <c r="J258" i="3"/>
  <c r="N258" i="3" s="1"/>
  <c r="H258" i="3"/>
  <c r="H263" i="3"/>
  <c r="J263" i="3"/>
  <c r="N263" i="3" s="1"/>
  <c r="H272" i="3"/>
  <c r="J272" i="3"/>
  <c r="N272" i="3" s="1"/>
  <c r="H43" i="3"/>
  <c r="H47" i="3"/>
  <c r="J173" i="3"/>
  <c r="N173" i="3" s="1"/>
  <c r="H173" i="3"/>
  <c r="J178" i="3"/>
  <c r="N178" i="3" s="1"/>
  <c r="E216" i="3"/>
  <c r="D9" i="8" s="1"/>
  <c r="J191" i="3"/>
  <c r="N191" i="3" s="1"/>
  <c r="J207" i="3"/>
  <c r="N207" i="3" s="1"/>
  <c r="J223" i="3"/>
  <c r="N223" i="3" s="1"/>
  <c r="H223" i="3"/>
  <c r="J230" i="3"/>
  <c r="N230" i="3" s="1"/>
  <c r="H230" i="3"/>
  <c r="J236" i="3"/>
  <c r="N236" i="3" s="1"/>
  <c r="J239" i="3"/>
  <c r="N239" i="3" s="1"/>
  <c r="H239" i="3"/>
  <c r="J246" i="3"/>
  <c r="N246" i="3" s="1"/>
  <c r="H246" i="3"/>
  <c r="J267" i="3"/>
  <c r="N267" i="3" s="1"/>
  <c r="H267" i="3"/>
  <c r="D180" i="3"/>
  <c r="C8" i="8" s="1"/>
  <c r="G149" i="3"/>
  <c r="J153" i="3"/>
  <c r="N153" i="3" s="1"/>
  <c r="J167" i="3"/>
  <c r="N167" i="3" s="1"/>
  <c r="H168" i="3"/>
  <c r="J168" i="3"/>
  <c r="N168" i="3" s="1"/>
  <c r="F216" i="3"/>
  <c r="E9" i="8" s="1"/>
  <c r="J189" i="3"/>
  <c r="N189" i="3" s="1"/>
  <c r="H189" i="3"/>
  <c r="M252" i="3"/>
  <c r="J271" i="3"/>
  <c r="N271" i="3" s="1"/>
  <c r="H271" i="3"/>
  <c r="E180" i="3"/>
  <c r="D8" i="8" s="1"/>
  <c r="J166" i="3"/>
  <c r="N166" i="3" s="1"/>
  <c r="H166" i="3"/>
  <c r="J177" i="3"/>
  <c r="N177" i="3" s="1"/>
  <c r="H177" i="3"/>
  <c r="I216" i="3"/>
  <c r="G188" i="3"/>
  <c r="H194" i="3"/>
  <c r="H204" i="3"/>
  <c r="H206" i="3"/>
  <c r="J211" i="3"/>
  <c r="N211" i="3" s="1"/>
  <c r="J224" i="3"/>
  <c r="N224" i="3" s="1"/>
  <c r="J227" i="3"/>
  <c r="N227" i="3" s="1"/>
  <c r="H227" i="3"/>
  <c r="H229" i="3"/>
  <c r="J234" i="3"/>
  <c r="N234" i="3" s="1"/>
  <c r="H234" i="3"/>
  <c r="J240" i="3"/>
  <c r="N240" i="3" s="1"/>
  <c r="J243" i="3"/>
  <c r="N243" i="3" s="1"/>
  <c r="H243" i="3"/>
  <c r="H245" i="3"/>
  <c r="N248" i="3"/>
  <c r="J261" i="3"/>
  <c r="N261" i="3" s="1"/>
  <c r="H261" i="3"/>
  <c r="J275" i="3"/>
  <c r="N275" i="3" s="1"/>
  <c r="H275" i="3"/>
  <c r="E288" i="3"/>
  <c r="D11" i="8" s="1"/>
  <c r="J293" i="3"/>
  <c r="J296" i="3"/>
  <c r="N296" i="3" s="1"/>
  <c r="J303" i="3"/>
  <c r="N303" i="3" s="1"/>
  <c r="H303" i="3"/>
  <c r="J319" i="3"/>
  <c r="N319" i="3" s="1"/>
  <c r="H319" i="3"/>
  <c r="J330" i="3"/>
  <c r="N330" i="3" s="1"/>
  <c r="H330" i="3"/>
  <c r="J345" i="3"/>
  <c r="N345" i="3" s="1"/>
  <c r="H345" i="3"/>
  <c r="K396" i="3"/>
  <c r="J368" i="3"/>
  <c r="N368" i="3" s="1"/>
  <c r="H368" i="3"/>
  <c r="J370" i="3"/>
  <c r="N370" i="3" s="1"/>
  <c r="H370" i="3"/>
  <c r="J375" i="3"/>
  <c r="N375" i="3" s="1"/>
  <c r="H375" i="3"/>
  <c r="J384" i="3"/>
  <c r="N384" i="3" s="1"/>
  <c r="H384" i="3"/>
  <c r="J395" i="3"/>
  <c r="N395" i="3" s="1"/>
  <c r="H395" i="3"/>
  <c r="F288" i="3"/>
  <c r="E11" i="8" s="1"/>
  <c r="H282" i="3"/>
  <c r="H293" i="3"/>
  <c r="G302" i="3"/>
  <c r="G318" i="3"/>
  <c r="H332" i="3"/>
  <c r="J351" i="3"/>
  <c r="N351" i="3" s="1"/>
  <c r="J354" i="3"/>
  <c r="N354" i="3" s="1"/>
  <c r="H354" i="3"/>
  <c r="H356" i="3"/>
  <c r="G185" i="3"/>
  <c r="J278" i="3"/>
  <c r="N278" i="3" s="1"/>
  <c r="J279" i="3"/>
  <c r="N279" i="3" s="1"/>
  <c r="H279" i="3"/>
  <c r="J299" i="3"/>
  <c r="N299" i="3" s="1"/>
  <c r="H299" i="3"/>
  <c r="J311" i="3"/>
  <c r="N311" i="3" s="1"/>
  <c r="H311" i="3"/>
  <c r="J323" i="3"/>
  <c r="N323" i="3" s="1"/>
  <c r="H323" i="3"/>
  <c r="D360" i="3"/>
  <c r="C13" i="8" s="1"/>
  <c r="J342" i="3"/>
  <c r="N342" i="3" s="1"/>
  <c r="H342" i="3"/>
  <c r="J367" i="3"/>
  <c r="N367" i="3" s="1"/>
  <c r="H367" i="3"/>
  <c r="J379" i="3"/>
  <c r="N379" i="3" s="1"/>
  <c r="H379" i="3"/>
  <c r="J388" i="3"/>
  <c r="N388" i="3" s="1"/>
  <c r="H388" i="3"/>
  <c r="H257" i="3"/>
  <c r="H262" i="3"/>
  <c r="H269" i="3"/>
  <c r="H278" i="3"/>
  <c r="G287" i="3"/>
  <c r="K324" i="3"/>
  <c r="G298" i="3"/>
  <c r="H305" i="3"/>
  <c r="G310" i="3"/>
  <c r="H313" i="3"/>
  <c r="J322" i="3"/>
  <c r="N322" i="3" s="1"/>
  <c r="H322" i="3"/>
  <c r="J334" i="3"/>
  <c r="N334" i="3" s="1"/>
  <c r="H334" i="3"/>
  <c r="J349" i="3"/>
  <c r="N349" i="3" s="1"/>
  <c r="H349" i="3"/>
  <c r="J355" i="3"/>
  <c r="N355" i="3" s="1"/>
  <c r="J358" i="3"/>
  <c r="N358" i="3" s="1"/>
  <c r="H358" i="3"/>
  <c r="H365" i="3"/>
  <c r="J372" i="3"/>
  <c r="N372" i="3" s="1"/>
  <c r="H372" i="3"/>
  <c r="J374" i="3"/>
  <c r="N374" i="3" s="1"/>
  <c r="H374" i="3"/>
  <c r="J383" i="3"/>
  <c r="N383" i="3" s="1"/>
  <c r="H383" i="3"/>
  <c r="D252" i="3"/>
  <c r="C10" i="8" s="1"/>
  <c r="I288" i="3"/>
  <c r="M324" i="3"/>
  <c r="J295" i="3"/>
  <c r="N295" i="3" s="1"/>
  <c r="H295" i="3"/>
  <c r="J312" i="3"/>
  <c r="N312" i="3" s="1"/>
  <c r="H316" i="3"/>
  <c r="J316" i="3"/>
  <c r="N316" i="3" s="1"/>
  <c r="F360" i="3"/>
  <c r="E13" i="8" s="1"/>
  <c r="G329" i="3"/>
  <c r="J346" i="3"/>
  <c r="N346" i="3" s="1"/>
  <c r="H346" i="3"/>
  <c r="E396" i="3"/>
  <c r="D14" i="8" s="1"/>
  <c r="J392" i="3"/>
  <c r="N392" i="3" s="1"/>
  <c r="H392" i="3"/>
  <c r="J257" i="3"/>
  <c r="D324" i="3"/>
  <c r="C12" i="8" s="1"/>
  <c r="H301" i="3"/>
  <c r="J317" i="3"/>
  <c r="N317" i="3" s="1"/>
  <c r="H317" i="3"/>
  <c r="J353" i="3"/>
  <c r="N353" i="3" s="1"/>
  <c r="H353" i="3"/>
  <c r="H366" i="3"/>
  <c r="J387" i="3"/>
  <c r="N387" i="3" s="1"/>
  <c r="H387" i="3"/>
  <c r="G276" i="3"/>
  <c r="G283" i="3"/>
  <c r="E324" i="3"/>
  <c r="D12" i="8" s="1"/>
  <c r="G294" i="3"/>
  <c r="J307" i="3"/>
  <c r="N307" i="3" s="1"/>
  <c r="H307" i="3"/>
  <c r="J315" i="3"/>
  <c r="N315" i="3" s="1"/>
  <c r="H315" i="3"/>
  <c r="H320" i="3"/>
  <c r="J320" i="3"/>
  <c r="N320" i="3" s="1"/>
  <c r="J341" i="3"/>
  <c r="N341" i="3" s="1"/>
  <c r="H341" i="3"/>
  <c r="J347" i="3"/>
  <c r="N347" i="3" s="1"/>
  <c r="I396" i="3"/>
  <c r="J376" i="3"/>
  <c r="N376" i="3" s="1"/>
  <c r="H376" i="3"/>
  <c r="H377" i="3"/>
  <c r="J377" i="3"/>
  <c r="N377" i="3" s="1"/>
  <c r="J391" i="3"/>
  <c r="N391" i="3" s="1"/>
  <c r="M288" i="3"/>
  <c r="J280" i="3"/>
  <c r="N280" i="3" s="1"/>
  <c r="H280" i="3"/>
  <c r="J306" i="3"/>
  <c r="N306" i="3" s="1"/>
  <c r="H306" i="3"/>
  <c r="J314" i="3"/>
  <c r="N314" i="3" s="1"/>
  <c r="H314" i="3"/>
  <c r="J321" i="3"/>
  <c r="N321" i="3" s="1"/>
  <c r="H321" i="3"/>
  <c r="J333" i="3"/>
  <c r="N333" i="3" s="1"/>
  <c r="H333" i="3"/>
  <c r="J338" i="3"/>
  <c r="N338" i="3" s="1"/>
  <c r="H338" i="3"/>
  <c r="J350" i="3"/>
  <c r="N350" i="3" s="1"/>
  <c r="H350" i="3"/>
  <c r="J357" i="3"/>
  <c r="N357" i="3" s="1"/>
  <c r="H357" i="3"/>
  <c r="N365" i="3"/>
  <c r="J380" i="3"/>
  <c r="N380" i="3" s="1"/>
  <c r="H380" i="3"/>
  <c r="H381" i="3"/>
  <c r="J381" i="3"/>
  <c r="N381" i="3" s="1"/>
  <c r="H378" i="3"/>
  <c r="H382" i="3"/>
  <c r="H386" i="3"/>
  <c r="H390" i="3"/>
  <c r="H394" i="3"/>
  <c r="D396" i="3"/>
  <c r="C14" i="8" s="1"/>
  <c r="O19" i="55"/>
  <c r="O19" i="56"/>
  <c r="P13" i="57"/>
  <c r="O19" i="57"/>
  <c r="O19" i="59"/>
  <c r="O19" i="58"/>
  <c r="P8" i="61"/>
  <c r="P13" i="61"/>
  <c r="O19" i="61"/>
  <c r="O134" i="61" s="1"/>
  <c r="P134" i="61" s="1"/>
  <c r="P13" i="62"/>
  <c r="O19" i="62"/>
  <c r="O19" i="63"/>
  <c r="O19" i="64"/>
  <c r="O134" i="64" s="1"/>
  <c r="P8" i="64"/>
  <c r="O19" i="65"/>
  <c r="O19" i="66"/>
  <c r="O19" i="67"/>
  <c r="P13" i="68"/>
  <c r="O19" i="68"/>
  <c r="O13" i="69"/>
  <c r="O19" i="69" s="1"/>
  <c r="O13" i="70"/>
  <c r="P8" i="82"/>
  <c r="O19" i="82"/>
  <c r="O19" i="80"/>
  <c r="P8" i="80"/>
  <c r="O19" i="54"/>
  <c r="O19" i="53"/>
  <c r="O19" i="52"/>
  <c r="P8" i="52"/>
  <c r="O19" i="51"/>
  <c r="O13" i="50"/>
  <c r="P13" i="50" s="1"/>
  <c r="O19" i="49"/>
  <c r="O19" i="48"/>
  <c r="P13" i="47"/>
  <c r="O19" i="47"/>
  <c r="P8" i="47"/>
  <c r="N392" i="28"/>
  <c r="AG102" i="73"/>
  <c r="AO102" i="73"/>
  <c r="AW102" i="73"/>
  <c r="BE102" i="73"/>
  <c r="BM102" i="73"/>
  <c r="BU102" i="73"/>
  <c r="CC102" i="73"/>
  <c r="CK102" i="73"/>
  <c r="CS102" i="73"/>
  <c r="DA102" i="73"/>
  <c r="DI102" i="73"/>
  <c r="DQ102" i="73"/>
  <c r="DY102" i="73"/>
  <c r="AK102" i="73"/>
  <c r="AS102" i="73"/>
  <c r="BA102" i="73"/>
  <c r="BI102" i="73"/>
  <c r="BQ102" i="73"/>
  <c r="BY102" i="73"/>
  <c r="CG102" i="73"/>
  <c r="CO102" i="73"/>
  <c r="CW102" i="73"/>
  <c r="DE102" i="73"/>
  <c r="DM102" i="73"/>
  <c r="DU102" i="73"/>
  <c r="EC102" i="73"/>
  <c r="O134" i="65"/>
  <c r="P19" i="65"/>
  <c r="P18" i="65"/>
  <c r="O19" i="79"/>
  <c r="O136" i="82"/>
  <c r="P18" i="82"/>
  <c r="P18" i="54"/>
  <c r="P18" i="51"/>
  <c r="P18" i="53"/>
  <c r="AB102" i="73"/>
  <c r="AJ102" i="73"/>
  <c r="AR102" i="73"/>
  <c r="AZ102" i="73"/>
  <c r="BH102" i="73"/>
  <c r="BP102" i="73"/>
  <c r="BX102" i="73"/>
  <c r="CF102" i="73"/>
  <c r="CN102" i="73"/>
  <c r="CV102" i="73"/>
  <c r="DD102" i="73"/>
  <c r="DL102" i="73"/>
  <c r="DT102" i="73"/>
  <c r="EB102" i="73"/>
  <c r="AH102" i="73"/>
  <c r="AP102" i="73"/>
  <c r="AX102" i="73"/>
  <c r="BF102" i="73"/>
  <c r="BN102" i="73"/>
  <c r="BV102" i="73"/>
  <c r="CD102" i="73"/>
  <c r="CL102" i="73"/>
  <c r="CT102" i="73"/>
  <c r="DB102" i="73"/>
  <c r="DJ102" i="73"/>
  <c r="DR102" i="73"/>
  <c r="DZ102" i="73"/>
  <c r="EH102" i="73"/>
  <c r="AF102" i="73"/>
  <c r="AN102" i="73"/>
  <c r="AV102" i="73"/>
  <c r="BD102" i="73"/>
  <c r="BL102" i="73"/>
  <c r="BT102" i="73"/>
  <c r="CB102" i="73"/>
  <c r="CJ102" i="73"/>
  <c r="CR102" i="73"/>
  <c r="CZ102" i="73"/>
  <c r="DH102" i="73"/>
  <c r="DP102" i="73"/>
  <c r="DX102" i="73"/>
  <c r="EF102" i="73"/>
  <c r="EG102" i="73"/>
  <c r="O19" i="60"/>
  <c r="O136" i="55"/>
  <c r="P19" i="55"/>
  <c r="EK102" i="73"/>
  <c r="EJ95" i="73"/>
  <c r="EJ102" i="73" s="1"/>
  <c r="EE102" i="73"/>
  <c r="AI102" i="73"/>
  <c r="AQ102" i="73"/>
  <c r="AY102" i="73"/>
  <c r="BG102" i="73"/>
  <c r="BO102" i="73"/>
  <c r="BW102" i="73"/>
  <c r="CE102" i="73"/>
  <c r="CM102" i="73"/>
  <c r="CU102" i="73"/>
  <c r="DC102" i="73"/>
  <c r="DK102" i="73"/>
  <c r="DS102" i="73"/>
  <c r="EA102" i="73"/>
  <c r="EI102" i="73"/>
  <c r="H119" i="9"/>
  <c r="AI1512" i="75"/>
  <c r="AE102" i="73"/>
  <c r="AM102" i="73"/>
  <c r="AU102" i="73"/>
  <c r="BC102" i="73"/>
  <c r="BK102" i="73"/>
  <c r="BS102" i="73"/>
  <c r="CA102" i="73"/>
  <c r="CI102" i="73"/>
  <c r="CQ102" i="73"/>
  <c r="CY102" i="73"/>
  <c r="DG102" i="73"/>
  <c r="DO102" i="73"/>
  <c r="DW102" i="73"/>
  <c r="O87" i="73"/>
  <c r="AD102" i="73"/>
  <c r="AL102" i="73"/>
  <c r="AT102" i="73"/>
  <c r="BB102" i="73"/>
  <c r="BJ102" i="73"/>
  <c r="BR102" i="73"/>
  <c r="BZ102" i="73"/>
  <c r="CH102" i="73"/>
  <c r="CP102" i="73"/>
  <c r="CX102" i="73"/>
  <c r="DF102" i="73"/>
  <c r="DN102" i="73"/>
  <c r="DV102" i="73"/>
  <c r="ED102" i="73"/>
  <c r="EL102" i="73"/>
  <c r="E134" i="56"/>
  <c r="P8" i="46"/>
  <c r="O19" i="72"/>
  <c r="O142" i="72" s="1"/>
  <c r="P13" i="58" l="1"/>
  <c r="P13" i="80"/>
  <c r="H199" i="3"/>
  <c r="I13" i="79"/>
  <c r="I13" i="63"/>
  <c r="I19" i="63" s="1"/>
  <c r="I134" i="63" s="1"/>
  <c r="I137" i="63" s="1"/>
  <c r="J193" i="3"/>
  <c r="N193" i="3" s="1"/>
  <c r="I13" i="66"/>
  <c r="J195" i="3"/>
  <c r="N195" i="3" s="1"/>
  <c r="P8" i="60"/>
  <c r="J213" i="3"/>
  <c r="N213" i="3" s="1"/>
  <c r="H200" i="3"/>
  <c r="I13" i="70"/>
  <c r="I19" i="70" s="1"/>
  <c r="I134" i="70" s="1"/>
  <c r="I137" i="70" s="1"/>
  <c r="J190" i="3"/>
  <c r="N190" i="3" s="1"/>
  <c r="H212" i="3"/>
  <c r="H215" i="3"/>
  <c r="I13" i="54"/>
  <c r="I19" i="54" s="1"/>
  <c r="I136" i="54" s="1"/>
  <c r="I139" i="54" s="1"/>
  <c r="I13" i="49"/>
  <c r="I13" i="48"/>
  <c r="I19" i="48" s="1"/>
  <c r="I135" i="48" s="1"/>
  <c r="I138" i="48" s="1"/>
  <c r="P13" i="51"/>
  <c r="I19" i="60"/>
  <c r="I136" i="60" s="1"/>
  <c r="I139" i="60" s="1"/>
  <c r="P13" i="60"/>
  <c r="I19" i="56"/>
  <c r="I136" i="56" s="1"/>
  <c r="I139" i="56" s="1"/>
  <c r="P13" i="56"/>
  <c r="P8" i="56"/>
  <c r="P19" i="51"/>
  <c r="P13" i="59"/>
  <c r="J203" i="3"/>
  <c r="N203" i="3" s="1"/>
  <c r="H192" i="3"/>
  <c r="P19" i="82"/>
  <c r="P13" i="52"/>
  <c r="P13" i="82"/>
  <c r="I134" i="71"/>
  <c r="P19" i="71"/>
  <c r="P13" i="53"/>
  <c r="P19" i="53"/>
  <c r="P19" i="69"/>
  <c r="P13" i="70"/>
  <c r="P19" i="54"/>
  <c r="P13" i="54"/>
  <c r="P13" i="67"/>
  <c r="P13" i="63"/>
  <c r="P13" i="55"/>
  <c r="P13" i="81"/>
  <c r="I19" i="81"/>
  <c r="I136" i="47"/>
  <c r="I139" i="47" s="1"/>
  <c r="I20" i="47"/>
  <c r="P142" i="72"/>
  <c r="Q19" i="72"/>
  <c r="E145" i="72"/>
  <c r="P132" i="79"/>
  <c r="P132" i="80"/>
  <c r="P134" i="58"/>
  <c r="P134" i="60"/>
  <c r="P134" i="47"/>
  <c r="P133" i="48"/>
  <c r="P134" i="57"/>
  <c r="L139" i="57"/>
  <c r="O119" i="9"/>
  <c r="M432" i="3"/>
  <c r="N401" i="3"/>
  <c r="N432" i="3" s="1"/>
  <c r="H297" i="3"/>
  <c r="G396" i="3"/>
  <c r="J281" i="3"/>
  <c r="N281" i="3" s="1"/>
  <c r="J19" i="3"/>
  <c r="N19" i="3" s="1"/>
  <c r="P19" i="3" s="1"/>
  <c r="C16" i="8"/>
  <c r="G252" i="3"/>
  <c r="H7" i="8"/>
  <c r="AC33" i="73"/>
  <c r="J202" i="3"/>
  <c r="N202" i="3" s="1"/>
  <c r="H202" i="3"/>
  <c r="H6" i="8"/>
  <c r="AC32" i="73"/>
  <c r="H232" i="3"/>
  <c r="J232" i="3"/>
  <c r="N232" i="3" s="1"/>
  <c r="H343" i="3"/>
  <c r="J343" i="3"/>
  <c r="N343" i="3" s="1"/>
  <c r="H161" i="3"/>
  <c r="J161" i="3"/>
  <c r="N161" i="3" s="1"/>
  <c r="G288" i="3"/>
  <c r="F11" i="8" s="1"/>
  <c r="H12" i="3"/>
  <c r="J9" i="8"/>
  <c r="AE35" i="73"/>
  <c r="L7" i="8"/>
  <c r="AF33" i="73"/>
  <c r="H209" i="3"/>
  <c r="J209" i="3"/>
  <c r="N209" i="3" s="1"/>
  <c r="L13" i="8"/>
  <c r="AF39" i="73"/>
  <c r="L8" i="8"/>
  <c r="AF34" i="73"/>
  <c r="H284" i="3"/>
  <c r="H175" i="3"/>
  <c r="H105" i="3"/>
  <c r="H221" i="3"/>
  <c r="H30" i="3"/>
  <c r="H102" i="3"/>
  <c r="H81" i="3"/>
  <c r="L6" i="8"/>
  <c r="AF32" i="73"/>
  <c r="H163" i="3"/>
  <c r="J163" i="3"/>
  <c r="N163" i="3" s="1"/>
  <c r="L5" i="8"/>
  <c r="AF31" i="73"/>
  <c r="H371" i="3"/>
  <c r="H396" i="3" s="1"/>
  <c r="G14" i="8" s="1"/>
  <c r="E16" i="8"/>
  <c r="H337" i="3"/>
  <c r="J221" i="3"/>
  <c r="D16" i="8"/>
  <c r="H160" i="3"/>
  <c r="J139" i="3"/>
  <c r="N139" i="3" s="1"/>
  <c r="H46" i="3"/>
  <c r="H72" i="3" s="1"/>
  <c r="G5" i="8" s="1"/>
  <c r="J128" i="3"/>
  <c r="N128" i="3" s="1"/>
  <c r="H128" i="3"/>
  <c r="H228" i="3"/>
  <c r="J228" i="3"/>
  <c r="N228" i="3" s="1"/>
  <c r="J371" i="3"/>
  <c r="N371" i="3" s="1"/>
  <c r="N396" i="3" s="1"/>
  <c r="J99" i="3"/>
  <c r="N99" i="3" s="1"/>
  <c r="H162" i="3"/>
  <c r="J340" i="3"/>
  <c r="N340" i="3" s="1"/>
  <c r="H340" i="3"/>
  <c r="J225" i="3"/>
  <c r="N225" i="3" s="1"/>
  <c r="H225" i="3"/>
  <c r="H205" i="3"/>
  <c r="J205" i="3"/>
  <c r="N205" i="3" s="1"/>
  <c r="H12" i="8"/>
  <c r="AC38" i="73"/>
  <c r="J10" i="8"/>
  <c r="AE36" i="73"/>
  <c r="H13" i="8"/>
  <c r="I361" i="3"/>
  <c r="AC39" i="73"/>
  <c r="J64" i="3"/>
  <c r="N64" i="3" s="1"/>
  <c r="H78" i="3"/>
  <c r="H127" i="3"/>
  <c r="J127" i="3"/>
  <c r="N127" i="3" s="1"/>
  <c r="H359" i="3"/>
  <c r="J359" i="3"/>
  <c r="N359" i="3" s="1"/>
  <c r="L14" i="8"/>
  <c r="AF40" i="73"/>
  <c r="J13" i="8"/>
  <c r="AE39" i="73"/>
  <c r="J344" i="3"/>
  <c r="N344" i="3" s="1"/>
  <c r="H344" i="3"/>
  <c r="AB37" i="73"/>
  <c r="J294" i="3"/>
  <c r="N294" i="3" s="1"/>
  <c r="H294" i="3"/>
  <c r="J12" i="8"/>
  <c r="AE38" i="73"/>
  <c r="J302" i="3"/>
  <c r="N302" i="3" s="1"/>
  <c r="H302" i="3"/>
  <c r="N293" i="3"/>
  <c r="J5" i="8"/>
  <c r="AE31" i="73"/>
  <c r="E36" i="73" s="1"/>
  <c r="K397" i="3"/>
  <c r="AE40" i="73"/>
  <c r="J11" i="8"/>
  <c r="AE37" i="73"/>
  <c r="J287" i="3"/>
  <c r="N287" i="3" s="1"/>
  <c r="H287" i="3"/>
  <c r="J185" i="3"/>
  <c r="H185" i="3"/>
  <c r="G216" i="3"/>
  <c r="G324" i="3"/>
  <c r="L9" i="8"/>
  <c r="AF35" i="73"/>
  <c r="J77" i="3"/>
  <c r="G108" i="3"/>
  <c r="H5" i="8"/>
  <c r="AC31" i="73"/>
  <c r="E32" i="73" s="1"/>
  <c r="J41" i="3"/>
  <c r="G72" i="3"/>
  <c r="J28" i="3"/>
  <c r="N28" i="3" s="1"/>
  <c r="P28" i="3" s="1"/>
  <c r="H28" i="3"/>
  <c r="L4" i="8"/>
  <c r="AF30" i="73"/>
  <c r="J7" i="8"/>
  <c r="AE33" i="73"/>
  <c r="J283" i="3"/>
  <c r="N283" i="3" s="1"/>
  <c r="H283" i="3"/>
  <c r="J22" i="3"/>
  <c r="N22" i="3" s="1"/>
  <c r="P22" i="3" s="1"/>
  <c r="H22" i="3"/>
  <c r="J6" i="8"/>
  <c r="AE32" i="73"/>
  <c r="J8" i="8"/>
  <c r="AE34" i="73"/>
  <c r="N221" i="3"/>
  <c r="H276" i="3"/>
  <c r="J276" i="3"/>
  <c r="N276" i="3" s="1"/>
  <c r="J188" i="3"/>
  <c r="N188" i="3" s="1"/>
  <c r="H188" i="3"/>
  <c r="H20" i="3"/>
  <c r="J20" i="3"/>
  <c r="N20" i="3" s="1"/>
  <c r="P20" i="3" s="1"/>
  <c r="G37" i="3"/>
  <c r="J6" i="3"/>
  <c r="J125" i="3"/>
  <c r="N125" i="3" s="1"/>
  <c r="H125" i="3"/>
  <c r="L12" i="8"/>
  <c r="AF38" i="73"/>
  <c r="H9" i="8"/>
  <c r="AC35" i="73"/>
  <c r="L10" i="8"/>
  <c r="AF36" i="73"/>
  <c r="J196" i="3"/>
  <c r="N196" i="3" s="1"/>
  <c r="H196" i="3"/>
  <c r="J113" i="3"/>
  <c r="G144" i="3"/>
  <c r="J14" i="3"/>
  <c r="N14" i="3" s="1"/>
  <c r="P14" i="3" s="1"/>
  <c r="H14" i="3"/>
  <c r="G360" i="3"/>
  <c r="J329" i="3"/>
  <c r="H329" i="3"/>
  <c r="J310" i="3"/>
  <c r="N310" i="3" s="1"/>
  <c r="H310" i="3"/>
  <c r="J149" i="3"/>
  <c r="G180" i="3"/>
  <c r="J121" i="3"/>
  <c r="N121" i="3" s="1"/>
  <c r="H121" i="3"/>
  <c r="H14" i="8"/>
  <c r="AC40" i="73"/>
  <c r="H8" i="8"/>
  <c r="AC34" i="73"/>
  <c r="L11" i="8"/>
  <c r="AF37" i="73"/>
  <c r="N257" i="3"/>
  <c r="H11" i="8"/>
  <c r="AC37" i="73"/>
  <c r="F14" i="8"/>
  <c r="AB40" i="73"/>
  <c r="J298" i="3"/>
  <c r="N298" i="3" s="1"/>
  <c r="H298" i="3"/>
  <c r="J318" i="3"/>
  <c r="N318" i="3" s="1"/>
  <c r="H318" i="3"/>
  <c r="F10" i="8"/>
  <c r="AB36" i="73"/>
  <c r="J117" i="3"/>
  <c r="N117" i="3" s="1"/>
  <c r="H117" i="3"/>
  <c r="P19" i="56"/>
  <c r="O136" i="56"/>
  <c r="O136" i="57"/>
  <c r="P19" i="57"/>
  <c r="O136" i="59"/>
  <c r="P19" i="59"/>
  <c r="O136" i="58"/>
  <c r="P19" i="58"/>
  <c r="P19" i="61"/>
  <c r="O137" i="61"/>
  <c r="P137" i="61" s="1"/>
  <c r="O134" i="62"/>
  <c r="P19" i="62"/>
  <c r="O134" i="63"/>
  <c r="P19" i="63"/>
  <c r="P19" i="64"/>
  <c r="O134" i="66"/>
  <c r="O134" i="67"/>
  <c r="P19" i="67"/>
  <c r="O134" i="68"/>
  <c r="P19" i="68"/>
  <c r="P13" i="69"/>
  <c r="O134" i="69"/>
  <c r="P134" i="69" s="1"/>
  <c r="O19" i="70"/>
  <c r="P19" i="70" s="1"/>
  <c r="O134" i="70"/>
  <c r="O134" i="80"/>
  <c r="P19" i="80"/>
  <c r="O136" i="54"/>
  <c r="O139" i="54" s="1"/>
  <c r="P139" i="54" s="1"/>
  <c r="O134" i="53"/>
  <c r="O134" i="52"/>
  <c r="P19" i="52"/>
  <c r="O134" i="51"/>
  <c r="P134" i="51" s="1"/>
  <c r="O19" i="50"/>
  <c r="O134" i="50" s="1"/>
  <c r="O137" i="49"/>
  <c r="P19" i="48"/>
  <c r="O135" i="48"/>
  <c r="P19" i="47"/>
  <c r="O136" i="47"/>
  <c r="O420" i="28"/>
  <c r="N420" i="28"/>
  <c r="P134" i="64"/>
  <c r="O137" i="64"/>
  <c r="P137" i="64" s="1"/>
  <c r="O137" i="65"/>
  <c r="P137" i="65" s="1"/>
  <c r="P134" i="65"/>
  <c r="O134" i="79"/>
  <c r="P136" i="82"/>
  <c r="O139" i="82"/>
  <c r="P139" i="82" s="1"/>
  <c r="O137" i="53"/>
  <c r="P137" i="53" s="1"/>
  <c r="P134" i="53"/>
  <c r="O136" i="60"/>
  <c r="O139" i="55"/>
  <c r="P139" i="55" s="1"/>
  <c r="P136" i="55"/>
  <c r="O145" i="72"/>
  <c r="O150" i="72" s="1"/>
  <c r="P134" i="56"/>
  <c r="E139" i="56"/>
  <c r="O19" i="46"/>
  <c r="P13" i="46"/>
  <c r="P13" i="48" l="1"/>
  <c r="I19" i="66"/>
  <c r="P13" i="66"/>
  <c r="I19" i="79"/>
  <c r="P13" i="79"/>
  <c r="P19" i="60"/>
  <c r="I19" i="49"/>
  <c r="P13" i="49"/>
  <c r="I134" i="81"/>
  <c r="P19" i="81"/>
  <c r="P134" i="71"/>
  <c r="I137" i="71"/>
  <c r="P137" i="71" s="1"/>
  <c r="E34" i="73"/>
  <c r="L15" i="8"/>
  <c r="M15" i="8" s="1"/>
  <c r="AF41" i="73"/>
  <c r="AG41" i="73" s="1"/>
  <c r="H288" i="3"/>
  <c r="G11" i="8" s="1"/>
  <c r="N288" i="3"/>
  <c r="N289" i="3" s="1"/>
  <c r="H180" i="3"/>
  <c r="G8" i="8" s="1"/>
  <c r="J252" i="3"/>
  <c r="J288" i="3"/>
  <c r="I11" i="8" s="1"/>
  <c r="M11" i="8" s="1"/>
  <c r="N252" i="3"/>
  <c r="J396" i="3"/>
  <c r="AD40" i="73" s="1"/>
  <c r="AG40" i="73" s="1"/>
  <c r="H108" i="3"/>
  <c r="G6" i="8" s="1"/>
  <c r="H252" i="3"/>
  <c r="G10" i="8" s="1"/>
  <c r="AE42" i="73"/>
  <c r="E18" i="73" s="1"/>
  <c r="H324" i="3"/>
  <c r="G12" i="8" s="1"/>
  <c r="H360" i="3"/>
  <c r="G13" i="8" s="1"/>
  <c r="H144" i="3"/>
  <c r="G7" i="8" s="1"/>
  <c r="AC42" i="73"/>
  <c r="E12" i="73" s="1"/>
  <c r="H37" i="3"/>
  <c r="G4" i="8" s="1"/>
  <c r="H16" i="8"/>
  <c r="F7" i="8"/>
  <c r="AB33" i="73"/>
  <c r="G361" i="3"/>
  <c r="F13" i="8"/>
  <c r="AB39" i="73"/>
  <c r="J72" i="3"/>
  <c r="N41" i="3"/>
  <c r="N72" i="3" s="1"/>
  <c r="M5" i="8" s="1"/>
  <c r="F9" i="8"/>
  <c r="AB35" i="73"/>
  <c r="E38" i="73"/>
  <c r="P35" i="73"/>
  <c r="P64" i="73"/>
  <c r="P37" i="73"/>
  <c r="K65" i="73"/>
  <c r="K55" i="73"/>
  <c r="K41" i="73"/>
  <c r="P73" i="73"/>
  <c r="K46" i="73"/>
  <c r="K78" i="73"/>
  <c r="P62" i="73"/>
  <c r="K34" i="73"/>
  <c r="P67" i="73"/>
  <c r="K60" i="73"/>
  <c r="P66" i="73"/>
  <c r="K37" i="73"/>
  <c r="P72" i="73"/>
  <c r="K39" i="73"/>
  <c r="K73" i="73"/>
  <c r="K71" i="73"/>
  <c r="P49" i="73"/>
  <c r="P81" i="73"/>
  <c r="K54" i="73"/>
  <c r="P31" i="73"/>
  <c r="P70" i="73"/>
  <c r="P43" i="73"/>
  <c r="P75" i="73"/>
  <c r="K68" i="73"/>
  <c r="P42" i="73"/>
  <c r="P44" i="73"/>
  <c r="P76" i="73"/>
  <c r="K45" i="73"/>
  <c r="K77" i="73"/>
  <c r="K83" i="73"/>
  <c r="P53" i="73"/>
  <c r="P85" i="73"/>
  <c r="K58" i="73"/>
  <c r="K32" i="73"/>
  <c r="P74" i="73"/>
  <c r="K51" i="73"/>
  <c r="P47" i="73"/>
  <c r="P79" i="73"/>
  <c r="K75" i="73"/>
  <c r="K72" i="73"/>
  <c r="P68" i="73"/>
  <c r="K82" i="73"/>
  <c r="P48" i="73"/>
  <c r="P80" i="73"/>
  <c r="K49" i="73"/>
  <c r="K81" i="73"/>
  <c r="P32" i="73"/>
  <c r="K30" i="73"/>
  <c r="P57" i="73"/>
  <c r="P30" i="73"/>
  <c r="K62" i="73"/>
  <c r="P46" i="73"/>
  <c r="P78" i="73"/>
  <c r="K59" i="73"/>
  <c r="P51" i="73"/>
  <c r="P83" i="73"/>
  <c r="K44" i="73"/>
  <c r="K76" i="73"/>
  <c r="P29" i="73"/>
  <c r="K36" i="73"/>
  <c r="K38" i="73"/>
  <c r="K63" i="73"/>
  <c r="K50" i="73"/>
  <c r="K64" i="73"/>
  <c r="K33" i="73"/>
  <c r="P52" i="73"/>
  <c r="P84" i="73"/>
  <c r="K53" i="73"/>
  <c r="K85" i="73"/>
  <c r="K42" i="73"/>
  <c r="P38" i="73"/>
  <c r="P61" i="73"/>
  <c r="K31" i="73"/>
  <c r="K66" i="73"/>
  <c r="P50" i="73"/>
  <c r="P82" i="73"/>
  <c r="K67" i="73"/>
  <c r="P55" i="73"/>
  <c r="K48" i="73"/>
  <c r="K80" i="73"/>
  <c r="P45" i="73"/>
  <c r="P71" i="73"/>
  <c r="K35" i="73"/>
  <c r="P56" i="73"/>
  <c r="P34" i="73"/>
  <c r="K57" i="73"/>
  <c r="K43" i="73"/>
  <c r="P39" i="73"/>
  <c r="P65" i="73"/>
  <c r="P40" i="73"/>
  <c r="K70" i="73"/>
  <c r="P54" i="73"/>
  <c r="K86" i="73"/>
  <c r="K79" i="73"/>
  <c r="P59" i="73"/>
  <c r="K52" i="73"/>
  <c r="K84" i="73"/>
  <c r="P77" i="73"/>
  <c r="K29" i="73"/>
  <c r="P60" i="73"/>
  <c r="P36" i="73"/>
  <c r="K61" i="73"/>
  <c r="K47" i="73"/>
  <c r="K40" i="73"/>
  <c r="P69" i="73"/>
  <c r="P41" i="73"/>
  <c r="K74" i="73"/>
  <c r="P58" i="73"/>
  <c r="P33" i="73"/>
  <c r="P63" i="73"/>
  <c r="K56" i="73"/>
  <c r="K69" i="73"/>
  <c r="F6" i="8"/>
  <c r="AB32" i="73"/>
  <c r="F8" i="8"/>
  <c r="AB34" i="73"/>
  <c r="J108" i="3"/>
  <c r="N77" i="3"/>
  <c r="N108" i="3" s="1"/>
  <c r="J16" i="8"/>
  <c r="J144" i="3"/>
  <c r="N113" i="3"/>
  <c r="N144" i="3" s="1"/>
  <c r="H216" i="3"/>
  <c r="G9" i="8" s="1"/>
  <c r="AF42" i="73"/>
  <c r="E14" i="73" s="1"/>
  <c r="J216" i="3"/>
  <c r="N185" i="3"/>
  <c r="N216" i="3" s="1"/>
  <c r="J180" i="3"/>
  <c r="N149" i="3"/>
  <c r="N180" i="3" s="1"/>
  <c r="N182" i="3" s="1"/>
  <c r="J37" i="3"/>
  <c r="N6" i="3"/>
  <c r="J324" i="3"/>
  <c r="N329" i="3"/>
  <c r="N360" i="3" s="1"/>
  <c r="N361" i="3" s="1"/>
  <c r="J360" i="3"/>
  <c r="F4" i="8"/>
  <c r="AB30" i="73"/>
  <c r="N324" i="3"/>
  <c r="I10" i="8"/>
  <c r="M10" i="8" s="1"/>
  <c r="AD36" i="73"/>
  <c r="AG36" i="73" s="1"/>
  <c r="F5" i="8"/>
  <c r="AB31" i="73"/>
  <c r="E31" i="73" s="1"/>
  <c r="E33" i="73" s="1"/>
  <c r="F12" i="8"/>
  <c r="AB38" i="73"/>
  <c r="P136" i="56"/>
  <c r="O139" i="56"/>
  <c r="P139" i="56" s="1"/>
  <c r="P136" i="57"/>
  <c r="O139" i="57"/>
  <c r="P136" i="59"/>
  <c r="O139" i="59"/>
  <c r="P139" i="59" s="1"/>
  <c r="P136" i="58"/>
  <c r="O139" i="58"/>
  <c r="P139" i="58" s="1"/>
  <c r="P134" i="62"/>
  <c r="O137" i="62"/>
  <c r="P137" i="62" s="1"/>
  <c r="O137" i="63"/>
  <c r="P137" i="63" s="1"/>
  <c r="P134" i="63"/>
  <c r="O137" i="66"/>
  <c r="P134" i="67"/>
  <c r="O137" i="67"/>
  <c r="P137" i="67" s="1"/>
  <c r="O137" i="68"/>
  <c r="P137" i="68" s="1"/>
  <c r="P134" i="68"/>
  <c r="O137" i="69"/>
  <c r="P137" i="69" s="1"/>
  <c r="P134" i="70"/>
  <c r="O137" i="70"/>
  <c r="P137" i="70" s="1"/>
  <c r="P134" i="80"/>
  <c r="O137" i="80"/>
  <c r="P137" i="80" s="1"/>
  <c r="P136" i="54"/>
  <c r="P134" i="52"/>
  <c r="O137" i="52"/>
  <c r="P137" i="52" s="1"/>
  <c r="O137" i="51"/>
  <c r="P137" i="51" s="1"/>
  <c r="P19" i="50"/>
  <c r="O140" i="49"/>
  <c r="P135" i="48"/>
  <c r="O138" i="48"/>
  <c r="P138" i="48" s="1"/>
  <c r="P136" i="47"/>
  <c r="O139" i="47"/>
  <c r="P139" i="47" s="1"/>
  <c r="O137" i="79"/>
  <c r="P134" i="50"/>
  <c r="O137" i="50"/>
  <c r="P137" i="50" s="1"/>
  <c r="O139" i="60"/>
  <c r="P139" i="60" s="1"/>
  <c r="P136" i="60"/>
  <c r="E144" i="56"/>
  <c r="O136" i="46"/>
  <c r="P19" i="46"/>
  <c r="I134" i="79" l="1"/>
  <c r="P19" i="79"/>
  <c r="I134" i="66"/>
  <c r="P19" i="66"/>
  <c r="I137" i="49"/>
  <c r="P19" i="49"/>
  <c r="P134" i="81"/>
  <c r="I137" i="81"/>
  <c r="P137" i="81" s="1"/>
  <c r="E35" i="73"/>
  <c r="E40" i="73" s="1"/>
  <c r="L16" i="8"/>
  <c r="I14" i="8"/>
  <c r="M14" i="8" s="1"/>
  <c r="AD37" i="73"/>
  <c r="AG37" i="73" s="1"/>
  <c r="G16" i="8"/>
  <c r="F16" i="8"/>
  <c r="N37" i="3"/>
  <c r="P6" i="3"/>
  <c r="AB42" i="73"/>
  <c r="E11" i="73" s="1"/>
  <c r="E13" i="73" s="1"/>
  <c r="E15" i="73" s="1"/>
  <c r="E22" i="73" s="1"/>
  <c r="I8" i="8"/>
  <c r="M8" i="8" s="1"/>
  <c r="AD34" i="73"/>
  <c r="AG34" i="73" s="1"/>
  <c r="I13" i="8"/>
  <c r="M13" i="8" s="1"/>
  <c r="AD39" i="73"/>
  <c r="AG39" i="73" s="1"/>
  <c r="I9" i="8"/>
  <c r="M9" i="8" s="1"/>
  <c r="AD35" i="73"/>
  <c r="AG35" i="73" s="1"/>
  <c r="I6" i="8"/>
  <c r="M6" i="8" s="1"/>
  <c r="AD32" i="73"/>
  <c r="AG32" i="73" s="1"/>
  <c r="I12" i="8"/>
  <c r="M12" i="8" s="1"/>
  <c r="AD38" i="73"/>
  <c r="AG38" i="73" s="1"/>
  <c r="I4" i="8"/>
  <c r="AD30" i="73"/>
  <c r="I7" i="8"/>
  <c r="M7" i="8" s="1"/>
  <c r="AD33" i="73"/>
  <c r="AG33" i="73" s="1"/>
  <c r="I5" i="8"/>
  <c r="AD31" i="73"/>
  <c r="AG31" i="73" s="1"/>
  <c r="P139" i="57"/>
  <c r="O139" i="46"/>
  <c r="P139" i="46" s="1"/>
  <c r="P136" i="46"/>
  <c r="I137" i="66" l="1"/>
  <c r="P137" i="66" s="1"/>
  <c r="P134" i="66"/>
  <c r="I137" i="79"/>
  <c r="P137" i="79" s="1"/>
  <c r="P134" i="79"/>
  <c r="I140" i="49"/>
  <c r="P140" i="49" s="1"/>
  <c r="P137" i="49"/>
  <c r="I16" i="8"/>
  <c r="AD42" i="73"/>
  <c r="AG30" i="73"/>
  <c r="AG42" i="73" s="1"/>
  <c r="M4" i="8"/>
  <c r="M16" i="8" s="1"/>
  <c r="P37" i="3"/>
  <c r="F140" i="72" l="1"/>
  <c r="F150" i="72" l="1"/>
  <c r="F145" i="72"/>
  <c r="P140" i="72"/>
  <c r="P145" i="72" s="1"/>
</calcChain>
</file>

<file path=xl/sharedStrings.xml><?xml version="1.0" encoding="utf-8"?>
<sst xmlns="http://schemas.openxmlformats.org/spreadsheetml/2006/main" count="11609" uniqueCount="404">
  <si>
    <t>يناير</t>
  </si>
  <si>
    <t>فبراير</t>
  </si>
  <si>
    <t>مارس</t>
  </si>
  <si>
    <t>ابريل</t>
  </si>
  <si>
    <t>مايو</t>
  </si>
  <si>
    <t>يونيو</t>
  </si>
  <si>
    <t>يوليو</t>
  </si>
  <si>
    <t>اغسطس</t>
  </si>
  <si>
    <t>سبتمبر</t>
  </si>
  <si>
    <t>اكتوبر</t>
  </si>
  <si>
    <t>نوفمبر</t>
  </si>
  <si>
    <t>ديسمبر</t>
  </si>
  <si>
    <t>متوسط المبيعات</t>
  </si>
  <si>
    <t>تكلفة المبيعات</t>
  </si>
  <si>
    <t>مجمل الربح</t>
  </si>
  <si>
    <t>المصروفات العمومية</t>
  </si>
  <si>
    <t>الأيرادات الأخرى</t>
  </si>
  <si>
    <t>صافى الربح</t>
  </si>
  <si>
    <t>الأجمالى</t>
  </si>
  <si>
    <t>أجمالى المبيعات</t>
  </si>
  <si>
    <t xml:space="preserve">نقدى </t>
  </si>
  <si>
    <t>دليفرى</t>
  </si>
  <si>
    <t>أجل</t>
  </si>
  <si>
    <t>المصروف</t>
  </si>
  <si>
    <t>أكتوبر</t>
  </si>
  <si>
    <t>البطل</t>
  </si>
  <si>
    <t>الكهرباء</t>
  </si>
  <si>
    <t>المياه</t>
  </si>
  <si>
    <t>مزايا عاملين</t>
  </si>
  <si>
    <t>مصروفات نثرية</t>
  </si>
  <si>
    <t>مصروفات بنكية</t>
  </si>
  <si>
    <t>مستلزمات نظافة</t>
  </si>
  <si>
    <t>نصيبه من مصروفات الأدارة</t>
  </si>
  <si>
    <t>مستلزمات كمبيوتر</t>
  </si>
  <si>
    <t>الفرع</t>
  </si>
  <si>
    <t xml:space="preserve"> مصروفات الأدارة</t>
  </si>
  <si>
    <t>العجوزة</t>
  </si>
  <si>
    <t>رايه</t>
  </si>
  <si>
    <t>حازم حسن</t>
  </si>
  <si>
    <t>م</t>
  </si>
  <si>
    <t>مرتبات الادارة</t>
  </si>
  <si>
    <t>مرتبات الفروع</t>
  </si>
  <si>
    <t>التليفون الارضي</t>
  </si>
  <si>
    <t>الايجار - الصيدلية</t>
  </si>
  <si>
    <t>الايجار - الادارة</t>
  </si>
  <si>
    <t>ايجارات متنوعه</t>
  </si>
  <si>
    <t>فواتير الموبايل</t>
  </si>
  <si>
    <t>مكافات مبيعات الادوية</t>
  </si>
  <si>
    <t>مكافات مبيعات التجميل</t>
  </si>
  <si>
    <t>بوفية وضيافة</t>
  </si>
  <si>
    <t>ورق طباعة</t>
  </si>
  <si>
    <t>بكر طباعة ريسيت</t>
  </si>
  <si>
    <t>بكر طباعة باركود</t>
  </si>
  <si>
    <t>اكراميات</t>
  </si>
  <si>
    <t>تأمينات اجتماعية</t>
  </si>
  <si>
    <t>رسوم نظافة</t>
  </si>
  <si>
    <t>تامين على الصيدلية</t>
  </si>
  <si>
    <t>اصلاح وصيانة التكييفات</t>
  </si>
  <si>
    <t>اصلاح وصيانة الكهرباء</t>
  </si>
  <si>
    <t>اصلاح وصيانة السباكة</t>
  </si>
  <si>
    <t>اصلاح وصيانة اثاث وديكور</t>
  </si>
  <si>
    <t>اصلاح وصيانة اخرى</t>
  </si>
  <si>
    <t>مكافات</t>
  </si>
  <si>
    <t>هدايا ومزايا عينية</t>
  </si>
  <si>
    <t>تارجت الفروع</t>
  </si>
  <si>
    <t>اتعاب استشارات محاسبية</t>
  </si>
  <si>
    <t>اتعاب محاماة</t>
  </si>
  <si>
    <t>شنط صيدلية</t>
  </si>
  <si>
    <t>اشتراك الخط الساخن</t>
  </si>
  <si>
    <t>ملابس عاملين</t>
  </si>
  <si>
    <t>وجبات عاملين</t>
  </si>
  <si>
    <t>انتقالات عمومية</t>
  </si>
  <si>
    <t>زيت السيارات</t>
  </si>
  <si>
    <t>صيانة السيارات - التوكيل</t>
  </si>
  <si>
    <t>اصلاح السيارات</t>
  </si>
  <si>
    <t>تجديد رخص السيارت</t>
  </si>
  <si>
    <t>اجور ومرتبات - ايام دعاية</t>
  </si>
  <si>
    <t>كهرباء - ايام دعاية</t>
  </si>
  <si>
    <t>بنزين وزيت - ايام دعاية</t>
  </si>
  <si>
    <t>عمولات - ايام دعاية</t>
  </si>
  <si>
    <t>ايجارات - ايام دعاية</t>
  </si>
  <si>
    <t>نقل البضاعة - ايام دعاية</t>
  </si>
  <si>
    <t>اعلان ودعاية - ايام دعاية</t>
  </si>
  <si>
    <t>اكراميات - ايام دعاية</t>
  </si>
  <si>
    <t>وجبات وانتقال - ايام دعاية</t>
  </si>
  <si>
    <t>مكافات لجنة الجرد</t>
  </si>
  <si>
    <t>انتقالات لجنة الجرد</t>
  </si>
  <si>
    <t>وجبات لجنة الجرد</t>
  </si>
  <si>
    <t>مسروقات</t>
  </si>
  <si>
    <t>غرامات</t>
  </si>
  <si>
    <t>صيانة اجهزة كمبيوتر</t>
  </si>
  <si>
    <t>مطبوعات ورقية</t>
  </si>
  <si>
    <t>شحن بضاعة</t>
  </si>
  <si>
    <t>عيديات ومناسبات</t>
  </si>
  <si>
    <t>بدلات متنوعه</t>
  </si>
  <si>
    <t>اجهزة ومستلزمات متنوعه</t>
  </si>
  <si>
    <t>احبار طابعات</t>
  </si>
  <si>
    <t>الانترنت</t>
  </si>
  <si>
    <t>مصروف اهلاك مباني وانشاءات</t>
  </si>
  <si>
    <t>مصروف اهلاك سيارات</t>
  </si>
  <si>
    <t>مصروف اهلاك اثاث ومكاتب</t>
  </si>
  <si>
    <t>مصروف اهلاك اجهزة تكييف</t>
  </si>
  <si>
    <t>مصروف اهلاك اجهزة كمبيوتر ومستلزماتها</t>
  </si>
  <si>
    <t>مصروف اهلاك برامج كمبيوتر</t>
  </si>
  <si>
    <t>مصروف اهلاك اجهزة كهربائية</t>
  </si>
  <si>
    <t>مصروف اهلاك تجهيزات وديكور</t>
  </si>
  <si>
    <t>الضرائب العامة</t>
  </si>
  <si>
    <t>الضرائب العقارية</t>
  </si>
  <si>
    <t>خصم نقاط العملاء</t>
  </si>
  <si>
    <t>عقود صيانة وتوصيل مرافق</t>
  </si>
  <si>
    <t>مصروفات تأسيس</t>
  </si>
  <si>
    <t>خصومات اضافية للعملاء</t>
  </si>
  <si>
    <t>هوالك وتوالف</t>
  </si>
  <si>
    <t xml:space="preserve">عجز جرد </t>
  </si>
  <si>
    <t>المبيعات</t>
  </si>
  <si>
    <t>نقدى</t>
  </si>
  <si>
    <t>اجل</t>
  </si>
  <si>
    <t xml:space="preserve">خصم نقدى </t>
  </si>
  <si>
    <t>فائض جرد</t>
  </si>
  <si>
    <t xml:space="preserve">ايرادات اخرى </t>
  </si>
  <si>
    <t>تكلفة البضاعة المباعة</t>
  </si>
  <si>
    <t>عجز جرد مخزن</t>
  </si>
  <si>
    <t xml:space="preserve">ارباح صرف اصناف بيع اصول </t>
  </si>
  <si>
    <t>حازم</t>
  </si>
  <si>
    <t>الخارجية</t>
  </si>
  <si>
    <t>فائض كاشير</t>
  </si>
  <si>
    <t>ارباح بيع اصول</t>
  </si>
  <si>
    <t>ارباح استبدال</t>
  </si>
  <si>
    <t>ارباح صرف اصناف للفروع</t>
  </si>
  <si>
    <t>خصم سداد</t>
  </si>
  <si>
    <t>ايرادات متنوعه</t>
  </si>
  <si>
    <t>خسائر بيع اصول</t>
  </si>
  <si>
    <t>عجز كاشير</t>
  </si>
  <si>
    <t>اتصالات</t>
  </si>
  <si>
    <t>التجمع 1</t>
  </si>
  <si>
    <t>فائض وعجز كاشير</t>
  </si>
  <si>
    <t>فائض وعجز مخزن</t>
  </si>
  <si>
    <t>تامين على السيارات</t>
  </si>
  <si>
    <t>تحليل مصروفات الإدارة</t>
  </si>
  <si>
    <t>السويدى</t>
  </si>
  <si>
    <t>مصروفات عملاء تعاقدات</t>
  </si>
  <si>
    <t>ارباح دائنون متنوعون</t>
  </si>
  <si>
    <t>جزاءات الموظفين</t>
  </si>
  <si>
    <t>ايام غياب الموظفين</t>
  </si>
  <si>
    <t>تاخيرات الموظفين</t>
  </si>
  <si>
    <t>المنطقة الصناعية</t>
  </si>
  <si>
    <t>تأمينات حصة الشركة</t>
  </si>
  <si>
    <t>ساند بيتش</t>
  </si>
  <si>
    <t>تغليف وشحن بضاعة</t>
  </si>
  <si>
    <t>قائمة الدخل</t>
  </si>
  <si>
    <t>تقرير المصروفات</t>
  </si>
  <si>
    <t>(+) قائمة الدخل</t>
  </si>
  <si>
    <t>(-) تقرير المصروفات</t>
  </si>
  <si>
    <t>زايد</t>
  </si>
  <si>
    <t xml:space="preserve">مرتبا ق د </t>
  </si>
  <si>
    <t xml:space="preserve">توتال مرتبات </t>
  </si>
  <si>
    <t>ادوات مكتبية</t>
  </si>
  <si>
    <t>مستهلكات صيدلية</t>
  </si>
  <si>
    <t>رسوم وتراخيص وعمولات</t>
  </si>
  <si>
    <t>وقود السيارات</t>
  </si>
  <si>
    <t>م.نصر</t>
  </si>
  <si>
    <t>تقرير (إحصائيات بحجم المبيعات )</t>
  </si>
  <si>
    <t>اجمالى المبيعات</t>
  </si>
  <si>
    <t>تكلفة</t>
  </si>
  <si>
    <t>خصم مسموح به</t>
  </si>
  <si>
    <t>الصافى</t>
  </si>
  <si>
    <t>التكلفة من قائمة الدخل</t>
  </si>
  <si>
    <t>فرق المبيعات</t>
  </si>
  <si>
    <t>فرق التكلفه</t>
  </si>
  <si>
    <t>التجمع1</t>
  </si>
  <si>
    <t>ساندبيتش</t>
  </si>
  <si>
    <t>دمغات</t>
  </si>
  <si>
    <t>أونلاين</t>
  </si>
  <si>
    <t>اونلاين</t>
  </si>
  <si>
    <t>اعلان ودعاية وتسويق</t>
  </si>
  <si>
    <t>الشيخ زايد</t>
  </si>
  <si>
    <t>أورانج</t>
  </si>
  <si>
    <t>Vod-Smart</t>
  </si>
  <si>
    <t>Vod-Zahraa</t>
  </si>
  <si>
    <t>المحولات</t>
  </si>
  <si>
    <t>خسائر إستبعاد أصول</t>
  </si>
  <si>
    <t>إليكتريك</t>
  </si>
  <si>
    <t>MCV</t>
  </si>
  <si>
    <t>عروض مبيعات التجميل</t>
  </si>
  <si>
    <t>Head Office</t>
  </si>
  <si>
    <t>فائص مخزن</t>
  </si>
  <si>
    <t>ديون معدومة</t>
  </si>
  <si>
    <t>Egy-plast</t>
  </si>
  <si>
    <t>فوائد القروض بنك كريدي أجريكول</t>
  </si>
  <si>
    <t>فوائد القروض بنك ADIB</t>
  </si>
  <si>
    <t>حوافز ومكافات العاملين</t>
  </si>
  <si>
    <t>زكاة وتبرعات</t>
  </si>
  <si>
    <t>الدعم الفني - سوفتك</t>
  </si>
  <si>
    <t>مصروفات متنوعه - ايام دعاية</t>
  </si>
  <si>
    <t>Total</t>
  </si>
  <si>
    <t>فوائد القروض - ابوظبى الاولFAB</t>
  </si>
  <si>
    <t>فوائد القروض - العربى الافريقىAAIB</t>
  </si>
  <si>
    <t>فوائد المصرية للتمويل العقارى</t>
  </si>
  <si>
    <t>فوائد القروض البنك الاهلى المصرى</t>
  </si>
  <si>
    <t>Egy plast</t>
  </si>
  <si>
    <t>`</t>
  </si>
  <si>
    <t>فوائد القروض بنك الاهلى الكويتى ABK</t>
  </si>
  <si>
    <t>فوائد القروض بنك الاهلى المتحد AUB</t>
  </si>
  <si>
    <t>العالمية</t>
  </si>
  <si>
    <t>ألعالمية</t>
  </si>
  <si>
    <t>total</t>
  </si>
  <si>
    <t>فوائد القروض البنك التجارى الدولى CIB</t>
  </si>
  <si>
    <t>تأمينات اجتماعية - حصة الشركة</t>
  </si>
  <si>
    <t>فوائد القروض - التجارى وفا بنك AWB</t>
  </si>
  <si>
    <t>اتعاب محاماه</t>
  </si>
  <si>
    <t>CFC</t>
  </si>
  <si>
    <t>تحليل مصروفات العجوزة</t>
  </si>
  <si>
    <t>تحليل مصروفات اكتوبر</t>
  </si>
  <si>
    <t>تحليل مصروفات البطل</t>
  </si>
  <si>
    <t>تحليل مصروفات مدينة نصر</t>
  </si>
  <si>
    <t>تحليل مصروفات السويدي</t>
  </si>
  <si>
    <t>تحليل مصروفات راية</t>
  </si>
  <si>
    <t>تحليل مصروفات اتصالات</t>
  </si>
  <si>
    <t>تحليل مصروفات حازم حسن</t>
  </si>
  <si>
    <t>تحليل مصروفات الصناعية</t>
  </si>
  <si>
    <t>تحليل مصروفات الخارجية</t>
  </si>
  <si>
    <t>تحليل مصروفات التجمع</t>
  </si>
  <si>
    <t>تحليل مصروفات الشيخ زايد</t>
  </si>
  <si>
    <t>تحليل مصروفات ساند بيتش</t>
  </si>
  <si>
    <t>تحليل مصروفات العالمية</t>
  </si>
  <si>
    <t>تحليل مصروفات اون لاين</t>
  </si>
  <si>
    <t>تحليل مصروفات اورانج</t>
  </si>
  <si>
    <t>تحليل مصروفات Vodafone Smart</t>
  </si>
  <si>
    <t>تحليل مصروفات Vodafone Zahraa</t>
  </si>
  <si>
    <t>تحليل مصروفات المحولات</t>
  </si>
  <si>
    <t>تحليل مصروفات اليكتريك</t>
  </si>
  <si>
    <t>تحليل مصروفات MCV</t>
  </si>
  <si>
    <t>تحليل مصروفات Egyplast</t>
  </si>
  <si>
    <t>قطامية</t>
  </si>
  <si>
    <t>Vois</t>
  </si>
  <si>
    <t>Kattamya</t>
  </si>
  <si>
    <t>فوائد القروض - بنك القاهرة BDC</t>
  </si>
  <si>
    <t>تحليل مصروفات اتصالات القطامية</t>
  </si>
  <si>
    <t>إبريل</t>
  </si>
  <si>
    <t>الإجمالي</t>
  </si>
  <si>
    <t>Cairo Festival City</t>
  </si>
  <si>
    <t>Cairo Festival</t>
  </si>
  <si>
    <t>تحليل مصروفات Cairo Festival City</t>
  </si>
  <si>
    <t>المعادي</t>
  </si>
  <si>
    <t>تحليل مصروفات المعادي</t>
  </si>
  <si>
    <t>North Coast</t>
  </si>
  <si>
    <t>اصلاح وجراج السيارات</t>
  </si>
  <si>
    <t>تحليل مصروفات الساحل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</si>
  <si>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</si>
  <si>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</si>
  <si>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</si>
  <si>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</si>
  <si>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</si>
  <si>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</si>
  <si>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</si>
  <si>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</si>
  <si>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</si>
  <si>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</si>
  <si>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</si>
  <si>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 DETAILS</t>
  </si>
  <si>
    <t>Total Sales Revenue</t>
  </si>
  <si>
    <t>Total Cost of Sales</t>
  </si>
  <si>
    <t>Gross Profit</t>
  </si>
  <si>
    <t>Total Non-Operational Income</t>
  </si>
  <si>
    <t>EXPENSE DETAILS</t>
  </si>
  <si>
    <t>Total Operating Expenses</t>
  </si>
  <si>
    <t>TOTAL EXPENSES</t>
  </si>
  <si>
    <t>NET PROFIT</t>
  </si>
  <si>
    <t>Jan</t>
  </si>
  <si>
    <t>إجمالي الايرادات اخرى</t>
  </si>
  <si>
    <t>إجمالي المصروفات</t>
  </si>
  <si>
    <t>صافي الربح / الخسارة</t>
  </si>
  <si>
    <t>INCOME STATEMTN</t>
  </si>
  <si>
    <t>YEAR TOTAL EXPENSES &amp; YEAR TOTAL INCOME CHART</t>
  </si>
  <si>
    <t>Income Statement</t>
  </si>
  <si>
    <t>(YEAR TOTAL)</t>
  </si>
  <si>
    <t>:</t>
  </si>
  <si>
    <t>TOTAL INCOME</t>
  </si>
  <si>
    <t>MONTH TOTAL</t>
  </si>
  <si>
    <t>EXPENSES DETAILS (MONTH TOTAL)</t>
  </si>
  <si>
    <t>Operating Expenses</t>
  </si>
  <si>
    <t>أغسطس</t>
  </si>
  <si>
    <t xml:space="preserve">Jan </t>
  </si>
  <si>
    <t>Feb</t>
  </si>
  <si>
    <t>Mar</t>
  </si>
  <si>
    <t>Apr</t>
  </si>
  <si>
    <t>Jun</t>
  </si>
  <si>
    <t>Jul</t>
  </si>
  <si>
    <t>Aug</t>
  </si>
  <si>
    <t>Sep</t>
  </si>
  <si>
    <t>Nov</t>
  </si>
  <si>
    <t>Dec</t>
  </si>
  <si>
    <t>Oct</t>
  </si>
  <si>
    <t>January</t>
  </si>
  <si>
    <t>Net Profit</t>
  </si>
  <si>
    <t>Monthes</t>
  </si>
  <si>
    <t>Total Income</t>
  </si>
  <si>
    <t>HQ</t>
  </si>
  <si>
    <t>Aguza</t>
  </si>
  <si>
    <t>Batal</t>
  </si>
  <si>
    <t>Nasr City</t>
  </si>
  <si>
    <t>Sweedy</t>
  </si>
  <si>
    <t>Raya</t>
  </si>
  <si>
    <t>Etisalat</t>
  </si>
  <si>
    <t>Hazzem Hassan</t>
  </si>
  <si>
    <t>Sena3ia</t>
  </si>
  <si>
    <t>Khargia</t>
  </si>
  <si>
    <t>Tagmou3</t>
  </si>
  <si>
    <t>Maadi</t>
  </si>
  <si>
    <t>Zaid</t>
  </si>
  <si>
    <t>Sand Beach</t>
  </si>
  <si>
    <t>Alamya</t>
  </si>
  <si>
    <t>Online</t>
  </si>
  <si>
    <t>Orange</t>
  </si>
  <si>
    <t>Vod.Smart</t>
  </si>
  <si>
    <t>Vod.Zahraa</t>
  </si>
  <si>
    <t>Mo7awelat</t>
  </si>
  <si>
    <t>Electric</t>
  </si>
  <si>
    <t>M.C.V</t>
  </si>
  <si>
    <t>Egyplast</t>
  </si>
  <si>
    <t>Etisalat.Katamya</t>
  </si>
  <si>
    <t>North.Coast</t>
  </si>
  <si>
    <t>تقرير مصروفات إجمالية</t>
  </si>
  <si>
    <t>تقرير إحصائية بحجم المبيعات</t>
  </si>
  <si>
    <t>تقرير مجمعة حسب الشهر</t>
  </si>
  <si>
    <t>تقرير مصروفات حسب الفرع</t>
  </si>
  <si>
    <t>تقرير المصروفات حسب الشهر</t>
  </si>
  <si>
    <t>Home</t>
  </si>
  <si>
    <t>مجمعة إجمالية</t>
  </si>
  <si>
    <t>Dashboard</t>
  </si>
  <si>
    <t>Income Statement For HQ</t>
  </si>
  <si>
    <t>Income Statement For AGOUZA</t>
  </si>
  <si>
    <t>Income Statement For OCTOBER</t>
  </si>
  <si>
    <t>Income Statement For CFC</t>
  </si>
  <si>
    <t>TOTAL</t>
  </si>
  <si>
    <t>Income Statement For North.Coast</t>
  </si>
  <si>
    <t>Income Statement For Etisalat.Katamya</t>
  </si>
  <si>
    <t>Income Statement For Egyplast</t>
  </si>
  <si>
    <t>Income Statement For M.C.V</t>
  </si>
  <si>
    <t>Income Statement For Electric</t>
  </si>
  <si>
    <t>Income Statement For Mo7awelat</t>
  </si>
  <si>
    <t>Income Statement For Vod.Zahraa</t>
  </si>
  <si>
    <t>Income Statement For Vod.Smart</t>
  </si>
  <si>
    <t>Income Statement For Orange</t>
  </si>
  <si>
    <t>Income Statement For Online</t>
  </si>
  <si>
    <t>Income Statement For Alamya</t>
  </si>
  <si>
    <t>Income Statement For Sand Beach</t>
  </si>
  <si>
    <t>Income Statement For Zayed</t>
  </si>
  <si>
    <t>Income Statement For Maadi</t>
  </si>
  <si>
    <t>Income Statement For Tagmou3</t>
  </si>
  <si>
    <t>Income Statement For Khargia</t>
  </si>
  <si>
    <t>Income Statement For Sena3ia</t>
  </si>
  <si>
    <t>Income Statement For Hazzem Hassan</t>
  </si>
  <si>
    <t>Income Statement For Etisalat</t>
  </si>
  <si>
    <t>Income Statement For Sweedy</t>
  </si>
  <si>
    <t>Income Statement For Nasr City</t>
  </si>
  <si>
    <t>Income Statement For Batal</t>
  </si>
  <si>
    <t>Rehab</t>
  </si>
  <si>
    <t>REHAB</t>
  </si>
  <si>
    <t>تحليل مصروفات الرحاب</t>
  </si>
  <si>
    <t>خصم أبليكيشن</t>
  </si>
  <si>
    <t>HSBC SMART</t>
  </si>
  <si>
    <t>HSBC MAADI</t>
  </si>
  <si>
    <t xml:space="preserve">الاجمالي </t>
  </si>
  <si>
    <t xml:space="preserve">خصم ابلكشين </t>
  </si>
  <si>
    <t>Income Statement For Rehab</t>
  </si>
  <si>
    <t>Income Statement ForHSBC MAADI</t>
  </si>
  <si>
    <t>Income Statement For HSBC SMART</t>
  </si>
  <si>
    <t>Income Statement For Vois</t>
  </si>
  <si>
    <t>قائمة الدخل شهر يناير 2025</t>
  </si>
  <si>
    <t>تحليل مصروفات شهر يناير 2025</t>
  </si>
  <si>
    <t>تحليل مصروفات شهر فبراير  2025</t>
  </si>
  <si>
    <t xml:space="preserve">                                                   </t>
  </si>
  <si>
    <t>الإيرادات الأخرى</t>
  </si>
  <si>
    <t>تحليل مصروفات شهر مارس 2025</t>
  </si>
  <si>
    <t>قائمة الدخل شهر مارس 2025</t>
  </si>
  <si>
    <t>قائمة الدخل شهرفبراير 2025</t>
  </si>
  <si>
    <t>قائمة الدخل شهر إبريل 2025</t>
  </si>
  <si>
    <t>قائمة الدخل شهر مايو 2025</t>
  </si>
  <si>
    <t>قائمة الدخل شهر يونيو 2025</t>
  </si>
  <si>
    <t>قائمة الدخل شهر يوليو 2025</t>
  </si>
  <si>
    <t>قائمة الدخل شهر أغسطس 2025</t>
  </si>
  <si>
    <t>قائمة الدخل شهر سبتمبر 2025</t>
  </si>
  <si>
    <t>قائمة الدخل شهر أكتوبر 2025</t>
  </si>
  <si>
    <t>قائمة الدخل شهر نوفمبر 2025</t>
  </si>
  <si>
    <t>قائمة الدخل شهر ديسمبر 2025</t>
  </si>
  <si>
    <t>تحليل مصروفات شهر إبريل 2025</t>
  </si>
  <si>
    <t>تحليل مصروفات صيدليات الصيرفى لعام 2025</t>
  </si>
  <si>
    <t>تحليل مصروفات شهر مايو 2025</t>
  </si>
  <si>
    <t>تحليل مصروفات شهر يونيو 2025</t>
  </si>
  <si>
    <t>مفقودات ومسروقات</t>
  </si>
  <si>
    <t>تحليل مصروفات شهر يوليو 2025</t>
  </si>
  <si>
    <t>عروض مبيعات ابليكشن</t>
  </si>
  <si>
    <t>عمولة ابلكشين</t>
  </si>
  <si>
    <t>تحليل مصروفات شهر أغسطس 2025</t>
  </si>
  <si>
    <t>k18</t>
  </si>
  <si>
    <t>Income Statement For NTRA</t>
  </si>
  <si>
    <t>تحليل مصروفات شهر سبتمبر 2025</t>
  </si>
  <si>
    <t>تحليل مصروفات شهر أكتوبر 2025</t>
  </si>
  <si>
    <t>تحليل مصروفات شهر نوفمبر 2025</t>
  </si>
  <si>
    <t>عمولات ادارية</t>
  </si>
  <si>
    <t xml:space="preserve"> </t>
  </si>
  <si>
    <t>.</t>
  </si>
  <si>
    <t>تحليل مصروفات شهر ديسمبر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</si>
</sst>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(* #,##0.00_);_(* \(#,##0.00\);_(* &quot;-&quot;??_);_(@_)"/>
    <numFmt numFmtId="165" formatCode="_-* #,##0.00_-;_-* #,##0.00\-;_-* &quot;-&quot;??_-;_-@_-"/>
    <numFmt numFmtId="166" formatCode="0.000"/>
    <numFmt numFmtId="167" formatCode="_-* #,##0_-;_-* #,##0\-;_-* &quot;-&quot;??_-;_-@_-"/>
    <numFmt numFmtId="168" formatCode="[$$-409]#,##0.0"/>
    <numFmt numFmtId="169" formatCode="[$$-409]#,##0.0_ ;[Red]\-[$$-409]#,##0.0\ "/>
    <numFmt numFmtId="170" formatCode="[$$-409]#,##0.00_ ;[Red]\-[$$-409]#,##0.00\ "/>
    <numFmt numFmtId="171" formatCode="[$$-409]#,##0.00"/>
    <numFmt numFmtId="172" formatCode="[$$-409]#,##0"/>
    <numFmt numFmtId="173" formatCode="0.0%"/>
    <numFmt numFmtId="174" formatCode="[$EGP]\ #,##0_);[Red]\([$EGP]\ #,##0\)"/>
    <numFmt numFmtId="175" formatCode="_-* #,##0.00\ _ج_._م_._‏_-;\-* #,##0.00\ _ج_._م_._‏_-;_-* &quot;-&quot;??\ _ج_._م_._‏_-;_-@_-"/>
    <numFmt numFmtId="176" formatCode="#,##0.00_ ;[Red]\-#,##0.00\ "/>
    <numFmt numFmtId="177" formatCode="#,##0.0_ ;[Red]\-#,##0.0\ "/>
    <numFmt numFmtId="178" formatCode="#,##0.000000000_ ;[Red]\-#,##0.000000000\ "/>
    <numFmt numFmtId="179" formatCode="#,##0.00000000000_ ;[Red]\-#,##0.00000000000\ "/>
    <numFmt numFmtId="180" formatCode="#,##0.000000000000_ ;[Red]\-#,##0.000000000000\ "/>
    <numFmt numFmtId="181" formatCode="#,##0.00\ [$EGP];[Red]#,##0.00\ [$EGP]"/>
  </numFmts>
  <fonts count="113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24"/>
      <name val="PT Bold Heading"/>
      <charset val="178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u/>
      <sz val="11"/>
      <color theme="10"/>
      <name val="Arial"/>
      <family val="2"/>
      <charset val="178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22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u/>
      <sz val="14"/>
      <name val="Arial"/>
      <family val="2"/>
    </font>
    <font>
      <b/>
      <sz val="11"/>
      <color rgb="FFFF000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Arial"/>
      <family val="2"/>
    </font>
    <font>
      <b/>
      <u/>
      <sz val="16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4"/>
      <color rgb="FFFFC000"/>
      <name val="Calibri"/>
      <family val="2"/>
      <charset val="162"/>
      <scheme val="minor"/>
    </font>
    <font>
      <b/>
      <sz val="12"/>
      <color rgb="FFFFC000"/>
      <name val="Tahoma"/>
      <family val="2"/>
    </font>
    <font>
      <b/>
      <sz val="16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b/>
      <sz val="12"/>
      <color theme="0"/>
      <name val="Tahoma"/>
      <family val="2"/>
    </font>
    <font>
      <sz val="11"/>
      <name val="Calibri"/>
      <family val="2"/>
      <charset val="162"/>
      <scheme val="minor"/>
    </font>
    <font>
      <b/>
      <sz val="11"/>
      <color theme="4" tint="-0.499984740745262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i/>
      <sz val="11"/>
      <name val="Calibri"/>
      <family val="2"/>
      <charset val="162"/>
      <scheme val="minor"/>
    </font>
    <font>
      <b/>
      <sz val="11"/>
      <color theme="9" tint="-0.249977111117893"/>
      <name val="Calibri"/>
      <family val="2"/>
      <charset val="162"/>
      <scheme val="minor"/>
    </font>
    <font>
      <i/>
      <sz val="10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name val="Calibri"/>
      <family val="2"/>
      <scheme val="minor"/>
    </font>
    <font>
      <sz val="10"/>
      <color theme="0" tint="-4.9989318521683403E-2"/>
      <name val="Arial"/>
      <family val="2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8" tint="-0.249977111117893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8" tint="-0.24997711111789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name val="Arial"/>
      <family val="2"/>
      <charset val="162"/>
    </font>
    <font>
      <b/>
      <sz val="14"/>
      <color rgb="FFC00000"/>
      <name val="Calibri"/>
      <family val="2"/>
      <charset val="162"/>
      <scheme val="minor"/>
    </font>
    <font>
      <b/>
      <sz val="11"/>
      <color theme="9" tint="-0.499984740745262"/>
      <name val="Calibri"/>
      <family val="2"/>
      <charset val="162"/>
      <scheme val="minor"/>
    </font>
    <font>
      <b/>
      <u/>
      <sz val="11"/>
      <color theme="9" tint="-0.499984740745262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i/>
      <sz val="12"/>
      <color theme="8" tint="-0.249977111117893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2"/>
      <color theme="9" tint="-0.49998474074526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theme="0"/>
      <name val="Calibri"/>
      <family val="2"/>
      <charset val="162"/>
      <scheme val="minor"/>
    </font>
    <font>
      <b/>
      <i/>
      <u/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3" tint="-0.499984740745262"/>
      <name val="Arial"/>
      <family val="2"/>
    </font>
    <font>
      <b/>
      <sz val="22"/>
      <color theme="3" tint="-0.499984740745262"/>
      <name val="Arial"/>
      <family val="2"/>
    </font>
    <font>
      <b/>
      <sz val="11"/>
      <color theme="0"/>
      <name val="Arial"/>
      <family val="2"/>
    </font>
    <font>
      <b/>
      <u/>
      <sz val="14"/>
      <color theme="0"/>
      <name val="Arial"/>
      <family val="2"/>
    </font>
    <font>
      <sz val="11"/>
      <color theme="0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2"/>
      <color rgb="FFFFFF00"/>
      <name val="Calibri"/>
      <family val="2"/>
      <scheme val="minor"/>
    </font>
    <font>
      <b/>
      <sz val="16"/>
      <color rgb="FFFFFF00"/>
      <name val="Calibri"/>
      <family val="2"/>
      <charset val="162"/>
      <scheme val="minor"/>
    </font>
    <font>
      <sz val="11"/>
      <color rgb="FFFFFF00"/>
      <name val="Calibri"/>
      <family val="2"/>
      <scheme val="minor"/>
    </font>
    <font>
      <b/>
      <i/>
      <sz val="16"/>
      <color rgb="FF0070C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4"/>
      <color theme="0"/>
      <name val="Calibri"/>
      <family val="2"/>
      <scheme val="minor"/>
    </font>
    <font>
      <b/>
      <sz val="14"/>
      <color theme="9" tint="-0.249977111117893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charset val="162"/>
    </font>
    <font>
      <b/>
      <i/>
      <sz val="14"/>
      <color theme="8" tint="-0.249977111117893"/>
      <name val="Calibri"/>
      <family val="2"/>
      <scheme val="minor"/>
    </font>
    <font>
      <b/>
      <sz val="14"/>
      <color rgb="FFFFFF00"/>
      <name val="Arial"/>
      <family val="2"/>
    </font>
    <font>
      <b/>
      <sz val="16"/>
      <color rgb="FFFFFF00"/>
      <name val="Arial"/>
      <family val="2"/>
    </font>
    <font>
      <b/>
      <sz val="12"/>
      <color rgb="FFFFFF00"/>
      <name val="Arial"/>
      <family val="2"/>
    </font>
    <font>
      <b/>
      <sz val="14"/>
      <color rgb="FFFF0066"/>
      <name val="Arial"/>
      <family val="2"/>
    </font>
    <font>
      <i/>
      <sz val="14"/>
      <color theme="0"/>
      <name val="Calibri"/>
      <family val="2"/>
      <scheme val="minor"/>
    </font>
    <font>
      <b/>
      <i/>
      <sz val="14"/>
      <color rgb="FF00206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2" tint="-0.499984740745262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indexed="64"/>
      </left>
      <right style="thin">
        <color theme="3" tint="-0.249977111117893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rgb="FF974706"/>
      </right>
      <top/>
      <bottom style="thin">
        <color rgb="FF974706"/>
      </bottom>
      <diagonal/>
    </border>
  </borders>
  <cellStyleXfs count="8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" fillId="0" borderId="0"/>
    <xf numFmtId="0" fontId="23" fillId="0" borderId="0" applyNumberFormat="0" applyFill="0" applyBorder="0" applyAlignment="0" applyProtection="0"/>
  </cellStyleXfs>
  <cellXfs count="658">
    <xf numFmtId="0" fontId="0" fillId="0" borderId="0" xfId="0"/>
    <xf numFmtId="165" fontId="0" fillId="0" borderId="0" xfId="1" applyFont="1"/>
    <xf numFmtId="0" fontId="0" fillId="0" borderId="0" xfId="0" applyProtection="1">
      <protection hidden="1"/>
    </xf>
    <xf numFmtId="0" fontId="11" fillId="0" borderId="0" xfId="0" applyFont="1"/>
    <xf numFmtId="164" fontId="11" fillId="0" borderId="0" xfId="0" applyNumberFormat="1" applyFont="1"/>
    <xf numFmtId="165" fontId="11" fillId="0" borderId="0" xfId="0" applyNumberFormat="1" applyFont="1"/>
    <xf numFmtId="0" fontId="5" fillId="0" borderId="0" xfId="0" applyFont="1"/>
    <xf numFmtId="164" fontId="0" fillId="0" borderId="0" xfId="0" applyNumberFormat="1"/>
    <xf numFmtId="165" fontId="15" fillId="0" borderId="0" xfId="1" applyFont="1" applyFill="1" applyBorder="1"/>
    <xf numFmtId="0" fontId="15" fillId="0" borderId="0" xfId="0" applyFont="1"/>
    <xf numFmtId="165" fontId="14" fillId="0" borderId="10" xfId="1" applyFont="1" applyFill="1" applyBorder="1" applyAlignment="1">
      <alignment horizontal="center" vertical="center"/>
    </xf>
    <xf numFmtId="165" fontId="3" fillId="0" borderId="0" xfId="1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/>
    </xf>
    <xf numFmtId="0" fontId="21" fillId="0" borderId="0" xfId="0" applyFont="1"/>
    <xf numFmtId="165" fontId="5" fillId="0" borderId="0" xfId="1" applyFont="1" applyFill="1"/>
    <xf numFmtId="4" fontId="0" fillId="0" borderId="0" xfId="0" applyNumberFormat="1"/>
    <xf numFmtId="9" fontId="13" fillId="0" borderId="0" xfId="2" applyFont="1"/>
    <xf numFmtId="0" fontId="5" fillId="0" borderId="0" xfId="0" applyFont="1" applyAlignment="1">
      <alignment horizontal="center"/>
    </xf>
    <xf numFmtId="4" fontId="5" fillId="0" borderId="0" xfId="0" applyNumberFormat="1" applyFont="1"/>
    <xf numFmtId="165" fontId="14" fillId="0" borderId="18" xfId="1" applyFont="1" applyFill="1" applyBorder="1" applyAlignment="1">
      <alignment horizontal="center" vertical="center"/>
    </xf>
    <xf numFmtId="165" fontId="14" fillId="0" borderId="29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14" fillId="0" borderId="1" xfId="1" applyFont="1" applyFill="1" applyBorder="1" applyAlignment="1">
      <alignment horizontal="center" vertical="center"/>
    </xf>
    <xf numFmtId="165" fontId="14" fillId="0" borderId="22" xfId="1" applyFont="1" applyFill="1" applyBorder="1" applyAlignment="1">
      <alignment horizontal="center" vertical="center" wrapText="1"/>
    </xf>
    <xf numFmtId="165" fontId="14" fillId="0" borderId="21" xfId="1" applyFont="1" applyFill="1" applyBorder="1" applyAlignment="1">
      <alignment horizontal="center" vertical="center"/>
    </xf>
    <xf numFmtId="165" fontId="14" fillId="0" borderId="23" xfId="1" applyFont="1" applyFill="1" applyBorder="1" applyAlignment="1">
      <alignment horizontal="center" vertical="center"/>
    </xf>
    <xf numFmtId="4" fontId="24" fillId="0" borderId="0" xfId="0" applyNumberFormat="1" applyFont="1"/>
    <xf numFmtId="0" fontId="10" fillId="3" borderId="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 vertical="center"/>
    </xf>
    <xf numFmtId="165" fontId="9" fillId="0" borderId="10" xfId="1" applyFont="1" applyBorder="1"/>
    <xf numFmtId="165" fontId="9" fillId="0" borderId="12" xfId="1" applyFont="1" applyBorder="1"/>
    <xf numFmtId="0" fontId="9" fillId="2" borderId="45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165" fontId="9" fillId="3" borderId="17" xfId="1" applyFont="1" applyFill="1" applyBorder="1"/>
    <xf numFmtId="165" fontId="9" fillId="3" borderId="28" xfId="1" applyFont="1" applyFill="1" applyBorder="1"/>
    <xf numFmtId="165" fontId="9" fillId="0" borderId="9" xfId="1" applyFont="1" applyBorder="1"/>
    <xf numFmtId="165" fontId="9" fillId="0" borderId="11" xfId="1" applyFont="1" applyBorder="1"/>
    <xf numFmtId="165" fontId="10" fillId="3" borderId="49" xfId="0" applyNumberFormat="1" applyFont="1" applyFill="1" applyBorder="1"/>
    <xf numFmtId="0" fontId="9" fillId="0" borderId="18" xfId="0" applyFont="1" applyBorder="1"/>
    <xf numFmtId="0" fontId="9" fillId="0" borderId="29" xfId="0" applyFont="1" applyBorder="1"/>
    <xf numFmtId="0" fontId="0" fillId="7" borderId="0" xfId="0" applyFill="1"/>
    <xf numFmtId="165" fontId="14" fillId="7" borderId="10" xfId="1" applyFont="1" applyFill="1" applyBorder="1" applyAlignment="1">
      <alignment horizontal="center" vertical="center"/>
    </xf>
    <xf numFmtId="165" fontId="14" fillId="7" borderId="18" xfId="1" applyFont="1" applyFill="1" applyBorder="1" applyAlignment="1">
      <alignment horizontal="center" vertical="center"/>
    </xf>
    <xf numFmtId="165" fontId="14" fillId="11" borderId="18" xfId="1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3" fillId="0" borderId="0" xfId="0" applyFont="1"/>
    <xf numFmtId="0" fontId="9" fillId="14" borderId="32" xfId="0" applyFont="1" applyFill="1" applyBorder="1" applyAlignment="1">
      <alignment horizontal="center" vertical="center"/>
    </xf>
    <xf numFmtId="0" fontId="9" fillId="14" borderId="36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9" fillId="14" borderId="37" xfId="0" applyFont="1" applyFill="1" applyBorder="1" applyAlignment="1">
      <alignment horizontal="center" vertical="center"/>
    </xf>
    <xf numFmtId="0" fontId="10" fillId="14" borderId="32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4" borderId="31" xfId="0" applyFont="1" applyFill="1" applyBorder="1" applyAlignment="1">
      <alignment horizontal="center" vertical="center"/>
    </xf>
    <xf numFmtId="0" fontId="10" fillId="14" borderId="30" xfId="0" applyFont="1" applyFill="1" applyBorder="1" applyAlignment="1">
      <alignment horizontal="center" vertical="center"/>
    </xf>
    <xf numFmtId="165" fontId="15" fillId="14" borderId="12" xfId="1" applyFont="1" applyFill="1" applyBorder="1"/>
    <xf numFmtId="4" fontId="9" fillId="14" borderId="50" xfId="0" applyNumberFormat="1" applyFont="1" applyFill="1" applyBorder="1"/>
    <xf numFmtId="0" fontId="7" fillId="5" borderId="40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 wrapText="1"/>
    </xf>
    <xf numFmtId="0" fontId="7" fillId="5" borderId="41" xfId="0" applyFont="1" applyFill="1" applyBorder="1" applyAlignment="1">
      <alignment horizontal="center" vertical="center" wrapText="1"/>
    </xf>
    <xf numFmtId="0" fontId="7" fillId="5" borderId="42" xfId="0" applyFont="1" applyFill="1" applyBorder="1" applyAlignment="1">
      <alignment horizontal="center" vertical="center" wrapText="1"/>
    </xf>
    <xf numFmtId="0" fontId="7" fillId="5" borderId="41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166" fontId="0" fillId="0" borderId="0" xfId="2" applyNumberFormat="1" applyFont="1" applyAlignment="1" applyProtection="1">
      <alignment horizontal="center" vertical="center"/>
      <protection hidden="1"/>
    </xf>
    <xf numFmtId="165" fontId="1" fillId="0" borderId="0" xfId="1" applyFont="1" applyFill="1"/>
    <xf numFmtId="165" fontId="14" fillId="11" borderId="10" xfId="1" applyFont="1" applyFill="1" applyBorder="1" applyAlignment="1">
      <alignment horizontal="center" vertical="center"/>
    </xf>
    <xf numFmtId="4" fontId="10" fillId="14" borderId="32" xfId="0" applyNumberFormat="1" applyFont="1" applyFill="1" applyBorder="1" applyAlignment="1">
      <alignment horizontal="center" vertical="center"/>
    </xf>
    <xf numFmtId="4" fontId="10" fillId="14" borderId="0" xfId="0" applyNumberFormat="1" applyFont="1" applyFill="1" applyAlignment="1">
      <alignment horizontal="center" vertical="center"/>
    </xf>
    <xf numFmtId="4" fontId="15" fillId="0" borderId="0" xfId="1" applyNumberFormat="1" applyFont="1" applyFill="1" applyBorder="1"/>
    <xf numFmtId="165" fontId="27" fillId="0" borderId="16" xfId="1" applyFont="1" applyFill="1" applyBorder="1" applyAlignment="1">
      <alignment horizontal="center" vertical="center"/>
    </xf>
    <xf numFmtId="165" fontId="27" fillId="0" borderId="10" xfId="1" applyFont="1" applyFill="1" applyBorder="1" applyAlignment="1">
      <alignment horizontal="center" vertical="center"/>
    </xf>
    <xf numFmtId="165" fontId="27" fillId="0" borderId="17" xfId="1" applyFont="1" applyFill="1" applyBorder="1" applyAlignment="1">
      <alignment horizontal="center" vertical="center"/>
    </xf>
    <xf numFmtId="4" fontId="11" fillId="0" borderId="0" xfId="0" applyNumberFormat="1" applyFont="1"/>
    <xf numFmtId="0" fontId="29" fillId="0" borderId="21" xfId="0" applyFont="1" applyBorder="1" applyAlignment="1">
      <alignment horizontal="center" vertical="center"/>
    </xf>
    <xf numFmtId="165" fontId="29" fillId="0" borderId="10" xfId="1" applyFont="1" applyFill="1" applyBorder="1" applyAlignment="1">
      <alignment horizontal="center"/>
    </xf>
    <xf numFmtId="165" fontId="29" fillId="0" borderId="17" xfId="1" applyFont="1" applyFill="1" applyBorder="1" applyAlignment="1">
      <alignment horizontal="center"/>
    </xf>
    <xf numFmtId="165" fontId="29" fillId="0" borderId="1" xfId="1" applyFont="1" applyFill="1" applyBorder="1" applyAlignment="1">
      <alignment horizontal="center" vertical="center"/>
    </xf>
    <xf numFmtId="165" fontId="29" fillId="0" borderId="22" xfId="1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165" fontId="14" fillId="0" borderId="59" xfId="1" applyFont="1" applyFill="1" applyBorder="1" applyAlignment="1">
      <alignment horizontal="center" vertical="center" wrapText="1"/>
    </xf>
    <xf numFmtId="40" fontId="22" fillId="0" borderId="14" xfId="0" applyNumberFormat="1" applyFont="1" applyBorder="1"/>
    <xf numFmtId="40" fontId="22" fillId="0" borderId="44" xfId="0" applyNumberFormat="1" applyFont="1" applyBorder="1"/>
    <xf numFmtId="0" fontId="22" fillId="0" borderId="0" xfId="0" applyFont="1"/>
    <xf numFmtId="40" fontId="22" fillId="0" borderId="13" xfId="0" applyNumberFormat="1" applyFont="1" applyBorder="1"/>
    <xf numFmtId="40" fontId="22" fillId="0" borderId="4" xfId="0" applyNumberFormat="1" applyFont="1" applyBorder="1"/>
    <xf numFmtId="0" fontId="22" fillId="0" borderId="0" xfId="0" applyFont="1" applyAlignment="1">
      <alignment horizontal="center" vertical="center"/>
    </xf>
    <xf numFmtId="165" fontId="22" fillId="0" borderId="14" xfId="1" applyFont="1" applyFill="1" applyBorder="1"/>
    <xf numFmtId="165" fontId="22" fillId="0" borderId="44" xfId="1" applyFont="1" applyFill="1" applyBorder="1"/>
    <xf numFmtId="4" fontId="0" fillId="0" borderId="0" xfId="2" applyNumberFormat="1" applyFont="1" applyBorder="1" applyAlignment="1" applyProtection="1">
      <alignment horizontal="center" vertical="center"/>
      <protection hidden="1"/>
    </xf>
    <xf numFmtId="4" fontId="5" fillId="0" borderId="0" xfId="1" applyNumberFormat="1" applyFont="1" applyFill="1"/>
    <xf numFmtId="167" fontId="7" fillId="3" borderId="55" xfId="1" applyNumberFormat="1" applyFont="1" applyFill="1" applyBorder="1" applyAlignment="1" applyProtection="1">
      <alignment horizontal="center" vertical="center"/>
      <protection hidden="1"/>
    </xf>
    <xf numFmtId="167" fontId="7" fillId="3" borderId="5" xfId="1" applyNumberFormat="1" applyFont="1" applyFill="1" applyBorder="1" applyAlignment="1" applyProtection="1">
      <alignment horizontal="center" vertical="center"/>
      <protection hidden="1"/>
    </xf>
    <xf numFmtId="167" fontId="7" fillId="0" borderId="5" xfId="1" applyNumberFormat="1" applyFont="1" applyFill="1" applyBorder="1" applyAlignment="1" applyProtection="1">
      <alignment horizontal="center" vertical="center"/>
      <protection hidden="1"/>
    </xf>
    <xf numFmtId="167" fontId="7" fillId="3" borderId="51" xfId="1" applyNumberFormat="1" applyFont="1" applyFill="1" applyBorder="1" applyAlignment="1" applyProtection="1">
      <alignment horizontal="center" vertical="center"/>
      <protection hidden="1"/>
    </xf>
    <xf numFmtId="0" fontId="30" fillId="14" borderId="32" xfId="0" applyFont="1" applyFill="1" applyBorder="1" applyAlignment="1">
      <alignment horizontal="center" vertical="center"/>
    </xf>
    <xf numFmtId="0" fontId="29" fillId="7" borderId="16" xfId="0" applyFont="1" applyFill="1" applyBorder="1" applyAlignment="1">
      <alignment horizontal="center" vertical="center"/>
    </xf>
    <xf numFmtId="165" fontId="29" fillId="7" borderId="10" xfId="1" applyFont="1" applyFill="1" applyBorder="1" applyAlignment="1">
      <alignment horizontal="center"/>
    </xf>
    <xf numFmtId="165" fontId="29" fillId="7" borderId="17" xfId="1" applyFont="1" applyFill="1" applyBorder="1" applyAlignment="1">
      <alignment horizontal="center"/>
    </xf>
    <xf numFmtId="165" fontId="27" fillId="7" borderId="16" xfId="1" applyFont="1" applyFill="1" applyBorder="1" applyAlignment="1">
      <alignment horizontal="center" vertical="center"/>
    </xf>
    <xf numFmtId="165" fontId="27" fillId="7" borderId="10" xfId="1" applyFont="1" applyFill="1" applyBorder="1" applyAlignment="1">
      <alignment horizontal="center" vertical="center"/>
    </xf>
    <xf numFmtId="165" fontId="27" fillId="7" borderId="17" xfId="1" applyFont="1" applyFill="1" applyBorder="1" applyAlignment="1">
      <alignment horizontal="center" vertical="center"/>
    </xf>
    <xf numFmtId="165" fontId="3" fillId="7" borderId="0" xfId="1" applyFont="1" applyFill="1"/>
    <xf numFmtId="0" fontId="15" fillId="14" borderId="65" xfId="0" applyFont="1" applyFill="1" applyBorder="1" applyAlignment="1">
      <alignment horizontal="center"/>
    </xf>
    <xf numFmtId="165" fontId="15" fillId="14" borderId="66" xfId="1" applyFont="1" applyFill="1" applyBorder="1"/>
    <xf numFmtId="165" fontId="15" fillId="14" borderId="19" xfId="1" applyFont="1" applyFill="1" applyBorder="1"/>
    <xf numFmtId="164" fontId="5" fillId="0" borderId="0" xfId="0" applyNumberFormat="1" applyFont="1"/>
    <xf numFmtId="0" fontId="0" fillId="12" borderId="0" xfId="0" applyFill="1"/>
    <xf numFmtId="0" fontId="0" fillId="12" borderId="0" xfId="0" applyFill="1" applyAlignment="1">
      <alignment vertical="center"/>
    </xf>
    <xf numFmtId="0" fontId="35" fillId="12" borderId="0" xfId="0" applyFont="1" applyFill="1" applyAlignment="1" applyProtection="1">
      <alignment vertical="center"/>
      <protection locked="0"/>
    </xf>
    <xf numFmtId="49" fontId="36" fillId="10" borderId="68" xfId="0" applyNumberFormat="1" applyFont="1" applyFill="1" applyBorder="1" applyAlignment="1">
      <alignment horizontal="left" vertical="center" indent="1"/>
    </xf>
    <xf numFmtId="49" fontId="37" fillId="10" borderId="0" xfId="0" applyNumberFormat="1" applyFont="1" applyFill="1" applyAlignment="1">
      <alignment horizontal="center" vertical="center"/>
    </xf>
    <xf numFmtId="0" fontId="38" fillId="10" borderId="0" xfId="0" applyFont="1" applyFill="1" applyAlignment="1">
      <alignment horizontal="center" vertical="center"/>
    </xf>
    <xf numFmtId="49" fontId="39" fillId="16" borderId="0" xfId="0" applyNumberFormat="1" applyFont="1" applyFill="1" applyAlignment="1">
      <alignment horizontal="left" vertical="center" indent="1"/>
    </xf>
    <xf numFmtId="49" fontId="40" fillId="16" borderId="0" xfId="0" applyNumberFormat="1" applyFont="1" applyFill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41" fillId="12" borderId="68" xfId="0" applyFont="1" applyFill="1" applyBorder="1" applyAlignment="1">
      <alignment vertical="center"/>
    </xf>
    <xf numFmtId="0" fontId="41" fillId="12" borderId="69" xfId="0" applyFont="1" applyFill="1" applyBorder="1" applyAlignment="1">
      <alignment vertical="center"/>
    </xf>
    <xf numFmtId="0" fontId="41" fillId="12" borderId="11" xfId="0" applyFont="1" applyFill="1" applyBorder="1" applyAlignment="1">
      <alignment vertical="center"/>
    </xf>
    <xf numFmtId="0" fontId="41" fillId="12" borderId="70" xfId="0" applyFont="1" applyFill="1" applyBorder="1" applyAlignment="1">
      <alignment vertical="center"/>
    </xf>
    <xf numFmtId="0" fontId="42" fillId="12" borderId="71" xfId="0" applyFont="1" applyFill="1" applyBorder="1" applyAlignment="1">
      <alignment vertical="center"/>
    </xf>
    <xf numFmtId="0" fontId="43" fillId="17" borderId="72" xfId="0" applyFont="1" applyFill="1" applyBorder="1" applyAlignment="1">
      <alignment horizontal="center" vertical="center" wrapText="1"/>
    </xf>
    <xf numFmtId="0" fontId="43" fillId="17" borderId="73" xfId="0" applyFont="1" applyFill="1" applyBorder="1" applyAlignment="1">
      <alignment horizontal="center" vertical="center" wrapText="1"/>
    </xf>
    <xf numFmtId="0" fontId="41" fillId="12" borderId="37" xfId="0" applyFont="1" applyFill="1" applyBorder="1" applyAlignment="1">
      <alignment vertical="center"/>
    </xf>
    <xf numFmtId="0" fontId="42" fillId="12" borderId="71" xfId="0" applyFont="1" applyFill="1" applyBorder="1" applyAlignment="1">
      <alignment horizontal="center" vertical="center"/>
    </xf>
    <xf numFmtId="0" fontId="43" fillId="12" borderId="0" xfId="0" applyFont="1" applyFill="1" applyAlignment="1">
      <alignment horizontal="center" vertical="center" wrapText="1"/>
    </xf>
    <xf numFmtId="0" fontId="44" fillId="12" borderId="0" xfId="0" applyFont="1" applyFill="1" applyAlignment="1">
      <alignment horizontal="left" vertical="center" indent="1"/>
    </xf>
    <xf numFmtId="168" fontId="44" fillId="12" borderId="0" xfId="0" applyNumberFormat="1" applyFont="1" applyFill="1" applyAlignment="1">
      <alignment horizontal="right" vertical="center" wrapText="1"/>
    </xf>
    <xf numFmtId="0" fontId="47" fillId="12" borderId="0" xfId="0" applyFont="1" applyFill="1" applyAlignment="1">
      <alignment horizontal="center" vertical="center"/>
    </xf>
    <xf numFmtId="0" fontId="46" fillId="12" borderId="0" xfId="0" applyFont="1" applyFill="1" applyAlignment="1" applyProtection="1">
      <alignment horizontal="right" vertical="center"/>
      <protection locked="0"/>
    </xf>
    <xf numFmtId="169" fontId="48" fillId="12" borderId="0" xfId="0" applyNumberFormat="1" applyFont="1" applyFill="1" applyAlignment="1" applyProtection="1">
      <alignment horizontal="right" vertical="center" wrapText="1"/>
      <protection locked="0"/>
    </xf>
    <xf numFmtId="0" fontId="42" fillId="12" borderId="0" xfId="0" applyFont="1" applyFill="1" applyAlignment="1">
      <alignment vertical="center"/>
    </xf>
    <xf numFmtId="169" fontId="43" fillId="12" borderId="0" xfId="0" applyNumberFormat="1" applyFont="1" applyFill="1" applyAlignment="1">
      <alignment horizontal="right" vertical="center" wrapText="1" indent="1"/>
    </xf>
    <xf numFmtId="0" fontId="49" fillId="12" borderId="70" xfId="0" applyFont="1" applyFill="1" applyBorder="1" applyAlignment="1">
      <alignment vertical="center"/>
    </xf>
    <xf numFmtId="0" fontId="52" fillId="12" borderId="0" xfId="0" applyFont="1" applyFill="1" applyAlignment="1">
      <alignment vertical="center"/>
    </xf>
    <xf numFmtId="0" fontId="41" fillId="12" borderId="77" xfId="0" applyFont="1" applyFill="1" applyBorder="1" applyAlignment="1">
      <alignment vertical="center"/>
    </xf>
    <xf numFmtId="0" fontId="41" fillId="12" borderId="78" xfId="0" applyFont="1" applyFill="1" applyBorder="1" applyAlignment="1">
      <alignment vertical="center"/>
    </xf>
    <xf numFmtId="0" fontId="0" fillId="22" borderId="79" xfId="0" applyFill="1" applyBorder="1"/>
    <xf numFmtId="0" fontId="0" fillId="22" borderId="76" xfId="0" applyFill="1" applyBorder="1"/>
    <xf numFmtId="0" fontId="53" fillId="22" borderId="76" xfId="0" applyFont="1" applyFill="1" applyBorder="1" applyAlignment="1">
      <alignment vertical="center"/>
    </xf>
    <xf numFmtId="0" fontId="0" fillId="12" borderId="70" xfId="0" applyFill="1" applyBorder="1" applyAlignment="1">
      <alignment vertical="center"/>
    </xf>
    <xf numFmtId="165" fontId="43" fillId="21" borderId="74" xfId="1" applyFont="1" applyFill="1" applyBorder="1" applyAlignment="1" applyProtection="1">
      <alignment horizontal="right" vertical="center" wrapText="1"/>
    </xf>
    <xf numFmtId="0" fontId="50" fillId="0" borderId="10" xfId="0" applyFont="1" applyBorder="1" applyAlignment="1">
      <alignment horizontal="center" vertical="center"/>
    </xf>
    <xf numFmtId="0" fontId="42" fillId="0" borderId="75" xfId="0" applyFont="1" applyBorder="1" applyAlignment="1">
      <alignment horizontal="center" vertical="center"/>
    </xf>
    <xf numFmtId="0" fontId="43" fillId="21" borderId="74" xfId="0" applyFont="1" applyFill="1" applyBorder="1" applyAlignment="1">
      <alignment horizontal="center" vertical="center"/>
    </xf>
    <xf numFmtId="0" fontId="46" fillId="0" borderId="80" xfId="0" applyFont="1" applyBorder="1" applyAlignment="1" applyProtection="1">
      <alignment horizontal="right" vertical="center"/>
      <protection locked="0"/>
    </xf>
    <xf numFmtId="49" fontId="37" fillId="10" borderId="0" xfId="0" applyNumberFormat="1" applyFont="1" applyFill="1" applyAlignment="1">
      <alignment horizontal="left" vertical="center"/>
    </xf>
    <xf numFmtId="0" fontId="55" fillId="12" borderId="0" xfId="0" applyFont="1" applyFill="1" applyAlignment="1">
      <alignment vertical="center"/>
    </xf>
    <xf numFmtId="0" fontId="35" fillId="9" borderId="0" xfId="0" applyFont="1" applyFill="1" applyAlignment="1" applyProtection="1">
      <alignment vertical="center"/>
      <protection locked="0"/>
    </xf>
    <xf numFmtId="0" fontId="0" fillId="9" borderId="0" xfId="0" applyFill="1"/>
    <xf numFmtId="0" fontId="0" fillId="9" borderId="0" xfId="0" applyFill="1" applyAlignment="1">
      <alignment vertical="center"/>
    </xf>
    <xf numFmtId="0" fontId="0" fillId="12" borderId="69" xfId="0" applyFill="1" applyBorder="1" applyAlignment="1">
      <alignment vertical="center"/>
    </xf>
    <xf numFmtId="0" fontId="0" fillId="12" borderId="68" xfId="0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58" fillId="0" borderId="83" xfId="0" applyFont="1" applyBorder="1" applyAlignment="1">
      <alignment vertical="center"/>
    </xf>
    <xf numFmtId="0" fontId="58" fillId="0" borderId="84" xfId="0" applyFont="1" applyBorder="1" applyAlignment="1">
      <alignment vertical="center"/>
    </xf>
    <xf numFmtId="0" fontId="58" fillId="0" borderId="85" xfId="0" applyFont="1" applyBorder="1" applyAlignment="1">
      <alignment vertical="center"/>
    </xf>
    <xf numFmtId="0" fontId="0" fillId="12" borderId="37" xfId="0" applyFill="1" applyBorder="1" applyAlignment="1">
      <alignment vertical="center"/>
    </xf>
    <xf numFmtId="0" fontId="59" fillId="12" borderId="0" xfId="0" applyFont="1" applyFill="1" applyAlignment="1">
      <alignment vertical="center"/>
    </xf>
    <xf numFmtId="0" fontId="61" fillId="12" borderId="0" xfId="0" applyFont="1" applyFill="1" applyAlignment="1">
      <alignment vertical="center"/>
    </xf>
    <xf numFmtId="0" fontId="0" fillId="9" borderId="69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60" fillId="0" borderId="89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90" xfId="0" applyFont="1" applyBorder="1" applyAlignment="1">
      <alignment horizontal="center" vertical="center"/>
    </xf>
    <xf numFmtId="0" fontId="0" fillId="0" borderId="91" xfId="0" applyBorder="1" applyAlignment="1">
      <alignment vertical="center"/>
    </xf>
    <xf numFmtId="0" fontId="0" fillId="0" borderId="92" xfId="0" applyBorder="1" applyAlignment="1">
      <alignment vertical="center"/>
    </xf>
    <xf numFmtId="0" fontId="0" fillId="9" borderId="70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68" xfId="0" applyFill="1" applyBorder="1" applyAlignment="1">
      <alignment horizontal="left" vertical="center"/>
    </xf>
    <xf numFmtId="172" fontId="0" fillId="9" borderId="68" xfId="0" applyNumberFormat="1" applyFill="1" applyBorder="1" applyAlignment="1">
      <alignment horizontal="center" vertical="center"/>
    </xf>
    <xf numFmtId="172" fontId="0" fillId="9" borderId="69" xfId="0" applyNumberFormat="1" applyFill="1" applyBorder="1" applyAlignment="1">
      <alignment horizontal="center" vertical="center"/>
    </xf>
    <xf numFmtId="172" fontId="0" fillId="9" borderId="11" xfId="0" applyNumberFormat="1" applyFill="1" applyBorder="1" applyAlignment="1">
      <alignment horizontal="center" vertical="center"/>
    </xf>
    <xf numFmtId="0" fontId="0" fillId="9" borderId="77" xfId="0" applyFill="1" applyBorder="1" applyAlignment="1">
      <alignment horizontal="left" vertical="center"/>
    </xf>
    <xf numFmtId="172" fontId="0" fillId="9" borderId="77" xfId="0" applyNumberFormat="1" applyFill="1" applyBorder="1" applyAlignment="1">
      <alignment horizontal="center" vertical="center"/>
    </xf>
    <xf numFmtId="172" fontId="0" fillId="9" borderId="78" xfId="0" applyNumberFormat="1" applyFill="1" applyBorder="1" applyAlignment="1">
      <alignment horizontal="center" vertical="center"/>
    </xf>
    <xf numFmtId="172" fontId="0" fillId="9" borderId="7" xfId="0" applyNumberFormat="1" applyFill="1" applyBorder="1" applyAlignment="1">
      <alignment horizontal="center" vertical="center"/>
    </xf>
    <xf numFmtId="0" fontId="62" fillId="9" borderId="0" xfId="0" applyFont="1" applyFill="1" applyAlignment="1">
      <alignment horizontal="left" vertical="center" wrapText="1" indent="1"/>
    </xf>
    <xf numFmtId="0" fontId="53" fillId="17" borderId="93" xfId="0" applyFont="1" applyFill="1" applyBorder="1" applyAlignment="1">
      <alignment vertical="center"/>
    </xf>
    <xf numFmtId="0" fontId="53" fillId="17" borderId="94" xfId="0" applyFont="1" applyFill="1" applyBorder="1" applyAlignment="1">
      <alignment vertical="center"/>
    </xf>
    <xf numFmtId="0" fontId="53" fillId="17" borderId="95" xfId="0" applyFont="1" applyFill="1" applyBorder="1" applyAlignment="1">
      <alignment vertical="center"/>
    </xf>
    <xf numFmtId="0" fontId="0" fillId="0" borderId="96" xfId="0" applyBorder="1" applyAlignment="1">
      <alignment vertical="center"/>
    </xf>
    <xf numFmtId="0" fontId="0" fillId="0" borderId="97" xfId="0" applyBorder="1" applyAlignment="1">
      <alignment vertical="center"/>
    </xf>
    <xf numFmtId="0" fontId="0" fillId="0" borderId="98" xfId="0" applyBorder="1" applyAlignment="1">
      <alignment vertical="center"/>
    </xf>
    <xf numFmtId="0" fontId="0" fillId="12" borderId="0" xfId="0" applyFill="1" applyAlignment="1">
      <alignment horizontal="center" vertical="center"/>
    </xf>
    <xf numFmtId="0" fontId="0" fillId="9" borderId="0" xfId="0" applyFill="1" applyAlignment="1">
      <alignment horizontal="right" vertical="center"/>
    </xf>
    <xf numFmtId="171" fontId="0" fillId="9" borderId="0" xfId="0" applyNumberFormat="1" applyFill="1" applyAlignment="1">
      <alignment vertical="center"/>
    </xf>
    <xf numFmtId="0" fontId="61" fillId="9" borderId="9" xfId="0" applyFont="1" applyFill="1" applyBorder="1" applyAlignment="1">
      <alignment horizontal="center" vertical="center"/>
    </xf>
    <xf numFmtId="0" fontId="64" fillId="0" borderId="105" xfId="0" applyFont="1" applyBorder="1" applyAlignment="1">
      <alignment horizontal="center" vertical="center"/>
    </xf>
    <xf numFmtId="0" fontId="64" fillId="0" borderId="106" xfId="0" applyFont="1" applyBorder="1" applyAlignment="1">
      <alignment horizontal="center" vertical="center"/>
    </xf>
    <xf numFmtId="0" fontId="61" fillId="9" borderId="12" xfId="0" applyFont="1" applyFill="1" applyBorder="1" applyAlignment="1">
      <alignment vertical="center"/>
    </xf>
    <xf numFmtId="0" fontId="61" fillId="9" borderId="107" xfId="0" applyFont="1" applyFill="1" applyBorder="1" applyAlignment="1">
      <alignment vertical="center"/>
    </xf>
    <xf numFmtId="0" fontId="67" fillId="0" borderId="0" xfId="0" applyFont="1" applyAlignment="1">
      <alignment vertical="center"/>
    </xf>
    <xf numFmtId="0" fontId="61" fillId="0" borderId="0" xfId="0" applyFont="1" applyAlignment="1">
      <alignment horizontal="left" vertical="center"/>
    </xf>
    <xf numFmtId="0" fontId="5" fillId="9" borderId="68" xfId="0" applyFont="1" applyFill="1" applyBorder="1" applyAlignment="1">
      <alignment horizontal="center" vertical="center"/>
    </xf>
    <xf numFmtId="0" fontId="43" fillId="17" borderId="72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35" fillId="10" borderId="0" xfId="0" applyFont="1" applyFill="1" applyAlignment="1" applyProtection="1">
      <alignment horizontal="center" vertical="center"/>
      <protection locked="0"/>
    </xf>
    <xf numFmtId="49" fontId="36" fillId="10" borderId="68" xfId="0" applyNumberFormat="1" applyFont="1" applyFill="1" applyBorder="1" applyAlignment="1">
      <alignment horizontal="center" vertical="center"/>
    </xf>
    <xf numFmtId="0" fontId="35" fillId="12" borderId="0" xfId="0" applyFont="1" applyFill="1" applyAlignment="1" applyProtection="1">
      <alignment horizontal="center" vertical="center"/>
      <protection locked="0"/>
    </xf>
    <xf numFmtId="0" fontId="35" fillId="16" borderId="0" xfId="0" applyFont="1" applyFill="1" applyAlignment="1" applyProtection="1">
      <alignment horizontal="center" vertical="center"/>
      <protection locked="0"/>
    </xf>
    <xf numFmtId="49" fontId="39" fillId="16" borderId="0" xfId="0" applyNumberFormat="1" applyFont="1" applyFill="1" applyAlignment="1">
      <alignment horizontal="center" vertical="center"/>
    </xf>
    <xf numFmtId="0" fontId="41" fillId="12" borderId="68" xfId="0" applyFont="1" applyFill="1" applyBorder="1" applyAlignment="1">
      <alignment horizontal="center" vertical="center"/>
    </xf>
    <xf numFmtId="0" fontId="41" fillId="12" borderId="69" xfId="0" applyFont="1" applyFill="1" applyBorder="1" applyAlignment="1">
      <alignment horizontal="center" vertical="center"/>
    </xf>
    <xf numFmtId="0" fontId="41" fillId="12" borderId="11" xfId="0" applyFont="1" applyFill="1" applyBorder="1" applyAlignment="1">
      <alignment horizontal="center" vertical="center"/>
    </xf>
    <xf numFmtId="0" fontId="41" fillId="12" borderId="70" xfId="0" applyFont="1" applyFill="1" applyBorder="1" applyAlignment="1">
      <alignment horizontal="center" vertical="center"/>
    </xf>
    <xf numFmtId="0" fontId="41" fillId="12" borderId="37" xfId="0" applyFont="1" applyFill="1" applyBorder="1" applyAlignment="1">
      <alignment horizontal="center" vertical="center"/>
    </xf>
    <xf numFmtId="0" fontId="46" fillId="0" borderId="80" xfId="0" applyFont="1" applyBorder="1" applyAlignment="1" applyProtection="1">
      <alignment horizontal="center" vertical="center"/>
      <protection locked="0"/>
    </xf>
    <xf numFmtId="165" fontId="48" fillId="0" borderId="80" xfId="1" applyFont="1" applyFill="1" applyBorder="1" applyAlignment="1" applyProtection="1">
      <alignment horizontal="center" vertical="center" wrapText="1"/>
      <protection locked="0"/>
    </xf>
    <xf numFmtId="165" fontId="48" fillId="0" borderId="99" xfId="1" applyFont="1" applyFill="1" applyBorder="1" applyAlignment="1" applyProtection="1">
      <alignment horizontal="center" vertical="center" wrapText="1"/>
      <protection locked="0"/>
    </xf>
    <xf numFmtId="165" fontId="45" fillId="0" borderId="99" xfId="1" applyFont="1" applyFill="1" applyBorder="1" applyAlignment="1" applyProtection="1">
      <alignment horizontal="center" vertical="center" wrapText="1"/>
      <protection locked="0"/>
    </xf>
    <xf numFmtId="165" fontId="43" fillId="21" borderId="74" xfId="1" applyFont="1" applyFill="1" applyBorder="1" applyAlignment="1" applyProtection="1">
      <alignment horizontal="center" vertical="center" wrapText="1"/>
    </xf>
    <xf numFmtId="0" fontId="41" fillId="12" borderId="77" xfId="0" applyFont="1" applyFill="1" applyBorder="1" applyAlignment="1">
      <alignment horizontal="center" vertical="center"/>
    </xf>
    <xf numFmtId="0" fontId="41" fillId="12" borderId="78" xfId="0" applyFont="1" applyFill="1" applyBorder="1" applyAlignment="1">
      <alignment horizontal="center" vertical="center"/>
    </xf>
    <xf numFmtId="0" fontId="0" fillId="22" borderId="79" xfId="0" applyFill="1" applyBorder="1" applyAlignment="1">
      <alignment horizontal="center"/>
    </xf>
    <xf numFmtId="0" fontId="0" fillId="22" borderId="76" xfId="0" applyFill="1" applyBorder="1" applyAlignment="1">
      <alignment horizontal="center"/>
    </xf>
    <xf numFmtId="0" fontId="53" fillId="22" borderId="76" xfId="0" applyFont="1" applyFill="1" applyBorder="1" applyAlignment="1">
      <alignment horizontal="center" vertical="center"/>
    </xf>
    <xf numFmtId="0" fontId="0" fillId="12" borderId="70" xfId="0" applyFill="1" applyBorder="1" applyAlignment="1">
      <alignment horizontal="center" vertical="center"/>
    </xf>
    <xf numFmtId="4" fontId="43" fillId="21" borderId="74" xfId="1" applyNumberFormat="1" applyFont="1" applyFill="1" applyBorder="1" applyAlignment="1" applyProtection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61" fillId="9" borderId="10" xfId="0" applyFont="1" applyFill="1" applyBorder="1" applyAlignment="1">
      <alignment horizontal="center" vertical="center"/>
    </xf>
    <xf numFmtId="0" fontId="61" fillId="9" borderId="70" xfId="0" applyFont="1" applyFill="1" applyBorder="1" applyAlignment="1">
      <alignment vertical="center"/>
    </xf>
    <xf numFmtId="0" fontId="61" fillId="4" borderId="79" xfId="0" applyFont="1" applyFill="1" applyBorder="1" applyAlignment="1">
      <alignment horizontal="center" vertical="center"/>
    </xf>
    <xf numFmtId="0" fontId="61" fillId="9" borderId="79" xfId="0" applyFont="1" applyFill="1" applyBorder="1" applyAlignment="1">
      <alignment vertical="center"/>
    </xf>
    <xf numFmtId="165" fontId="0" fillId="9" borderId="107" xfId="1" applyFont="1" applyFill="1" applyBorder="1" applyAlignment="1">
      <alignment vertical="center"/>
    </xf>
    <xf numFmtId="165" fontId="0" fillId="9" borderId="107" xfId="1" applyFont="1" applyFill="1" applyBorder="1" applyAlignment="1">
      <alignment horizontal="center" vertical="center"/>
    </xf>
    <xf numFmtId="165" fontId="0" fillId="12" borderId="0" xfId="1" applyFont="1" applyFill="1" applyAlignment="1">
      <alignment vertical="center"/>
    </xf>
    <xf numFmtId="171" fontId="73" fillId="17" borderId="90" xfId="0" applyNumberFormat="1" applyFont="1" applyFill="1" applyBorder="1" applyAlignment="1">
      <alignment vertical="center"/>
    </xf>
    <xf numFmtId="165" fontId="0" fillId="9" borderId="70" xfId="1" applyFont="1" applyFill="1" applyBorder="1" applyAlignment="1">
      <alignment horizontal="center" vertical="center"/>
    </xf>
    <xf numFmtId="4" fontId="0" fillId="12" borderId="0" xfId="0" applyNumberFormat="1" applyFill="1"/>
    <xf numFmtId="4" fontId="35" fillId="12" borderId="0" xfId="0" applyNumberFormat="1" applyFont="1" applyFill="1" applyAlignment="1" applyProtection="1">
      <alignment vertical="center"/>
      <protection locked="0"/>
    </xf>
    <xf numFmtId="4" fontId="0" fillId="12" borderId="0" xfId="0" applyNumberFormat="1" applyFill="1" applyAlignment="1">
      <alignment vertical="center"/>
    </xf>
    <xf numFmtId="4" fontId="0" fillId="9" borderId="70" xfId="1" applyNumberFormat="1" applyFont="1" applyFill="1" applyBorder="1" applyAlignment="1">
      <alignment horizontal="center" vertical="center"/>
    </xf>
    <xf numFmtId="0" fontId="46" fillId="0" borderId="74" xfId="0" applyFont="1" applyBorder="1" applyAlignment="1" applyProtection="1">
      <alignment horizontal="center" vertical="center"/>
      <protection locked="0"/>
    </xf>
    <xf numFmtId="165" fontId="48" fillId="0" borderId="74" xfId="1" applyFont="1" applyFill="1" applyBorder="1" applyAlignment="1" applyProtection="1">
      <alignment horizontal="center" vertical="center" wrapText="1"/>
      <protection locked="0"/>
    </xf>
    <xf numFmtId="165" fontId="45" fillId="0" borderId="74" xfId="1" applyFont="1" applyFill="1" applyBorder="1" applyAlignment="1" applyProtection="1">
      <alignment horizontal="center" vertical="center" wrapText="1"/>
      <protection locked="0"/>
    </xf>
    <xf numFmtId="0" fontId="64" fillId="0" borderId="0" xfId="0" applyFont="1" applyAlignment="1">
      <alignment horizontal="center" vertical="center"/>
    </xf>
    <xf numFmtId="0" fontId="73" fillId="17" borderId="0" xfId="0" applyFont="1" applyFill="1" applyAlignment="1">
      <alignment horizontal="center" vertical="center"/>
    </xf>
    <xf numFmtId="0" fontId="46" fillId="11" borderId="80" xfId="0" applyFont="1" applyFill="1" applyBorder="1" applyAlignment="1" applyProtection="1">
      <alignment horizontal="center" vertical="center"/>
      <protection locked="0"/>
    </xf>
    <xf numFmtId="0" fontId="46" fillId="5" borderId="80" xfId="0" applyFont="1" applyFill="1" applyBorder="1" applyAlignment="1" applyProtection="1">
      <alignment horizontal="center" vertical="center"/>
      <protection locked="0"/>
    </xf>
    <xf numFmtId="0" fontId="46" fillId="7" borderId="80" xfId="0" applyFont="1" applyFill="1" applyBorder="1" applyAlignment="1" applyProtection="1">
      <alignment horizontal="center" vertical="center"/>
      <protection locked="0"/>
    </xf>
    <xf numFmtId="0" fontId="46" fillId="13" borderId="80" xfId="0" applyFont="1" applyFill="1" applyBorder="1" applyAlignment="1" applyProtection="1">
      <alignment horizontal="center" vertical="center"/>
      <protection locked="0"/>
    </xf>
    <xf numFmtId="0" fontId="46" fillId="14" borderId="80" xfId="0" applyFont="1" applyFill="1" applyBorder="1" applyAlignment="1" applyProtection="1">
      <alignment horizontal="center" vertical="center"/>
      <protection locked="0"/>
    </xf>
    <xf numFmtId="0" fontId="46" fillId="4" borderId="80" xfId="0" applyFont="1" applyFill="1" applyBorder="1" applyAlignment="1" applyProtection="1">
      <alignment horizontal="center" vertical="center"/>
      <protection locked="0"/>
    </xf>
    <xf numFmtId="0" fontId="46" fillId="25" borderId="80" xfId="0" applyFont="1" applyFill="1" applyBorder="1" applyAlignment="1" applyProtection="1">
      <alignment horizontal="center" vertical="center"/>
      <protection locked="0"/>
    </xf>
    <xf numFmtId="0" fontId="0" fillId="12" borderId="70" xfId="0" applyFill="1" applyBorder="1"/>
    <xf numFmtId="0" fontId="0" fillId="12" borderId="37" xfId="0" applyFill="1" applyBorder="1"/>
    <xf numFmtId="0" fontId="0" fillId="12" borderId="77" xfId="0" applyFill="1" applyBorder="1"/>
    <xf numFmtId="0" fontId="0" fillId="12" borderId="78" xfId="0" applyFill="1" applyBorder="1"/>
    <xf numFmtId="0" fontId="0" fillId="12" borderId="7" xfId="0" applyFill="1" applyBorder="1"/>
    <xf numFmtId="0" fontId="66" fillId="0" borderId="10" xfId="0" applyFont="1" applyBorder="1" applyAlignment="1">
      <alignment horizontal="center" vertical="center"/>
    </xf>
    <xf numFmtId="173" fontId="22" fillId="0" borderId="0" xfId="0" applyNumberFormat="1" applyFont="1" applyAlignment="1">
      <alignment horizontal="right" vertical="center"/>
    </xf>
    <xf numFmtId="173" fontId="22" fillId="0" borderId="108" xfId="0" applyNumberFormat="1" applyFont="1" applyBorder="1" applyAlignment="1">
      <alignment horizontal="right" vertical="center"/>
    </xf>
    <xf numFmtId="173" fontId="33" fillId="0" borderId="81" xfId="0" applyNumberFormat="1" applyFont="1" applyBorder="1" applyAlignment="1">
      <alignment horizontal="right" vertical="center"/>
    </xf>
    <xf numFmtId="173" fontId="33" fillId="0" borderId="109" xfId="0" applyNumberFormat="1" applyFont="1" applyBorder="1" applyAlignment="1">
      <alignment horizontal="right" vertical="center"/>
    </xf>
    <xf numFmtId="167" fontId="67" fillId="0" borderId="0" xfId="1" applyNumberFormat="1" applyFont="1" applyFill="1" applyBorder="1" applyAlignment="1">
      <alignment vertical="center"/>
    </xf>
    <xf numFmtId="173" fontId="22" fillId="0" borderId="0" xfId="0" applyNumberFormat="1" applyFont="1" applyAlignment="1">
      <alignment vertical="center"/>
    </xf>
    <xf numFmtId="0" fontId="67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108" xfId="0" applyFont="1" applyBorder="1"/>
    <xf numFmtId="0" fontId="22" fillId="12" borderId="10" xfId="0" applyFont="1" applyFill="1" applyBorder="1" applyAlignment="1">
      <alignment vertical="center"/>
    </xf>
    <xf numFmtId="165" fontId="22" fillId="12" borderId="10" xfId="0" applyNumberFormat="1" applyFont="1" applyFill="1" applyBorder="1" applyAlignment="1">
      <alignment horizontal="center" vertical="center"/>
    </xf>
    <xf numFmtId="165" fontId="75" fillId="12" borderId="10" xfId="0" applyNumberFormat="1" applyFont="1" applyFill="1" applyBorder="1" applyAlignment="1">
      <alignment horizontal="center" vertical="center"/>
    </xf>
    <xf numFmtId="4" fontId="22" fillId="12" borderId="10" xfId="0" applyNumberFormat="1" applyFont="1" applyFill="1" applyBorder="1" applyAlignment="1">
      <alignment horizontal="center" vertical="center"/>
    </xf>
    <xf numFmtId="0" fontId="23" fillId="12" borderId="0" xfId="7" applyFill="1" applyAlignment="1" applyProtection="1">
      <alignment vertical="center"/>
      <protection locked="0"/>
    </xf>
    <xf numFmtId="0" fontId="23" fillId="12" borderId="0" xfId="7" applyFill="1" applyAlignment="1">
      <alignment horizontal="center" vertical="center"/>
    </xf>
    <xf numFmtId="0" fontId="77" fillId="24" borderId="0" xfId="7" applyFont="1" applyFill="1" applyAlignment="1">
      <alignment horizontal="center" vertical="center"/>
    </xf>
    <xf numFmtId="0" fontId="5" fillId="12" borderId="0" xfId="0" applyFont="1" applyFill="1" applyAlignment="1">
      <alignment vertical="center"/>
    </xf>
    <xf numFmtId="165" fontId="22" fillId="0" borderId="10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7" fontId="78" fillId="26" borderId="17" xfId="1" applyNumberFormat="1" applyFont="1" applyFill="1" applyBorder="1" applyAlignment="1">
      <alignment horizontal="center" vertical="center"/>
    </xf>
    <xf numFmtId="167" fontId="78" fillId="26" borderId="20" xfId="1" applyNumberFormat="1" applyFont="1" applyFill="1" applyBorder="1" applyAlignment="1">
      <alignment horizontal="center" vertical="center"/>
    </xf>
    <xf numFmtId="0" fontId="78" fillId="26" borderId="19" xfId="0" applyFont="1" applyFill="1" applyBorder="1" applyAlignment="1">
      <alignment horizontal="center" vertical="center"/>
    </xf>
    <xf numFmtId="0" fontId="80" fillId="9" borderId="16" xfId="0" applyFont="1" applyFill="1" applyBorder="1" applyAlignment="1">
      <alignment horizontal="center" vertical="center"/>
    </xf>
    <xf numFmtId="0" fontId="80" fillId="9" borderId="43" xfId="0" applyFont="1" applyFill="1" applyBorder="1" applyAlignment="1">
      <alignment horizontal="center" vertical="center"/>
    </xf>
    <xf numFmtId="0" fontId="78" fillId="26" borderId="10" xfId="0" applyFont="1" applyFill="1" applyBorder="1" applyAlignment="1">
      <alignment horizontal="center" vertical="center"/>
    </xf>
    <xf numFmtId="0" fontId="79" fillId="26" borderId="10" xfId="0" applyFont="1" applyFill="1" applyBorder="1" applyAlignment="1">
      <alignment horizontal="center" vertical="center"/>
    </xf>
    <xf numFmtId="0" fontId="82" fillId="24" borderId="10" xfId="7" applyFont="1" applyFill="1" applyBorder="1" applyAlignment="1">
      <alignment horizontal="center" vertical="center"/>
    </xf>
    <xf numFmtId="0" fontId="83" fillId="24" borderId="10" xfId="7" applyFont="1" applyFill="1" applyBorder="1" applyAlignment="1">
      <alignment horizontal="center" vertical="center"/>
    </xf>
    <xf numFmtId="165" fontId="29" fillId="0" borderId="18" xfId="1" applyFont="1" applyFill="1" applyBorder="1" applyAlignment="1">
      <alignment horizontal="center" vertical="center"/>
    </xf>
    <xf numFmtId="0" fontId="15" fillId="19" borderId="10" xfId="0" applyFont="1" applyFill="1" applyBorder="1"/>
    <xf numFmtId="165" fontId="9" fillId="19" borderId="10" xfId="1" applyFont="1" applyFill="1" applyBorder="1"/>
    <xf numFmtId="0" fontId="85" fillId="16" borderId="10" xfId="0" applyFont="1" applyFill="1" applyBorder="1" applyAlignment="1">
      <alignment horizontal="center"/>
    </xf>
    <xf numFmtId="165" fontId="85" fillId="16" borderId="10" xfId="1" applyFont="1" applyFill="1" applyBorder="1"/>
    <xf numFmtId="0" fontId="86" fillId="16" borderId="10" xfId="0" applyFont="1" applyFill="1" applyBorder="1" applyAlignment="1">
      <alignment horizontal="center" vertical="center"/>
    </xf>
    <xf numFmtId="165" fontId="86" fillId="16" borderId="10" xfId="1" applyFont="1" applyFill="1" applyBorder="1"/>
    <xf numFmtId="0" fontId="82" fillId="16" borderId="10" xfId="0" applyFont="1" applyFill="1" applyBorder="1"/>
    <xf numFmtId="0" fontId="82" fillId="16" borderId="10" xfId="0" applyFont="1" applyFill="1" applyBorder="1" applyAlignment="1">
      <alignment horizontal="center" vertical="center"/>
    </xf>
    <xf numFmtId="165" fontId="86" fillId="16" borderId="10" xfId="1" applyFont="1" applyFill="1" applyBorder="1" applyAlignment="1">
      <alignment horizontal="center" vertical="center"/>
    </xf>
    <xf numFmtId="167" fontId="7" fillId="12" borderId="8" xfId="1" applyNumberFormat="1" applyFont="1" applyFill="1" applyBorder="1"/>
    <xf numFmtId="167" fontId="7" fillId="12" borderId="10" xfId="1" applyNumberFormat="1" applyFont="1" applyFill="1" applyBorder="1"/>
    <xf numFmtId="4" fontId="89" fillId="0" borderId="0" xfId="0" applyNumberFormat="1" applyFont="1"/>
    <xf numFmtId="165" fontId="84" fillId="0" borderId="0" xfId="1" applyFont="1" applyFill="1"/>
    <xf numFmtId="4" fontId="84" fillId="0" borderId="0" xfId="1" applyNumberFormat="1" applyFont="1" applyFill="1"/>
    <xf numFmtId="167" fontId="88" fillId="16" borderId="27" xfId="1" applyNumberFormat="1" applyFont="1" applyFill="1" applyBorder="1" applyAlignment="1" applyProtection="1">
      <alignment horizontal="center" vertical="center"/>
      <protection hidden="1"/>
    </xf>
    <xf numFmtId="0" fontId="88" fillId="16" borderId="53" xfId="0" applyFont="1" applyFill="1" applyBorder="1" applyAlignment="1" applyProtection="1">
      <alignment horizontal="center" vertical="center"/>
      <protection hidden="1"/>
    </xf>
    <xf numFmtId="38" fontId="88" fillId="16" borderId="27" xfId="1" applyNumberFormat="1" applyFont="1" applyFill="1" applyBorder="1" applyAlignment="1" applyProtection="1">
      <alignment horizontal="center" vertical="center"/>
      <protection hidden="1"/>
    </xf>
    <xf numFmtId="0" fontId="88" fillId="16" borderId="2" xfId="0" applyFont="1" applyFill="1" applyBorder="1" applyAlignment="1" applyProtection="1">
      <alignment horizontal="center" vertical="center"/>
      <protection hidden="1"/>
    </xf>
    <xf numFmtId="0" fontId="88" fillId="16" borderId="39" xfId="0" applyFont="1" applyFill="1" applyBorder="1" applyAlignment="1" applyProtection="1">
      <alignment horizontal="center" vertical="center"/>
      <protection hidden="1"/>
    </xf>
    <xf numFmtId="0" fontId="88" fillId="16" borderId="25" xfId="0" applyFont="1" applyFill="1" applyBorder="1" applyAlignment="1" applyProtection="1">
      <alignment horizontal="center" vertical="center"/>
      <protection hidden="1"/>
    </xf>
    <xf numFmtId="0" fontId="88" fillId="16" borderId="3" xfId="0" applyFont="1" applyFill="1" applyBorder="1" applyAlignment="1" applyProtection="1">
      <alignment horizontal="center" vertical="center"/>
      <protection hidden="1"/>
    </xf>
    <xf numFmtId="0" fontId="7" fillId="6" borderId="38" xfId="0" applyFont="1" applyFill="1" applyBorder="1" applyAlignment="1" applyProtection="1">
      <alignment horizontal="center" vertical="center"/>
      <protection hidden="1"/>
    </xf>
    <xf numFmtId="0" fontId="7" fillId="6" borderId="55" xfId="0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7" fillId="6" borderId="51" xfId="0" applyFont="1" applyFill="1" applyBorder="1" applyAlignment="1" applyProtection="1">
      <alignment horizontal="center" vertical="center"/>
      <protection hidden="1"/>
    </xf>
    <xf numFmtId="0" fontId="7" fillId="6" borderId="67" xfId="0" applyFont="1" applyFill="1" applyBorder="1" applyAlignment="1" applyProtection="1">
      <alignment horizontal="center" vertical="center"/>
      <protection hidden="1"/>
    </xf>
    <xf numFmtId="167" fontId="7" fillId="6" borderId="63" xfId="1" applyNumberFormat="1" applyFont="1" applyFill="1" applyBorder="1" applyAlignment="1" applyProtection="1">
      <alignment horizontal="center" vertical="center"/>
      <protection hidden="1"/>
    </xf>
    <xf numFmtId="167" fontId="7" fillId="6" borderId="56" xfId="1" applyNumberFormat="1" applyFont="1" applyFill="1" applyBorder="1" applyAlignment="1" applyProtection="1">
      <alignment horizontal="center" vertical="center"/>
      <protection hidden="1"/>
    </xf>
    <xf numFmtId="167" fontId="7" fillId="6" borderId="57" xfId="1" applyNumberFormat="1" applyFont="1" applyFill="1" applyBorder="1" applyAlignment="1" applyProtection="1">
      <alignment horizontal="center" vertical="center"/>
      <protection hidden="1"/>
    </xf>
    <xf numFmtId="167" fontId="7" fillId="6" borderId="64" xfId="1" applyNumberFormat="1" applyFont="1" applyFill="1" applyBorder="1" applyAlignment="1" applyProtection="1">
      <alignment horizontal="center" vertical="center"/>
      <protection hidden="1"/>
    </xf>
    <xf numFmtId="167" fontId="7" fillId="6" borderId="2" xfId="1" applyNumberFormat="1" applyFont="1" applyFill="1" applyBorder="1" applyAlignment="1" applyProtection="1">
      <alignment horizontal="center" vertical="center"/>
      <protection hidden="1"/>
    </xf>
    <xf numFmtId="167" fontId="7" fillId="6" borderId="50" xfId="1" applyNumberFormat="1" applyFont="1" applyFill="1" applyBorder="1" applyAlignment="1" applyProtection="1">
      <alignment horizontal="center" vertical="center"/>
      <protection hidden="1"/>
    </xf>
    <xf numFmtId="167" fontId="7" fillId="27" borderId="6" xfId="1" applyNumberFormat="1" applyFont="1" applyFill="1" applyBorder="1" applyAlignment="1" applyProtection="1">
      <alignment horizontal="center" vertical="center"/>
      <protection hidden="1"/>
    </xf>
    <xf numFmtId="167" fontId="7" fillId="27" borderId="58" xfId="1" applyNumberFormat="1" applyFont="1" applyFill="1" applyBorder="1" applyAlignment="1" applyProtection="1">
      <alignment horizontal="center" vertical="center"/>
      <protection hidden="1"/>
    </xf>
    <xf numFmtId="167" fontId="7" fillId="27" borderId="62" xfId="1" applyNumberFormat="1" applyFont="1" applyFill="1" applyBorder="1" applyAlignment="1" applyProtection="1">
      <alignment horizontal="center" vertical="center"/>
      <protection hidden="1"/>
    </xf>
    <xf numFmtId="167" fontId="7" fillId="27" borderId="50" xfId="1" applyNumberFormat="1" applyFont="1" applyFill="1" applyBorder="1" applyAlignment="1" applyProtection="1">
      <alignment horizontal="center" vertical="center"/>
      <protection hidden="1"/>
    </xf>
    <xf numFmtId="167" fontId="7" fillId="27" borderId="4" xfId="1" applyNumberFormat="1" applyFont="1" applyFill="1" applyBorder="1" applyAlignment="1" applyProtection="1">
      <alignment horizontal="center" vertical="center"/>
      <protection hidden="1"/>
    </xf>
    <xf numFmtId="0" fontId="22" fillId="12" borderId="0" xfId="0" applyFont="1" applyFill="1" applyAlignment="1">
      <alignment vertical="center"/>
    </xf>
    <xf numFmtId="0" fontId="89" fillId="10" borderId="0" xfId="0" applyFont="1" applyFill="1"/>
    <xf numFmtId="165" fontId="89" fillId="10" borderId="0" xfId="1" applyFont="1" applyFill="1"/>
    <xf numFmtId="165" fontId="90" fillId="17" borderId="23" xfId="1" applyFont="1" applyFill="1" applyBorder="1" applyAlignment="1">
      <alignment horizontal="center" vertical="center"/>
    </xf>
    <xf numFmtId="165" fontId="90" fillId="17" borderId="22" xfId="1" applyFont="1" applyFill="1" applyBorder="1" applyAlignment="1">
      <alignment horizontal="center" vertical="center" wrapText="1"/>
    </xf>
    <xf numFmtId="165" fontId="90" fillId="17" borderId="1" xfId="1" applyFont="1" applyFill="1" applyBorder="1" applyAlignment="1">
      <alignment horizontal="center" vertical="center"/>
    </xf>
    <xf numFmtId="165" fontId="90" fillId="17" borderId="21" xfId="1" applyFont="1" applyFill="1" applyBorder="1" applyAlignment="1">
      <alignment horizontal="center" vertical="center"/>
    </xf>
    <xf numFmtId="165" fontId="90" fillId="17" borderId="22" xfId="1" applyFont="1" applyFill="1" applyBorder="1" applyAlignment="1">
      <alignment horizontal="center" vertical="center"/>
    </xf>
    <xf numFmtId="0" fontId="90" fillId="17" borderId="21" xfId="0" applyFont="1" applyFill="1" applyBorder="1" applyAlignment="1">
      <alignment horizontal="center" vertical="center"/>
    </xf>
    <xf numFmtId="0" fontId="82" fillId="17" borderId="10" xfId="0" applyFont="1" applyFill="1" applyBorder="1"/>
    <xf numFmtId="165" fontId="86" fillId="17" borderId="10" xfId="1" applyFont="1" applyFill="1" applyBorder="1"/>
    <xf numFmtId="4" fontId="18" fillId="0" borderId="0" xfId="0" applyNumberFormat="1" applyFont="1"/>
    <xf numFmtId="38" fontId="88" fillId="28" borderId="27" xfId="1" applyNumberFormat="1" applyFont="1" applyFill="1" applyBorder="1" applyAlignment="1" applyProtection="1">
      <alignment horizontal="center" vertical="center"/>
      <protection hidden="1"/>
    </xf>
    <xf numFmtId="0" fontId="46" fillId="0" borderId="74" xfId="0" applyFont="1" applyBorder="1" applyAlignment="1" applyProtection="1">
      <alignment horizontal="right" vertical="center"/>
      <protection locked="0"/>
    </xf>
    <xf numFmtId="0" fontId="43" fillId="17" borderId="0" xfId="0" applyFont="1" applyFill="1" applyAlignment="1">
      <alignment horizontal="center" vertical="center" wrapText="1"/>
    </xf>
    <xf numFmtId="0" fontId="43" fillId="17" borderId="0" xfId="0" applyFont="1" applyFill="1" applyAlignment="1">
      <alignment horizontal="center" vertical="center"/>
    </xf>
    <xf numFmtId="0" fontId="68" fillId="0" borderId="91" xfId="0" applyFont="1" applyBorder="1" applyAlignment="1">
      <alignment horizontal="centerContinuous" vertical="distributed"/>
    </xf>
    <xf numFmtId="0" fontId="68" fillId="0" borderId="0" xfId="0" applyFont="1" applyAlignment="1">
      <alignment horizontal="centerContinuous" vertical="distributed"/>
    </xf>
    <xf numFmtId="0" fontId="68" fillId="0" borderId="92" xfId="0" applyFont="1" applyBorder="1" applyAlignment="1">
      <alignment horizontal="centerContinuous" vertical="distributed"/>
    </xf>
    <xf numFmtId="165" fontId="14" fillId="7" borderId="29" xfId="1" applyFont="1" applyFill="1" applyBorder="1" applyAlignment="1">
      <alignment horizontal="center" vertical="center"/>
    </xf>
    <xf numFmtId="4" fontId="18" fillId="7" borderId="0" xfId="0" applyNumberFormat="1" applyFont="1" applyFill="1"/>
    <xf numFmtId="165" fontId="92" fillId="7" borderId="0" xfId="1" applyFont="1" applyFill="1"/>
    <xf numFmtId="0" fontId="94" fillId="17" borderId="89" xfId="0" applyFont="1" applyFill="1" applyBorder="1" applyAlignment="1">
      <alignment horizontal="right" vertical="center"/>
    </xf>
    <xf numFmtId="167" fontId="94" fillId="17" borderId="0" xfId="1" applyNumberFormat="1" applyFont="1" applyFill="1" applyBorder="1" applyAlignment="1">
      <alignment horizontal="right" vertical="center"/>
    </xf>
    <xf numFmtId="0" fontId="96" fillId="5" borderId="105" xfId="0" applyFont="1" applyFill="1" applyBorder="1" applyAlignment="1">
      <alignment horizontal="right" vertical="center"/>
    </xf>
    <xf numFmtId="170" fontId="96" fillId="5" borderId="0" xfId="0" applyNumberFormat="1" applyFont="1" applyFill="1" applyAlignment="1">
      <alignment horizontal="right" vertical="center"/>
    </xf>
    <xf numFmtId="0" fontId="95" fillId="5" borderId="0" xfId="0" applyFont="1" applyFill="1" applyAlignment="1">
      <alignment horizontal="center" vertical="center"/>
    </xf>
    <xf numFmtId="171" fontId="96" fillId="5" borderId="106" xfId="0" applyNumberFormat="1" applyFont="1" applyFill="1" applyBorder="1" applyAlignment="1">
      <alignment vertical="center"/>
    </xf>
    <xf numFmtId="0" fontId="96" fillId="5" borderId="0" xfId="0" applyFont="1" applyFill="1" applyAlignment="1">
      <alignment horizontal="center" vertical="center"/>
    </xf>
    <xf numFmtId="0" fontId="96" fillId="5" borderId="105" xfId="0" applyFont="1" applyFill="1" applyBorder="1" applyAlignment="1">
      <alignment vertical="center"/>
    </xf>
    <xf numFmtId="0" fontId="96" fillId="5" borderId="0" xfId="0" applyFont="1" applyFill="1" applyAlignment="1">
      <alignment vertical="center"/>
    </xf>
    <xf numFmtId="0" fontId="96" fillId="5" borderId="106" xfId="0" applyFont="1" applyFill="1" applyBorder="1" applyAlignment="1">
      <alignment vertical="center"/>
    </xf>
    <xf numFmtId="174" fontId="95" fillId="5" borderId="0" xfId="0" applyNumberFormat="1" applyFont="1" applyFill="1" applyAlignment="1">
      <alignment vertical="center"/>
    </xf>
    <xf numFmtId="174" fontId="95" fillId="5" borderId="0" xfId="0" applyNumberFormat="1" applyFont="1" applyFill="1" applyAlignment="1">
      <alignment horizontal="right" vertical="center"/>
    </xf>
    <xf numFmtId="165" fontId="48" fillId="0" borderId="80" xfId="1" applyFont="1" applyFill="1" applyBorder="1" applyAlignment="1" applyProtection="1">
      <alignment horizontal="right" vertical="center" wrapText="1"/>
    </xf>
    <xf numFmtId="167" fontId="54" fillId="19" borderId="82" xfId="1" applyNumberFormat="1" applyFont="1" applyFill="1" applyBorder="1" applyAlignment="1" applyProtection="1">
      <alignment horizontal="right" vertical="center" wrapText="1"/>
    </xf>
    <xf numFmtId="167" fontId="57" fillId="0" borderId="82" xfId="1" applyNumberFormat="1" applyFont="1" applyFill="1" applyBorder="1" applyAlignment="1" applyProtection="1">
      <alignment horizontal="center" vertical="center" wrapText="1"/>
    </xf>
    <xf numFmtId="167" fontId="35" fillId="0" borderId="82" xfId="1" applyNumberFormat="1" applyFont="1" applyFill="1" applyBorder="1" applyAlignment="1" applyProtection="1">
      <alignment horizontal="center" vertical="center" wrapText="1"/>
    </xf>
    <xf numFmtId="167" fontId="57" fillId="18" borderId="82" xfId="1" applyNumberFormat="1" applyFont="1" applyFill="1" applyBorder="1" applyAlignment="1" applyProtection="1">
      <alignment horizontal="right" vertical="center" wrapText="1"/>
    </xf>
    <xf numFmtId="167" fontId="35" fillId="0" borderId="82" xfId="1" applyNumberFormat="1" applyFont="1" applyFill="1" applyBorder="1" applyAlignment="1" applyProtection="1">
      <alignment horizontal="right" vertical="center" wrapText="1"/>
    </xf>
    <xf numFmtId="167" fontId="57" fillId="19" borderId="82" xfId="1" applyNumberFormat="1" applyFont="1" applyFill="1" applyBorder="1" applyAlignment="1" applyProtection="1">
      <alignment horizontal="right" vertical="center" wrapText="1"/>
    </xf>
    <xf numFmtId="0" fontId="29" fillId="0" borderId="82" xfId="0" applyFont="1" applyBorder="1" applyAlignment="1" applyProtection="1">
      <alignment horizontal="center" vertical="center"/>
      <protection locked="0"/>
    </xf>
    <xf numFmtId="0" fontId="29" fillId="23" borderId="82" xfId="0" applyFont="1" applyFill="1" applyBorder="1" applyAlignment="1" applyProtection="1">
      <alignment horizontal="center" vertical="center"/>
      <protection locked="0"/>
    </xf>
    <xf numFmtId="0" fontId="29" fillId="18" borderId="82" xfId="0" applyFont="1" applyFill="1" applyBorder="1" applyAlignment="1">
      <alignment horizontal="center" vertical="center"/>
    </xf>
    <xf numFmtId="0" fontId="29" fillId="19" borderId="82" xfId="0" applyFont="1" applyFill="1" applyBorder="1" applyAlignment="1">
      <alignment horizontal="center" vertical="center"/>
    </xf>
    <xf numFmtId="0" fontId="97" fillId="20" borderId="82" xfId="0" applyFont="1" applyFill="1" applyBorder="1" applyAlignment="1">
      <alignment horizontal="center" vertical="center"/>
    </xf>
    <xf numFmtId="167" fontId="98" fillId="20" borderId="82" xfId="1" applyNumberFormat="1" applyFont="1" applyFill="1" applyBorder="1" applyAlignment="1" applyProtection="1">
      <alignment horizontal="right" vertical="center" wrapText="1"/>
    </xf>
    <xf numFmtId="167" fontId="99" fillId="0" borderId="80" xfId="1" applyNumberFormat="1" applyFont="1" applyFill="1" applyBorder="1" applyAlignment="1" applyProtection="1">
      <alignment horizontal="right" vertical="center" wrapText="1"/>
    </xf>
    <xf numFmtId="167" fontId="56" fillId="0" borderId="80" xfId="1" applyNumberFormat="1" applyFont="1" applyFill="1" applyBorder="1" applyAlignment="1" applyProtection="1">
      <alignment horizontal="right" vertical="center" wrapText="1"/>
    </xf>
    <xf numFmtId="167" fontId="43" fillId="21" borderId="74" xfId="1" applyNumberFormat="1" applyFont="1" applyFill="1" applyBorder="1" applyAlignment="1" applyProtection="1">
      <alignment horizontal="right" vertical="center" wrapText="1"/>
    </xf>
    <xf numFmtId="167" fontId="43" fillId="20" borderId="72" xfId="1" applyNumberFormat="1" applyFont="1" applyFill="1" applyBorder="1" applyAlignment="1" applyProtection="1">
      <alignment horizontal="right" vertical="center" wrapText="1" indent="1"/>
    </xf>
    <xf numFmtId="38" fontId="51" fillId="5" borderId="76" xfId="1" applyNumberFormat="1" applyFont="1" applyFill="1" applyBorder="1" applyAlignment="1" applyProtection="1">
      <alignment horizontal="center" vertical="center" wrapText="1"/>
    </xf>
    <xf numFmtId="167" fontId="57" fillId="0" borderId="111" xfId="1" applyNumberFormat="1" applyFont="1" applyFill="1" applyBorder="1" applyAlignment="1" applyProtection="1">
      <alignment horizontal="center" vertical="center" wrapText="1"/>
    </xf>
    <xf numFmtId="164" fontId="100" fillId="12" borderId="10" xfId="0" applyNumberFormat="1" applyFont="1" applyFill="1" applyBorder="1" applyAlignment="1">
      <alignment horizontal="center" vertical="center"/>
    </xf>
    <xf numFmtId="167" fontId="57" fillId="5" borderId="82" xfId="1" applyNumberFormat="1" applyFont="1" applyFill="1" applyBorder="1" applyAlignment="1" applyProtection="1">
      <alignment horizontal="center" vertical="center" wrapText="1"/>
    </xf>
    <xf numFmtId="38" fontId="101" fillId="5" borderId="76" xfId="1" applyNumberFormat="1" applyFont="1" applyFill="1" applyBorder="1" applyAlignment="1" applyProtection="1">
      <alignment horizontal="center" vertical="center" wrapText="1"/>
    </xf>
    <xf numFmtId="165" fontId="45" fillId="0" borderId="80" xfId="1" applyFont="1" applyFill="1" applyBorder="1" applyAlignment="1" applyProtection="1">
      <alignment horizontal="right" vertical="center" wrapText="1"/>
    </xf>
    <xf numFmtId="173" fontId="11" fillId="0" borderId="0" xfId="2" applyNumberFormat="1" applyFont="1"/>
    <xf numFmtId="0" fontId="98" fillId="20" borderId="82" xfId="0" applyFont="1" applyFill="1" applyBorder="1" applyAlignment="1">
      <alignment horizontal="center" vertical="center"/>
    </xf>
    <xf numFmtId="38" fontId="101" fillId="24" borderId="76" xfId="1" applyNumberFormat="1" applyFont="1" applyFill="1" applyBorder="1" applyAlignment="1" applyProtection="1">
      <alignment horizontal="center" vertical="center" wrapText="1"/>
    </xf>
    <xf numFmtId="167" fontId="43" fillId="24" borderId="74" xfId="1" applyNumberFormat="1" applyFont="1" applyFill="1" applyBorder="1" applyAlignment="1" applyProtection="1">
      <alignment horizontal="right" vertical="center" wrapText="1"/>
    </xf>
    <xf numFmtId="0" fontId="55" fillId="12" borderId="37" xfId="0" applyFont="1" applyFill="1" applyBorder="1" applyAlignment="1">
      <alignment vertical="center"/>
    </xf>
    <xf numFmtId="0" fontId="41" fillId="12" borderId="112" xfId="0" applyFont="1" applyFill="1" applyBorder="1" applyAlignment="1">
      <alignment vertical="center"/>
    </xf>
    <xf numFmtId="0" fontId="102" fillId="12" borderId="0" xfId="0" applyFont="1" applyFill="1" applyAlignment="1">
      <alignment horizontal="center" vertical="center"/>
    </xf>
    <xf numFmtId="165" fontId="43" fillId="20" borderId="72" xfId="1" applyFont="1" applyFill="1" applyBorder="1" applyAlignment="1" applyProtection="1">
      <alignment horizontal="center" vertical="center" wrapText="1"/>
    </xf>
    <xf numFmtId="167" fontId="100" fillId="12" borderId="10" xfId="1" applyNumberFormat="1" applyFont="1" applyFill="1" applyBorder="1" applyAlignment="1">
      <alignment horizontal="center" vertical="center"/>
    </xf>
    <xf numFmtId="167" fontId="34" fillId="0" borderId="80" xfId="1" applyNumberFormat="1" applyFont="1" applyFill="1" applyBorder="1" applyAlignment="1" applyProtection="1">
      <alignment horizontal="right" vertical="center" wrapText="1"/>
    </xf>
    <xf numFmtId="175" fontId="41" fillId="12" borderId="78" xfId="0" applyNumberFormat="1" applyFont="1" applyFill="1" applyBorder="1" applyAlignment="1">
      <alignment horizontal="center" vertical="center"/>
    </xf>
    <xf numFmtId="167" fontId="0" fillId="0" borderId="0" xfId="0" applyNumberFormat="1"/>
    <xf numFmtId="175" fontId="103" fillId="12" borderId="78" xfId="0" applyNumberFormat="1" applyFont="1" applyFill="1" applyBorder="1" applyAlignment="1">
      <alignment horizontal="center" vertical="center"/>
    </xf>
    <xf numFmtId="4" fontId="89" fillId="6" borderId="0" xfId="0" applyNumberFormat="1" applyFont="1" applyFill="1"/>
    <xf numFmtId="0" fontId="19" fillId="7" borderId="16" xfId="0" applyFont="1" applyFill="1" applyBorder="1" applyAlignment="1">
      <alignment horizontal="center"/>
    </xf>
    <xf numFmtId="0" fontId="23" fillId="7" borderId="16" xfId="7" applyFill="1" applyBorder="1" applyAlignment="1">
      <alignment horizontal="center"/>
    </xf>
    <xf numFmtId="0" fontId="19" fillId="7" borderId="33" xfId="0" applyFont="1" applyFill="1" applyBorder="1" applyAlignment="1">
      <alignment horizontal="center"/>
    </xf>
    <xf numFmtId="0" fontId="23" fillId="7" borderId="33" xfId="7" applyFill="1" applyBorder="1" applyAlignment="1">
      <alignment horizontal="center"/>
    </xf>
    <xf numFmtId="165" fontId="15" fillId="7" borderId="33" xfId="1" applyFont="1" applyFill="1" applyBorder="1" applyAlignment="1">
      <alignment horizontal="center" vertical="center"/>
    </xf>
    <xf numFmtId="167" fontId="0" fillId="12" borderId="0" xfId="0" applyNumberFormat="1" applyFill="1"/>
    <xf numFmtId="9" fontId="0" fillId="12" borderId="0" xfId="2" applyFont="1" applyFill="1"/>
    <xf numFmtId="165" fontId="104" fillId="7" borderId="0" xfId="1" applyFont="1" applyFill="1"/>
    <xf numFmtId="9" fontId="11" fillId="0" borderId="0" xfId="2" applyFont="1"/>
    <xf numFmtId="9" fontId="5" fillId="0" borderId="0" xfId="2" applyFont="1"/>
    <xf numFmtId="167" fontId="11" fillId="0" borderId="0" xfId="0" applyNumberFormat="1" applyFont="1"/>
    <xf numFmtId="167" fontId="11" fillId="0" borderId="0" xfId="0" applyNumberFormat="1" applyFont="1" applyAlignment="1">
      <alignment horizontal="center"/>
    </xf>
    <xf numFmtId="167" fontId="104" fillId="0" borderId="82" xfId="1" applyNumberFormat="1" applyFont="1" applyFill="1" applyBorder="1" applyAlignment="1" applyProtection="1">
      <alignment horizontal="right" vertical="center" wrapText="1"/>
    </xf>
    <xf numFmtId="165" fontId="104" fillId="0" borderId="0" xfId="1" applyFont="1" applyFill="1"/>
    <xf numFmtId="167" fontId="56" fillId="7" borderId="80" xfId="1" applyNumberFormat="1" applyFont="1" applyFill="1" applyBorder="1" applyAlignment="1" applyProtection="1">
      <alignment horizontal="right" vertical="center" wrapText="1"/>
    </xf>
    <xf numFmtId="167" fontId="35" fillId="7" borderId="82" xfId="1" applyNumberFormat="1" applyFont="1" applyFill="1" applyBorder="1" applyAlignment="1" applyProtection="1">
      <alignment horizontal="right" vertical="center" wrapText="1"/>
    </xf>
    <xf numFmtId="38" fontId="0" fillId="12" borderId="0" xfId="0" applyNumberFormat="1" applyFill="1" applyAlignment="1">
      <alignment vertical="center"/>
    </xf>
    <xf numFmtId="40" fontId="0" fillId="12" borderId="0" xfId="0" applyNumberFormat="1" applyFill="1" applyAlignment="1">
      <alignment vertical="center"/>
    </xf>
    <xf numFmtId="165" fontId="48" fillId="6" borderId="80" xfId="1" applyFont="1" applyFill="1" applyBorder="1" applyAlignment="1" applyProtection="1">
      <alignment horizontal="center" vertical="center" wrapText="1"/>
      <protection locked="0"/>
    </xf>
    <xf numFmtId="9" fontId="44" fillId="12" borderId="0" xfId="2" applyFont="1" applyFill="1" applyAlignment="1">
      <alignment horizontal="right" vertical="center" wrapText="1"/>
    </xf>
    <xf numFmtId="0" fontId="95" fillId="5" borderId="105" xfId="0" applyFont="1" applyFill="1" applyBorder="1" applyAlignment="1">
      <alignment vertical="center"/>
    </xf>
    <xf numFmtId="165" fontId="48" fillId="0" borderId="0" xfId="1" applyFont="1" applyFill="1" applyBorder="1" applyAlignment="1" applyProtection="1">
      <alignment horizontal="center" vertical="center" wrapText="1"/>
      <protection locked="0"/>
    </xf>
    <xf numFmtId="165" fontId="45" fillId="0" borderId="0" xfId="1" applyFont="1" applyFill="1" applyBorder="1" applyAlignment="1" applyProtection="1">
      <alignment horizontal="center" vertical="center" wrapText="1"/>
      <protection locked="0"/>
    </xf>
    <xf numFmtId="165" fontId="84" fillId="10" borderId="0" xfId="1" applyFont="1" applyFill="1" applyAlignment="1">
      <alignment horizontal="center" vertical="center"/>
    </xf>
    <xf numFmtId="165" fontId="3" fillId="0" borderId="0" xfId="1" applyFont="1" applyAlignment="1">
      <alignment horizontal="center" vertical="center"/>
    </xf>
    <xf numFmtId="165" fontId="22" fillId="0" borderId="0" xfId="1" applyFont="1" applyAlignment="1">
      <alignment horizontal="center" vertical="center"/>
    </xf>
    <xf numFmtId="165" fontId="3" fillId="7" borderId="0" xfId="1" applyFont="1" applyFill="1" applyAlignment="1">
      <alignment horizontal="center" vertical="center"/>
    </xf>
    <xf numFmtId="0" fontId="0" fillId="11" borderId="0" xfId="0" applyFill="1"/>
    <xf numFmtId="0" fontId="29" fillId="11" borderId="21" xfId="0" applyFont="1" applyFill="1" applyBorder="1" applyAlignment="1">
      <alignment horizontal="center" vertical="center"/>
    </xf>
    <xf numFmtId="165" fontId="29" fillId="11" borderId="10" xfId="1" applyFont="1" applyFill="1" applyBorder="1" applyAlignment="1">
      <alignment horizontal="center"/>
    </xf>
    <xf numFmtId="165" fontId="29" fillId="11" borderId="17" xfId="1" applyFont="1" applyFill="1" applyBorder="1" applyAlignment="1">
      <alignment horizontal="center"/>
    </xf>
    <xf numFmtId="165" fontId="27" fillId="11" borderId="16" xfId="1" applyFont="1" applyFill="1" applyBorder="1" applyAlignment="1">
      <alignment horizontal="center" vertical="center"/>
    </xf>
    <xf numFmtId="165" fontId="27" fillId="11" borderId="10" xfId="1" applyFont="1" applyFill="1" applyBorder="1" applyAlignment="1">
      <alignment horizontal="center" vertical="center"/>
    </xf>
    <xf numFmtId="165" fontId="27" fillId="11" borderId="17" xfId="1" applyFont="1" applyFill="1" applyBorder="1" applyAlignment="1">
      <alignment horizontal="center" vertical="center"/>
    </xf>
    <xf numFmtId="165" fontId="3" fillId="11" borderId="0" xfId="1" applyFont="1" applyFill="1"/>
    <xf numFmtId="165" fontId="3" fillId="11" borderId="0" xfId="1" applyFont="1" applyFill="1" applyAlignment="1">
      <alignment horizontal="center" vertical="center"/>
    </xf>
    <xf numFmtId="164" fontId="0" fillId="11" borderId="0" xfId="0" applyNumberFormat="1" applyFill="1"/>
    <xf numFmtId="167" fontId="57" fillId="0" borderId="0" xfId="1" applyNumberFormat="1" applyFont="1" applyFill="1" applyBorder="1" applyAlignment="1" applyProtection="1">
      <alignment horizontal="center" vertical="center" wrapText="1"/>
    </xf>
    <xf numFmtId="0" fontId="9" fillId="0" borderId="113" xfId="0" applyFont="1" applyBorder="1"/>
    <xf numFmtId="165" fontId="9" fillId="0" borderId="37" xfId="1" applyFont="1" applyBorder="1"/>
    <xf numFmtId="165" fontId="9" fillId="19" borderId="37" xfId="1" applyFont="1" applyFill="1" applyBorder="1"/>
    <xf numFmtId="165" fontId="9" fillId="3" borderId="0" xfId="1" applyFont="1" applyFill="1" applyBorder="1"/>
    <xf numFmtId="0" fontId="29" fillId="0" borderId="114" xfId="0" applyFont="1" applyBorder="1" applyAlignment="1">
      <alignment horizontal="center" vertical="center"/>
    </xf>
    <xf numFmtId="0" fontId="0" fillId="22" borderId="9" xfId="0" applyFill="1" applyBorder="1" applyAlignment="1">
      <alignment horizontal="center"/>
    </xf>
    <xf numFmtId="175" fontId="0" fillId="12" borderId="0" xfId="0" applyNumberFormat="1" applyFill="1" applyAlignment="1">
      <alignment vertical="center"/>
    </xf>
    <xf numFmtId="165" fontId="0" fillId="0" borderId="0" xfId="1" applyFont="1" applyProtection="1">
      <protection hidden="1"/>
    </xf>
    <xf numFmtId="164" fontId="0" fillId="0" borderId="0" xfId="0" applyNumberFormat="1" applyProtection="1">
      <protection hidden="1"/>
    </xf>
    <xf numFmtId="165" fontId="48" fillId="7" borderId="0" xfId="1" applyFont="1" applyFill="1" applyBorder="1" applyAlignment="1" applyProtection="1">
      <alignment horizontal="center" vertical="center" wrapText="1"/>
      <protection locked="0"/>
    </xf>
    <xf numFmtId="167" fontId="11" fillId="0" borderId="0" xfId="2" applyNumberFormat="1" applyFont="1" applyAlignment="1">
      <alignment horizontal="center"/>
    </xf>
    <xf numFmtId="167" fontId="0" fillId="9" borderId="37" xfId="1" applyNumberFormat="1" applyFont="1" applyFill="1" applyBorder="1" applyAlignment="1">
      <alignment vertical="center"/>
    </xf>
    <xf numFmtId="167" fontId="0" fillId="9" borderId="76" xfId="0" applyNumberFormat="1" applyFill="1" applyBorder="1" applyAlignment="1">
      <alignment vertical="center"/>
    </xf>
    <xf numFmtId="167" fontId="0" fillId="9" borderId="9" xfId="0" applyNumberFormat="1" applyFill="1" applyBorder="1" applyAlignment="1">
      <alignment vertical="center"/>
    </xf>
    <xf numFmtId="167" fontId="0" fillId="9" borderId="107" xfId="1" applyNumberFormat="1" applyFont="1" applyFill="1" applyBorder="1" applyAlignment="1">
      <alignment vertical="center"/>
    </xf>
    <xf numFmtId="167" fontId="0" fillId="9" borderId="107" xfId="1" applyNumberFormat="1" applyFont="1" applyFill="1" applyBorder="1" applyAlignment="1">
      <alignment horizontal="center" vertical="center"/>
    </xf>
    <xf numFmtId="167" fontId="0" fillId="0" borderId="0" xfId="1" applyNumberFormat="1" applyFont="1" applyProtection="1">
      <protection hidden="1"/>
    </xf>
    <xf numFmtId="167" fontId="0" fillId="0" borderId="0" xfId="1" applyNumberFormat="1" applyFont="1"/>
    <xf numFmtId="167" fontId="48" fillId="0" borderId="80" xfId="1" applyNumberFormat="1" applyFont="1" applyFill="1" applyBorder="1" applyAlignment="1" applyProtection="1">
      <alignment horizontal="center" vertical="center" wrapText="1"/>
      <protection locked="0"/>
    </xf>
    <xf numFmtId="164" fontId="0" fillId="12" borderId="0" xfId="0" applyNumberFormat="1" applyFill="1" applyAlignment="1">
      <alignment horizontal="center" vertical="center"/>
    </xf>
    <xf numFmtId="175" fontId="0" fillId="0" borderId="0" xfId="0" applyNumberFormat="1"/>
    <xf numFmtId="0" fontId="29" fillId="11" borderId="16" xfId="0" applyFont="1" applyFill="1" applyBorder="1" applyAlignment="1">
      <alignment horizontal="center" vertical="center"/>
    </xf>
    <xf numFmtId="176" fontId="0" fillId="12" borderId="0" xfId="0" applyNumberFormat="1" applyFill="1" applyAlignment="1">
      <alignment vertical="center"/>
    </xf>
    <xf numFmtId="177" fontId="0" fillId="12" borderId="0" xfId="0" applyNumberFormat="1" applyFill="1" applyAlignment="1">
      <alignment vertical="center"/>
    </xf>
    <xf numFmtId="9" fontId="35" fillId="0" borderId="82" xfId="1" applyNumberFormat="1" applyFont="1" applyFill="1" applyBorder="1" applyAlignment="1" applyProtection="1">
      <alignment horizontal="right" vertical="center" wrapText="1"/>
    </xf>
    <xf numFmtId="9" fontId="48" fillId="12" borderId="0" xfId="0" applyNumberFormat="1" applyFont="1" applyFill="1" applyAlignment="1" applyProtection="1">
      <alignment horizontal="right" vertical="center" wrapText="1"/>
      <protection locked="0"/>
    </xf>
    <xf numFmtId="38" fontId="0" fillId="0" borderId="0" xfId="0" applyNumberFormat="1" applyProtection="1">
      <protection hidden="1"/>
    </xf>
    <xf numFmtId="0" fontId="5" fillId="12" borderId="0" xfId="0" applyFont="1" applyFill="1"/>
    <xf numFmtId="9" fontId="43" fillId="12" borderId="0" xfId="2" applyFont="1" applyFill="1" applyAlignment="1">
      <alignment horizontal="center" vertical="center" wrapText="1"/>
    </xf>
    <xf numFmtId="9" fontId="43" fillId="29" borderId="0" xfId="2" applyFont="1" applyFill="1" applyAlignment="1">
      <alignment horizontal="center" vertical="center" wrapText="1"/>
    </xf>
    <xf numFmtId="9" fontId="35" fillId="0" borderId="82" xfId="2" applyFont="1" applyFill="1" applyBorder="1" applyAlignment="1" applyProtection="1">
      <alignment horizontal="right" vertical="center" wrapText="1"/>
    </xf>
    <xf numFmtId="4" fontId="19" fillId="0" borderId="10" xfId="1" applyNumberFormat="1" applyFont="1" applyFill="1" applyBorder="1"/>
    <xf numFmtId="165" fontId="19" fillId="0" borderId="10" xfId="1" applyFont="1" applyFill="1" applyBorder="1"/>
    <xf numFmtId="165" fontId="19" fillId="0" borderId="17" xfId="1" applyFont="1" applyFill="1" applyBorder="1"/>
    <xf numFmtId="4" fontId="19" fillId="0" borderId="8" xfId="1" applyNumberFormat="1" applyFont="1" applyFill="1" applyBorder="1"/>
    <xf numFmtId="165" fontId="19" fillId="0" borderId="8" xfId="1" applyFont="1" applyFill="1" applyBorder="1"/>
    <xf numFmtId="165" fontId="25" fillId="0" borderId="10" xfId="1" applyFont="1" applyFill="1" applyBorder="1"/>
    <xf numFmtId="165" fontId="25" fillId="0" borderId="17" xfId="1" applyFont="1" applyFill="1" applyBorder="1"/>
    <xf numFmtId="165" fontId="25" fillId="0" borderId="17" xfId="1" applyFont="1" applyFill="1" applyBorder="1" applyAlignment="1">
      <alignment horizontal="center" vertical="center"/>
    </xf>
    <xf numFmtId="165" fontId="25" fillId="0" borderId="8" xfId="1" applyFont="1" applyFill="1" applyBorder="1"/>
    <xf numFmtId="165" fontId="25" fillId="0" borderId="54" xfId="1" applyFont="1" applyFill="1" applyBorder="1" applyAlignment="1">
      <alignment horizontal="center" vertical="center"/>
    </xf>
    <xf numFmtId="4" fontId="7" fillId="13" borderId="41" xfId="0" applyNumberFormat="1" applyFont="1" applyFill="1" applyBorder="1" applyAlignment="1">
      <alignment horizontal="center" vertical="center" wrapText="1"/>
    </xf>
    <xf numFmtId="165" fontId="15" fillId="0" borderId="21" xfId="1" applyFont="1" applyFill="1" applyBorder="1" applyAlignment="1">
      <alignment horizontal="center" vertical="center"/>
    </xf>
    <xf numFmtId="4" fontId="5" fillId="0" borderId="1" xfId="1" applyNumberFormat="1" applyFont="1" applyFill="1" applyBorder="1"/>
    <xf numFmtId="165" fontId="10" fillId="0" borderId="1" xfId="1" applyFont="1" applyFill="1" applyBorder="1" applyProtection="1">
      <protection locked="0"/>
    </xf>
    <xf numFmtId="165" fontId="5" fillId="0" borderId="22" xfId="1" applyFont="1" applyFill="1" applyBorder="1"/>
    <xf numFmtId="165" fontId="15" fillId="0" borderId="16" xfId="1" applyFont="1" applyFill="1" applyBorder="1" applyAlignment="1">
      <alignment horizontal="center" vertical="center"/>
    </xf>
    <xf numFmtId="4" fontId="5" fillId="0" borderId="10" xfId="1" applyNumberFormat="1" applyFont="1" applyFill="1" applyBorder="1"/>
    <xf numFmtId="165" fontId="10" fillId="0" borderId="10" xfId="1" applyFont="1" applyFill="1" applyBorder="1" applyProtection="1">
      <protection locked="0"/>
    </xf>
    <xf numFmtId="165" fontId="5" fillId="0" borderId="17" xfId="1" applyFont="1" applyFill="1" applyBorder="1"/>
    <xf numFmtId="165" fontId="20" fillId="0" borderId="10" xfId="1" applyFont="1" applyFill="1" applyBorder="1" applyProtection="1">
      <protection locked="0"/>
    </xf>
    <xf numFmtId="165" fontId="18" fillId="0" borderId="17" xfId="1" applyFont="1" applyFill="1" applyBorder="1"/>
    <xf numFmtId="0" fontId="19" fillId="0" borderId="16" xfId="0" applyFont="1" applyBorder="1" applyAlignment="1">
      <alignment horizontal="center"/>
    </xf>
    <xf numFmtId="165" fontId="15" fillId="0" borderId="114" xfId="1" applyFont="1" applyFill="1" applyBorder="1" applyAlignment="1">
      <alignment horizontal="center" vertical="center"/>
    </xf>
    <xf numFmtId="165" fontId="10" fillId="0" borderId="107" xfId="1" applyFont="1" applyFill="1" applyBorder="1" applyProtection="1">
      <protection locked="0"/>
    </xf>
    <xf numFmtId="165" fontId="15" fillId="0" borderId="65" xfId="1" applyFont="1" applyFill="1" applyBorder="1" applyAlignment="1">
      <alignment horizontal="center" vertical="center"/>
    </xf>
    <xf numFmtId="165" fontId="10" fillId="0" borderId="66" xfId="1" applyFont="1" applyFill="1" applyBorder="1" applyProtection="1">
      <protection locked="0"/>
    </xf>
    <xf numFmtId="4" fontId="0" fillId="12" borderId="0" xfId="1" applyNumberFormat="1" applyFont="1" applyFill="1" applyAlignment="1">
      <alignment vertical="center"/>
    </xf>
    <xf numFmtId="0" fontId="7" fillId="6" borderId="115" xfId="0" applyFont="1" applyFill="1" applyBorder="1" applyAlignment="1" applyProtection="1">
      <alignment horizontal="center" vertical="center"/>
      <protection hidden="1"/>
    </xf>
    <xf numFmtId="165" fontId="5" fillId="13" borderId="17" xfId="1" applyFont="1" applyFill="1" applyBorder="1"/>
    <xf numFmtId="165" fontId="3" fillId="0" borderId="0" xfId="1" applyFont="1" applyFill="1" applyAlignment="1">
      <alignment horizontal="center" vertical="center"/>
    </xf>
    <xf numFmtId="4" fontId="41" fillId="12" borderId="78" xfId="0" applyNumberFormat="1" applyFont="1" applyFill="1" applyBorder="1" applyAlignment="1">
      <alignment horizontal="center" vertical="center"/>
    </xf>
    <xf numFmtId="165" fontId="48" fillId="0" borderId="74" xfId="1" applyFont="1" applyFill="1" applyBorder="1" applyAlignment="1" applyProtection="1">
      <alignment horizontal="right" vertical="center" wrapText="1"/>
    </xf>
    <xf numFmtId="167" fontId="56" fillId="0" borderId="74" xfId="1" applyNumberFormat="1" applyFont="1" applyFill="1" applyBorder="1" applyAlignment="1" applyProtection="1">
      <alignment horizontal="right" vertical="center" wrapText="1"/>
    </xf>
    <xf numFmtId="175" fontId="15" fillId="0" borderId="0" xfId="0" applyNumberFormat="1" applyFont="1"/>
    <xf numFmtId="0" fontId="0" fillId="29" borderId="0" xfId="0" applyFill="1" applyAlignment="1">
      <alignment horizontal="center" vertical="center"/>
    </xf>
    <xf numFmtId="0" fontId="41" fillId="29" borderId="70" xfId="0" applyFont="1" applyFill="1" applyBorder="1" applyAlignment="1">
      <alignment horizontal="center" vertical="center"/>
    </xf>
    <xf numFmtId="0" fontId="46" fillId="29" borderId="80" xfId="0" applyFont="1" applyFill="1" applyBorder="1" applyAlignment="1" applyProtection="1">
      <alignment horizontal="center" vertical="center"/>
      <protection locked="0"/>
    </xf>
    <xf numFmtId="165" fontId="48" fillId="29" borderId="80" xfId="1" applyFont="1" applyFill="1" applyBorder="1" applyAlignment="1" applyProtection="1">
      <alignment horizontal="center" vertical="center" wrapText="1"/>
      <protection locked="0"/>
    </xf>
    <xf numFmtId="165" fontId="48" fillId="29" borderId="0" xfId="1" applyFont="1" applyFill="1" applyBorder="1" applyAlignment="1" applyProtection="1">
      <alignment horizontal="center" vertical="center" wrapText="1"/>
      <protection locked="0"/>
    </xf>
    <xf numFmtId="0" fontId="41" fillId="29" borderId="37" xfId="0" applyFont="1" applyFill="1" applyBorder="1" applyAlignment="1">
      <alignment horizontal="center" vertical="center"/>
    </xf>
    <xf numFmtId="4" fontId="0" fillId="0" borderId="0" xfId="0" applyNumberFormat="1" applyProtection="1">
      <protection hidden="1"/>
    </xf>
    <xf numFmtId="0" fontId="7" fillId="30" borderId="38" xfId="0" applyFont="1" applyFill="1" applyBorder="1" applyAlignment="1" applyProtection="1">
      <alignment horizontal="center" vertical="center"/>
      <protection hidden="1"/>
    </xf>
    <xf numFmtId="0" fontId="7" fillId="30" borderId="5" xfId="0" applyFont="1" applyFill="1" applyBorder="1" applyAlignment="1" applyProtection="1">
      <alignment horizontal="center" vertical="center"/>
      <protection hidden="1"/>
    </xf>
    <xf numFmtId="165" fontId="48" fillId="31" borderId="80" xfId="1" applyFont="1" applyFill="1" applyBorder="1" applyAlignment="1" applyProtection="1">
      <alignment horizontal="right" vertical="center" wrapText="1"/>
    </xf>
    <xf numFmtId="165" fontId="0" fillId="11" borderId="0" xfId="1" applyFont="1" applyFill="1"/>
    <xf numFmtId="167" fontId="56" fillId="31" borderId="80" xfId="1" applyNumberFormat="1" applyFont="1" applyFill="1" applyBorder="1" applyAlignment="1" applyProtection="1">
      <alignment horizontal="right" vertical="center" wrapText="1"/>
    </xf>
    <xf numFmtId="167" fontId="56" fillId="30" borderId="80" xfId="1" applyNumberFormat="1" applyFont="1" applyFill="1" applyBorder="1" applyAlignment="1" applyProtection="1">
      <alignment horizontal="right" vertical="center" wrapText="1"/>
    </xf>
    <xf numFmtId="167" fontId="56" fillId="32" borderId="80" xfId="1" applyNumberFormat="1" applyFont="1" applyFill="1" applyBorder="1" applyAlignment="1" applyProtection="1">
      <alignment horizontal="right" vertical="center" wrapText="1"/>
    </xf>
    <xf numFmtId="0" fontId="105" fillId="0" borderId="116" xfId="0" applyFont="1" applyBorder="1" applyAlignment="1" applyProtection="1">
      <alignment horizontal="center" vertical="center" readingOrder="2"/>
      <protection locked="0"/>
    </xf>
    <xf numFmtId="165" fontId="48" fillId="14" borderId="80" xfId="1" applyFont="1" applyFill="1" applyBorder="1" applyAlignment="1" applyProtection="1">
      <alignment horizontal="right" vertical="center" wrapText="1"/>
    </xf>
    <xf numFmtId="167" fontId="56" fillId="14" borderId="80" xfId="1" applyNumberFormat="1" applyFont="1" applyFill="1" applyBorder="1" applyAlignment="1" applyProtection="1">
      <alignment horizontal="right" vertical="center" wrapText="1"/>
    </xf>
    <xf numFmtId="167" fontId="7" fillId="6" borderId="0" xfId="1" applyNumberFormat="1" applyFont="1" applyFill="1" applyBorder="1" applyAlignment="1" applyProtection="1">
      <alignment horizontal="center" vertical="center"/>
      <protection hidden="1"/>
    </xf>
    <xf numFmtId="167" fontId="7" fillId="3" borderId="67" xfId="1" applyNumberFormat="1" applyFont="1" applyFill="1" applyBorder="1" applyAlignment="1" applyProtection="1">
      <alignment horizontal="center" vertical="center"/>
      <protection hidden="1"/>
    </xf>
    <xf numFmtId="175" fontId="0" fillId="12" borderId="0" xfId="0" applyNumberFormat="1" applyFill="1" applyAlignment="1">
      <alignment horizontal="center" vertical="center"/>
    </xf>
    <xf numFmtId="165" fontId="29" fillId="0" borderId="107" xfId="1" applyFont="1" applyFill="1" applyBorder="1" applyAlignment="1">
      <alignment horizontal="center"/>
    </xf>
    <xf numFmtId="167" fontId="0" fillId="12" borderId="0" xfId="1" applyNumberFormat="1" applyFont="1" applyFill="1" applyAlignment="1">
      <alignment vertical="center"/>
    </xf>
    <xf numFmtId="0" fontId="5" fillId="0" borderId="0" xfId="0" applyFont="1" applyProtection="1">
      <protection hidden="1"/>
    </xf>
    <xf numFmtId="165" fontId="25" fillId="7" borderId="10" xfId="1" applyFont="1" applyFill="1" applyBorder="1"/>
    <xf numFmtId="165" fontId="14" fillId="0" borderId="0" xfId="1" applyFont="1" applyFill="1" applyBorder="1" applyAlignment="1">
      <alignment horizontal="center" vertical="center"/>
    </xf>
    <xf numFmtId="165" fontId="35" fillId="0" borderId="0" xfId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5" fontId="25" fillId="0" borderId="0" xfId="1" applyFont="1" applyFill="1" applyBorder="1"/>
    <xf numFmtId="175" fontId="11" fillId="0" borderId="0" xfId="0" applyNumberFormat="1" applyFont="1"/>
    <xf numFmtId="0" fontId="108" fillId="22" borderId="33" xfId="0" applyFont="1" applyFill="1" applyBorder="1" applyAlignment="1">
      <alignment horizontal="center" vertical="center"/>
    </xf>
    <xf numFmtId="0" fontId="108" fillId="22" borderId="16" xfId="0" applyFont="1" applyFill="1" applyBorder="1" applyAlignment="1">
      <alignment horizontal="center" vertical="center"/>
    </xf>
    <xf numFmtId="167" fontId="107" fillId="22" borderId="19" xfId="1" applyNumberFormat="1" applyFont="1" applyFill="1" applyBorder="1" applyAlignment="1">
      <alignment horizontal="center" vertical="center"/>
    </xf>
    <xf numFmtId="167" fontId="109" fillId="22" borderId="54" xfId="1" applyNumberFormat="1" applyFont="1" applyFill="1" applyBorder="1"/>
    <xf numFmtId="167" fontId="107" fillId="22" borderId="20" xfId="1" applyNumberFormat="1" applyFont="1" applyFill="1" applyBorder="1" applyAlignment="1">
      <alignment vertical="center"/>
    </xf>
    <xf numFmtId="0" fontId="110" fillId="22" borderId="13" xfId="0" applyFont="1" applyFill="1" applyBorder="1" applyAlignment="1">
      <alignment horizontal="center" vertical="center"/>
    </xf>
    <xf numFmtId="0" fontId="110" fillId="22" borderId="14" xfId="0" applyFont="1" applyFill="1" applyBorder="1" applyAlignment="1">
      <alignment horizontal="center" vertical="center"/>
    </xf>
    <xf numFmtId="0" fontId="110" fillId="22" borderId="44" xfId="0" applyFont="1" applyFill="1" applyBorder="1" applyAlignment="1">
      <alignment horizontal="center" vertical="center"/>
    </xf>
    <xf numFmtId="165" fontId="29" fillId="0" borderId="14" xfId="1" applyFont="1" applyFill="1" applyBorder="1" applyAlignment="1">
      <alignment horizontal="center"/>
    </xf>
    <xf numFmtId="165" fontId="14" fillId="0" borderId="14" xfId="1" applyFont="1" applyFill="1" applyBorder="1" applyAlignment="1">
      <alignment horizontal="center" vertical="center"/>
    </xf>
    <xf numFmtId="165" fontId="104" fillId="7" borderId="14" xfId="1" applyFont="1" applyFill="1" applyBorder="1"/>
    <xf numFmtId="165" fontId="29" fillId="0" borderId="29" xfId="1" applyFont="1" applyFill="1" applyBorder="1" applyAlignment="1">
      <alignment horizontal="center" vertical="center"/>
    </xf>
    <xf numFmtId="0" fontId="29" fillId="33" borderId="16" xfId="0" applyFont="1" applyFill="1" applyBorder="1" applyAlignment="1">
      <alignment horizontal="center" vertical="center"/>
    </xf>
    <xf numFmtId="178" fontId="0" fillId="12" borderId="0" xfId="0" applyNumberFormat="1" applyFill="1" applyAlignment="1">
      <alignment vertical="center"/>
    </xf>
    <xf numFmtId="179" fontId="0" fillId="12" borderId="0" xfId="0" applyNumberFormat="1" applyFill="1" applyAlignment="1">
      <alignment vertical="center"/>
    </xf>
    <xf numFmtId="165" fontId="25" fillId="13" borderId="0" xfId="1" applyFont="1" applyFill="1" applyBorder="1"/>
    <xf numFmtId="0" fontId="7" fillId="6" borderId="0" xfId="0" applyFont="1" applyFill="1" applyAlignment="1" applyProtection="1">
      <alignment horizontal="center" vertical="center"/>
      <protection hidden="1"/>
    </xf>
    <xf numFmtId="180" fontId="0" fillId="0" borderId="0" xfId="0" applyNumberFormat="1" applyProtection="1">
      <protection hidden="1"/>
    </xf>
    <xf numFmtId="38" fontId="0" fillId="0" borderId="0" xfId="0" applyNumberFormat="1"/>
    <xf numFmtId="0" fontId="0" fillId="22" borderId="0" xfId="0" applyFill="1" applyAlignment="1">
      <alignment horizontal="center"/>
    </xf>
    <xf numFmtId="167" fontId="5" fillId="0" borderId="0" xfId="2" applyNumberFormat="1" applyFont="1" applyAlignment="1">
      <alignment horizontal="center"/>
    </xf>
    <xf numFmtId="4" fontId="11" fillId="0" borderId="0" xfId="2" applyNumberFormat="1" applyFont="1"/>
    <xf numFmtId="165" fontId="11" fillId="0" borderId="0" xfId="1" applyFont="1" applyAlignment="1">
      <alignment horizontal="center"/>
    </xf>
    <xf numFmtId="165" fontId="11" fillId="0" borderId="0" xfId="1" applyFont="1"/>
    <xf numFmtId="181" fontId="0" fillId="12" borderId="0" xfId="0" applyNumberFormat="1" applyFill="1" applyAlignment="1">
      <alignment vertical="center"/>
    </xf>
    <xf numFmtId="181" fontId="0" fillId="12" borderId="0" xfId="0" applyNumberFormat="1" applyFill="1"/>
    <xf numFmtId="167" fontId="56" fillId="13" borderId="80" xfId="1" applyNumberFormat="1" applyFont="1" applyFill="1" applyBorder="1" applyAlignment="1" applyProtection="1">
      <alignment horizontal="right" vertical="center" wrapText="1"/>
    </xf>
    <xf numFmtId="0" fontId="111" fillId="17" borderId="89" xfId="0" applyFont="1" applyFill="1" applyBorder="1" applyAlignment="1">
      <alignment horizontal="left" vertical="center"/>
    </xf>
    <xf numFmtId="0" fontId="111" fillId="17" borderId="0" xfId="0" applyFont="1" applyFill="1" applyAlignment="1">
      <alignment horizontal="center" vertical="center"/>
    </xf>
    <xf numFmtId="167" fontId="111" fillId="17" borderId="0" xfId="1" applyNumberFormat="1" applyFont="1" applyFill="1" applyBorder="1" applyAlignment="1">
      <alignment vertical="center"/>
    </xf>
    <xf numFmtId="171" fontId="111" fillId="17" borderId="90" xfId="0" applyNumberFormat="1" applyFont="1" applyFill="1" applyBorder="1" applyAlignment="1">
      <alignment vertical="center"/>
    </xf>
    <xf numFmtId="0" fontId="94" fillId="17" borderId="89" xfId="0" applyFont="1" applyFill="1" applyBorder="1" applyAlignment="1">
      <alignment horizontal="left" vertical="center"/>
    </xf>
    <xf numFmtId="167" fontId="111" fillId="17" borderId="0" xfId="1" applyNumberFormat="1" applyFont="1" applyFill="1" applyBorder="1" applyAlignment="1">
      <alignment horizontal="right" vertical="center"/>
    </xf>
    <xf numFmtId="0" fontId="112" fillId="13" borderId="89" xfId="0" applyFont="1" applyFill="1" applyBorder="1" applyAlignment="1">
      <alignment horizontal="right" vertical="center"/>
    </xf>
    <xf numFmtId="167" fontId="112" fillId="13" borderId="0" xfId="1" applyNumberFormat="1" applyFont="1" applyFill="1" applyBorder="1" applyAlignment="1">
      <alignment horizontal="right" vertical="center"/>
    </xf>
    <xf numFmtId="0" fontId="5" fillId="0" borderId="10" xfId="0" applyFont="1" applyFill="1" applyBorder="1"/>
    <xf numFmtId="167" fontId="0" fillId="10" borderId="0" xfId="1" applyNumberFormat="1" applyFont="1" applyFill="1" applyAlignment="1">
      <alignment horizontal="center" vertical="center"/>
    </xf>
    <xf numFmtId="167" fontId="43" fillId="17" borderId="73" xfId="1" applyNumberFormat="1" applyFont="1" applyFill="1" applyBorder="1" applyAlignment="1">
      <alignment horizontal="center" vertical="center" wrapText="1"/>
    </xf>
    <xf numFmtId="167" fontId="43" fillId="17" borderId="0" xfId="1" applyNumberFormat="1" applyFont="1" applyFill="1" applyAlignment="1">
      <alignment horizontal="center" vertical="center" wrapText="1"/>
    </xf>
    <xf numFmtId="167" fontId="38" fillId="10" borderId="0" xfId="1" applyNumberFormat="1" applyFont="1" applyFill="1" applyAlignment="1">
      <alignment horizontal="center" vertical="center"/>
    </xf>
    <xf numFmtId="167" fontId="39" fillId="16" borderId="0" xfId="1" applyNumberFormat="1" applyFont="1" applyFill="1" applyAlignment="1">
      <alignment horizontal="center" vertical="center"/>
    </xf>
    <xf numFmtId="167" fontId="0" fillId="12" borderId="0" xfId="1" applyNumberFormat="1" applyFont="1" applyFill="1" applyAlignment="1">
      <alignment horizontal="center" vertical="center"/>
    </xf>
    <xf numFmtId="167" fontId="41" fillId="12" borderId="69" xfId="1" applyNumberFormat="1" applyFont="1" applyFill="1" applyBorder="1" applyAlignment="1">
      <alignment horizontal="center" vertical="center"/>
    </xf>
    <xf numFmtId="167" fontId="43" fillId="17" borderId="10" xfId="1" applyNumberFormat="1" applyFont="1" applyFill="1" applyBorder="1" applyAlignment="1">
      <alignment horizontal="center" vertical="center" wrapText="1"/>
    </xf>
    <xf numFmtId="167" fontId="43" fillId="21" borderId="74" xfId="1" applyNumberFormat="1" applyFont="1" applyFill="1" applyBorder="1" applyAlignment="1" applyProtection="1">
      <alignment horizontal="center" vertical="center" wrapText="1"/>
    </xf>
    <xf numFmtId="167" fontId="41" fillId="12" borderId="78" xfId="1" applyNumberFormat="1" applyFont="1" applyFill="1" applyBorder="1" applyAlignment="1">
      <alignment horizontal="center" vertical="center"/>
    </xf>
    <xf numFmtId="167" fontId="0" fillId="12" borderId="0" xfId="1" applyNumberFormat="1" applyFont="1" applyFill="1" applyAlignment="1">
      <alignment horizontal="center"/>
    </xf>
    <xf numFmtId="167" fontId="53" fillId="22" borderId="76" xfId="1" applyNumberFormat="1" applyFont="1" applyFill="1" applyBorder="1" applyAlignment="1">
      <alignment horizontal="center" vertical="center"/>
    </xf>
    <xf numFmtId="167" fontId="43" fillId="29" borderId="10" xfId="1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5" fillId="12" borderId="0" xfId="1" applyFont="1" applyFill="1" applyAlignment="1">
      <alignment horizontal="center" vertical="center"/>
    </xf>
    <xf numFmtId="165" fontId="63" fillId="12" borderId="0" xfId="1" applyFont="1" applyFill="1" applyAlignment="1">
      <alignment vertical="center"/>
    </xf>
    <xf numFmtId="175" fontId="0" fillId="0" borderId="0" xfId="0" applyNumberFormat="1" applyAlignment="1">
      <alignment horizontal="center" vertical="center"/>
    </xf>
    <xf numFmtId="175" fontId="0" fillId="11" borderId="0" xfId="0" applyNumberFormat="1" applyFill="1" applyAlignment="1">
      <alignment horizontal="center" vertical="center"/>
    </xf>
    <xf numFmtId="167" fontId="0" fillId="12" borderId="0" xfId="0" applyNumberFormat="1" applyFill="1" applyAlignment="1">
      <alignment vertical="center"/>
    </xf>
    <xf numFmtId="167" fontId="7" fillId="7" borderId="8" xfId="1" applyNumberFormat="1" applyFont="1" applyFill="1" applyBorder="1"/>
    <xf numFmtId="167" fontId="7" fillId="7" borderId="10" xfId="1" applyNumberFormat="1" applyFont="1" applyFill="1" applyBorder="1"/>
    <xf numFmtId="175" fontId="5" fillId="0" borderId="0" xfId="0" applyNumberFormat="1" applyFont="1"/>
    <xf numFmtId="0" fontId="46" fillId="0" borderId="99" xfId="0" applyFont="1" applyBorder="1" applyAlignment="1" applyProtection="1">
      <alignment horizontal="center" vertical="center"/>
      <protection locked="0"/>
    </xf>
    <xf numFmtId="0" fontId="46" fillId="0" borderId="101" xfId="0" applyFont="1" applyBorder="1" applyAlignment="1" applyProtection="1">
      <alignment horizontal="center" vertical="center"/>
      <protection locked="0"/>
    </xf>
    <xf numFmtId="167" fontId="86" fillId="21" borderId="110" xfId="0" applyNumberFormat="1" applyFont="1" applyFill="1" applyBorder="1" applyAlignment="1">
      <alignment horizontal="center" vertical="center"/>
    </xf>
    <xf numFmtId="0" fontId="86" fillId="21" borderId="110" xfId="0" applyFont="1" applyFill="1" applyBorder="1" applyAlignment="1">
      <alignment horizontal="center" vertical="center"/>
    </xf>
    <xf numFmtId="0" fontId="86" fillId="21" borderId="78" xfId="0" applyFont="1" applyFill="1" applyBorder="1" applyAlignment="1">
      <alignment horizontal="center" vertical="center"/>
    </xf>
    <xf numFmtId="0" fontId="71" fillId="0" borderId="105" xfId="0" applyFont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1" fillId="0" borderId="106" xfId="0" applyFont="1" applyBorder="1" applyAlignment="1">
      <alignment horizontal="center" vertical="center"/>
    </xf>
    <xf numFmtId="0" fontId="111" fillId="17" borderId="89" xfId="0" applyFont="1" applyFill="1" applyBorder="1" applyAlignment="1">
      <alignment horizontal="center" vertical="center"/>
    </xf>
    <xf numFmtId="0" fontId="111" fillId="17" borderId="0" xfId="0" applyFont="1" applyFill="1" applyAlignment="1">
      <alignment horizontal="center" vertical="center"/>
    </xf>
    <xf numFmtId="0" fontId="111" fillId="17" borderId="90" xfId="0" applyFont="1" applyFill="1" applyBorder="1" applyAlignment="1">
      <alignment horizontal="center" vertical="center"/>
    </xf>
    <xf numFmtId="49" fontId="37" fillId="10" borderId="0" xfId="0" applyNumberFormat="1" applyFont="1" applyFill="1" applyAlignment="1">
      <alignment horizontal="center" vertical="center"/>
    </xf>
    <xf numFmtId="49" fontId="40" fillId="16" borderId="0" xfId="0" applyNumberFormat="1" applyFont="1" applyFill="1" applyAlignment="1">
      <alignment horizontal="center" vertical="center"/>
    </xf>
    <xf numFmtId="0" fontId="74" fillId="17" borderId="89" xfId="0" applyFont="1" applyFill="1" applyBorder="1" applyAlignment="1">
      <alignment horizontal="center" vertical="center"/>
    </xf>
    <xf numFmtId="0" fontId="74" fillId="17" borderId="0" xfId="0" applyFont="1" applyFill="1" applyAlignment="1">
      <alignment horizontal="center" vertical="center"/>
    </xf>
    <xf numFmtId="0" fontId="74" fillId="17" borderId="90" xfId="0" applyFont="1" applyFill="1" applyBorder="1" applyAlignment="1">
      <alignment horizontal="center" vertical="center"/>
    </xf>
    <xf numFmtId="0" fontId="65" fillId="0" borderId="99" xfId="0" applyFont="1" applyBorder="1" applyAlignment="1">
      <alignment horizontal="center" vertical="center"/>
    </xf>
    <xf numFmtId="0" fontId="65" fillId="0" borderId="100" xfId="0" applyFont="1" applyBorder="1" applyAlignment="1">
      <alignment horizontal="center" vertical="center"/>
    </xf>
    <xf numFmtId="0" fontId="65" fillId="0" borderId="101" xfId="0" applyFont="1" applyBorder="1" applyAlignment="1">
      <alignment horizontal="center" vertical="center"/>
    </xf>
    <xf numFmtId="0" fontId="93" fillId="5" borderId="89" xfId="0" applyFont="1" applyFill="1" applyBorder="1" applyAlignment="1">
      <alignment horizontal="center" vertical="center"/>
    </xf>
    <xf numFmtId="0" fontId="93" fillId="5" borderId="0" xfId="0" applyFont="1" applyFill="1" applyAlignment="1">
      <alignment horizontal="center" vertical="center"/>
    </xf>
    <xf numFmtId="0" fontId="93" fillId="5" borderId="90" xfId="0" applyFont="1" applyFill="1" applyBorder="1" applyAlignment="1">
      <alignment horizontal="center" vertical="center"/>
    </xf>
    <xf numFmtId="0" fontId="69" fillId="0" borderId="8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0" borderId="90" xfId="0" applyFont="1" applyBorder="1" applyAlignment="1">
      <alignment horizontal="center" vertical="center"/>
    </xf>
    <xf numFmtId="0" fontId="72" fillId="24" borderId="99" xfId="0" applyFont="1" applyFill="1" applyBorder="1" applyAlignment="1" applyProtection="1">
      <alignment horizontal="center" vertical="center"/>
      <protection locked="0" hidden="1"/>
    </xf>
    <xf numFmtId="0" fontId="72" fillId="24" borderId="100" xfId="0" applyFont="1" applyFill="1" applyBorder="1" applyAlignment="1" applyProtection="1">
      <alignment horizontal="center" vertical="center"/>
      <protection locked="0" hidden="1"/>
    </xf>
    <xf numFmtId="0" fontId="72" fillId="24" borderId="101" xfId="0" applyFont="1" applyFill="1" applyBorder="1" applyAlignment="1" applyProtection="1">
      <alignment horizontal="center" vertical="center"/>
      <protection locked="0" hidden="1"/>
    </xf>
    <xf numFmtId="0" fontId="70" fillId="0" borderId="102" xfId="0" applyFont="1" applyBorder="1" applyAlignment="1">
      <alignment horizontal="center" vertical="center"/>
    </xf>
    <xf numFmtId="0" fontId="70" fillId="0" borderId="103" xfId="0" applyFont="1" applyBorder="1" applyAlignment="1">
      <alignment horizontal="center" vertical="center"/>
    </xf>
    <xf numFmtId="0" fontId="70" fillId="0" borderId="104" xfId="0" applyFont="1" applyBorder="1" applyAlignment="1">
      <alignment horizontal="center" vertical="center"/>
    </xf>
    <xf numFmtId="0" fontId="76" fillId="24" borderId="99" xfId="0" applyFont="1" applyFill="1" applyBorder="1" applyAlignment="1">
      <alignment horizontal="center" vertical="center"/>
    </xf>
    <xf numFmtId="0" fontId="76" fillId="24" borderId="100" xfId="0" applyFont="1" applyFill="1" applyBorder="1" applyAlignment="1">
      <alignment horizontal="center" vertical="center"/>
    </xf>
    <xf numFmtId="0" fontId="76" fillId="24" borderId="101" xfId="0" applyFont="1" applyFill="1" applyBorder="1" applyAlignment="1">
      <alignment horizontal="center" vertical="center"/>
    </xf>
    <xf numFmtId="0" fontId="106" fillId="0" borderId="86" xfId="0" applyFont="1" applyBorder="1" applyAlignment="1">
      <alignment horizontal="center" vertical="distributed"/>
    </xf>
    <xf numFmtId="0" fontId="106" fillId="0" borderId="87" xfId="0" applyFont="1" applyBorder="1" applyAlignment="1">
      <alignment horizontal="center" vertical="distributed"/>
    </xf>
    <xf numFmtId="0" fontId="106" fillId="0" borderId="88" xfId="0" applyFont="1" applyBorder="1" applyAlignment="1">
      <alignment horizontal="center" vertical="distributed"/>
    </xf>
    <xf numFmtId="0" fontId="106" fillId="0" borderId="91" xfId="0" applyFont="1" applyBorder="1" applyAlignment="1">
      <alignment horizontal="center" vertical="distributed"/>
    </xf>
    <xf numFmtId="0" fontId="106" fillId="0" borderId="0" xfId="0" applyFont="1" applyAlignment="1">
      <alignment horizontal="center" vertical="distributed"/>
    </xf>
    <xf numFmtId="0" fontId="106" fillId="0" borderId="92" xfId="0" applyFont="1" applyBorder="1" applyAlignment="1">
      <alignment horizontal="center" vertical="distributed"/>
    </xf>
    <xf numFmtId="0" fontId="91" fillId="16" borderId="0" xfId="0" applyFont="1" applyFill="1" applyAlignment="1">
      <alignment horizontal="center" vertical="center"/>
    </xf>
    <xf numFmtId="0" fontId="9" fillId="14" borderId="32" xfId="0" applyFont="1" applyFill="1" applyBorder="1" applyAlignment="1">
      <alignment horizontal="center" vertical="center"/>
    </xf>
    <xf numFmtId="0" fontId="9" fillId="14" borderId="15" xfId="0" applyFont="1" applyFill="1" applyBorder="1" applyAlignment="1">
      <alignment horizontal="center" vertical="center"/>
    </xf>
    <xf numFmtId="0" fontId="10" fillId="14" borderId="32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31" fillId="15" borderId="35" xfId="0" applyFont="1" applyFill="1" applyBorder="1" applyAlignment="1">
      <alignment horizontal="center" vertical="center"/>
    </xf>
    <xf numFmtId="0" fontId="31" fillId="15" borderId="56" xfId="0" applyFont="1" applyFill="1" applyBorder="1" applyAlignment="1">
      <alignment horizontal="center" vertical="center"/>
    </xf>
    <xf numFmtId="0" fontId="32" fillId="15" borderId="5" xfId="0" applyFont="1" applyFill="1" applyBorder="1" applyAlignment="1">
      <alignment horizontal="center" vertical="center"/>
    </xf>
    <xf numFmtId="0" fontId="32" fillId="15" borderId="35" xfId="0" applyFont="1" applyFill="1" applyBorder="1" applyAlignment="1">
      <alignment horizontal="center" vertical="center"/>
    </xf>
    <xf numFmtId="0" fontId="32" fillId="15" borderId="56" xfId="0" applyFont="1" applyFill="1" applyBorder="1" applyAlignment="1">
      <alignment horizontal="center" vertical="center"/>
    </xf>
    <xf numFmtId="0" fontId="6" fillId="8" borderId="34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87" fillId="16" borderId="34" xfId="0" applyFont="1" applyFill="1" applyBorder="1" applyAlignment="1">
      <alignment horizontal="center" vertical="center"/>
    </xf>
    <xf numFmtId="0" fontId="87" fillId="16" borderId="26" xfId="0" applyFont="1" applyFill="1" applyBorder="1" applyAlignment="1">
      <alignment horizontal="center" vertical="center"/>
    </xf>
    <xf numFmtId="0" fontId="87" fillId="16" borderId="39" xfId="0" applyFont="1" applyFill="1" applyBorder="1" applyAlignment="1">
      <alignment horizontal="center" vertical="center"/>
    </xf>
    <xf numFmtId="0" fontId="87" fillId="16" borderId="31" xfId="0" applyFont="1" applyFill="1" applyBorder="1" applyAlignment="1" applyProtection="1">
      <alignment horizontal="center" vertical="center"/>
      <protection hidden="1"/>
    </xf>
    <xf numFmtId="0" fontId="87" fillId="16" borderId="32" xfId="0" applyFont="1" applyFill="1" applyBorder="1" applyAlignment="1" applyProtection="1">
      <alignment horizontal="center" vertical="center"/>
      <protection hidden="1"/>
    </xf>
    <xf numFmtId="0" fontId="87" fillId="16" borderId="52" xfId="0" applyFont="1" applyFill="1" applyBorder="1" applyAlignment="1" applyProtection="1">
      <alignment horizontal="center" vertical="center"/>
      <protection hidden="1"/>
    </xf>
    <xf numFmtId="0" fontId="88" fillId="16" borderId="60" xfId="0" applyFont="1" applyFill="1" applyBorder="1" applyAlignment="1" applyProtection="1">
      <alignment horizontal="center" vertical="center" wrapText="1"/>
      <protection hidden="1"/>
    </xf>
    <xf numFmtId="0" fontId="88" fillId="16" borderId="61" xfId="0" applyFont="1" applyFill="1" applyBorder="1" applyAlignment="1" applyProtection="1">
      <alignment horizontal="center" vertical="center" wrapText="1"/>
      <protection hidden="1"/>
    </xf>
    <xf numFmtId="0" fontId="81" fillId="12" borderId="34" xfId="0" applyFont="1" applyFill="1" applyBorder="1" applyAlignment="1">
      <alignment horizontal="center" vertical="center"/>
    </xf>
    <xf numFmtId="0" fontId="81" fillId="12" borderId="26" xfId="0" applyFont="1" applyFill="1" applyBorder="1" applyAlignment="1">
      <alignment horizontal="center" vertical="center"/>
    </xf>
    <xf numFmtId="0" fontId="81" fillId="12" borderId="39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/>
    </xf>
  </cellXfs>
  <cellStyles count="8">
    <cellStyle name="Comma" xfId="1" builtinId="3"/>
    <cellStyle name="Hyperlink" xfId="7" builtinId="8"/>
    <cellStyle name="Hyperlink 2" xfId="4" xr:uid="{00000000-0005-0000-0000-000002000000}"/>
    <cellStyle name="Normal" xfId="0" builtinId="0"/>
    <cellStyle name="Normal 2" xfId="5" xr:uid="{00000000-0005-0000-0000-000004000000}"/>
    <cellStyle name="Normal 2 2" xfId="6" xr:uid="{00000000-0005-0000-0000-000005000000}"/>
    <cellStyle name="Normal 2 2 2" xfId="3" xr:uid="{00000000-0005-0000-0000-000006000000}"/>
    <cellStyle name="Percent" xfId="2" builtinId="5"/>
  </cellStyles>
  <dxfs count="0"/>
  <tableStyles count="0" defaultTableStyle="TableStyleMedium9" defaultPivotStyle="PivotStyleLight16"/>
  <colors>
    <mruColors>
      <color rgb="FFFF0066"/>
      <color rgb="FF808000"/>
      <color rgb="FFA3ED2B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Dashboard!$AD$29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glow rad="127000">
                <a:schemeClr val="bg1"/>
              </a:glow>
            </a:effectLst>
            <a:scene3d>
              <a:camera prst="orthographicFront"/>
              <a:lightRig rig="threePt" dir="t"/>
            </a:scene3d>
            <a:sp3d prstMaterial="matte"/>
          </c:spPr>
          <c:invertIfNegative val="0"/>
          <c:val>
            <c:numRef>
              <c:f>Dashboard!$AD$30:$AD$41</c:f>
              <c:numCache>
                <c:formatCode>_-* #,##0_-;_-* #,##0\-;_-* "-"??_-;_-@_-</c:formatCode>
                <c:ptCount val="12"/>
                <c:pt idx="0">
                  <c:v>7921465.0499999989</c:v>
                </c:pt>
                <c:pt idx="1">
                  <c:v>7371378.6650000038</c:v>
                </c:pt>
                <c:pt idx="2">
                  <c:v>8328901.1999999993</c:v>
                </c:pt>
                <c:pt idx="3">
                  <c:v>8782200.3999999966</c:v>
                </c:pt>
                <c:pt idx="4">
                  <c:v>9510486.9499999974</c:v>
                </c:pt>
                <c:pt idx="5">
                  <c:v>9874965.6200000029</c:v>
                </c:pt>
                <c:pt idx="6" formatCode="_-* #,##0.00_-;_-* #,##0.00\-;_-* &quot;-&quot;??_-;_-@_-">
                  <c:v>10416488.650000002</c:v>
                </c:pt>
                <c:pt idx="7" formatCode="_-* #,##0.00_-;_-* #,##0.00\-;_-* &quot;-&quot;??_-;_-@_-">
                  <c:v>10814792.389999997</c:v>
                </c:pt>
                <c:pt idx="8" formatCode="_-* #,##0.00_-;_-* #,##0.00\-;_-* &quot;-&quot;??_-;_-@_-">
                  <c:v>10054468.890000001</c:v>
                </c:pt>
                <c:pt idx="9" formatCode="_-* #,##0.00_-;_-* #,##0.00\-;_-* &quot;-&quot;??_-;_-@_-">
                  <c:v>11314680.619999999</c:v>
                </c:pt>
                <c:pt idx="10" formatCode="_-* #,##0.00_-;_-* #,##0.00\-;_-* &quot;-&quot;??_-;_-@_-">
                  <c:v>11274828.549999995</c:v>
                </c:pt>
                <c:pt idx="11" formatCode="_-* #,##0.00_-;_-* #,##0.00\-;_-* &quot;-&quot;??_-;_-@_-">
                  <c:v>12464218.870000003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4-4065-A192-9B98A5976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91796512"/>
        <c:axId val="-1091795424"/>
      </c:barChart>
      <c:lineChart>
        <c:grouping val="stacked"/>
        <c:varyColors val="0"/>
        <c:ser>
          <c:idx val="1"/>
          <c:order val="1"/>
          <c:tx>
            <c:strRef>
              <c:f>Dashboard!$AE$29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ln w="22225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  <a:round/>
              </a:ln>
              <a:effectLst/>
            </c:spPr>
          </c:marker>
          <c:val>
            <c:numRef>
              <c:f>Dashboard!$AE$30:$AE$41</c:f>
              <c:numCache>
                <c:formatCode>_-* #,##0_-;_-* #,##0\-;_-* "-"??_-;_-@_-</c:formatCode>
                <c:ptCount val="12"/>
                <c:pt idx="0">
                  <c:v>7206089.6499999966</c:v>
                </c:pt>
                <c:pt idx="1">
                  <c:v>7814841.0099999988</c:v>
                </c:pt>
                <c:pt idx="2">
                  <c:v>8264417.5299999984</c:v>
                </c:pt>
                <c:pt idx="3">
                  <c:v>8907714.5500000007</c:v>
                </c:pt>
                <c:pt idx="4">
                  <c:v>8875833.8200000003</c:v>
                </c:pt>
                <c:pt idx="5">
                  <c:v>10183139.619999997</c:v>
                </c:pt>
                <c:pt idx="6" formatCode="_-* #,##0.00_-;_-* #,##0.00\-;_-* &quot;-&quot;??_-;_-@_-">
                  <c:v>10168253.425000003</c:v>
                </c:pt>
                <c:pt idx="7" formatCode="_-* #,##0.00_-;_-* #,##0.00\-;_-* &quot;-&quot;??_-;_-@_-">
                  <c:v>10307078.919999998</c:v>
                </c:pt>
                <c:pt idx="8" formatCode="_-* #,##0.00_-;_-* #,##0.00\-;_-* &quot;-&quot;??_-;_-@_-">
                  <c:v>11127271.460000001</c:v>
                </c:pt>
                <c:pt idx="9" formatCode="_-* #,##0.00_-;_-* #,##0.00\-;_-* &quot;-&quot;??_-;_-@_-">
                  <c:v>11138989.678000001</c:v>
                </c:pt>
                <c:pt idx="10" formatCode="_-* #,##0.00_-;_-* #,##0.00\-;_-* &quot;-&quot;??_-;_-@_-">
                  <c:v>11189826.999999998</c:v>
                </c:pt>
                <c:pt idx="11" formatCode="_-* #,##0.00_-;_-* #,##0.00\-;_-* &quot;-&quot;??_-;_-@_-">
                  <c:v>12649193.580000002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4-4065-A192-9B98A5976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91796512"/>
        <c:axId val="-1091795424"/>
      </c:lineChart>
      <c:catAx>
        <c:axId val="-109179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91795424"/>
        <c:crosses val="autoZero"/>
        <c:auto val="1"/>
        <c:lblAlgn val="ctr"/>
        <c:lblOffset val="20"/>
        <c:noMultiLvlLbl val="0"/>
      </c:catAx>
      <c:valAx>
        <c:axId val="-1091795424"/>
        <c:scaling>
          <c:orientation val="minMax"/>
        </c:scaling>
        <c:delete val="0"/>
        <c:axPos val="l"/>
        <c:numFmt formatCode="_-* #,##0_-;_-* #,##0\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9179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1578;&#1602;&#1585;&#1610;&#1585; &#1605;&#1589;&#1585;&#1608;&#1601;&#1575;&#1578; &#1581;&#1587;&#1576; &#1575;&#1604;&#1601;&#1585;&#1593;'!A1"/><Relationship Id="rId3" Type="http://schemas.openxmlformats.org/officeDocument/2006/relationships/image" Target="../media/image2.png"/><Relationship Id="rId7" Type="http://schemas.openxmlformats.org/officeDocument/2006/relationships/hyperlink" Target="#'&#1578;&#1602;&#1585;&#1610;&#1585; &#1605;&#1580;&#1605;&#1593;&#1577; &#1581;&#1587;&#1576; &#1575;&#1604;&#1588;&#1607;&#1585;'!A1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hyperlink" Target="#'&#1578;&#1602;&#1585;&#1610;&#1585; &#1573;&#1581;&#1589;&#1575;&#1574;&#1610;&#1577; &#1576;&#1581;&#1580;&#1605; &#1575;&#1604;&#1605;&#1576;&#1610;&#1593;&#1575;&#1578;'!A1"/><Relationship Id="rId5" Type="http://schemas.openxmlformats.org/officeDocument/2006/relationships/hyperlink" Target="#'&#1578;&#1602;&#1585;&#1610;&#1585; &#1605;&#1589;&#1585;&#1608;&#1601;&#1575;&#1578; &#1573;&#1580;&#1605;&#1575;&#1604;&#1610;&#1577;'!A1"/><Relationship Id="rId4" Type="http://schemas.openxmlformats.org/officeDocument/2006/relationships/hyperlink" Target="#'&#1578;&#1602;&#1585;&#1610;&#1585; &#1575;&#1604;&#1605;&#1589;&#1585;&#1608;&#1601;&#1575;&#1578; &#1581;&#1587;&#1576; &#1575;&#1604;&#1588;&#1607;&#1585;'!A1"/><Relationship Id="rId9" Type="http://schemas.openxmlformats.org/officeDocument/2006/relationships/hyperlink" Target="#'&#1605;&#1580;&#1605;&#1593;&#1577; &#1573;&#1580;&#1605;&#1575;&#1604;&#1610;&#1577;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Dashboard!A5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Dashboard!A5"/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MAIN!A1"/><Relationship Id="rId2" Type="http://schemas.openxmlformats.org/officeDocument/2006/relationships/hyperlink" Target="#'&#1605;&#1589;&#1585;&#1608;&#1601;&#1575;&#1578; &#1581;&#1587;&#1576; &#1575;&#1604;&#1601;&#1585;&#1593;'!A1"/><Relationship Id="rId1" Type="http://schemas.openxmlformats.org/officeDocument/2006/relationships/hyperlink" Target="#Dashboard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&#1602;&#1608;&#1575;&#1574;&#1605; &#1575;&#1604;&#1583;&#1582;&#1604; &#1575;&#1604;&#1605;&#1580;&#1605;&#1593;&#1577;2020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98986</xdr:colOff>
      <xdr:row>1</xdr:row>
      <xdr:rowOff>41444</xdr:rowOff>
    </xdr:from>
    <xdr:to>
      <xdr:col>2</xdr:col>
      <xdr:colOff>409294</xdr:colOff>
      <xdr:row>2</xdr:row>
      <xdr:rowOff>272730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3263214" y="125264"/>
          <a:ext cx="475620" cy="476396"/>
        </a:xfrm>
        <a:prstGeom prst="rect">
          <a:avLst/>
        </a:prstGeom>
      </xdr:spPr>
    </xdr:pic>
    <xdr:clientData/>
  </xdr:twoCellAnchor>
  <xdr:twoCellAnchor>
    <xdr:from>
      <xdr:col>7</xdr:col>
      <xdr:colOff>20545</xdr:colOff>
      <xdr:row>8</xdr:row>
      <xdr:rowOff>63501</xdr:rowOff>
    </xdr:from>
    <xdr:to>
      <xdr:col>15</xdr:col>
      <xdr:colOff>422711</xdr:colOff>
      <xdr:row>22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580495</xdr:colOff>
      <xdr:row>23</xdr:row>
      <xdr:rowOff>106892</xdr:rowOff>
    </xdr:from>
    <xdr:ext cx="1162580" cy="4847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flipH="1">
          <a:off x="10329910125" y="4577292"/>
          <a:ext cx="1162580" cy="48471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36000" rIns="36000" bIns="36000" rtlCol="0" anchor="ctr">
          <a:noAutofit/>
        </a:bodyPr>
        <a:lstStyle/>
        <a:p>
          <a:pPr algn="ctr"/>
          <a:r>
            <a:rPr lang="tr-TR" sz="1050" b="1">
              <a:effectLst/>
            </a:rPr>
            <a:t>Select Month </a:t>
          </a:r>
          <a:endParaRPr lang="en-US" sz="1050" b="1">
            <a:effectLst/>
          </a:endParaRPr>
        </a:p>
        <a:p>
          <a:pPr algn="ctr"/>
          <a:r>
            <a:rPr lang="tr-TR" sz="1050" b="1">
              <a:effectLst/>
            </a:rPr>
            <a:t>to see details:</a:t>
          </a:r>
        </a:p>
      </xdr:txBody>
    </xdr:sp>
    <xdr:clientData fPrintsWithSheet="0"/>
  </xdr:oneCellAnchor>
  <xdr:twoCellAnchor editAs="oneCell">
    <xdr:from>
      <xdr:col>17</xdr:col>
      <xdr:colOff>169333</xdr:colOff>
      <xdr:row>23</xdr:row>
      <xdr:rowOff>213252</xdr:rowOff>
    </xdr:from>
    <xdr:to>
      <xdr:col>17</xdr:col>
      <xdr:colOff>493333</xdr:colOff>
      <xdr:row>25</xdr:row>
      <xdr:rowOff>23812</xdr:rowOff>
    </xdr:to>
    <xdr:sp macro="" textlink="">
      <xdr:nvSpPr>
        <xdr:cNvPr id="6" name="Left Arrow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flipH="1">
          <a:off x="10331159867" y="4683652"/>
          <a:ext cx="324000" cy="267760"/>
        </a:xfrm>
        <a:prstGeom prst="leftArrow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 rtl="1"/>
          <a:endParaRPr lang="ar-SA"/>
        </a:p>
      </xdr:txBody>
    </xdr:sp>
    <xdr:clientData/>
  </xdr:twoCellAnchor>
  <xdr:twoCellAnchor editAs="oneCell">
    <xdr:from>
      <xdr:col>1</xdr:col>
      <xdr:colOff>98986</xdr:colOff>
      <xdr:row>1</xdr:row>
      <xdr:rowOff>38224</xdr:rowOff>
    </xdr:from>
    <xdr:to>
      <xdr:col>2</xdr:col>
      <xdr:colOff>409294</xdr:colOff>
      <xdr:row>2</xdr:row>
      <xdr:rowOff>270332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3263214" y="122044"/>
          <a:ext cx="475620" cy="477218"/>
        </a:xfrm>
        <a:prstGeom prst="rect">
          <a:avLst/>
        </a:prstGeom>
      </xdr:spPr>
    </xdr:pic>
    <xdr:clientData/>
  </xdr:twoCellAnchor>
  <xdr:twoCellAnchor editAs="oneCell">
    <xdr:from>
      <xdr:col>1</xdr:col>
      <xdr:colOff>98986</xdr:colOff>
      <xdr:row>1</xdr:row>
      <xdr:rowOff>38224</xdr:rowOff>
    </xdr:from>
    <xdr:to>
      <xdr:col>2</xdr:col>
      <xdr:colOff>409294</xdr:colOff>
      <xdr:row>2</xdr:row>
      <xdr:rowOff>270332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3263214" y="122044"/>
          <a:ext cx="475620" cy="477218"/>
        </a:xfrm>
        <a:prstGeom prst="rect">
          <a:avLst/>
        </a:prstGeom>
      </xdr:spPr>
    </xdr:pic>
    <xdr:clientData/>
  </xdr:twoCellAnchor>
  <xdr:oneCellAnchor>
    <xdr:from>
      <xdr:col>0</xdr:col>
      <xdr:colOff>-137939992</xdr:colOff>
      <xdr:row>23</xdr:row>
      <xdr:rowOff>106892</xdr:rowOff>
    </xdr:from>
    <xdr:ext cx="1162580" cy="4847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 flipH="1">
          <a:off x="10328747545" y="4577292"/>
          <a:ext cx="1162580" cy="48471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36000" rIns="36000" bIns="36000" rtlCol="0" anchor="ctr">
          <a:noAutofit/>
        </a:bodyPr>
        <a:lstStyle/>
        <a:p>
          <a:pPr algn="ctr"/>
          <a:r>
            <a:rPr lang="tr-TR" sz="1050" b="1">
              <a:effectLst/>
            </a:rPr>
            <a:t>Select Month </a:t>
          </a:r>
          <a:endParaRPr lang="en-US" sz="1050" b="1">
            <a:effectLst/>
          </a:endParaRPr>
        </a:p>
        <a:p>
          <a:pPr algn="ctr"/>
          <a:r>
            <a:rPr lang="tr-TR" sz="1050" b="1">
              <a:effectLst/>
            </a:rPr>
            <a:t>to see details:</a:t>
          </a:r>
        </a:p>
      </xdr:txBody>
    </xdr:sp>
    <xdr:clientData fPrintsWithSheet="0"/>
  </xdr:oneCellAnchor>
  <xdr:twoCellAnchor editAs="oneCell">
    <xdr:from>
      <xdr:col>0</xdr:col>
      <xdr:colOff>-139189734</xdr:colOff>
      <xdr:row>23</xdr:row>
      <xdr:rowOff>213252</xdr:rowOff>
    </xdr:from>
    <xdr:to>
      <xdr:col>0</xdr:col>
      <xdr:colOff>-138865734</xdr:colOff>
      <xdr:row>25</xdr:row>
      <xdr:rowOff>23812</xdr:rowOff>
    </xdr:to>
    <xdr:sp macro="" textlink="">
      <xdr:nvSpPr>
        <xdr:cNvPr id="14" name="Left Arrow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flipH="1">
          <a:off x="10330835867" y="4683652"/>
          <a:ext cx="324000" cy="267760"/>
        </a:xfrm>
        <a:prstGeom prst="leftArrow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 rtl="1"/>
          <a:endParaRPr lang="ar-SA"/>
        </a:p>
      </xdr:txBody>
    </xdr:sp>
    <xdr:clientData/>
  </xdr:twoCellAnchor>
  <xdr:twoCellAnchor editAs="oneCell">
    <xdr:from>
      <xdr:col>18</xdr:col>
      <xdr:colOff>84668</xdr:colOff>
      <xdr:row>2</xdr:row>
      <xdr:rowOff>42333</xdr:rowOff>
    </xdr:from>
    <xdr:to>
      <xdr:col>18</xdr:col>
      <xdr:colOff>790647</xdr:colOff>
      <xdr:row>2</xdr:row>
      <xdr:rowOff>278830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5038187" y="370416"/>
          <a:ext cx="705979" cy="236497"/>
        </a:xfrm>
        <a:prstGeom prst="rect">
          <a:avLst/>
        </a:prstGeom>
      </xdr:spPr>
    </xdr:pic>
    <xdr:clientData/>
  </xdr:twoCellAnchor>
  <xdr:oneCellAnchor>
    <xdr:from>
      <xdr:col>18</xdr:col>
      <xdr:colOff>859366</xdr:colOff>
      <xdr:row>1</xdr:row>
      <xdr:rowOff>152400</xdr:rowOff>
    </xdr:from>
    <xdr:ext cx="1312334" cy="4847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 flipH="1">
          <a:off x="9973657134" y="237067"/>
          <a:ext cx="1312334" cy="48471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36000" rIns="36000" bIns="36000" rtlCol="0" anchor="ctr">
          <a:noAutofit/>
        </a:bodyPr>
        <a:lstStyle/>
        <a:p>
          <a:pPr algn="ctr"/>
          <a:r>
            <a:rPr lang="tr-TR" sz="1050" b="1">
              <a:effectLst/>
            </a:rPr>
            <a:t>Select </a:t>
          </a:r>
          <a:r>
            <a:rPr lang="en-US" sz="1050" b="1">
              <a:effectLst/>
            </a:rPr>
            <a:t>Branch</a:t>
          </a:r>
          <a:r>
            <a:rPr lang="en-US" sz="1050" b="1" baseline="0">
              <a:effectLst/>
            </a:rPr>
            <a:t> &amp; Click</a:t>
          </a:r>
          <a:endParaRPr lang="en-US" sz="1050" b="1">
            <a:effectLst/>
          </a:endParaRPr>
        </a:p>
        <a:p>
          <a:pPr algn="ctr"/>
          <a:r>
            <a:rPr lang="tr-TR" sz="1050" b="1">
              <a:effectLst/>
            </a:rPr>
            <a:t>to see details:</a:t>
          </a:r>
        </a:p>
      </xdr:txBody>
    </xdr:sp>
    <xdr:clientData fPrintsWithSheet="0"/>
  </xdr:oneCellAnchor>
  <xdr:oneCellAnchor>
    <xdr:from>
      <xdr:col>18</xdr:col>
      <xdr:colOff>880533</xdr:colOff>
      <xdr:row>9</xdr:row>
      <xdr:rowOff>44449</xdr:rowOff>
    </xdr:from>
    <xdr:ext cx="1312334" cy="4847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 flipH="1">
          <a:off x="9973635967" y="1547282"/>
          <a:ext cx="1312334" cy="48471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36000" rIns="36000" bIns="36000" rtlCol="0" anchor="ctr">
          <a:noAutofit/>
        </a:bodyPr>
        <a:lstStyle/>
        <a:p>
          <a:pPr algn="ctr"/>
          <a:r>
            <a:rPr lang="en-US" sz="1050" b="1">
              <a:effectLst/>
            </a:rPr>
            <a:t>Select Report Sheet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see details:</a:t>
          </a:r>
          <a:endParaRPr lang="tr-TR" sz="1050" b="1">
            <a:effectLst/>
          </a:endParaRPr>
        </a:p>
      </xdr:txBody>
    </xdr:sp>
    <xdr:clientData fPrintsWithSheet="0"/>
  </xdr:oneCellAnchor>
  <xdr:twoCellAnchor>
    <xdr:from>
      <xdr:col>17</xdr:col>
      <xdr:colOff>21167</xdr:colOff>
      <xdr:row>5</xdr:row>
      <xdr:rowOff>21166</xdr:rowOff>
    </xdr:from>
    <xdr:to>
      <xdr:col>18</xdr:col>
      <xdr:colOff>137584</xdr:colOff>
      <xdr:row>7</xdr:row>
      <xdr:rowOff>21166</xdr:rowOff>
    </xdr:to>
    <xdr:sp macro="" textlink="">
      <xdr:nvSpPr>
        <xdr:cNvPr id="2" name="Rectangle: Single Corner Snipped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7938EE-C7BE-872D-587E-C97B684F8723}"/>
            </a:ext>
          </a:extLst>
        </xdr:cNvPr>
        <xdr:cNvSpPr/>
      </xdr:nvSpPr>
      <xdr:spPr>
        <a:xfrm>
          <a:off x="9975691250" y="761999"/>
          <a:ext cx="1926167" cy="296334"/>
        </a:xfrm>
        <a:prstGeom prst="snip1Rect">
          <a:avLst/>
        </a:prstGeom>
        <a:solidFill>
          <a:schemeClr val="tx2">
            <a:lumMod val="7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تقرير المصروفات حسب الشهر</a:t>
          </a:r>
          <a:endParaRPr lang="en-US" sz="11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17</xdr:col>
      <xdr:colOff>21167</xdr:colOff>
      <xdr:row>7</xdr:row>
      <xdr:rowOff>74082</xdr:rowOff>
    </xdr:from>
    <xdr:to>
      <xdr:col>18</xdr:col>
      <xdr:colOff>137584</xdr:colOff>
      <xdr:row>8</xdr:row>
      <xdr:rowOff>137583</xdr:rowOff>
    </xdr:to>
    <xdr:sp macro="" textlink="">
      <xdr:nvSpPr>
        <xdr:cNvPr id="7" name="Rectangle: Single Corner Snipped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E0DDE8-F983-42C4-8F51-7A665C4AAE92}"/>
            </a:ext>
          </a:extLst>
        </xdr:cNvPr>
        <xdr:cNvSpPr/>
      </xdr:nvSpPr>
      <xdr:spPr>
        <a:xfrm>
          <a:off x="9975691250" y="1111249"/>
          <a:ext cx="1926167" cy="296334"/>
        </a:xfrm>
        <a:prstGeom prst="snip1Rect">
          <a:avLst/>
        </a:prstGeom>
        <a:solidFill>
          <a:schemeClr val="tx2">
            <a:lumMod val="7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تقرير مصروفات إجمالية</a:t>
          </a:r>
          <a:endParaRPr lang="en-US" sz="11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17</xdr:col>
      <xdr:colOff>21167</xdr:colOff>
      <xdr:row>8</xdr:row>
      <xdr:rowOff>190499</xdr:rowOff>
    </xdr:from>
    <xdr:to>
      <xdr:col>18</xdr:col>
      <xdr:colOff>137584</xdr:colOff>
      <xdr:row>10</xdr:row>
      <xdr:rowOff>158750</xdr:rowOff>
    </xdr:to>
    <xdr:sp macro="" textlink="">
      <xdr:nvSpPr>
        <xdr:cNvPr id="10" name="Rectangle: Single Corner Snipped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C59892F-22F4-4DED-A54B-F2C8C1CE6EA2}"/>
            </a:ext>
          </a:extLst>
        </xdr:cNvPr>
        <xdr:cNvSpPr/>
      </xdr:nvSpPr>
      <xdr:spPr>
        <a:xfrm>
          <a:off x="9975691250" y="1460499"/>
          <a:ext cx="1926167" cy="296334"/>
        </a:xfrm>
        <a:prstGeom prst="snip1Rect">
          <a:avLst/>
        </a:prstGeom>
        <a:solidFill>
          <a:schemeClr val="tx2">
            <a:lumMod val="7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تقرير احصائيات بحجم المبيعات</a:t>
          </a:r>
          <a:endParaRPr lang="en-US" sz="11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17</xdr:col>
      <xdr:colOff>21167</xdr:colOff>
      <xdr:row>10</xdr:row>
      <xdr:rowOff>211666</xdr:rowOff>
    </xdr:from>
    <xdr:to>
      <xdr:col>18</xdr:col>
      <xdr:colOff>137584</xdr:colOff>
      <xdr:row>12</xdr:row>
      <xdr:rowOff>42333</xdr:rowOff>
    </xdr:to>
    <xdr:sp macro="" textlink="">
      <xdr:nvSpPr>
        <xdr:cNvPr id="11" name="Rectangle: Single Corner Snipped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91C71A-3E02-45E7-8A38-D73878F87C85}"/>
            </a:ext>
          </a:extLst>
        </xdr:cNvPr>
        <xdr:cNvSpPr/>
      </xdr:nvSpPr>
      <xdr:spPr>
        <a:xfrm>
          <a:off x="9975691250" y="1809749"/>
          <a:ext cx="1926167" cy="296334"/>
        </a:xfrm>
        <a:prstGeom prst="snip1Rect">
          <a:avLst/>
        </a:prstGeom>
        <a:solidFill>
          <a:schemeClr val="tx2">
            <a:lumMod val="7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تقرير مجمعه حسب الشهر</a:t>
          </a:r>
          <a:endParaRPr lang="en-US" sz="11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17</xdr:col>
      <xdr:colOff>21168</xdr:colOff>
      <xdr:row>12</xdr:row>
      <xdr:rowOff>95249</xdr:rowOff>
    </xdr:from>
    <xdr:to>
      <xdr:col>18</xdr:col>
      <xdr:colOff>137585</xdr:colOff>
      <xdr:row>13</xdr:row>
      <xdr:rowOff>158750</xdr:rowOff>
    </xdr:to>
    <xdr:sp macro="" textlink="">
      <xdr:nvSpPr>
        <xdr:cNvPr id="16" name="Rectangle: Single Corner Snipped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E9310C7-1435-436F-9EE0-B1072C700AEB}"/>
            </a:ext>
          </a:extLst>
        </xdr:cNvPr>
        <xdr:cNvSpPr/>
      </xdr:nvSpPr>
      <xdr:spPr>
        <a:xfrm>
          <a:off x="9975691249" y="2158999"/>
          <a:ext cx="1926167" cy="296334"/>
        </a:xfrm>
        <a:prstGeom prst="snip1Rect">
          <a:avLst/>
        </a:prstGeom>
        <a:solidFill>
          <a:schemeClr val="tx2">
            <a:lumMod val="7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تقرير مصروفات حسب الفرع</a:t>
          </a:r>
          <a:endParaRPr lang="en-US" sz="11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17</xdr:col>
      <xdr:colOff>21166</xdr:colOff>
      <xdr:row>13</xdr:row>
      <xdr:rowOff>211667</xdr:rowOff>
    </xdr:from>
    <xdr:to>
      <xdr:col>18</xdr:col>
      <xdr:colOff>137583</xdr:colOff>
      <xdr:row>15</xdr:row>
      <xdr:rowOff>42334</xdr:rowOff>
    </xdr:to>
    <xdr:sp macro="" textlink="">
      <xdr:nvSpPr>
        <xdr:cNvPr id="19" name="Rectangle: Single Corner Snipped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87329E-FA44-4542-AB98-D5653E3678D8}"/>
            </a:ext>
          </a:extLst>
        </xdr:cNvPr>
        <xdr:cNvSpPr/>
      </xdr:nvSpPr>
      <xdr:spPr>
        <a:xfrm>
          <a:off x="9975691251" y="2508250"/>
          <a:ext cx="1926167" cy="296334"/>
        </a:xfrm>
        <a:prstGeom prst="snip1Rect">
          <a:avLst/>
        </a:prstGeom>
        <a:solidFill>
          <a:schemeClr val="tx2">
            <a:lumMod val="75000"/>
          </a:schemeClr>
        </a:solidFill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مجمعه إجماليه</a:t>
          </a:r>
          <a:endParaRPr lang="en-US" sz="11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 editAs="oneCell">
    <xdr:from>
      <xdr:col>18</xdr:col>
      <xdr:colOff>214204</xdr:colOff>
      <xdr:row>10</xdr:row>
      <xdr:rowOff>63501</xdr:rowOff>
    </xdr:from>
    <xdr:to>
      <xdr:col>18</xdr:col>
      <xdr:colOff>798124</xdr:colOff>
      <xdr:row>11</xdr:row>
      <xdr:rowOff>88331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8E205AC-22D4-44BE-B27D-B37E748B3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5030710" y="1661584"/>
          <a:ext cx="583920" cy="2576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394112</xdr:colOff>
      <xdr:row>1</xdr:row>
      <xdr:rowOff>110066</xdr:rowOff>
    </xdr:from>
    <xdr:to>
      <xdr:col>5</xdr:col>
      <xdr:colOff>71966</xdr:colOff>
      <xdr:row>2</xdr:row>
      <xdr:rowOff>222297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238480074" y="193886"/>
          <a:ext cx="1659054" cy="363691"/>
          <a:chOff x="7332133" y="217525"/>
          <a:chExt cx="1116756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 txBox="1"/>
        </xdr:nvSpPr>
        <xdr:spPr>
          <a:xfrm>
            <a:off x="7728913" y="255856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262466</xdr:colOff>
      <xdr:row>1</xdr:row>
      <xdr:rowOff>33866</xdr:rowOff>
    </xdr:from>
    <xdr:to>
      <xdr:col>2</xdr:col>
      <xdr:colOff>441323</xdr:colOff>
      <xdr:row>2</xdr:row>
      <xdr:rowOff>262466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27097" y="117686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169332</xdr:colOff>
      <xdr:row>1</xdr:row>
      <xdr:rowOff>160867</xdr:rowOff>
    </xdr:from>
    <xdr:to>
      <xdr:col>5</xdr:col>
      <xdr:colOff>228599</xdr:colOff>
      <xdr:row>2</xdr:row>
      <xdr:rowOff>273098</xdr:rowOff>
    </xdr:to>
    <xdr:grpSp>
      <xdr:nvGrpSpPr>
        <xdr:cNvPr id="6" name="Group 5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pSpPr/>
      </xdr:nvGrpSpPr>
      <xdr:grpSpPr>
        <a:xfrm>
          <a:off x="10236959461" y="244687"/>
          <a:ext cx="1971887" cy="363691"/>
          <a:chOff x="7332133" y="217525"/>
          <a:chExt cx="1131771" cy="451203"/>
        </a:xfrm>
      </xdr:grpSpPr>
      <xdr:sp macro="" textlink="">
        <xdr:nvSpPr>
          <xdr:cNvPr id="7" name="Rounded Rectangle 2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8" name="Picture 7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TextBox 8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262466</xdr:colOff>
      <xdr:row>1</xdr:row>
      <xdr:rowOff>33866</xdr:rowOff>
    </xdr:from>
    <xdr:to>
      <xdr:col>2</xdr:col>
      <xdr:colOff>565148</xdr:colOff>
      <xdr:row>2</xdr:row>
      <xdr:rowOff>262466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203877" y="118533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245533</xdr:colOff>
      <xdr:row>1</xdr:row>
      <xdr:rowOff>126999</xdr:rowOff>
    </xdr:from>
    <xdr:to>
      <xdr:col>4</xdr:col>
      <xdr:colOff>1079499</xdr:colOff>
      <xdr:row>2</xdr:row>
      <xdr:rowOff>239230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10237823061" y="210819"/>
          <a:ext cx="166454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33087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118533</xdr:colOff>
      <xdr:row>1</xdr:row>
      <xdr:rowOff>143933</xdr:rowOff>
    </xdr:from>
    <xdr:to>
      <xdr:col>4</xdr:col>
      <xdr:colOff>952499</xdr:colOff>
      <xdr:row>2</xdr:row>
      <xdr:rowOff>256164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0237195681" y="227753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93133</xdr:colOff>
      <xdr:row>1</xdr:row>
      <xdr:rowOff>152400</xdr:rowOff>
    </xdr:from>
    <xdr:to>
      <xdr:col>4</xdr:col>
      <xdr:colOff>927099</xdr:colOff>
      <xdr:row>2</xdr:row>
      <xdr:rowOff>264631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10237221081" y="236220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67733</xdr:colOff>
      <xdr:row>1</xdr:row>
      <xdr:rowOff>143933</xdr:rowOff>
    </xdr:from>
    <xdr:to>
      <xdr:col>4</xdr:col>
      <xdr:colOff>901699</xdr:colOff>
      <xdr:row>2</xdr:row>
      <xdr:rowOff>256164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10237246481" y="227753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</xdr:row>
      <xdr:rowOff>177800</xdr:rowOff>
    </xdr:from>
    <xdr:to>
      <xdr:col>4</xdr:col>
      <xdr:colOff>884766</xdr:colOff>
      <xdr:row>2</xdr:row>
      <xdr:rowOff>290031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10237263414" y="261620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118533</xdr:colOff>
      <xdr:row>1</xdr:row>
      <xdr:rowOff>127000</xdr:rowOff>
    </xdr:from>
    <xdr:to>
      <xdr:col>4</xdr:col>
      <xdr:colOff>952499</xdr:colOff>
      <xdr:row>2</xdr:row>
      <xdr:rowOff>239231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0237195681" y="210820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2133599</xdr:colOff>
      <xdr:row>1</xdr:row>
      <xdr:rowOff>135467</xdr:rowOff>
    </xdr:from>
    <xdr:to>
      <xdr:col>4</xdr:col>
      <xdr:colOff>817032</xdr:colOff>
      <xdr:row>2</xdr:row>
      <xdr:rowOff>247698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10237331148" y="219287"/>
          <a:ext cx="1784773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15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5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8466</xdr:colOff>
      <xdr:row>1</xdr:row>
      <xdr:rowOff>135466</xdr:rowOff>
    </xdr:from>
    <xdr:to>
      <xdr:col>4</xdr:col>
      <xdr:colOff>842432</xdr:colOff>
      <xdr:row>2</xdr:row>
      <xdr:rowOff>247697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10237305748" y="219286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17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7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8467</xdr:colOff>
      <xdr:row>1</xdr:row>
      <xdr:rowOff>118533</xdr:rowOff>
    </xdr:from>
    <xdr:to>
      <xdr:col>4</xdr:col>
      <xdr:colOff>842433</xdr:colOff>
      <xdr:row>2</xdr:row>
      <xdr:rowOff>230764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10237305747" y="202353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59267</xdr:colOff>
      <xdr:row>1</xdr:row>
      <xdr:rowOff>84666</xdr:rowOff>
    </xdr:from>
    <xdr:to>
      <xdr:col>4</xdr:col>
      <xdr:colOff>893233</xdr:colOff>
      <xdr:row>2</xdr:row>
      <xdr:rowOff>196897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pSpPr/>
      </xdr:nvGrpSpPr>
      <xdr:grpSpPr>
        <a:xfrm>
          <a:off x="10237254947" y="168486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1B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B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</xdr:row>
      <xdr:rowOff>101599</xdr:rowOff>
    </xdr:from>
    <xdr:to>
      <xdr:col>4</xdr:col>
      <xdr:colOff>884766</xdr:colOff>
      <xdr:row>2</xdr:row>
      <xdr:rowOff>213830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pSpPr/>
      </xdr:nvGrpSpPr>
      <xdr:grpSpPr>
        <a:xfrm>
          <a:off x="10237263414" y="185419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1D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D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1D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33867</xdr:colOff>
      <xdr:row>1</xdr:row>
      <xdr:rowOff>126999</xdr:rowOff>
    </xdr:from>
    <xdr:to>
      <xdr:col>4</xdr:col>
      <xdr:colOff>867833</xdr:colOff>
      <xdr:row>2</xdr:row>
      <xdr:rowOff>239230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8EA42EFD-9727-48EB-AD06-1860FA81D5CB}"/>
            </a:ext>
          </a:extLst>
        </xdr:cNvPr>
        <xdr:cNvGrpSpPr/>
      </xdr:nvGrpSpPr>
      <xdr:grpSpPr>
        <a:xfrm>
          <a:off x="10237280347" y="210819"/>
          <a:ext cx="1786466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CB9A0B75-5FAE-BD7A-681F-E1B441401E93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DFDD74F2-5518-E805-EF70-74500E7DB66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F1C005F4-495D-583A-4CF2-7DA32B2EDD5B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67733</xdr:colOff>
      <xdr:row>1</xdr:row>
      <xdr:rowOff>143933</xdr:rowOff>
    </xdr:from>
    <xdr:to>
      <xdr:col>4</xdr:col>
      <xdr:colOff>901699</xdr:colOff>
      <xdr:row>2</xdr:row>
      <xdr:rowOff>256164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DF54C09F-1302-4188-BAC7-4E69D206A812}"/>
            </a:ext>
          </a:extLst>
        </xdr:cNvPr>
        <xdr:cNvGrpSpPr/>
      </xdr:nvGrpSpPr>
      <xdr:grpSpPr>
        <a:xfrm>
          <a:off x="10237246481" y="227753"/>
          <a:ext cx="1786466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1C879D32-85BD-71BA-930C-C941E9C24F1D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57299ECB-E92B-ABD0-C8BB-7DB53788453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030532C8-FDB0-B9C3-FCB7-5D7A39C25141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2</xdr:col>
      <xdr:colOff>2142067</xdr:colOff>
      <xdr:row>1</xdr:row>
      <xdr:rowOff>152400</xdr:rowOff>
    </xdr:from>
    <xdr:to>
      <xdr:col>4</xdr:col>
      <xdr:colOff>825500</xdr:colOff>
      <xdr:row>2</xdr:row>
      <xdr:rowOff>264631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A764722F-39C3-42A2-835F-667EA2F699A1}"/>
            </a:ext>
          </a:extLst>
        </xdr:cNvPr>
        <xdr:cNvGrpSpPr/>
      </xdr:nvGrpSpPr>
      <xdr:grpSpPr>
        <a:xfrm>
          <a:off x="10237322680" y="236220"/>
          <a:ext cx="1784773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32BEEEE8-55C3-D298-DC37-0806C98F0862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FBCB60AD-87EB-F56E-2310-23E435FF5A8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7EC44512-1A2A-6394-2F36-777812F1134B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2</xdr:col>
      <xdr:colOff>2142066</xdr:colOff>
      <xdr:row>1</xdr:row>
      <xdr:rowOff>152399</xdr:rowOff>
    </xdr:from>
    <xdr:to>
      <xdr:col>4</xdr:col>
      <xdr:colOff>825499</xdr:colOff>
      <xdr:row>2</xdr:row>
      <xdr:rowOff>264630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E136BBDD-9994-4F04-934E-7F258FFFC037}"/>
            </a:ext>
          </a:extLst>
        </xdr:cNvPr>
        <xdr:cNvGrpSpPr/>
      </xdr:nvGrpSpPr>
      <xdr:grpSpPr>
        <a:xfrm>
          <a:off x="10237322681" y="236219"/>
          <a:ext cx="1784773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6B7B160F-713B-0E0D-BC47-B9A41175A166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01542E62-F701-8283-17DC-B56AC2795A8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17ACCE5A-630B-D553-71BB-532F6BA374F6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2</xdr:col>
      <xdr:colOff>2142066</xdr:colOff>
      <xdr:row>1</xdr:row>
      <xdr:rowOff>118533</xdr:rowOff>
    </xdr:from>
    <xdr:to>
      <xdr:col>4</xdr:col>
      <xdr:colOff>825499</xdr:colOff>
      <xdr:row>2</xdr:row>
      <xdr:rowOff>230764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83A0333D-A7F1-4CCC-B366-5155EFD64E8C}"/>
            </a:ext>
          </a:extLst>
        </xdr:cNvPr>
        <xdr:cNvGrpSpPr/>
      </xdr:nvGrpSpPr>
      <xdr:grpSpPr>
        <a:xfrm>
          <a:off x="10237322681" y="202353"/>
          <a:ext cx="1784773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BD85F88E-01CA-95A6-CAFC-BC708113F39D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9CE2F794-8722-E457-801C-55FA7D2CD54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C70752AB-9692-8146-5044-2062D4019BD6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33867</xdr:colOff>
      <xdr:row>1</xdr:row>
      <xdr:rowOff>126999</xdr:rowOff>
    </xdr:from>
    <xdr:to>
      <xdr:col>4</xdr:col>
      <xdr:colOff>867833</xdr:colOff>
      <xdr:row>2</xdr:row>
      <xdr:rowOff>239230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A569B2EC-5561-4B4D-AB00-3B5DD42A915D}"/>
            </a:ext>
          </a:extLst>
        </xdr:cNvPr>
        <xdr:cNvGrpSpPr/>
      </xdr:nvGrpSpPr>
      <xdr:grpSpPr>
        <a:xfrm>
          <a:off x="10237280347" y="210819"/>
          <a:ext cx="1786466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749CD969-46B9-F5C5-A3DC-1338975BB2C5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7A71A95D-FE45-0B6B-05C1-8D7E9F63752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3CA91D08-244A-61DB-C0AF-DD84412CFDC5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2</xdr:col>
      <xdr:colOff>2125133</xdr:colOff>
      <xdr:row>1</xdr:row>
      <xdr:rowOff>169333</xdr:rowOff>
    </xdr:from>
    <xdr:to>
      <xdr:col>4</xdr:col>
      <xdr:colOff>808566</xdr:colOff>
      <xdr:row>2</xdr:row>
      <xdr:rowOff>273097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6A2A9005-1AFE-4D5F-92D5-D433DF396061}"/>
            </a:ext>
          </a:extLst>
        </xdr:cNvPr>
        <xdr:cNvGrpSpPr/>
      </xdr:nvGrpSpPr>
      <xdr:grpSpPr>
        <a:xfrm>
          <a:off x="10237339614" y="253153"/>
          <a:ext cx="1784773" cy="355224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E9D0AC63-2667-433A-865D-B7E0B41282BF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C1A58B60-CA44-2C34-CBE8-C3EEFF10DC7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E8BB9566-61BE-4946-ADE5-4091F2BD02C9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33867</xdr:colOff>
      <xdr:row>1</xdr:row>
      <xdr:rowOff>127000</xdr:rowOff>
    </xdr:from>
    <xdr:to>
      <xdr:col>4</xdr:col>
      <xdr:colOff>867833</xdr:colOff>
      <xdr:row>2</xdr:row>
      <xdr:rowOff>239231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AE2B25AC-4061-423D-A110-130E6DD9B048}"/>
            </a:ext>
          </a:extLst>
        </xdr:cNvPr>
        <xdr:cNvGrpSpPr/>
      </xdr:nvGrpSpPr>
      <xdr:grpSpPr>
        <a:xfrm>
          <a:off x="10237280347" y="210820"/>
          <a:ext cx="1786466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82069298-F26F-BB2E-A315-02E79F23AC4B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EDE57E69-5DB9-08AB-BA9D-A3F9D825DD8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2EAEF7AF-95C0-46E8-8098-E6A09D790A92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33867</xdr:colOff>
      <xdr:row>1</xdr:row>
      <xdr:rowOff>93133</xdr:rowOff>
    </xdr:from>
    <xdr:to>
      <xdr:col>4</xdr:col>
      <xdr:colOff>867833</xdr:colOff>
      <xdr:row>2</xdr:row>
      <xdr:rowOff>205364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0AF87EDB-EAD9-422A-9CBB-11BD2E166E1A}"/>
            </a:ext>
          </a:extLst>
        </xdr:cNvPr>
        <xdr:cNvGrpSpPr/>
      </xdr:nvGrpSpPr>
      <xdr:grpSpPr>
        <a:xfrm>
          <a:off x="10237280347" y="176953"/>
          <a:ext cx="1786466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3F369FD4-D8D5-D3AC-26CC-666EEC9F6016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C7E969B8-3C8D-991A-20F6-3F5B36312E7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BC801FA8-01FF-A8C7-EE11-CA46A1FBC8F9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33867</xdr:colOff>
      <xdr:row>1</xdr:row>
      <xdr:rowOff>160867</xdr:rowOff>
    </xdr:from>
    <xdr:to>
      <xdr:col>4</xdr:col>
      <xdr:colOff>867833</xdr:colOff>
      <xdr:row>2</xdr:row>
      <xdr:rowOff>273098</xdr:rowOff>
    </xdr:to>
    <xdr:grpSp>
      <xdr:nvGrpSpPr>
        <xdr:cNvPr id="2" name="Group 1">
          <a:hlinkClick xmlns:r="http://schemas.openxmlformats.org/officeDocument/2006/relationships" r:id="rId1" tooltip="Go to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pSpPr/>
      </xdr:nvGrpSpPr>
      <xdr:grpSpPr>
        <a:xfrm>
          <a:off x="10237280347" y="244687"/>
          <a:ext cx="1786466" cy="363691"/>
          <a:chOff x="7332133" y="217525"/>
          <a:chExt cx="1131771" cy="451203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3100-000003000000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4" name="Picture 3" descr="http://swiss-delicious.com/images/1024/icons/back.png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31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hlinkClick xmlns:r="http://schemas.openxmlformats.org/officeDocument/2006/relationships" r:id="rId1" tooltip="Go to"/>
            <a:extLst>
              <a:ext uri="{FF2B5EF4-FFF2-40B4-BE49-F238E27FC236}">
                <a16:creationId xmlns:a16="http://schemas.microsoft.com/office/drawing/2014/main" id="{00000000-0008-0000-3100-000005000000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59267</xdr:colOff>
      <xdr:row>1</xdr:row>
      <xdr:rowOff>160866</xdr:rowOff>
    </xdr:from>
    <xdr:to>
      <xdr:col>4</xdr:col>
      <xdr:colOff>893233</xdr:colOff>
      <xdr:row>2</xdr:row>
      <xdr:rowOff>273097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0BB6CDFD-60D6-4EE1-B202-99B78C07E969}"/>
            </a:ext>
          </a:extLst>
        </xdr:cNvPr>
        <xdr:cNvGrpSpPr/>
      </xdr:nvGrpSpPr>
      <xdr:grpSpPr>
        <a:xfrm>
          <a:off x="10237254947" y="244686"/>
          <a:ext cx="1786466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206FF1AC-7466-7D3F-E321-01A0E4EC92AF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FDE95DFF-236F-CCDE-220A-B04464DD395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7B257370-5972-A79B-D36A-C8D643A7EA4C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84663</xdr:colOff>
      <xdr:row>1</xdr:row>
      <xdr:rowOff>93133</xdr:rowOff>
    </xdr:from>
    <xdr:to>
      <xdr:col>4</xdr:col>
      <xdr:colOff>918628</xdr:colOff>
      <xdr:row>2</xdr:row>
      <xdr:rowOff>205364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8C31EAA2-9AAF-431D-AE21-2B970AAF4202}"/>
            </a:ext>
          </a:extLst>
        </xdr:cNvPr>
        <xdr:cNvGrpSpPr/>
      </xdr:nvGrpSpPr>
      <xdr:grpSpPr>
        <a:xfrm>
          <a:off x="10237229552" y="176953"/>
          <a:ext cx="1786465" cy="363691"/>
          <a:chOff x="7332133" y="217525"/>
          <a:chExt cx="1131770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4C3E66C5-8C36-DC76-D68F-130942A4845B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F6AF3036-095C-B2BD-31E4-A2B8C94B1FF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702A772D-DBBB-98E2-A2A0-FB5A34090BC9}"/>
              </a:ext>
            </a:extLst>
          </xdr:cNvPr>
          <xdr:cNvSpPr txBox="1"/>
        </xdr:nvSpPr>
        <xdr:spPr>
          <a:xfrm>
            <a:off x="7792376" y="255856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16933</xdr:colOff>
      <xdr:row>1</xdr:row>
      <xdr:rowOff>110066</xdr:rowOff>
    </xdr:from>
    <xdr:to>
      <xdr:col>4</xdr:col>
      <xdr:colOff>850899</xdr:colOff>
      <xdr:row>2</xdr:row>
      <xdr:rowOff>222297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B207CB64-EFB0-4FB9-A7F4-7F397EDCA1C2}"/>
            </a:ext>
          </a:extLst>
        </xdr:cNvPr>
        <xdr:cNvGrpSpPr/>
      </xdr:nvGrpSpPr>
      <xdr:grpSpPr>
        <a:xfrm>
          <a:off x="10237297281" y="193886"/>
          <a:ext cx="1786466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58C8D68F-8270-B56D-AF0F-AF99D2FE3D3A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075C7754-7DE2-86EC-5189-2FB4BE00364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6D62CAF9-77BF-BC6F-A388-37C971AAFEC5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614397" y="126153"/>
          <a:ext cx="70463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194734</xdr:colOff>
      <xdr:row>1</xdr:row>
      <xdr:rowOff>110067</xdr:rowOff>
    </xdr:from>
    <xdr:to>
      <xdr:col>4</xdr:col>
      <xdr:colOff>1028700</xdr:colOff>
      <xdr:row>2</xdr:row>
      <xdr:rowOff>222298</xdr:rowOff>
    </xdr:to>
    <xdr:grpSp>
      <xdr:nvGrpSpPr>
        <xdr:cNvPr id="7" name="Group 6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16F089E4-5C4F-4486-A619-E70FEFF27F17}"/>
            </a:ext>
          </a:extLst>
        </xdr:cNvPr>
        <xdr:cNvGrpSpPr/>
      </xdr:nvGrpSpPr>
      <xdr:grpSpPr>
        <a:xfrm>
          <a:off x="10237188060" y="193887"/>
          <a:ext cx="1717886" cy="363691"/>
          <a:chOff x="7332133" y="217525"/>
          <a:chExt cx="1131771" cy="451203"/>
        </a:xfrm>
      </xdr:grpSpPr>
      <xdr:sp macro="" textlink="">
        <xdr:nvSpPr>
          <xdr:cNvPr id="8" name="Rounded Rectangle 2">
            <a:extLst>
              <a:ext uri="{FF2B5EF4-FFF2-40B4-BE49-F238E27FC236}">
                <a16:creationId xmlns:a16="http://schemas.microsoft.com/office/drawing/2014/main" id="{92A5DB95-ED5A-4EF8-34E5-2B84EE455059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9" name="Picture 8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5405EEF1-B0BE-95A9-FFAF-A7BBDE8CC8A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Box 9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9BF7ED97-4451-16A7-2CCF-C9442D7AF182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75075-5CD1-4655-9CC4-49EF466B0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899502" y="128058"/>
          <a:ext cx="683682" cy="47625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194734</xdr:colOff>
      <xdr:row>1</xdr:row>
      <xdr:rowOff>110067</xdr:rowOff>
    </xdr:from>
    <xdr:to>
      <xdr:col>5</xdr:col>
      <xdr:colOff>0</xdr:colOff>
      <xdr:row>2</xdr:row>
      <xdr:rowOff>222298</xdr:rowOff>
    </xdr:to>
    <xdr:grpSp>
      <xdr:nvGrpSpPr>
        <xdr:cNvPr id="3" name="Group 2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7D030F47-E664-4359-A1F5-91DBBFEDA895}"/>
            </a:ext>
          </a:extLst>
        </xdr:cNvPr>
        <xdr:cNvGrpSpPr/>
      </xdr:nvGrpSpPr>
      <xdr:grpSpPr>
        <a:xfrm>
          <a:off x="10237233780" y="193887"/>
          <a:ext cx="1717886" cy="363691"/>
          <a:chOff x="7332133" y="217525"/>
          <a:chExt cx="1131771" cy="451203"/>
        </a:xfrm>
      </xdr:grpSpPr>
      <xdr:sp macro="" textlink="">
        <xdr:nvSpPr>
          <xdr:cNvPr id="4" name="Rounded Rectangle 2">
            <a:extLst>
              <a:ext uri="{FF2B5EF4-FFF2-40B4-BE49-F238E27FC236}">
                <a16:creationId xmlns:a16="http://schemas.microsoft.com/office/drawing/2014/main" id="{F79EEF52-EA4F-CFB8-F733-AFA28755C10F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5" name="Picture 4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AB27EDB4-C7B3-EA01-42AC-F6F8A0611CB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TextBox 5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8F2B5C25-FBD1-3E46-F507-6F0CB9FFE605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135F4-3E0A-4EE2-95E6-D82514E11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0738347" y="126153"/>
          <a:ext cx="69320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194734</xdr:colOff>
      <xdr:row>1</xdr:row>
      <xdr:rowOff>110067</xdr:rowOff>
    </xdr:from>
    <xdr:to>
      <xdr:col>5</xdr:col>
      <xdr:colOff>0</xdr:colOff>
      <xdr:row>2</xdr:row>
      <xdr:rowOff>222298</xdr:rowOff>
    </xdr:to>
    <xdr:grpSp>
      <xdr:nvGrpSpPr>
        <xdr:cNvPr id="3" name="Group 2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0AD46F95-2196-4F4F-9A6D-CBCB956B9E78}"/>
            </a:ext>
          </a:extLst>
        </xdr:cNvPr>
        <xdr:cNvGrpSpPr/>
      </xdr:nvGrpSpPr>
      <xdr:grpSpPr>
        <a:xfrm>
          <a:off x="10237378560" y="193887"/>
          <a:ext cx="1717886" cy="363691"/>
          <a:chOff x="7332133" y="217525"/>
          <a:chExt cx="1131771" cy="451203"/>
        </a:xfrm>
      </xdr:grpSpPr>
      <xdr:sp macro="" textlink="">
        <xdr:nvSpPr>
          <xdr:cNvPr id="4" name="Rounded Rectangle 2">
            <a:extLst>
              <a:ext uri="{FF2B5EF4-FFF2-40B4-BE49-F238E27FC236}">
                <a16:creationId xmlns:a16="http://schemas.microsoft.com/office/drawing/2014/main" id="{A9543E1F-045B-F8E8-B640-370ADBB7C3FB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5" name="Picture 4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8A4E2160-649A-B059-B6A5-8801ECD5B4B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TextBox 5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6B444113-328F-39F1-88E2-B9A266F3F4AD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331A1-1B12-4043-A25F-EFFC7344C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0738347" y="126153"/>
          <a:ext cx="69320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194734</xdr:colOff>
      <xdr:row>1</xdr:row>
      <xdr:rowOff>110067</xdr:rowOff>
    </xdr:from>
    <xdr:to>
      <xdr:col>5</xdr:col>
      <xdr:colOff>0</xdr:colOff>
      <xdr:row>2</xdr:row>
      <xdr:rowOff>222298</xdr:rowOff>
    </xdr:to>
    <xdr:grpSp>
      <xdr:nvGrpSpPr>
        <xdr:cNvPr id="3" name="Group 2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89D19CFC-1D0B-48BF-8F46-48969FD05FEF}"/>
            </a:ext>
          </a:extLst>
        </xdr:cNvPr>
        <xdr:cNvGrpSpPr/>
      </xdr:nvGrpSpPr>
      <xdr:grpSpPr>
        <a:xfrm>
          <a:off x="10237188060" y="193887"/>
          <a:ext cx="1717886" cy="363691"/>
          <a:chOff x="7332133" y="217525"/>
          <a:chExt cx="1131771" cy="451203"/>
        </a:xfrm>
      </xdr:grpSpPr>
      <xdr:sp macro="" textlink="">
        <xdr:nvSpPr>
          <xdr:cNvPr id="4" name="Rounded Rectangle 2">
            <a:extLst>
              <a:ext uri="{FF2B5EF4-FFF2-40B4-BE49-F238E27FC236}">
                <a16:creationId xmlns:a16="http://schemas.microsoft.com/office/drawing/2014/main" id="{BA206C66-020A-942B-BA65-374EDF0A7C2B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5" name="Picture 4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D166B0D1-C085-9C0C-5ECC-B7D708A59DC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TextBox 5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6F663D53-02B6-DF04-4215-2B7866C0EFAE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1</xdr:row>
      <xdr:rowOff>42333</xdr:rowOff>
    </xdr:from>
    <xdr:to>
      <xdr:col>2</xdr:col>
      <xdr:colOff>511173</xdr:colOff>
      <xdr:row>2</xdr:row>
      <xdr:rowOff>270933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C38AC8-C470-4B68-90BC-76D606C49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0738347" y="126153"/>
          <a:ext cx="693207" cy="48006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>
    <xdr:from>
      <xdr:col>3</xdr:col>
      <xdr:colOff>194734</xdr:colOff>
      <xdr:row>1</xdr:row>
      <xdr:rowOff>110067</xdr:rowOff>
    </xdr:from>
    <xdr:to>
      <xdr:col>5</xdr:col>
      <xdr:colOff>0</xdr:colOff>
      <xdr:row>2</xdr:row>
      <xdr:rowOff>222298</xdr:rowOff>
    </xdr:to>
    <xdr:grpSp>
      <xdr:nvGrpSpPr>
        <xdr:cNvPr id="3" name="Group 2">
          <a:hlinkClick xmlns:r="http://schemas.openxmlformats.org/officeDocument/2006/relationships" r:id="rId2" tooltip="Go to"/>
          <a:extLst>
            <a:ext uri="{FF2B5EF4-FFF2-40B4-BE49-F238E27FC236}">
              <a16:creationId xmlns:a16="http://schemas.microsoft.com/office/drawing/2014/main" id="{AEDBFB88-A004-4D97-ABCB-A77E9EBB4790}"/>
            </a:ext>
          </a:extLst>
        </xdr:cNvPr>
        <xdr:cNvGrpSpPr/>
      </xdr:nvGrpSpPr>
      <xdr:grpSpPr>
        <a:xfrm>
          <a:off x="10237188060" y="193887"/>
          <a:ext cx="1717886" cy="363691"/>
          <a:chOff x="7332133" y="217525"/>
          <a:chExt cx="1131771" cy="451203"/>
        </a:xfrm>
      </xdr:grpSpPr>
      <xdr:sp macro="" textlink="">
        <xdr:nvSpPr>
          <xdr:cNvPr id="4" name="Rounded Rectangle 2">
            <a:extLst>
              <a:ext uri="{FF2B5EF4-FFF2-40B4-BE49-F238E27FC236}">
                <a16:creationId xmlns:a16="http://schemas.microsoft.com/office/drawing/2014/main" id="{3858687F-4C19-04AA-9F42-5C17AB3B581F}"/>
              </a:ext>
            </a:extLst>
          </xdr:cNvPr>
          <xdr:cNvSpPr/>
        </xdr:nvSpPr>
        <xdr:spPr>
          <a:xfrm>
            <a:off x="7332133" y="222010"/>
            <a:ext cx="1116756" cy="446718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pic>
        <xdr:nvPicPr>
          <xdr:cNvPr id="5" name="Picture 4" descr="http://swiss-delicious.com/images/1024/icons/back.png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5B42958A-B8C2-B1D9-8470-690F14711BF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289" t="21508" r="18116" b="22717"/>
          <a:stretch/>
        </xdr:blipFill>
        <xdr:spPr bwMode="auto">
          <a:xfrm>
            <a:off x="7388041" y="217525"/>
            <a:ext cx="496171" cy="4461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TextBox 5">
            <a:hlinkClick xmlns:r="http://schemas.openxmlformats.org/officeDocument/2006/relationships" r:id="rId2" tooltip="Go to"/>
            <a:extLst>
              <a:ext uri="{FF2B5EF4-FFF2-40B4-BE49-F238E27FC236}">
                <a16:creationId xmlns:a16="http://schemas.microsoft.com/office/drawing/2014/main" id="{BBDBCB6E-970C-5E78-D79A-9C54D5DC254F}"/>
              </a:ext>
            </a:extLst>
          </xdr:cNvPr>
          <xdr:cNvSpPr txBox="1"/>
        </xdr:nvSpPr>
        <xdr:spPr>
          <a:xfrm>
            <a:off x="7792377" y="255855"/>
            <a:ext cx="671527" cy="3681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lIns="36000" tIns="36000" rIns="36000" bIns="36000" rtlCol="0" anchor="ctr">
            <a:spAutoFit/>
          </a:bodyPr>
          <a:lstStyle/>
          <a:p>
            <a:pPr algn="ctr"/>
            <a:r>
              <a:rPr lang="tr-TR" sz="1000" b="1" i="1"/>
              <a:t>Back</a:t>
            </a:r>
            <a:r>
              <a:rPr lang="tr-TR" sz="1000" b="1" i="1" baseline="0"/>
              <a:t> to </a:t>
            </a:r>
          </a:p>
          <a:p>
            <a:pPr algn="ctr"/>
            <a:r>
              <a:rPr lang="tr-TR" sz="1000" b="1" i="1" baseline="0"/>
              <a:t>Menu</a:t>
            </a:r>
            <a:endParaRPr lang="tr-TR" sz="1000" b="1" i="1"/>
          </a:p>
        </xdr:txBody>
      </xdr:sp>
    </xdr:grp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89958</xdr:rowOff>
    </xdr:from>
    <xdr:to>
      <xdr:col>2</xdr:col>
      <xdr:colOff>494516</xdr:colOff>
      <xdr:row>6</xdr:row>
      <xdr:rowOff>34925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2971310" y="737658"/>
          <a:ext cx="697440" cy="478367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oneCellAnchor>
    <xdr:from>
      <xdr:col>0</xdr:col>
      <xdr:colOff>160866</xdr:colOff>
      <xdr:row>129</xdr:row>
      <xdr:rowOff>42333</xdr:rowOff>
    </xdr:from>
    <xdr:ext cx="703790" cy="4826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255</xdr:row>
      <xdr:rowOff>42333</xdr:rowOff>
    </xdr:from>
    <xdr:ext cx="703790" cy="4826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381</xdr:row>
      <xdr:rowOff>42333</xdr:rowOff>
    </xdr:from>
    <xdr:ext cx="703790" cy="4826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506</xdr:row>
      <xdr:rowOff>42333</xdr:rowOff>
    </xdr:from>
    <xdr:ext cx="703790" cy="4826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631</xdr:row>
      <xdr:rowOff>42333</xdr:rowOff>
    </xdr:from>
    <xdr:ext cx="703790" cy="4826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3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757</xdr:row>
      <xdr:rowOff>42333</xdr:rowOff>
    </xdr:from>
    <xdr:ext cx="703790" cy="4826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884</xdr:row>
      <xdr:rowOff>42333</xdr:rowOff>
    </xdr:from>
    <xdr:ext cx="703790" cy="4826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1011</xdr:row>
      <xdr:rowOff>42333</xdr:rowOff>
    </xdr:from>
    <xdr:ext cx="703790" cy="4826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1138</xdr:row>
      <xdr:rowOff>42333</xdr:rowOff>
    </xdr:from>
    <xdr:ext cx="703790" cy="4826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1265</xdr:row>
      <xdr:rowOff>42333</xdr:rowOff>
    </xdr:from>
    <xdr:ext cx="703790" cy="4826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  <xdr:oneCellAnchor>
    <xdr:from>
      <xdr:col>0</xdr:col>
      <xdr:colOff>160866</xdr:colOff>
      <xdr:row>1392</xdr:row>
      <xdr:rowOff>42333</xdr:rowOff>
    </xdr:from>
    <xdr:ext cx="703790" cy="4826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3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36197" y="127000"/>
          <a:ext cx="703790" cy="482600"/>
        </a:xfrm>
        <a:prstGeom prst="ellipse">
          <a:avLst/>
        </a:prstGeom>
        <a:ln w="63500" cap="rnd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</xdr:col>
      <xdr:colOff>1019175</xdr:colOff>
      <xdr:row>2</xdr:row>
      <xdr:rowOff>142875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SpPr/>
      </xdr:nvSpPr>
      <xdr:spPr>
        <a:xfrm>
          <a:off x="10038181147" y="9525"/>
          <a:ext cx="1223282" cy="45992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1100" b="1" i="0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BACK</a:t>
          </a:r>
          <a:r>
            <a:rPr lang="en-US" sz="1100" b="1" i="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TO HOME</a:t>
          </a:r>
          <a:endParaRPr lang="en-US" sz="1100" b="1" i="0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163286</xdr:colOff>
      <xdr:row>3</xdr:row>
      <xdr:rowOff>13608</xdr:rowOff>
    </xdr:from>
    <xdr:to>
      <xdr:col>5</xdr:col>
      <xdr:colOff>244928</xdr:colOff>
      <xdr:row>3</xdr:row>
      <xdr:rowOff>476252</xdr:rowOff>
    </xdr:to>
    <xdr:sp macro="" textlink="">
      <xdr:nvSpPr>
        <xdr:cNvPr id="2" name="Arrow: Right 1">
          <a:hlinkClick xmlns:r="http://schemas.openxmlformats.org/officeDocument/2006/relationships" r:id="rId1" tooltip="MAIN"/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SpPr/>
      </xdr:nvSpPr>
      <xdr:spPr>
        <a:xfrm>
          <a:off x="158291894" y="285751"/>
          <a:ext cx="2190749" cy="46264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12</xdr:row>
      <xdr:rowOff>158750</xdr:rowOff>
    </xdr:from>
    <xdr:to>
      <xdr:col>0</xdr:col>
      <xdr:colOff>587374</xdr:colOff>
      <xdr:row>16</xdr:row>
      <xdr:rowOff>222250</xdr:rowOff>
    </xdr:to>
    <xdr:sp macro="" textlink="">
      <xdr:nvSpPr>
        <xdr:cNvPr id="25" name="Arrow: Up 24">
          <a:hlinkClick xmlns:r="http://schemas.openxmlformats.org/officeDocument/2006/relationships" r:id="rId2" tooltip="up"/>
          <a:extLst>
            <a:ext uri="{FF2B5EF4-FFF2-40B4-BE49-F238E27FC236}">
              <a16:creationId xmlns:a16="http://schemas.microsoft.com/office/drawing/2014/main" id="{00000000-0008-0000-4100-000019000000}"/>
            </a:ext>
          </a:extLst>
        </xdr:cNvPr>
        <xdr:cNvSpPr/>
      </xdr:nvSpPr>
      <xdr:spPr>
        <a:xfrm>
          <a:off x="9894697001" y="4238625"/>
          <a:ext cx="587374" cy="1143000"/>
        </a:xfrm>
        <a:prstGeom prst="up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163286</xdr:colOff>
      <xdr:row>120</xdr:row>
      <xdr:rowOff>13608</xdr:rowOff>
    </xdr:from>
    <xdr:to>
      <xdr:col>5</xdr:col>
      <xdr:colOff>244928</xdr:colOff>
      <xdr:row>120</xdr:row>
      <xdr:rowOff>476252</xdr:rowOff>
    </xdr:to>
    <xdr:sp macro="" textlink="">
      <xdr:nvSpPr>
        <xdr:cNvPr id="24" name="Arrow: Right 23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18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237</xdr:row>
      <xdr:rowOff>13608</xdr:rowOff>
    </xdr:from>
    <xdr:to>
      <xdr:col>5</xdr:col>
      <xdr:colOff>244928</xdr:colOff>
      <xdr:row>237</xdr:row>
      <xdr:rowOff>476252</xdr:rowOff>
    </xdr:to>
    <xdr:sp macro="" textlink="">
      <xdr:nvSpPr>
        <xdr:cNvPr id="27" name="Arrow: Right 26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1B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354</xdr:row>
      <xdr:rowOff>13608</xdr:rowOff>
    </xdr:from>
    <xdr:to>
      <xdr:col>5</xdr:col>
      <xdr:colOff>244928</xdr:colOff>
      <xdr:row>354</xdr:row>
      <xdr:rowOff>476252</xdr:rowOff>
    </xdr:to>
    <xdr:sp macro="" textlink="">
      <xdr:nvSpPr>
        <xdr:cNvPr id="61" name="Arrow: Right 60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3D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471</xdr:row>
      <xdr:rowOff>13608</xdr:rowOff>
    </xdr:from>
    <xdr:to>
      <xdr:col>5</xdr:col>
      <xdr:colOff>244928</xdr:colOff>
      <xdr:row>471</xdr:row>
      <xdr:rowOff>476252</xdr:rowOff>
    </xdr:to>
    <xdr:sp macro="" textlink="">
      <xdr:nvSpPr>
        <xdr:cNvPr id="62" name="Arrow: Right 61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3E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588</xdr:row>
      <xdr:rowOff>13608</xdr:rowOff>
    </xdr:from>
    <xdr:to>
      <xdr:col>5</xdr:col>
      <xdr:colOff>244928</xdr:colOff>
      <xdr:row>588</xdr:row>
      <xdr:rowOff>476252</xdr:rowOff>
    </xdr:to>
    <xdr:sp macro="" textlink="">
      <xdr:nvSpPr>
        <xdr:cNvPr id="63" name="Arrow: Right 62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3F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705</xdr:row>
      <xdr:rowOff>13608</xdr:rowOff>
    </xdr:from>
    <xdr:to>
      <xdr:col>5</xdr:col>
      <xdr:colOff>244928</xdr:colOff>
      <xdr:row>705</xdr:row>
      <xdr:rowOff>476252</xdr:rowOff>
    </xdr:to>
    <xdr:sp macro="" textlink="">
      <xdr:nvSpPr>
        <xdr:cNvPr id="64" name="Arrow: Right 63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0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822</xdr:row>
      <xdr:rowOff>13608</xdr:rowOff>
    </xdr:from>
    <xdr:to>
      <xdr:col>5</xdr:col>
      <xdr:colOff>244928</xdr:colOff>
      <xdr:row>822</xdr:row>
      <xdr:rowOff>476252</xdr:rowOff>
    </xdr:to>
    <xdr:sp macro="" textlink="">
      <xdr:nvSpPr>
        <xdr:cNvPr id="65" name="Arrow: Right 64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1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939</xdr:row>
      <xdr:rowOff>13608</xdr:rowOff>
    </xdr:from>
    <xdr:to>
      <xdr:col>5</xdr:col>
      <xdr:colOff>244928</xdr:colOff>
      <xdr:row>939</xdr:row>
      <xdr:rowOff>476252</xdr:rowOff>
    </xdr:to>
    <xdr:sp macro="" textlink="">
      <xdr:nvSpPr>
        <xdr:cNvPr id="66" name="Arrow: Right 65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2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1056</xdr:row>
      <xdr:rowOff>13608</xdr:rowOff>
    </xdr:from>
    <xdr:to>
      <xdr:col>5</xdr:col>
      <xdr:colOff>244928</xdr:colOff>
      <xdr:row>1056</xdr:row>
      <xdr:rowOff>476252</xdr:rowOff>
    </xdr:to>
    <xdr:sp macro="" textlink="">
      <xdr:nvSpPr>
        <xdr:cNvPr id="67" name="Arrow: Right 66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3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1173</xdr:row>
      <xdr:rowOff>13608</xdr:rowOff>
    </xdr:from>
    <xdr:to>
      <xdr:col>5</xdr:col>
      <xdr:colOff>244928</xdr:colOff>
      <xdr:row>1173</xdr:row>
      <xdr:rowOff>476252</xdr:rowOff>
    </xdr:to>
    <xdr:sp macro="" textlink="">
      <xdr:nvSpPr>
        <xdr:cNvPr id="68" name="Arrow: Right 67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4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1290</xdr:row>
      <xdr:rowOff>13608</xdr:rowOff>
    </xdr:from>
    <xdr:to>
      <xdr:col>5</xdr:col>
      <xdr:colOff>244928</xdr:colOff>
      <xdr:row>1290</xdr:row>
      <xdr:rowOff>476252</xdr:rowOff>
    </xdr:to>
    <xdr:sp macro="" textlink="">
      <xdr:nvSpPr>
        <xdr:cNvPr id="69" name="Arrow: Right 68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5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1407</xdr:row>
      <xdr:rowOff>13608</xdr:rowOff>
    </xdr:from>
    <xdr:to>
      <xdr:col>5</xdr:col>
      <xdr:colOff>244928</xdr:colOff>
      <xdr:row>1407</xdr:row>
      <xdr:rowOff>476252</xdr:rowOff>
    </xdr:to>
    <xdr:sp macro="" textlink="">
      <xdr:nvSpPr>
        <xdr:cNvPr id="70" name="Arrow: Right 69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6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1524</xdr:row>
      <xdr:rowOff>13608</xdr:rowOff>
    </xdr:from>
    <xdr:to>
      <xdr:col>5</xdr:col>
      <xdr:colOff>244928</xdr:colOff>
      <xdr:row>1524</xdr:row>
      <xdr:rowOff>476252</xdr:rowOff>
    </xdr:to>
    <xdr:sp macro="" textlink="">
      <xdr:nvSpPr>
        <xdr:cNvPr id="71" name="Arrow: Right 70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7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1641</xdr:row>
      <xdr:rowOff>13608</xdr:rowOff>
    </xdr:from>
    <xdr:to>
      <xdr:col>5</xdr:col>
      <xdr:colOff>244928</xdr:colOff>
      <xdr:row>1641</xdr:row>
      <xdr:rowOff>476252</xdr:rowOff>
    </xdr:to>
    <xdr:sp macro="" textlink="">
      <xdr:nvSpPr>
        <xdr:cNvPr id="72" name="Arrow: Right 71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8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1758</xdr:row>
      <xdr:rowOff>13608</xdr:rowOff>
    </xdr:from>
    <xdr:to>
      <xdr:col>5</xdr:col>
      <xdr:colOff>244928</xdr:colOff>
      <xdr:row>1758</xdr:row>
      <xdr:rowOff>476252</xdr:rowOff>
    </xdr:to>
    <xdr:sp macro="" textlink="">
      <xdr:nvSpPr>
        <xdr:cNvPr id="73" name="Arrow: Right 72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9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1875</xdr:row>
      <xdr:rowOff>13608</xdr:rowOff>
    </xdr:from>
    <xdr:to>
      <xdr:col>5</xdr:col>
      <xdr:colOff>244928</xdr:colOff>
      <xdr:row>1875</xdr:row>
      <xdr:rowOff>476252</xdr:rowOff>
    </xdr:to>
    <xdr:sp macro="" textlink="">
      <xdr:nvSpPr>
        <xdr:cNvPr id="74" name="Arrow: Right 73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A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1992</xdr:row>
      <xdr:rowOff>13608</xdr:rowOff>
    </xdr:from>
    <xdr:to>
      <xdr:col>5</xdr:col>
      <xdr:colOff>244928</xdr:colOff>
      <xdr:row>1992</xdr:row>
      <xdr:rowOff>476252</xdr:rowOff>
    </xdr:to>
    <xdr:sp macro="" textlink="">
      <xdr:nvSpPr>
        <xdr:cNvPr id="75" name="Arrow: Right 74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B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2109</xdr:row>
      <xdr:rowOff>13608</xdr:rowOff>
    </xdr:from>
    <xdr:to>
      <xdr:col>5</xdr:col>
      <xdr:colOff>244928</xdr:colOff>
      <xdr:row>2109</xdr:row>
      <xdr:rowOff>476252</xdr:rowOff>
    </xdr:to>
    <xdr:sp macro="" textlink="">
      <xdr:nvSpPr>
        <xdr:cNvPr id="77" name="Arrow: Right 76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D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2223</xdr:row>
      <xdr:rowOff>13608</xdr:rowOff>
    </xdr:from>
    <xdr:to>
      <xdr:col>5</xdr:col>
      <xdr:colOff>244928</xdr:colOff>
      <xdr:row>2223</xdr:row>
      <xdr:rowOff>476252</xdr:rowOff>
    </xdr:to>
    <xdr:sp macro="" textlink="">
      <xdr:nvSpPr>
        <xdr:cNvPr id="78" name="Arrow: Right 77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E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2337</xdr:row>
      <xdr:rowOff>13608</xdr:rowOff>
    </xdr:from>
    <xdr:to>
      <xdr:col>5</xdr:col>
      <xdr:colOff>244928</xdr:colOff>
      <xdr:row>2337</xdr:row>
      <xdr:rowOff>476252</xdr:rowOff>
    </xdr:to>
    <xdr:sp macro="" textlink="">
      <xdr:nvSpPr>
        <xdr:cNvPr id="79" name="Arrow: Right 78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4F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2451</xdr:row>
      <xdr:rowOff>13608</xdr:rowOff>
    </xdr:from>
    <xdr:to>
      <xdr:col>5</xdr:col>
      <xdr:colOff>244928</xdr:colOff>
      <xdr:row>2451</xdr:row>
      <xdr:rowOff>476252</xdr:rowOff>
    </xdr:to>
    <xdr:sp macro="" textlink="">
      <xdr:nvSpPr>
        <xdr:cNvPr id="80" name="Arrow: Right 79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50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2565</xdr:row>
      <xdr:rowOff>13608</xdr:rowOff>
    </xdr:from>
    <xdr:to>
      <xdr:col>5</xdr:col>
      <xdr:colOff>244928</xdr:colOff>
      <xdr:row>2565</xdr:row>
      <xdr:rowOff>476252</xdr:rowOff>
    </xdr:to>
    <xdr:sp macro="" textlink="">
      <xdr:nvSpPr>
        <xdr:cNvPr id="81" name="Arrow: Right 80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51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2679</xdr:row>
      <xdr:rowOff>13608</xdr:rowOff>
    </xdr:from>
    <xdr:to>
      <xdr:col>5</xdr:col>
      <xdr:colOff>244928</xdr:colOff>
      <xdr:row>2679</xdr:row>
      <xdr:rowOff>476252</xdr:rowOff>
    </xdr:to>
    <xdr:sp macro="" textlink="">
      <xdr:nvSpPr>
        <xdr:cNvPr id="82" name="Arrow: Right 81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52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2793</xdr:row>
      <xdr:rowOff>13608</xdr:rowOff>
    </xdr:from>
    <xdr:to>
      <xdr:col>5</xdr:col>
      <xdr:colOff>244928</xdr:colOff>
      <xdr:row>2793</xdr:row>
      <xdr:rowOff>476252</xdr:rowOff>
    </xdr:to>
    <xdr:sp macro="" textlink="">
      <xdr:nvSpPr>
        <xdr:cNvPr id="83" name="Arrow: Right 82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53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2907</xdr:row>
      <xdr:rowOff>13608</xdr:rowOff>
    </xdr:from>
    <xdr:to>
      <xdr:col>5</xdr:col>
      <xdr:colOff>244928</xdr:colOff>
      <xdr:row>2907</xdr:row>
      <xdr:rowOff>476252</xdr:rowOff>
    </xdr:to>
    <xdr:sp macro="" textlink="">
      <xdr:nvSpPr>
        <xdr:cNvPr id="85" name="Arrow: Right 84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55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163286</xdr:colOff>
      <xdr:row>3021</xdr:row>
      <xdr:rowOff>13608</xdr:rowOff>
    </xdr:from>
    <xdr:to>
      <xdr:col>5</xdr:col>
      <xdr:colOff>244928</xdr:colOff>
      <xdr:row>3021</xdr:row>
      <xdr:rowOff>476252</xdr:rowOff>
    </xdr:to>
    <xdr:sp macro="" textlink="">
      <xdr:nvSpPr>
        <xdr:cNvPr id="86" name="Arrow: Right 85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00000000-0008-0000-4100-000056000000}"/>
            </a:ext>
          </a:extLst>
        </xdr:cNvPr>
        <xdr:cNvSpPr/>
      </xdr:nvSpPr>
      <xdr:spPr>
        <a:xfrm>
          <a:off x="9994909072" y="2784517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1</xdr:row>
      <xdr:rowOff>13854</xdr:rowOff>
    </xdr:from>
    <xdr:to>
      <xdr:col>1</xdr:col>
      <xdr:colOff>3283527</xdr:colOff>
      <xdr:row>2</xdr:row>
      <xdr:rowOff>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/>
      </xdr:nvSpPr>
      <xdr:spPr>
        <a:xfrm>
          <a:off x="9999726000" y="180109"/>
          <a:ext cx="3283527" cy="678873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en-US" sz="32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BACK TO HOME</a:t>
          </a:r>
        </a:p>
      </xdr:txBody>
    </xdr:sp>
    <xdr:clientData/>
  </xdr:twoCellAnchor>
  <xdr:twoCellAnchor>
    <xdr:from>
      <xdr:col>3</xdr:col>
      <xdr:colOff>163286</xdr:colOff>
      <xdr:row>3135</xdr:row>
      <xdr:rowOff>13608</xdr:rowOff>
    </xdr:from>
    <xdr:to>
      <xdr:col>5</xdr:col>
      <xdr:colOff>244928</xdr:colOff>
      <xdr:row>3135</xdr:row>
      <xdr:rowOff>476252</xdr:rowOff>
    </xdr:to>
    <xdr:sp macro="" textlink="">
      <xdr:nvSpPr>
        <xdr:cNvPr id="4" name="Arrow: Right 3">
          <a:hlinkClick xmlns:r="http://schemas.openxmlformats.org/officeDocument/2006/relationships" r:id="rId3" tooltip="MAIN"/>
          <a:extLst>
            <a:ext uri="{FF2B5EF4-FFF2-40B4-BE49-F238E27FC236}">
              <a16:creationId xmlns:a16="http://schemas.microsoft.com/office/drawing/2014/main" id="{5C110570-C585-4E31-A163-CEDCDF4DFE35}"/>
            </a:ext>
          </a:extLst>
        </xdr:cNvPr>
        <xdr:cNvSpPr/>
      </xdr:nvSpPr>
      <xdr:spPr>
        <a:xfrm>
          <a:off x="10049110463" y="643986434"/>
          <a:ext cx="3129642" cy="378824"/>
        </a:xfrm>
        <a:prstGeom prst="rightArrow">
          <a:avLst>
            <a:gd name="adj1" fmla="val 50000"/>
            <a:gd name="adj2" fmla="val 86299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>
              <a:solidFill>
                <a:schemeClr val="bg1"/>
              </a:solidFill>
            </a:rPr>
            <a:t>Back</a:t>
          </a:r>
          <a:r>
            <a:rPr lang="en-US" sz="2000" baseline="0">
              <a:solidFill>
                <a:schemeClr val="bg1"/>
              </a:solidFill>
            </a:rPr>
            <a:t> to Main</a:t>
          </a:r>
          <a:endParaRPr lang="ar-EG" sz="2000">
            <a:solidFill>
              <a:schemeClr val="bg1"/>
            </a:solidFill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16094</xdr:col>
      <xdr:colOff>577904</xdr:colOff>
      <xdr:row>41</xdr:row>
      <xdr:rowOff>68836</xdr:rowOff>
    </xdr:from>
    <xdr:to>
      <xdr:col>16098</xdr:col>
      <xdr:colOff>190500</xdr:colOff>
      <xdr:row>43</xdr:row>
      <xdr:rowOff>70438</xdr:rowOff>
    </xdr:to>
    <xdr:sp macro="" textlink="">
      <xdr:nvSpPr>
        <xdr:cNvPr id="44" name="Arrow: Right 43">
          <a:hlinkClick xmlns:r="http://schemas.openxmlformats.org/officeDocument/2006/relationships" r:id="rId1" tooltip="MAIN"/>
          <a:extLst>
            <a:ext uri="{FF2B5EF4-FFF2-40B4-BE49-F238E27FC236}">
              <a16:creationId xmlns:a16="http://schemas.microsoft.com/office/drawing/2014/main" id="{00000000-0008-0000-3F00-00002C000000}"/>
            </a:ext>
          </a:extLst>
        </xdr:cNvPr>
        <xdr:cNvSpPr/>
      </xdr:nvSpPr>
      <xdr:spPr>
        <a:xfrm>
          <a:off x="154114500" y="7362265"/>
          <a:ext cx="2061882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1020537</xdr:colOff>
      <xdr:row>2</xdr:row>
      <xdr:rowOff>163284</xdr:rowOff>
    </xdr:from>
    <xdr:to>
      <xdr:col>4</xdr:col>
      <xdr:colOff>625929</xdr:colOff>
      <xdr:row>4</xdr:row>
      <xdr:rowOff>1599</xdr:rowOff>
    </xdr:to>
    <xdr:sp macro="" textlink="">
      <xdr:nvSpPr>
        <xdr:cNvPr id="48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30000000}"/>
            </a:ext>
          </a:extLst>
        </xdr:cNvPr>
        <xdr:cNvSpPr/>
      </xdr:nvSpPr>
      <xdr:spPr>
        <a:xfrm>
          <a:off x="10027743106" y="1183820"/>
          <a:ext cx="2299607" cy="409815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16094</xdr:col>
      <xdr:colOff>577904</xdr:colOff>
      <xdr:row>77</xdr:row>
      <xdr:rowOff>68836</xdr:rowOff>
    </xdr:from>
    <xdr:to>
      <xdr:col>16098</xdr:col>
      <xdr:colOff>190500</xdr:colOff>
      <xdr:row>79</xdr:row>
      <xdr:rowOff>70438</xdr:rowOff>
    </xdr:to>
    <xdr:sp macro="" textlink="">
      <xdr:nvSpPr>
        <xdr:cNvPr id="30" name="Arrow: Right 43">
          <a:hlinkClick xmlns:r="http://schemas.openxmlformats.org/officeDocument/2006/relationships" r:id="rId1" tooltip="MAIN"/>
          <a:extLst>
            <a:ext uri="{FF2B5EF4-FFF2-40B4-BE49-F238E27FC236}">
              <a16:creationId xmlns:a16="http://schemas.microsoft.com/office/drawing/2014/main" id="{00000000-0008-0000-3F00-00001E000000}"/>
            </a:ext>
          </a:extLst>
        </xdr:cNvPr>
        <xdr:cNvSpPr/>
      </xdr:nvSpPr>
      <xdr:spPr>
        <a:xfrm>
          <a:off x="165773100" y="8336536"/>
          <a:ext cx="2127196" cy="420702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197</xdr:col>
      <xdr:colOff>39860</xdr:colOff>
      <xdr:row>0</xdr:row>
      <xdr:rowOff>789214</xdr:rowOff>
    </xdr:from>
    <xdr:to>
      <xdr:col>200</xdr:col>
      <xdr:colOff>512428</xdr:colOff>
      <xdr:row>4</xdr:row>
      <xdr:rowOff>28815</xdr:rowOff>
    </xdr:to>
    <xdr:sp macro="" textlink="">
      <xdr:nvSpPr>
        <xdr:cNvPr id="41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29000000}"/>
            </a:ext>
          </a:extLst>
        </xdr:cNvPr>
        <xdr:cNvSpPr/>
      </xdr:nvSpPr>
      <xdr:spPr>
        <a:xfrm>
          <a:off x="10030259629" y="789214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1153886</xdr:colOff>
      <xdr:row>37</xdr:row>
      <xdr:rowOff>163285</xdr:rowOff>
    </xdr:from>
    <xdr:to>
      <xdr:col>4</xdr:col>
      <xdr:colOff>701168</xdr:colOff>
      <xdr:row>39</xdr:row>
      <xdr:rowOff>23373</xdr:rowOff>
    </xdr:to>
    <xdr:sp macro="" textlink="">
      <xdr:nvSpPr>
        <xdr:cNvPr id="42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2A000000}"/>
            </a:ext>
          </a:extLst>
        </xdr:cNvPr>
        <xdr:cNvSpPr/>
      </xdr:nvSpPr>
      <xdr:spPr>
        <a:xfrm>
          <a:off x="10169027032" y="7456714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254854</xdr:colOff>
      <xdr:row>73</xdr:row>
      <xdr:rowOff>119743</xdr:rowOff>
    </xdr:from>
    <xdr:to>
      <xdr:col>4</xdr:col>
      <xdr:colOff>1293479</xdr:colOff>
      <xdr:row>74</xdr:row>
      <xdr:rowOff>382602</xdr:rowOff>
    </xdr:to>
    <xdr:sp macro="" textlink="">
      <xdr:nvSpPr>
        <xdr:cNvPr id="43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2B000000}"/>
            </a:ext>
          </a:extLst>
        </xdr:cNvPr>
        <xdr:cNvSpPr/>
      </xdr:nvSpPr>
      <xdr:spPr>
        <a:xfrm>
          <a:off x="10168434721" y="14347372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3</xdr:col>
      <xdr:colOff>429025</xdr:colOff>
      <xdr:row>111</xdr:row>
      <xdr:rowOff>45144</xdr:rowOff>
    </xdr:to>
    <xdr:sp macro="" textlink="">
      <xdr:nvSpPr>
        <xdr:cNvPr id="46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2E000000}"/>
            </a:ext>
          </a:extLst>
        </xdr:cNvPr>
        <xdr:cNvSpPr/>
      </xdr:nvSpPr>
      <xdr:spPr>
        <a:xfrm>
          <a:off x="10170594575" y="21325114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3</xdr:col>
      <xdr:colOff>429025</xdr:colOff>
      <xdr:row>147</xdr:row>
      <xdr:rowOff>45144</xdr:rowOff>
    </xdr:to>
    <xdr:sp macro="" textlink="">
      <xdr:nvSpPr>
        <xdr:cNvPr id="47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2F000000}"/>
            </a:ext>
          </a:extLst>
        </xdr:cNvPr>
        <xdr:cNvSpPr/>
      </xdr:nvSpPr>
      <xdr:spPr>
        <a:xfrm>
          <a:off x="10170594575" y="28161343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182</xdr:row>
      <xdr:rowOff>0</xdr:rowOff>
    </xdr:from>
    <xdr:to>
      <xdr:col>3</xdr:col>
      <xdr:colOff>429025</xdr:colOff>
      <xdr:row>183</xdr:row>
      <xdr:rowOff>45145</xdr:rowOff>
    </xdr:to>
    <xdr:sp macro="" textlink="">
      <xdr:nvSpPr>
        <xdr:cNvPr id="49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31000000}"/>
            </a:ext>
          </a:extLst>
        </xdr:cNvPr>
        <xdr:cNvSpPr/>
      </xdr:nvSpPr>
      <xdr:spPr>
        <a:xfrm>
          <a:off x="10170594575" y="35215286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218</xdr:row>
      <xdr:rowOff>0</xdr:rowOff>
    </xdr:from>
    <xdr:to>
      <xdr:col>3</xdr:col>
      <xdr:colOff>429025</xdr:colOff>
      <xdr:row>219</xdr:row>
      <xdr:rowOff>45145</xdr:rowOff>
    </xdr:to>
    <xdr:sp macro="" textlink="">
      <xdr:nvSpPr>
        <xdr:cNvPr id="51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33000000}"/>
            </a:ext>
          </a:extLst>
        </xdr:cNvPr>
        <xdr:cNvSpPr/>
      </xdr:nvSpPr>
      <xdr:spPr>
        <a:xfrm>
          <a:off x="10170594575" y="42269229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254</xdr:row>
      <xdr:rowOff>0</xdr:rowOff>
    </xdr:from>
    <xdr:to>
      <xdr:col>3</xdr:col>
      <xdr:colOff>429025</xdr:colOff>
      <xdr:row>255</xdr:row>
      <xdr:rowOff>45144</xdr:rowOff>
    </xdr:to>
    <xdr:sp macro="" textlink="">
      <xdr:nvSpPr>
        <xdr:cNvPr id="52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34000000}"/>
            </a:ext>
          </a:extLst>
        </xdr:cNvPr>
        <xdr:cNvSpPr/>
      </xdr:nvSpPr>
      <xdr:spPr>
        <a:xfrm>
          <a:off x="10170594575" y="49323171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290</xdr:row>
      <xdr:rowOff>0</xdr:rowOff>
    </xdr:from>
    <xdr:to>
      <xdr:col>3</xdr:col>
      <xdr:colOff>429025</xdr:colOff>
      <xdr:row>291</xdr:row>
      <xdr:rowOff>45144</xdr:rowOff>
    </xdr:to>
    <xdr:sp macro="" textlink="">
      <xdr:nvSpPr>
        <xdr:cNvPr id="53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35000000}"/>
            </a:ext>
          </a:extLst>
        </xdr:cNvPr>
        <xdr:cNvSpPr/>
      </xdr:nvSpPr>
      <xdr:spPr>
        <a:xfrm>
          <a:off x="10170594575" y="56377114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326</xdr:row>
      <xdr:rowOff>0</xdr:rowOff>
    </xdr:from>
    <xdr:to>
      <xdr:col>3</xdr:col>
      <xdr:colOff>429025</xdr:colOff>
      <xdr:row>327</xdr:row>
      <xdr:rowOff>45144</xdr:rowOff>
    </xdr:to>
    <xdr:sp macro="" textlink="">
      <xdr:nvSpPr>
        <xdr:cNvPr id="54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36000000}"/>
            </a:ext>
          </a:extLst>
        </xdr:cNvPr>
        <xdr:cNvSpPr/>
      </xdr:nvSpPr>
      <xdr:spPr>
        <a:xfrm>
          <a:off x="10170594575" y="63431057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362</xdr:row>
      <xdr:rowOff>0</xdr:rowOff>
    </xdr:from>
    <xdr:to>
      <xdr:col>3</xdr:col>
      <xdr:colOff>429025</xdr:colOff>
      <xdr:row>363</xdr:row>
      <xdr:rowOff>45144</xdr:rowOff>
    </xdr:to>
    <xdr:sp macro="" textlink="">
      <xdr:nvSpPr>
        <xdr:cNvPr id="55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37000000}"/>
            </a:ext>
          </a:extLst>
        </xdr:cNvPr>
        <xdr:cNvSpPr/>
      </xdr:nvSpPr>
      <xdr:spPr>
        <a:xfrm>
          <a:off x="10170594575" y="70485000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398</xdr:row>
      <xdr:rowOff>0</xdr:rowOff>
    </xdr:from>
    <xdr:to>
      <xdr:col>3</xdr:col>
      <xdr:colOff>429025</xdr:colOff>
      <xdr:row>399</xdr:row>
      <xdr:rowOff>45144</xdr:rowOff>
    </xdr:to>
    <xdr:sp macro="" textlink="">
      <xdr:nvSpPr>
        <xdr:cNvPr id="56" name="Arrow: Right 47">
          <a:hlinkClick xmlns:r="http://schemas.openxmlformats.org/officeDocument/2006/relationships" r:id="rId2" tooltip="MAIN"/>
          <a:extLst>
            <a:ext uri="{FF2B5EF4-FFF2-40B4-BE49-F238E27FC236}">
              <a16:creationId xmlns:a16="http://schemas.microsoft.com/office/drawing/2014/main" id="{00000000-0008-0000-3F00-000038000000}"/>
            </a:ext>
          </a:extLst>
        </xdr:cNvPr>
        <xdr:cNvSpPr/>
      </xdr:nvSpPr>
      <xdr:spPr>
        <a:xfrm>
          <a:off x="10170594575" y="77495400"/>
          <a:ext cx="2334025" cy="437030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>
              <a:solidFill>
                <a:schemeClr val="bg1"/>
              </a:solidFill>
            </a:rPr>
            <a:t>Back</a:t>
          </a:r>
          <a:r>
            <a:rPr lang="en-US" sz="1600" baseline="0">
              <a:solidFill>
                <a:schemeClr val="bg1"/>
              </a:solidFill>
            </a:rPr>
            <a:t> to Main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425571</xdr:colOff>
      <xdr:row>1</xdr:row>
      <xdr:rowOff>25400</xdr:rowOff>
    </xdr:from>
    <xdr:to>
      <xdr:col>2</xdr:col>
      <xdr:colOff>260894</xdr:colOff>
      <xdr:row>1</xdr:row>
      <xdr:rowOff>431800</xdr:rowOff>
    </xdr:to>
    <xdr:sp macro="" textlink="">
      <xdr:nvSpPr>
        <xdr:cNvPr id="2" name="Arrow: Right 1">
          <a:hlinkClick xmlns:r="http://schemas.openxmlformats.org/officeDocument/2006/relationships" r:id="rId1" tooltip="MAIN"/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SpPr/>
      </xdr:nvSpPr>
      <xdr:spPr>
        <a:xfrm>
          <a:off x="9990380373" y="203200"/>
          <a:ext cx="1791123" cy="406400"/>
        </a:xfrm>
        <a:prstGeom prst="rightArrow">
          <a:avLst>
            <a:gd name="adj1" fmla="val 65095"/>
            <a:gd name="adj2" fmla="val 99506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600" b="1" i="0">
              <a:solidFill>
                <a:schemeClr val="bg1"/>
              </a:solidFill>
            </a:rPr>
            <a:t>Back</a:t>
          </a:r>
          <a:r>
            <a:rPr lang="en-US" sz="1600" b="1" i="0" baseline="0">
              <a:solidFill>
                <a:schemeClr val="bg1"/>
              </a:solidFill>
            </a:rPr>
            <a:t> to Main</a:t>
          </a:r>
          <a:endParaRPr lang="ar-EG" sz="1600" b="1" i="0">
            <a:solidFill>
              <a:schemeClr val="bg1"/>
            </a:solidFill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1226371</xdr:colOff>
      <xdr:row>1</xdr:row>
      <xdr:rowOff>85165</xdr:rowOff>
    </xdr:from>
    <xdr:to>
      <xdr:col>9</xdr:col>
      <xdr:colOff>1325880</xdr:colOff>
      <xdr:row>1</xdr:row>
      <xdr:rowOff>567019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SpPr txBox="1"/>
      </xdr:nvSpPr>
      <xdr:spPr>
        <a:xfrm>
          <a:off x="10231945500" y="237565"/>
          <a:ext cx="5113469" cy="481854"/>
        </a:xfrm>
        <a:prstGeom prst="rect">
          <a:avLst/>
        </a:prstGeom>
        <a:solidFill>
          <a:schemeClr val="tx2"/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EG" sz="28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قائمة الدخل الاجمالية لعام </a:t>
          </a:r>
          <a:r>
            <a:rPr lang="en-US" sz="28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2025</a:t>
          </a:r>
          <a:endParaRPr lang="ar-EG" sz="28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2</xdr:col>
      <xdr:colOff>475450</xdr:colOff>
      <xdr:row>0</xdr:row>
      <xdr:rowOff>56030</xdr:rowOff>
    </xdr:from>
    <xdr:to>
      <xdr:col>4</xdr:col>
      <xdr:colOff>774006</xdr:colOff>
      <xdr:row>1</xdr:row>
      <xdr:rowOff>732385</xdr:rowOff>
    </xdr:to>
    <xdr:sp macro="" textlink="">
      <xdr:nvSpPr>
        <xdr:cNvPr id="3" name="Arrow: Right 2">
          <a:hlinkClick xmlns:r="http://schemas.openxmlformats.org/officeDocument/2006/relationships" r:id="rId1" tooltip="MAIN"/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SpPr/>
      </xdr:nvSpPr>
      <xdr:spPr>
        <a:xfrm>
          <a:off x="9916319818" y="56030"/>
          <a:ext cx="2786262" cy="777208"/>
        </a:xfrm>
        <a:prstGeom prst="rightArrow">
          <a:avLst>
            <a:gd name="adj1" fmla="val 50000"/>
            <a:gd name="adj2" fmla="val 86299"/>
          </a:avLst>
        </a:prstGeom>
        <a:solidFill>
          <a:schemeClr val="tx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Back</a:t>
          </a:r>
          <a:r>
            <a:rPr lang="en-US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to Main</a:t>
          </a:r>
          <a:endParaRPr lang="ar-EG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esktop\P&amp;L%20Oct%202025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5;&#1589;&#1575;&#1585;&#1610;&#1601;%20&#1587;&#1576;&#1578;&#1605;&#1576;&#1585;%202025\&#1575;&#1583;&#1575;&#1585;&#1577;%201.ht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5;&#1589;&#1575;&#1585;&#1610;&#1601;%20&#1587;&#1576;&#1578;&#1605;&#1576;&#1585;%202025\&#1581;&#1575;&#1586;&#1605;%202.ht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5;&#1589;&#1575;&#1585;&#1610;&#1601;%20&#1587;&#1576;&#1578;&#1605;&#1576;&#1585;%202025\&#1575;&#1604;&#1593;&#1575;&#1604;&#1605;&#1610;&#1577;%202.ht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OneDrive\Desktop\Income%20Statement\2025\P&amp;L%20Mar%2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HQ"/>
      <sheetName val="Aguza"/>
      <sheetName val="October"/>
      <sheetName val="Batal"/>
      <sheetName val="Nasr City"/>
      <sheetName val="Sweedy"/>
      <sheetName val="NTRA"/>
      <sheetName val="Etisalat"/>
      <sheetName val="Hazzem Hassan"/>
      <sheetName val="Sena3ia"/>
      <sheetName val="Khargia"/>
      <sheetName val="Tagmou3"/>
      <sheetName val="Maadi"/>
      <sheetName val="Sand Beach"/>
      <sheetName val="Zaid"/>
      <sheetName val="Alamya"/>
      <sheetName val="Online"/>
      <sheetName val="Orange"/>
      <sheetName val="Vod.Smart"/>
      <sheetName val="Vod.Zahraa"/>
      <sheetName val="Mo7awelat"/>
      <sheetName val="Electric"/>
      <sheetName val="M.C.V"/>
      <sheetName val="Egyplast"/>
      <sheetName val="Etisalat.Katamya"/>
      <sheetName val="CFC"/>
      <sheetName val="North.Coast"/>
      <sheetName val="Rehab"/>
      <sheetName val="HSBC MAADI"/>
      <sheetName val="Sheet2"/>
      <sheetName val="HSBC SMART"/>
      <sheetName val="Vois"/>
      <sheetName val="تقرير المصروفات حسب الشهر"/>
      <sheetName val="تقرير إحصائية بحجم المبيعات"/>
      <sheetName val="تقرير مصروفات حسب الفرع"/>
      <sheetName val="تقرير مجمعة حسب الشهر"/>
      <sheetName val="تقرير مصروفات إجمالية"/>
      <sheetName val="مجمعة إجمالي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3">
          <cell r="B3" t="str">
            <v>المصروف</v>
          </cell>
          <cell r="C3" t="str">
            <v>January</v>
          </cell>
          <cell r="D3" t="str">
            <v>February</v>
          </cell>
        </row>
        <row r="4">
          <cell r="B4" t="str">
            <v>مرتبات الادارة</v>
          </cell>
          <cell r="C4">
            <v>853477.34</v>
          </cell>
          <cell r="D4">
            <v>899945.03</v>
          </cell>
        </row>
        <row r="5">
          <cell r="B5" t="str">
            <v>مرتبات الفروع</v>
          </cell>
          <cell r="C5">
            <v>2432813.7600000002</v>
          </cell>
          <cell r="D5">
            <v>3113708.02</v>
          </cell>
        </row>
        <row r="6">
          <cell r="B6" t="str">
            <v>الكهرباء</v>
          </cell>
          <cell r="C6">
            <v>33612</v>
          </cell>
          <cell r="D6">
            <v>17837</v>
          </cell>
        </row>
        <row r="7">
          <cell r="B7" t="str">
            <v>المياه</v>
          </cell>
          <cell r="C7">
            <v>675</v>
          </cell>
          <cell r="D7">
            <v>200</v>
          </cell>
        </row>
        <row r="8">
          <cell r="B8" t="str">
            <v>التليفون الارضي</v>
          </cell>
          <cell r="C8">
            <v>3531</v>
          </cell>
          <cell r="D8">
            <v>0</v>
          </cell>
        </row>
        <row r="9">
          <cell r="B9" t="str">
            <v>الايجار - الصيدلية</v>
          </cell>
          <cell r="C9">
            <v>300000</v>
          </cell>
          <cell r="D9">
            <v>300000</v>
          </cell>
        </row>
        <row r="10">
          <cell r="B10" t="str">
            <v>الايجار - الادارة</v>
          </cell>
          <cell r="C10">
            <v>100000</v>
          </cell>
          <cell r="D10">
            <v>100000</v>
          </cell>
        </row>
        <row r="11">
          <cell r="B11" t="str">
            <v>ايجارات متنوعه</v>
          </cell>
          <cell r="C11">
            <v>385831</v>
          </cell>
          <cell r="D11">
            <v>383131</v>
          </cell>
        </row>
        <row r="12">
          <cell r="B12" t="str">
            <v>ادوات مكتبية</v>
          </cell>
          <cell r="C12">
            <v>1510</v>
          </cell>
          <cell r="D12">
            <v>8065</v>
          </cell>
        </row>
        <row r="13">
          <cell r="B13" t="str">
            <v>فواتير الموبايل</v>
          </cell>
          <cell r="C13">
            <v>20853.579999999994</v>
          </cell>
          <cell r="D13">
            <v>24469.689999999995</v>
          </cell>
        </row>
        <row r="14">
          <cell r="B14" t="str">
            <v>مكافات مبيعات الادوية</v>
          </cell>
          <cell r="C14">
            <v>0</v>
          </cell>
          <cell r="D14">
            <v>0</v>
          </cell>
        </row>
        <row r="15">
          <cell r="B15" t="str">
            <v>مكافات مبيعات التجميل</v>
          </cell>
          <cell r="C15">
            <v>6900</v>
          </cell>
          <cell r="D15">
            <v>10165</v>
          </cell>
        </row>
        <row r="16">
          <cell r="B16" t="str">
            <v>بوفية وضيافة</v>
          </cell>
          <cell r="C16">
            <v>5246.47</v>
          </cell>
          <cell r="D16">
            <v>20700</v>
          </cell>
        </row>
        <row r="17">
          <cell r="B17" t="str">
            <v>رسوم وتراخيص وعمولات</v>
          </cell>
          <cell r="C17">
            <v>7170</v>
          </cell>
          <cell r="D17">
            <v>18505</v>
          </cell>
        </row>
        <row r="18">
          <cell r="B18" t="str">
            <v>ورق طباعة</v>
          </cell>
          <cell r="C18">
            <v>12750</v>
          </cell>
          <cell r="D18">
            <v>0</v>
          </cell>
        </row>
        <row r="19">
          <cell r="B19" t="str">
            <v>بكر طباعة ريسيت</v>
          </cell>
          <cell r="C19">
            <v>22500</v>
          </cell>
          <cell r="D19">
            <v>0</v>
          </cell>
        </row>
        <row r="20">
          <cell r="B20" t="str">
            <v>بكر طباعة باركود</v>
          </cell>
          <cell r="C20">
            <v>0</v>
          </cell>
          <cell r="D20">
            <v>80</v>
          </cell>
        </row>
        <row r="21">
          <cell r="B21" t="str">
            <v>اعلان ودعاية وتسويق</v>
          </cell>
          <cell r="C21">
            <v>119780</v>
          </cell>
          <cell r="D21">
            <v>84690</v>
          </cell>
        </row>
        <row r="22">
          <cell r="B22" t="str">
            <v>اكراميات</v>
          </cell>
          <cell r="C22">
            <v>49235.25</v>
          </cell>
          <cell r="D22">
            <v>60982.039999999994</v>
          </cell>
        </row>
        <row r="23">
          <cell r="B23" t="str">
            <v>زكاة وتبرعات</v>
          </cell>
          <cell r="C23">
            <v>56360.810000000005</v>
          </cell>
          <cell r="D23">
            <v>52464.83</v>
          </cell>
        </row>
        <row r="24">
          <cell r="B24" t="str">
            <v>مصروفات نثرية</v>
          </cell>
          <cell r="C24">
            <v>175</v>
          </cell>
          <cell r="D24">
            <v>60</v>
          </cell>
        </row>
        <row r="25">
          <cell r="B25" t="str">
            <v>تأمينات اجتماعية</v>
          </cell>
          <cell r="C25">
            <v>0</v>
          </cell>
          <cell r="D25">
            <v>0</v>
          </cell>
        </row>
        <row r="26">
          <cell r="B26" t="str">
            <v>مستلزمات نظافة</v>
          </cell>
          <cell r="C26">
            <v>2758</v>
          </cell>
          <cell r="D26">
            <v>1944</v>
          </cell>
        </row>
        <row r="27">
          <cell r="B27" t="str">
            <v>رسوم نظافة</v>
          </cell>
          <cell r="C27">
            <v>335</v>
          </cell>
          <cell r="D27">
            <v>355</v>
          </cell>
        </row>
        <row r="28">
          <cell r="B28" t="str">
            <v>تامين على الصيدلية</v>
          </cell>
          <cell r="C28">
            <v>1343.92</v>
          </cell>
          <cell r="D28">
            <v>1343.92</v>
          </cell>
        </row>
        <row r="29">
          <cell r="B29" t="str">
            <v>اصلاح وصيانة التكييفات</v>
          </cell>
          <cell r="C29">
            <v>3375</v>
          </cell>
          <cell r="D29">
            <v>0</v>
          </cell>
        </row>
        <row r="30">
          <cell r="B30" t="str">
            <v>اصلاح وصيانة الكهرباء</v>
          </cell>
          <cell r="C30">
            <v>31040</v>
          </cell>
          <cell r="D30">
            <v>8335</v>
          </cell>
        </row>
        <row r="31">
          <cell r="B31" t="str">
            <v>اصلاح وصيانة السباكة</v>
          </cell>
          <cell r="C31">
            <v>370</v>
          </cell>
          <cell r="D31">
            <v>1965</v>
          </cell>
        </row>
        <row r="32">
          <cell r="B32" t="str">
            <v>اصلاح وصيانة اثاث وديكور</v>
          </cell>
          <cell r="C32">
            <v>0</v>
          </cell>
          <cell r="D32">
            <v>0</v>
          </cell>
        </row>
        <row r="33">
          <cell r="B33" t="str">
            <v>اصلاح وصيانة اخرى</v>
          </cell>
          <cell r="C33">
            <v>17390</v>
          </cell>
          <cell r="D33">
            <v>15085</v>
          </cell>
        </row>
        <row r="34">
          <cell r="B34" t="str">
            <v>مكافات</v>
          </cell>
          <cell r="C34">
            <v>143173</v>
          </cell>
          <cell r="D34">
            <v>37020</v>
          </cell>
        </row>
        <row r="35">
          <cell r="B35" t="str">
            <v>هدايا ومزايا عينية</v>
          </cell>
          <cell r="C35">
            <v>0</v>
          </cell>
          <cell r="D35">
            <v>0</v>
          </cell>
        </row>
        <row r="36">
          <cell r="B36" t="str">
            <v>تارجت الفروع</v>
          </cell>
          <cell r="C36">
            <v>79575</v>
          </cell>
          <cell r="D36">
            <v>7200</v>
          </cell>
        </row>
        <row r="37">
          <cell r="B37" t="str">
            <v>مزايا عاملين</v>
          </cell>
          <cell r="C37">
            <v>15290</v>
          </cell>
          <cell r="D37">
            <v>14245</v>
          </cell>
        </row>
        <row r="38">
          <cell r="B38" t="str">
            <v>مستهلكات صيدلية</v>
          </cell>
          <cell r="C38">
            <v>2030.5900000000001</v>
          </cell>
          <cell r="D38">
            <v>2719.47</v>
          </cell>
        </row>
        <row r="39">
          <cell r="B39" t="str">
            <v>اتعاب استشارات محاسبية</v>
          </cell>
          <cell r="C39">
            <v>8000</v>
          </cell>
          <cell r="D39">
            <v>18000</v>
          </cell>
        </row>
        <row r="40">
          <cell r="B40" t="str">
            <v>اتعاب محاماة</v>
          </cell>
          <cell r="C40">
            <v>0</v>
          </cell>
          <cell r="D40">
            <v>0</v>
          </cell>
        </row>
        <row r="41">
          <cell r="B41" t="str">
            <v>مصروفات بنكية</v>
          </cell>
          <cell r="C41">
            <v>22351.98</v>
          </cell>
          <cell r="D41">
            <v>110143.3</v>
          </cell>
        </row>
        <row r="42">
          <cell r="B42" t="str">
            <v>شنط صيدلية</v>
          </cell>
          <cell r="C42">
            <v>112632</v>
          </cell>
          <cell r="D42">
            <v>18994</v>
          </cell>
        </row>
        <row r="43">
          <cell r="B43" t="str">
            <v>خصومات اضافية للعملاء</v>
          </cell>
          <cell r="C43">
            <v>1800</v>
          </cell>
          <cell r="D43">
            <v>5800</v>
          </cell>
        </row>
        <row r="44">
          <cell r="B44" t="str">
            <v>اشتراك الخط الساخن</v>
          </cell>
          <cell r="C44">
            <v>0</v>
          </cell>
          <cell r="D44">
            <v>0</v>
          </cell>
        </row>
        <row r="45">
          <cell r="B45" t="str">
            <v>ملابس عاملين</v>
          </cell>
          <cell r="C45">
            <v>30000</v>
          </cell>
          <cell r="D45">
            <v>1200</v>
          </cell>
        </row>
        <row r="46">
          <cell r="B46" t="str">
            <v>وجبات عاملين</v>
          </cell>
          <cell r="C46">
            <v>6070</v>
          </cell>
          <cell r="D46">
            <v>5670</v>
          </cell>
        </row>
        <row r="47">
          <cell r="B47" t="str">
            <v>انتقالات عمومية</v>
          </cell>
          <cell r="C47">
            <v>0</v>
          </cell>
          <cell r="D47">
            <v>0</v>
          </cell>
        </row>
        <row r="48">
          <cell r="B48" t="str">
            <v>وقود السيارات</v>
          </cell>
          <cell r="C48">
            <v>15200</v>
          </cell>
          <cell r="D48">
            <v>18390</v>
          </cell>
        </row>
        <row r="49">
          <cell r="B49" t="str">
            <v>زيت السيارات</v>
          </cell>
          <cell r="C49">
            <v>6000</v>
          </cell>
          <cell r="D49">
            <v>0</v>
          </cell>
        </row>
        <row r="50">
          <cell r="B50" t="str">
            <v>صيانة السيارات - التوكيل</v>
          </cell>
          <cell r="C50">
            <v>0</v>
          </cell>
          <cell r="D50">
            <v>0</v>
          </cell>
        </row>
        <row r="51">
          <cell r="B51" t="str">
            <v>اصلاح السيارات</v>
          </cell>
          <cell r="C51">
            <v>0</v>
          </cell>
          <cell r="D51">
            <v>0</v>
          </cell>
        </row>
        <row r="52">
          <cell r="B52" t="str">
            <v>اصلاح وجراج السيارات</v>
          </cell>
          <cell r="C52">
            <v>1300</v>
          </cell>
          <cell r="D52">
            <v>9460</v>
          </cell>
        </row>
        <row r="53">
          <cell r="B53" t="str">
            <v>تجديد رخص السيارت</v>
          </cell>
          <cell r="C53">
            <v>8285</v>
          </cell>
          <cell r="D53">
            <v>0</v>
          </cell>
        </row>
        <row r="54">
          <cell r="B54" t="str">
            <v>اجور ومرتبات - ايام دعاية</v>
          </cell>
          <cell r="C54">
            <v>0</v>
          </cell>
          <cell r="D54">
            <v>0</v>
          </cell>
        </row>
        <row r="55">
          <cell r="B55" t="str">
            <v>كهرباء - ايام دعاية</v>
          </cell>
          <cell r="C55">
            <v>0</v>
          </cell>
          <cell r="D55">
            <v>0</v>
          </cell>
        </row>
        <row r="56">
          <cell r="B56" t="str">
            <v>بنزين وزيت - ايام دعاية</v>
          </cell>
          <cell r="C56">
            <v>0</v>
          </cell>
          <cell r="D56">
            <v>0</v>
          </cell>
        </row>
        <row r="57">
          <cell r="B57" t="str">
            <v>عمولات - ايام دعاية</v>
          </cell>
          <cell r="C57">
            <v>0</v>
          </cell>
          <cell r="D57">
            <v>0</v>
          </cell>
        </row>
        <row r="58">
          <cell r="B58" t="str">
            <v>ايجارات - ايام دعاية</v>
          </cell>
          <cell r="C58">
            <v>0</v>
          </cell>
          <cell r="D58">
            <v>0</v>
          </cell>
        </row>
        <row r="59">
          <cell r="B59" t="str">
            <v>نقل البضاعة - ايام دعاية</v>
          </cell>
          <cell r="C59">
            <v>0</v>
          </cell>
          <cell r="D59">
            <v>0</v>
          </cell>
        </row>
        <row r="60">
          <cell r="B60" t="str">
            <v>اعلان ودعاية - ايام دعاية</v>
          </cell>
          <cell r="C60">
            <v>0</v>
          </cell>
          <cell r="D60">
            <v>0</v>
          </cell>
        </row>
        <row r="61">
          <cell r="B61" t="str">
            <v>اكراميات - ايام دعاية</v>
          </cell>
          <cell r="C61">
            <v>0</v>
          </cell>
          <cell r="D61">
            <v>0</v>
          </cell>
        </row>
        <row r="62">
          <cell r="B62" t="str">
            <v>وجبات وانتقال - ايام دعاية</v>
          </cell>
          <cell r="C62">
            <v>0</v>
          </cell>
          <cell r="D62">
            <v>0</v>
          </cell>
        </row>
        <row r="63">
          <cell r="B63" t="str">
            <v>مكافات لجنة الجرد</v>
          </cell>
          <cell r="C63">
            <v>34104</v>
          </cell>
          <cell r="D63">
            <v>21384</v>
          </cell>
        </row>
        <row r="64">
          <cell r="B64" t="str">
            <v>انتقالات لجنة الجرد</v>
          </cell>
          <cell r="C64">
            <v>0</v>
          </cell>
          <cell r="D64">
            <v>0</v>
          </cell>
        </row>
        <row r="65">
          <cell r="B65" t="str">
            <v>وجبات لجنة الجرد</v>
          </cell>
          <cell r="C65">
            <v>0</v>
          </cell>
          <cell r="D65">
            <v>0</v>
          </cell>
        </row>
        <row r="66">
          <cell r="B66" t="str">
            <v>مسروقات</v>
          </cell>
          <cell r="C66">
            <v>0</v>
          </cell>
          <cell r="D66">
            <v>0</v>
          </cell>
        </row>
        <row r="67">
          <cell r="B67" t="str">
            <v>غرامات</v>
          </cell>
          <cell r="C67">
            <v>65883</v>
          </cell>
          <cell r="D67">
            <v>68713</v>
          </cell>
        </row>
        <row r="68">
          <cell r="B68" t="str">
            <v>مستلزمات كمبيوتر</v>
          </cell>
          <cell r="C68">
            <v>15982.519999999999</v>
          </cell>
          <cell r="D68">
            <v>70675.97000000003</v>
          </cell>
        </row>
        <row r="69">
          <cell r="B69" t="str">
            <v>صيانة اجهزة كمبيوتر</v>
          </cell>
          <cell r="C69">
            <v>0</v>
          </cell>
          <cell r="D69">
            <v>0</v>
          </cell>
        </row>
        <row r="70">
          <cell r="B70" t="str">
            <v>مطبوعات ورقية</v>
          </cell>
          <cell r="C70">
            <v>650</v>
          </cell>
          <cell r="D70">
            <v>9850</v>
          </cell>
        </row>
        <row r="71">
          <cell r="B71" t="str">
            <v>شحن بضاعة</v>
          </cell>
          <cell r="C71">
            <v>0</v>
          </cell>
          <cell r="D71">
            <v>0</v>
          </cell>
        </row>
        <row r="72">
          <cell r="B72" t="str">
            <v>عيديات ومناسبات</v>
          </cell>
          <cell r="C72">
            <v>0</v>
          </cell>
          <cell r="D72">
            <v>0</v>
          </cell>
        </row>
        <row r="73">
          <cell r="B73" t="str">
            <v>بدلات متنوعه</v>
          </cell>
          <cell r="C73">
            <v>450600</v>
          </cell>
          <cell r="D73">
            <v>130275</v>
          </cell>
        </row>
        <row r="74">
          <cell r="B74" t="str">
            <v>اجهزة ومستلزمات متنوعه</v>
          </cell>
          <cell r="C74">
            <v>36759.49</v>
          </cell>
          <cell r="D74">
            <v>4791</v>
          </cell>
        </row>
        <row r="75">
          <cell r="B75" t="str">
            <v>احبار طابعات</v>
          </cell>
          <cell r="C75">
            <v>0</v>
          </cell>
          <cell r="D75">
            <v>15933</v>
          </cell>
        </row>
        <row r="76">
          <cell r="B76" t="str">
            <v>الانترنت</v>
          </cell>
          <cell r="C76">
            <v>16679.319999999992</v>
          </cell>
          <cell r="D76">
            <v>8783.0300000000007</v>
          </cell>
        </row>
        <row r="77">
          <cell r="B77" t="str">
            <v>الدعم الفني - سوفتك</v>
          </cell>
          <cell r="C77">
            <v>6500</v>
          </cell>
          <cell r="D77">
            <v>0</v>
          </cell>
        </row>
        <row r="78">
          <cell r="B78" t="str">
            <v>مصروف اهلاك مباني وانشاءات</v>
          </cell>
          <cell r="C78">
            <v>0</v>
          </cell>
          <cell r="D78">
            <v>0</v>
          </cell>
        </row>
        <row r="79">
          <cell r="B79" t="str">
            <v>مصروف اهلاك سيارات</v>
          </cell>
          <cell r="C79">
            <v>6433.05</v>
          </cell>
          <cell r="D79">
            <v>6433.05</v>
          </cell>
        </row>
        <row r="80">
          <cell r="B80" t="str">
            <v>مصروف اهلاك اثاث ومكاتب</v>
          </cell>
          <cell r="C80">
            <v>2587.14</v>
          </cell>
          <cell r="D80">
            <v>2577.85</v>
          </cell>
        </row>
        <row r="81">
          <cell r="B81" t="str">
            <v>مصروف اهلاك اجهزة تكييف</v>
          </cell>
          <cell r="C81">
            <v>2945.4</v>
          </cell>
          <cell r="D81">
            <v>2945.4</v>
          </cell>
        </row>
        <row r="82">
          <cell r="B82" t="str">
            <v>مصروف اهلاك اجهزة كمبيوتر ومستلزماتها</v>
          </cell>
          <cell r="C82">
            <v>36884.720000000008</v>
          </cell>
          <cell r="D82">
            <v>40664.939999999995</v>
          </cell>
        </row>
        <row r="83">
          <cell r="B83" t="str">
            <v>مصروف اهلاك برامج كمبيوتر</v>
          </cell>
          <cell r="C83">
            <v>8520.3999999999978</v>
          </cell>
          <cell r="D83">
            <v>7957.7999999999984</v>
          </cell>
        </row>
        <row r="84">
          <cell r="B84" t="str">
            <v>مصروف اهلاك اجهزة كهربائية</v>
          </cell>
          <cell r="C84">
            <v>8652.0300000000007</v>
          </cell>
          <cell r="D84">
            <v>8973.1600000000017</v>
          </cell>
        </row>
        <row r="85">
          <cell r="B85" t="str">
            <v>مصروف اهلاك تجهيزات وديكور</v>
          </cell>
          <cell r="C85">
            <v>22714.92</v>
          </cell>
          <cell r="D85">
            <v>23475.739999999994</v>
          </cell>
        </row>
        <row r="86">
          <cell r="B86" t="str">
            <v>الضرائب العامة</v>
          </cell>
          <cell r="C86">
            <v>0</v>
          </cell>
          <cell r="D86">
            <v>0</v>
          </cell>
        </row>
        <row r="87">
          <cell r="B87" t="str">
            <v>الضرائب العقارية</v>
          </cell>
          <cell r="C87">
            <v>0</v>
          </cell>
          <cell r="D87">
            <v>0</v>
          </cell>
        </row>
        <row r="88">
          <cell r="B88" t="str">
            <v>خصم نقاط العملاء</v>
          </cell>
          <cell r="C88">
            <v>120663.64000000001</v>
          </cell>
          <cell r="D88">
            <v>116918.42</v>
          </cell>
        </row>
        <row r="89">
          <cell r="B89" t="str">
            <v>عقود صيانة وتوصيل مرافق</v>
          </cell>
          <cell r="C89">
            <v>0</v>
          </cell>
          <cell r="D89">
            <v>0</v>
          </cell>
        </row>
        <row r="90">
          <cell r="B90" t="str">
            <v>مصروفات تأسيس</v>
          </cell>
          <cell r="C90">
            <v>166.66</v>
          </cell>
          <cell r="D90">
            <v>166.66</v>
          </cell>
        </row>
        <row r="91">
          <cell r="B91" t="str">
            <v>هوالك وتوالف</v>
          </cell>
          <cell r="C91">
            <v>5396.12</v>
          </cell>
          <cell r="D91">
            <v>2454.2399999999998</v>
          </cell>
        </row>
        <row r="92">
          <cell r="B92" t="str">
            <v xml:space="preserve">عجز جرد </v>
          </cell>
          <cell r="C92">
            <v>3495.39</v>
          </cell>
          <cell r="D92">
            <v>0</v>
          </cell>
        </row>
        <row r="93">
          <cell r="B93" t="str">
            <v>تامين على السيارات</v>
          </cell>
          <cell r="C93">
            <v>0</v>
          </cell>
          <cell r="D93">
            <v>27145</v>
          </cell>
        </row>
        <row r="94">
          <cell r="B94" t="str">
            <v>مصروفات عملاء تعاقدات</v>
          </cell>
          <cell r="C94">
            <v>67510.62</v>
          </cell>
          <cell r="D94">
            <v>13778.07</v>
          </cell>
        </row>
        <row r="95">
          <cell r="B95" t="str">
            <v>ارباح دائنون متنوعون</v>
          </cell>
          <cell r="C95">
            <v>0</v>
          </cell>
          <cell r="D95">
            <v>0</v>
          </cell>
        </row>
        <row r="96">
          <cell r="B96" t="str">
            <v>مصروفات متنوعه - ايام دعاية</v>
          </cell>
          <cell r="C96">
            <v>500</v>
          </cell>
          <cell r="D96">
            <v>500</v>
          </cell>
        </row>
        <row r="97">
          <cell r="B97" t="str">
            <v>تغليف وشحن بضاعة</v>
          </cell>
          <cell r="C97">
            <v>790</v>
          </cell>
          <cell r="D97">
            <v>3570</v>
          </cell>
        </row>
        <row r="98">
          <cell r="B98" t="str">
            <v>ديون معدومة</v>
          </cell>
          <cell r="C98">
            <v>0</v>
          </cell>
          <cell r="D98">
            <v>0</v>
          </cell>
        </row>
        <row r="99">
          <cell r="B99" t="str">
            <v>دمغات</v>
          </cell>
          <cell r="C99">
            <v>0</v>
          </cell>
          <cell r="D99">
            <v>0</v>
          </cell>
        </row>
        <row r="100">
          <cell r="B100" t="str">
            <v>خسائر إستبعاد أصول</v>
          </cell>
          <cell r="C100">
            <v>0</v>
          </cell>
          <cell r="D100">
            <v>0</v>
          </cell>
        </row>
        <row r="101">
          <cell r="B101" t="str">
            <v>عروض مبيعات التجميل</v>
          </cell>
          <cell r="C101">
            <v>0</v>
          </cell>
          <cell r="D101">
            <v>28640</v>
          </cell>
        </row>
        <row r="102">
          <cell r="B102" t="str">
            <v>فوائد القروض - ابوظبى الاولFAB</v>
          </cell>
          <cell r="C102">
            <v>17814</v>
          </cell>
          <cell r="D102">
            <v>17814</v>
          </cell>
        </row>
        <row r="103">
          <cell r="B103" t="str">
            <v>فوائد القروض بنك ADIB</v>
          </cell>
          <cell r="C103">
            <v>16217.28</v>
          </cell>
          <cell r="D103">
            <v>16217.28</v>
          </cell>
        </row>
        <row r="104">
          <cell r="B104" t="str">
            <v>فوائد القروض بنك كريدي أجريكول</v>
          </cell>
          <cell r="C104">
            <v>32715.46</v>
          </cell>
          <cell r="D104">
            <v>32715.46</v>
          </cell>
        </row>
        <row r="105">
          <cell r="B105" t="str">
            <v>فوائد القروض - العربى الافريقىAAIB</v>
          </cell>
          <cell r="C105">
            <v>57468.78</v>
          </cell>
          <cell r="D105">
            <v>57468.78</v>
          </cell>
        </row>
        <row r="106">
          <cell r="B106" t="str">
            <v>فوائد المصرية للتمويل العقارى</v>
          </cell>
          <cell r="C106">
            <v>88117.95</v>
          </cell>
          <cell r="D106">
            <v>88117.95</v>
          </cell>
        </row>
        <row r="107">
          <cell r="B107" t="str">
            <v>فوائد القروض البنك الاهلى المصرى</v>
          </cell>
          <cell r="C107">
            <v>45418.64</v>
          </cell>
          <cell r="D107">
            <v>45418.64</v>
          </cell>
        </row>
        <row r="108">
          <cell r="B108" t="str">
            <v>فوائد القروض بنك الاهلى الكويتى ABK</v>
          </cell>
          <cell r="C108">
            <v>20328.900000000001</v>
          </cell>
          <cell r="D108">
            <v>20328.900000000001</v>
          </cell>
        </row>
        <row r="109">
          <cell r="B109" t="str">
            <v>فوائد القروض بنك الاهلى المتحد AUB</v>
          </cell>
          <cell r="C109">
            <v>31885.69</v>
          </cell>
          <cell r="D109">
            <v>31885.69</v>
          </cell>
        </row>
        <row r="110">
          <cell r="B110" t="str">
            <v>فوائد القروض البنك التجارى الدولى CIB</v>
          </cell>
          <cell r="C110">
            <v>20793.88</v>
          </cell>
          <cell r="D110">
            <v>20793.88</v>
          </cell>
        </row>
        <row r="111">
          <cell r="B111" t="str">
            <v>تأمينات اجتماعية - حصة الشركة</v>
          </cell>
          <cell r="C111">
            <v>30562.5</v>
          </cell>
          <cell r="D111">
            <v>30562.5</v>
          </cell>
        </row>
        <row r="112">
          <cell r="B112" t="str">
            <v>فوائد القروض - التجارى وفا بنك AWB</v>
          </cell>
          <cell r="C112">
            <v>22944.91</v>
          </cell>
          <cell r="D112">
            <v>22944.91</v>
          </cell>
        </row>
        <row r="113">
          <cell r="B113" t="str">
            <v>فوائد القروض - بنك القاهرة BDC</v>
          </cell>
          <cell r="C113">
            <v>24094.78</v>
          </cell>
          <cell r="D113">
            <v>24094.78</v>
          </cell>
        </row>
        <row r="114">
          <cell r="B114" t="str">
            <v>اتعاب محاماه</v>
          </cell>
          <cell r="C114">
            <v>18700</v>
          </cell>
          <cell r="D114">
            <v>28000</v>
          </cell>
        </row>
        <row r="115">
          <cell r="B115" t="str">
            <v>خصم أبليكيشن</v>
          </cell>
          <cell r="C115">
            <v>943867.76000000013</v>
          </cell>
          <cell r="D115">
            <v>1243610.8599999999</v>
          </cell>
        </row>
      </sheetData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دارة 1"/>
      <sheetName val="Sheet2"/>
      <sheetName val="Sheet1"/>
    </sheetNames>
    <sheetDataSet>
      <sheetData sheetId="0" refreshError="1"/>
      <sheetData sheetId="1">
        <row r="3">
          <cell r="A3" t="str">
            <v>Row Labels</v>
          </cell>
          <cell r="B3" t="str">
            <v>Sum of الإجـمــالـي</v>
          </cell>
        </row>
        <row r="4">
          <cell r="A4" t="str">
            <v>اتعاب استشارات محاسبية</v>
          </cell>
          <cell r="B4">
            <v>8000</v>
          </cell>
        </row>
        <row r="5">
          <cell r="A5" t="str">
            <v>اجهزة ومستلزمات متنوعه</v>
          </cell>
          <cell r="B5">
            <v>2650</v>
          </cell>
        </row>
        <row r="6">
          <cell r="A6" t="str">
            <v>ادوات مكتبية</v>
          </cell>
          <cell r="B6">
            <v>1435</v>
          </cell>
        </row>
        <row r="7">
          <cell r="A7" t="str">
            <v>اشتراك الخط الساخن</v>
          </cell>
          <cell r="B7">
            <v>39688</v>
          </cell>
        </row>
        <row r="8">
          <cell r="A8" t="str">
            <v>اصلاح وجراج السيارات</v>
          </cell>
          <cell r="B8">
            <v>1750</v>
          </cell>
        </row>
        <row r="9">
          <cell r="A9" t="str">
            <v>اصلاح وصيانة اخرى</v>
          </cell>
          <cell r="B9">
            <v>12835</v>
          </cell>
        </row>
        <row r="10">
          <cell r="A10" t="str">
            <v>اصلاح وصيانة التكييفات</v>
          </cell>
          <cell r="B10">
            <v>5205</v>
          </cell>
        </row>
        <row r="11">
          <cell r="A11" t="str">
            <v>اصلاح وصيانة السباكة</v>
          </cell>
          <cell r="B11">
            <v>330</v>
          </cell>
        </row>
        <row r="12">
          <cell r="A12" t="str">
            <v>اصلاح وصيانة الكهرباء</v>
          </cell>
          <cell r="B12">
            <v>15063</v>
          </cell>
        </row>
        <row r="13">
          <cell r="A13" t="str">
            <v>اعلان ودعاية وتسويق</v>
          </cell>
          <cell r="B13">
            <v>21958</v>
          </cell>
        </row>
        <row r="14">
          <cell r="A14" t="str">
            <v>اكراميات</v>
          </cell>
          <cell r="B14">
            <v>54875</v>
          </cell>
        </row>
        <row r="15">
          <cell r="A15" t="str">
            <v>الإجـمــالـي</v>
          </cell>
          <cell r="B15">
            <v>5140931.54</v>
          </cell>
        </row>
        <row r="16">
          <cell r="A16" t="str">
            <v>الانترنت</v>
          </cell>
          <cell r="B16">
            <v>10482.74</v>
          </cell>
        </row>
        <row r="17">
          <cell r="A17" t="str">
            <v>الايجار - الادارة</v>
          </cell>
          <cell r="B17">
            <v>100000</v>
          </cell>
        </row>
        <row r="18">
          <cell r="A18" t="str">
            <v>الايجار - الصيدلية</v>
          </cell>
          <cell r="B18">
            <v>300000</v>
          </cell>
        </row>
        <row r="19">
          <cell r="A19" t="str">
            <v>الدعم الفني - سوفتك</v>
          </cell>
          <cell r="B19">
            <v>61770</v>
          </cell>
        </row>
        <row r="20">
          <cell r="A20" t="str">
            <v>الكهرباء</v>
          </cell>
          <cell r="B20">
            <v>112057</v>
          </cell>
        </row>
        <row r="21">
          <cell r="A21" t="str">
            <v>المياه</v>
          </cell>
          <cell r="B21">
            <v>4387</v>
          </cell>
        </row>
        <row r="22">
          <cell r="A22" t="str">
            <v>ايجارات متنوعه</v>
          </cell>
          <cell r="B22">
            <v>405496</v>
          </cell>
        </row>
        <row r="23">
          <cell r="A23" t="str">
            <v>بدلات متنوعه</v>
          </cell>
          <cell r="B23">
            <v>201595</v>
          </cell>
        </row>
        <row r="24">
          <cell r="A24" t="str">
            <v>بوفية وضيافة</v>
          </cell>
          <cell r="B24">
            <v>31783</v>
          </cell>
        </row>
        <row r="25">
          <cell r="A25" t="str">
            <v>تارجت الفروع</v>
          </cell>
          <cell r="B25">
            <v>91940</v>
          </cell>
        </row>
        <row r="26">
          <cell r="A26" t="str">
            <v>تامين على الصيدلية</v>
          </cell>
          <cell r="B26">
            <v>393.97</v>
          </cell>
        </row>
        <row r="27">
          <cell r="A27" t="str">
            <v>تغليف وشحن بضاعة</v>
          </cell>
          <cell r="B27">
            <v>5350</v>
          </cell>
        </row>
        <row r="28">
          <cell r="A28" t="str">
            <v>خصومات اضافية للعملاء</v>
          </cell>
          <cell r="B28">
            <v>12350</v>
          </cell>
        </row>
        <row r="29">
          <cell r="A29" t="str">
            <v>رسوم نظافة</v>
          </cell>
          <cell r="B29">
            <v>240</v>
          </cell>
        </row>
        <row r="30">
          <cell r="A30" t="str">
            <v>رسوم وتراخيص وعمولات</v>
          </cell>
          <cell r="B30">
            <v>7910</v>
          </cell>
        </row>
        <row r="31">
          <cell r="A31" t="str">
            <v>زكاة وتبرعات</v>
          </cell>
          <cell r="B31">
            <v>112535.73</v>
          </cell>
        </row>
        <row r="32">
          <cell r="A32" t="str">
            <v>زيت السيارات</v>
          </cell>
          <cell r="B32">
            <v>6000</v>
          </cell>
        </row>
        <row r="33">
          <cell r="A33" t="str">
            <v>عروض مبيعات ابليكشن</v>
          </cell>
          <cell r="B33">
            <v>415151.06</v>
          </cell>
        </row>
        <row r="34">
          <cell r="A34" t="str">
            <v>غرامات</v>
          </cell>
          <cell r="B34">
            <v>85921</v>
          </cell>
        </row>
        <row r="35">
          <cell r="A35" t="str">
            <v>فواتير الموبايل</v>
          </cell>
          <cell r="B35">
            <v>18365.63</v>
          </cell>
        </row>
        <row r="36">
          <cell r="A36" t="str">
            <v>فوائد القروض - ابوظبى الاولFAB</v>
          </cell>
          <cell r="B36">
            <v>13890.18</v>
          </cell>
        </row>
        <row r="37">
          <cell r="A37" t="str">
            <v>فوائد القروض - التجارى وفا بنك AWB</v>
          </cell>
          <cell r="B37">
            <v>20092.849999999999</v>
          </cell>
        </row>
        <row r="38">
          <cell r="A38" t="str">
            <v>فوائد القروض - العربى الافريقىAAIB</v>
          </cell>
          <cell r="B38">
            <v>38899.43</v>
          </cell>
        </row>
        <row r="39">
          <cell r="A39" t="str">
            <v>فوائد القروض - بنك القاهرة BDC</v>
          </cell>
          <cell r="B39">
            <v>18941.97</v>
          </cell>
        </row>
        <row r="40">
          <cell r="A40" t="str">
            <v>فوائد القروض البنك الاهلى المصرى</v>
          </cell>
          <cell r="B40">
            <v>20500.68</v>
          </cell>
        </row>
        <row r="41">
          <cell r="A41" t="str">
            <v>فوائد القروض البنك التجارى الدولى CIB</v>
          </cell>
          <cell r="B41">
            <v>14119.39</v>
          </cell>
        </row>
        <row r="42">
          <cell r="A42" t="str">
            <v>فوائد القروض بنك ADIB</v>
          </cell>
          <cell r="B42">
            <v>10583.22</v>
          </cell>
        </row>
        <row r="43">
          <cell r="A43" t="str">
            <v>فوائد القروض بنك الاهلى الكويتى ABK</v>
          </cell>
          <cell r="B43">
            <v>13451.93</v>
          </cell>
        </row>
        <row r="44">
          <cell r="A44" t="str">
            <v>فوائد القروض بنك الاهلى المتحد AUB</v>
          </cell>
          <cell r="B44">
            <v>19795.14</v>
          </cell>
        </row>
        <row r="45">
          <cell r="A45" t="str">
            <v>فوائد القروض بنك كريدي أجريكول</v>
          </cell>
          <cell r="B45">
            <v>13147</v>
          </cell>
        </row>
        <row r="46">
          <cell r="A46" t="str">
            <v>فوائد المصرية للتمويل العقارى</v>
          </cell>
          <cell r="B46">
            <v>75935.81</v>
          </cell>
        </row>
        <row r="47">
          <cell r="A47" t="str">
            <v>مرتبات الادارة</v>
          </cell>
          <cell r="B47">
            <v>1059803.0900000001</v>
          </cell>
        </row>
        <row r="48">
          <cell r="A48" t="str">
            <v>مرتبات الفروع</v>
          </cell>
          <cell r="B48">
            <v>1118922.95</v>
          </cell>
        </row>
        <row r="49">
          <cell r="A49" t="str">
            <v>مزايا عاملين</v>
          </cell>
          <cell r="B49">
            <v>12350</v>
          </cell>
        </row>
        <row r="50">
          <cell r="A50" t="str">
            <v>مستلزمات كمبيوتر</v>
          </cell>
          <cell r="B50">
            <v>14661</v>
          </cell>
        </row>
        <row r="51">
          <cell r="A51" t="str">
            <v>مستلزمات نظافة</v>
          </cell>
          <cell r="B51">
            <v>4398.41</v>
          </cell>
        </row>
        <row r="52">
          <cell r="A52" t="str">
            <v>مصروف اهلاك اثاث ومكاتب</v>
          </cell>
          <cell r="B52">
            <v>1509.37</v>
          </cell>
        </row>
        <row r="53">
          <cell r="A53" t="str">
            <v>مصروف اهلاك اجهزة تكييف</v>
          </cell>
          <cell r="B53">
            <v>112.5</v>
          </cell>
        </row>
        <row r="54">
          <cell r="A54" t="str">
            <v>مصروف اهلاك اجهزة كمبيوتر ومستلزماتها</v>
          </cell>
          <cell r="B54">
            <v>23448.97</v>
          </cell>
        </row>
        <row r="55">
          <cell r="A55" t="str">
            <v>مصروف اهلاك اجهزة كهربائية</v>
          </cell>
          <cell r="B55">
            <v>5278.23</v>
          </cell>
        </row>
        <row r="56">
          <cell r="A56" t="str">
            <v>مصروف اهلاك برامج كمبيوتر</v>
          </cell>
          <cell r="B56">
            <v>2905.47</v>
          </cell>
        </row>
        <row r="57">
          <cell r="A57" t="str">
            <v>مصروف اهلاك تجهيزات وديكور</v>
          </cell>
          <cell r="B57">
            <v>1080.49</v>
          </cell>
        </row>
        <row r="58">
          <cell r="A58" t="str">
            <v>مصروف اهلاك سيارات</v>
          </cell>
          <cell r="B58">
            <v>6433.05</v>
          </cell>
        </row>
        <row r="59">
          <cell r="A59" t="str">
            <v>مصروفات بنكية</v>
          </cell>
          <cell r="B59">
            <v>194800.93</v>
          </cell>
        </row>
        <row r="60">
          <cell r="A60" t="str">
            <v>مصروفات عملاء تعاقدات</v>
          </cell>
          <cell r="B60">
            <v>4717.8500000000004</v>
          </cell>
        </row>
        <row r="61">
          <cell r="A61" t="str">
            <v>مصروفات متنوعه - ايام دعاية</v>
          </cell>
          <cell r="B61">
            <v>-3280</v>
          </cell>
        </row>
        <row r="62">
          <cell r="A62" t="str">
            <v>مصروفات نثرية</v>
          </cell>
          <cell r="B62">
            <v>270</v>
          </cell>
        </row>
        <row r="63">
          <cell r="A63" t="str">
            <v>مطبوعات ورقية</v>
          </cell>
          <cell r="B63">
            <v>184472.5</v>
          </cell>
        </row>
        <row r="64">
          <cell r="A64" t="str">
            <v>مكافات</v>
          </cell>
          <cell r="B64">
            <v>25202</v>
          </cell>
        </row>
        <row r="65">
          <cell r="A65" t="str">
            <v>مكافات لجنة الجرد</v>
          </cell>
          <cell r="B65">
            <v>28370</v>
          </cell>
        </row>
        <row r="66">
          <cell r="A66" t="str">
            <v>مكافات مبيعات التجميل</v>
          </cell>
          <cell r="B66">
            <v>11335</v>
          </cell>
        </row>
        <row r="67">
          <cell r="A67" t="str">
            <v>وجبات عاملين</v>
          </cell>
          <cell r="B67">
            <v>14365</v>
          </cell>
        </row>
        <row r="68">
          <cell r="A68" t="str">
            <v>وقود السيارات</v>
          </cell>
          <cell r="B68">
            <v>22900</v>
          </cell>
        </row>
        <row r="69">
          <cell r="A69" t="str">
            <v>Grand Total</v>
          </cell>
          <cell r="B69">
            <v>10281863.079999998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حازم 2"/>
      <sheetName val="Sheet2"/>
      <sheetName val="Sheet1"/>
    </sheetNames>
    <sheetDataSet>
      <sheetData sheetId="0" refreshError="1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عالمية 2"/>
      <sheetName val="Sheet2"/>
      <sheetName val="Sheet1"/>
    </sheetNames>
    <sheetDataSet>
      <sheetData sheetId="0">
        <row r="11">
          <cell r="W11">
            <v>115471.45</v>
          </cell>
        </row>
      </sheetData>
      <sheetData sheetId="1">
        <row r="3">
          <cell r="A3" t="str">
            <v>Row Labels</v>
          </cell>
          <cell r="B3" t="str">
            <v>Sum of الإجـمــالـي</v>
          </cell>
        </row>
        <row r="4">
          <cell r="A4" t="str">
            <v>اجهزة ومستلزمات متنوعه</v>
          </cell>
          <cell r="B4">
            <v>2650</v>
          </cell>
        </row>
        <row r="5">
          <cell r="A5" t="str">
            <v>اشتراك الخط الساخن</v>
          </cell>
          <cell r="B5">
            <v>3608</v>
          </cell>
        </row>
        <row r="6">
          <cell r="A6" t="str">
            <v>اصلاح وصيانة اخرى</v>
          </cell>
          <cell r="B6">
            <v>760</v>
          </cell>
        </row>
        <row r="7">
          <cell r="A7" t="str">
            <v>اصلاح وصيانة السباكة</v>
          </cell>
          <cell r="B7">
            <v>130</v>
          </cell>
        </row>
        <row r="8">
          <cell r="A8" t="str">
            <v>اصلاح وصيانة الكهرباء</v>
          </cell>
          <cell r="B8">
            <v>730</v>
          </cell>
        </row>
        <row r="9">
          <cell r="A9" t="str">
            <v>اعلان ودعاية وتسويق</v>
          </cell>
          <cell r="B9">
            <v>1866</v>
          </cell>
        </row>
        <row r="10">
          <cell r="A10" t="str">
            <v>اكراميات</v>
          </cell>
          <cell r="B10">
            <v>741.4</v>
          </cell>
        </row>
        <row r="11">
          <cell r="A11" t="str">
            <v>الإجـمــالـي</v>
          </cell>
          <cell r="B11">
            <v>239301.99000000002</v>
          </cell>
        </row>
        <row r="12">
          <cell r="A12" t="str">
            <v>الانترنت</v>
          </cell>
          <cell r="B12">
            <v>823.96</v>
          </cell>
        </row>
        <row r="13">
          <cell r="A13" t="str">
            <v>الدعم الفني - سوفتك</v>
          </cell>
          <cell r="B13">
            <v>2130</v>
          </cell>
        </row>
        <row r="14">
          <cell r="A14" t="str">
            <v>الكهرباء</v>
          </cell>
          <cell r="B14">
            <v>5925</v>
          </cell>
        </row>
        <row r="15">
          <cell r="A15" t="str">
            <v>ايجارات متنوعه</v>
          </cell>
          <cell r="B15">
            <v>50620</v>
          </cell>
        </row>
        <row r="16">
          <cell r="A16" t="str">
            <v>بدلات متنوعه</v>
          </cell>
          <cell r="B16">
            <v>520</v>
          </cell>
        </row>
        <row r="17">
          <cell r="A17" t="str">
            <v>تارجت الفروع</v>
          </cell>
          <cell r="B17">
            <v>8300</v>
          </cell>
        </row>
        <row r="18">
          <cell r="A18" t="str">
            <v>خصم نقاط العملاء</v>
          </cell>
          <cell r="B18">
            <v>425</v>
          </cell>
        </row>
        <row r="19">
          <cell r="A19" t="str">
            <v>خصومات اضافية للعملاء</v>
          </cell>
          <cell r="B19">
            <v>350</v>
          </cell>
        </row>
        <row r="20">
          <cell r="A20" t="str">
            <v>عروض مبيعات ابليكشن</v>
          </cell>
          <cell r="B20">
            <v>19156.810000000001</v>
          </cell>
        </row>
        <row r="21">
          <cell r="A21" t="str">
            <v>فواتير الموبايل</v>
          </cell>
          <cell r="B21">
            <v>711.1</v>
          </cell>
        </row>
        <row r="22">
          <cell r="A22" t="str">
            <v>مرتبات الفروع</v>
          </cell>
          <cell r="B22">
            <v>130415.19</v>
          </cell>
        </row>
        <row r="23">
          <cell r="A23" t="str">
            <v>مصروف اهلاك اجهزة كمبيوتر ومستلزماتها</v>
          </cell>
          <cell r="B23">
            <v>478.72</v>
          </cell>
        </row>
        <row r="24">
          <cell r="A24" t="str">
            <v>مصروف اهلاك اجهزة كهربائية</v>
          </cell>
          <cell r="B24">
            <v>121.51</v>
          </cell>
        </row>
        <row r="25">
          <cell r="A25" t="str">
            <v>مصروف اهلاك برامج كمبيوتر</v>
          </cell>
          <cell r="B25">
            <v>45.13</v>
          </cell>
        </row>
        <row r="26">
          <cell r="A26" t="str">
            <v>مصروف اهلاك تجهيزات وديكور</v>
          </cell>
          <cell r="B26">
            <v>1004.92</v>
          </cell>
        </row>
        <row r="27">
          <cell r="A27" t="str">
            <v>مصروفات بنكية</v>
          </cell>
          <cell r="B27">
            <v>6900.25</v>
          </cell>
        </row>
        <row r="28">
          <cell r="A28" t="str">
            <v>مصروفات عملاء تعاقدات</v>
          </cell>
          <cell r="B28">
            <v>109</v>
          </cell>
        </row>
        <row r="29">
          <cell r="A29" t="str">
            <v>مكافات</v>
          </cell>
          <cell r="B29">
            <v>280</v>
          </cell>
        </row>
        <row r="30">
          <cell r="A30" t="str">
            <v>مكافات مبيعات التجميل</v>
          </cell>
          <cell r="B30">
            <v>500</v>
          </cell>
        </row>
        <row r="31">
          <cell r="A31" t="str">
            <v>Grand Total</v>
          </cell>
          <cell r="B31">
            <v>478603.97999999992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HQ"/>
      <sheetName val="Aguza"/>
      <sheetName val="October"/>
      <sheetName val="Batal"/>
      <sheetName val="Nasr City"/>
      <sheetName val="Sweedy"/>
      <sheetName val="Raya"/>
      <sheetName val="Etisalat"/>
      <sheetName val="Hazzem Hassan"/>
      <sheetName val="Sena3ia"/>
      <sheetName val="Khargia"/>
      <sheetName val="Tagmou3"/>
      <sheetName val="Maadi"/>
      <sheetName val="Sand Beach"/>
      <sheetName val="Zaid"/>
      <sheetName val="Alamya"/>
      <sheetName val="Online"/>
      <sheetName val="Orange"/>
      <sheetName val="Vod.Smart"/>
      <sheetName val="Vod.Zahraa"/>
      <sheetName val="Mo7awelat"/>
      <sheetName val="Electric"/>
      <sheetName val="M.C.V"/>
      <sheetName val="Egyplast"/>
      <sheetName val="Etisalat.Katamya"/>
      <sheetName val="CFC"/>
      <sheetName val="North.Coast"/>
      <sheetName val="Rehab"/>
      <sheetName val="HSBC MAADI"/>
      <sheetName val="HSBC SMART"/>
      <sheetName val="Vois"/>
      <sheetName val="Sheet2"/>
      <sheetName val="تقرير المصروفات حسب الشهر"/>
      <sheetName val="تقرير إحصائية بحجم المبيعات"/>
      <sheetName val="تقرير مصروفات حسب الفرع"/>
      <sheetName val="تقرير مجمعة حسب الشهر"/>
      <sheetName val="تقرير مصروفات إجمالية"/>
      <sheetName val="مجمعة إجمالية"/>
      <sheetName val="Sheet1"/>
    </sheetNames>
    <sheetDataSet>
      <sheetData sheetId="0"/>
      <sheetData sheetId="1">
        <row r="18">
          <cell r="F18">
            <v>463914.75999999983</v>
          </cell>
        </row>
      </sheetData>
      <sheetData sheetId="2">
        <row r="18">
          <cell r="F18">
            <v>-0.21</v>
          </cell>
        </row>
      </sheetData>
      <sheetData sheetId="3">
        <row r="18">
          <cell r="F18">
            <v>2.19</v>
          </cell>
        </row>
      </sheetData>
      <sheetData sheetId="4">
        <row r="18">
          <cell r="F18">
            <v>43626.530000000006</v>
          </cell>
        </row>
      </sheetData>
      <sheetData sheetId="5">
        <row r="18">
          <cell r="F18">
            <v>0.01</v>
          </cell>
        </row>
      </sheetData>
      <sheetData sheetId="6">
        <row r="18">
          <cell r="F18">
            <v>170152.52</v>
          </cell>
        </row>
      </sheetData>
      <sheetData sheetId="7">
        <row r="18">
          <cell r="F18">
            <v>439.60000000000036</v>
          </cell>
        </row>
      </sheetData>
      <sheetData sheetId="8">
        <row r="18">
          <cell r="F18">
            <v>235.26</v>
          </cell>
        </row>
      </sheetData>
      <sheetData sheetId="9">
        <row r="18">
          <cell r="F18">
            <v>2859.1599999999989</v>
          </cell>
        </row>
      </sheetData>
      <sheetData sheetId="10">
        <row r="18">
          <cell r="F18">
            <v>-757.65999999999985</v>
          </cell>
        </row>
      </sheetData>
      <sheetData sheetId="11">
        <row r="18">
          <cell r="F18">
            <v>0</v>
          </cell>
        </row>
      </sheetData>
      <sheetData sheetId="12">
        <row r="18">
          <cell r="F18">
            <v>24.999999999995339</v>
          </cell>
        </row>
      </sheetData>
      <sheetData sheetId="13">
        <row r="18">
          <cell r="F18">
            <v>13409.160000000002</v>
          </cell>
        </row>
      </sheetData>
      <sheetData sheetId="14">
        <row r="18">
          <cell r="F18">
            <v>-11.109999999998763</v>
          </cell>
        </row>
      </sheetData>
      <sheetData sheetId="15">
        <row r="18">
          <cell r="F18">
            <v>411.14000000000237</v>
          </cell>
        </row>
      </sheetData>
      <sheetData sheetId="16">
        <row r="18">
          <cell r="F18">
            <v>2</v>
          </cell>
        </row>
      </sheetData>
      <sheetData sheetId="17">
        <row r="18">
          <cell r="F18">
            <v>0</v>
          </cell>
        </row>
      </sheetData>
      <sheetData sheetId="18">
        <row r="18">
          <cell r="F18">
            <v>0</v>
          </cell>
        </row>
      </sheetData>
      <sheetData sheetId="19">
        <row r="18">
          <cell r="F18">
            <v>0</v>
          </cell>
        </row>
      </sheetData>
      <sheetData sheetId="20">
        <row r="18">
          <cell r="F18">
            <v>3.75</v>
          </cell>
        </row>
      </sheetData>
      <sheetData sheetId="21">
        <row r="18">
          <cell r="F18">
            <v>63025.33</v>
          </cell>
        </row>
      </sheetData>
      <sheetData sheetId="22">
        <row r="18">
          <cell r="F18">
            <v>0</v>
          </cell>
        </row>
      </sheetData>
      <sheetData sheetId="23">
        <row r="18">
          <cell r="F18">
            <v>0</v>
          </cell>
        </row>
      </sheetData>
      <sheetData sheetId="24">
        <row r="18">
          <cell r="F18">
            <v>0</v>
          </cell>
        </row>
      </sheetData>
      <sheetData sheetId="25">
        <row r="18">
          <cell r="F18">
            <v>0</v>
          </cell>
        </row>
      </sheetData>
      <sheetData sheetId="26">
        <row r="18">
          <cell r="F18">
            <v>0</v>
          </cell>
        </row>
      </sheetData>
      <sheetData sheetId="27">
        <row r="18">
          <cell r="F18">
            <v>0</v>
          </cell>
        </row>
      </sheetData>
      <sheetData sheetId="28">
        <row r="18">
          <cell r="F18">
            <v>0</v>
          </cell>
        </row>
      </sheetData>
      <sheetData sheetId="29">
        <row r="18">
          <cell r="F18">
            <v>3.51</v>
          </cell>
        </row>
      </sheetData>
      <sheetData sheetId="30">
        <row r="18">
          <cell r="F18">
            <v>301.99</v>
          </cell>
        </row>
      </sheetData>
      <sheetData sheetId="31">
        <row r="18">
          <cell r="F18">
            <v>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2060"/>
  </sheetPr>
  <dimension ref="A1:ER173"/>
  <sheetViews>
    <sheetView rightToLeft="1" zoomScale="160" zoomScaleNormal="160" workbookViewId="0">
      <selection activeCell="C16" sqref="C16:F17"/>
    </sheetView>
  </sheetViews>
  <sheetFormatPr defaultColWidth="9.109375" defaultRowHeight="13.2"/>
  <cols>
    <col min="1" max="1" width="3.6640625" style="113" customWidth="1"/>
    <col min="2" max="2" width="2.33203125" style="113" customWidth="1"/>
    <col min="3" max="3" width="27.44140625" style="113" customWidth="1"/>
    <col min="4" max="4" width="18.109375" style="113" customWidth="1"/>
    <col min="5" max="5" width="22.5546875" style="113" customWidth="1"/>
    <col min="6" max="6" width="12" style="113" bestFit="1" customWidth="1"/>
    <col min="7" max="7" width="2.33203125" style="113" customWidth="1"/>
    <col min="8" max="8" width="14.33203125" style="113" customWidth="1"/>
    <col min="9" max="9" width="11.6640625" style="113" customWidth="1"/>
    <col min="10" max="10" width="10" style="113" bestFit="1" customWidth="1"/>
    <col min="11" max="11" width="7.33203125" style="113" bestFit="1" customWidth="1"/>
    <col min="12" max="13" width="11.6640625" style="113" customWidth="1"/>
    <col min="14" max="14" width="15.33203125" style="113" customWidth="1"/>
    <col min="15" max="15" width="10.44140625" style="113" customWidth="1"/>
    <col min="16" max="16" width="7.33203125" style="113" bestFit="1" customWidth="1"/>
    <col min="17" max="17" width="4.44140625" style="113" customWidth="1"/>
    <col min="18" max="18" width="27.109375" style="113" customWidth="1"/>
    <col min="19" max="19" width="25.6640625" style="113" bestFit="1" customWidth="1"/>
    <col min="20" max="25" width="9" style="113" customWidth="1"/>
    <col min="26" max="26" width="9.109375" style="113" customWidth="1"/>
    <col min="27" max="27" width="22" style="113" customWidth="1"/>
    <col min="28" max="28" width="18" style="113" customWidth="1"/>
    <col min="29" max="29" width="17.6640625" style="113" customWidth="1"/>
    <col min="30" max="30" width="14.33203125" style="113" customWidth="1"/>
    <col min="31" max="31" width="22.5546875" style="113" customWidth="1"/>
    <col min="32" max="32" width="27.109375" style="113" customWidth="1"/>
    <col min="33" max="33" width="16.109375" style="113" customWidth="1"/>
    <col min="34" max="34" width="14.33203125" style="113" customWidth="1"/>
    <col min="35" max="35" width="14.5546875" style="113" customWidth="1"/>
    <col min="36" max="36" width="11.88671875" style="113" customWidth="1"/>
    <col min="37" max="37" width="13.33203125" style="113" customWidth="1"/>
    <col min="38" max="38" width="19.5546875" style="113" customWidth="1"/>
    <col min="39" max="39" width="20" style="113" customWidth="1"/>
    <col min="40" max="40" width="18" style="113" customWidth="1"/>
    <col min="41" max="42" width="23.33203125" style="113" customWidth="1"/>
    <col min="43" max="43" width="16.109375" style="113" customWidth="1"/>
    <col min="44" max="44" width="15.6640625" style="113" customWidth="1"/>
    <col min="45" max="45" width="19.6640625" style="113" customWidth="1"/>
    <col min="46" max="46" width="10.44140625" style="113" customWidth="1"/>
    <col min="47" max="47" width="12.5546875" style="113" customWidth="1"/>
    <col min="48" max="48" width="14.6640625" style="113" customWidth="1"/>
    <col min="49" max="49" width="15.33203125" style="113" customWidth="1"/>
    <col min="50" max="50" width="14.88671875" style="113" customWidth="1"/>
    <col min="51" max="51" width="11.109375" style="113" customWidth="1"/>
    <col min="52" max="52" width="17.5546875" style="113" customWidth="1"/>
    <col min="53" max="53" width="21.33203125" style="113" customWidth="1"/>
    <col min="54" max="54" width="21" style="113" customWidth="1"/>
    <col min="55" max="55" width="20.33203125" style="113" customWidth="1"/>
    <col min="56" max="56" width="24.33203125" style="113" customWidth="1"/>
    <col min="57" max="57" width="19" style="113" customWidth="1"/>
    <col min="58" max="58" width="11.44140625" style="113" customWidth="1"/>
    <col min="59" max="59" width="16.33203125" style="113" customWidth="1"/>
    <col min="60" max="60" width="12.6640625" style="113" customWidth="1"/>
    <col min="61" max="61" width="11.5546875" style="113" customWidth="1"/>
    <col min="62" max="62" width="16.109375" style="113" customWidth="1"/>
    <col min="63" max="63" width="22.5546875" style="113" customWidth="1"/>
    <col min="64" max="64" width="11.88671875" style="113" customWidth="1"/>
    <col min="65" max="65" width="14.44140625" style="113" customWidth="1"/>
    <col min="66" max="66" width="11.44140625" style="113" customWidth="1"/>
    <col min="67" max="67" width="22.109375" style="113" customWidth="1"/>
    <col min="68" max="68" width="18.33203125" style="113" customWidth="1"/>
    <col min="69" max="69" width="13" style="113" customWidth="1"/>
    <col min="70" max="70" width="12.88671875" style="113" customWidth="1"/>
    <col min="71" max="71" width="14.6640625" style="113" customWidth="1"/>
    <col min="72" max="72" width="13.109375" style="113" customWidth="1"/>
    <col min="73" max="73" width="12.6640625" style="113" customWidth="1"/>
    <col min="74" max="74" width="22.33203125" style="113" customWidth="1"/>
    <col min="75" max="75" width="14.6640625" style="113" customWidth="1"/>
    <col min="76" max="76" width="21" style="113" customWidth="1"/>
    <col min="77" max="77" width="19.109375" style="113" customWidth="1"/>
    <col min="78" max="78" width="23.44140625" style="113" customWidth="1"/>
    <col min="79" max="79" width="17.109375" style="113" customWidth="1"/>
    <col min="80" max="80" width="21.33203125" style="113" customWidth="1"/>
    <col min="81" max="82" width="18.109375" style="113" customWidth="1"/>
    <col min="83" max="83" width="21.6640625" style="113" customWidth="1"/>
    <col min="84" max="84" width="22.6640625" style="113" customWidth="1"/>
    <col min="85" max="85" width="18.6640625" style="113" customWidth="1"/>
    <col min="86" max="86" width="23.33203125" style="113" customWidth="1"/>
    <col min="87" max="87" width="16.44140625" style="113" customWidth="1"/>
    <col min="88" max="88" width="17" style="113" customWidth="1"/>
    <col min="89" max="89" width="16.33203125" style="113" customWidth="1"/>
    <col min="90" max="90" width="10.44140625" style="113" customWidth="1"/>
    <col min="91" max="91" width="11.44140625" style="113" customWidth="1"/>
    <col min="92" max="92" width="16.6640625" style="113" customWidth="1"/>
    <col min="93" max="93" width="19.109375" style="113" customWidth="1"/>
    <col min="94" max="94" width="14.6640625" style="113" customWidth="1"/>
    <col min="95" max="95" width="11.88671875" style="113" customWidth="1"/>
    <col min="96" max="96" width="15.6640625" style="113" customWidth="1"/>
    <col min="97" max="97" width="12.44140625" style="113" customWidth="1"/>
    <col min="98" max="98" width="23.44140625" style="113" customWidth="1"/>
    <col min="99" max="99" width="11.88671875" style="113" customWidth="1"/>
    <col min="100" max="100" width="10.44140625" style="113" customWidth="1"/>
    <col min="101" max="101" width="18.109375" style="113" customWidth="1"/>
    <col min="102" max="102" width="27.6640625" style="113" customWidth="1"/>
    <col min="103" max="103" width="20.6640625" style="113" customWidth="1"/>
    <col min="104" max="104" width="24.6640625" style="113" customWidth="1"/>
    <col min="105" max="105" width="25.109375" style="113" customWidth="1"/>
    <col min="106" max="106" width="37.6640625" style="113" customWidth="1"/>
    <col min="107" max="107" width="26.5546875" style="113" customWidth="1"/>
    <col min="108" max="108" width="27.33203125" style="113" customWidth="1"/>
    <col min="109" max="109" width="28.33203125" style="113" customWidth="1"/>
    <col min="110" max="110" width="14" style="113" customWidth="1"/>
    <col min="111" max="111" width="15.44140625" style="113" customWidth="1"/>
    <col min="112" max="112" width="16" style="113" customWidth="1"/>
    <col min="113" max="113" width="24.5546875" style="113" customWidth="1"/>
    <col min="114" max="114" width="16.33203125" style="113" customWidth="1"/>
    <col min="115" max="115" width="12.6640625" style="113" customWidth="1"/>
    <col min="116" max="116" width="10.44140625" style="238" customWidth="1"/>
    <col min="117" max="117" width="17.6640625" style="113" customWidth="1"/>
    <col min="118" max="118" width="22.33203125" style="113" customWidth="1"/>
    <col min="119" max="119" width="19.6640625" style="113" customWidth="1"/>
    <col min="120" max="120" width="26.88671875" style="113" customWidth="1"/>
    <col min="121" max="121" width="18.5546875" style="113" customWidth="1"/>
    <col min="122" max="122" width="12.33203125" style="113" customWidth="1"/>
    <col min="123" max="123" width="6.44140625" style="113" customWidth="1"/>
    <col min="124" max="124" width="18.6640625" style="113" customWidth="1"/>
    <col min="125" max="125" width="20.6640625" style="113" customWidth="1"/>
    <col min="126" max="126" width="31.33203125" style="113" customWidth="1"/>
    <col min="127" max="127" width="23.33203125" style="113" customWidth="1"/>
    <col min="128" max="128" width="30" style="113" customWidth="1"/>
    <col min="129" max="129" width="34.33203125" style="113" customWidth="1"/>
    <col min="130" max="130" width="26.6640625" style="113" customWidth="1"/>
    <col min="131" max="131" width="31.109375" style="113" customWidth="1"/>
    <col min="132" max="132" width="35.33203125" style="113" customWidth="1"/>
    <col min="133" max="133" width="34.5546875" style="113" customWidth="1"/>
    <col min="134" max="134" width="35.6640625" style="113" customWidth="1"/>
    <col min="135" max="135" width="35.33203125" style="113" customWidth="1"/>
    <col min="136" max="136" width="27.33203125" style="113" customWidth="1"/>
    <col min="137" max="137" width="30.88671875" style="113" customWidth="1"/>
    <col min="138" max="138" width="25.44140625" style="113" bestFit="1" customWidth="1"/>
    <col min="139" max="139" width="20.109375" style="113" customWidth="1"/>
    <col min="140" max="140" width="14.5546875" style="113" customWidth="1"/>
    <col min="141" max="141" width="24.88671875" style="113" customWidth="1"/>
    <col min="142" max="142" width="12.88671875" style="113" bestFit="1" customWidth="1"/>
    <col min="143" max="16384" width="9.109375" style="113"/>
  </cols>
  <sheetData>
    <row r="1" spans="2:148" s="112" customFormat="1" ht="6.75" customHeight="1"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DL1" s="236"/>
    </row>
    <row r="2" spans="2:148" s="114" customFormat="1" ht="20.100000000000001" customHeight="1">
      <c r="B2" s="115"/>
      <c r="C2" s="600" t="s">
        <v>274</v>
      </c>
      <c r="D2" s="600"/>
      <c r="E2" s="600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328"/>
      <c r="S2" s="328"/>
      <c r="T2" s="328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DL2" s="237"/>
      <c r="ER2" s="271"/>
    </row>
    <row r="3" spans="2:148" s="114" customFormat="1" ht="24" customHeight="1">
      <c r="B3" s="118"/>
      <c r="C3" s="601" t="s">
        <v>329</v>
      </c>
      <c r="D3" s="601"/>
      <c r="E3" s="601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273" t="s">
        <v>297</v>
      </c>
      <c r="S3" s="112"/>
      <c r="T3" s="112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DL3" s="237"/>
    </row>
    <row r="4" spans="2:148" ht="5.0999999999999996" customHeight="1"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</row>
    <row r="5" spans="2:148" ht="5.0999999999999996" customHeight="1"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</row>
    <row r="6" spans="2:148" ht="13.95" customHeight="1" thickBot="1">
      <c r="B6" s="157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8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EJ6" s="272"/>
    </row>
    <row r="7" spans="2:148" ht="9.75" customHeight="1">
      <c r="B7" s="145"/>
      <c r="C7" s="159"/>
      <c r="D7" s="160"/>
      <c r="E7" s="160"/>
      <c r="F7" s="161"/>
      <c r="H7" s="623" t="s">
        <v>273</v>
      </c>
      <c r="I7" s="624"/>
      <c r="J7" s="624"/>
      <c r="K7" s="624"/>
      <c r="L7" s="624"/>
      <c r="M7" s="624"/>
      <c r="N7" s="624"/>
      <c r="O7" s="624"/>
      <c r="P7" s="625"/>
      <c r="Q7" s="162"/>
      <c r="S7" s="274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</row>
    <row r="8" spans="2:148" ht="18" customHeight="1">
      <c r="B8" s="145"/>
      <c r="C8" s="608" t="s">
        <v>274</v>
      </c>
      <c r="D8" s="609"/>
      <c r="E8" s="609"/>
      <c r="F8" s="610"/>
      <c r="G8" s="163"/>
      <c r="H8" s="626"/>
      <c r="I8" s="627"/>
      <c r="J8" s="627"/>
      <c r="K8" s="627"/>
      <c r="L8" s="627"/>
      <c r="M8" s="627"/>
      <c r="N8" s="627"/>
      <c r="O8" s="627"/>
      <c r="P8" s="628"/>
      <c r="Q8" s="162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</row>
    <row r="9" spans="2:148" ht="18" customHeight="1">
      <c r="B9" s="145"/>
      <c r="C9" s="611" t="s">
        <v>275</v>
      </c>
      <c r="D9" s="612"/>
      <c r="E9" s="612"/>
      <c r="F9" s="613"/>
      <c r="G9" s="164"/>
      <c r="H9" s="344"/>
      <c r="I9" s="345"/>
      <c r="J9" s="345"/>
      <c r="K9" s="345"/>
      <c r="L9" s="345"/>
      <c r="M9" s="345"/>
      <c r="N9" s="345"/>
      <c r="O9" s="345"/>
      <c r="P9" s="346"/>
      <c r="Q9" s="162"/>
      <c r="R9" s="274"/>
      <c r="AA9" s="155"/>
      <c r="AB9" s="200"/>
      <c r="AC9" s="165"/>
      <c r="AD9" s="165"/>
      <c r="AE9" s="165"/>
      <c r="AF9" s="165"/>
      <c r="AG9" s="165"/>
      <c r="AH9" s="165"/>
      <c r="AI9" s="165"/>
      <c r="AJ9" s="165"/>
      <c r="AK9" s="165"/>
      <c r="AL9" s="166"/>
      <c r="AM9" s="155"/>
      <c r="AN9" s="155"/>
      <c r="AO9" s="155"/>
      <c r="AP9" s="155"/>
      <c r="AQ9" s="155"/>
      <c r="AR9" s="155"/>
      <c r="AS9" s="155"/>
      <c r="AT9" s="155"/>
      <c r="AU9" s="155"/>
      <c r="EJ9" s="113" t="str">
        <f>ADDRESS(7,3,,,R3)</f>
        <v>HQ!$C$7</v>
      </c>
    </row>
    <row r="10" spans="2:148" ht="7.5" customHeight="1">
      <c r="B10" s="145"/>
      <c r="C10" s="167"/>
      <c r="D10" s="168"/>
      <c r="E10" s="168"/>
      <c r="F10" s="169"/>
      <c r="G10" s="164"/>
      <c r="H10" s="170"/>
      <c r="I10" s="12"/>
      <c r="J10" s="12"/>
      <c r="K10" s="12"/>
      <c r="L10" s="12"/>
      <c r="M10" s="12"/>
      <c r="N10" s="12"/>
      <c r="O10" s="12"/>
      <c r="P10" s="171"/>
      <c r="Q10" s="162"/>
      <c r="AA10" s="155"/>
      <c r="AB10" s="172"/>
      <c r="AC10" s="173"/>
      <c r="AD10" s="173"/>
      <c r="AE10" s="173"/>
      <c r="AF10" s="173"/>
      <c r="AG10" s="173"/>
      <c r="AH10" s="173"/>
      <c r="AI10" s="173"/>
      <c r="AJ10" s="173"/>
      <c r="AK10" s="173"/>
      <c r="AL10" s="174"/>
      <c r="AM10" s="155"/>
      <c r="AN10" s="155"/>
      <c r="AO10" s="155"/>
      <c r="AP10" s="155"/>
      <c r="AQ10" s="155"/>
      <c r="AR10" s="155"/>
      <c r="AS10" s="155"/>
      <c r="AT10" s="155"/>
      <c r="AU10" s="155"/>
    </row>
    <row r="11" spans="2:148" ht="18" customHeight="1">
      <c r="B11" s="145"/>
      <c r="C11" s="558" t="s">
        <v>260</v>
      </c>
      <c r="D11" s="559" t="s">
        <v>276</v>
      </c>
      <c r="E11" s="560">
        <f>AB42</f>
        <v>615142688.17000008</v>
      </c>
      <c r="F11" s="561"/>
      <c r="H11" s="170"/>
      <c r="I11" s="12"/>
      <c r="J11" s="12"/>
      <c r="K11" s="12"/>
      <c r="L11" s="12"/>
      <c r="M11" s="12"/>
      <c r="N11" s="12"/>
      <c r="O11" s="12"/>
      <c r="P11" s="171"/>
      <c r="Q11" s="162"/>
      <c r="AA11" s="175"/>
      <c r="AB11" s="176"/>
      <c r="AC11" s="177"/>
      <c r="AD11" s="177"/>
      <c r="AE11" s="177"/>
      <c r="AF11" s="177"/>
      <c r="AG11" s="177"/>
      <c r="AH11" s="177"/>
      <c r="AI11" s="177"/>
      <c r="AJ11" s="177"/>
      <c r="AK11" s="177"/>
      <c r="AL11" s="178"/>
      <c r="AM11" s="155"/>
      <c r="AN11" s="155"/>
      <c r="AO11" s="155"/>
      <c r="AP11" s="155"/>
      <c r="AQ11" s="155"/>
      <c r="AR11" s="155"/>
      <c r="AS11" s="155"/>
      <c r="AT11" s="155"/>
      <c r="AU11" s="155"/>
    </row>
    <row r="12" spans="2:148" ht="18" customHeight="1">
      <c r="B12" s="145"/>
      <c r="C12" s="558" t="s">
        <v>261</v>
      </c>
      <c r="D12" s="559" t="s">
        <v>276</v>
      </c>
      <c r="E12" s="560">
        <f>AC42</f>
        <v>497013812.31499994</v>
      </c>
      <c r="F12" s="561"/>
      <c r="H12" s="170"/>
      <c r="I12" s="12"/>
      <c r="J12" s="12"/>
      <c r="K12" s="12"/>
      <c r="L12" s="12"/>
      <c r="M12" s="12"/>
      <c r="N12" s="12"/>
      <c r="O12" s="12"/>
      <c r="P12" s="171"/>
      <c r="Q12" s="162"/>
      <c r="AA12" s="179"/>
      <c r="AB12" s="180"/>
      <c r="AC12" s="181"/>
      <c r="AD12" s="181"/>
      <c r="AE12" s="181"/>
      <c r="AF12" s="181"/>
      <c r="AG12" s="181"/>
      <c r="AH12" s="181"/>
      <c r="AI12" s="181"/>
      <c r="AJ12" s="181"/>
      <c r="AK12" s="181"/>
      <c r="AL12" s="182"/>
      <c r="AM12" s="155"/>
      <c r="AN12" s="155"/>
      <c r="AO12" s="155"/>
      <c r="AP12" s="155"/>
      <c r="AQ12" s="155"/>
      <c r="AR12" s="155"/>
      <c r="AS12" s="155"/>
      <c r="AT12" s="155"/>
      <c r="AU12" s="155"/>
    </row>
    <row r="13" spans="2:148" ht="18" customHeight="1">
      <c r="B13" s="145"/>
      <c r="C13" s="558" t="s">
        <v>262</v>
      </c>
      <c r="D13" s="559" t="s">
        <v>276</v>
      </c>
      <c r="E13" s="560">
        <f>E11-E12</f>
        <v>118128875.85500014</v>
      </c>
      <c r="F13" s="561"/>
      <c r="H13" s="170"/>
      <c r="I13" s="12"/>
      <c r="J13" s="12"/>
      <c r="K13" s="12"/>
      <c r="L13" s="12"/>
      <c r="M13" s="12"/>
      <c r="N13" s="12"/>
      <c r="O13" s="12"/>
      <c r="P13" s="171"/>
      <c r="Q13" s="162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</row>
    <row r="14" spans="2:148" ht="18" customHeight="1">
      <c r="B14" s="145"/>
      <c r="C14" s="558" t="s">
        <v>263</v>
      </c>
      <c r="D14" s="559" t="s">
        <v>276</v>
      </c>
      <c r="E14" s="560">
        <f>AF42</f>
        <v>15963482.917999852</v>
      </c>
      <c r="F14" s="561"/>
      <c r="H14" s="170"/>
      <c r="I14" s="12"/>
      <c r="J14" s="12"/>
      <c r="K14" s="12"/>
      <c r="L14" s="12"/>
      <c r="M14" s="12"/>
      <c r="N14" s="12"/>
      <c r="O14" s="12"/>
      <c r="P14" s="171"/>
      <c r="Q14" s="162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</row>
    <row r="15" spans="2:148" ht="18" customHeight="1">
      <c r="B15" s="145"/>
      <c r="C15" s="562" t="s">
        <v>277</v>
      </c>
      <c r="D15" s="559" t="s">
        <v>276</v>
      </c>
      <c r="E15" s="351">
        <f>E13+E14</f>
        <v>134092358.77299999</v>
      </c>
      <c r="F15" s="561"/>
      <c r="H15" s="170"/>
      <c r="I15" s="12"/>
      <c r="J15" s="12"/>
      <c r="K15" s="12"/>
      <c r="L15" s="12"/>
      <c r="M15" s="12"/>
      <c r="N15" s="12"/>
      <c r="O15" s="12"/>
      <c r="P15" s="171"/>
      <c r="Q15" s="162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</row>
    <row r="16" spans="2:148" ht="18" customHeight="1">
      <c r="B16" s="145"/>
      <c r="C16" s="597"/>
      <c r="D16" s="598"/>
      <c r="E16" s="598"/>
      <c r="F16" s="599"/>
      <c r="H16" s="170"/>
      <c r="I16" s="12"/>
      <c r="J16" s="12"/>
      <c r="K16" s="12"/>
      <c r="L16" s="12"/>
      <c r="M16" s="12"/>
      <c r="N16" s="12"/>
      <c r="O16" s="12"/>
      <c r="P16" s="171"/>
      <c r="Q16" s="162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</row>
    <row r="17" spans="2:140" ht="18" customHeight="1">
      <c r="B17" s="145"/>
      <c r="C17" s="597"/>
      <c r="D17" s="598"/>
      <c r="E17" s="598"/>
      <c r="F17" s="599"/>
      <c r="H17" s="170"/>
      <c r="I17" s="12"/>
      <c r="J17" s="12"/>
      <c r="K17" s="12"/>
      <c r="L17" s="12"/>
      <c r="M17" s="12"/>
      <c r="N17" s="12"/>
      <c r="O17" s="12"/>
      <c r="P17" s="171"/>
      <c r="Q17" s="162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</row>
    <row r="18" spans="2:140" ht="18" customHeight="1">
      <c r="B18" s="145"/>
      <c r="C18" s="350" t="s">
        <v>266</v>
      </c>
      <c r="D18" s="559" t="s">
        <v>276</v>
      </c>
      <c r="E18" s="563">
        <f>AE42</f>
        <v>117832650.24299999</v>
      </c>
      <c r="F18" s="561"/>
      <c r="H18" s="170"/>
      <c r="I18" s="12"/>
      <c r="J18" s="12"/>
      <c r="K18" s="12"/>
      <c r="L18" s="12"/>
      <c r="M18" s="12"/>
      <c r="N18" s="12"/>
      <c r="O18" s="12"/>
      <c r="P18" s="171"/>
      <c r="Q18" s="162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EI18" s="274" t="s">
        <v>326</v>
      </c>
    </row>
    <row r="19" spans="2:140" ht="18" customHeight="1">
      <c r="B19" s="145"/>
      <c r="C19" s="602"/>
      <c r="D19" s="603"/>
      <c r="E19" s="603"/>
      <c r="F19" s="604"/>
      <c r="H19" s="170"/>
      <c r="I19" s="12"/>
      <c r="J19" s="12"/>
      <c r="K19" s="12"/>
      <c r="L19" s="12"/>
      <c r="M19" s="12"/>
      <c r="N19" s="12"/>
      <c r="O19" s="12"/>
      <c r="P19" s="171"/>
      <c r="Q19" s="162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EI19" s="274" t="s">
        <v>322</v>
      </c>
    </row>
    <row r="20" spans="2:140" ht="18" customHeight="1">
      <c r="B20" s="145"/>
      <c r="C20" s="602"/>
      <c r="D20" s="603"/>
      <c r="E20" s="603"/>
      <c r="F20" s="604"/>
      <c r="H20" s="170"/>
      <c r="I20" s="12"/>
      <c r="J20" s="12"/>
      <c r="K20" s="12"/>
      <c r="L20" s="12"/>
      <c r="M20" s="12"/>
      <c r="N20" s="12"/>
      <c r="O20" s="12"/>
      <c r="P20" s="171"/>
      <c r="Q20" s="162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EI20" s="274" t="s">
        <v>323</v>
      </c>
    </row>
    <row r="21" spans="2:140" ht="18" customHeight="1">
      <c r="B21" s="145"/>
      <c r="C21" s="602"/>
      <c r="D21" s="603"/>
      <c r="E21" s="603"/>
      <c r="F21" s="604"/>
      <c r="H21" s="170"/>
      <c r="I21" s="12"/>
      <c r="J21" s="12"/>
      <c r="K21" s="12"/>
      <c r="L21" s="12"/>
      <c r="M21" s="12"/>
      <c r="N21" s="12"/>
      <c r="O21" s="12"/>
      <c r="P21" s="171"/>
      <c r="Q21" s="162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EI21" s="274" t="s">
        <v>324</v>
      </c>
      <c r="EJ21" s="114" t="s">
        <v>297</v>
      </c>
    </row>
    <row r="22" spans="2:140" ht="18" customHeight="1">
      <c r="B22" s="145"/>
      <c r="C22" s="564" t="s">
        <v>267</v>
      </c>
      <c r="D22" s="244" t="s">
        <v>276</v>
      </c>
      <c r="E22" s="565">
        <f>E15-E18</f>
        <v>16259708.530000001</v>
      </c>
      <c r="F22" s="234"/>
      <c r="H22" s="170"/>
      <c r="I22" s="12"/>
      <c r="J22" s="12"/>
      <c r="K22" s="12"/>
      <c r="L22" s="12"/>
      <c r="M22" s="12"/>
      <c r="N22" s="12"/>
      <c r="O22" s="12"/>
      <c r="P22" s="171"/>
      <c r="Q22" s="162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EI22" s="274" t="s">
        <v>325</v>
      </c>
      <c r="EJ22" s="114" t="s">
        <v>298</v>
      </c>
    </row>
    <row r="23" spans="2:140" ht="9.75" customHeight="1" thickBot="1">
      <c r="B23" s="145"/>
      <c r="C23" s="184"/>
      <c r="D23" s="185"/>
      <c r="E23" s="185"/>
      <c r="F23" s="186"/>
      <c r="H23" s="187"/>
      <c r="I23" s="188"/>
      <c r="J23" s="188"/>
      <c r="K23" s="188"/>
      <c r="L23" s="188"/>
      <c r="M23" s="188"/>
      <c r="N23" s="188"/>
      <c r="O23" s="188"/>
      <c r="P23" s="189"/>
      <c r="Q23" s="162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EI23" s="274" t="s">
        <v>328</v>
      </c>
      <c r="EJ23" s="113" t="s">
        <v>256</v>
      </c>
    </row>
    <row r="24" spans="2:140" ht="18" customHeight="1">
      <c r="B24" s="145"/>
      <c r="C24" s="190"/>
      <c r="D24" s="190"/>
      <c r="E24" s="521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62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EJ24" s="113" t="s">
        <v>299</v>
      </c>
    </row>
    <row r="25" spans="2:140" ht="18" customHeight="1">
      <c r="B25" s="145"/>
      <c r="C25" s="582"/>
      <c r="D25" s="582"/>
      <c r="E25" s="582"/>
      <c r="H25" s="614" t="s">
        <v>258</v>
      </c>
      <c r="I25" s="615"/>
      <c r="J25" s="615"/>
      <c r="K25" s="615"/>
      <c r="L25" s="615"/>
      <c r="M25" s="615"/>
      <c r="N25" s="615"/>
      <c r="O25" s="615"/>
      <c r="P25" s="616"/>
      <c r="Q25" s="162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EJ25" s="113" t="s">
        <v>300</v>
      </c>
    </row>
    <row r="26" spans="2:140" ht="18" customHeight="1" thickBot="1">
      <c r="B26" s="145"/>
      <c r="C26" s="190"/>
      <c r="D26" s="521"/>
      <c r="E26" s="581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62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EJ26" s="113" t="s">
        <v>301</v>
      </c>
    </row>
    <row r="27" spans="2:140" ht="15.6">
      <c r="B27" s="145"/>
      <c r="C27" s="617" t="s">
        <v>278</v>
      </c>
      <c r="D27" s="618"/>
      <c r="E27" s="618"/>
      <c r="F27" s="619"/>
      <c r="H27" s="620" t="s">
        <v>279</v>
      </c>
      <c r="I27" s="621"/>
      <c r="J27" s="621"/>
      <c r="K27" s="621"/>
      <c r="L27" s="621"/>
      <c r="M27" s="621"/>
      <c r="N27" s="621"/>
      <c r="O27" s="621"/>
      <c r="P27" s="622"/>
      <c r="Q27" s="162"/>
      <c r="AA27" s="155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55"/>
      <c r="AN27" s="155"/>
      <c r="AO27" s="155"/>
      <c r="AP27" s="155"/>
      <c r="AQ27" s="155"/>
      <c r="AR27" s="155"/>
      <c r="AS27" s="155"/>
      <c r="AT27" s="155"/>
      <c r="AU27" s="155"/>
      <c r="EJ27" s="113" t="s">
        <v>302</v>
      </c>
    </row>
    <row r="28" spans="2:140" ht="18" customHeight="1">
      <c r="B28" s="145"/>
      <c r="C28" s="594" t="s">
        <v>274</v>
      </c>
      <c r="D28" s="595"/>
      <c r="E28" s="595"/>
      <c r="F28" s="596"/>
      <c r="H28" s="605" t="s">
        <v>280</v>
      </c>
      <c r="I28" s="606"/>
      <c r="J28" s="606"/>
      <c r="K28" s="606"/>
      <c r="L28" s="606"/>
      <c r="M28" s="606"/>
      <c r="N28" s="606"/>
      <c r="O28" s="606"/>
      <c r="P28" s="607"/>
      <c r="Q28" s="162"/>
      <c r="AA28" s="191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55"/>
      <c r="AN28" s="155"/>
      <c r="AO28" s="155"/>
      <c r="AP28" s="155"/>
      <c r="AQ28" s="155"/>
      <c r="AR28" s="155"/>
      <c r="AS28" s="155"/>
      <c r="AT28" s="155"/>
      <c r="AU28" s="155"/>
      <c r="EJ28" s="113" t="s">
        <v>303</v>
      </c>
    </row>
    <row r="29" spans="2:140" ht="15.6">
      <c r="B29" s="145"/>
      <c r="C29" s="594" t="str">
        <f>H25</f>
        <v>December</v>
      </c>
      <c r="D29" s="595"/>
      <c r="E29" s="595"/>
      <c r="F29" s="596"/>
      <c r="H29" s="589" t="s">
        <v>40</v>
      </c>
      <c r="I29" s="590"/>
      <c r="J29" s="262">
        <f>VLOOKUP($H$25,$AA$90:$EI$101,2,FALSE)</f>
        <v>1313581.9000000001</v>
      </c>
      <c r="K29" s="258">
        <f>J29/$E$36</f>
        <v>0.10384708651126516</v>
      </c>
      <c r="L29" s="263"/>
      <c r="M29" s="589" t="s">
        <v>82</v>
      </c>
      <c r="N29" s="590"/>
      <c r="O29" s="262">
        <f>VLOOKUP($H$25,$AA$90:$EI$101,58,FALSE)</f>
        <v>0</v>
      </c>
      <c r="P29" s="260">
        <f>O29/$E$36</f>
        <v>0</v>
      </c>
      <c r="Q29" s="162"/>
      <c r="AA29" s="229" t="s">
        <v>295</v>
      </c>
      <c r="AB29" s="227" t="s">
        <v>260</v>
      </c>
      <c r="AC29" s="227" t="s">
        <v>261</v>
      </c>
      <c r="AD29" s="227" t="s">
        <v>296</v>
      </c>
      <c r="AE29" s="227" t="s">
        <v>265</v>
      </c>
      <c r="AF29" s="227" t="s">
        <v>263</v>
      </c>
      <c r="AG29" s="193" t="s">
        <v>294</v>
      </c>
      <c r="AH29" s="192"/>
      <c r="AI29" s="192"/>
      <c r="AJ29" s="192"/>
      <c r="AK29" s="192"/>
      <c r="AL29" s="192"/>
      <c r="AM29" s="155"/>
      <c r="AN29" s="155"/>
      <c r="AO29" s="155"/>
      <c r="AP29" s="155"/>
      <c r="AQ29" s="155"/>
      <c r="AR29" s="155"/>
      <c r="AS29" s="155"/>
      <c r="AT29" s="155"/>
      <c r="AU29" s="155"/>
      <c r="EJ29" s="113" t="s">
        <v>304</v>
      </c>
    </row>
    <row r="30" spans="2:140" ht="14.4">
      <c r="B30" s="145"/>
      <c r="C30" s="194"/>
      <c r="D30" s="243"/>
      <c r="E30" s="243"/>
      <c r="F30" s="195"/>
      <c r="H30" s="589" t="s">
        <v>41</v>
      </c>
      <c r="I30" s="590"/>
      <c r="J30" s="262">
        <f>VLOOKUP($H$25,$AA$90:$EI$101,3,FALSE)</f>
        <v>4020526.8199999989</v>
      </c>
      <c r="K30" s="258">
        <f t="shared" ref="K30:K84" si="0">J30/$E$36</f>
        <v>0.31784846951484463</v>
      </c>
      <c r="L30" s="263"/>
      <c r="M30" s="589" t="s">
        <v>83</v>
      </c>
      <c r="N30" s="590"/>
      <c r="O30" s="262">
        <f>VLOOKUP($H$25,$AA$90:$EI$101,59,FALSE)</f>
        <v>0</v>
      </c>
      <c r="P30" s="260">
        <f>O30/$E$36</f>
        <v>0</v>
      </c>
      <c r="Q30" s="162"/>
      <c r="AA30" s="228" t="s">
        <v>293</v>
      </c>
      <c r="AB30" s="451">
        <f>'تقرير مجمعة حسب الشهر'!G37</f>
        <v>40806681.870000005</v>
      </c>
      <c r="AC30" s="451">
        <f>'تقرير مجمعة حسب الشهر'!I37</f>
        <v>32885216.82</v>
      </c>
      <c r="AD30" s="451">
        <f>'تقرير مجمعة حسب الشهر'!J37</f>
        <v>7921465.0499999989</v>
      </c>
      <c r="AE30" s="451">
        <f>'تقرير مجمعة حسب الشهر'!K37</f>
        <v>7206089.6499999966</v>
      </c>
      <c r="AF30" s="452">
        <f>'تقرير مجمعة حسب الشهر'!M37</f>
        <v>499374.9499999999</v>
      </c>
      <c r="AG30" s="448">
        <f>AD30-AE30+AF30</f>
        <v>1214750.3500000022</v>
      </c>
      <c r="AH30" s="192"/>
      <c r="AI30" s="192"/>
      <c r="AJ30" s="192"/>
      <c r="AK30" s="192"/>
      <c r="AL30" s="192"/>
      <c r="AM30" s="155"/>
      <c r="AN30" s="155"/>
      <c r="AO30" s="155"/>
      <c r="AP30" s="155"/>
      <c r="AQ30" s="155"/>
      <c r="AR30" s="155"/>
      <c r="AS30" s="155"/>
      <c r="AT30" s="155"/>
      <c r="AU30" s="155"/>
      <c r="EJ30" s="113" t="s">
        <v>305</v>
      </c>
    </row>
    <row r="31" spans="2:140" ht="14.4">
      <c r="B31" s="145"/>
      <c r="C31" s="419" t="s">
        <v>260</v>
      </c>
      <c r="D31" s="354" t="s">
        <v>276</v>
      </c>
      <c r="E31" s="360">
        <f>VLOOKUP(H25,AA30:AG41,MATCH(C31,AA29:AG29,0),0)</f>
        <v>62205513.450000003</v>
      </c>
      <c r="F31" s="355"/>
      <c r="H31" s="589" t="s">
        <v>26</v>
      </c>
      <c r="I31" s="590"/>
      <c r="J31" s="262">
        <f>VLOOKUP($H$25,$AA$90:$EI$101,4,FALSE)</f>
        <v>70345</v>
      </c>
      <c r="K31" s="258">
        <f t="shared" si="0"/>
        <v>5.5612240855594519E-3</v>
      </c>
      <c r="L31" s="263"/>
      <c r="M31" s="589" t="s">
        <v>84</v>
      </c>
      <c r="N31" s="590"/>
      <c r="O31" s="262">
        <f>VLOOKUP($H$25,$AA$90:$EI$101,60,FALSE)</f>
        <v>0</v>
      </c>
      <c r="P31" s="260">
        <f>O31/$E$36</f>
        <v>0</v>
      </c>
      <c r="Q31" s="162"/>
      <c r="AA31" s="228" t="s">
        <v>248</v>
      </c>
      <c r="AB31" s="451">
        <f>'تقرير مجمعة حسب الشهر'!G72</f>
        <v>39943440.160000004</v>
      </c>
      <c r="AC31" s="451">
        <f>'تقرير مجمعة حسب الشهر'!I72</f>
        <v>32572061.495000001</v>
      </c>
      <c r="AD31" s="451">
        <f>'تقرير مجمعة حسب الشهر'!J72</f>
        <v>7371378.6650000038</v>
      </c>
      <c r="AE31" s="451">
        <f>'تقرير مجمعة حسب الشهر'!K72</f>
        <v>7814841.0099999988</v>
      </c>
      <c r="AF31" s="452">
        <f>'تقرير مجمعة حسب الشهر'!M72</f>
        <v>830716.73299999989</v>
      </c>
      <c r="AG31" s="448">
        <f t="shared" ref="AG31:AG41" si="1">AD31-AE31+AF31</f>
        <v>387254.38800000481</v>
      </c>
      <c r="AH31" s="192"/>
      <c r="AI31" s="192"/>
      <c r="AJ31" s="192"/>
      <c r="AK31" s="192"/>
      <c r="AL31" s="192"/>
      <c r="AM31" s="155"/>
      <c r="AN31" s="155"/>
      <c r="AO31" s="155"/>
      <c r="AP31" s="155"/>
      <c r="AQ31" s="155"/>
      <c r="AR31" s="155"/>
      <c r="AS31" s="155"/>
      <c r="AT31" s="155"/>
      <c r="AU31" s="155"/>
      <c r="EJ31" s="113" t="s">
        <v>306</v>
      </c>
    </row>
    <row r="32" spans="2:140" ht="14.4">
      <c r="B32" s="145"/>
      <c r="C32" s="419" t="s">
        <v>261</v>
      </c>
      <c r="D32" s="354" t="s">
        <v>276</v>
      </c>
      <c r="E32" s="360">
        <f>VLOOKUP(H25,AA30:AG41,MATCH(C32,AA29:AG29,0),0)</f>
        <v>49741294.579999991</v>
      </c>
      <c r="F32" s="355"/>
      <c r="H32" s="589" t="s">
        <v>27</v>
      </c>
      <c r="I32" s="590"/>
      <c r="J32" s="262">
        <f>VLOOKUP($H$25,$AA$90:$EI$101,5,FALSE)</f>
        <v>8069</v>
      </c>
      <c r="K32" s="258">
        <f t="shared" si="0"/>
        <v>6.3790627829098329E-4</v>
      </c>
      <c r="L32" s="263"/>
      <c r="M32" s="589" t="s">
        <v>85</v>
      </c>
      <c r="N32" s="590"/>
      <c r="O32" s="262">
        <f>VLOOKUP($H$25,$AA$90:$EI$101,61,FALSE)</f>
        <v>57487</v>
      </c>
      <c r="P32" s="260">
        <f>O32/$E$36</f>
        <v>4.5447165968662481E-3</v>
      </c>
      <c r="Q32" s="162"/>
      <c r="AA32" s="228" t="s">
        <v>249</v>
      </c>
      <c r="AB32" s="451">
        <f>'تقرير مجمعة حسب الشهر'!G108</f>
        <v>44391759.07</v>
      </c>
      <c r="AC32" s="451">
        <f>'تقرير مجمعة حسب الشهر'!I108</f>
        <v>36062857.86999999</v>
      </c>
      <c r="AD32" s="451">
        <f>'تقرير مجمعة حسب الشهر'!J108</f>
        <v>8328901.1999999993</v>
      </c>
      <c r="AE32" s="451">
        <f>'تقرير مجمعة حسب الشهر'!K108</f>
        <v>8264417.5299999984</v>
      </c>
      <c r="AF32" s="452">
        <f>'تقرير مجمعة حسب الشهر'!M108</f>
        <v>757642.92999999982</v>
      </c>
      <c r="AG32" s="448">
        <f t="shared" si="1"/>
        <v>822126.60000000068</v>
      </c>
      <c r="AH32" s="192"/>
      <c r="AI32" s="192"/>
      <c r="AJ32" s="192"/>
      <c r="AK32" s="192"/>
      <c r="AL32" s="192"/>
      <c r="AM32" s="155"/>
      <c r="AN32" s="155"/>
      <c r="AO32" s="155"/>
      <c r="AP32" s="155"/>
      <c r="AQ32" s="155"/>
      <c r="AR32" s="155"/>
      <c r="AS32" s="155"/>
      <c r="AT32" s="155"/>
      <c r="AU32" s="155"/>
      <c r="EJ32" s="113" t="s">
        <v>307</v>
      </c>
    </row>
    <row r="33" spans="2:140" ht="14.4">
      <c r="B33" s="145"/>
      <c r="C33" s="419" t="s">
        <v>262</v>
      </c>
      <c r="D33" s="354" t="s">
        <v>276</v>
      </c>
      <c r="E33" s="360">
        <f>E31-E32</f>
        <v>12464218.870000012</v>
      </c>
      <c r="F33" s="355"/>
      <c r="H33" s="589" t="s">
        <v>42</v>
      </c>
      <c r="I33" s="590"/>
      <c r="J33" s="262">
        <f>VLOOKUP($H$25,$AA$90:$EI$101,6,FALSE)</f>
        <v>0</v>
      </c>
      <c r="K33" s="258">
        <f t="shared" si="0"/>
        <v>0</v>
      </c>
      <c r="L33" s="263"/>
      <c r="M33" s="589" t="s">
        <v>86</v>
      </c>
      <c r="N33" s="590"/>
      <c r="O33" s="262">
        <f>VLOOKUP($H$25,$AA$90:$EI$101,62,FALSE)</f>
        <v>0</v>
      </c>
      <c r="P33" s="260">
        <f t="shared" ref="P33:P85" si="2">O33/$E$36</f>
        <v>0</v>
      </c>
      <c r="Q33" s="162"/>
      <c r="AA33" s="228" t="s">
        <v>250</v>
      </c>
      <c r="AB33" s="451">
        <f>'تقرير مجمعة حسب الشهر'!G144</f>
        <v>47015527.229999989</v>
      </c>
      <c r="AC33" s="451">
        <f>'تقرير مجمعة حسب الشهر'!I144</f>
        <v>38233326.830000021</v>
      </c>
      <c r="AD33" s="451">
        <f>'تقرير مجمعة حسب الشهر'!J144</f>
        <v>8782200.3999999966</v>
      </c>
      <c r="AE33" s="451">
        <f>'تقرير مجمعة حسب الشهر'!K144</f>
        <v>8907714.5500000007</v>
      </c>
      <c r="AF33" s="452">
        <f>'تقرير مجمعة حسب الشهر'!M144</f>
        <v>979531.25</v>
      </c>
      <c r="AG33" s="448">
        <f t="shared" si="1"/>
        <v>854017.0999999959</v>
      </c>
      <c r="AH33" s="192"/>
      <c r="AI33" s="192"/>
      <c r="AJ33" s="192"/>
      <c r="AK33" s="192"/>
      <c r="AL33" s="192"/>
      <c r="AM33" s="155"/>
      <c r="AN33" s="155"/>
      <c r="AO33" s="155"/>
      <c r="AP33" s="155"/>
      <c r="AQ33" s="155"/>
      <c r="AR33" s="155"/>
      <c r="AS33" s="155"/>
      <c r="AT33" s="155"/>
      <c r="AU33" s="155"/>
      <c r="EJ33" s="113" t="s">
        <v>308</v>
      </c>
    </row>
    <row r="34" spans="2:140" ht="14.4">
      <c r="B34" s="145"/>
      <c r="C34" s="419" t="s">
        <v>263</v>
      </c>
      <c r="D34" s="354" t="s">
        <v>276</v>
      </c>
      <c r="E34" s="360">
        <f>VLOOKUP(H25,AA30:AG41,MATCH(C34,AA29:AG29,0),0)</f>
        <v>5085004.6649998538</v>
      </c>
      <c r="F34" s="355"/>
      <c r="H34" s="589" t="s">
        <v>43</v>
      </c>
      <c r="I34" s="590"/>
      <c r="J34" s="262">
        <f>VLOOKUP($H$25,$AA$90:$EI$101,7,FALSE)</f>
        <v>510000</v>
      </c>
      <c r="K34" s="258">
        <f t="shared" si="0"/>
        <v>4.0318775799777107E-2</v>
      </c>
      <c r="L34" s="263"/>
      <c r="M34" s="589" t="s">
        <v>87</v>
      </c>
      <c r="N34" s="590"/>
      <c r="O34" s="262">
        <f>VLOOKUP($H$25,$AA$90:$EI$101,63,FALSE)</f>
        <v>8375</v>
      </c>
      <c r="P34" s="260">
        <f t="shared" si="2"/>
        <v>6.6209754377084947E-4</v>
      </c>
      <c r="Q34" s="162"/>
      <c r="AA34" s="228" t="s">
        <v>251</v>
      </c>
      <c r="AB34" s="451">
        <f>'تقرير مجمعة حسب الشهر'!G180</f>
        <v>50394566.090000011</v>
      </c>
      <c r="AC34" s="451">
        <f>'تقرير مجمعة حسب الشهر'!I180</f>
        <v>40884079.139999993</v>
      </c>
      <c r="AD34" s="451">
        <f>'تقرير مجمعة حسب الشهر'!J180</f>
        <v>9510486.9499999974</v>
      </c>
      <c r="AE34" s="451">
        <f>'تقرير مجمعة حسب الشهر'!K180</f>
        <v>8875833.8200000003</v>
      </c>
      <c r="AF34" s="452">
        <f>'تقرير مجمعة حسب الشهر'!M180</f>
        <v>1545161.94</v>
      </c>
      <c r="AG34" s="448">
        <f t="shared" si="1"/>
        <v>2179815.069999997</v>
      </c>
      <c r="AH34" s="192"/>
      <c r="AI34" s="192"/>
      <c r="AJ34" s="192"/>
      <c r="AK34" s="192"/>
      <c r="AL34" s="192"/>
      <c r="AM34" s="155"/>
      <c r="AN34" s="155"/>
      <c r="AO34" s="155"/>
      <c r="AP34" s="155"/>
      <c r="AQ34" s="155"/>
      <c r="AR34" s="155"/>
      <c r="AS34" s="155"/>
      <c r="AT34" s="155"/>
      <c r="AU34" s="155"/>
      <c r="EJ34" s="113" t="s">
        <v>309</v>
      </c>
    </row>
    <row r="35" spans="2:140" ht="14.4">
      <c r="B35" s="145"/>
      <c r="C35" s="419" t="s">
        <v>277</v>
      </c>
      <c r="D35" s="354" t="s">
        <v>276</v>
      </c>
      <c r="E35" s="361">
        <f>E33+E34</f>
        <v>17549223.534999866</v>
      </c>
      <c r="F35" s="355"/>
      <c r="H35" s="589" t="s">
        <v>44</v>
      </c>
      <c r="I35" s="590"/>
      <c r="J35" s="262">
        <f>VLOOKUP($H$25,$AA$90:$EI$101,8,FALSE)</f>
        <v>50000</v>
      </c>
      <c r="K35" s="258">
        <f t="shared" si="0"/>
        <v>3.9528211568408923E-3</v>
      </c>
      <c r="L35" s="263"/>
      <c r="M35" s="589" t="s">
        <v>88</v>
      </c>
      <c r="N35" s="590"/>
      <c r="O35" s="262">
        <f>VLOOKUP($H$25,$AA$90:$EI$101,64,FALSE)</f>
        <v>0</v>
      </c>
      <c r="P35" s="260">
        <f t="shared" si="2"/>
        <v>0</v>
      </c>
      <c r="Q35" s="162"/>
      <c r="AA35" s="228" t="s">
        <v>252</v>
      </c>
      <c r="AB35" s="451">
        <f>'تقرير مجمعة حسب الشهر'!G216</f>
        <v>51071696.109999985</v>
      </c>
      <c r="AC35" s="451">
        <f>'تقرير مجمعة حسب الشهر'!I216</f>
        <v>41196730.489999995</v>
      </c>
      <c r="AD35" s="451">
        <f>'تقرير مجمعة حسب الشهر'!J216</f>
        <v>9874965.6200000029</v>
      </c>
      <c r="AE35" s="451">
        <f>'تقرير مجمعة حسب الشهر'!K216</f>
        <v>10183139.619999997</v>
      </c>
      <c r="AF35" s="452">
        <f>'تقرير مجمعة حسب الشهر'!M216</f>
        <v>1123699.3699999999</v>
      </c>
      <c r="AG35" s="448">
        <f t="shared" si="1"/>
        <v>815525.37000000547</v>
      </c>
      <c r="AH35" s="192"/>
      <c r="AI35" s="192"/>
      <c r="AJ35" s="192"/>
      <c r="AK35" s="192"/>
      <c r="AL35" s="192"/>
      <c r="AM35" s="155"/>
      <c r="AN35" s="155"/>
      <c r="AO35" s="155"/>
      <c r="AP35" s="155"/>
      <c r="AQ35" s="155"/>
      <c r="AR35" s="155"/>
      <c r="AS35" s="155"/>
      <c r="AT35" s="155"/>
      <c r="AU35" s="155"/>
      <c r="EJ35" s="113" t="s">
        <v>310</v>
      </c>
    </row>
    <row r="36" spans="2:140" ht="14.4">
      <c r="B36" s="145"/>
      <c r="C36" s="419" t="s">
        <v>265</v>
      </c>
      <c r="D36" s="354" t="s">
        <v>276</v>
      </c>
      <c r="E36" s="361">
        <f>VLOOKUP(H25,AA30:AG41,MATCH(C36,AA29:AG29,0),0)</f>
        <v>12649193.580000002</v>
      </c>
      <c r="F36" s="355"/>
      <c r="H36" s="589" t="s">
        <v>45</v>
      </c>
      <c r="I36" s="590"/>
      <c r="J36" s="262">
        <f>VLOOKUP($H$25,$AA$90:$EI$101,9,FALSE)</f>
        <v>406756</v>
      </c>
      <c r="K36" s="258">
        <f t="shared" si="0"/>
        <v>3.2156674449439482E-2</v>
      </c>
      <c r="L36" s="263"/>
      <c r="M36" s="589" t="s">
        <v>89</v>
      </c>
      <c r="N36" s="590"/>
      <c r="O36" s="262">
        <f>VLOOKUP($H$25,$AA$90:$EI$101,65,FALSE)</f>
        <v>3005</v>
      </c>
      <c r="P36" s="260">
        <f t="shared" si="2"/>
        <v>2.3756455152613764E-4</v>
      </c>
      <c r="Q36" s="162"/>
      <c r="AA36" s="228" t="s">
        <v>253</v>
      </c>
      <c r="AB36" s="231">
        <f>'تقرير مجمعة حسب الشهر'!G252</f>
        <v>53894044.669999994</v>
      </c>
      <c r="AC36" s="231">
        <f>'تقرير مجمعة حسب الشهر'!I252</f>
        <v>43477556.020000003</v>
      </c>
      <c r="AD36" s="231">
        <f>'تقرير مجمعة حسب الشهر'!J252</f>
        <v>10416488.650000002</v>
      </c>
      <c r="AE36" s="231">
        <f>'تقرير مجمعة حسب الشهر'!K252</f>
        <v>10168253.425000003</v>
      </c>
      <c r="AF36" s="232">
        <f>'تقرير مجمعة حسب الشهر'!M252</f>
        <v>864132.45999999985</v>
      </c>
      <c r="AG36" s="448">
        <f t="shared" si="1"/>
        <v>1112367.6849999996</v>
      </c>
      <c r="AH36" s="192"/>
      <c r="AI36" s="192"/>
      <c r="AJ36" s="192"/>
      <c r="AK36" s="192"/>
      <c r="AL36" s="192"/>
      <c r="AM36" s="155"/>
      <c r="AN36" s="155"/>
      <c r="AO36" s="155"/>
      <c r="AP36" s="155"/>
      <c r="AQ36" s="155"/>
      <c r="AR36" s="155"/>
      <c r="AS36" s="155"/>
      <c r="AT36" s="155"/>
      <c r="AU36" s="155"/>
      <c r="EJ36" s="113" t="s">
        <v>311</v>
      </c>
    </row>
    <row r="37" spans="2:140" ht="14.4">
      <c r="B37" s="145"/>
      <c r="C37" s="419"/>
      <c r="D37" s="354"/>
      <c r="E37" s="361"/>
      <c r="F37" s="355"/>
      <c r="H37" s="589" t="s">
        <v>156</v>
      </c>
      <c r="I37" s="590"/>
      <c r="J37" s="262">
        <f>VLOOKUP($H$25,$AA$90:$EI$101,10,FALSE)</f>
        <v>23690</v>
      </c>
      <c r="K37" s="258">
        <f t="shared" si="0"/>
        <v>1.8728466641112149E-3</v>
      </c>
      <c r="L37" s="263"/>
      <c r="M37" s="589" t="s">
        <v>33</v>
      </c>
      <c r="N37" s="590"/>
      <c r="O37" s="262">
        <f>VLOOKUP($H$25,$AA$90:$EI$101,66,FALSE)</f>
        <v>15763.5</v>
      </c>
      <c r="P37" s="260">
        <f t="shared" si="2"/>
        <v>1.2462059261172283E-3</v>
      </c>
      <c r="Q37" s="162"/>
      <c r="AA37" s="228" t="s">
        <v>254</v>
      </c>
      <c r="AB37" s="231">
        <f>'تقرير مجمعة حسب الشهر'!G288</f>
        <v>56253508.68</v>
      </c>
      <c r="AC37" s="231">
        <f>'تقرير مجمعة حسب الشهر'!I288</f>
        <v>45438716.289999999</v>
      </c>
      <c r="AD37" s="231">
        <f>'تقرير مجمعة حسب الشهر'!J288</f>
        <v>10814792.389999997</v>
      </c>
      <c r="AE37" s="231">
        <f>'تقرير مجمعة حسب الشهر'!K288</f>
        <v>10307078.919999998</v>
      </c>
      <c r="AF37" s="232">
        <f>'تقرير مجمعة حسب الشهر'!M288</f>
        <v>947444.0700000003</v>
      </c>
      <c r="AG37" s="448">
        <f t="shared" si="1"/>
        <v>1455157.5399999991</v>
      </c>
      <c r="AH37" s="192"/>
      <c r="AI37" s="192"/>
      <c r="AJ37" s="192"/>
      <c r="AK37" s="192"/>
      <c r="AL37" s="192"/>
      <c r="AM37" s="155"/>
      <c r="AN37" s="155"/>
      <c r="AO37" s="155"/>
      <c r="AP37" s="155"/>
      <c r="AQ37" s="155"/>
      <c r="AR37" s="155"/>
      <c r="AS37" s="155"/>
      <c r="AT37" s="155"/>
      <c r="AU37" s="155"/>
      <c r="EJ37" s="113" t="s">
        <v>312</v>
      </c>
    </row>
    <row r="38" spans="2:140" ht="14.4">
      <c r="B38" s="145"/>
      <c r="C38" s="419" t="s">
        <v>266</v>
      </c>
      <c r="D38" s="354" t="s">
        <v>276</v>
      </c>
      <c r="E38" s="361">
        <f>E36+E37</f>
        <v>12649193.580000002</v>
      </c>
      <c r="F38" s="355"/>
      <c r="H38" s="589" t="s">
        <v>46</v>
      </c>
      <c r="I38" s="590"/>
      <c r="J38" s="262">
        <f>VLOOKUP($H$25,$AA$90:$EI$101,11,FALSE)</f>
        <v>25005.690000000002</v>
      </c>
      <c r="K38" s="258">
        <f t="shared" si="0"/>
        <v>1.9768604094680948E-3</v>
      </c>
      <c r="L38" s="264"/>
      <c r="M38" s="589" t="s">
        <v>90</v>
      </c>
      <c r="N38" s="590"/>
      <c r="O38" s="262">
        <f>VLOOKUP($H$25,$AA$90:$EI$101,67,FALSE)</f>
        <v>168858</v>
      </c>
      <c r="P38" s="260">
        <f t="shared" si="2"/>
        <v>1.3349309498036789E-2</v>
      </c>
      <c r="Q38" s="162"/>
      <c r="AA38" s="228" t="s">
        <v>255</v>
      </c>
      <c r="AB38" s="231">
        <f>'تقرير مجمعة حسب الشهر'!G324</f>
        <v>52570346.640000001</v>
      </c>
      <c r="AC38" s="231">
        <f>'تقرير مجمعة حسب الشهر'!I324</f>
        <v>42515877.75</v>
      </c>
      <c r="AD38" s="231">
        <f>'تقرير مجمعة حسب الشهر'!J324</f>
        <v>10054468.890000001</v>
      </c>
      <c r="AE38" s="231">
        <f>'تقرير مجمعة حسب الشهر'!K324</f>
        <v>11127271.460000001</v>
      </c>
      <c r="AF38" s="232">
        <f>'تقرير مجمعة حسب الشهر'!M324</f>
        <v>1587115.99</v>
      </c>
      <c r="AG38" s="448">
        <f t="shared" si="1"/>
        <v>514313.41999999969</v>
      </c>
      <c r="AH38" s="192"/>
      <c r="AI38" s="192"/>
      <c r="AJ38" s="192"/>
      <c r="AK38" s="192"/>
      <c r="AL38" s="192"/>
      <c r="AM38" s="155"/>
      <c r="AN38" s="155"/>
      <c r="AO38" s="155"/>
      <c r="AP38" s="155"/>
      <c r="AQ38" s="155"/>
      <c r="AR38" s="155"/>
      <c r="AS38" s="155"/>
      <c r="AT38" s="155"/>
      <c r="AU38" s="155"/>
      <c r="EJ38" s="113" t="s">
        <v>313</v>
      </c>
    </row>
    <row r="39" spans="2:140" ht="14.4">
      <c r="B39" s="145"/>
      <c r="C39" s="419"/>
      <c r="D39" s="354"/>
      <c r="E39" s="361"/>
      <c r="F39" s="355"/>
      <c r="H39" s="589" t="s">
        <v>47</v>
      </c>
      <c r="I39" s="590"/>
      <c r="J39" s="262">
        <f>VLOOKUP($H$25,$AA$90:$EI$101,12,FALSE)</f>
        <v>0</v>
      </c>
      <c r="K39" s="258">
        <f t="shared" si="0"/>
        <v>0</v>
      </c>
      <c r="L39" s="198"/>
      <c r="M39" s="589" t="s">
        <v>91</v>
      </c>
      <c r="N39" s="590"/>
      <c r="O39" s="262">
        <f>VLOOKUP($H$25,$AA$90:$EI$101,68,FALSE)</f>
        <v>0</v>
      </c>
      <c r="P39" s="260">
        <f t="shared" si="2"/>
        <v>0</v>
      </c>
      <c r="Q39" s="162"/>
      <c r="AA39" s="228" t="s">
        <v>256</v>
      </c>
      <c r="AB39" s="231">
        <f>'تقرير مجمعة حسب الشهر'!G360</f>
        <v>58202856.300000004</v>
      </c>
      <c r="AC39" s="231">
        <f>'تقرير مجمعة حسب الشهر'!I360</f>
        <v>46888175.680000007</v>
      </c>
      <c r="AD39" s="231">
        <f>'تقرير مجمعة حسب الشهر'!J360</f>
        <v>11314680.619999999</v>
      </c>
      <c r="AE39" s="231">
        <f>'تقرير مجمعة حسب الشهر'!K360</f>
        <v>11138989.678000001</v>
      </c>
      <c r="AF39" s="232">
        <f>'تقرير مجمعة حسب الشهر'!M360</f>
        <v>700625.76999999955</v>
      </c>
      <c r="AG39" s="448">
        <f>AD39-AE39+AF39</f>
        <v>876316.7119999975</v>
      </c>
      <c r="AH39" s="192"/>
      <c r="AI39" s="192"/>
      <c r="AJ39" s="192"/>
      <c r="AK39" s="192"/>
      <c r="AL39" s="192"/>
      <c r="AM39" s="155"/>
      <c r="AN39" s="155"/>
      <c r="AO39" s="155"/>
      <c r="AP39" s="155"/>
      <c r="AQ39" s="155"/>
      <c r="AR39" s="155"/>
      <c r="AS39" s="155"/>
      <c r="AT39" s="155"/>
      <c r="AU39" s="155"/>
      <c r="EJ39" s="113" t="s">
        <v>314</v>
      </c>
    </row>
    <row r="40" spans="2:140" ht="14.4">
      <c r="B40" s="145"/>
      <c r="C40" s="419" t="s">
        <v>267</v>
      </c>
      <c r="D40" s="354" t="s">
        <v>276</v>
      </c>
      <c r="E40" s="361">
        <f>E35-E38-E39</f>
        <v>4900029.9549998641</v>
      </c>
      <c r="F40" s="355"/>
      <c r="H40" s="589" t="s">
        <v>48</v>
      </c>
      <c r="I40" s="590"/>
      <c r="J40" s="262">
        <f>VLOOKUP($H$25,$AA$90:$EI$101,13,FALSE)</f>
        <v>28828.5</v>
      </c>
      <c r="K40" s="258">
        <f t="shared" si="0"/>
        <v>2.2790780943997536E-3</v>
      </c>
      <c r="L40" s="91"/>
      <c r="M40" s="589" t="s">
        <v>92</v>
      </c>
      <c r="N40" s="590"/>
      <c r="O40" s="262">
        <f>VLOOKUP($H$25,$AA$90:$EI$101,69,FALSE)</f>
        <v>0</v>
      </c>
      <c r="P40" s="260">
        <f t="shared" si="2"/>
        <v>0</v>
      </c>
      <c r="Q40" s="162"/>
      <c r="AA40" s="228" t="s">
        <v>257</v>
      </c>
      <c r="AB40" s="231">
        <f>'تقرير مجمعة حسب الشهر'!G396</f>
        <v>58392747.900000006</v>
      </c>
      <c r="AC40" s="231">
        <f>'تقرير مجمعة حسب الشهر'!I396</f>
        <v>47117919.349999987</v>
      </c>
      <c r="AD40" s="231">
        <f>'تقرير مجمعة حسب الشهر'!J396</f>
        <v>11274828.549999995</v>
      </c>
      <c r="AE40" s="231">
        <f>'تقرير مجمعة حسب الشهر'!K396</f>
        <v>11189826.999999998</v>
      </c>
      <c r="AF40" s="232">
        <f>'تقرير مجمعة حسب الشهر'!M396</f>
        <v>1043032.7899999995</v>
      </c>
      <c r="AG40" s="448">
        <f>AD40-AE40+AF40</f>
        <v>1128034.3399999966</v>
      </c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EJ40" s="113" t="s">
        <v>315</v>
      </c>
    </row>
    <row r="41" spans="2:140" ht="14.4">
      <c r="B41" s="145"/>
      <c r="C41" s="352"/>
      <c r="D41" s="356"/>
      <c r="E41" s="353"/>
      <c r="F41" s="355"/>
      <c r="H41" s="589" t="s">
        <v>49</v>
      </c>
      <c r="I41" s="590"/>
      <c r="J41" s="262">
        <f>VLOOKUP($H$25,$AA$90:$EI$101,14,FALSE)</f>
        <v>18790</v>
      </c>
      <c r="K41" s="258">
        <f t="shared" si="0"/>
        <v>1.4854701907408075E-3</v>
      </c>
      <c r="L41" s="199"/>
      <c r="M41" s="589" t="s">
        <v>93</v>
      </c>
      <c r="N41" s="590"/>
      <c r="O41" s="262">
        <f>VLOOKUP($H$25,$AA$90:$EI$101,70,FALSE)</f>
        <v>0</v>
      </c>
      <c r="P41" s="260">
        <f t="shared" si="2"/>
        <v>0</v>
      </c>
      <c r="Q41" s="162"/>
      <c r="AA41" s="228" t="s">
        <v>258</v>
      </c>
      <c r="AB41" s="231">
        <f>'تقرير مجمعة حسب الشهر'!G432</f>
        <v>62205513.450000003</v>
      </c>
      <c r="AC41" s="231">
        <f>'تقرير مجمعة حسب الشهر'!I432</f>
        <v>49741294.579999991</v>
      </c>
      <c r="AD41" s="231">
        <f>'تقرير مجمعة حسب الشهر'!J432</f>
        <v>12464218.870000003</v>
      </c>
      <c r="AE41" s="231">
        <f>'تقرير مجمعة حسب الشهر'!K432</f>
        <v>12649193.580000002</v>
      </c>
      <c r="AF41" s="231">
        <f>'تقرير مجمعة حسب الشهر'!M432</f>
        <v>5085004.6649998538</v>
      </c>
      <c r="AG41" s="448">
        <f t="shared" si="1"/>
        <v>4900029.9549998548</v>
      </c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EJ41" s="113" t="s">
        <v>316</v>
      </c>
    </row>
    <row r="42" spans="2:140" ht="14.4">
      <c r="B42" s="145"/>
      <c r="C42" s="352"/>
      <c r="D42" s="356"/>
      <c r="E42" s="353"/>
      <c r="F42" s="355"/>
      <c r="H42" s="589" t="s">
        <v>158</v>
      </c>
      <c r="I42" s="590"/>
      <c r="J42" s="262">
        <f>VLOOKUP($H$25,$AA$90:$EI$101,15,FALSE)</f>
        <v>24875</v>
      </c>
      <c r="K42" s="258">
        <f t="shared" si="0"/>
        <v>1.9665285255283443E-3</v>
      </c>
      <c r="L42" s="91"/>
      <c r="M42" s="589" t="s">
        <v>94</v>
      </c>
      <c r="N42" s="590"/>
      <c r="O42" s="262">
        <f>VLOOKUP($H$25,$AA$90:$EI$101,71,FALSE)</f>
        <v>265150</v>
      </c>
      <c r="P42" s="260">
        <f t="shared" si="2"/>
        <v>2.0961810594727254E-2</v>
      </c>
      <c r="Q42" s="162"/>
      <c r="AA42" s="230" t="s">
        <v>194</v>
      </c>
      <c r="AB42" s="449">
        <f t="shared" ref="AB42:AG42" si="3">SUM(AB30:AB41)</f>
        <v>615142688.17000008</v>
      </c>
      <c r="AC42" s="449">
        <f t="shared" si="3"/>
        <v>497013812.31499994</v>
      </c>
      <c r="AD42" s="449">
        <f t="shared" si="3"/>
        <v>118128875.855</v>
      </c>
      <c r="AE42" s="449">
        <f t="shared" si="3"/>
        <v>117832650.24299999</v>
      </c>
      <c r="AF42" s="449">
        <f t="shared" si="3"/>
        <v>15963482.917999852</v>
      </c>
      <c r="AG42" s="450">
        <f t="shared" si="3"/>
        <v>16259708.529999852</v>
      </c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EJ42" s="113" t="s">
        <v>317</v>
      </c>
    </row>
    <row r="43" spans="2:140" ht="14.4">
      <c r="B43" s="145"/>
      <c r="C43" s="357"/>
      <c r="D43" s="358"/>
      <c r="E43" s="358"/>
      <c r="F43" s="359"/>
      <c r="G43" s="190"/>
      <c r="H43" s="589" t="s">
        <v>50</v>
      </c>
      <c r="I43" s="590"/>
      <c r="J43" s="262">
        <f>VLOOKUP($H$25,$AA$90:$EI$101,16,FALSE)</f>
        <v>38500</v>
      </c>
      <c r="K43" s="258">
        <f t="shared" si="0"/>
        <v>3.0436722907674872E-3</v>
      </c>
      <c r="L43" s="91"/>
      <c r="M43" s="589" t="s">
        <v>95</v>
      </c>
      <c r="N43" s="590"/>
      <c r="O43" s="262">
        <f>VLOOKUP($H$25,$AA$90:$EI$101,72,FALSE)</f>
        <v>54285</v>
      </c>
      <c r="P43" s="260">
        <f t="shared" si="2"/>
        <v>4.2915779299821568E-3</v>
      </c>
      <c r="Q43" s="162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EJ43" s="113" t="s">
        <v>318</v>
      </c>
    </row>
    <row r="44" spans="2:140" ht="15" customHeight="1">
      <c r="B44" s="145"/>
      <c r="E44" s="555"/>
      <c r="H44" s="589" t="s">
        <v>51</v>
      </c>
      <c r="I44" s="590"/>
      <c r="J44" s="262">
        <f>VLOOKUP($H$25,$AA$90:$EI$101,17,FALSE)</f>
        <v>54240</v>
      </c>
      <c r="K44" s="258">
        <f t="shared" si="0"/>
        <v>4.2880203909410001E-3</v>
      </c>
      <c r="L44" s="265"/>
      <c r="M44" s="589" t="s">
        <v>96</v>
      </c>
      <c r="N44" s="590"/>
      <c r="O44" s="262">
        <f>VLOOKUP($H$25,$AA$90:$EI$101,73,FALSE)</f>
        <v>0</v>
      </c>
      <c r="P44" s="260">
        <f t="shared" si="2"/>
        <v>0</v>
      </c>
      <c r="Q44" s="162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EJ44" s="113" t="s">
        <v>319</v>
      </c>
    </row>
    <row r="45" spans="2:140" s="112" customFormat="1" ht="15" customHeight="1">
      <c r="B45" s="252"/>
      <c r="E45" s="556"/>
      <c r="H45" s="589" t="s">
        <v>52</v>
      </c>
      <c r="I45" s="590"/>
      <c r="J45" s="262">
        <f>VLOOKUP($H$25,$AA$90:$EI$101,18,FALSE)</f>
        <v>130</v>
      </c>
      <c r="K45" s="258">
        <f t="shared" si="0"/>
        <v>1.0277335007786321E-5</v>
      </c>
      <c r="L45" s="88"/>
      <c r="M45" s="589" t="s">
        <v>97</v>
      </c>
      <c r="N45" s="590"/>
      <c r="O45" s="262">
        <f>VLOOKUP($H$25,$AA$90:$EI$101,74,FALSE)</f>
        <v>12044.669999999998</v>
      </c>
      <c r="P45" s="260">
        <f t="shared" si="2"/>
        <v>9.5220852806333575E-4</v>
      </c>
      <c r="Q45" s="253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4"/>
      <c r="DL45" s="236"/>
      <c r="EJ45" s="112" t="s">
        <v>320</v>
      </c>
    </row>
    <row r="46" spans="2:140" s="112" customFormat="1" ht="15" customHeight="1">
      <c r="B46" s="252"/>
      <c r="E46" s="556"/>
      <c r="H46" s="589" t="s">
        <v>174</v>
      </c>
      <c r="I46" s="590"/>
      <c r="J46" s="262">
        <f>VLOOKUP($H$25,$AA$90:$EI$101,19,FALSE)</f>
        <v>55892</v>
      </c>
      <c r="K46" s="258">
        <f t="shared" si="0"/>
        <v>4.418621601963023E-3</v>
      </c>
      <c r="L46" s="88"/>
      <c r="M46" s="589" t="s">
        <v>192</v>
      </c>
      <c r="N46" s="590"/>
      <c r="O46" s="262">
        <f>VLOOKUP($H$25,$AA$90:$EI$101,75,FALSE)</f>
        <v>169125</v>
      </c>
      <c r="P46" s="260">
        <f t="shared" si="2"/>
        <v>1.337041756301432E-2</v>
      </c>
      <c r="Q46" s="253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4"/>
      <c r="DL46" s="236"/>
      <c r="EJ46" s="112" t="s">
        <v>210</v>
      </c>
    </row>
    <row r="47" spans="2:140" s="112" customFormat="1" ht="15" customHeight="1">
      <c r="B47" s="252"/>
      <c r="H47" s="589" t="s">
        <v>53</v>
      </c>
      <c r="I47" s="590"/>
      <c r="J47" s="262">
        <f>VLOOKUP($H$25,$AA$90:$EI$101,20,FALSE)</f>
        <v>23831.75</v>
      </c>
      <c r="K47" s="258">
        <f t="shared" si="0"/>
        <v>1.8840529120908588E-3</v>
      </c>
      <c r="L47" s="88"/>
      <c r="M47" s="589" t="s">
        <v>98</v>
      </c>
      <c r="N47" s="590"/>
      <c r="O47" s="262">
        <f>VLOOKUP($H$25,$AA$90:$EI$101,76,FALSE)</f>
        <v>0</v>
      </c>
      <c r="P47" s="260">
        <f t="shared" si="2"/>
        <v>0</v>
      </c>
      <c r="Q47" s="253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4"/>
      <c r="DL47" s="236"/>
      <c r="EJ47" s="112" t="s">
        <v>321</v>
      </c>
    </row>
    <row r="48" spans="2:140" s="112" customFormat="1" ht="15" customHeight="1">
      <c r="B48" s="252"/>
      <c r="H48" s="589" t="s">
        <v>191</v>
      </c>
      <c r="I48" s="590"/>
      <c r="J48" s="262">
        <f>VLOOKUP($H$25,$AA$90:$EI$101,21,FALSE)</f>
        <v>38911.509999999995</v>
      </c>
      <c r="K48" s="258">
        <f t="shared" si="0"/>
        <v>3.0762047994525189E-3</v>
      </c>
      <c r="L48" s="88"/>
      <c r="M48" s="589" t="s">
        <v>99</v>
      </c>
      <c r="N48" s="590"/>
      <c r="O48" s="262">
        <f>VLOOKUP($H$25,$AA$90:$EI$101,77,FALSE)</f>
        <v>73.33</v>
      </c>
      <c r="P48" s="260">
        <f t="shared" si="2"/>
        <v>5.7972075086228528E-6</v>
      </c>
      <c r="Q48" s="253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4"/>
      <c r="DL48" s="236"/>
      <c r="EJ48" s="112" t="s">
        <v>357</v>
      </c>
    </row>
    <row r="49" spans="2:140" s="112" customFormat="1" ht="15" customHeight="1">
      <c r="B49" s="252"/>
      <c r="H49" s="589" t="s">
        <v>29</v>
      </c>
      <c r="I49" s="590"/>
      <c r="J49" s="262">
        <f>VLOOKUP($H$25,$AA$90:$EI$101,22,FALSE)</f>
        <v>430</v>
      </c>
      <c r="K49" s="258">
        <f t="shared" si="0"/>
        <v>3.3994261948831678E-5</v>
      </c>
      <c r="L49" s="88"/>
      <c r="M49" s="589" t="s">
        <v>100</v>
      </c>
      <c r="N49" s="590"/>
      <c r="O49" s="262">
        <f>VLOOKUP($H$25,$AA$90:$EI$101,78,FALSE)</f>
        <v>67.47</v>
      </c>
      <c r="P49" s="260">
        <f t="shared" si="2"/>
        <v>5.3339368690411003E-6</v>
      </c>
      <c r="Q49" s="253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4"/>
      <c r="DL49" s="236"/>
      <c r="EJ49" s="464" t="s">
        <v>362</v>
      </c>
    </row>
    <row r="50" spans="2:140" s="112" customFormat="1" ht="15" customHeight="1">
      <c r="B50" s="252"/>
      <c r="H50" s="589" t="s">
        <v>54</v>
      </c>
      <c r="I50" s="590"/>
      <c r="J50" s="262">
        <f>VLOOKUP($H$25,$AA$90:$EI$101,23,FALSE)</f>
        <v>0</v>
      </c>
      <c r="K50" s="258">
        <f t="shared" si="0"/>
        <v>0</v>
      </c>
      <c r="L50" s="88"/>
      <c r="M50" s="589" t="s">
        <v>101</v>
      </c>
      <c r="N50" s="590"/>
      <c r="O50" s="262">
        <f>VLOOKUP($H$25,$AA$90:$EI$101,79,FALSE)</f>
        <v>5097.34</v>
      </c>
      <c r="P50" s="260">
        <f t="shared" si="2"/>
        <v>4.0297746791222714E-4</v>
      </c>
      <c r="Q50" s="253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4"/>
      <c r="DL50" s="236"/>
      <c r="EJ50" s="464" t="s">
        <v>361</v>
      </c>
    </row>
    <row r="51" spans="2:140" s="112" customFormat="1" ht="15" customHeight="1">
      <c r="B51" s="252"/>
      <c r="H51" s="589" t="s">
        <v>31</v>
      </c>
      <c r="I51" s="590"/>
      <c r="J51" s="262">
        <f>VLOOKUP($H$25,$AA$90:$EI$101,24,FALSE)</f>
        <v>3354</v>
      </c>
      <c r="K51" s="258">
        <f t="shared" si="0"/>
        <v>2.651552432008871E-4</v>
      </c>
      <c r="L51" s="88"/>
      <c r="M51" s="589" t="s">
        <v>102</v>
      </c>
      <c r="N51" s="590"/>
      <c r="O51" s="262">
        <f>VLOOKUP($H$25,$AA$90:$EI$101,80,FALSE)</f>
        <v>28246.190000000002</v>
      </c>
      <c r="P51" s="260">
        <f t="shared" si="2"/>
        <v>2.2330427486429534E-3</v>
      </c>
      <c r="Q51" s="253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4"/>
      <c r="DL51" s="236"/>
    </row>
    <row r="52" spans="2:140" s="112" customFormat="1" ht="15" customHeight="1">
      <c r="B52" s="252"/>
      <c r="H52" s="589" t="s">
        <v>55</v>
      </c>
      <c r="I52" s="590"/>
      <c r="J52" s="262">
        <f>VLOOKUP($H$25,$AA$90:$EI$101,25,FALSE)</f>
        <v>295</v>
      </c>
      <c r="K52" s="258">
        <f t="shared" si="0"/>
        <v>2.3321644825361268E-5</v>
      </c>
      <c r="L52" s="88"/>
      <c r="M52" s="589" t="s">
        <v>103</v>
      </c>
      <c r="N52" s="590"/>
      <c r="O52" s="262">
        <f>VLOOKUP($H$25,$AA$90:$EI$101,81,FALSE)</f>
        <v>404.52</v>
      </c>
      <c r="P52" s="260">
        <f t="shared" si="2"/>
        <v>3.1979904287305559E-5</v>
      </c>
      <c r="Q52" s="253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4"/>
      <c r="DL52" s="236"/>
    </row>
    <row r="53" spans="2:140" s="112" customFormat="1" ht="15" customHeight="1">
      <c r="B53" s="252"/>
      <c r="H53" s="589" t="s">
        <v>56</v>
      </c>
      <c r="I53" s="590"/>
      <c r="J53" s="262">
        <f>VLOOKUP($H$25,$AA$90:$EI$101,26,FALSE)</f>
        <v>1343.92</v>
      </c>
      <c r="K53" s="258">
        <f t="shared" si="0"/>
        <v>1.0624550818203226E-4</v>
      </c>
      <c r="L53" s="88"/>
      <c r="M53" s="589" t="s">
        <v>104</v>
      </c>
      <c r="N53" s="590"/>
      <c r="O53" s="262">
        <f>VLOOKUP($H$25,$AA$90:$EI$101,82,FALSE)</f>
        <v>11318.100000000004</v>
      </c>
      <c r="P53" s="260">
        <f t="shared" si="2"/>
        <v>8.9476850270481841E-4</v>
      </c>
      <c r="Q53" s="253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4"/>
      <c r="DL53" s="236"/>
    </row>
    <row r="54" spans="2:140" s="112" customFormat="1" ht="15" customHeight="1">
      <c r="B54" s="252"/>
      <c r="H54" s="589" t="s">
        <v>57</v>
      </c>
      <c r="I54" s="590"/>
      <c r="J54" s="262">
        <f>VLOOKUP($H$25,$AA$90:$EI$101,27,FALSE)</f>
        <v>0</v>
      </c>
      <c r="K54" s="258">
        <f t="shared" si="0"/>
        <v>0</v>
      </c>
      <c r="L54" s="88"/>
      <c r="M54" s="589" t="s">
        <v>105</v>
      </c>
      <c r="N54" s="590"/>
      <c r="O54" s="262">
        <f>VLOOKUP($H$25,$AA$90:$EI$101,83,FALSE)</f>
        <v>18147.88</v>
      </c>
      <c r="P54" s="260">
        <f t="shared" si="2"/>
        <v>1.4347064803161942E-3</v>
      </c>
      <c r="Q54" s="253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4"/>
      <c r="DL54" s="236"/>
    </row>
    <row r="55" spans="2:140" s="112" customFormat="1" ht="15" customHeight="1">
      <c r="B55" s="252"/>
      <c r="H55" s="589" t="s">
        <v>58</v>
      </c>
      <c r="I55" s="590"/>
      <c r="J55" s="262">
        <f>VLOOKUP($H$25,$AA$90:$EI$101,28,FALSE)</f>
        <v>8285</v>
      </c>
      <c r="K55" s="258">
        <f t="shared" si="0"/>
        <v>6.5498246568853594E-4</v>
      </c>
      <c r="L55" s="88"/>
      <c r="M55" s="589" t="s">
        <v>106</v>
      </c>
      <c r="N55" s="590"/>
      <c r="O55" s="262">
        <f>VLOOKUP($H$25,$AA$90:$EI$101,84,FALSE)</f>
        <v>0</v>
      </c>
      <c r="P55" s="260">
        <f t="shared" si="2"/>
        <v>0</v>
      </c>
      <c r="Q55" s="253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4"/>
      <c r="DL55" s="236"/>
    </row>
    <row r="56" spans="2:140" s="112" customFormat="1" ht="15" customHeight="1">
      <c r="B56" s="252"/>
      <c r="H56" s="589" t="s">
        <v>59</v>
      </c>
      <c r="I56" s="590"/>
      <c r="J56" s="262">
        <f>VLOOKUP($H$25,$AA$90:$EI$101,29,FALSE)</f>
        <v>570</v>
      </c>
      <c r="K56" s="258">
        <f t="shared" si="0"/>
        <v>4.506216118798618E-5</v>
      </c>
      <c r="L56" s="88"/>
      <c r="M56" s="589" t="s">
        <v>107</v>
      </c>
      <c r="N56" s="590"/>
      <c r="O56" s="262">
        <f>VLOOKUP($H$25,$AA$90:$EI$101,85,FALSE)</f>
        <v>0</v>
      </c>
      <c r="P56" s="260">
        <f t="shared" si="2"/>
        <v>0</v>
      </c>
      <c r="Q56" s="253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4"/>
      <c r="DL56" s="236"/>
    </row>
    <row r="57" spans="2:140" s="112" customFormat="1" ht="15" customHeight="1">
      <c r="B57" s="252"/>
      <c r="H57" s="589" t="s">
        <v>60</v>
      </c>
      <c r="I57" s="590"/>
      <c r="J57" s="262">
        <f>VLOOKUP($H$25,$AA$90:$EI$101,30,FALSE)</f>
        <v>20</v>
      </c>
      <c r="K57" s="258">
        <f t="shared" si="0"/>
        <v>1.581128462736357E-6</v>
      </c>
      <c r="L57" s="88"/>
      <c r="M57" s="589" t="s">
        <v>108</v>
      </c>
      <c r="N57" s="590"/>
      <c r="O57" s="262">
        <f>VLOOKUP($H$25,$AA$90:$EI$101,86,FALSE)</f>
        <v>138781.04999999999</v>
      </c>
      <c r="P57" s="260">
        <f t="shared" si="2"/>
        <v>1.0971533412171875E-2</v>
      </c>
      <c r="Q57" s="253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4"/>
      <c r="DL57" s="236"/>
    </row>
    <row r="58" spans="2:140" s="112" customFormat="1" ht="15" customHeight="1">
      <c r="B58" s="252"/>
      <c r="F58" s="404"/>
      <c r="H58" s="589" t="s">
        <v>61</v>
      </c>
      <c r="I58" s="590"/>
      <c r="J58" s="262">
        <f>VLOOKUP($H$25,$AA$90:$EI$101,31,FALSE)</f>
        <v>46835</v>
      </c>
      <c r="K58" s="258">
        <f t="shared" si="0"/>
        <v>3.7026075776128643E-3</v>
      </c>
      <c r="L58" s="88"/>
      <c r="M58" s="589" t="s">
        <v>109</v>
      </c>
      <c r="N58" s="590"/>
      <c r="O58" s="262">
        <f>VLOOKUP($H$25,$AA$90:$EI$101,87,FALSE)</f>
        <v>0</v>
      </c>
      <c r="P58" s="260">
        <f t="shared" si="2"/>
        <v>0</v>
      </c>
      <c r="Q58" s="253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4"/>
      <c r="DL58" s="236"/>
    </row>
    <row r="59" spans="2:140" s="112" customFormat="1" ht="15" customHeight="1">
      <c r="B59" s="252"/>
      <c r="F59" s="405"/>
      <c r="H59" s="589" t="s">
        <v>62</v>
      </c>
      <c r="I59" s="590"/>
      <c r="J59" s="262">
        <f>VLOOKUP($H$25,$AA$90:$EI$101,32,FALSE)</f>
        <v>31735</v>
      </c>
      <c r="K59" s="258">
        <f t="shared" si="0"/>
        <v>2.5088555882469147E-3</v>
      </c>
      <c r="L59" s="88"/>
      <c r="M59" s="589" t="s">
        <v>110</v>
      </c>
      <c r="N59" s="590"/>
      <c r="O59" s="262">
        <f>VLOOKUP($H$25,$AA$90:$EI$101,88,FALSE)</f>
        <v>166.66</v>
      </c>
      <c r="P59" s="260">
        <f t="shared" si="2"/>
        <v>1.3175543479982064E-5</v>
      </c>
      <c r="Q59" s="253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4"/>
      <c r="DL59" s="236"/>
    </row>
    <row r="60" spans="2:140" s="112" customFormat="1" ht="15" customHeight="1">
      <c r="B60" s="252"/>
      <c r="H60" s="589" t="s">
        <v>63</v>
      </c>
      <c r="I60" s="590"/>
      <c r="J60" s="262">
        <f>VLOOKUP($H$25,$AA$90:$EI$101,33,FALSE)</f>
        <v>108</v>
      </c>
      <c r="K60" s="258">
        <f t="shared" si="0"/>
        <v>8.538093698776328E-6</v>
      </c>
      <c r="L60" s="88"/>
      <c r="M60" s="589" t="s">
        <v>112</v>
      </c>
      <c r="N60" s="590"/>
      <c r="O60" s="262">
        <f>VLOOKUP($H$25,$AA$90:$EI$101,89,FALSE)</f>
        <v>13241.24</v>
      </c>
      <c r="P60" s="260">
        <f t="shared" si="2"/>
        <v>1.046805072296158E-3</v>
      </c>
      <c r="Q60" s="253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4"/>
      <c r="DL60" s="236"/>
    </row>
    <row r="61" spans="2:140" s="112" customFormat="1" ht="15" customHeight="1">
      <c r="B61" s="252"/>
      <c r="H61" s="589" t="s">
        <v>64</v>
      </c>
      <c r="I61" s="590"/>
      <c r="J61" s="262">
        <f>VLOOKUP($H$25,$AA$90:$EI$101,34,FALSE)</f>
        <v>265200</v>
      </c>
      <c r="K61" s="258">
        <f t="shared" si="0"/>
        <v>2.0965763415884093E-2</v>
      </c>
      <c r="L61" s="88"/>
      <c r="M61" s="589" t="s">
        <v>113</v>
      </c>
      <c r="N61" s="590"/>
      <c r="O61" s="262">
        <f>VLOOKUP($H$25,$AA$90:$EI$101,90,FALSE)</f>
        <v>124316.57</v>
      </c>
      <c r="P61" s="260">
        <f t="shared" si="2"/>
        <v>9.828023360837837E-3</v>
      </c>
      <c r="Q61" s="253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4"/>
      <c r="DL61" s="236"/>
    </row>
    <row r="62" spans="2:140" s="112" customFormat="1" ht="15" customHeight="1">
      <c r="B62" s="252"/>
      <c r="H62" s="589" t="s">
        <v>28</v>
      </c>
      <c r="I62" s="590"/>
      <c r="J62" s="262">
        <f>VLOOKUP($H$25,$AA$90:$EI$101,35,FALSE)</f>
        <v>7641</v>
      </c>
      <c r="K62" s="258">
        <f t="shared" si="0"/>
        <v>6.0407012918842521E-4</v>
      </c>
      <c r="L62" s="88"/>
      <c r="M62" s="589" t="s">
        <v>137</v>
      </c>
      <c r="N62" s="590"/>
      <c r="O62" s="262">
        <f>VLOOKUP($H$25,$AA$90:$EI$101,91,FALSE)</f>
        <v>53192</v>
      </c>
      <c r="P62" s="260">
        <f t="shared" si="2"/>
        <v>4.2051692594936149E-3</v>
      </c>
      <c r="Q62" s="253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4"/>
      <c r="DL62" s="236"/>
    </row>
    <row r="63" spans="2:140" s="112" customFormat="1" ht="15" customHeight="1">
      <c r="B63" s="252"/>
      <c r="H63" s="589" t="s">
        <v>157</v>
      </c>
      <c r="I63" s="590"/>
      <c r="J63" s="262">
        <f>VLOOKUP($H$25,$AA$90:$EI$101,36,FALSE)</f>
        <v>1730.74</v>
      </c>
      <c r="K63" s="258">
        <f t="shared" si="0"/>
        <v>1.3682611377981613E-4</v>
      </c>
      <c r="L63" s="88"/>
      <c r="M63" s="589" t="s">
        <v>140</v>
      </c>
      <c r="N63" s="590"/>
      <c r="O63" s="262">
        <f>VLOOKUP($H$25,$AA$90:$EI$101,92,FALSE)</f>
        <v>5114</v>
      </c>
      <c r="P63" s="260">
        <f t="shared" si="2"/>
        <v>4.0429454792168651E-4</v>
      </c>
      <c r="Q63" s="253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4"/>
      <c r="DL63" s="236"/>
    </row>
    <row r="64" spans="2:140" s="112" customFormat="1" ht="15" customHeight="1">
      <c r="B64" s="252"/>
      <c r="H64" s="589" t="s">
        <v>65</v>
      </c>
      <c r="I64" s="590"/>
      <c r="J64" s="262">
        <f>VLOOKUP($H$25,$AA$90:$EI$101,37,FALSE)</f>
        <v>8000</v>
      </c>
      <c r="K64" s="258">
        <f t="shared" si="0"/>
        <v>6.3245138509454286E-4</v>
      </c>
      <c r="L64" s="88"/>
      <c r="M64" s="589" t="s">
        <v>141</v>
      </c>
      <c r="N64" s="590"/>
      <c r="O64" s="262">
        <f>VLOOKUP($H$25,$AA$90:$EI$101,93,FALSE)</f>
        <v>0</v>
      </c>
      <c r="P64" s="260">
        <f t="shared" si="2"/>
        <v>0</v>
      </c>
      <c r="Q64" s="253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4"/>
      <c r="DL64" s="236"/>
    </row>
    <row r="65" spans="2:116" s="112" customFormat="1" ht="15" customHeight="1">
      <c r="B65" s="252"/>
      <c r="H65" s="589" t="s">
        <v>66</v>
      </c>
      <c r="I65" s="590"/>
      <c r="J65" s="262">
        <f>VLOOKUP($H$25,$AA$90:$EI$101,38,FALSE)</f>
        <v>0</v>
      </c>
      <c r="K65" s="258">
        <f t="shared" si="0"/>
        <v>0</v>
      </c>
      <c r="L65" s="88"/>
      <c r="M65" s="589" t="s">
        <v>193</v>
      </c>
      <c r="N65" s="590"/>
      <c r="O65" s="262">
        <f>VLOOKUP($H$25,$AA$90:$EI$101,94,FALSE)</f>
        <v>500</v>
      </c>
      <c r="P65" s="260">
        <f t="shared" si="2"/>
        <v>3.9528211568408929E-5</v>
      </c>
      <c r="Q65" s="253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4"/>
      <c r="DL65" s="236"/>
    </row>
    <row r="66" spans="2:116" s="112" customFormat="1" ht="15" customHeight="1">
      <c r="B66" s="252"/>
      <c r="H66" s="589" t="s">
        <v>30</v>
      </c>
      <c r="I66" s="590"/>
      <c r="J66" s="262">
        <f>VLOOKUP($H$25,$AA$90:$EI$101,39,FALSE)</f>
        <v>133474.59999999998</v>
      </c>
      <c r="K66" s="258">
        <f t="shared" si="0"/>
        <v>1.0552024455617506E-2</v>
      </c>
      <c r="L66" s="88"/>
      <c r="M66" s="589" t="s">
        <v>148</v>
      </c>
      <c r="N66" s="590"/>
      <c r="O66" s="262">
        <f>VLOOKUP($H$25,$AA$90:$EI$101,95,FALSE)</f>
        <v>2960</v>
      </c>
      <c r="P66" s="260">
        <f t="shared" si="2"/>
        <v>2.3400701248498085E-4</v>
      </c>
      <c r="Q66" s="253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  <c r="AT66" s="155"/>
      <c r="AU66" s="154"/>
      <c r="DL66" s="236"/>
    </row>
    <row r="67" spans="2:116" s="112" customFormat="1" ht="15" customHeight="1">
      <c r="B67" s="252"/>
      <c r="H67" s="589" t="s">
        <v>67</v>
      </c>
      <c r="I67" s="590"/>
      <c r="J67" s="262">
        <f>VLOOKUP($H$25,$AA$90:$EI$101,40,FALSE)</f>
        <v>181926</v>
      </c>
      <c r="K67" s="258">
        <f t="shared" si="0"/>
        <v>1.4382418835588724E-2</v>
      </c>
      <c r="L67" s="88"/>
      <c r="M67" s="589" t="s">
        <v>186</v>
      </c>
      <c r="N67" s="590"/>
      <c r="O67" s="262">
        <f>VLOOKUP($H$25,$AA$90:$EI$101,96,FALSE)</f>
        <v>0</v>
      </c>
      <c r="P67" s="260">
        <f t="shared" si="2"/>
        <v>0</v>
      </c>
      <c r="Q67" s="253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4"/>
      <c r="DL67" s="236"/>
    </row>
    <row r="68" spans="2:116" s="112" customFormat="1" ht="15" customHeight="1">
      <c r="B68" s="252"/>
      <c r="H68" s="589" t="s">
        <v>111</v>
      </c>
      <c r="I68" s="590"/>
      <c r="J68" s="262">
        <f>VLOOKUP($H$25,$AA$90:$EI$101,41,FALSE)</f>
        <v>3700</v>
      </c>
      <c r="K68" s="258">
        <f t="shared" si="0"/>
        <v>2.9250876560622607E-4</v>
      </c>
      <c r="L68" s="88"/>
      <c r="M68" s="589" t="s">
        <v>171</v>
      </c>
      <c r="N68" s="590"/>
      <c r="O68" s="262">
        <f>VLOOKUP($H$25,$AA$90:$EI$101,97,FALSE)</f>
        <v>0</v>
      </c>
      <c r="P68" s="260">
        <f t="shared" si="2"/>
        <v>0</v>
      </c>
      <c r="Q68" s="253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4"/>
      <c r="DL68" s="236"/>
    </row>
    <row r="69" spans="2:116" s="112" customFormat="1" ht="15" customHeight="1">
      <c r="B69" s="252"/>
      <c r="H69" s="589" t="s">
        <v>68</v>
      </c>
      <c r="I69" s="590"/>
      <c r="J69" s="262">
        <f>VLOOKUP($H$25,$AA$90:$EI$101,42,FALSE)</f>
        <v>0</v>
      </c>
      <c r="K69" s="258">
        <f t="shared" si="0"/>
        <v>0</v>
      </c>
      <c r="L69" s="88"/>
      <c r="M69" s="589" t="s">
        <v>180</v>
      </c>
      <c r="N69" s="590"/>
      <c r="O69" s="262">
        <f>VLOOKUP($H$25,$AA$90:$EI$101,98,FALSE)</f>
        <v>0</v>
      </c>
      <c r="P69" s="260">
        <f t="shared" si="2"/>
        <v>0</v>
      </c>
      <c r="Q69" s="253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4"/>
      <c r="DL69" s="236"/>
    </row>
    <row r="70" spans="2:116" s="112" customFormat="1" ht="15" customHeight="1">
      <c r="B70" s="252"/>
      <c r="H70" s="589" t="s">
        <v>69</v>
      </c>
      <c r="I70" s="590"/>
      <c r="J70" s="262">
        <f>VLOOKUP($H$25,$AA$90:$EI$101,43,FALSE)</f>
        <v>0</v>
      </c>
      <c r="K70" s="258">
        <f t="shared" si="0"/>
        <v>0</v>
      </c>
      <c r="L70" s="88"/>
      <c r="M70" s="589" t="s">
        <v>183</v>
      </c>
      <c r="N70" s="590"/>
      <c r="O70" s="262">
        <f>VLOOKUP($H$25,$AA$90:$EI$101,99,FALSE)</f>
        <v>58314.999999999993</v>
      </c>
      <c r="P70" s="260">
        <f t="shared" si="2"/>
        <v>4.6101753152235324E-3</v>
      </c>
      <c r="Q70" s="253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4"/>
      <c r="DL70" s="236"/>
    </row>
    <row r="71" spans="2:116" s="112" customFormat="1" ht="15" customHeight="1">
      <c r="B71" s="252"/>
      <c r="H71" s="589" t="s">
        <v>70</v>
      </c>
      <c r="I71" s="590"/>
      <c r="J71" s="262">
        <f>VLOOKUP($H$25,$AA$90:$EI$101,44,FALSE)</f>
        <v>4385</v>
      </c>
      <c r="K71" s="258">
        <f t="shared" si="0"/>
        <v>3.4666241545494629E-4</v>
      </c>
      <c r="L71" s="88"/>
      <c r="M71" s="589" t="s">
        <v>195</v>
      </c>
      <c r="N71" s="590"/>
      <c r="O71" s="262">
        <f>VLOOKUP($H$25,$AA$90:$EI$101,100,FALSE)</f>
        <v>13038.16</v>
      </c>
      <c r="P71" s="260">
        <f t="shared" si="2"/>
        <v>1.0307502938855331E-3</v>
      </c>
      <c r="Q71" s="253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4"/>
      <c r="DL71" s="236"/>
    </row>
    <row r="72" spans="2:116" s="112" customFormat="1" ht="15" customHeight="1">
      <c r="B72" s="252"/>
      <c r="H72" s="589" t="s">
        <v>71</v>
      </c>
      <c r="I72" s="590"/>
      <c r="J72" s="262">
        <f>VLOOKUP($H$25,$AA$90:$EI$101,45,FALSE)</f>
        <v>0</v>
      </c>
      <c r="K72" s="258">
        <f t="shared" si="0"/>
        <v>0</v>
      </c>
      <c r="L72" s="88"/>
      <c r="M72" s="589" t="s">
        <v>189</v>
      </c>
      <c r="N72" s="590"/>
      <c r="O72" s="262">
        <f>VLOOKUP($H$25,$AA$90:$EI$101,101,FALSE)</f>
        <v>9610.09</v>
      </c>
      <c r="P72" s="260">
        <f t="shared" si="2"/>
        <v>7.5973934142290194E-4</v>
      </c>
      <c r="Q72" s="253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  <c r="AT72" s="155"/>
      <c r="AU72" s="154"/>
      <c r="DL72" s="236"/>
    </row>
    <row r="73" spans="2:116" s="112" customFormat="1" ht="15" customHeight="1">
      <c r="B73" s="252"/>
      <c r="H73" s="589" t="s">
        <v>159</v>
      </c>
      <c r="I73" s="590"/>
      <c r="J73" s="262">
        <f>VLOOKUP($H$25,$AA$90:$EI$101,46,FALSE)</f>
        <v>26400</v>
      </c>
      <c r="K73" s="258">
        <f t="shared" si="0"/>
        <v>2.0870895708119913E-3</v>
      </c>
      <c r="L73" s="88"/>
      <c r="M73" s="589" t="s">
        <v>188</v>
      </c>
      <c r="N73" s="590"/>
      <c r="O73" s="262">
        <f>VLOOKUP($H$25,$AA$90:$EI$101,102,FALSE)</f>
        <v>10952.1</v>
      </c>
      <c r="P73" s="260">
        <f t="shared" si="2"/>
        <v>8.6583385183674284E-4</v>
      </c>
      <c r="Q73" s="253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  <c r="AT73" s="155"/>
      <c r="AU73" s="154"/>
      <c r="DL73" s="236"/>
    </row>
    <row r="74" spans="2:116" s="112" customFormat="1" ht="15" customHeight="1">
      <c r="B74" s="252"/>
      <c r="H74" s="589" t="s">
        <v>72</v>
      </c>
      <c r="I74" s="590"/>
      <c r="J74" s="262">
        <f>VLOOKUP($H$25,$AA$90:$EI$101,47,FALSE)</f>
        <v>6000</v>
      </c>
      <c r="K74" s="258">
        <f t="shared" si="0"/>
        <v>4.7433853882090709E-4</v>
      </c>
      <c r="L74" s="88"/>
      <c r="M74" s="589" t="s">
        <v>196</v>
      </c>
      <c r="N74" s="590"/>
      <c r="O74" s="262">
        <f>VLOOKUP($H$25,$AA$90:$EI$101,103,FALSE)</f>
        <v>36281.33</v>
      </c>
      <c r="P74" s="260">
        <f t="shared" si="2"/>
        <v>2.8682721764465239E-3</v>
      </c>
      <c r="Q74" s="253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4"/>
      <c r="DL74" s="236"/>
    </row>
    <row r="75" spans="2:116" s="112" customFormat="1" ht="15" customHeight="1">
      <c r="B75" s="252"/>
      <c r="H75" s="589" t="s">
        <v>73</v>
      </c>
      <c r="I75" s="590"/>
      <c r="J75" s="262">
        <f>VLOOKUP($H$25,$AA$90:$EI$101,48,FALSE)</f>
        <v>0</v>
      </c>
      <c r="K75" s="258">
        <f t="shared" si="0"/>
        <v>0</v>
      </c>
      <c r="L75" s="88"/>
      <c r="M75" s="589" t="s">
        <v>197</v>
      </c>
      <c r="N75" s="590"/>
      <c r="O75" s="262">
        <f>VLOOKUP($H$25,$AA$90:$EI$101,104,FALSE)</f>
        <v>216471.7</v>
      </c>
      <c r="P75" s="260">
        <f t="shared" si="2"/>
        <v>1.7113478312346293E-2</v>
      </c>
      <c r="Q75" s="253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  <c r="AT75" s="155"/>
      <c r="AU75" s="154"/>
      <c r="DL75" s="236"/>
    </row>
    <row r="76" spans="2:116" s="112" customFormat="1" ht="15" customHeight="1">
      <c r="B76" s="252"/>
      <c r="H76" s="589" t="s">
        <v>74</v>
      </c>
      <c r="I76" s="590"/>
      <c r="J76" s="262">
        <f>VLOOKUP($H$25,$AA$90:$EI$101,49,FALSE)</f>
        <v>0</v>
      </c>
      <c r="K76" s="258">
        <f t="shared" si="0"/>
        <v>0</v>
      </c>
      <c r="L76" s="88"/>
      <c r="M76" s="589" t="s">
        <v>198</v>
      </c>
      <c r="N76" s="590"/>
      <c r="O76" s="262">
        <f>VLOOKUP($H$25,$AA$90:$EI$101,105,FALSE)</f>
        <v>18073.64</v>
      </c>
      <c r="P76" s="260">
        <f t="shared" si="2"/>
        <v>1.4288373314625166E-3</v>
      </c>
      <c r="Q76" s="253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4"/>
      <c r="DL76" s="236"/>
    </row>
    <row r="77" spans="2:116" s="112" customFormat="1" ht="15" customHeight="1">
      <c r="B77" s="252"/>
      <c r="H77" s="589" t="s">
        <v>246</v>
      </c>
      <c r="I77" s="590"/>
      <c r="J77" s="262">
        <f>VLOOKUP($H$25,$AA$90:$EI$101,50,FALSE)</f>
        <v>2335</v>
      </c>
      <c r="K77" s="258">
        <f t="shared" si="0"/>
        <v>1.8459674802446968E-4</v>
      </c>
      <c r="L77" s="88"/>
      <c r="M77" s="589" t="s">
        <v>201</v>
      </c>
      <c r="N77" s="590"/>
      <c r="O77" s="262">
        <f>VLOOKUP($H$25,$AA$90:$EI$101,106,FALSE)</f>
        <v>12115.46</v>
      </c>
      <c r="P77" s="260">
        <f t="shared" si="2"/>
        <v>9.5780493225719118E-4</v>
      </c>
      <c r="Q77" s="253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4"/>
      <c r="DL77" s="236"/>
    </row>
    <row r="78" spans="2:116" s="112" customFormat="1" ht="15" customHeight="1">
      <c r="B78" s="252"/>
      <c r="H78" s="589" t="s">
        <v>75</v>
      </c>
      <c r="I78" s="590"/>
      <c r="J78" s="262">
        <f>VLOOKUP($H$25,$AA$90:$EI$101,51,FALSE)</f>
        <v>0</v>
      </c>
      <c r="K78" s="258">
        <f t="shared" si="0"/>
        <v>0</v>
      </c>
      <c r="L78" s="88"/>
      <c r="M78" s="589" t="s">
        <v>202</v>
      </c>
      <c r="N78" s="590"/>
      <c r="O78" s="262">
        <f>VLOOKUP($H$25,$AA$90:$EI$101,107,FALSE)</f>
        <v>17795.78</v>
      </c>
      <c r="P78" s="260">
        <f t="shared" si="2"/>
        <v>1.4068707137297202E-3</v>
      </c>
      <c r="Q78" s="253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4"/>
      <c r="DL78" s="236"/>
    </row>
    <row r="79" spans="2:116" s="112" customFormat="1" ht="15" customHeight="1">
      <c r="B79" s="252"/>
      <c r="H79" s="589" t="s">
        <v>76</v>
      </c>
      <c r="I79" s="590"/>
      <c r="J79" s="262">
        <f>VLOOKUP($H$25,$AA$90:$EI$101,52,FALSE)</f>
        <v>0</v>
      </c>
      <c r="K79" s="258">
        <f t="shared" si="0"/>
        <v>0</v>
      </c>
      <c r="L79" s="88"/>
      <c r="M79" s="589" t="s">
        <v>206</v>
      </c>
      <c r="N79" s="590"/>
      <c r="O79" s="262">
        <f>VLOOKUP($H$25,$AA$90:$EI$101,108,FALSE)</f>
        <v>12786.24</v>
      </c>
      <c r="P79" s="260">
        <f t="shared" si="2"/>
        <v>1.0108343997689059E-3</v>
      </c>
      <c r="Q79" s="253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4"/>
      <c r="DL79" s="236"/>
    </row>
    <row r="80" spans="2:116" s="112" customFormat="1" ht="15" customHeight="1">
      <c r="B80" s="252"/>
      <c r="H80" s="589" t="s">
        <v>77</v>
      </c>
      <c r="I80" s="590"/>
      <c r="J80" s="262">
        <f>VLOOKUP($H$25,$AA$90:$EI$101,53,FALSE)</f>
        <v>0</v>
      </c>
      <c r="K80" s="258">
        <f t="shared" si="0"/>
        <v>0</v>
      </c>
      <c r="L80" s="88"/>
      <c r="M80" s="589" t="s">
        <v>207</v>
      </c>
      <c r="N80" s="590"/>
      <c r="O80" s="262">
        <f>VLOOKUP($H$25,$AA$90:$EI$101,109,FALSE)</f>
        <v>33150</v>
      </c>
      <c r="P80" s="260">
        <f t="shared" si="2"/>
        <v>2.6207204269855116E-3</v>
      </c>
      <c r="Q80" s="253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  <c r="AT80" s="155"/>
      <c r="AU80" s="154"/>
      <c r="DL80" s="236"/>
    </row>
    <row r="81" spans="2:142" s="112" customFormat="1" ht="15" customHeight="1">
      <c r="B81" s="252"/>
      <c r="H81" s="589" t="s">
        <v>78</v>
      </c>
      <c r="I81" s="590"/>
      <c r="J81" s="262">
        <f>VLOOKUP($H$25,$AA$90:$EI$101,54,FALSE)</f>
        <v>0</v>
      </c>
      <c r="K81" s="258">
        <f t="shared" si="0"/>
        <v>0</v>
      </c>
      <c r="L81" s="88"/>
      <c r="M81" s="589" t="s">
        <v>208</v>
      </c>
      <c r="N81" s="590"/>
      <c r="O81" s="262">
        <f>VLOOKUP($H$25,$AA$90:$EI$101,110,FALSE)</f>
        <v>19338.2</v>
      </c>
      <c r="P81" s="260">
        <f t="shared" si="2"/>
        <v>1.5288089219044111E-3</v>
      </c>
      <c r="Q81" s="253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  <c r="AT81" s="155"/>
      <c r="AU81" s="154"/>
      <c r="DL81" s="236"/>
    </row>
    <row r="82" spans="2:142" s="112" customFormat="1" ht="15" customHeight="1">
      <c r="B82" s="252"/>
      <c r="H82" s="589" t="s">
        <v>79</v>
      </c>
      <c r="I82" s="590"/>
      <c r="J82" s="262">
        <f>VLOOKUP($H$25,$AA$90:$EI$101,55,FALSE)</f>
        <v>0</v>
      </c>
      <c r="K82" s="258">
        <f t="shared" si="0"/>
        <v>0</v>
      </c>
      <c r="L82" s="88"/>
      <c r="M82" s="589" t="s">
        <v>236</v>
      </c>
      <c r="N82" s="590"/>
      <c r="O82" s="262">
        <f>VLOOKUP($H$25,$AA$90:$EI$101,111,FALSE)</f>
        <v>17558.96</v>
      </c>
      <c r="P82" s="260">
        <f t="shared" si="2"/>
        <v>1.3881485716024592E-3</v>
      </c>
      <c r="Q82" s="253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4"/>
      <c r="DL82" s="236"/>
    </row>
    <row r="83" spans="2:142" s="112" customFormat="1" ht="15" customHeight="1">
      <c r="B83" s="252"/>
      <c r="H83" s="589" t="s">
        <v>80</v>
      </c>
      <c r="I83" s="590"/>
      <c r="J83" s="262">
        <f>VLOOKUP($H$25,$AA$90:$EI$101,56,FALSE)</f>
        <v>0</v>
      </c>
      <c r="K83" s="258">
        <f t="shared" si="0"/>
        <v>0</v>
      </c>
      <c r="L83" s="88"/>
      <c r="M83" s="589" t="s">
        <v>209</v>
      </c>
      <c r="N83" s="590"/>
      <c r="O83" s="262">
        <f>VLOOKUP($H$25,$AA$90:$EI$101,112,FALSE)</f>
        <v>11470</v>
      </c>
      <c r="P83" s="260">
        <f t="shared" si="2"/>
        <v>9.0677717337930082E-4</v>
      </c>
      <c r="Q83" s="253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4"/>
      <c r="DL83" s="236"/>
    </row>
    <row r="84" spans="2:142" s="112" customFormat="1" ht="15" customHeight="1">
      <c r="B84" s="252"/>
      <c r="H84" s="589" t="s">
        <v>81</v>
      </c>
      <c r="I84" s="590"/>
      <c r="J84" s="262">
        <f>VLOOKUP($H$25,$AA$90:$EI$101,57,FALSE)</f>
        <v>0</v>
      </c>
      <c r="K84" s="259">
        <f t="shared" si="0"/>
        <v>0</v>
      </c>
      <c r="L84" s="266"/>
      <c r="M84" s="589" t="s">
        <v>360</v>
      </c>
      <c r="N84" s="590"/>
      <c r="O84" s="262">
        <f>VLOOKUP($H$25,$AA$90:$EJ$101,113,FALSE)</f>
        <v>2803080.6300000004</v>
      </c>
      <c r="P84" s="261">
        <f t="shared" si="2"/>
        <v>0.221601528371898</v>
      </c>
      <c r="Q84" s="253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4"/>
      <c r="DL84" s="236"/>
    </row>
    <row r="85" spans="2:142" s="112" customFormat="1" ht="14.4">
      <c r="B85" s="252"/>
      <c r="H85" s="589" t="s">
        <v>392</v>
      </c>
      <c r="I85" s="590"/>
      <c r="J85" s="262">
        <f>VLOOKUP($H$25,$AA$90:$EW$101,115,FALSE)</f>
        <v>665695.34000000008</v>
      </c>
      <c r="K85" s="259">
        <f>J85/$E$36</f>
        <v>5.2627492479247834E-2</v>
      </c>
      <c r="L85" s="266"/>
      <c r="M85" s="589" t="s">
        <v>390</v>
      </c>
      <c r="N85" s="590"/>
      <c r="O85" s="262">
        <f>VLOOKUP($H$25,$AA$90:$EJ$101,114,FALSE)</f>
        <v>0</v>
      </c>
      <c r="P85" s="261">
        <f t="shared" si="2"/>
        <v>0</v>
      </c>
      <c r="Q85" s="253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  <c r="AT85" s="155"/>
      <c r="AU85" s="154"/>
      <c r="DL85" s="236"/>
    </row>
    <row r="86" spans="2:142" s="112" customFormat="1" ht="14.4">
      <c r="B86" s="252"/>
      <c r="H86" s="589" t="s">
        <v>400</v>
      </c>
      <c r="I86" s="590"/>
      <c r="J86" s="262">
        <f>VLOOKUP($H$25,$AA$90:$EL$101,116,FALSE)</f>
        <v>92000</v>
      </c>
      <c r="K86" s="259">
        <f>J86/$E$36</f>
        <v>7.2731909285872424E-3</v>
      </c>
      <c r="L86" s="266"/>
      <c r="M86" s="589"/>
      <c r="N86" s="590"/>
      <c r="O86" s="262"/>
      <c r="P86" s="261"/>
      <c r="Q86" s="253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  <c r="AT86" s="155"/>
      <c r="AU86" s="154"/>
      <c r="DL86" s="236"/>
    </row>
    <row r="87" spans="2:142" s="112" customFormat="1">
      <c r="B87" s="252"/>
      <c r="O87" s="591">
        <f>SUM(O29:O86)+SUM(J29:J86)</f>
        <v>12649193.579999998</v>
      </c>
      <c r="P87" s="592"/>
      <c r="Q87" s="256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  <c r="AT87" s="155"/>
      <c r="AU87" s="154"/>
      <c r="DL87" s="236"/>
    </row>
    <row r="88" spans="2:142" s="112" customFormat="1" ht="13.8">
      <c r="B88" s="254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593"/>
      <c r="P88" s="593"/>
      <c r="AA88" s="155"/>
      <c r="AB88" s="257">
        <v>2</v>
      </c>
      <c r="AC88" s="257">
        <v>3</v>
      </c>
      <c r="AD88" s="257">
        <v>4</v>
      </c>
      <c r="AE88" s="257">
        <v>5</v>
      </c>
      <c r="AF88" s="257">
        <v>6</v>
      </c>
      <c r="AG88" s="257">
        <v>7</v>
      </c>
      <c r="AH88" s="257">
        <v>8</v>
      </c>
      <c r="AI88" s="257">
        <v>9</v>
      </c>
      <c r="AJ88" s="257">
        <v>10</v>
      </c>
      <c r="AK88" s="257">
        <v>11</v>
      </c>
      <c r="AL88" s="257">
        <v>12</v>
      </c>
      <c r="AM88" s="257">
        <v>13</v>
      </c>
      <c r="AN88" s="257">
        <v>14</v>
      </c>
      <c r="AO88" s="257">
        <v>15</v>
      </c>
      <c r="AP88" s="257">
        <v>16</v>
      </c>
      <c r="AQ88" s="257">
        <v>17</v>
      </c>
      <c r="AR88" s="257">
        <v>18</v>
      </c>
      <c r="AS88" s="257">
        <v>19</v>
      </c>
      <c r="AT88" s="257">
        <v>20</v>
      </c>
      <c r="AU88" s="257">
        <v>21</v>
      </c>
      <c r="AV88" s="257">
        <v>22</v>
      </c>
      <c r="AW88" s="257">
        <v>23</v>
      </c>
      <c r="AX88" s="257">
        <v>24</v>
      </c>
      <c r="AY88" s="257">
        <v>25</v>
      </c>
      <c r="AZ88" s="257">
        <v>26</v>
      </c>
      <c r="BA88" s="257">
        <v>27</v>
      </c>
      <c r="BB88" s="257">
        <v>28</v>
      </c>
      <c r="BC88" s="257">
        <v>29</v>
      </c>
      <c r="BD88" s="257">
        <v>30</v>
      </c>
      <c r="BE88" s="257">
        <v>31</v>
      </c>
      <c r="BF88" s="257">
        <v>32</v>
      </c>
      <c r="BG88" s="257">
        <v>33</v>
      </c>
      <c r="BH88" s="257">
        <v>34</v>
      </c>
      <c r="BI88" s="257">
        <v>35</v>
      </c>
      <c r="BJ88" s="257">
        <v>36</v>
      </c>
      <c r="BK88" s="257">
        <v>37</v>
      </c>
      <c r="BL88" s="257">
        <v>38</v>
      </c>
      <c r="BM88" s="257">
        <v>39</v>
      </c>
      <c r="BN88" s="257">
        <v>40</v>
      </c>
      <c r="BO88" s="257">
        <v>41</v>
      </c>
      <c r="BP88" s="257">
        <v>42</v>
      </c>
      <c r="BQ88" s="257">
        <v>43</v>
      </c>
      <c r="BR88" s="257">
        <v>44</v>
      </c>
      <c r="BS88" s="257">
        <v>45</v>
      </c>
      <c r="BT88" s="257">
        <v>46</v>
      </c>
      <c r="BU88" s="257">
        <v>47</v>
      </c>
      <c r="BV88" s="257">
        <v>48</v>
      </c>
      <c r="BW88" s="257">
        <v>49</v>
      </c>
      <c r="BX88" s="257">
        <v>50</v>
      </c>
      <c r="BY88" s="257">
        <v>51</v>
      </c>
      <c r="BZ88" s="257">
        <v>52</v>
      </c>
      <c r="CA88" s="257">
        <v>53</v>
      </c>
      <c r="CB88" s="257">
        <v>54</v>
      </c>
      <c r="CC88" s="257">
        <v>55</v>
      </c>
      <c r="CD88" s="257">
        <v>56</v>
      </c>
      <c r="CE88" s="257">
        <v>57</v>
      </c>
      <c r="CF88" s="257">
        <v>58</v>
      </c>
      <c r="CG88" s="257">
        <v>59</v>
      </c>
      <c r="CH88" s="257">
        <v>60</v>
      </c>
      <c r="CI88" s="257">
        <v>61</v>
      </c>
      <c r="CJ88" s="257">
        <v>62</v>
      </c>
      <c r="CK88" s="257">
        <v>63</v>
      </c>
      <c r="CL88" s="257">
        <v>64</v>
      </c>
      <c r="CM88" s="257">
        <v>65</v>
      </c>
      <c r="CN88" s="257">
        <v>66</v>
      </c>
      <c r="CO88" s="257">
        <v>67</v>
      </c>
      <c r="CP88" s="257">
        <v>68</v>
      </c>
      <c r="CQ88" s="257">
        <v>69</v>
      </c>
      <c r="CR88" s="257">
        <v>70</v>
      </c>
      <c r="CS88" s="257">
        <v>71</v>
      </c>
      <c r="CT88" s="257">
        <v>72</v>
      </c>
      <c r="CU88" s="257">
        <v>73</v>
      </c>
      <c r="CV88" s="257">
        <v>74</v>
      </c>
      <c r="CW88" s="257">
        <v>75</v>
      </c>
      <c r="CX88" s="257">
        <v>76</v>
      </c>
      <c r="CY88" s="257">
        <v>77</v>
      </c>
      <c r="CZ88" s="257">
        <v>78</v>
      </c>
      <c r="DA88" s="257">
        <v>79</v>
      </c>
      <c r="DB88" s="257">
        <v>80</v>
      </c>
      <c r="DC88" s="257">
        <v>81</v>
      </c>
      <c r="DD88" s="257">
        <v>82</v>
      </c>
      <c r="DE88" s="257">
        <v>83</v>
      </c>
      <c r="DF88" s="257">
        <v>84</v>
      </c>
      <c r="DG88" s="257">
        <v>85</v>
      </c>
      <c r="DH88" s="257">
        <v>86</v>
      </c>
      <c r="DI88" s="257">
        <v>87</v>
      </c>
      <c r="DJ88" s="257">
        <v>88</v>
      </c>
      <c r="DK88" s="257">
        <v>89</v>
      </c>
      <c r="DL88" s="257">
        <v>90</v>
      </c>
      <c r="DM88" s="257">
        <v>91</v>
      </c>
      <c r="DN88" s="257">
        <v>92</v>
      </c>
      <c r="DO88" s="257">
        <v>93</v>
      </c>
      <c r="DP88" s="257">
        <v>94</v>
      </c>
      <c r="DQ88" s="257">
        <v>95</v>
      </c>
      <c r="DR88" s="257">
        <v>96</v>
      </c>
      <c r="DS88" s="257">
        <v>97</v>
      </c>
      <c r="DT88" s="257">
        <v>98</v>
      </c>
      <c r="DU88" s="257">
        <v>99</v>
      </c>
      <c r="DV88" s="257">
        <v>100</v>
      </c>
      <c r="DW88" s="257">
        <v>101</v>
      </c>
      <c r="DX88" s="257">
        <v>102</v>
      </c>
      <c r="DY88" s="257">
        <v>103</v>
      </c>
      <c r="DZ88" s="257">
        <v>104</v>
      </c>
      <c r="EA88" s="257">
        <v>105</v>
      </c>
      <c r="EB88" s="257">
        <v>106</v>
      </c>
      <c r="EC88" s="257">
        <v>107</v>
      </c>
      <c r="ED88" s="257">
        <v>108</v>
      </c>
      <c r="EE88" s="257">
        <v>109</v>
      </c>
      <c r="EF88" s="257">
        <v>110</v>
      </c>
      <c r="EG88" s="257">
        <v>111</v>
      </c>
      <c r="EH88" s="257">
        <v>112</v>
      </c>
      <c r="EI88" s="257">
        <v>113</v>
      </c>
      <c r="EJ88" s="257">
        <v>114</v>
      </c>
      <c r="EK88" s="257">
        <v>115</v>
      </c>
      <c r="EL88" s="257">
        <v>115</v>
      </c>
    </row>
    <row r="89" spans="2:142" s="112" customFormat="1" ht="14.4">
      <c r="AA89" s="155"/>
      <c r="AB89" s="213" t="s">
        <v>40</v>
      </c>
      <c r="AC89" s="213" t="s">
        <v>41</v>
      </c>
      <c r="AD89" s="213" t="s">
        <v>26</v>
      </c>
      <c r="AE89" s="213" t="s">
        <v>27</v>
      </c>
      <c r="AF89" s="213" t="s">
        <v>42</v>
      </c>
      <c r="AG89" s="213" t="s">
        <v>43</v>
      </c>
      <c r="AH89" s="213" t="s">
        <v>44</v>
      </c>
      <c r="AI89" s="245" t="s">
        <v>45</v>
      </c>
      <c r="AJ89" s="213" t="s">
        <v>156</v>
      </c>
      <c r="AK89" s="213" t="s">
        <v>46</v>
      </c>
      <c r="AL89" s="213" t="s">
        <v>47</v>
      </c>
      <c r="AM89" s="213" t="s">
        <v>48</v>
      </c>
      <c r="AN89" s="213" t="s">
        <v>49</v>
      </c>
      <c r="AO89" s="213" t="s">
        <v>158</v>
      </c>
      <c r="AP89" s="213" t="s">
        <v>50</v>
      </c>
      <c r="AQ89" s="213" t="s">
        <v>51</v>
      </c>
      <c r="AR89" s="213" t="s">
        <v>52</v>
      </c>
      <c r="AS89" s="213" t="s">
        <v>174</v>
      </c>
      <c r="AT89" s="213" t="s">
        <v>53</v>
      </c>
      <c r="AU89" s="213" t="s">
        <v>191</v>
      </c>
      <c r="AV89" s="213" t="s">
        <v>29</v>
      </c>
      <c r="AW89" s="213" t="s">
        <v>54</v>
      </c>
      <c r="AX89" s="213" t="s">
        <v>31</v>
      </c>
      <c r="AY89" s="213" t="s">
        <v>55</v>
      </c>
      <c r="AZ89" s="213" t="s">
        <v>56</v>
      </c>
      <c r="BA89" s="250" t="s">
        <v>57</v>
      </c>
      <c r="BB89" s="250" t="s">
        <v>58</v>
      </c>
      <c r="BC89" s="250" t="s">
        <v>59</v>
      </c>
      <c r="BD89" s="250" t="s">
        <v>60</v>
      </c>
      <c r="BE89" s="250" t="s">
        <v>61</v>
      </c>
      <c r="BF89" s="213" t="s">
        <v>62</v>
      </c>
      <c r="BG89" s="213" t="s">
        <v>63</v>
      </c>
      <c r="BH89" s="213" t="s">
        <v>64</v>
      </c>
      <c r="BI89" s="213" t="s">
        <v>28</v>
      </c>
      <c r="BJ89" s="213" t="s">
        <v>157</v>
      </c>
      <c r="BK89" s="213" t="s">
        <v>65</v>
      </c>
      <c r="BL89" s="213" t="s">
        <v>66</v>
      </c>
      <c r="BM89" s="251" t="s">
        <v>30</v>
      </c>
      <c r="BN89" s="213" t="s">
        <v>67</v>
      </c>
      <c r="BO89" s="213" t="s">
        <v>111</v>
      </c>
      <c r="BP89" s="213" t="s">
        <v>68</v>
      </c>
      <c r="BQ89" s="213" t="s">
        <v>69</v>
      </c>
      <c r="BR89" s="213" t="s">
        <v>70</v>
      </c>
      <c r="BS89" s="213" t="s">
        <v>71</v>
      </c>
      <c r="BT89" s="247" t="s">
        <v>159</v>
      </c>
      <c r="BU89" s="213" t="s">
        <v>72</v>
      </c>
      <c r="BV89" s="213" t="s">
        <v>73</v>
      </c>
      <c r="BW89" s="213" t="s">
        <v>74</v>
      </c>
      <c r="BX89" s="213" t="s">
        <v>246</v>
      </c>
      <c r="BY89" s="213" t="s">
        <v>75</v>
      </c>
      <c r="BZ89" s="213" t="s">
        <v>76</v>
      </c>
      <c r="CA89" s="213" t="s">
        <v>77</v>
      </c>
      <c r="CB89" s="213" t="s">
        <v>78</v>
      </c>
      <c r="CC89" s="213" t="s">
        <v>79</v>
      </c>
      <c r="CD89" s="213" t="s">
        <v>80</v>
      </c>
      <c r="CE89" s="213" t="s">
        <v>81</v>
      </c>
      <c r="CF89" s="213" t="s">
        <v>82</v>
      </c>
      <c r="CG89" s="213" t="s">
        <v>83</v>
      </c>
      <c r="CH89" s="213" t="s">
        <v>84</v>
      </c>
      <c r="CI89" s="213" t="s">
        <v>85</v>
      </c>
      <c r="CJ89" s="213" t="s">
        <v>86</v>
      </c>
      <c r="CK89" s="213" t="s">
        <v>87</v>
      </c>
      <c r="CL89" s="213" t="s">
        <v>88</v>
      </c>
      <c r="CM89" s="213" t="s">
        <v>89</v>
      </c>
      <c r="CN89" s="248" t="s">
        <v>33</v>
      </c>
      <c r="CO89" s="213" t="s">
        <v>90</v>
      </c>
      <c r="CP89" s="213" t="s">
        <v>91</v>
      </c>
      <c r="CQ89" s="213" t="s">
        <v>92</v>
      </c>
      <c r="CR89" s="213" t="s">
        <v>93</v>
      </c>
      <c r="CS89" s="245" t="s">
        <v>94</v>
      </c>
      <c r="CT89" s="213" t="s">
        <v>95</v>
      </c>
      <c r="CU89" s="248" t="s">
        <v>96</v>
      </c>
      <c r="CV89" s="248" t="s">
        <v>97</v>
      </c>
      <c r="CW89" s="248" t="s">
        <v>192</v>
      </c>
      <c r="CX89" s="249" t="s">
        <v>98</v>
      </c>
      <c r="CY89" s="249" t="s">
        <v>99</v>
      </c>
      <c r="CZ89" s="249" t="s">
        <v>100</v>
      </c>
      <c r="DA89" s="249" t="s">
        <v>101</v>
      </c>
      <c r="DB89" s="249" t="s">
        <v>102</v>
      </c>
      <c r="DC89" s="249" t="s">
        <v>103</v>
      </c>
      <c r="DD89" s="249" t="s">
        <v>104</v>
      </c>
      <c r="DE89" s="249" t="s">
        <v>105</v>
      </c>
      <c r="DF89" s="213" t="s">
        <v>106</v>
      </c>
      <c r="DG89" s="213" t="s">
        <v>107</v>
      </c>
      <c r="DH89" s="213" t="s">
        <v>108</v>
      </c>
      <c r="DI89" s="213" t="s">
        <v>109</v>
      </c>
      <c r="DJ89" s="213" t="s">
        <v>110</v>
      </c>
      <c r="DK89" s="213" t="s">
        <v>112</v>
      </c>
      <c r="DL89" s="213" t="s">
        <v>113</v>
      </c>
      <c r="DM89" s="213" t="s">
        <v>137</v>
      </c>
      <c r="DN89" s="246" t="s">
        <v>140</v>
      </c>
      <c r="DO89" s="213" t="s">
        <v>141</v>
      </c>
      <c r="DP89" s="213" t="s">
        <v>193</v>
      </c>
      <c r="DQ89" s="213" t="s">
        <v>148</v>
      </c>
      <c r="DR89" s="213" t="s">
        <v>186</v>
      </c>
      <c r="DS89" s="213" t="s">
        <v>171</v>
      </c>
      <c r="DT89" s="213" t="s">
        <v>180</v>
      </c>
      <c r="DU89" s="213" t="s">
        <v>183</v>
      </c>
      <c r="DV89" s="213" t="s">
        <v>195</v>
      </c>
      <c r="DW89" s="213" t="s">
        <v>189</v>
      </c>
      <c r="DX89" s="213" t="s">
        <v>188</v>
      </c>
      <c r="DY89" s="213" t="s">
        <v>196</v>
      </c>
      <c r="DZ89" s="213" t="s">
        <v>197</v>
      </c>
      <c r="EA89" s="213" t="s">
        <v>198</v>
      </c>
      <c r="EB89" s="213" t="s">
        <v>201</v>
      </c>
      <c r="EC89" s="213" t="s">
        <v>202</v>
      </c>
      <c r="ED89" s="213" t="s">
        <v>206</v>
      </c>
      <c r="EE89" s="213" t="s">
        <v>207</v>
      </c>
      <c r="EF89" s="213" t="s">
        <v>208</v>
      </c>
      <c r="EG89" s="240" t="s">
        <v>236</v>
      </c>
      <c r="EH89" s="240" t="s">
        <v>209</v>
      </c>
      <c r="EI89" s="150" t="s">
        <v>360</v>
      </c>
      <c r="EJ89" s="150" t="s">
        <v>390</v>
      </c>
      <c r="EK89" s="150" t="s">
        <v>392</v>
      </c>
      <c r="EL89" s="112" t="s">
        <v>400</v>
      </c>
    </row>
    <row r="90" spans="2:142" ht="14.4">
      <c r="B90" s="220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442"/>
      <c r="AA90" s="196" t="s">
        <v>293</v>
      </c>
      <c r="AB90" s="235">
        <f>VLOOKUP(AB89,'تقرير مصروفات إجمالية'!$B$3:$C$115,2,FALSE)</f>
        <v>853477.34</v>
      </c>
      <c r="AC90" s="235">
        <f>VLOOKUP(AC89,'تقرير مصروفات إجمالية'!$B$3:$C$115,2,FALSE)</f>
        <v>2432813.7600000002</v>
      </c>
      <c r="AD90" s="235">
        <f>VLOOKUP(AD89,'تقرير مصروفات إجمالية'!$B$3:$C$115,2,FALSE)</f>
        <v>33612</v>
      </c>
      <c r="AE90" s="235">
        <f>VLOOKUP(AE89,'تقرير مصروفات إجمالية'!$B$3:$C$115,2,FALSE)</f>
        <v>675</v>
      </c>
      <c r="AF90" s="235">
        <f>VLOOKUP(AF89,'تقرير مصروفات إجمالية'!$B$3:$C$115,2,FALSE)</f>
        <v>3531</v>
      </c>
      <c r="AG90" s="235">
        <f>VLOOKUP(AG89,'تقرير مصروفات إجمالية'!$B$3:$C$115,2,FALSE)</f>
        <v>300000</v>
      </c>
      <c r="AH90" s="235">
        <f>VLOOKUP(AH89,'تقرير مصروفات إجمالية'!$B$3:$C$115,2,FALSE)</f>
        <v>100000</v>
      </c>
      <c r="AI90" s="235">
        <f>VLOOKUP(AI89,'تقرير مصروفات إجمالية'!$B$3:$C$115,2,FALSE)</f>
        <v>385831</v>
      </c>
      <c r="AJ90" s="235">
        <f>VLOOKUP(AJ89,'تقرير مصروفات إجمالية'!$B$3:$C$115,2,FALSE)</f>
        <v>1510</v>
      </c>
      <c r="AK90" s="235">
        <f>VLOOKUP(AK89,'تقرير مصروفات إجمالية'!$B$3:$C$115,2,FALSE)</f>
        <v>20853.579999999994</v>
      </c>
      <c r="AL90" s="235">
        <f>VLOOKUP(AL89,'تقرير مصروفات إجمالية'!$B$3:$C$115,2,FALSE)</f>
        <v>0</v>
      </c>
      <c r="AM90" s="235">
        <f>VLOOKUP(AM89,'تقرير مصروفات إجمالية'!$B$3:$C$115,2,FALSE)</f>
        <v>6900</v>
      </c>
      <c r="AN90" s="235">
        <f>VLOOKUP(AN89,'تقرير مصروفات إجمالية'!$B$3:$C$115,2,FALSE)</f>
        <v>5246.47</v>
      </c>
      <c r="AO90" s="235">
        <f>VLOOKUP(AO89,'تقرير مصروفات إجمالية'!$B$3:$C$115,2,FALSE)</f>
        <v>7170</v>
      </c>
      <c r="AP90" s="235">
        <f>VLOOKUP(AP89,'تقرير مصروفات إجمالية'!$B$3:$C$115,2,FALSE)</f>
        <v>12750</v>
      </c>
      <c r="AQ90" s="235">
        <f>VLOOKUP(AQ89,'تقرير مصروفات إجمالية'!$B$3:$C$115,2,FALSE)</f>
        <v>22500</v>
      </c>
      <c r="AR90" s="235">
        <f>VLOOKUP(AR89,'تقرير مصروفات إجمالية'!$B$3:$C$115,2,FALSE)</f>
        <v>0</v>
      </c>
      <c r="AS90" s="235">
        <f>VLOOKUP(AS89,'تقرير مصروفات إجمالية'!$B$3:$C$115,2,FALSE)</f>
        <v>119780</v>
      </c>
      <c r="AT90" s="235">
        <f>VLOOKUP(AT89,'تقرير مصروفات إجمالية'!$B$3:$C$115,2,FALSE)</f>
        <v>49235.25</v>
      </c>
      <c r="AU90" s="235">
        <f>VLOOKUP(AU89,'تقرير مصروفات إجمالية'!$B$3:$C$115,2,FALSE)</f>
        <v>56360.810000000005</v>
      </c>
      <c r="AV90" s="235">
        <f>VLOOKUP(AV89,'تقرير مصروفات إجمالية'!$B$3:$C$115,2,FALSE)</f>
        <v>175</v>
      </c>
      <c r="AW90" s="235">
        <f>VLOOKUP(AW89,'تقرير مصروفات إجمالية'!$B$3:$C$115,2,FALSE)</f>
        <v>0</v>
      </c>
      <c r="AX90" s="235">
        <f>VLOOKUP(AX89,'تقرير مصروفات إجمالية'!$B$3:$C$115,2,FALSE)</f>
        <v>2758</v>
      </c>
      <c r="AY90" s="235">
        <f>VLOOKUP(AY89,'تقرير مصروفات إجمالية'!$B$3:$C$115,2,FALSE)</f>
        <v>335</v>
      </c>
      <c r="AZ90" s="235">
        <f>VLOOKUP(AZ89,'تقرير مصروفات إجمالية'!$B$3:$C$115,2,FALSE)</f>
        <v>1343.92</v>
      </c>
      <c r="BA90" s="235">
        <f>VLOOKUP(BA89,'تقرير مصروفات إجمالية'!$B$3:$C$115,2,FALSE)</f>
        <v>3375</v>
      </c>
      <c r="BB90" s="235">
        <f>VLOOKUP(BB89,'تقرير مصروفات إجمالية'!$B$3:$C$115,2,FALSE)</f>
        <v>31040</v>
      </c>
      <c r="BC90" s="235">
        <f>VLOOKUP(BC89,'تقرير مصروفات إجمالية'!$B$3:$C$115,2,FALSE)</f>
        <v>370</v>
      </c>
      <c r="BD90" s="235">
        <f>VLOOKUP(BD89,'تقرير مصروفات إجمالية'!$B$3:$C$115,2,FALSE)</f>
        <v>0</v>
      </c>
      <c r="BE90" s="235">
        <f>VLOOKUP(BE89,'تقرير مصروفات إجمالية'!$B$3:$C$115,2,FALSE)</f>
        <v>17390</v>
      </c>
      <c r="BF90" s="235">
        <f>VLOOKUP(BF89,'تقرير مصروفات إجمالية'!$B$3:$C$115,2,FALSE)</f>
        <v>143173</v>
      </c>
      <c r="BG90" s="235">
        <f>VLOOKUP(BG89,'تقرير مصروفات إجمالية'!$B$3:$C$115,2,FALSE)</f>
        <v>0</v>
      </c>
      <c r="BH90" s="235">
        <f>VLOOKUP(BH89,'تقرير مصروفات إجمالية'!$B$3:$C$115,2,FALSE)</f>
        <v>79575</v>
      </c>
      <c r="BI90" s="235">
        <f>VLOOKUP(BI89,'تقرير مصروفات إجمالية'!$B$3:$C$115,2,FALSE)</f>
        <v>15290</v>
      </c>
      <c r="BJ90" s="235">
        <f>VLOOKUP(BJ89,'تقرير مصروفات إجمالية'!$B$3:$C$115,2,FALSE)</f>
        <v>2030.5900000000001</v>
      </c>
      <c r="BK90" s="235">
        <f>VLOOKUP(BK89,'تقرير مصروفات إجمالية'!$B$3:$C$115,2,FALSE)</f>
        <v>8000</v>
      </c>
      <c r="BL90" s="235">
        <f>VLOOKUP(BL89,'تقرير مصروفات إجمالية'!$B$3:$C$115,2,FALSE)</f>
        <v>0</v>
      </c>
      <c r="BM90" s="235">
        <f>VLOOKUP(BM89,'تقرير مصروفات إجمالية'!$B$3:$C$115,2,FALSE)</f>
        <v>22351.98</v>
      </c>
      <c r="BN90" s="235">
        <f>VLOOKUP(BN89,'تقرير مصروفات إجمالية'!$B$3:$C$115,2,FALSE)</f>
        <v>112632</v>
      </c>
      <c r="BO90" s="235">
        <f>VLOOKUP(BO89,'تقرير مصروفات إجمالية'!$B$3:$C$115,2,FALSE)</f>
        <v>1800</v>
      </c>
      <c r="BP90" s="235">
        <f>VLOOKUP(BP89,'تقرير مصروفات إجمالية'!$B$3:$C$115,2,FALSE)</f>
        <v>0</v>
      </c>
      <c r="BQ90" s="235">
        <f>VLOOKUP(BQ89,'تقرير مصروفات إجمالية'!$B$3:$C$115,2,FALSE)</f>
        <v>30000</v>
      </c>
      <c r="BR90" s="235">
        <f>VLOOKUP(BR89,'تقرير مصروفات إجمالية'!$B$3:$C$115,2,FALSE)</f>
        <v>6070</v>
      </c>
      <c r="BS90" s="235">
        <f>VLOOKUP(BS89,'تقرير مصروفات إجمالية'!$B$3:$C$115,2,FALSE)</f>
        <v>0</v>
      </c>
      <c r="BT90" s="235">
        <f>VLOOKUP(BT89,'تقرير مصروفات إجمالية'!$B$3:$C$115,2,FALSE)</f>
        <v>15200</v>
      </c>
      <c r="BU90" s="235">
        <f>VLOOKUP(BU89,'تقرير مصروفات إجمالية'!$B$3:$C$115,2,FALSE)</f>
        <v>6000</v>
      </c>
      <c r="BV90" s="235">
        <f>VLOOKUP(BV89,'تقرير مصروفات إجمالية'!$B$3:$C$115,2,FALSE)</f>
        <v>0</v>
      </c>
      <c r="BW90" s="235">
        <f>VLOOKUP(BW89,'تقرير مصروفات إجمالية'!$B$3:$C$115,2,FALSE)</f>
        <v>0</v>
      </c>
      <c r="BX90" s="235">
        <f>VLOOKUP(BX89,'تقرير مصروفات إجمالية'!$B$3:$C$115,2,FALSE)</f>
        <v>1300</v>
      </c>
      <c r="BY90" s="235">
        <f>VLOOKUP(BY89,'تقرير مصروفات إجمالية'!$B$3:$C$115,2,FALSE)</f>
        <v>8285</v>
      </c>
      <c r="BZ90" s="235">
        <f>VLOOKUP(BZ89,'تقرير مصروفات إجمالية'!$B$3:$C$115,2,FALSE)</f>
        <v>0</v>
      </c>
      <c r="CA90" s="235">
        <f>VLOOKUP(CA89,'تقرير مصروفات إجمالية'!$B$3:$C$115,2,FALSE)</f>
        <v>0</v>
      </c>
      <c r="CB90" s="235">
        <f>VLOOKUP(CB89,'تقرير مصروفات إجمالية'!$B$3:$C$115,2,FALSE)</f>
        <v>0</v>
      </c>
      <c r="CC90" s="235">
        <f>VLOOKUP(CC89,'تقرير مصروفات إجمالية'!$B$3:$C$115,2,FALSE)</f>
        <v>0</v>
      </c>
      <c r="CD90" s="235">
        <f>VLOOKUP(CD89,'تقرير مصروفات إجمالية'!$B$3:$C$115,2,FALSE)</f>
        <v>0</v>
      </c>
      <c r="CE90" s="235">
        <f>VLOOKUP(CE89,'تقرير مصروفات إجمالية'!$B$3:$C$115,2,FALSE)</f>
        <v>0</v>
      </c>
      <c r="CF90" s="235">
        <f>VLOOKUP(CF89,'تقرير مصروفات إجمالية'!$B$3:$C$115,2,FALSE)</f>
        <v>0</v>
      </c>
      <c r="CG90" s="235">
        <f>VLOOKUP(CG89,'تقرير مصروفات إجمالية'!$B$3:$C$115,2,FALSE)</f>
        <v>0</v>
      </c>
      <c r="CH90" s="235">
        <f>VLOOKUP(CH89,'تقرير مصروفات إجمالية'!$B$3:$C$115,2,FALSE)</f>
        <v>0</v>
      </c>
      <c r="CI90" s="235">
        <f>VLOOKUP(CI89,'تقرير مصروفات إجمالية'!$B$3:$C$115,2,FALSE)</f>
        <v>34104</v>
      </c>
      <c r="CJ90" s="235">
        <f>VLOOKUP(CJ89,'تقرير مصروفات إجمالية'!$B$3:$C$115,2,FALSE)</f>
        <v>0</v>
      </c>
      <c r="CK90" s="235">
        <f>VLOOKUP(CK89,'تقرير مصروفات إجمالية'!$B$3:$C$115,2,FALSE)</f>
        <v>0</v>
      </c>
      <c r="CL90" s="235">
        <f>VLOOKUP(CL89,'تقرير مصروفات إجمالية'!$B$3:$C$115,2,FALSE)</f>
        <v>0</v>
      </c>
      <c r="CM90" s="235">
        <f>VLOOKUP(CM89,'تقرير مصروفات إجمالية'!$B$3:$C$115,2,FALSE)</f>
        <v>65883</v>
      </c>
      <c r="CN90" s="235">
        <f>VLOOKUP(CN89,'تقرير مصروفات إجمالية'!$B$3:$C$115,2,FALSE)</f>
        <v>15982.519999999999</v>
      </c>
      <c r="CO90" s="235">
        <f>VLOOKUP(CO89,'تقرير مصروفات إجمالية'!$B$3:$C$115,2,FALSE)</f>
        <v>0</v>
      </c>
      <c r="CP90" s="235">
        <f>VLOOKUP(CP89,'تقرير مصروفات إجمالية'!$B$3:$C$115,2,FALSE)</f>
        <v>650</v>
      </c>
      <c r="CQ90" s="235">
        <f>VLOOKUP(CQ89,'تقرير مصروفات إجمالية'!$B$3:$C$115,2,FALSE)</f>
        <v>0</v>
      </c>
      <c r="CR90" s="235">
        <f>VLOOKUP(CR89,'تقرير مصروفات إجمالية'!$B$3:$C$115,2,FALSE)</f>
        <v>0</v>
      </c>
      <c r="CS90" s="235">
        <f>VLOOKUP(CS89,'تقرير مصروفات إجمالية'!$B$3:$C$115,2,FALSE)</f>
        <v>450600</v>
      </c>
      <c r="CT90" s="235">
        <f>VLOOKUP(CT89,'تقرير مصروفات إجمالية'!$B$3:$C$115,2,FALSE)</f>
        <v>36759.49</v>
      </c>
      <c r="CU90" s="235">
        <f>VLOOKUP(CU89,'تقرير مصروفات إجمالية'!$B$3:$C$115,2,FALSE)</f>
        <v>0</v>
      </c>
      <c r="CV90" s="235">
        <f>VLOOKUP(CV89,'تقرير مصروفات إجمالية'!$B$3:$C$115,2,FALSE)</f>
        <v>16679.319999999992</v>
      </c>
      <c r="CW90" s="235">
        <f>VLOOKUP(CW89,'تقرير مصروفات إجمالية'!$B$3:$C$115,2,FALSE)</f>
        <v>6500</v>
      </c>
      <c r="CX90" s="235">
        <f>VLOOKUP(CX89,'تقرير مصروفات إجمالية'!$B$3:$C$115,2,FALSE)</f>
        <v>0</v>
      </c>
      <c r="CY90" s="235">
        <f>VLOOKUP(CY89,'تقرير مصروفات إجمالية'!$B$3:$C$115,2,FALSE)</f>
        <v>6433.05</v>
      </c>
      <c r="CZ90" s="235">
        <f>VLOOKUP(CZ89,'تقرير مصروفات إجمالية'!$B$3:$C$115,2,FALSE)</f>
        <v>2587.14</v>
      </c>
      <c r="DA90" s="235">
        <f>VLOOKUP(DA89,'تقرير مصروفات إجمالية'!$B$3:$C$115,2,FALSE)</f>
        <v>2945.4</v>
      </c>
      <c r="DB90" s="235">
        <f>VLOOKUP(DB89,'تقرير مصروفات إجمالية'!$B$3:$C$115,2,FALSE)</f>
        <v>36884.720000000008</v>
      </c>
      <c r="DC90" s="235">
        <f>VLOOKUP(DC89,'تقرير مصروفات إجمالية'!$B$3:$C$115,2,FALSE)</f>
        <v>8520.3999999999978</v>
      </c>
      <c r="DD90" s="235">
        <f>VLOOKUP(DD89,'تقرير مصروفات إجمالية'!$B$3:$C$115,2,FALSE)</f>
        <v>8652.0300000000007</v>
      </c>
      <c r="DE90" s="235">
        <f>VLOOKUP(DE89,'تقرير مصروفات إجمالية'!$B$3:$C$115,2,FALSE)</f>
        <v>22714.92</v>
      </c>
      <c r="DF90" s="235">
        <f>VLOOKUP(DF89,'تقرير مصروفات إجمالية'!$B$3:$C$115,2,FALSE)</f>
        <v>0</v>
      </c>
      <c r="DG90" s="235">
        <f>VLOOKUP(DG89,'تقرير مصروفات إجمالية'!$B$3:$C$115,2,FALSE)</f>
        <v>0</v>
      </c>
      <c r="DH90" s="235">
        <f>VLOOKUP(DH89,'تقرير مصروفات إجمالية'!$B$3:$C$115,2,FALSE)</f>
        <v>120663.64000000001</v>
      </c>
      <c r="DI90" s="235">
        <f>VLOOKUP(DI89,'تقرير مصروفات إجمالية'!$B$3:$C$115,2,FALSE)</f>
        <v>0</v>
      </c>
      <c r="DJ90" s="235">
        <f>VLOOKUP(DJ89,'تقرير مصروفات إجمالية'!$B$3:$C$115,2,FALSE)</f>
        <v>166.66</v>
      </c>
      <c r="DK90" s="235">
        <f>VLOOKUP(DK89,'تقرير مصروفات إجمالية'!$B$3:$C$115,2,FALSE)</f>
        <v>5396.12</v>
      </c>
      <c r="DL90" s="235">
        <f>VLOOKUP(DL89,'تقرير مصروفات إجمالية'!$B$3:$C$115,2,FALSE)</f>
        <v>3495.39</v>
      </c>
      <c r="DM90" s="235">
        <f>VLOOKUP(DM89,'تقرير مصروفات إجمالية'!$B$3:$C$115,2,FALSE)</f>
        <v>0</v>
      </c>
      <c r="DN90" s="235">
        <f>VLOOKUP(DN89,'تقرير مصروفات إجمالية'!$B$3:$C$115,2,FALSE)</f>
        <v>67510.62</v>
      </c>
      <c r="DO90" s="235">
        <f>VLOOKUP(DO89,'تقرير مصروفات إجمالية'!$B$3:$C$115,2,FALSE)</f>
        <v>0</v>
      </c>
      <c r="DP90" s="235">
        <f>VLOOKUP(DP89,'تقرير مصروفات إجمالية'!$B$3:$C$115,2,FALSE)</f>
        <v>500</v>
      </c>
      <c r="DQ90" s="235">
        <f>VLOOKUP(DQ89,'تقرير مصروفات إجمالية'!$B$3:$C$115,2,FALSE)</f>
        <v>790</v>
      </c>
      <c r="DR90" s="235">
        <f>VLOOKUP(DR89,'تقرير مصروفات إجمالية'!$B$3:$C$115,2,FALSE)</f>
        <v>0</v>
      </c>
      <c r="DS90" s="235">
        <f>VLOOKUP(DS89,'تقرير مصروفات إجمالية'!$B$3:$C$115,2,FALSE)</f>
        <v>0</v>
      </c>
      <c r="DT90" s="235">
        <f>VLOOKUP(DT89,'تقرير مصروفات إجمالية'!$B$3:$C$115,2,FALSE)</f>
        <v>0</v>
      </c>
      <c r="DU90" s="235">
        <f>VLOOKUP(DU89,'تقرير مصروفات إجمالية'!$B$3:$C$115,2,FALSE)</f>
        <v>0</v>
      </c>
      <c r="DV90" s="235">
        <f>VLOOKUP(DV89,'تقرير مصروفات إجمالية'!$B$3:$C$115,2,FALSE)</f>
        <v>17814</v>
      </c>
      <c r="DW90" s="235">
        <f>VLOOKUP(DW89,'تقرير مصروفات إجمالية'!$B$3:$C$115,2,FALSE)</f>
        <v>16217.28</v>
      </c>
      <c r="DX90" s="235">
        <f>VLOOKUP(DX89,'تقرير مصروفات إجمالية'!$B$3:$C$115,2,FALSE)</f>
        <v>32715.46</v>
      </c>
      <c r="DY90" s="235">
        <f>VLOOKUP(DY89,'تقرير مصروفات إجمالية'!$B$3:$C$115,2,FALSE)</f>
        <v>57468.78</v>
      </c>
      <c r="DZ90" s="235">
        <f>VLOOKUP(DZ89,'تقرير مصروفات إجمالية'!$B$3:$C$115,2,FALSE)</f>
        <v>88117.95</v>
      </c>
      <c r="EA90" s="235">
        <f>VLOOKUP(EA89,'تقرير مصروفات إجمالية'!$B$3:$C$115,2,FALSE)</f>
        <v>45418.64</v>
      </c>
      <c r="EB90" s="235">
        <f>VLOOKUP(EB89,'تقرير مصروفات إجمالية'!$B$3:$C$115,2,FALSE)</f>
        <v>20328.900000000001</v>
      </c>
      <c r="EC90" s="235">
        <f>VLOOKUP(EC89,'تقرير مصروفات إجمالية'!$B$3:$C$115,2,FALSE)</f>
        <v>31885.69</v>
      </c>
      <c r="ED90" s="235">
        <f>VLOOKUP(ED89,'تقرير مصروفات إجمالية'!$B$3:$C$115,2,FALSE)</f>
        <v>20793.88</v>
      </c>
      <c r="EE90" s="235">
        <f>VLOOKUP(EE89,'تقرير مصروفات إجمالية'!$B$3:$C$115,2,FALSE)</f>
        <v>30562.5</v>
      </c>
      <c r="EF90" s="235">
        <f>VLOOKUP(EF89,'تقرير مصروفات إجمالية'!$B$3:$C$115,2,FALSE)</f>
        <v>22944.91</v>
      </c>
      <c r="EG90" s="235">
        <f>VLOOKUP(EG89,'تقرير مصروفات إجمالية'!$B$3:$C$115,2,FALSE)</f>
        <v>24094.78</v>
      </c>
      <c r="EH90" s="235">
        <f>VLOOKUP(EH89,'تقرير مصروفات إجمالية'!$B$3:$C$115,2,FALSE)</f>
        <v>18700</v>
      </c>
      <c r="EI90" s="235">
        <f>VLOOKUP(EI89,'تقرير مصروفات إجمالية'!$B$3:$C$115,2,FALSE)</f>
        <v>943867.76000000013</v>
      </c>
      <c r="EJ90" s="235"/>
      <c r="EK90" s="235"/>
      <c r="EL90" s="235">
        <f>VLOOKUP($EL$89,'تقرير مصروفات إجمالية'!$B$3:$O$119,2,FALSE)</f>
        <v>0</v>
      </c>
    </row>
    <row r="91" spans="2:142" ht="14.4"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AA91" s="197" t="s">
        <v>248</v>
      </c>
      <c r="AB91" s="235">
        <f>VLOOKUP(AB89,'[1]تقرير مصروفات إجمالية'!$B$3:$D$115,3,FALSE)</f>
        <v>899945.03</v>
      </c>
      <c r="AC91" s="235">
        <f>VLOOKUP(AC89,'[1]تقرير مصروفات إجمالية'!$B$3:$D$115,3,FALSE)</f>
        <v>3113708.02</v>
      </c>
      <c r="AD91" s="235">
        <f>VLOOKUP(AD89,'[1]تقرير مصروفات إجمالية'!$B$3:$D$115,3,FALSE)</f>
        <v>17837</v>
      </c>
      <c r="AE91" s="235">
        <f>VLOOKUP(AE89,'[1]تقرير مصروفات إجمالية'!$B$3:$D$115,3,FALSE)</f>
        <v>200</v>
      </c>
      <c r="AF91" s="235">
        <f>VLOOKUP(AF89,'[1]تقرير مصروفات إجمالية'!$B$3:$D$115,3,FALSE)</f>
        <v>0</v>
      </c>
      <c r="AG91" s="235">
        <f>VLOOKUP(AG89,'[1]تقرير مصروفات إجمالية'!$B$3:$D$115,3,FALSE)</f>
        <v>300000</v>
      </c>
      <c r="AH91" s="235">
        <f>VLOOKUP(AH89,'[1]تقرير مصروفات إجمالية'!$B$3:$D$115,3,FALSE)</f>
        <v>100000</v>
      </c>
      <c r="AI91" s="235">
        <f>VLOOKUP(AI89,'[1]تقرير مصروفات إجمالية'!$B$3:$D$115,3,FALSE)</f>
        <v>383131</v>
      </c>
      <c r="AJ91" s="235">
        <f>VLOOKUP(AJ89,'[1]تقرير مصروفات إجمالية'!$B$3:$D$115,3,FALSE)</f>
        <v>8065</v>
      </c>
      <c r="AK91" s="235">
        <f>VLOOKUP(AK89,'[1]تقرير مصروفات إجمالية'!$B$3:$D$115,3,FALSE)</f>
        <v>24469.689999999995</v>
      </c>
      <c r="AL91" s="235">
        <f>VLOOKUP(AL89,'[1]تقرير مصروفات إجمالية'!$B$3:$D$115,3,FALSE)</f>
        <v>0</v>
      </c>
      <c r="AM91" s="235">
        <f>VLOOKUP(AM89,'[1]تقرير مصروفات إجمالية'!$B$3:$D$115,3,FALSE)</f>
        <v>10165</v>
      </c>
      <c r="AN91" s="235">
        <f>VLOOKUP(AN89,'[1]تقرير مصروفات إجمالية'!$B$3:$D$115,3,FALSE)</f>
        <v>20700</v>
      </c>
      <c r="AO91" s="235">
        <f>VLOOKUP(AO89,'[1]تقرير مصروفات إجمالية'!$B$3:$D$115,3,FALSE)</f>
        <v>18505</v>
      </c>
      <c r="AP91" s="235">
        <f>VLOOKUP(AP89,'[1]تقرير مصروفات إجمالية'!$B$3:$D$115,3,FALSE)</f>
        <v>0</v>
      </c>
      <c r="AQ91" s="235">
        <f>VLOOKUP(AQ89,'[1]تقرير مصروفات إجمالية'!$B$3:$D$115,3,FALSE)</f>
        <v>0</v>
      </c>
      <c r="AR91" s="235">
        <f>VLOOKUP(AR89,'[1]تقرير مصروفات إجمالية'!$B$3:$D$115,3,FALSE)</f>
        <v>80</v>
      </c>
      <c r="AS91" s="235">
        <f>VLOOKUP(AS89,'[1]تقرير مصروفات إجمالية'!$B$3:$D$115,3,FALSE)</f>
        <v>84690</v>
      </c>
      <c r="AT91" s="235">
        <f>VLOOKUP(AT89,'[1]تقرير مصروفات إجمالية'!$B$3:$D$115,3,FALSE)</f>
        <v>60982.039999999994</v>
      </c>
      <c r="AU91" s="235">
        <f>VLOOKUP(AU89,'[1]تقرير مصروفات إجمالية'!$B$3:$D$115,3,FALSE)</f>
        <v>52464.83</v>
      </c>
      <c r="AV91" s="235">
        <f>VLOOKUP(AV89,'[1]تقرير مصروفات إجمالية'!$B$3:$D$115,3,FALSE)</f>
        <v>60</v>
      </c>
      <c r="AW91" s="235">
        <f>VLOOKUP(AW89,'[1]تقرير مصروفات إجمالية'!$B$3:$D$115,3,FALSE)</f>
        <v>0</v>
      </c>
      <c r="AX91" s="235">
        <f>VLOOKUP(AX89,'[1]تقرير مصروفات إجمالية'!$B$3:$D$115,3,FALSE)</f>
        <v>1944</v>
      </c>
      <c r="AY91" s="235">
        <f>VLOOKUP(AY89,'[1]تقرير مصروفات إجمالية'!$B$3:$D$115,3,FALSE)</f>
        <v>355</v>
      </c>
      <c r="AZ91" s="235">
        <f>VLOOKUP(AZ89,'[1]تقرير مصروفات إجمالية'!$B$3:$D$115,3,FALSE)</f>
        <v>1343.92</v>
      </c>
      <c r="BA91" s="235">
        <f>VLOOKUP(BA89,'[1]تقرير مصروفات إجمالية'!$B$3:$D$115,3,FALSE)</f>
        <v>0</v>
      </c>
      <c r="BB91" s="235">
        <f>VLOOKUP(BB89,'[1]تقرير مصروفات إجمالية'!$B$3:$D$115,3,FALSE)</f>
        <v>8335</v>
      </c>
      <c r="BC91" s="235">
        <f>VLOOKUP(BC89,'[1]تقرير مصروفات إجمالية'!$B$3:$D$115,3,FALSE)</f>
        <v>1965</v>
      </c>
      <c r="BD91" s="235">
        <f>VLOOKUP(BD89,'[1]تقرير مصروفات إجمالية'!$B$3:$D$115,3,FALSE)</f>
        <v>0</v>
      </c>
      <c r="BE91" s="235">
        <f>VLOOKUP(BE89,'[1]تقرير مصروفات إجمالية'!$B$3:$D$115,3,FALSE)</f>
        <v>15085</v>
      </c>
      <c r="BF91" s="235">
        <f>VLOOKUP(BF89,'[1]تقرير مصروفات إجمالية'!$B$3:$D$115,3,FALSE)</f>
        <v>37020</v>
      </c>
      <c r="BG91" s="235">
        <f>VLOOKUP(BG89,'[1]تقرير مصروفات إجمالية'!$B$3:$D$115,3,FALSE)</f>
        <v>0</v>
      </c>
      <c r="BH91" s="235">
        <f>VLOOKUP(BH89,'[1]تقرير مصروفات إجمالية'!$B$3:$D$115,3,FALSE)</f>
        <v>7200</v>
      </c>
      <c r="BI91" s="235">
        <f>VLOOKUP(BI89,'[1]تقرير مصروفات إجمالية'!$B$3:$D$115,3,FALSE)</f>
        <v>14245</v>
      </c>
      <c r="BJ91" s="235">
        <f>VLOOKUP(BJ89,'[1]تقرير مصروفات إجمالية'!$B$3:$D$115,3,FALSE)</f>
        <v>2719.47</v>
      </c>
      <c r="BK91" s="235">
        <f>VLOOKUP(BK89,'[1]تقرير مصروفات إجمالية'!$B$3:$D$115,3,FALSE)</f>
        <v>18000</v>
      </c>
      <c r="BL91" s="235">
        <f>VLOOKUP(BL89,'[1]تقرير مصروفات إجمالية'!$B$3:$D$115,3,FALSE)</f>
        <v>0</v>
      </c>
      <c r="BM91" s="235">
        <f>VLOOKUP(BM89,'[1]تقرير مصروفات إجمالية'!$B$3:$D$115,3,FALSE)</f>
        <v>110143.3</v>
      </c>
      <c r="BN91" s="235">
        <f>VLOOKUP(BN89,'[1]تقرير مصروفات إجمالية'!$B$3:$D$115,3,FALSE)</f>
        <v>18994</v>
      </c>
      <c r="BO91" s="235">
        <f>VLOOKUP(BO89,'[1]تقرير مصروفات إجمالية'!$B$3:$D$115,3,FALSE)</f>
        <v>5800</v>
      </c>
      <c r="BP91" s="235">
        <f>VLOOKUP(BP89,'[1]تقرير مصروفات إجمالية'!$B$3:$D$115,3,FALSE)</f>
        <v>0</v>
      </c>
      <c r="BQ91" s="235">
        <f>VLOOKUP(BQ89,'[1]تقرير مصروفات إجمالية'!$B$3:$D$115,3,FALSE)</f>
        <v>1200</v>
      </c>
      <c r="BR91" s="235">
        <f>VLOOKUP(BR89,'[1]تقرير مصروفات إجمالية'!$B$3:$D$115,3,FALSE)</f>
        <v>5670</v>
      </c>
      <c r="BS91" s="235">
        <f>VLOOKUP(BS89,'[1]تقرير مصروفات إجمالية'!$B$3:$D$115,3,FALSE)</f>
        <v>0</v>
      </c>
      <c r="BT91" s="235">
        <f>VLOOKUP(BT89,'[1]تقرير مصروفات إجمالية'!$B$3:$D$115,3,FALSE)</f>
        <v>18390</v>
      </c>
      <c r="BU91" s="235">
        <f>VLOOKUP(BU89,'[1]تقرير مصروفات إجمالية'!$B$3:$D$115,3,FALSE)</f>
        <v>0</v>
      </c>
      <c r="BV91" s="235">
        <f>VLOOKUP(BV89,'[1]تقرير مصروفات إجمالية'!$B$3:$D$115,3,FALSE)</f>
        <v>0</v>
      </c>
      <c r="BW91" s="235">
        <f>VLOOKUP(BW89,'[1]تقرير مصروفات إجمالية'!$B$3:$D$115,3,FALSE)</f>
        <v>0</v>
      </c>
      <c r="BX91" s="235">
        <f>VLOOKUP(BX89,'[1]تقرير مصروفات إجمالية'!$B$3:$D$115,3,FALSE)</f>
        <v>9460</v>
      </c>
      <c r="BY91" s="235">
        <f>VLOOKUP(BY89,'[1]تقرير مصروفات إجمالية'!$B$3:$D$115,3,FALSE)</f>
        <v>0</v>
      </c>
      <c r="BZ91" s="235">
        <f>VLOOKUP(BZ89,'[1]تقرير مصروفات إجمالية'!$B$3:$D$115,3,FALSE)</f>
        <v>0</v>
      </c>
      <c r="CA91" s="235">
        <f>VLOOKUP(CA89,'[1]تقرير مصروفات إجمالية'!$B$3:$D$115,3,FALSE)</f>
        <v>0</v>
      </c>
      <c r="CB91" s="235">
        <f>VLOOKUP(CB89,'[1]تقرير مصروفات إجمالية'!$B$3:$D$115,3,FALSE)</f>
        <v>0</v>
      </c>
      <c r="CC91" s="235">
        <f>VLOOKUP(CC89,'[1]تقرير مصروفات إجمالية'!$B$3:$D$115,3,FALSE)</f>
        <v>0</v>
      </c>
      <c r="CD91" s="235">
        <f>VLOOKUP(CD89,'[1]تقرير مصروفات إجمالية'!$B$3:$D$115,3,FALSE)</f>
        <v>0</v>
      </c>
      <c r="CE91" s="235">
        <f>VLOOKUP(CE89,'[1]تقرير مصروفات إجمالية'!$B$3:$D$115,3,FALSE)</f>
        <v>0</v>
      </c>
      <c r="CF91" s="235">
        <f>VLOOKUP(CF89,'[1]تقرير مصروفات إجمالية'!$B$3:$D$115,3,FALSE)</f>
        <v>0</v>
      </c>
      <c r="CG91" s="235">
        <f>VLOOKUP(CG89,'[1]تقرير مصروفات إجمالية'!$B$3:$D$115,3,FALSE)</f>
        <v>0</v>
      </c>
      <c r="CH91" s="235">
        <f>VLOOKUP(CH89,'[1]تقرير مصروفات إجمالية'!$B$3:$D$115,3,FALSE)</f>
        <v>0</v>
      </c>
      <c r="CI91" s="235">
        <f>VLOOKUP(CI89,'[1]تقرير مصروفات إجمالية'!$B$3:$D$115,3,FALSE)</f>
        <v>21384</v>
      </c>
      <c r="CJ91" s="235">
        <f>VLOOKUP(CJ89,'[1]تقرير مصروفات إجمالية'!$B$3:$D$115,3,FALSE)</f>
        <v>0</v>
      </c>
      <c r="CK91" s="235">
        <f>VLOOKUP(CK89,'[1]تقرير مصروفات إجمالية'!$B$3:$D$115,3,FALSE)</f>
        <v>0</v>
      </c>
      <c r="CL91" s="235">
        <f>VLOOKUP(CL89,'[1]تقرير مصروفات إجمالية'!$B$3:$D$115,3,FALSE)</f>
        <v>0</v>
      </c>
      <c r="CM91" s="235">
        <f>VLOOKUP(CM89,'[1]تقرير مصروفات إجمالية'!$B$3:$D$115,3,FALSE)</f>
        <v>68713</v>
      </c>
      <c r="CN91" s="235">
        <f>VLOOKUP(CN89,'[1]تقرير مصروفات إجمالية'!$B$3:$D$115,3,FALSE)</f>
        <v>70675.97000000003</v>
      </c>
      <c r="CO91" s="235">
        <f>VLOOKUP(CO89,'[1]تقرير مصروفات إجمالية'!$B$3:$D$115,3,FALSE)</f>
        <v>0</v>
      </c>
      <c r="CP91" s="235">
        <f>VLOOKUP(CP89,'[1]تقرير مصروفات إجمالية'!$B$3:$D$115,3,FALSE)</f>
        <v>9850</v>
      </c>
      <c r="CQ91" s="235">
        <f>VLOOKUP(CQ89,'[1]تقرير مصروفات إجمالية'!$B$3:$D$115,3,FALSE)</f>
        <v>0</v>
      </c>
      <c r="CR91" s="235">
        <f>VLOOKUP(CR89,'[1]تقرير مصروفات إجمالية'!$B$3:$D$115,3,FALSE)</f>
        <v>0</v>
      </c>
      <c r="CS91" s="235">
        <f>VLOOKUP(CS89,'[1]تقرير مصروفات إجمالية'!$B$3:$D$115,3,FALSE)</f>
        <v>130275</v>
      </c>
      <c r="CT91" s="235">
        <f>VLOOKUP(CT89,'[1]تقرير مصروفات إجمالية'!$B$3:$D$115,3,FALSE)</f>
        <v>4791</v>
      </c>
      <c r="CU91" s="235">
        <f>VLOOKUP(CU89,'[1]تقرير مصروفات إجمالية'!$B$3:$D$115,3,FALSE)</f>
        <v>15933</v>
      </c>
      <c r="CV91" s="235">
        <f>VLOOKUP(CV89,'[1]تقرير مصروفات إجمالية'!$B$3:$D$115,3,FALSE)</f>
        <v>8783.0300000000007</v>
      </c>
      <c r="CW91" s="235">
        <f>VLOOKUP(CW89,'[1]تقرير مصروفات إجمالية'!$B$3:$D$115,3,FALSE)</f>
        <v>0</v>
      </c>
      <c r="CX91" s="235">
        <f>VLOOKUP(CX89,'[1]تقرير مصروفات إجمالية'!$B$3:$D$115,3,FALSE)</f>
        <v>0</v>
      </c>
      <c r="CY91" s="235">
        <f>VLOOKUP(CY89,'[1]تقرير مصروفات إجمالية'!$B$3:$D$115,3,FALSE)</f>
        <v>6433.05</v>
      </c>
      <c r="CZ91" s="235">
        <f>VLOOKUP(CZ89,'[1]تقرير مصروفات إجمالية'!$B$3:$D$115,3,FALSE)</f>
        <v>2577.85</v>
      </c>
      <c r="DA91" s="235">
        <f>VLOOKUP(DA89,'[1]تقرير مصروفات إجمالية'!$B$3:$D$115,3,FALSE)</f>
        <v>2945.4</v>
      </c>
      <c r="DB91" s="235">
        <f>VLOOKUP(DB89,'[1]تقرير مصروفات إجمالية'!$B$3:$D$115,3,FALSE)</f>
        <v>40664.939999999995</v>
      </c>
      <c r="DC91" s="235">
        <f>VLOOKUP(DC89,'[1]تقرير مصروفات إجمالية'!$B$3:$D$115,3,FALSE)</f>
        <v>7957.7999999999984</v>
      </c>
      <c r="DD91" s="235">
        <f>VLOOKUP(DD89,'[1]تقرير مصروفات إجمالية'!$B$3:$D$115,3,FALSE)</f>
        <v>8973.1600000000017</v>
      </c>
      <c r="DE91" s="235">
        <f>VLOOKUP(DE89,'[1]تقرير مصروفات إجمالية'!$B$3:$D$115,3,FALSE)</f>
        <v>23475.739999999994</v>
      </c>
      <c r="DF91" s="235">
        <f>VLOOKUP(DF89,'[1]تقرير مصروفات إجمالية'!$B$3:$D$115,3,FALSE)</f>
        <v>0</v>
      </c>
      <c r="DG91" s="235">
        <f>VLOOKUP(DG89,'[1]تقرير مصروفات إجمالية'!$B$3:$D$115,3,FALSE)</f>
        <v>0</v>
      </c>
      <c r="DH91" s="235">
        <f>VLOOKUP(DH89,'[1]تقرير مصروفات إجمالية'!$B$3:$D$115,3,FALSE)</f>
        <v>116918.42</v>
      </c>
      <c r="DI91" s="235">
        <f>VLOOKUP(DI89,'[1]تقرير مصروفات إجمالية'!$B$3:$D$115,3,FALSE)</f>
        <v>0</v>
      </c>
      <c r="DJ91" s="235">
        <f>VLOOKUP(DJ89,'[1]تقرير مصروفات إجمالية'!$B$3:$D$115,3,FALSE)</f>
        <v>166.66</v>
      </c>
      <c r="DK91" s="235">
        <f>VLOOKUP(DK89,'[1]تقرير مصروفات إجمالية'!$B$3:$D$115,3,FALSE)</f>
        <v>2454.2399999999998</v>
      </c>
      <c r="DL91" s="235">
        <f>VLOOKUP(DL89,'[1]تقرير مصروفات إجمالية'!$B$3:$D$115,3,FALSE)</f>
        <v>0</v>
      </c>
      <c r="DM91" s="235">
        <f>VLOOKUP(DM89,'[1]تقرير مصروفات إجمالية'!$B$3:$D$115,3,FALSE)</f>
        <v>27145</v>
      </c>
      <c r="DN91" s="235">
        <f>VLOOKUP(DN89,'[1]تقرير مصروفات إجمالية'!$B$3:$D$115,3,FALSE)</f>
        <v>13778.07</v>
      </c>
      <c r="DO91" s="235">
        <f>VLOOKUP(DO89,'[1]تقرير مصروفات إجمالية'!$B$3:$D$115,3,FALSE)</f>
        <v>0</v>
      </c>
      <c r="DP91" s="235">
        <f>VLOOKUP(DP89,'[1]تقرير مصروفات إجمالية'!$B$3:$D$115,3,FALSE)</f>
        <v>500</v>
      </c>
      <c r="DQ91" s="235">
        <f>VLOOKUP(DQ89,'[1]تقرير مصروفات إجمالية'!$B$3:$D$115,3,FALSE)</f>
        <v>3570</v>
      </c>
      <c r="DR91" s="235">
        <f>VLOOKUP(DR89,'[1]تقرير مصروفات إجمالية'!$B$3:$D$115,3,FALSE)</f>
        <v>0</v>
      </c>
      <c r="DS91" s="235">
        <f>VLOOKUP(DS89,'[1]تقرير مصروفات إجمالية'!$B$3:$D$115,3,FALSE)</f>
        <v>0</v>
      </c>
      <c r="DT91" s="235">
        <f>VLOOKUP(DT89,'[1]تقرير مصروفات إجمالية'!$B$3:$D$115,3,FALSE)</f>
        <v>0</v>
      </c>
      <c r="DU91" s="235">
        <f>VLOOKUP(DU89,'[1]تقرير مصروفات إجمالية'!$B$3:$D$115,3,FALSE)</f>
        <v>28640</v>
      </c>
      <c r="DV91" s="235">
        <f>VLOOKUP(DV89,'[1]تقرير مصروفات إجمالية'!$B$3:$D$115,3,FALSE)</f>
        <v>17814</v>
      </c>
      <c r="DW91" s="235">
        <f>VLOOKUP(DW89,'[1]تقرير مصروفات إجمالية'!$B$3:$D$115,3,FALSE)</f>
        <v>16217.28</v>
      </c>
      <c r="DX91" s="235">
        <f>VLOOKUP(DX89,'[1]تقرير مصروفات إجمالية'!$B$3:$D$115,3,FALSE)</f>
        <v>32715.46</v>
      </c>
      <c r="DY91" s="235">
        <f>VLOOKUP(DY89,'[1]تقرير مصروفات إجمالية'!$B$3:$D$115,3,FALSE)</f>
        <v>57468.78</v>
      </c>
      <c r="DZ91" s="235">
        <f>VLOOKUP(DZ89,'[1]تقرير مصروفات إجمالية'!$B$3:$D$115,3,FALSE)</f>
        <v>88117.95</v>
      </c>
      <c r="EA91" s="235">
        <f>VLOOKUP(EA89,'[1]تقرير مصروفات إجمالية'!$B$3:$D$115,3,FALSE)</f>
        <v>45418.64</v>
      </c>
      <c r="EB91" s="235">
        <f>VLOOKUP(EB89,'[1]تقرير مصروفات إجمالية'!$B$3:$D$115,3,FALSE)</f>
        <v>20328.900000000001</v>
      </c>
      <c r="EC91" s="235">
        <f>VLOOKUP(EC89,'[1]تقرير مصروفات إجمالية'!$B$3:$D$115,3,FALSE)</f>
        <v>31885.69</v>
      </c>
      <c r="ED91" s="235">
        <f>VLOOKUP(ED89,'[1]تقرير مصروفات إجمالية'!$B$3:$D$115,3,FALSE)</f>
        <v>20793.88</v>
      </c>
      <c r="EE91" s="235">
        <f>VLOOKUP(EE89,'[1]تقرير مصروفات إجمالية'!$B$3:$D$115,3,FALSE)</f>
        <v>30562.5</v>
      </c>
      <c r="EF91" s="235">
        <f>VLOOKUP(EF89,'[1]تقرير مصروفات إجمالية'!$B$3:$D$115,3,FALSE)</f>
        <v>22944.91</v>
      </c>
      <c r="EG91" s="235">
        <f>VLOOKUP(EG89,'[1]تقرير مصروفات إجمالية'!$B$3:$D$115,3,FALSE)</f>
        <v>24094.78</v>
      </c>
      <c r="EH91" s="235">
        <f>VLOOKUP(EH89,'[1]تقرير مصروفات إجمالية'!$B$3:$D$115,3,FALSE)</f>
        <v>28000</v>
      </c>
      <c r="EI91" s="235">
        <f>VLOOKUP(EI89,'[1]تقرير مصروفات إجمالية'!$B$3:$D$115,3,FALSE)</f>
        <v>1243610.8599999999</v>
      </c>
      <c r="EJ91" s="235"/>
      <c r="EK91" s="235"/>
      <c r="EL91" s="235">
        <f>VLOOKUP($EL$89,'تقرير مصروفات إجمالية'!$B$3:$O$119,12,FALSE)</f>
        <v>145389.75</v>
      </c>
    </row>
    <row r="92" spans="2:142" ht="14.4">
      <c r="AA92" s="197" t="s">
        <v>249</v>
      </c>
      <c r="AB92" s="235">
        <f>IFERROR(VLOOKUP(AB89,'تقرير مصروفات إجمالية'!$B$3:$N$115,4,0),0)</f>
        <v>896301.69000000006</v>
      </c>
      <c r="AC92" s="235">
        <f>IFERROR(VLOOKUP(AC89,'تقرير مصروفات إجمالية'!$B$3:$N$115,4,0),0)</f>
        <v>2927024.2500000009</v>
      </c>
      <c r="AD92" s="235">
        <f>IFERROR(VLOOKUP(AD89,'تقرير مصروفات إجمالية'!$B$3:$N$115,4,0),0)</f>
        <v>52992</v>
      </c>
      <c r="AE92" s="235">
        <f>IFERROR(VLOOKUP(AE89,'تقرير مصروفات إجمالية'!$B$3:$N$115,4,0),0)</f>
        <v>880</v>
      </c>
      <c r="AF92" s="235">
        <f>IFERROR(VLOOKUP(AF89,'تقرير مصروفات إجمالية'!$B$3:$N$115,4,0),0)</f>
        <v>3750</v>
      </c>
      <c r="AG92" s="235">
        <f>IFERROR(VLOOKUP(AG89,'تقرير مصروفات إجمالية'!$B$3:$N$115,4,0),0)</f>
        <v>300000</v>
      </c>
      <c r="AH92" s="235">
        <f>IFERROR(VLOOKUP(AH89,'تقرير مصروفات إجمالية'!$B$3:$N$115,4,0),0)</f>
        <v>100000</v>
      </c>
      <c r="AI92" s="235">
        <f>IFERROR(VLOOKUP(AI89,'تقرير مصروفات إجمالية'!$B$3:$N$115,4,0),0)</f>
        <v>386901</v>
      </c>
      <c r="AJ92" s="235">
        <f>IFERROR(VLOOKUP(AJ89,'تقرير مصروفات إجمالية'!$B$3:$N$115,4,0),0)</f>
        <v>10658</v>
      </c>
      <c r="AK92" s="235">
        <f>IFERROR(VLOOKUP(AK89,'تقرير مصروفات إجمالية'!$B$3:$N$115,4,0),0)</f>
        <v>21393.489999999994</v>
      </c>
      <c r="AL92" s="235">
        <f>IFERROR(VLOOKUP(AL89,'تقرير مصروفات إجمالية'!$B$3:$N$115,4,0),0)</f>
        <v>0</v>
      </c>
      <c r="AM92" s="235">
        <f>IFERROR(VLOOKUP(AM89,'تقرير مصروفات إجمالية'!$B$3:$N$115,4,0),0)</f>
        <v>7455</v>
      </c>
      <c r="AN92" s="235">
        <f>IFERROR(VLOOKUP(AN89,'تقرير مصروفات إجمالية'!$B$3:$N$115,4,0),0)</f>
        <v>665</v>
      </c>
      <c r="AO92" s="235">
        <f>IFERROR(VLOOKUP(AO89,'تقرير مصروفات إجمالية'!$B$3:$N$115,4,0),0)</f>
        <v>6895</v>
      </c>
      <c r="AP92" s="235">
        <f>IFERROR(VLOOKUP(AP89,'تقرير مصروفات إجمالية'!$B$3:$N$115,4,0),0)</f>
        <v>21750</v>
      </c>
      <c r="AQ92" s="235">
        <f>IFERROR(VLOOKUP(AQ89,'تقرير مصروفات إجمالية'!$B$3:$N$115,4,0),0)</f>
        <v>29250</v>
      </c>
      <c r="AR92" s="235">
        <f>IFERROR(VLOOKUP(AR89,'تقرير مصروفات إجمالية'!$B$3:$N$115,4,0),0)</f>
        <v>0</v>
      </c>
      <c r="AS92" s="235">
        <f>IFERROR(VLOOKUP(AS89,'تقرير مصروفات إجمالية'!$B$3:$N$115,4,0),0)</f>
        <v>51189</v>
      </c>
      <c r="AT92" s="235">
        <f>IFERROR(VLOOKUP(AT89,'تقرير مصروفات إجمالية'!$B$3:$N$115,4,0),0)</f>
        <v>58660.11</v>
      </c>
      <c r="AU92" s="235">
        <f>IFERROR(VLOOKUP(AU89,'تقرير مصروفات إجمالية'!$B$3:$N$115,4,0),0)</f>
        <v>241827.69</v>
      </c>
      <c r="AV92" s="235">
        <f>IFERROR(VLOOKUP(AV89,'تقرير مصروفات إجمالية'!$B$3:$N$115,4,0),0)</f>
        <v>370</v>
      </c>
      <c r="AW92" s="235">
        <f>IFERROR(VLOOKUP(AW89,'تقرير مصروفات إجمالية'!$B$3:$N$115,4,0),0)</f>
        <v>0</v>
      </c>
      <c r="AX92" s="235">
        <f>IFERROR(VLOOKUP(AX89,'تقرير مصروفات إجمالية'!$B$3:$N$115,4,0),0)</f>
        <v>2774</v>
      </c>
      <c r="AY92" s="235">
        <f>IFERROR(VLOOKUP(AY89,'تقرير مصروفات إجمالية'!$B$3:$N$115,4,0),0)</f>
        <v>355</v>
      </c>
      <c r="AZ92" s="235">
        <f>IFERROR(VLOOKUP(AZ89,'تقرير مصروفات إجمالية'!$B$3:$N$115,4,0),0)</f>
        <v>1343.92</v>
      </c>
      <c r="BA92" s="235">
        <f>IFERROR(VLOOKUP(BA89,'تقرير مصروفات إجمالية'!$B$3:$N$115,4,0),0)</f>
        <v>2000</v>
      </c>
      <c r="BB92" s="235">
        <f>IFERROR(VLOOKUP(BB89,'تقرير مصروفات إجمالية'!$B$3:$N$115,4,0),0)</f>
        <v>420</v>
      </c>
      <c r="BC92" s="235">
        <f>IFERROR(VLOOKUP(BC89,'تقرير مصروفات إجمالية'!$B$3:$N$115,4,0),0)</f>
        <v>0</v>
      </c>
      <c r="BD92" s="235">
        <f>IFERROR(VLOOKUP(BD89,'تقرير مصروفات إجمالية'!$B$3:$N$115,4,0),0)</f>
        <v>0</v>
      </c>
      <c r="BE92" s="235">
        <f>IFERROR(VLOOKUP(BE89,'تقرير مصروفات إجمالية'!$B$3:$N$115,4,0),0)</f>
        <v>27655</v>
      </c>
      <c r="BF92" s="235">
        <f>IFERROR(VLOOKUP(BF89,'تقرير مصروفات إجمالية'!$B$3:$N$115,4,0),0)</f>
        <v>20725</v>
      </c>
      <c r="BG92" s="235">
        <f>IFERROR(VLOOKUP(BG89,'تقرير مصروفات إجمالية'!$B$3:$N$115,4,0),0)</f>
        <v>0</v>
      </c>
      <c r="BH92" s="235">
        <f>IFERROR(VLOOKUP(BH89,'تقرير مصروفات إجمالية'!$B$3:$N$115,4,0),0)</f>
        <v>187650</v>
      </c>
      <c r="BI92" s="235">
        <f>IFERROR(VLOOKUP(BI89,'تقرير مصروفات إجمالية'!$B$3:$N$115,4,0),0)</f>
        <v>6760</v>
      </c>
      <c r="BJ92" s="235">
        <f>IFERROR(VLOOKUP(BJ89,'تقرير مصروفات إجمالية'!$B$3:$N$115,4,0),0)</f>
        <v>3718.29</v>
      </c>
      <c r="BK92" s="235">
        <f>IFERROR(VLOOKUP(BK89,'تقرير مصروفات إجمالية'!$B$3:$N$115,4,0),0)</f>
        <v>28000</v>
      </c>
      <c r="BL92" s="235">
        <f>IFERROR(VLOOKUP(BL89,'تقرير مصروفات إجمالية'!$B$3:$N$115,4,0),0)</f>
        <v>0</v>
      </c>
      <c r="BM92" s="235">
        <f>IFERROR(VLOOKUP(BM89,'تقرير مصروفات إجمالية'!$B$3:$N$115,4,0),0)</f>
        <v>75392.240000000005</v>
      </c>
      <c r="BN92" s="235">
        <f>IFERROR(VLOOKUP(BN89,'تقرير مصروفات إجمالية'!$B$3:$N$115,4,0),0)</f>
        <v>111950</v>
      </c>
      <c r="BO92" s="235">
        <f>IFERROR(VLOOKUP(BO89,'تقرير مصروفات إجمالية'!$B$3:$N$115,4,0),0)</f>
        <v>4100</v>
      </c>
      <c r="BP92" s="235">
        <f>IFERROR(VLOOKUP(BP89,'تقرير مصروفات إجمالية'!$B$3:$N$115,4,0),0)</f>
        <v>34200</v>
      </c>
      <c r="BQ92" s="235">
        <f>IFERROR(VLOOKUP(BQ89,'تقرير مصروفات إجمالية'!$B$3:$N$115,4,0),0)</f>
        <v>0</v>
      </c>
      <c r="BR92" s="235">
        <f>IFERROR(VLOOKUP(BR89,'تقرير مصروفات إجمالية'!$B$3:$N$115,4,0),0)</f>
        <v>153250</v>
      </c>
      <c r="BS92" s="235">
        <f>IFERROR(VLOOKUP(BS89,'تقرير مصروفات إجمالية'!$B$3:$N$115,4,0),0)</f>
        <v>0</v>
      </c>
      <c r="BT92" s="235">
        <f>IFERROR(VLOOKUP(BT89,'تقرير مصروفات إجمالية'!$B$3:$N$115,4,0),0)</f>
        <v>16510</v>
      </c>
      <c r="BU92" s="235">
        <f>IFERROR(VLOOKUP(BU89,'تقرير مصروفات إجمالية'!$B$3:$N$115,4,0),0)</f>
        <v>6000</v>
      </c>
      <c r="BV92" s="235">
        <f>IFERROR(VLOOKUP(BV89,'تقرير مصروفات إجمالية'!$B$3:$N$115,4,0),0)</f>
        <v>0</v>
      </c>
      <c r="BW92" s="235">
        <f>IFERROR(VLOOKUP(BW89,'تقرير مصروفات إجمالية'!$B$3:$N$115,4,0),0)</f>
        <v>0</v>
      </c>
      <c r="BX92" s="235">
        <f>IFERROR(VLOOKUP(BX89,'تقرير مصروفات إجمالية'!$B$3:$N$115,4,0),0)</f>
        <v>23875</v>
      </c>
      <c r="BY92" s="235">
        <f>IFERROR(VLOOKUP(BY89,'تقرير مصروفات إجمالية'!$B$3:$N$115,4,0),0)</f>
        <v>0</v>
      </c>
      <c r="BZ92" s="235">
        <f>IFERROR(VLOOKUP(BZ89,'تقرير مصروفات إجمالية'!$B$3:$N$115,4,0),0)</f>
        <v>0</v>
      </c>
      <c r="CA92" s="235">
        <f>IFERROR(VLOOKUP(CA89,'تقرير مصروفات إجمالية'!$B$3:$N$115,4,0),0)</f>
        <v>0</v>
      </c>
      <c r="CB92" s="235">
        <f>IFERROR(VLOOKUP(CB89,'تقرير مصروفات إجمالية'!$B$3:$N$115,4,0),0)</f>
        <v>0</v>
      </c>
      <c r="CC92" s="235">
        <f>IFERROR(VLOOKUP(CC89,'تقرير مصروفات إجمالية'!$B$3:$N$115,4,0),0)</f>
        <v>0</v>
      </c>
      <c r="CD92" s="235">
        <f>IFERROR(VLOOKUP(CD89,'تقرير مصروفات إجمالية'!$B$3:$N$115,4,0),0)</f>
        <v>0</v>
      </c>
      <c r="CE92" s="235">
        <f>IFERROR(VLOOKUP(CE89,'تقرير مصروفات إجمالية'!$B$3:$N$115,4,0),0)</f>
        <v>0</v>
      </c>
      <c r="CF92" s="235">
        <f>IFERROR(VLOOKUP(CF89,'تقرير مصروفات إجمالية'!$B$3:$N$115,4,0),0)</f>
        <v>0</v>
      </c>
      <c r="CG92" s="235">
        <f>IFERROR(VLOOKUP(CG89,'تقرير مصروفات إجمالية'!$B$3:$N$115,4,0),0)</f>
        <v>0</v>
      </c>
      <c r="CH92" s="235">
        <f>IFERROR(VLOOKUP(CH89,'تقرير مصروفات إجمالية'!$B$3:$N$115,4,0),0)</f>
        <v>0</v>
      </c>
      <c r="CI92" s="235">
        <f>IFERROR(VLOOKUP(CI89,'تقرير مصروفات إجمالية'!$B$3:$N$115,4,0),0)</f>
        <v>43068</v>
      </c>
      <c r="CJ92" s="235">
        <f>IFERROR(VLOOKUP(CJ89,'تقرير مصروفات إجمالية'!$B$3:$N$115,4,0),0)</f>
        <v>0</v>
      </c>
      <c r="CK92" s="235">
        <f>IFERROR(VLOOKUP(CK89,'تقرير مصروفات إجمالية'!$B$3:$N$115,4,0),0)</f>
        <v>0</v>
      </c>
      <c r="CL92" s="235">
        <f>IFERROR(VLOOKUP(CL89,'تقرير مصروفات إجمالية'!$B$3:$N$115,4,0),0)</f>
        <v>0</v>
      </c>
      <c r="CM92" s="235">
        <f>IFERROR(VLOOKUP(CM89,'تقرير مصروفات إجمالية'!$B$3:$N$115,4,0),0)</f>
        <v>68268</v>
      </c>
      <c r="CN92" s="235">
        <f>IFERROR(VLOOKUP(CN89,'تقرير مصروفات إجمالية'!$B$3:$N$115,4,0),0)</f>
        <v>10252</v>
      </c>
      <c r="CO92" s="235">
        <f>IFERROR(VLOOKUP(CO89,'تقرير مصروفات إجمالية'!$B$3:$N$115,4,0),0)</f>
        <v>0</v>
      </c>
      <c r="CP92" s="235">
        <f>IFERROR(VLOOKUP(CP89,'تقرير مصروفات إجمالية'!$B$3:$N$115,4,0),0)</f>
        <v>12050</v>
      </c>
      <c r="CQ92" s="235">
        <f>IFERROR(VLOOKUP(CQ89,'تقرير مصروفات إجمالية'!$B$3:$N$115,4,0),0)</f>
        <v>0</v>
      </c>
      <c r="CR92" s="235">
        <f>IFERROR(VLOOKUP(CR89,'تقرير مصروفات إجمالية'!$B$3:$N$115,4,0),0)</f>
        <v>3700</v>
      </c>
      <c r="CS92" s="235">
        <f>IFERROR(VLOOKUP(CS89,'تقرير مصروفات إجمالية'!$B$3:$N$115,4,0),0)</f>
        <v>132400</v>
      </c>
      <c r="CT92" s="235">
        <f>IFERROR(VLOOKUP(CT89,'تقرير مصروفات إجمالية'!$B$3:$N$115,4,0),0)</f>
        <v>17120</v>
      </c>
      <c r="CU92" s="235">
        <f>IFERROR(VLOOKUP(CU89,'تقرير مصروفات إجمالية'!$B$3:$N$115,4,0),0)</f>
        <v>0</v>
      </c>
      <c r="CV92" s="235">
        <f>IFERROR(VLOOKUP(CV89,'تقرير مصروفات إجمالية'!$B$3:$N$115,4,0),0)</f>
        <v>8686.5500000000011</v>
      </c>
      <c r="CW92" s="235">
        <f>IFERROR(VLOOKUP(CW89,'تقرير مصروفات إجمالية'!$B$3:$N$115,4,0),0)</f>
        <v>18000</v>
      </c>
      <c r="CX92" s="235">
        <f>IFERROR(VLOOKUP(CX89,'تقرير مصروفات إجمالية'!$B$3:$N$115,4,0),0)</f>
        <v>0</v>
      </c>
      <c r="CY92" s="235">
        <f>IFERROR(VLOOKUP(CY89,'تقرير مصروفات إجمالية'!$B$3:$N$115,4,0),0)</f>
        <v>6433.05</v>
      </c>
      <c r="CZ92" s="235">
        <f>IFERROR(VLOOKUP(CZ89,'تقرير مصروفات إجمالية'!$B$3:$N$115,4,0),0)</f>
        <v>2577.85</v>
      </c>
      <c r="DA92" s="235">
        <f>IFERROR(VLOOKUP(DA89,'تقرير مصروفات إجمالية'!$B$3:$N$115,4,0),0)</f>
        <v>2945.4</v>
      </c>
      <c r="DB92" s="235">
        <f>IFERROR(VLOOKUP(DB89,'تقرير مصروفات إجمالية'!$B$3:$N$115,4,0),0)</f>
        <v>41634.260000000017</v>
      </c>
      <c r="DC92" s="235">
        <f>IFERROR(VLOOKUP(DC89,'تقرير مصروفات إجمالية'!$B$3:$N$115,4,0),0)</f>
        <v>7268.1199999999963</v>
      </c>
      <c r="DD92" s="235">
        <f>IFERROR(VLOOKUP(DD89,'تقرير مصروفات إجمالية'!$B$3:$N$115,4,0),0)</f>
        <v>10309.669999999998</v>
      </c>
      <c r="DE92" s="235">
        <f>IFERROR(VLOOKUP(DE89,'تقرير مصروفات إجمالية'!$B$3:$N$115,4,0),0)</f>
        <v>23349.91</v>
      </c>
      <c r="DF92" s="235">
        <f>IFERROR(VLOOKUP(DF89,'تقرير مصروفات إجمالية'!$B$3:$N$115,4,0),0)</f>
        <v>0</v>
      </c>
      <c r="DG92" s="235">
        <f>IFERROR(VLOOKUP(DG89,'تقرير مصروفات إجمالية'!$B$3:$N$115,4,0),0)</f>
        <v>0</v>
      </c>
      <c r="DH92" s="235">
        <f>IFERROR(VLOOKUP(DH89,'تقرير مصروفات إجمالية'!$B$3:$N$115,4,0),0)</f>
        <v>120178.91</v>
      </c>
      <c r="DI92" s="235">
        <f>IFERROR(VLOOKUP(DI89,'تقرير مصروفات إجمالية'!$B$3:$N$115,4,0),0)</f>
        <v>0</v>
      </c>
      <c r="DJ92" s="235">
        <f>IFERROR(VLOOKUP(DJ89,'تقرير مصروفات إجمالية'!$B$3:$N$115,4,0),0)</f>
        <v>166.66</v>
      </c>
      <c r="DK92" s="235">
        <f>IFERROR(VLOOKUP(DK89,'تقرير مصروفات إجمالية'!$B$3:$N$115,4,0),0)</f>
        <v>958.5</v>
      </c>
      <c r="DL92" s="235">
        <f>IFERROR(VLOOKUP(DL89,'تقرير مصروفات إجمالية'!$B$3:$N$115,4,0),0)</f>
        <v>0</v>
      </c>
      <c r="DM92" s="235">
        <f>IFERROR(VLOOKUP(DM89,'تقرير مصروفات إجمالية'!$B$3:$N$115,4,0),0)</f>
        <v>0</v>
      </c>
      <c r="DN92" s="235">
        <f>IFERROR(VLOOKUP(DN89,'تقرير مصروفات إجمالية'!$B$3:$N$115,4,0),0)</f>
        <v>5739</v>
      </c>
      <c r="DO92" s="235">
        <f>IFERROR(VLOOKUP(DO89,'تقرير مصروفات إجمالية'!$B$3:$N$115,4,0),0)</f>
        <v>0</v>
      </c>
      <c r="DP92" s="235">
        <f>IFERROR(VLOOKUP(DP89,'تقرير مصروفات إجمالية'!$B$3:$N$115,4,0),0)</f>
        <v>500</v>
      </c>
      <c r="DQ92" s="235">
        <f>IFERROR(VLOOKUP(DQ89,'تقرير مصروفات إجمالية'!$B$3:$N$115,4,0),0)</f>
        <v>5270</v>
      </c>
      <c r="DR92" s="235">
        <f>IFERROR(VLOOKUP(DR89,'تقرير مصروفات إجمالية'!$B$3:$N$115,4,0),0)</f>
        <v>0</v>
      </c>
      <c r="DS92" s="235">
        <f>IFERROR(VLOOKUP(DS89,'تقرير مصروفات إجمالية'!$B$3:$N$115,4,0),0)</f>
        <v>0</v>
      </c>
      <c r="DT92" s="235">
        <f>IFERROR(VLOOKUP(DT89,'تقرير مصروفات إجمالية'!$B$3:$N$115,4,0),0)</f>
        <v>0</v>
      </c>
      <c r="DU92" s="235">
        <f>IFERROR(VLOOKUP(DU89,'تقرير مصروفات إجمالية'!$B$3:$N$115,4,0),0)</f>
        <v>0</v>
      </c>
      <c r="DV92" s="235">
        <f>IFERROR(VLOOKUP(DV89,'تقرير مصروفات إجمالية'!$B$3:$N$115,4,0),0)</f>
        <v>17814</v>
      </c>
      <c r="DW92" s="235">
        <f>IFERROR(VLOOKUP(DW89,'تقرير مصروفات إجمالية'!$B$3:$N$115,4,0),0)</f>
        <v>16217.28</v>
      </c>
      <c r="DX92" s="235">
        <f>IFERROR(VLOOKUP(DX89,'تقرير مصروفات إجمالية'!$B$3:$N$115,4,0),0)</f>
        <v>32715.699999999997</v>
      </c>
      <c r="DY92" s="235">
        <f>IFERROR(VLOOKUP(DY89,'تقرير مصروفات إجمالية'!$B$3:$N$115,4,0),0)</f>
        <v>57468.78</v>
      </c>
      <c r="DZ92" s="235">
        <f>IFERROR(VLOOKUP(DZ89,'تقرير مصروفات إجمالية'!$B$3:$N$115,4,0),0)</f>
        <v>81687</v>
      </c>
      <c r="EA92" s="235">
        <f>IFERROR(VLOOKUP(EA89,'تقرير مصروفات إجمالية'!$B$3:$N$115,4,0),0)</f>
        <v>45418.64</v>
      </c>
      <c r="EB92" s="235">
        <f>IFERROR(VLOOKUP(EB89,'تقرير مصروفات إجمالية'!$B$3:$N$115,4,0),0)</f>
        <v>20328.900000000001</v>
      </c>
      <c r="EC92" s="235">
        <f>IFERROR(VLOOKUP(EC89,'تقرير مصروفات إجمالية'!$B$3:$N$115,4,0),0)</f>
        <v>17785.95</v>
      </c>
      <c r="ED92" s="235">
        <f>IFERROR(VLOOKUP(ED89,'تقرير مصروفات إجمالية'!$B$3:$N$115,4,0),0)</f>
        <v>20793.88</v>
      </c>
      <c r="EE92" s="235">
        <f>IFERROR(VLOOKUP(EE89,'تقرير مصروفات إجمالية'!$B$3:$N$115,4,0),0)</f>
        <v>30993.75</v>
      </c>
      <c r="EF92" s="235">
        <f>IFERROR(VLOOKUP(EF89,'تقرير مصروفات إجمالية'!$B$3:$N$115,4,0),0)</f>
        <v>22944.91</v>
      </c>
      <c r="EG92" s="235">
        <f>IFERROR(VLOOKUP(EG89,'تقرير مصروفات إجمالية'!$B$3:$N$115,4,0),0)</f>
        <v>24094.78</v>
      </c>
      <c r="EH92" s="235">
        <f>IFERROR(VLOOKUP(EH89,'تقرير مصروفات إجمالية'!$B$3:$N$115,4,0),0)</f>
        <v>6000</v>
      </c>
      <c r="EI92" s="235">
        <f>IFERROR(VLOOKUP(EI89,'تقرير مصروفات إجمالية'!$B$3:$N$115,4,0),0)</f>
        <v>1359247.6500000001</v>
      </c>
      <c r="EJ92" s="235"/>
      <c r="EK92" s="235"/>
      <c r="EL92" s="235">
        <f>VLOOKUP($EL$89,'تقرير مصروفات إجمالية'!$B$3:$O$119,12,FALSE)</f>
        <v>145389.75</v>
      </c>
    </row>
    <row r="93" spans="2:142" ht="14.4">
      <c r="AA93" s="197" t="s">
        <v>250</v>
      </c>
      <c r="AB93" s="235">
        <f>VLOOKUP(AB89,'تقرير مصروفات إجمالية'!$B$3:$F$115,5,0)</f>
        <v>903218.51</v>
      </c>
      <c r="AC93" s="235">
        <f>VLOOKUP(AC89,'تقرير مصروفات إجمالية'!$B$3:$F$115,5,0)</f>
        <v>3075055.5999999978</v>
      </c>
      <c r="AD93" s="235">
        <f>VLOOKUP(AD89,'تقرير مصروفات إجمالية'!$B$3:$F$115,5,0)</f>
        <v>36566</v>
      </c>
      <c r="AE93" s="235">
        <f>VLOOKUP(AE89,'تقرير مصروفات إجمالية'!$B$3:$F$115,5,0)</f>
        <v>2800</v>
      </c>
      <c r="AF93" s="235">
        <f>VLOOKUP(AF89,'تقرير مصروفات إجمالية'!$B$3:$F$115,5,0)</f>
        <v>0</v>
      </c>
      <c r="AG93" s="235">
        <f>VLOOKUP(AG89,'تقرير مصروفات إجمالية'!$B$3:$F$115,5,0)</f>
        <v>300000</v>
      </c>
      <c r="AH93" s="235">
        <f>VLOOKUP(AH89,'تقرير مصروفات إجمالية'!$B$3:$F$115,5,0)</f>
        <v>100000</v>
      </c>
      <c r="AI93" s="235">
        <f>VLOOKUP(AI89,'تقرير مصروفات إجمالية'!$B$3:$F$115,5,0)</f>
        <v>389261</v>
      </c>
      <c r="AJ93" s="235">
        <f>VLOOKUP(AJ89,'تقرير مصروفات إجمالية'!$B$3:$F$115,5,0)</f>
        <v>9685</v>
      </c>
      <c r="AK93" s="235">
        <f>VLOOKUP(AK89,'تقرير مصروفات إجمالية'!$B$3:$F$115,5,0)</f>
        <v>21226.209999999995</v>
      </c>
      <c r="AL93" s="235">
        <f>VLOOKUP(AL89,'تقرير مصروفات إجمالية'!$B$3:$F$115,5,0)</f>
        <v>0</v>
      </c>
      <c r="AM93" s="235">
        <f>VLOOKUP(AM89,'تقرير مصروفات إجمالية'!$B$3:$F$115,5,0)</f>
        <v>7350</v>
      </c>
      <c r="AN93" s="235">
        <f>VLOOKUP(AN89,'تقرير مصروفات إجمالية'!$B$3:$F$115,5,0)</f>
        <v>118565</v>
      </c>
      <c r="AO93" s="235">
        <f>VLOOKUP(AO89,'تقرير مصروفات إجمالية'!$B$3:$F$115,5,0)</f>
        <v>3995</v>
      </c>
      <c r="AP93" s="235">
        <f>VLOOKUP(AP89,'تقرير مصروفات إجمالية'!$B$3:$F$115,5,0)</f>
        <v>32250</v>
      </c>
      <c r="AQ93" s="235">
        <f>VLOOKUP(AQ89,'تقرير مصروفات إجمالية'!$B$3:$F$115,5,0)</f>
        <v>47250</v>
      </c>
      <c r="AR93" s="235">
        <f>VLOOKUP(AR89,'تقرير مصروفات إجمالية'!$B$3:$F$115,5,0)</f>
        <v>0</v>
      </c>
      <c r="AS93" s="235">
        <f>VLOOKUP(AS89,'تقرير مصروفات إجمالية'!$B$3:$F$115,5,0)</f>
        <v>144436</v>
      </c>
      <c r="AT93" s="235">
        <f>VLOOKUP(AT89,'تقرير مصروفات إجمالية'!$B$3:$F$115,5,0)</f>
        <v>41024.29</v>
      </c>
      <c r="AU93" s="235">
        <f>VLOOKUP(AU89,'تقرير مصروفات إجمالية'!$B$3:$F$115,5,0)</f>
        <v>37972.49</v>
      </c>
      <c r="AV93" s="235">
        <f>VLOOKUP(AV89,'تقرير مصروفات إجمالية'!$B$3:$F$115,5,0)</f>
        <v>566</v>
      </c>
      <c r="AW93" s="235">
        <f>VLOOKUP(AW89,'تقرير مصروفات إجمالية'!$B$3:$F$115,5,0)</f>
        <v>0</v>
      </c>
      <c r="AX93" s="235">
        <f>VLOOKUP(AX89,'تقرير مصروفات إجمالية'!$B$3:$F$115,5,0)</f>
        <v>3614.27</v>
      </c>
      <c r="AY93" s="235">
        <f>VLOOKUP(AY89,'تقرير مصروفات إجمالية'!$B$3:$F$115,5,0)</f>
        <v>255</v>
      </c>
      <c r="AZ93" s="235">
        <f>VLOOKUP(AZ89,'تقرير مصروفات إجمالية'!$B$3:$F$115,5,0)</f>
        <v>1343.92</v>
      </c>
      <c r="BA93" s="235">
        <f>VLOOKUP(BA89,'تقرير مصروفات إجمالية'!$B$3:$F$115,5,0)</f>
        <v>21900</v>
      </c>
      <c r="BB93" s="235">
        <f>VLOOKUP(BB89,'تقرير مصروفات إجمالية'!$B$3:$F$115,5,0)</f>
        <v>13500</v>
      </c>
      <c r="BC93" s="235">
        <f>VLOOKUP(BC89,'تقرير مصروفات إجمالية'!$B$3:$F$115,5,0)</f>
        <v>0</v>
      </c>
      <c r="BD93" s="235">
        <f>VLOOKUP(BD89,'تقرير مصروفات إجمالية'!$B$3:$F$115,5,0)</f>
        <v>0</v>
      </c>
      <c r="BE93" s="235">
        <f>VLOOKUP(BE89,'تقرير مصروفات إجمالية'!$B$3:$F$115,5,0)</f>
        <v>59450</v>
      </c>
      <c r="BF93" s="235">
        <f>VLOOKUP(BF89,'تقرير مصروفات إجمالية'!$B$3:$F$115,5,0)</f>
        <v>76435</v>
      </c>
      <c r="BG93" s="235">
        <f>VLOOKUP(BG89,'تقرير مصروفات إجمالية'!$B$3:$F$115,5,0)</f>
        <v>0</v>
      </c>
      <c r="BH93" s="235">
        <f>VLOOKUP(BH89,'تقرير مصروفات إجمالية'!$B$3:$F$115,5,0)</f>
        <v>108805</v>
      </c>
      <c r="BI93" s="235">
        <f>VLOOKUP(BI89,'تقرير مصروفات إجمالية'!$B$3:$F$115,5,0)</f>
        <v>9960</v>
      </c>
      <c r="BJ93" s="235">
        <f>VLOOKUP(BJ89,'تقرير مصروفات إجمالية'!$B$3:$F$115,5,0)</f>
        <v>2898.4700000000003</v>
      </c>
      <c r="BK93" s="235">
        <f>VLOOKUP(BK89,'تقرير مصروفات إجمالية'!$B$3:$F$115,5,0)</f>
        <v>38000</v>
      </c>
      <c r="BL93" s="235">
        <f>VLOOKUP(BL89,'تقرير مصروفات إجمالية'!$B$3:$F$115,5,0)</f>
        <v>0</v>
      </c>
      <c r="BM93" s="235">
        <f>VLOOKUP(BM89,'تقرير مصروفات إجمالية'!$B$3:$F$115,5,0)</f>
        <v>118153.79</v>
      </c>
      <c r="BN93" s="235">
        <f>VLOOKUP(BN89,'تقرير مصروفات إجمالية'!$B$3:$F$115,5,0)</f>
        <v>65410</v>
      </c>
      <c r="BO93" s="235">
        <f>VLOOKUP(BO89,'تقرير مصروفات إجمالية'!$B$3:$F$115,5,0)</f>
        <v>5085</v>
      </c>
      <c r="BP93" s="235">
        <f>VLOOKUP(BP89,'تقرير مصروفات إجمالية'!$B$3:$F$115,5,0)</f>
        <v>0</v>
      </c>
      <c r="BQ93" s="235">
        <f>VLOOKUP(BQ89,'تقرير مصروفات إجمالية'!$B$3:$F$115,5,0)</f>
        <v>0</v>
      </c>
      <c r="BR93" s="235">
        <f>VLOOKUP(BR89,'تقرير مصروفات إجمالية'!$B$3:$F$115,5,0)</f>
        <v>29030</v>
      </c>
      <c r="BS93" s="235">
        <f>VLOOKUP(BS89,'تقرير مصروفات إجمالية'!$B$3:$F$115,5,0)</f>
        <v>0</v>
      </c>
      <c r="BT93" s="235">
        <f>VLOOKUP(BT89,'تقرير مصروفات إجمالية'!$B$3:$F$115,5,0)</f>
        <v>16945</v>
      </c>
      <c r="BU93" s="235">
        <f>VLOOKUP(BU89,'تقرير مصروفات إجمالية'!$B$3:$F$115,5,0)</f>
        <v>7850</v>
      </c>
      <c r="BV93" s="235">
        <f>VLOOKUP(BV89,'تقرير مصروفات إجمالية'!$B$3:$F$115,5,0)</f>
        <v>0</v>
      </c>
      <c r="BW93" s="235">
        <f>VLOOKUP(BW89,'تقرير مصروفات إجمالية'!$B$3:$F$115,5,0)</f>
        <v>0</v>
      </c>
      <c r="BX93" s="235">
        <f>VLOOKUP(BX89,'تقرير مصروفات إجمالية'!$B$3:$F$115,5,0)</f>
        <v>2000</v>
      </c>
      <c r="BY93" s="235">
        <f>VLOOKUP(BY89,'تقرير مصروفات إجمالية'!$B$3:$F$115,5,0)</f>
        <v>785</v>
      </c>
      <c r="BZ93" s="235">
        <f>VLOOKUP(BZ89,'تقرير مصروفات إجمالية'!$B$3:$F$115,5,0)</f>
        <v>0</v>
      </c>
      <c r="CA93" s="235">
        <f>VLOOKUP(CA89,'تقرير مصروفات إجمالية'!$B$3:$F$115,5,0)</f>
        <v>0</v>
      </c>
      <c r="CB93" s="235">
        <f>VLOOKUP(CB89,'تقرير مصروفات إجمالية'!$B$3:$F$115,5,0)</f>
        <v>0</v>
      </c>
      <c r="CC93" s="235">
        <f>VLOOKUP(CC89,'تقرير مصروفات إجمالية'!$B$3:$F$115,5,0)</f>
        <v>0</v>
      </c>
      <c r="CD93" s="235">
        <f>VLOOKUP(CD89,'تقرير مصروفات إجمالية'!$B$3:$F$115,5,0)</f>
        <v>0</v>
      </c>
      <c r="CE93" s="235">
        <f>VLOOKUP(CE89,'تقرير مصروفات إجمالية'!$B$3:$F$115,5,0)</f>
        <v>0</v>
      </c>
      <c r="CF93" s="235">
        <f>VLOOKUP(CF89,'تقرير مصروفات إجمالية'!$B$3:$F$115,5,0)</f>
        <v>0</v>
      </c>
      <c r="CG93" s="235">
        <f>VLOOKUP(CG89,'تقرير مصروفات إجمالية'!$B$3:$F$115,5,0)</f>
        <v>0</v>
      </c>
      <c r="CH93" s="235">
        <f>VLOOKUP(CH89,'تقرير مصروفات إجمالية'!$B$3:$F$115,5,0)</f>
        <v>0</v>
      </c>
      <c r="CI93" s="235">
        <f>VLOOKUP(CI89,'تقرير مصروفات إجمالية'!$B$3:$F$115,5,0)</f>
        <v>26373</v>
      </c>
      <c r="CJ93" s="235">
        <f>VLOOKUP(CJ89,'تقرير مصروفات إجمالية'!$B$3:$F$115,5,0)</f>
        <v>0</v>
      </c>
      <c r="CK93" s="235">
        <f>VLOOKUP(CK89,'تقرير مصروفات إجمالية'!$B$3:$F$115,5,0)</f>
        <v>0</v>
      </c>
      <c r="CL93" s="235">
        <f>VLOOKUP(CL89,'تقرير مصروفات إجمالية'!$B$3:$F$115,5,0)</f>
        <v>0</v>
      </c>
      <c r="CM93" s="235">
        <f>VLOOKUP(CM89,'تقرير مصروفات إجمالية'!$B$3:$F$115,5,0)</f>
        <v>65608</v>
      </c>
      <c r="CN93" s="235">
        <f>VLOOKUP(CN89,'تقرير مصروفات إجمالية'!$B$3:$F$115,5,0)</f>
        <v>24452.2</v>
      </c>
      <c r="CO93" s="235">
        <f>VLOOKUP(CO89,'تقرير مصروفات إجمالية'!$B$3:$F$115,5,0)</f>
        <v>0</v>
      </c>
      <c r="CP93" s="235">
        <f>VLOOKUP(CP89,'تقرير مصروفات إجمالية'!$B$3:$F$115,5,0)</f>
        <v>770</v>
      </c>
      <c r="CQ93" s="235">
        <f>VLOOKUP(CQ89,'تقرير مصروفات إجمالية'!$B$3:$F$115,5,0)</f>
        <v>0</v>
      </c>
      <c r="CR93" s="235">
        <f>VLOOKUP(CR89,'تقرير مصروفات إجمالية'!$B$3:$F$115,5,0)</f>
        <v>0</v>
      </c>
      <c r="CS93" s="235">
        <f>VLOOKUP(CS89,'تقرير مصروفات إجمالية'!$B$3:$F$115,5,0)</f>
        <v>135607</v>
      </c>
      <c r="CT93" s="235">
        <f>VLOOKUP(CT89,'تقرير مصروفات إجمالية'!$B$3:$F$115,5,0)</f>
        <v>10910</v>
      </c>
      <c r="CU93" s="235">
        <f>VLOOKUP(CU89,'تقرير مصروفات إجمالية'!$B$3:$F$115,5,0)</f>
        <v>15537.5</v>
      </c>
      <c r="CV93" s="235">
        <f>VLOOKUP(CV89,'تقرير مصروفات إجمالية'!$B$3:$F$115,5,0)</f>
        <v>13380.549999999997</v>
      </c>
      <c r="CW93" s="235">
        <f>VLOOKUP(CW89,'تقرير مصروفات إجمالية'!$B$3:$F$115,5,0)</f>
        <v>11520</v>
      </c>
      <c r="CX93" s="235">
        <f>VLOOKUP(CX89,'تقرير مصروفات إجمالية'!$B$3:$F$115,5,0)</f>
        <v>0</v>
      </c>
      <c r="CY93" s="235">
        <f>VLOOKUP(CY89,'تقرير مصروفات إجمالية'!$B$3:$F$115,5,0)</f>
        <v>6433.05</v>
      </c>
      <c r="CZ93" s="235">
        <f>VLOOKUP(CZ89,'تقرير مصروفات إجمالية'!$B$3:$F$115,5,0)</f>
        <v>2543.98</v>
      </c>
      <c r="DA93" s="235">
        <f>VLOOKUP(DA89,'تقرير مصروفات إجمالية'!$B$3:$F$115,5,0)</f>
        <v>2945.4</v>
      </c>
      <c r="DB93" s="235">
        <f>VLOOKUP(DB89,'تقرير مصروفات إجمالية'!$B$3:$F$115,5,0)</f>
        <v>41588.030000000013</v>
      </c>
      <c r="DC93" s="235">
        <f>VLOOKUP(DC89,'تقرير مصروفات إجمالية'!$B$3:$F$115,5,0)</f>
        <v>7052.0999999999976</v>
      </c>
      <c r="DD93" s="235">
        <f>VLOOKUP(DD89,'تقرير مصروفات إجمالية'!$B$3:$F$115,5,0)</f>
        <v>10784.75</v>
      </c>
      <c r="DE93" s="235">
        <f>VLOOKUP(DE89,'تقرير مصروفات إجمالية'!$B$3:$F$115,5,0)</f>
        <v>22882.269999999997</v>
      </c>
      <c r="DF93" s="235">
        <f>VLOOKUP(DF89,'تقرير مصروفات إجمالية'!$B$3:$F$115,5,0)</f>
        <v>0</v>
      </c>
      <c r="DG93" s="235">
        <f>VLOOKUP(DG89,'تقرير مصروفات إجمالية'!$B$3:$F$115,5,0)</f>
        <v>0</v>
      </c>
      <c r="DH93" s="235">
        <f>VLOOKUP(DH89,'تقرير مصروفات إجمالية'!$B$3:$F$115,5,0)</f>
        <v>136790.71000000002</v>
      </c>
      <c r="DI93" s="235">
        <f>VLOOKUP(DI89,'تقرير مصروفات إجمالية'!$B$3:$F$115,5,0)</f>
        <v>0</v>
      </c>
      <c r="DJ93" s="235">
        <f>VLOOKUP(DJ89,'تقرير مصروفات إجمالية'!$B$3:$F$115,5,0)</f>
        <v>166.66</v>
      </c>
      <c r="DK93" s="235">
        <f>VLOOKUP(DK89,'تقرير مصروفات إجمالية'!$B$3:$F$115,5,0)</f>
        <v>9629.4</v>
      </c>
      <c r="DL93" s="235">
        <f>VLOOKUP(DL89,'تقرير مصروفات إجمالية'!$B$3:$F$115,5,0)</f>
        <v>1094</v>
      </c>
      <c r="DM93" s="235">
        <f>VLOOKUP(DM89,'تقرير مصروفات إجمالية'!$B$3:$F$115,5,0)</f>
        <v>0</v>
      </c>
      <c r="DN93" s="235">
        <f>VLOOKUP(DN89,'تقرير مصروفات إجمالية'!$B$3:$F$115,5,0)</f>
        <v>14823</v>
      </c>
      <c r="DO93" s="235">
        <f>VLOOKUP(DO89,'تقرير مصروفات إجمالية'!$B$3:$F$115,5,0)</f>
        <v>0</v>
      </c>
      <c r="DP93" s="235">
        <f>VLOOKUP(DP89,'تقرير مصروفات إجمالية'!$B$3:$F$115,5,0)</f>
        <v>32885</v>
      </c>
      <c r="DQ93" s="235">
        <f>VLOOKUP(DQ89,'تقرير مصروفات إجمالية'!$B$3:$F$115,5,0)</f>
        <v>2670</v>
      </c>
      <c r="DR93" s="235">
        <f>VLOOKUP(DR89,'تقرير مصروفات إجمالية'!$B$3:$F$115,5,0)</f>
        <v>0</v>
      </c>
      <c r="DS93" s="235">
        <f>VLOOKUP(DS89,'تقرير مصروفات إجمالية'!$B$3:$F$115,5,0)</f>
        <v>0</v>
      </c>
      <c r="DT93" s="235">
        <f>VLOOKUP(DT89,'تقرير مصروفات إجمالية'!$B$3:$F$115,5,0)</f>
        <v>0</v>
      </c>
      <c r="DU93" s="235">
        <f>VLOOKUP(DU89,'تقرير مصروفات إجمالية'!$B$3:$F$115,5,0)</f>
        <v>0</v>
      </c>
      <c r="DV93" s="235">
        <f>VLOOKUP(DV89,'تقرير مصروفات إجمالية'!$B$3:$F$115,5,0)</f>
        <v>17814</v>
      </c>
      <c r="DW93" s="235">
        <f>VLOOKUP(DW89,'تقرير مصروفات إجمالية'!$B$3:$F$115,5,0)</f>
        <v>16217.28</v>
      </c>
      <c r="DX93" s="235">
        <f>VLOOKUP(DX89,'تقرير مصروفات إجمالية'!$B$3:$F$115,5,0)</f>
        <v>16357.73</v>
      </c>
      <c r="DY93" s="235">
        <f>VLOOKUP(DY89,'تقرير مصروفات إجمالية'!$B$3:$F$115,5,0)</f>
        <v>23180.37</v>
      </c>
      <c r="DZ93" s="235">
        <f>VLOOKUP(DZ89,'تقرير مصروفات إجمالية'!$B$3:$F$115,5,0)</f>
        <v>81687.240000000005</v>
      </c>
      <c r="EA93" s="235">
        <f>VLOOKUP(EA89,'تقرير مصروفات إجمالية'!$B$3:$F$115,5,0)</f>
        <v>29883</v>
      </c>
      <c r="EB93" s="235">
        <f>VLOOKUP(EB89,'تقرير مصروفات إجمالية'!$B$3:$F$115,5,0)</f>
        <v>20328.900000000001</v>
      </c>
      <c r="EC93" s="235">
        <f>VLOOKUP(EC89,'تقرير مصروفات إجمالية'!$B$3:$F$115,5,0)</f>
        <v>31885.69</v>
      </c>
      <c r="ED93" s="235">
        <f>VLOOKUP(ED89,'تقرير مصروفات إجمالية'!$B$3:$F$115,5,0)</f>
        <v>19181</v>
      </c>
      <c r="EE93" s="235">
        <f>VLOOKUP(EE89,'تقرير مصروفات إجمالية'!$B$3:$F$115,5,0)</f>
        <v>30993.75</v>
      </c>
      <c r="EF93" s="235">
        <f>VLOOKUP(EF89,'تقرير مصروفات إجمالية'!$B$3:$F$115,5,0)</f>
        <v>22914.91</v>
      </c>
      <c r="EG93" s="235">
        <f>VLOOKUP(EG89,'تقرير مصروفات إجمالية'!$B$3:$F$115,5,0)</f>
        <v>24094.78</v>
      </c>
      <c r="EH93" s="235">
        <f>VLOOKUP(EH89,'تقرير مصروفات إجمالية'!$B$3:$F$115,5,0)</f>
        <v>0</v>
      </c>
      <c r="EI93" s="235">
        <f>VLOOKUP(EI89,'تقرير مصروفات إجمالية'!$B$3:$F$115,5,0)</f>
        <v>1978698</v>
      </c>
      <c r="EJ93" s="235"/>
      <c r="EK93" s="235"/>
      <c r="EL93" s="235">
        <f>VLOOKUP($EL$89,'تقرير مصروفات إجمالية'!$B$3:$O$119,12,FALSE)</f>
        <v>145389.75</v>
      </c>
    </row>
    <row r="94" spans="2:142" ht="14.4">
      <c r="AA94" s="197" t="s">
        <v>251</v>
      </c>
      <c r="AB94" s="235">
        <f>VLOOKUP(AB89,'تقرير مصروفات إجمالية'!$B$3:$N$115,6,FALSE)</f>
        <v>994803.77</v>
      </c>
      <c r="AC94" s="235">
        <f>VLOOKUP(AC89,'تقرير مصروفات إجمالية'!$B$3:$N$115,6,FALSE)</f>
        <v>3212591.5799999991</v>
      </c>
      <c r="AD94" s="235">
        <f>VLOOKUP(AD89,'تقرير مصروفات إجمالية'!$B$3:$N$115,6,FALSE)</f>
        <v>44400</v>
      </c>
      <c r="AE94" s="235">
        <f>VLOOKUP(AE89,'تقرير مصروفات إجمالية'!$B$3:$N$115,6,FALSE)</f>
        <v>8222</v>
      </c>
      <c r="AF94" s="235">
        <f>VLOOKUP(AF89,'تقرير مصروفات إجمالية'!$B$3:$N$115,6,FALSE)</f>
        <v>110</v>
      </c>
      <c r="AG94" s="235">
        <f>VLOOKUP(AG89,'تقرير مصروفات إجمالية'!$B$3:$N$115,6,FALSE)</f>
        <v>300000</v>
      </c>
      <c r="AH94" s="235">
        <f>VLOOKUP(AH89,'تقرير مصروفات إجمالية'!$B$3:$N$115,6,FALSE)</f>
        <v>100000</v>
      </c>
      <c r="AI94" s="235">
        <f>VLOOKUP(AI89,'تقرير مصروفات إجمالية'!$B$3:$N$115,6,FALSE)</f>
        <v>388591</v>
      </c>
      <c r="AJ94" s="235">
        <f>VLOOKUP(AJ89,'تقرير مصروفات إجمالية'!$B$3:$N$115,6,FALSE)</f>
        <v>2305</v>
      </c>
      <c r="AK94" s="235">
        <f>VLOOKUP(AK89,'تقرير مصروفات إجمالية'!$B$3:$N$115,6,FALSE)</f>
        <v>22109.209999999995</v>
      </c>
      <c r="AL94" s="235">
        <f>VLOOKUP(AL89,'تقرير مصروفات إجمالية'!$B$3:$N$115,6,FALSE)</f>
        <v>0</v>
      </c>
      <c r="AM94" s="235">
        <f>VLOOKUP(AM89,'تقرير مصروفات إجمالية'!$B$3:$N$115,6,FALSE)</f>
        <v>20705</v>
      </c>
      <c r="AN94" s="235">
        <f>VLOOKUP(AN89,'تقرير مصروفات إجمالية'!$B$3:$N$115,6,FALSE)</f>
        <v>7371</v>
      </c>
      <c r="AO94" s="235">
        <f>VLOOKUP(AO89,'تقرير مصروفات إجمالية'!$B$3:$N$115,6,FALSE)</f>
        <v>7395</v>
      </c>
      <c r="AP94" s="235">
        <f>VLOOKUP(AP89,'تقرير مصروفات إجمالية'!$B$3:$N$115,6,FALSE)</f>
        <v>0</v>
      </c>
      <c r="AQ94" s="235">
        <f>VLOOKUP(AQ89,'تقرير مصروفات إجمالية'!$B$3:$N$115,6,FALSE)</f>
        <v>0</v>
      </c>
      <c r="AR94" s="235">
        <f>VLOOKUP(AR89,'تقرير مصروفات إجمالية'!$B$3:$N$115,6,FALSE)</f>
        <v>100</v>
      </c>
      <c r="AS94" s="235">
        <f>VLOOKUP(AS89,'تقرير مصروفات إجمالية'!$B$3:$N$115,6,FALSE)</f>
        <v>53660</v>
      </c>
      <c r="AT94" s="235">
        <f>VLOOKUP(AT89,'تقرير مصروفات إجمالية'!$B$3:$N$115,6,FALSE)</f>
        <v>62416.45</v>
      </c>
      <c r="AU94" s="235">
        <f>VLOOKUP(AU89,'تقرير مصروفات إجمالية'!$B$3:$N$115,6,FALSE)</f>
        <v>55222.13</v>
      </c>
      <c r="AV94" s="235">
        <f>VLOOKUP(AV89,'تقرير مصروفات إجمالية'!$B$3:$N$115,6,FALSE)</f>
        <v>235</v>
      </c>
      <c r="AW94" s="235">
        <f>VLOOKUP(AW89,'تقرير مصروفات إجمالية'!$B$3:$N$115,6,FALSE)</f>
        <v>0</v>
      </c>
      <c r="AX94" s="235">
        <f>VLOOKUP(AX89,'تقرير مصروفات إجمالية'!$B$3:$N$115,6,FALSE)</f>
        <v>2837</v>
      </c>
      <c r="AY94" s="235">
        <f>VLOOKUP(AY89,'تقرير مصروفات إجمالية'!$B$3:$N$115,6,FALSE)</f>
        <v>455</v>
      </c>
      <c r="AZ94" s="235">
        <f>VLOOKUP(AZ89,'تقرير مصروفات إجمالية'!$B$3:$N$115,6,FALSE)</f>
        <v>1343.92</v>
      </c>
      <c r="BA94" s="235">
        <f>VLOOKUP(BA89,'تقرير مصروفات إجمالية'!$B$3:$N$115,6,FALSE)</f>
        <v>15270</v>
      </c>
      <c r="BB94" s="235">
        <f>VLOOKUP(BB89,'تقرير مصروفات إجمالية'!$B$3:$N$115,6,FALSE)</f>
        <v>8760</v>
      </c>
      <c r="BC94" s="235">
        <f>VLOOKUP(BC89,'تقرير مصروفات إجمالية'!$B$3:$N$115,6,FALSE)</f>
        <v>470</v>
      </c>
      <c r="BD94" s="235">
        <f>VLOOKUP(BD89,'تقرير مصروفات إجمالية'!$B$3:$N$115,6,FALSE)</f>
        <v>0</v>
      </c>
      <c r="BE94" s="235">
        <f>VLOOKUP(BE89,'تقرير مصروفات إجمالية'!$B$3:$N$115,6,FALSE)</f>
        <v>7160</v>
      </c>
      <c r="BF94" s="235">
        <f>VLOOKUP(BF89,'تقرير مصروفات إجمالية'!$B$3:$N$115,6,FALSE)</f>
        <v>108896</v>
      </c>
      <c r="BG94" s="235">
        <f>VLOOKUP(BG89,'تقرير مصروفات إجمالية'!$B$3:$N$115,6,FALSE)</f>
        <v>142.96</v>
      </c>
      <c r="BH94" s="235">
        <f>VLOOKUP(BH89,'تقرير مصروفات إجمالية'!$B$3:$N$115,6,FALSE)</f>
        <v>110600</v>
      </c>
      <c r="BI94" s="235">
        <f>VLOOKUP(BI89,'تقرير مصروفات إجمالية'!$B$3:$N$115,6,FALSE)</f>
        <v>16425</v>
      </c>
      <c r="BJ94" s="235">
        <f>VLOOKUP(BJ89,'تقرير مصروفات إجمالية'!$B$3:$N$115,6,FALSE)</f>
        <v>3194.27</v>
      </c>
      <c r="BK94" s="235">
        <f>VLOOKUP(BK89,'تقرير مصروفات إجمالية'!$B$3:$N$115,6,FALSE)</f>
        <v>38000</v>
      </c>
      <c r="BL94" s="235">
        <f>VLOOKUP(BL89,'تقرير مصروفات إجمالية'!$B$3:$N$115,6,FALSE)</f>
        <v>0</v>
      </c>
      <c r="BM94" s="235">
        <f>VLOOKUP(BM89,'تقرير مصروفات إجمالية'!$B$3:$N$115,6,FALSE)</f>
        <v>40324.58</v>
      </c>
      <c r="BN94" s="235">
        <f>VLOOKUP(BN89,'تقرير مصروفات إجمالية'!$B$3:$N$115,6,FALSE)</f>
        <v>0</v>
      </c>
      <c r="BO94" s="235">
        <f>VLOOKUP(BO89,'تقرير مصروفات إجمالية'!$B$3:$N$115,6,FALSE)</f>
        <v>3200</v>
      </c>
      <c r="BP94" s="235">
        <f>VLOOKUP(BP89,'تقرير مصروفات إجمالية'!$B$3:$N$115,6,FALSE)</f>
        <v>34210</v>
      </c>
      <c r="BQ94" s="235">
        <f>VLOOKUP(BQ89,'تقرير مصروفات إجمالية'!$B$3:$N$115,6,FALSE)</f>
        <v>0</v>
      </c>
      <c r="BR94" s="235">
        <f>VLOOKUP(BR89,'تقرير مصروفات إجمالية'!$B$3:$N$115,6,FALSE)</f>
        <v>5790</v>
      </c>
      <c r="BS94" s="235">
        <f>VLOOKUP(BS89,'تقرير مصروفات إجمالية'!$B$3:$N$115,6,FALSE)</f>
        <v>0</v>
      </c>
      <c r="BT94" s="235">
        <f>VLOOKUP(BT89,'تقرير مصروفات إجمالية'!$B$3:$N$115,6,FALSE)</f>
        <v>19360</v>
      </c>
      <c r="BU94" s="235">
        <f>VLOOKUP(BU89,'تقرير مصروفات إجمالية'!$B$3:$N$115,6,FALSE)</f>
        <v>6000</v>
      </c>
      <c r="BV94" s="235">
        <f>VLOOKUP(BV89,'تقرير مصروفات إجمالية'!$B$3:$N$115,6,FALSE)</f>
        <v>0</v>
      </c>
      <c r="BW94" s="235">
        <f>VLOOKUP(BW89,'تقرير مصروفات إجمالية'!$B$3:$N$115,6,FALSE)</f>
        <v>0</v>
      </c>
      <c r="BX94" s="235">
        <f>VLOOKUP(BX89,'تقرير مصروفات إجمالية'!$B$3:$N$115,6,FALSE)</f>
        <v>2150</v>
      </c>
      <c r="BY94" s="235">
        <f>VLOOKUP(BY89,'تقرير مصروفات إجمالية'!$B$3:$N$115,6,FALSE)</f>
        <v>0</v>
      </c>
      <c r="BZ94" s="235">
        <f>VLOOKUP(BZ89,'تقرير مصروفات إجمالية'!$B$3:$N$115,6,FALSE)</f>
        <v>0</v>
      </c>
      <c r="CA94" s="235">
        <f>VLOOKUP(CA89,'تقرير مصروفات إجمالية'!$B$3:$N$115,6,FALSE)</f>
        <v>0</v>
      </c>
      <c r="CB94" s="235">
        <f>VLOOKUP(CB89,'تقرير مصروفات إجمالية'!$B$3:$N$115,6,FALSE)</f>
        <v>0</v>
      </c>
      <c r="CC94" s="235">
        <f>VLOOKUP(CC89,'تقرير مصروفات إجمالية'!$B$3:$N$115,6,FALSE)</f>
        <v>0</v>
      </c>
      <c r="CD94" s="235">
        <f>VLOOKUP(CD89,'تقرير مصروفات إجمالية'!$B$3:$N$115,6,FALSE)</f>
        <v>0</v>
      </c>
      <c r="CE94" s="235">
        <f>VLOOKUP(CE89,'تقرير مصروفات إجمالية'!$B$3:$N$115,6,FALSE)</f>
        <v>0</v>
      </c>
      <c r="CF94" s="235">
        <f>VLOOKUP(CF89,'تقرير مصروفات إجمالية'!$B$3:$N$115,6,FALSE)</f>
        <v>0</v>
      </c>
      <c r="CG94" s="235">
        <f>VLOOKUP(CG89,'تقرير مصروفات إجمالية'!$B$3:$N$115,6,FALSE)</f>
        <v>0</v>
      </c>
      <c r="CH94" s="235">
        <f>VLOOKUP(CH89,'تقرير مصروفات إجمالية'!$B$3:$N$115,6,FALSE)</f>
        <v>5500</v>
      </c>
      <c r="CI94" s="235">
        <f>VLOOKUP(CI89,'تقرير مصروفات إجمالية'!$B$3:$N$115,6,FALSE)</f>
        <v>40090</v>
      </c>
      <c r="CJ94" s="235">
        <f>VLOOKUP(CJ89,'تقرير مصروفات إجمالية'!$B$3:$N$115,6,FALSE)</f>
        <v>0</v>
      </c>
      <c r="CK94" s="235">
        <f>VLOOKUP(CK89,'تقرير مصروفات إجمالية'!$B$3:$N$115,6,FALSE)</f>
        <v>80</v>
      </c>
      <c r="CL94" s="235">
        <f>VLOOKUP(CL89,'تقرير مصروفات إجمالية'!$B$3:$N$115,6,FALSE)</f>
        <v>0</v>
      </c>
      <c r="CM94" s="235">
        <f>VLOOKUP(CM89,'تقرير مصروفات إجمالية'!$B$3:$N$115,6,FALSE)</f>
        <v>170</v>
      </c>
      <c r="CN94" s="235">
        <f>VLOOKUP(CN89,'تقرير مصروفات إجمالية'!$B$3:$N$115,6,FALSE)</f>
        <v>26697.25</v>
      </c>
      <c r="CO94" s="235">
        <f>VLOOKUP(CO89,'تقرير مصروفات إجمالية'!$B$3:$N$115,6,FALSE)</f>
        <v>0</v>
      </c>
      <c r="CP94" s="235">
        <f>VLOOKUP(CP89,'تقرير مصروفات إجمالية'!$B$3:$N$115,6,FALSE)</f>
        <v>9000</v>
      </c>
      <c r="CQ94" s="235">
        <f>VLOOKUP(CQ89,'تقرير مصروفات إجمالية'!$B$3:$N$115,6,FALSE)</f>
        <v>0</v>
      </c>
      <c r="CR94" s="235">
        <f>VLOOKUP(CR89,'تقرير مصروفات إجمالية'!$B$3:$N$115,6,FALSE)</f>
        <v>3700</v>
      </c>
      <c r="CS94" s="235">
        <f>VLOOKUP(CS89,'تقرير مصروفات إجمالية'!$B$3:$N$115,6,FALSE)</f>
        <v>139670</v>
      </c>
      <c r="CT94" s="235">
        <f>VLOOKUP(CT89,'تقرير مصروفات إجمالية'!$B$3:$N$115,6,FALSE)</f>
        <v>0</v>
      </c>
      <c r="CU94" s="235">
        <f>VLOOKUP(CU89,'تقرير مصروفات إجمالية'!$B$3:$N$115,6,FALSE)</f>
        <v>9325</v>
      </c>
      <c r="CV94" s="235">
        <f>VLOOKUP(CV89,'تقرير مصروفات إجمالية'!$B$3:$N$115,6,FALSE)</f>
        <v>7505.3300000000008</v>
      </c>
      <c r="CW94" s="235">
        <f>VLOOKUP(CW89,'تقرير مصروفات إجمالية'!$B$3:$N$115,6,FALSE)</f>
        <v>5000</v>
      </c>
      <c r="CX94" s="235">
        <f>VLOOKUP(CX89,'تقرير مصروفات إجمالية'!$B$3:$N$115,6,FALSE)</f>
        <v>0</v>
      </c>
      <c r="CY94" s="235">
        <f>VLOOKUP(CY89,'تقرير مصروفات إجمالية'!$B$3:$N$115,6,FALSE)</f>
        <v>6433.05</v>
      </c>
      <c r="CZ94" s="235">
        <f>VLOOKUP(CZ89,'تقرير مصروفات إجمالية'!$B$3:$N$115,6,FALSE)</f>
        <v>2379.71</v>
      </c>
      <c r="DA94" s="235">
        <f>VLOOKUP(DA89,'تقرير مصروفات إجمالية'!$B$3:$N$115,6,FALSE)</f>
        <v>2150.7399999999998</v>
      </c>
      <c r="DB94" s="235">
        <f>VLOOKUP(DB89,'تقرير مصروفات إجمالية'!$B$3:$N$115,6,FALSE)</f>
        <v>41903.080000000016</v>
      </c>
      <c r="DC94" s="235">
        <f>VLOOKUP(DC89,'تقرير مصروفات إجمالية'!$B$3:$N$115,6,FALSE)</f>
        <v>7028.2699999999968</v>
      </c>
      <c r="DD94" s="235">
        <f>VLOOKUP(DD89,'تقرير مصروفات إجمالية'!$B$3:$N$115,6,FALSE)</f>
        <v>11650.380000000001</v>
      </c>
      <c r="DE94" s="235">
        <f>VLOOKUP(DE89,'تقرير مصروفات إجمالية'!$B$3:$N$115,6,FALSE)</f>
        <v>22733.279999999999</v>
      </c>
      <c r="DF94" s="235">
        <f>VLOOKUP(DF89,'تقرير مصروفات إجمالية'!$B$3:$N$115,6,FALSE)</f>
        <v>1061</v>
      </c>
      <c r="DG94" s="235">
        <f>VLOOKUP(DG89,'تقرير مصروفات إجمالية'!$B$3:$N$115,6,FALSE)</f>
        <v>0</v>
      </c>
      <c r="DH94" s="235">
        <f>VLOOKUP(DH89,'تقرير مصروفات إجمالية'!$B$3:$N$115,6,FALSE)</f>
        <v>125207.42999999998</v>
      </c>
      <c r="DI94" s="235">
        <f>VLOOKUP(DI89,'تقرير مصروفات إجمالية'!$B$3:$N$115,6,FALSE)</f>
        <v>0</v>
      </c>
      <c r="DJ94" s="235">
        <f>VLOOKUP(DJ89,'تقرير مصروفات إجمالية'!$B$3:$N$115,6,FALSE)</f>
        <v>166.66</v>
      </c>
      <c r="DK94" s="235">
        <f>VLOOKUP(DK89,'تقرير مصروفات إجمالية'!$B$3:$N$115,6,FALSE)</f>
        <v>800</v>
      </c>
      <c r="DL94" s="235">
        <f>VLOOKUP(DL89,'تقرير مصروفات إجمالية'!$B$3:$N$115,6,FALSE)</f>
        <v>57404.2</v>
      </c>
      <c r="DM94" s="235">
        <f>VLOOKUP(DM89,'تقرير مصروفات إجمالية'!$B$3:$N$115,6,FALSE)</f>
        <v>0</v>
      </c>
      <c r="DN94" s="235">
        <f>VLOOKUP(DN89,'تقرير مصروفات إجمالية'!$B$3:$N$115,6,FALSE)</f>
        <v>8383</v>
      </c>
      <c r="DO94" s="235">
        <f>VLOOKUP(DO89,'تقرير مصروفات إجمالية'!$B$3:$N$115,6,FALSE)</f>
        <v>0</v>
      </c>
      <c r="DP94" s="235">
        <f>VLOOKUP(DP89,'تقرير مصروفات إجمالية'!$B$3:$N$115,6,FALSE)</f>
        <v>7535</v>
      </c>
      <c r="DQ94" s="235">
        <f>VLOOKUP(DQ89,'تقرير مصروفات إجمالية'!$B$3:$N$115,6,FALSE)</f>
        <v>6790</v>
      </c>
      <c r="DR94" s="235">
        <f>VLOOKUP(DR89,'تقرير مصروفات إجمالية'!$B$3:$N$115,6,FALSE)</f>
        <v>0</v>
      </c>
      <c r="DS94" s="235">
        <f>VLOOKUP(DS89,'تقرير مصروفات إجمالية'!$B$3:$N$115,6,FALSE)</f>
        <v>0</v>
      </c>
      <c r="DT94" s="235">
        <f>VLOOKUP(DT89,'تقرير مصروفات إجمالية'!$B$3:$N$115,6,FALSE)</f>
        <v>0</v>
      </c>
      <c r="DU94" s="235">
        <f>VLOOKUP(DU89,'تقرير مصروفات إجمالية'!$B$3:$N$115,6,FALSE)</f>
        <v>37893</v>
      </c>
      <c r="DV94" s="235">
        <f>VLOOKUP(DV89,'تقرير مصروفات إجمالية'!$B$3:$N$115,6,FALSE)</f>
        <v>17814</v>
      </c>
      <c r="DW94" s="235">
        <f>VLOOKUP(DW89,'تقرير مصروفات إجمالية'!$B$3:$N$115,6,FALSE)</f>
        <v>16217.28</v>
      </c>
      <c r="DX94" s="235">
        <f>VLOOKUP(DX89,'تقرير مصروفات إجمالية'!$B$3:$N$115,6,FALSE)</f>
        <v>32715.46</v>
      </c>
      <c r="DY94" s="235">
        <f>VLOOKUP(DY89,'تقرير مصروفات إجمالية'!$B$3:$N$115,6,FALSE)</f>
        <v>23180.32</v>
      </c>
      <c r="DZ94" s="235">
        <f>VLOOKUP(DZ89,'تقرير مصروفات إجمالية'!$B$3:$N$115,6,FALSE)</f>
        <v>86901.23</v>
      </c>
      <c r="EA94" s="235">
        <f>VLOOKUP(EA89,'تقرير مصروفات إجمالية'!$B$3:$N$115,6,FALSE)</f>
        <v>29883</v>
      </c>
      <c r="EB94" s="235">
        <f>VLOOKUP(EB89,'تقرير مصروفات إجمالية'!$B$3:$N$115,6,FALSE)</f>
        <v>20328.900000000001</v>
      </c>
      <c r="EC94" s="235">
        <f>VLOOKUP(EC89,'تقرير مصروفات إجمالية'!$B$3:$N$115,6,FALSE)</f>
        <v>31885.69</v>
      </c>
      <c r="ED94" s="235">
        <f>VLOOKUP(ED89,'تقرير مصروفات إجمالية'!$B$3:$N$115,6,FALSE)</f>
        <v>19181</v>
      </c>
      <c r="EE94" s="235">
        <f>VLOOKUP(EE89,'تقرير مصروفات إجمالية'!$B$3:$N$115,6,FALSE)</f>
        <v>31856.25</v>
      </c>
      <c r="EF94" s="235">
        <f>VLOOKUP(EF89,'تقرير مصروفات إجمالية'!$B$3:$N$115,6,FALSE)</f>
        <v>29713.06</v>
      </c>
      <c r="EG94" s="235">
        <f>VLOOKUP(EG89,'تقرير مصروفات إجمالية'!$B$3:$N$115,6,FALSE)</f>
        <v>24094.78</v>
      </c>
      <c r="EH94" s="235">
        <f>VLOOKUP(EH89,'تقرير مصروفات إجمالية'!$B$3:$N$115,6,FALSE)</f>
        <v>530</v>
      </c>
      <c r="EI94" s="235">
        <f>VLOOKUP(EI89,'تقرير مصروفات إجمالية'!$B$3:$N$115,6,FALSE)</f>
        <v>2075060.85</v>
      </c>
      <c r="EJ94" s="235"/>
      <c r="EK94" s="235"/>
      <c r="EL94" s="235">
        <f>VLOOKUP($EL$89,'تقرير مصروفات إجمالية'!$B$3:$O$119,12,FALSE)</f>
        <v>145389.75</v>
      </c>
    </row>
    <row r="95" spans="2:142" ht="14.4">
      <c r="AA95" s="197" t="s">
        <v>252</v>
      </c>
      <c r="AB95" s="235">
        <f>VLOOKUP(AB89,'تقرير مصروفات إجمالية'!$B$3:$N$115,7,FALSE)</f>
        <v>1006628.75</v>
      </c>
      <c r="AC95" s="235">
        <f>VLOOKUP(AC89,'تقرير مصروفات إجمالية'!$B$3:$N$115,7,FALSE)</f>
        <v>3373440.2100000004</v>
      </c>
      <c r="AD95" s="235">
        <f>VLOOKUP(AD89,'تقرير مصروفات إجمالية'!$B$3:$N$115,7,FALSE)</f>
        <v>64465</v>
      </c>
      <c r="AE95" s="235">
        <f>VLOOKUP(AE89,'تقرير مصروفات إجمالية'!$B$3:$N$115,7,FALSE)</f>
        <v>215</v>
      </c>
      <c r="AF95" s="235">
        <f>VLOOKUP(AF89,'تقرير مصروفات إجمالية'!$B$3:$N$115,7,FALSE)</f>
        <v>9345</v>
      </c>
      <c r="AG95" s="235">
        <f>VLOOKUP(AG89,'تقرير مصروفات إجمالية'!$B$3:$N$115,7,FALSE)</f>
        <v>300000</v>
      </c>
      <c r="AH95" s="235">
        <f>VLOOKUP(AH89,'تقرير مصروفات إجمالية'!$B$3:$N$115,7,FALSE)</f>
        <v>100000</v>
      </c>
      <c r="AI95" s="235">
        <f>VLOOKUP(AI89,'تقرير مصروفات إجمالية'!$B$3:$N$115,7,FALSE)</f>
        <v>402741</v>
      </c>
      <c r="AJ95" s="235">
        <f>VLOOKUP(AJ89,'تقرير مصروفات إجمالية'!$B$3:$N$115,7,FALSE)</f>
        <v>14132</v>
      </c>
      <c r="AK95" s="235">
        <f>VLOOKUP(AK89,'تقرير مصروفات إجمالية'!$B$3:$N$115,7,FALSE)</f>
        <v>20785.209999999995</v>
      </c>
      <c r="AL95" s="235">
        <f>VLOOKUP(AL89,'تقرير مصروفات إجمالية'!$B$3:$N$115,7,FALSE)</f>
        <v>0</v>
      </c>
      <c r="AM95" s="235">
        <f>VLOOKUP(AM89,'تقرير مصروفات إجمالية'!$B$3:$N$115,7,FALSE)</f>
        <v>12977.5</v>
      </c>
      <c r="AN95" s="235">
        <f>VLOOKUP(AN89,'تقرير مصروفات إجمالية'!$B$3:$N$115,7,FALSE)</f>
        <v>7920</v>
      </c>
      <c r="AO95" s="235">
        <f>VLOOKUP(AO89,'تقرير مصروفات إجمالية'!$B$3:$N$115,7,FALSE)</f>
        <v>17798</v>
      </c>
      <c r="AP95" s="235">
        <f>VLOOKUP(AP89,'تقرير مصروفات إجمالية'!$B$3:$N$115,7,FALSE)</f>
        <v>23960</v>
      </c>
      <c r="AQ95" s="235">
        <f>VLOOKUP(AQ89,'تقرير مصروفات إجمالية'!$B$3:$N$115,7,FALSE)</f>
        <v>40500</v>
      </c>
      <c r="AR95" s="235">
        <f>VLOOKUP(AR89,'تقرير مصروفات إجمالية'!$B$3:$N$115,7,FALSE)</f>
        <v>90</v>
      </c>
      <c r="AS95" s="235">
        <f>VLOOKUP(AS89,'تقرير مصروفات إجمالية'!$B$3:$N$115,7,FALSE)</f>
        <v>40110</v>
      </c>
      <c r="AT95" s="235">
        <f>VLOOKUP(AT89,'تقرير مصروفات إجمالية'!$B$3:$N$115,7,FALSE)</f>
        <v>68069</v>
      </c>
      <c r="AU95" s="235">
        <f>VLOOKUP(AU89,'تقرير مصروفات إجمالية'!$B$3:$N$115,7,FALSE)</f>
        <v>66074.570000000007</v>
      </c>
      <c r="AV95" s="235">
        <f>VLOOKUP(AV89,'تقرير مصروفات إجمالية'!$B$3:$N$115,7,FALSE)</f>
        <v>220</v>
      </c>
      <c r="AW95" s="235">
        <f>VLOOKUP(AW89,'تقرير مصروفات إجمالية'!$B$3:$N$115,7,FALSE)</f>
        <v>0</v>
      </c>
      <c r="AX95" s="235">
        <f>VLOOKUP(AX89,'تقرير مصروفات إجمالية'!$B$3:$N$115,7,FALSE)</f>
        <v>4673.0599999999995</v>
      </c>
      <c r="AY95" s="235">
        <f>VLOOKUP(AY89,'تقرير مصروفات إجمالية'!$B$3:$N$115,7,FALSE)</f>
        <v>255</v>
      </c>
      <c r="AZ95" s="235">
        <f>VLOOKUP(AZ89,'تقرير مصروفات إجمالية'!$B$3:$N$115,7,FALSE)</f>
        <v>1343.92</v>
      </c>
      <c r="BA95" s="235">
        <f>VLOOKUP(BA89,'تقرير مصروفات إجمالية'!$B$3:$N$115,7,FALSE)</f>
        <v>5150</v>
      </c>
      <c r="BB95" s="235">
        <f>VLOOKUP(BB89,'تقرير مصروفات إجمالية'!$B$3:$N$115,7,FALSE)</f>
        <v>1590</v>
      </c>
      <c r="BC95" s="235">
        <f>VLOOKUP(BC89,'تقرير مصروفات إجمالية'!$B$3:$N$115,7,FALSE)</f>
        <v>300</v>
      </c>
      <c r="BD95" s="235">
        <f>VLOOKUP(BD89,'تقرير مصروفات إجمالية'!$B$3:$N$115,7,FALSE)</f>
        <v>0</v>
      </c>
      <c r="BE95" s="235">
        <f>VLOOKUP(BE89,'تقرير مصروفات إجمالية'!$B$3:$N$115,7,FALSE)</f>
        <v>12550</v>
      </c>
      <c r="BF95" s="235">
        <f>VLOOKUP(BF89,'تقرير مصروفات إجمالية'!$B$3:$N$115,7,FALSE)</f>
        <v>55560</v>
      </c>
      <c r="BG95" s="235">
        <f>VLOOKUP(BG89,'تقرير مصروفات إجمالية'!$B$3:$N$115,7,FALSE)</f>
        <v>124.69</v>
      </c>
      <c r="BH95" s="235">
        <f>VLOOKUP(BH89,'تقرير مصروفات إجمالية'!$B$3:$N$115,7,FALSE)</f>
        <v>119270</v>
      </c>
      <c r="BI95" s="235">
        <f>VLOOKUP(BI89,'تقرير مصروفات إجمالية'!$B$3:$N$115,7,FALSE)</f>
        <v>17910</v>
      </c>
      <c r="BJ95" s="235">
        <f>VLOOKUP(BJ89,'تقرير مصروفات إجمالية'!$B$3:$N$115,7,FALSE)</f>
        <v>3652.82</v>
      </c>
      <c r="BK95" s="235">
        <f>VLOOKUP(BK89,'تقرير مصروفات إجمالية'!$B$3:$N$115,7,FALSE)</f>
        <v>8000</v>
      </c>
      <c r="BL95" s="235">
        <f>VLOOKUP(BL89,'تقرير مصروفات إجمالية'!$B$3:$N$115,7,FALSE)</f>
        <v>0</v>
      </c>
      <c r="BM95" s="235">
        <f>VLOOKUP(BM89,'تقرير مصروفات إجمالية'!$B$3:$N$115,7,FALSE)</f>
        <v>96170.14</v>
      </c>
      <c r="BN95" s="235">
        <f>VLOOKUP(BN89,'تقرير مصروفات إجمالية'!$B$3:$N$115,7,FALSE)</f>
        <v>130684</v>
      </c>
      <c r="BO95" s="235">
        <f>VLOOKUP(BO89,'تقرير مصروفات إجمالية'!$B$3:$N$115,7,FALSE)</f>
        <v>6200</v>
      </c>
      <c r="BP95" s="235">
        <f>VLOOKUP(BP89,'تقرير مصروفات إجمالية'!$B$3:$N$115,7,FALSE)</f>
        <v>0</v>
      </c>
      <c r="BQ95" s="235">
        <f>VLOOKUP(BQ89,'تقرير مصروفات إجمالية'!$B$3:$N$115,7,FALSE)</f>
        <v>0</v>
      </c>
      <c r="BR95" s="235">
        <f>VLOOKUP(BR89,'تقرير مصروفات إجمالية'!$B$3:$N$115,7,FALSE)</f>
        <v>7230</v>
      </c>
      <c r="BS95" s="235">
        <f>VLOOKUP(BS89,'تقرير مصروفات إجمالية'!$B$3:$N$115,7,FALSE)</f>
        <v>0</v>
      </c>
      <c r="BT95" s="235">
        <f>VLOOKUP(BT89,'تقرير مصروفات إجمالية'!$B$3:$N$115,7,FALSE)</f>
        <v>21073</v>
      </c>
      <c r="BU95" s="235">
        <f>VLOOKUP(BU89,'تقرير مصروفات إجمالية'!$B$3:$N$115,7,FALSE)</f>
        <v>6000</v>
      </c>
      <c r="BV95" s="235">
        <f>VLOOKUP(BV89,'تقرير مصروفات إجمالية'!$B$3:$N$115,7,FALSE)</f>
        <v>0</v>
      </c>
      <c r="BW95" s="235">
        <f>VLOOKUP(BW89,'تقرير مصروفات إجمالية'!$B$3:$N$115,7,FALSE)</f>
        <v>0</v>
      </c>
      <c r="BX95" s="235">
        <f>VLOOKUP(BX89,'تقرير مصروفات إجمالية'!$B$3:$N$115,7,FALSE)</f>
        <v>1150</v>
      </c>
      <c r="BY95" s="235">
        <f>VLOOKUP(BY89,'تقرير مصروفات إجمالية'!$B$3:$N$115,7,FALSE)</f>
        <v>0</v>
      </c>
      <c r="BZ95" s="235">
        <f>VLOOKUP(BZ89,'تقرير مصروفات إجمالية'!$B$3:$N$115,7,FALSE)</f>
        <v>0</v>
      </c>
      <c r="CA95" s="235">
        <f>VLOOKUP(CA89,'تقرير مصروفات إجمالية'!$B$3:$N$115,7,FALSE)</f>
        <v>0</v>
      </c>
      <c r="CB95" s="235">
        <f>VLOOKUP(CB89,'تقرير مصروفات إجمالية'!$B$3:$N$115,7,FALSE)</f>
        <v>0</v>
      </c>
      <c r="CC95" s="235">
        <f>VLOOKUP(CC89,'تقرير مصروفات إجمالية'!$B$3:$N$115,7,FALSE)</f>
        <v>0</v>
      </c>
      <c r="CD95" s="235">
        <f>VLOOKUP(CD89,'تقرير مصروفات إجمالية'!$B$3:$N$115,7,FALSE)</f>
        <v>0</v>
      </c>
      <c r="CE95" s="235">
        <f>VLOOKUP(CE89,'تقرير مصروفات إجمالية'!$B$3:$N$115,7,FALSE)</f>
        <v>0</v>
      </c>
      <c r="CF95" s="235">
        <f>VLOOKUP(CF89,'تقرير مصروفات إجمالية'!$B$3:$N$115,7,FALSE)</f>
        <v>0</v>
      </c>
      <c r="CG95" s="235">
        <f>VLOOKUP(CG89,'تقرير مصروفات إجمالية'!$B$3:$N$115,7,FALSE)</f>
        <v>0</v>
      </c>
      <c r="CH95" s="235">
        <f>VLOOKUP(CH89,'تقرير مصروفات إجمالية'!$B$3:$N$115,7,FALSE)</f>
        <v>0</v>
      </c>
      <c r="CI95" s="235">
        <f>VLOOKUP(CI89,'تقرير مصروفات إجمالية'!$B$3:$N$115,7,FALSE)</f>
        <v>51710</v>
      </c>
      <c r="CJ95" s="235">
        <f>VLOOKUP(CJ89,'تقرير مصروفات إجمالية'!$B$3:$N$115,7,FALSE)</f>
        <v>0</v>
      </c>
      <c r="CK95" s="235">
        <f>VLOOKUP(CK89,'تقرير مصروفات إجمالية'!$B$3:$N$115,7,FALSE)</f>
        <v>7045</v>
      </c>
      <c r="CL95" s="235">
        <f>VLOOKUP(CL89,'تقرير مصروفات إجمالية'!$B$3:$N$115,7,FALSE)</f>
        <v>0</v>
      </c>
      <c r="CM95" s="235">
        <f>VLOOKUP(CM89,'تقرير مصروفات إجمالية'!$B$3:$N$115,7,FALSE)</f>
        <v>154820</v>
      </c>
      <c r="CN95" s="235">
        <f>VLOOKUP(CN89,'تقرير مصروفات إجمالية'!$B$3:$N$115,7,FALSE)</f>
        <v>42295.009999999995</v>
      </c>
      <c r="CO95" s="235">
        <f>VLOOKUP(CO89,'تقرير مصروفات إجمالية'!$B$3:$N$115,7,FALSE)</f>
        <v>0</v>
      </c>
      <c r="CP95" s="235">
        <f>VLOOKUP(CP89,'تقرير مصروفات إجمالية'!$B$3:$N$115,7,FALSE)</f>
        <v>14970</v>
      </c>
      <c r="CQ95" s="235">
        <f>VLOOKUP(CQ89,'تقرير مصروفات إجمالية'!$B$3:$N$115,7,FALSE)</f>
        <v>0</v>
      </c>
      <c r="CR95" s="235">
        <f>VLOOKUP(CR89,'تقرير مصروفات إجمالية'!$B$3:$N$115,7,FALSE)</f>
        <v>0</v>
      </c>
      <c r="CS95" s="235">
        <f>VLOOKUP(CS89,'تقرير مصروفات إجمالية'!$B$3:$N$115,7,FALSE)</f>
        <v>145625</v>
      </c>
      <c r="CT95" s="235">
        <f>VLOOKUP(CT89,'تقرير مصروفات إجمالية'!$B$3:$N$115,7,FALSE)</f>
        <v>4790</v>
      </c>
      <c r="CU95" s="235">
        <f>VLOOKUP(CU89,'تقرير مصروفات إجمالية'!$B$3:$N$115,7,FALSE)</f>
        <v>0</v>
      </c>
      <c r="CV95" s="235">
        <f>VLOOKUP(CV89,'تقرير مصروفات إجمالية'!$B$3:$N$115,7,FALSE)</f>
        <v>9810.4600000000009</v>
      </c>
      <c r="CW95" s="235">
        <f>VLOOKUP(CW89,'تقرير مصروفات إجمالية'!$B$3:$N$115,7,FALSE)</f>
        <v>7933</v>
      </c>
      <c r="CX95" s="235">
        <f>VLOOKUP(CX89,'تقرير مصروفات إجمالية'!$B$3:$N$115,7,FALSE)</f>
        <v>0</v>
      </c>
      <c r="CY95" s="235">
        <f>VLOOKUP(CY89,'تقرير مصروفات إجمالية'!$B$3:$N$115,7,FALSE)</f>
        <v>6435.51</v>
      </c>
      <c r="CZ95" s="235">
        <f>VLOOKUP(CZ89,'تقرير مصروفات إجمالية'!$B$3:$N$115,7,FALSE)</f>
        <v>2386.2900000000004</v>
      </c>
      <c r="DA95" s="235">
        <f>VLOOKUP(DA89,'تقرير مصروفات إجمالية'!$B$3:$N$115,7,FALSE)</f>
        <v>2856.93</v>
      </c>
      <c r="DB95" s="235">
        <f>VLOOKUP(DB89,'تقرير مصروفات إجمالية'!$B$3:$N$115,7,FALSE)</f>
        <v>44184.94</v>
      </c>
      <c r="DC95" s="235">
        <f>VLOOKUP(DC89,'تقرير مصروفات إجمالية'!$B$3:$N$115,7,FALSE)</f>
        <v>7028.2099999999964</v>
      </c>
      <c r="DD95" s="235">
        <f>VLOOKUP(DD89,'تقرير مصروفات إجمالية'!$B$3:$N$115,7,FALSE)</f>
        <v>11784.379999999997</v>
      </c>
      <c r="DE95" s="235">
        <f>VLOOKUP(DE89,'تقرير مصروفات إجمالية'!$B$3:$N$115,7,FALSE)</f>
        <v>23050.829999999998</v>
      </c>
      <c r="DF95" s="235">
        <f>VLOOKUP(DF89,'تقرير مصروفات إجمالية'!$B$3:$N$115,7,FALSE)</f>
        <v>0</v>
      </c>
      <c r="DG95" s="235">
        <f>VLOOKUP(DG89,'تقرير مصروفات إجمالية'!$B$3:$N$115,7,FALSE)</f>
        <v>0</v>
      </c>
      <c r="DH95" s="235">
        <f>VLOOKUP(DH89,'تقرير مصروفات إجمالية'!$B$3:$N$115,7,FALSE)</f>
        <v>117831.54999999999</v>
      </c>
      <c r="DI95" s="235">
        <f>VLOOKUP(DI89,'تقرير مصروفات إجمالية'!$B$3:$N$115,7,FALSE)</f>
        <v>0</v>
      </c>
      <c r="DJ95" s="235">
        <f>VLOOKUP(DJ89,'تقرير مصروفات إجمالية'!$B$3:$N$115,7,FALSE)</f>
        <v>166.66</v>
      </c>
      <c r="DK95" s="235">
        <f>VLOOKUP(DK89,'تقرير مصروفات إجمالية'!$B$3:$N$115,7,FALSE)</f>
        <v>1500</v>
      </c>
      <c r="DL95" s="235">
        <f>VLOOKUP(DL89,'تقرير مصروفات إجمالية'!$B$3:$N$115,7,FALSE)</f>
        <v>47999.66</v>
      </c>
      <c r="DM95" s="235">
        <f>VLOOKUP(DM89,'تقرير مصروفات إجمالية'!$B$3:$N$115,7,FALSE)</f>
        <v>0</v>
      </c>
      <c r="DN95" s="235">
        <f>VLOOKUP(DN89,'تقرير مصروفات إجمالية'!$B$3:$N$115,7,FALSE)</f>
        <v>9747.23</v>
      </c>
      <c r="DO95" s="235">
        <f>VLOOKUP(DO89,'تقرير مصروفات إجمالية'!$B$3:$N$115,7,FALSE)</f>
        <v>0</v>
      </c>
      <c r="DP95" s="235">
        <f>VLOOKUP(DP89,'تقرير مصروفات إجمالية'!$B$3:$N$115,7,FALSE)</f>
        <v>5060</v>
      </c>
      <c r="DQ95" s="235">
        <f>VLOOKUP(DQ89,'تقرير مصروفات إجمالية'!$B$3:$N$115,7,FALSE)</f>
        <v>7610</v>
      </c>
      <c r="DR95" s="235">
        <f>VLOOKUP(DR89,'تقرير مصروفات إجمالية'!$B$3:$N$115,7,FALSE)</f>
        <v>0</v>
      </c>
      <c r="DS95" s="235">
        <f>VLOOKUP(DS89,'تقرير مصروفات إجمالية'!$B$3:$N$115,7,FALSE)</f>
        <v>0</v>
      </c>
      <c r="DT95" s="235">
        <f>VLOOKUP(DT89,'تقرير مصروفات إجمالية'!$B$3:$N$115,7,FALSE)</f>
        <v>0</v>
      </c>
      <c r="DU95" s="235">
        <f>VLOOKUP(DU89,'تقرير مصروفات إجمالية'!$B$3:$N$115,7,FALSE)</f>
        <v>35116.509999999995</v>
      </c>
      <c r="DV95" s="235">
        <f>VLOOKUP(DV89,'تقرير مصروفات إجمالية'!$B$3:$N$115,7,FALSE)</f>
        <v>17814</v>
      </c>
      <c r="DW95" s="235">
        <f>VLOOKUP(DW89,'تقرير مصروفات إجمالية'!$B$3:$N$115,7,FALSE)</f>
        <v>16217.28</v>
      </c>
      <c r="DX95" s="235">
        <f>VLOOKUP(DX89,'تقرير مصروفات إجمالية'!$B$3:$N$115,7,FALSE)</f>
        <v>32715.46</v>
      </c>
      <c r="DY95" s="235">
        <f>VLOOKUP(DY89,'تقرير مصروفات إجمالية'!$B$3:$N$115,7,FALSE)</f>
        <v>52696.19</v>
      </c>
      <c r="DZ95" s="235">
        <f>VLOOKUP(DZ89,'تقرير مصروفات إجمالية'!$B$3:$N$115,7,FALSE)</f>
        <v>86901.23</v>
      </c>
      <c r="EA95" s="235">
        <f>VLOOKUP(EA89,'تقرير مصروفات إجمالية'!$B$3:$N$115,7,FALSE)</f>
        <v>45418.64</v>
      </c>
      <c r="EB95" s="235">
        <f>VLOOKUP(EB89,'تقرير مصروفات إجمالية'!$B$3:$N$115,7,FALSE)</f>
        <v>20328.900000000001</v>
      </c>
      <c r="EC95" s="235">
        <f>VLOOKUP(EC89,'تقرير مصروفات إجمالية'!$B$3:$N$115,7,FALSE)</f>
        <v>31885.69</v>
      </c>
      <c r="ED95" s="235">
        <f>VLOOKUP(ED89,'تقرير مصروفات إجمالية'!$B$3:$N$115,7,FALSE)</f>
        <v>20793.88</v>
      </c>
      <c r="EE95" s="235">
        <f>VLOOKUP(EE89,'تقرير مصروفات إجمالية'!$B$3:$N$115,7,FALSE)</f>
        <v>44889</v>
      </c>
      <c r="EF95" s="235">
        <f>VLOOKUP(EF89,'تقرير مصروفات إجمالية'!$B$3:$N$115,7,FALSE)</f>
        <v>22914.91</v>
      </c>
      <c r="EG95" s="235">
        <f>VLOOKUP(EG89,'تقرير مصروفات إجمالية'!$B$3:$N$115,7,FALSE)</f>
        <v>24094.78</v>
      </c>
      <c r="EH95" s="235">
        <f>VLOOKUP(EH89,'تقرير مصروفات إجمالية'!$B$3:$N$115,7,FALSE)</f>
        <v>20000</v>
      </c>
      <c r="EI95" s="235">
        <f>VLOOKUP(EI89,'تقرير مصروفات إجمالية'!$B$3:$N$115,7,FALSE)</f>
        <v>2768807.3699999996</v>
      </c>
      <c r="EJ95" s="235">
        <f>VLOOKUP(EJ89,'تقرير مصروفات إجمالية'!$B$3:$N$116,7,FALSE)</f>
        <v>2157.5</v>
      </c>
      <c r="EK95" s="235"/>
      <c r="EL95" s="235">
        <f>VLOOKUP($EL$89,'تقرير مصروفات إجمالية'!$B$3:$O$119,12,FALSE)</f>
        <v>145389.75</v>
      </c>
    </row>
    <row r="96" spans="2:142" ht="14.4">
      <c r="AA96" s="197" t="s">
        <v>253</v>
      </c>
      <c r="AB96" s="235">
        <f>VLOOKUP(AB89,'تقرير مصروفات إجمالية'!$B$3:$N$115,8,FALSE)</f>
        <v>1108595.69</v>
      </c>
      <c r="AC96" s="235">
        <f>VLOOKUP(AC89,'تقرير مصروفات إجمالية'!$B$3:$N$115,8,FALSE)</f>
        <v>3436509.585</v>
      </c>
      <c r="AD96" s="235">
        <f>VLOOKUP(AD89,'تقرير مصروفات إجمالية'!$B$3:$N$115,8,FALSE)</f>
        <v>92375</v>
      </c>
      <c r="AE96" s="235">
        <f>VLOOKUP(AE89,'تقرير مصروفات إجمالية'!$B$3:$N$115,8,FALSE)</f>
        <v>626</v>
      </c>
      <c r="AF96" s="235">
        <f>VLOOKUP(AF89,'تقرير مصروفات إجمالية'!$B$3:$N$115,8,FALSE)</f>
        <v>0</v>
      </c>
      <c r="AG96" s="235">
        <f>VLOOKUP(AG89,'تقرير مصروفات إجمالية'!$B$3:$N$115,8,FALSE)</f>
        <v>300000</v>
      </c>
      <c r="AH96" s="235">
        <f>VLOOKUP(AH89,'تقرير مصروفات إجمالية'!$B$3:$N$115,8,FALSE)</f>
        <v>100000</v>
      </c>
      <c r="AI96" s="235">
        <f>VLOOKUP(AI89,'تقرير مصروفات إجمالية'!$B$3:$N$115,8,FALSE)</f>
        <v>391881</v>
      </c>
      <c r="AJ96" s="235">
        <f>VLOOKUP(AJ89,'تقرير مصروفات إجمالية'!$B$3:$N$115,8,FALSE)</f>
        <v>1609</v>
      </c>
      <c r="AK96" s="235">
        <f>VLOOKUP(AK89,'تقرير مصروفات إجمالية'!$B$3:$N$115,8,FALSE)</f>
        <v>21637.899999999994</v>
      </c>
      <c r="AL96" s="235">
        <f>VLOOKUP(AL89,'تقرير مصروفات إجمالية'!$B$3:$N$115,8,FALSE)</f>
        <v>275</v>
      </c>
      <c r="AM96" s="235">
        <f>VLOOKUP(AM89,'تقرير مصروفات إجمالية'!$B$3:$N$115,8,FALSE)</f>
        <v>32385</v>
      </c>
      <c r="AN96" s="235">
        <f>VLOOKUP(AN89,'تقرير مصروفات إجمالية'!$B$3:$N$115,8,FALSE)</f>
        <v>5245</v>
      </c>
      <c r="AO96" s="235">
        <f>VLOOKUP(AO89,'تقرير مصروفات إجمالية'!$B$3:$N$115,8,FALSE)</f>
        <v>20195</v>
      </c>
      <c r="AP96" s="235">
        <f>VLOOKUP(AP89,'تقرير مصروفات إجمالية'!$B$3:$N$115,8,FALSE)</f>
        <v>185</v>
      </c>
      <c r="AQ96" s="235">
        <f>VLOOKUP(AQ89,'تقرير مصروفات إجمالية'!$B$3:$N$115,8,FALSE)</f>
        <v>0</v>
      </c>
      <c r="AR96" s="235">
        <f>VLOOKUP(AR89,'تقرير مصروفات إجمالية'!$B$3:$N$115,8,FALSE)</f>
        <v>0</v>
      </c>
      <c r="AS96" s="235">
        <f>VLOOKUP(AS89,'تقرير مصروفات إجمالية'!$B$3:$N$115,8,FALSE)</f>
        <v>130620</v>
      </c>
      <c r="AT96" s="235">
        <f>VLOOKUP(AT89,'تقرير مصروفات إجمالية'!$B$3:$N$115,8,FALSE)</f>
        <v>54259</v>
      </c>
      <c r="AU96" s="235">
        <f>VLOOKUP(AU89,'تقرير مصروفات إجمالية'!$B$3:$N$115,8,FALSE)</f>
        <v>63570.63</v>
      </c>
      <c r="AV96" s="235">
        <f>VLOOKUP(AV89,'تقرير مصروفات إجمالية'!$B$3:$N$115,8,FALSE)</f>
        <v>417</v>
      </c>
      <c r="AW96" s="235">
        <f>VLOOKUP(AW89,'تقرير مصروفات إجمالية'!$B$3:$N$115,8,FALSE)</f>
        <v>0</v>
      </c>
      <c r="AX96" s="235">
        <f>VLOOKUP(AX89,'تقرير مصروفات إجمالية'!$B$3:$N$115,8,FALSE)</f>
        <v>3715</v>
      </c>
      <c r="AY96" s="235">
        <f>VLOOKUP(AY89,'تقرير مصروفات إجمالية'!$B$3:$N$115,8,FALSE)</f>
        <v>485</v>
      </c>
      <c r="AZ96" s="235">
        <f>VLOOKUP(AZ89,'تقرير مصروفات إجمالية'!$B$3:$N$115,8,FALSE)</f>
        <v>1343.92</v>
      </c>
      <c r="BA96" s="235">
        <f>VLOOKUP(BA89,'تقرير مصروفات إجمالية'!$B$3:$N$115,8,FALSE)</f>
        <v>10925</v>
      </c>
      <c r="BB96" s="235">
        <f>VLOOKUP(BB89,'تقرير مصروفات إجمالية'!$B$3:$N$115,8,FALSE)</f>
        <v>1460</v>
      </c>
      <c r="BC96" s="235">
        <f>VLOOKUP(BC89,'تقرير مصروفات إجمالية'!$B$3:$N$115,8,FALSE)</f>
        <v>1200</v>
      </c>
      <c r="BD96" s="235">
        <f>VLOOKUP(BD89,'تقرير مصروفات إجمالية'!$B$3:$N$115,8,FALSE)</f>
        <v>0</v>
      </c>
      <c r="BE96" s="235">
        <f>VLOOKUP(BE89,'تقرير مصروفات إجمالية'!$B$3:$N$115,8,FALSE)</f>
        <v>20257.5</v>
      </c>
      <c r="BF96" s="235">
        <f>VLOOKUP(BF89,'تقرير مصروفات إجمالية'!$B$3:$N$115,8,FALSE)</f>
        <v>59640</v>
      </c>
      <c r="BG96" s="235">
        <f>VLOOKUP(BG89,'تقرير مصروفات إجمالية'!$B$3:$N$115,8,FALSE)</f>
        <v>0</v>
      </c>
      <c r="BH96" s="235">
        <f>VLOOKUP(BH89,'تقرير مصروفات إجمالية'!$B$3:$N$115,8,FALSE)</f>
        <v>119235</v>
      </c>
      <c r="BI96" s="235">
        <f>VLOOKUP(BI89,'تقرير مصروفات إجمالية'!$B$3:$N$115,8,FALSE)</f>
        <v>5090</v>
      </c>
      <c r="BJ96" s="235">
        <f>VLOOKUP(BJ89,'تقرير مصروفات إجمالية'!$B$3:$N$115,8,FALSE)</f>
        <v>1445.56</v>
      </c>
      <c r="BK96" s="235">
        <f>VLOOKUP(BK89,'تقرير مصروفات إجمالية'!$B$3:$N$115,8,FALSE)</f>
        <v>8000</v>
      </c>
      <c r="BL96" s="235">
        <f>VLOOKUP(BL89,'تقرير مصروفات إجمالية'!$B$3:$N$115,8,FALSE)</f>
        <v>0</v>
      </c>
      <c r="BM96" s="235">
        <f>VLOOKUP(BM89,'تقرير مصروفات إجمالية'!$B$3:$N$115,8,FALSE)</f>
        <v>108820.16</v>
      </c>
      <c r="BN96" s="235">
        <f>VLOOKUP(BN89,'تقرير مصروفات إجمالية'!$B$3:$N$115,8,FALSE)</f>
        <v>140</v>
      </c>
      <c r="BO96" s="235">
        <f>VLOOKUP(BO89,'تقرير مصروفات إجمالية'!$B$3:$N$115,8,FALSE)</f>
        <v>4500</v>
      </c>
      <c r="BP96" s="235">
        <f>VLOOKUP(BP89,'تقرير مصروفات إجمالية'!$B$3:$N$115,8,FALSE)</f>
        <v>0</v>
      </c>
      <c r="BQ96" s="235">
        <f>VLOOKUP(BQ89,'تقرير مصروفات إجمالية'!$B$3:$N$115,8,FALSE)</f>
        <v>5800</v>
      </c>
      <c r="BR96" s="235">
        <f>VLOOKUP(BR89,'تقرير مصروفات إجمالية'!$B$3:$N$115,8,FALSE)</f>
        <v>2395</v>
      </c>
      <c r="BS96" s="235">
        <f>VLOOKUP(BS89,'تقرير مصروفات إجمالية'!$B$3:$N$115,8,FALSE)</f>
        <v>0</v>
      </c>
      <c r="BT96" s="235">
        <f>VLOOKUP(BT89,'تقرير مصروفات إجمالية'!$B$3:$N$115,8,FALSE)</f>
        <v>19155</v>
      </c>
      <c r="BU96" s="235">
        <f>VLOOKUP(BU89,'تقرير مصروفات إجمالية'!$B$3:$N$115,8,FALSE)</f>
        <v>0</v>
      </c>
      <c r="BV96" s="235">
        <f>VLOOKUP(BV89,'تقرير مصروفات إجمالية'!$B$3:$N$115,8,FALSE)</f>
        <v>0</v>
      </c>
      <c r="BW96" s="235">
        <f>VLOOKUP(BW89,'تقرير مصروفات إجمالية'!$B$3:$N$115,8,FALSE)</f>
        <v>0</v>
      </c>
      <c r="BX96" s="235">
        <f>VLOOKUP(BX89,'تقرير مصروفات إجمالية'!$B$3:$N$115,8,FALSE)</f>
        <v>9015</v>
      </c>
      <c r="BY96" s="235">
        <f>VLOOKUP(BY89,'تقرير مصروفات إجمالية'!$B$3:$N$115,8,FALSE)</f>
        <v>0</v>
      </c>
      <c r="BZ96" s="235">
        <f>VLOOKUP(BZ89,'تقرير مصروفات إجمالية'!$B$3:$N$115,8,FALSE)</f>
        <v>0</v>
      </c>
      <c r="CA96" s="235">
        <f>VLOOKUP(CA89,'تقرير مصروفات إجمالية'!$B$3:$N$115,8,FALSE)</f>
        <v>0</v>
      </c>
      <c r="CB96" s="235">
        <f>VLOOKUP(CB89,'تقرير مصروفات إجمالية'!$B$3:$N$115,8,FALSE)</f>
        <v>0</v>
      </c>
      <c r="CC96" s="235">
        <f>VLOOKUP(CC89,'تقرير مصروفات إجمالية'!$B$3:$N$115,8,FALSE)</f>
        <v>0</v>
      </c>
      <c r="CD96" s="235">
        <f>VLOOKUP(CD89,'تقرير مصروفات إجمالية'!$B$3:$N$115,8,FALSE)</f>
        <v>0</v>
      </c>
      <c r="CE96" s="235">
        <f>VLOOKUP(CE89,'تقرير مصروفات إجمالية'!$B$3:$N$115,8,FALSE)</f>
        <v>0</v>
      </c>
      <c r="CF96" s="235">
        <f>VLOOKUP(CF89,'تقرير مصروفات إجمالية'!$B$3:$N$115,8,FALSE)</f>
        <v>0</v>
      </c>
      <c r="CG96" s="235">
        <f>VLOOKUP(CG89,'تقرير مصروفات إجمالية'!$B$3:$N$115,8,FALSE)</f>
        <v>0</v>
      </c>
      <c r="CH96" s="235">
        <f>VLOOKUP(CH89,'تقرير مصروفات إجمالية'!$B$3:$N$115,8,FALSE)</f>
        <v>0</v>
      </c>
      <c r="CI96" s="235">
        <f>VLOOKUP(CI89,'تقرير مصروفات إجمالية'!$B$3:$N$115,8,FALSE)</f>
        <v>105312</v>
      </c>
      <c r="CJ96" s="235">
        <f>VLOOKUP(CJ89,'تقرير مصروفات إجمالية'!$B$3:$N$115,8,FALSE)</f>
        <v>0</v>
      </c>
      <c r="CK96" s="235">
        <f>VLOOKUP(CK89,'تقرير مصروفات إجمالية'!$B$3:$N$115,8,FALSE)</f>
        <v>11027</v>
      </c>
      <c r="CL96" s="235">
        <f>VLOOKUP(CL89,'تقرير مصروفات إجمالية'!$B$3:$N$115,8,FALSE)</f>
        <v>0</v>
      </c>
      <c r="CM96" s="235">
        <f>VLOOKUP(CM89,'تقرير مصروفات إجمالية'!$B$3:$N$115,8,FALSE)</f>
        <v>155565</v>
      </c>
      <c r="CN96" s="235">
        <f>VLOOKUP(CN89,'تقرير مصروفات إجمالية'!$B$3:$N$115,8,FALSE)</f>
        <v>28391</v>
      </c>
      <c r="CO96" s="235">
        <f>VLOOKUP(CO89,'تقرير مصروفات إجمالية'!$B$3:$N$115,8,FALSE)</f>
        <v>0</v>
      </c>
      <c r="CP96" s="235">
        <f>VLOOKUP(CP89,'تقرير مصروفات إجمالية'!$B$3:$N$115,8,FALSE)</f>
        <v>0</v>
      </c>
      <c r="CQ96" s="235">
        <f>VLOOKUP(CQ89,'تقرير مصروفات إجمالية'!$B$3:$N$115,8,FALSE)</f>
        <v>0</v>
      </c>
      <c r="CR96" s="235">
        <f>VLOOKUP(CR89,'تقرير مصروفات إجمالية'!$B$3:$N$115,8,FALSE)</f>
        <v>0</v>
      </c>
      <c r="CS96" s="235">
        <f>VLOOKUP(CS89,'تقرير مصروفات إجمالية'!$B$3:$N$115,8,FALSE)</f>
        <v>202401</v>
      </c>
      <c r="CT96" s="235">
        <f>VLOOKUP(CT89,'تقرير مصروفات إجمالية'!$B$3:$N$115,8,FALSE)</f>
        <v>12943.5</v>
      </c>
      <c r="CU96" s="235">
        <f>VLOOKUP(CU89,'تقرير مصروفات إجمالية'!$B$3:$N$115,8,FALSE)</f>
        <v>19392</v>
      </c>
      <c r="CV96" s="235">
        <f>VLOOKUP(CV89,'تقرير مصروفات إجمالية'!$B$3:$N$115,8,FALSE)</f>
        <v>13681.75</v>
      </c>
      <c r="CW96" s="235">
        <f>VLOOKUP(CW89,'تقرير مصروفات إجمالية'!$B$3:$N$115,8,FALSE)</f>
        <v>3000</v>
      </c>
      <c r="CX96" s="235">
        <f>VLOOKUP(CX89,'تقرير مصروفات إجمالية'!$B$3:$N$115,8,FALSE)</f>
        <v>0</v>
      </c>
      <c r="CY96" s="235">
        <f>VLOOKUP(CY89,'تقرير مصروفات إجمالية'!$B$3:$N$115,8,FALSE)</f>
        <v>6506.38</v>
      </c>
      <c r="CZ96" s="235">
        <f>VLOOKUP(CZ89,'تقرير مصروفات إجمالية'!$B$3:$N$115,8,FALSE)</f>
        <v>2336.29</v>
      </c>
      <c r="DA96" s="235">
        <f>VLOOKUP(DA89,'تقرير مصروفات إجمالية'!$B$3:$N$115,8,FALSE)</f>
        <v>3540.58</v>
      </c>
      <c r="DB96" s="235">
        <f>VLOOKUP(DB89,'تقرير مصروفات إجمالية'!$B$3:$N$115,8,FALSE)</f>
        <v>45783.64</v>
      </c>
      <c r="DC96" s="235">
        <f>VLOOKUP(DC89,'تقرير مصروفات إجمالية'!$B$3:$N$115,8,FALSE)</f>
        <v>6814.2499999999973</v>
      </c>
      <c r="DD96" s="235">
        <f>VLOOKUP(DD89,'تقرير مصروفات إجمالية'!$B$3:$N$115,8,FALSE)</f>
        <v>12521.14</v>
      </c>
      <c r="DE96" s="235">
        <f>VLOOKUP(DE89,'تقرير مصروفات إجمالية'!$B$3:$N$115,8,FALSE)</f>
        <v>23005.399999999998</v>
      </c>
      <c r="DF96" s="235">
        <f>VLOOKUP(DF89,'تقرير مصروفات إجمالية'!$B$3:$N$115,8,FALSE)</f>
        <v>0</v>
      </c>
      <c r="DG96" s="235">
        <f>VLOOKUP(DG89,'تقرير مصروفات إجمالية'!$B$3:$N$115,8,FALSE)</f>
        <v>0</v>
      </c>
      <c r="DH96" s="235">
        <f>VLOOKUP(DH89,'تقرير مصروفات إجمالية'!$B$3:$N$115,8,FALSE)</f>
        <v>132453.06</v>
      </c>
      <c r="DI96" s="235">
        <f>VLOOKUP(DI89,'تقرير مصروفات إجمالية'!$B$3:$N$115,8,FALSE)</f>
        <v>0</v>
      </c>
      <c r="DJ96" s="235">
        <f>VLOOKUP(DJ89,'تقرير مصروفات إجمالية'!$B$3:$N$115,8,FALSE)</f>
        <v>166.66</v>
      </c>
      <c r="DK96" s="235">
        <f>VLOOKUP(DK89,'تقرير مصروفات إجمالية'!$B$3:$N$115,8,FALSE)</f>
        <v>264</v>
      </c>
      <c r="DL96" s="235">
        <f>VLOOKUP(DL89,'تقرير مصروفات إجمالية'!$B$3:$N$115,8,FALSE)</f>
        <v>131507.88</v>
      </c>
      <c r="DM96" s="235">
        <f>VLOOKUP(DM89,'تقرير مصروفات إجمالية'!$B$3:$N$115,8,FALSE)</f>
        <v>0</v>
      </c>
      <c r="DN96" s="235">
        <f>VLOOKUP(DN89,'تقرير مصروفات إجمالية'!$B$3:$N$115,8,FALSE)</f>
        <v>7563</v>
      </c>
      <c r="DO96" s="235">
        <f>VLOOKUP(DO89,'تقرير مصروفات إجمالية'!$B$3:$N$115,8,FALSE)</f>
        <v>0</v>
      </c>
      <c r="DP96" s="235">
        <f>VLOOKUP(DP89,'تقرير مصروفات إجمالية'!$B$3:$N$115,8,FALSE)</f>
        <v>3200</v>
      </c>
      <c r="DQ96" s="235">
        <f>VLOOKUP(DQ89,'تقرير مصروفات إجمالية'!$B$3:$N$115,8,FALSE)</f>
        <v>2215</v>
      </c>
      <c r="DR96" s="235">
        <f>VLOOKUP(DR89,'تقرير مصروفات إجمالية'!$B$3:$N$115,8,FALSE)</f>
        <v>0</v>
      </c>
      <c r="DS96" s="235">
        <f>VLOOKUP(DS89,'تقرير مصروفات إجمالية'!$B$3:$N$115,8,FALSE)</f>
        <v>0</v>
      </c>
      <c r="DT96" s="235">
        <f>VLOOKUP(DT89,'تقرير مصروفات إجمالية'!$B$3:$N$115,8,FALSE)</f>
        <v>0</v>
      </c>
      <c r="DU96" s="235">
        <f>VLOOKUP(DU89,'تقرير مصروفات إجمالية'!$B$3:$N$115,8,FALSE)</f>
        <v>15872.66</v>
      </c>
      <c r="DV96" s="235">
        <f>VLOOKUP(DV89,'تقرير مصروفات إجمالية'!$B$3:$N$115,8,FALSE)</f>
        <v>17814</v>
      </c>
      <c r="DW96" s="235">
        <f>VLOOKUP(DW89,'تقرير مصروفات إجمالية'!$B$3:$N$115,8,FALSE)</f>
        <v>24551.279999999999</v>
      </c>
      <c r="DX96" s="235">
        <f>VLOOKUP(DX89,'تقرير مصروفات إجمالية'!$B$3:$N$115,8,FALSE)</f>
        <v>119616.69</v>
      </c>
      <c r="DY96" s="235">
        <f>VLOOKUP(DY89,'تقرير مصروفات إجمالية'!$B$3:$N$115,8,FALSE)</f>
        <v>52696.19</v>
      </c>
      <c r="DZ96" s="235">
        <f>VLOOKUP(DZ89,'تقرير مصروفات إجمالية'!$B$3:$N$115,8,FALSE)</f>
        <v>0</v>
      </c>
      <c r="EA96" s="235">
        <f>VLOOKUP(EA89,'تقرير مصروفات إجمالية'!$B$3:$N$115,8,FALSE)</f>
        <v>0</v>
      </c>
      <c r="EB96" s="235">
        <f>VLOOKUP(EB89,'تقرير مصروفات إجمالية'!$B$3:$N$115,8,FALSE)</f>
        <v>20328.900000000001</v>
      </c>
      <c r="EC96" s="235">
        <f>VLOOKUP(EC89,'تقرير مصروفات إجمالية'!$B$3:$N$115,8,FALSE)</f>
        <v>31885.69</v>
      </c>
      <c r="ED96" s="235">
        <f>VLOOKUP(ED89,'تقرير مصروفات إجمالية'!$B$3:$N$115,8,FALSE)</f>
        <v>20793.88</v>
      </c>
      <c r="EE96" s="235">
        <f>VLOOKUP(EE89,'تقرير مصروفات إجمالية'!$B$3:$N$115,8,FALSE)</f>
        <v>33150</v>
      </c>
      <c r="EF96" s="235">
        <f>VLOOKUP(EF89,'تقرير مصروفات إجمالية'!$B$3:$N$115,8,FALSE)</f>
        <v>22914.91</v>
      </c>
      <c r="EG96" s="235">
        <f>VLOOKUP(EG89,'تقرير مصروفات إجمالية'!$B$3:$N$115,8,FALSE)</f>
        <v>24094.78</v>
      </c>
      <c r="EH96" s="235">
        <f>VLOOKUP(EH89,'تقرير مصروفات إجمالية'!$B$3:$N$115,8,FALSE)</f>
        <v>10000</v>
      </c>
      <c r="EI96" s="235">
        <f>VLOOKUP(EI89,'تقرير مصروفات إجمالية'!$B$3:$N$115,8,FALSE)</f>
        <v>2162727.4700000002</v>
      </c>
      <c r="EJ96" s="235">
        <f>VLOOKUP(EJ89,'تقرير مصروفات إجمالية'!$B$3:$N$119,8,FALSE)</f>
        <v>0</v>
      </c>
      <c r="EK96" s="235">
        <f>VLOOKUP(EK89,'تقرير مصروفات إجمالية'!$B$3:$N$119,8,FALSE)</f>
        <v>393818.75</v>
      </c>
      <c r="EL96" s="235">
        <f>VLOOKUP($EL$89,'تقرير مصروفات إجمالية'!$B$3:$O$119,12,FALSE)</f>
        <v>145389.75</v>
      </c>
    </row>
    <row r="97" spans="1:142" ht="14.4">
      <c r="AA97" s="197" t="s">
        <v>254</v>
      </c>
      <c r="AB97" s="235">
        <f>VLOOKUP(AB89,'تقرير مصروفات إجمالية'!$B$3:$N$115,9,FALSE)</f>
        <v>1266314.54</v>
      </c>
      <c r="AC97" s="235">
        <f>VLOOKUP(AC89,'تقرير مصروفات إجمالية'!$B$3:$N$112,9,FALSE)</f>
        <v>3489354.8299999996</v>
      </c>
      <c r="AD97" s="235">
        <f>VLOOKUP(AD89,'تقرير مصروفات إجمالية'!$B$3:$N$112,9,FALSE)</f>
        <v>71447</v>
      </c>
      <c r="AE97" s="235">
        <f>VLOOKUP(AE89,'تقرير مصروفات إجمالية'!$B$3:$N$112,9,FALSE)</f>
        <v>1227</v>
      </c>
      <c r="AF97" s="235">
        <f>VLOOKUP(AF89,'تقرير مصروفات إجمالية'!$B$3:$N$112,9,FALSE)</f>
        <v>0</v>
      </c>
      <c r="AG97" s="235">
        <f>VLOOKUP(AG89,'تقرير مصروفات إجمالية'!$B$3:$N$112,9,FALSE)</f>
        <v>300000</v>
      </c>
      <c r="AH97" s="235">
        <f>VLOOKUP(AH89,'تقرير مصروفات إجمالية'!$B$3:$N$112,9,FALSE)</f>
        <v>100000</v>
      </c>
      <c r="AI97" s="235">
        <f>VLOOKUP(AI89,'تقرير مصروفات إجمالية'!$B$3:$N$112,9,FALSE)</f>
        <v>400876</v>
      </c>
      <c r="AJ97" s="235">
        <f>VLOOKUP(AJ89,'تقرير مصروفات إجمالية'!$B$3:$N$112,9,FALSE)</f>
        <v>13051</v>
      </c>
      <c r="AK97" s="235">
        <f>VLOOKUP(AK89,'تقرير مصروفات إجمالية'!$B$3:$N$112,9,FALSE)</f>
        <v>18711.939999999995</v>
      </c>
      <c r="AL97" s="235">
        <f>VLOOKUP(AL89,'تقرير مصروفات إجمالية'!$B$3:$N$112,9,FALSE)</f>
        <v>0</v>
      </c>
      <c r="AM97" s="235">
        <f>VLOOKUP(AM89,'تقرير مصروفات إجمالية'!$B$3:$N$112,9,FALSE)</f>
        <v>9623</v>
      </c>
      <c r="AN97" s="235">
        <f>VLOOKUP(AN89,'تقرير مصروفات إجمالية'!$B$3:$N$112,9,FALSE)</f>
        <v>8733</v>
      </c>
      <c r="AO97" s="235">
        <f>VLOOKUP(AO89,'تقرير مصروفات إجمالية'!$B$3:$N$112,9,FALSE)</f>
        <v>41019</v>
      </c>
      <c r="AP97" s="235">
        <f>VLOOKUP(AP89,'تقرير مصروفات إجمالية'!$B$3:$N$112,9,FALSE)</f>
        <v>31870</v>
      </c>
      <c r="AQ97" s="235">
        <f>VLOOKUP(AQ89,'تقرير مصروفات إجمالية'!$B$3:$N$112,9,FALSE)</f>
        <v>49500</v>
      </c>
      <c r="AR97" s="235">
        <f>VLOOKUP(AR89,'تقرير مصروفات إجمالية'!$B$3:$N$112,9,FALSE)</f>
        <v>0</v>
      </c>
      <c r="AS97" s="235">
        <f>VLOOKUP(AS89,'تقرير مصروفات إجمالية'!$B$3:$N$112,9,FALSE)</f>
        <v>32197</v>
      </c>
      <c r="AT97" s="235">
        <f>VLOOKUP(AT89,'تقرير مصروفات إجمالية'!$B$3:$N$112,9,FALSE)</f>
        <v>50503</v>
      </c>
      <c r="AU97" s="235">
        <f>VLOOKUP(AU89,'تقرير مصروفات إجمالية'!$B$3:$N$112,9,FALSE)</f>
        <v>71046.91</v>
      </c>
      <c r="AV97" s="235">
        <f>VLOOKUP(AV89,'تقرير مصروفات إجمالية'!$B$3:$N$112,9,FALSE)</f>
        <v>200</v>
      </c>
      <c r="AW97" s="235">
        <f>VLOOKUP(AW89,'تقرير مصروفات إجمالية'!$B$3:$N$112,9,FALSE)</f>
        <v>0</v>
      </c>
      <c r="AX97" s="235">
        <f>VLOOKUP(AX89,'تقرير مصروفات إجمالية'!$B$3:$N$112,9,FALSE)</f>
        <v>2807</v>
      </c>
      <c r="AY97" s="235">
        <f>VLOOKUP(AY89,'تقرير مصروفات إجمالية'!$B$3:$N$112,9,FALSE)</f>
        <v>180</v>
      </c>
      <c r="AZ97" s="235">
        <f>VLOOKUP(AZ89,'تقرير مصروفات إجمالية'!$B$3:$N$112,9,FALSE)</f>
        <v>1343.92</v>
      </c>
      <c r="BA97" s="235">
        <f>VLOOKUP(BA89,'تقرير مصروفات إجمالية'!$B$3:$N$112,9,FALSE)</f>
        <v>9040</v>
      </c>
      <c r="BB97" s="235">
        <f>VLOOKUP(BB89,'تقرير مصروفات إجمالية'!$B$3:$N$112,9,FALSE)</f>
        <v>0</v>
      </c>
      <c r="BC97" s="235">
        <f>VLOOKUP(BC89,'تقرير مصروفات إجمالية'!$B$3:$N$112,9,FALSE)</f>
        <v>0</v>
      </c>
      <c r="BD97" s="235">
        <f>VLOOKUP(BD89,'تقرير مصروفات إجمالية'!$B$3:$N$112,9,FALSE)</f>
        <v>0</v>
      </c>
      <c r="BE97" s="235">
        <f>VLOOKUP(BE89,'تقرير مصروفات إجمالية'!$B$3:$N$112,9,FALSE)</f>
        <v>9520</v>
      </c>
      <c r="BF97" s="235">
        <f>VLOOKUP(BF89,'تقرير مصروفات إجمالية'!$B$3:$N$112,9,FALSE)</f>
        <v>46585</v>
      </c>
      <c r="BG97" s="235">
        <f>VLOOKUP(BG89,'تقرير مصروفات إجمالية'!$B$3:$N$112,9,FALSE)</f>
        <v>3000</v>
      </c>
      <c r="BH97" s="235">
        <f>VLOOKUP(BH89,'تقرير مصروفات إجمالية'!$B$3:$N$112,9,FALSE)</f>
        <v>86950</v>
      </c>
      <c r="BI97" s="235">
        <f>VLOOKUP(BI89,'تقرير مصروفات إجمالية'!$B$3:$N$112,9,FALSE)</f>
        <v>4700</v>
      </c>
      <c r="BJ97" s="235">
        <f>VLOOKUP(BJ89,'تقرير مصروفات إجمالية'!$B$3:$N$112,9,FALSE)</f>
        <v>2905.06</v>
      </c>
      <c r="BK97" s="235">
        <f>VLOOKUP(BK89,'تقرير مصروفات إجمالية'!$B$3:$N$112,9,FALSE)</f>
        <v>13000</v>
      </c>
      <c r="BL97" s="235">
        <f>VLOOKUP(BL89,'تقرير مصروفات إجمالية'!$B$3:$N$112,9,FALSE)</f>
        <v>0</v>
      </c>
      <c r="BM97" s="235">
        <f>VLOOKUP(BM89,'تقرير مصروفات إجمالية'!$B$3:$N$112,9,FALSE)</f>
        <v>14143.99</v>
      </c>
      <c r="BN97" s="235">
        <f>VLOOKUP(BN89,'تقرير مصروفات إجمالية'!$B$3:$N$112,9,FALSE)</f>
        <v>209565</v>
      </c>
      <c r="BO97" s="235">
        <f>VLOOKUP(BO89,'تقرير مصروفات إجمالية'!$B$3:$N$112,9,FALSE)</f>
        <v>5500</v>
      </c>
      <c r="BP97" s="235">
        <f>VLOOKUP(BP89,'تقرير مصروفات إجمالية'!$B$3:$N$112,9,FALSE)</f>
        <v>0</v>
      </c>
      <c r="BQ97" s="235">
        <f>VLOOKUP(BQ89,'تقرير مصروفات إجمالية'!$B$3:$N$112,9,FALSE)</f>
        <v>0</v>
      </c>
      <c r="BR97" s="235">
        <f>VLOOKUP(BR89,'تقرير مصروفات إجمالية'!$B$3:$N$112,9,FALSE)</f>
        <v>7080</v>
      </c>
      <c r="BS97" s="235">
        <f>VLOOKUP(BS89,'تقرير مصروفات إجمالية'!$B$3:$N$112,9,FALSE)</f>
        <v>0</v>
      </c>
      <c r="BT97" s="235">
        <f>VLOOKUP(BT89,'تقرير مصروفات إجمالية'!$B$3:$N$112,9,FALSE)</f>
        <v>24315</v>
      </c>
      <c r="BU97" s="235">
        <f>VLOOKUP(BU89,'تقرير مصروفات إجمالية'!$B$3:$N$112,9,FALSE)</f>
        <v>7050</v>
      </c>
      <c r="BV97" s="235">
        <f>VLOOKUP(BV89,'تقرير مصروفات إجمالية'!$B$3:$N$112,9,FALSE)</f>
        <v>0</v>
      </c>
      <c r="BW97" s="235">
        <f>VLOOKUP(BW89,'تقرير مصروفات إجمالية'!$B$3:$N$112,9,FALSE)</f>
        <v>0</v>
      </c>
      <c r="BX97" s="235">
        <f>VLOOKUP(BX89,'تقرير مصروفات إجمالية'!$B$3:$N$112,9,FALSE)</f>
        <v>45331</v>
      </c>
      <c r="BY97" s="235">
        <f>VLOOKUP(BY89,'تقرير مصروفات إجمالية'!$B$3:$N$112,9,FALSE)</f>
        <v>0</v>
      </c>
      <c r="BZ97" s="235">
        <f>VLOOKUP(BZ89,'تقرير مصروفات إجمالية'!$B$3:$N$112,9,FALSE)</f>
        <v>0</v>
      </c>
      <c r="CA97" s="235">
        <f>VLOOKUP(CA89,'تقرير مصروفات إجمالية'!$B$3:$N$112,9,FALSE)</f>
        <v>0</v>
      </c>
      <c r="CB97" s="235">
        <f>VLOOKUP(CB89,'تقرير مصروفات إجمالية'!$B$3:$N$112,9,FALSE)</f>
        <v>0</v>
      </c>
      <c r="CC97" s="235">
        <f>VLOOKUP(CC89,'تقرير مصروفات إجمالية'!$B$3:$N$112,9,FALSE)</f>
        <v>0</v>
      </c>
      <c r="CD97" s="235">
        <f>VLOOKUP(CD89,'تقرير مصروفات إجمالية'!$B$3:$N$112,9,FALSE)</f>
        <v>0</v>
      </c>
      <c r="CE97" s="235">
        <f>VLOOKUP(CE89,'تقرير مصروفات إجمالية'!$B$3:$N$112,9,FALSE)</f>
        <v>0</v>
      </c>
      <c r="CF97" s="235">
        <f>VLOOKUP(CF89,'تقرير مصروفات إجمالية'!$B$3:$N$112,9,FALSE)</f>
        <v>0</v>
      </c>
      <c r="CG97" s="235">
        <f>VLOOKUP(CG89,'تقرير مصروفات إجمالية'!$B$3:$N$112,9,FALSE)</f>
        <v>0</v>
      </c>
      <c r="CH97" s="235">
        <f>VLOOKUP(CH89,'تقرير مصروفات إجمالية'!$B$3:$N$112,9,FALSE)</f>
        <v>0</v>
      </c>
      <c r="CI97" s="235">
        <f>VLOOKUP(CI89,'تقرير مصروفات إجمالية'!$B$3:$N$112,9,FALSE)</f>
        <v>15470</v>
      </c>
      <c r="CJ97" s="235">
        <f>VLOOKUP(CJ89,'تقرير مصروفات إجمالية'!$B$3:$N$112,9,FALSE)</f>
        <v>0</v>
      </c>
      <c r="CK97" s="235">
        <f>VLOOKUP(CK89,'تقرير مصروفات إجمالية'!$B$3:$N$112,9,FALSE)</f>
        <v>0</v>
      </c>
      <c r="CL97" s="235">
        <f>VLOOKUP(CL89,'تقرير مصروفات إجمالية'!$B$3:$N$112,9,FALSE)</f>
        <v>0</v>
      </c>
      <c r="CM97" s="235">
        <f>VLOOKUP(CM89,'تقرير مصروفات إجمالية'!$B$3:$N$112,9,FALSE)</f>
        <v>154970</v>
      </c>
      <c r="CN97" s="235">
        <f>VLOOKUP(CN89,'تقرير مصروفات إجمالية'!$B$3:$N$112,9,FALSE)</f>
        <v>37613.800000000003</v>
      </c>
      <c r="CO97" s="235">
        <f>VLOOKUP(CO89,'تقرير مصروفات إجمالية'!$B$3:$N$112,9,FALSE)</f>
        <v>0</v>
      </c>
      <c r="CP97" s="235">
        <f>VLOOKUP(CP89,'تقرير مصروفات إجمالية'!$B$3:$N$112,9,FALSE)</f>
        <v>550</v>
      </c>
      <c r="CQ97" s="235">
        <f>VLOOKUP(CQ89,'تقرير مصروفات إجمالية'!$B$3:$N$112,9,FALSE)</f>
        <v>0</v>
      </c>
      <c r="CR97" s="235">
        <f>VLOOKUP(CR89,'تقرير مصروفات إجمالية'!$B$3:$N$112,9,FALSE)</f>
        <v>0</v>
      </c>
      <c r="CS97" s="235">
        <f>VLOOKUP(CS89,'تقرير مصروفات إجمالية'!$B$3:$N$112,9,FALSE)</f>
        <v>195425</v>
      </c>
      <c r="CT97" s="235">
        <f>VLOOKUP(CT89,'تقرير مصروفات إجمالية'!$B$3:$N$112,9,FALSE)</f>
        <v>8560</v>
      </c>
      <c r="CU97" s="235">
        <f>VLOOKUP(CU89,'تقرير مصروفات إجمالية'!$B$3:$N$112,9,FALSE)</f>
        <v>9322.6</v>
      </c>
      <c r="CV97" s="235">
        <f>VLOOKUP(CV89,'تقرير مصروفات إجمالية'!$B$3:$N$112,9,FALSE)</f>
        <v>22073.969999999994</v>
      </c>
      <c r="CW97" s="235">
        <f>VLOOKUP(CW89,'تقرير مصروفات إجمالية'!$B$3:$N$112,9,FALSE)</f>
        <v>18250</v>
      </c>
      <c r="CX97" s="235">
        <f>VLOOKUP(CX89,'تقرير مصروفات إجمالية'!$B$3:$N$112,9,FALSE)</f>
        <v>0</v>
      </c>
      <c r="CY97" s="235">
        <f>VLOOKUP(CY89,'تقرير مصروفات إجمالية'!$B$3:$N$112,9,FALSE)</f>
        <v>6506.38</v>
      </c>
      <c r="CZ97" s="235">
        <f>VLOOKUP(CZ89,'تقرير مصروفات إجمالية'!$B$3:$N$112,9,FALSE)</f>
        <v>2336.29</v>
      </c>
      <c r="DA97" s="235">
        <f>VLOOKUP(DA89,'تقرير مصروفات إجمالية'!$B$3:$N$112,9,FALSE)</f>
        <v>4091</v>
      </c>
      <c r="DB97" s="235">
        <f>VLOOKUP(DB89,'تقرير مصروفات إجمالية'!$B$3:$N$112,9,FALSE)</f>
        <v>47304.070000000014</v>
      </c>
      <c r="DC97" s="235">
        <f>VLOOKUP(DC89,'تقرير مصروفات إجمالية'!$B$3:$N$112,9,FALSE)</f>
        <v>6246.840000000002</v>
      </c>
      <c r="DD97" s="235">
        <f>VLOOKUP(DD89,'تقرير مصروفات إجمالية'!$B$3:$N$112,9,FALSE)</f>
        <v>12842.599999999999</v>
      </c>
      <c r="DE97" s="235">
        <f>VLOOKUP(DE89,'تقرير مصروفات إجمالية'!$B$3:$N$112,9,FALSE)</f>
        <v>20969.259999999998</v>
      </c>
      <c r="DF97" s="235">
        <f>VLOOKUP(DF89,'تقرير مصروفات إجمالية'!$B$3:$N$112,9,FALSE)</f>
        <v>0</v>
      </c>
      <c r="DG97" s="235">
        <f>VLOOKUP(DG89,'تقرير مصروفات إجمالية'!$B$3:$N$112,9,FALSE)</f>
        <v>0</v>
      </c>
      <c r="DH97" s="235">
        <f>VLOOKUP(DH89,'تقرير مصروفات إجمالية'!$B$3:$N$112,9,FALSE)</f>
        <v>128923.23</v>
      </c>
      <c r="DI97" s="235">
        <f>VLOOKUP(DI89,'تقرير مصروفات إجمالية'!$B$3:$N$112,9,FALSE)</f>
        <v>0</v>
      </c>
      <c r="DJ97" s="235">
        <f>VLOOKUP(DJ89,'تقرير مصروفات إجمالية'!$B$3:$N$112,9,FALSE)</f>
        <v>166.66</v>
      </c>
      <c r="DK97" s="235">
        <f>VLOOKUP(DK89,'تقرير مصروفات إجمالية'!$B$3:$N$112,9,FALSE)</f>
        <v>7207.5</v>
      </c>
      <c r="DL97" s="239">
        <f>VLOOKUP(DL89,'تقرير مصروفات إجمالية'!$B$3:$N$112,9,FALSE)</f>
        <v>38.07</v>
      </c>
      <c r="DM97" s="235">
        <f>VLOOKUP(DM89,'تقرير مصروفات إجمالية'!$B$3:$N$112,9,FALSE)</f>
        <v>0</v>
      </c>
      <c r="DN97" s="235">
        <f>VLOOKUP(DN89,'تقرير مصروفات إجمالية'!$B$3:$N$112,9,FALSE)</f>
        <v>3141</v>
      </c>
      <c r="DO97" s="235">
        <f>VLOOKUP(DO89,'تقرير مصروفات إجمالية'!$B$3:$N$112,9,FALSE)</f>
        <v>0</v>
      </c>
      <c r="DP97" s="235">
        <f>VLOOKUP(DP89,'تقرير مصروفات إجمالية'!$B$3:$N$112,9,FALSE)</f>
        <v>4900</v>
      </c>
      <c r="DQ97" s="235">
        <f>VLOOKUP(DQ89,'تقرير مصروفات إجمالية'!$B$3:$N$112,9,FALSE)</f>
        <v>5880</v>
      </c>
      <c r="DR97" s="235">
        <f>VLOOKUP(DR89,'تقرير مصروفات إجمالية'!$B$3:$N$112,9,FALSE)</f>
        <v>0</v>
      </c>
      <c r="DS97" s="235">
        <f>VLOOKUP(DS89,'تقرير مصروفات إجمالية'!$B$3:$N$112,9,FALSE)</f>
        <v>0</v>
      </c>
      <c r="DT97" s="235">
        <f>VLOOKUP(DT89,'تقرير مصروفات إجمالية'!$B$3:$N$112,9,FALSE)</f>
        <v>0</v>
      </c>
      <c r="DU97" s="235">
        <f>VLOOKUP(DU89,'تقرير مصروفات إجمالية'!$B$3:$N$112,9,FALSE)</f>
        <v>20108</v>
      </c>
      <c r="DV97" s="235">
        <f>VLOOKUP(DV89,'تقرير مصروفات إجمالية'!$B$3:$N$112,9,FALSE)</f>
        <v>14221.44</v>
      </c>
      <c r="DW97" s="235">
        <f>VLOOKUP(DW89,'تقرير مصروفات إجمالية'!$B$3:$N$112,9,FALSE)</f>
        <v>10898.01</v>
      </c>
      <c r="DX97" s="235">
        <f>VLOOKUP(DX89,'تقرير مصروفات إجمالية'!$B$3:$N$112,9,FALSE)</f>
        <v>13853.56</v>
      </c>
      <c r="DY97" s="235">
        <f>VLOOKUP(DY89,'تقرير مصروفات إجمالية'!$B$3:$N$112,9,FALSE)</f>
        <v>39957.35</v>
      </c>
      <c r="DZ97" s="235">
        <f>VLOOKUP(DZ89,'تقرير مصروفات إجمالية'!$B$3:$N$112,9,FALSE)</f>
        <v>82534.89</v>
      </c>
      <c r="EA97" s="235">
        <f>VLOOKUP(EA89,'تقرير مصروفات إجمالية'!$B$3:$N$112,9,FALSE)</f>
        <v>21286.6</v>
      </c>
      <c r="EB97" s="235">
        <f>VLOOKUP(EB89,'تقرير مصروفات إجمالية'!$B$3:$N$112,9,FALSE)</f>
        <v>13882.9</v>
      </c>
      <c r="EC97" s="235">
        <f>VLOOKUP(EC89,'تقرير مصروفات إجمالية'!$B$3:$N$112,9,FALSE)</f>
        <v>20439.990000000002</v>
      </c>
      <c r="ED97" s="235">
        <f>VLOOKUP(ED89,'تقرير مصروفات إجمالية'!$B$3:$N$112,9,FALSE)</f>
        <v>14549.09</v>
      </c>
      <c r="EE97" s="235">
        <f>VLOOKUP(EE89,'تقرير مصروفات إجمالية'!$B$3:$N$119,9,FALSE)</f>
        <v>34012.5</v>
      </c>
      <c r="EF97" s="235">
        <f>VLOOKUP(EF89,'تقرير مصروفات إجمالية'!$B$3:$N$112,9,FALSE)</f>
        <v>20335.79</v>
      </c>
      <c r="EG97" s="235">
        <f>VLOOKUP(EG89,'تقرير مصروفات إجمالية'!$B$3:$N$119,9,FALSE)</f>
        <v>19385.650000000001</v>
      </c>
      <c r="EH97" s="235">
        <f>VLOOKUP(EH89,'تقرير مصروفات إجمالية'!$B$3:$N$115,9,FALSE)</f>
        <v>500</v>
      </c>
      <c r="EI97" s="235">
        <f>VLOOKUP(EI89,'تقرير مصروفات إجمالية'!$B$3:$N$115,9,FALSE)</f>
        <v>2010834.1100000003</v>
      </c>
      <c r="EJ97" s="235">
        <f>VLOOKUP(EJ89,'تقرير مصروفات إجمالية'!$B$3:$N$119,9,FALSE)</f>
        <v>0</v>
      </c>
      <c r="EK97" s="235">
        <f>VLOOKUP(EK89,'تقرير مصروفات إجمالية'!$B$3:$N$119,9,FALSE)</f>
        <v>663410.82999999996</v>
      </c>
      <c r="EL97" s="235">
        <f>VLOOKUP($EL$89,'تقرير مصروفات إجمالية'!$B$3:$O$119,12,FALSE)</f>
        <v>145389.75</v>
      </c>
    </row>
    <row r="98" spans="1:142" ht="14.4">
      <c r="AA98" s="197" t="s">
        <v>255</v>
      </c>
      <c r="AB98" s="235">
        <f>VLOOKUP(AB89,'تقرير مصروفات إجمالية'!$B$3:$N$117,10,FALSE)</f>
        <v>1184810.3999999999</v>
      </c>
      <c r="AC98" s="235">
        <f>VLOOKUP(AC89,'تقرير مصروفات إجمالية'!$B$3:$N$117,10,FALSE)</f>
        <v>3538785.71</v>
      </c>
      <c r="AD98" s="235">
        <f>VLOOKUP(AD89,'تقرير مصروفات إجمالية'!$B$3:$N$117,10,FALSE)</f>
        <v>112057</v>
      </c>
      <c r="AE98" s="235">
        <f>VLOOKUP(AE89,'تقرير مصروفات إجمالية'!$B$3:$N$117,10,FALSE)</f>
        <v>4387</v>
      </c>
      <c r="AF98" s="235">
        <f>VLOOKUP(AF89,'تقرير مصروفات إجمالية'!$B$3:$N$117,10,FALSE)</f>
        <v>0</v>
      </c>
      <c r="AG98" s="235">
        <f>VLOOKUP(AG89,'تقرير مصروفات إجمالية'!$B$3:$N$117,10,FALSE)</f>
        <v>300000</v>
      </c>
      <c r="AH98" s="235">
        <f>VLOOKUP(AH89,'تقرير مصروفات إجمالية'!$B$3:$N$117,10,FALSE)</f>
        <v>100000</v>
      </c>
      <c r="AI98" s="235">
        <f>VLOOKUP(AI89,'تقرير مصروفات إجمالية'!$B$3:$N$117,10,FALSE)</f>
        <v>405496</v>
      </c>
      <c r="AJ98" s="235">
        <f>VLOOKUP(AJ89,'تقرير مصروفات إجمالية'!$B$3:$N$117,10,FALSE)</f>
        <v>1435</v>
      </c>
      <c r="AK98" s="235">
        <f>VLOOKUP(AK89,'تقرير مصروفات إجمالية'!$B$3:$N$117,10,FALSE)</f>
        <v>18365.62999999999</v>
      </c>
      <c r="AL98" s="235">
        <f>VLOOKUP(AL89,'تقرير مصروفات إجمالية'!$B$3:$N$117,10,FALSE)</f>
        <v>0</v>
      </c>
      <c r="AM98" s="235">
        <f>VLOOKUP(AM89,'تقرير مصروفات إجمالية'!$B$3:$N$117,10,FALSE)</f>
        <v>11335</v>
      </c>
      <c r="AN98" s="235">
        <f>VLOOKUP(AN89,'تقرير مصروفات إجمالية'!$B$3:$N$117,10,FALSE)</f>
        <v>31783</v>
      </c>
      <c r="AO98" s="235">
        <f>VLOOKUP(AO89,'تقرير مصروفات إجمالية'!$B$3:$N$117,10,FALSE)</f>
        <v>7910</v>
      </c>
      <c r="AP98" s="235">
        <f>VLOOKUP(AP89,'تقرير مصروفات إجمالية'!$B$3:$N$117,10,FALSE)</f>
        <v>0</v>
      </c>
      <c r="AQ98" s="235">
        <f>VLOOKUP(AQ89,'تقرير مصروفات إجمالية'!$B$3:$N$117,10,FALSE)</f>
        <v>0</v>
      </c>
      <c r="AR98" s="235">
        <f>VLOOKUP(AR89,'تقرير مصروفات إجمالية'!$B$3:$N$117,10,FALSE)</f>
        <v>0</v>
      </c>
      <c r="AS98" s="235">
        <f>VLOOKUP(AS89,'تقرير مصروفات إجمالية'!$B$3:$N$117,10,FALSE)</f>
        <v>21958</v>
      </c>
      <c r="AT98" s="235">
        <f>VLOOKUP(AT89,'تقرير مصروفات إجمالية'!$B$3:$N$117,10,FALSE)</f>
        <v>54971.4</v>
      </c>
      <c r="AU98" s="235">
        <f>VLOOKUP(AU89,'تقرير مصروفات إجمالية'!$B$3:$N$117,10,FALSE)</f>
        <v>114447.12999999999</v>
      </c>
      <c r="AV98" s="235">
        <f>VLOOKUP(AV89,'تقرير مصروفات إجمالية'!$B$3:$N$117,10,FALSE)</f>
        <v>270</v>
      </c>
      <c r="AW98" s="235">
        <f>VLOOKUP(AW89,'تقرير مصروفات إجمالية'!$B$3:$N$117,10,FALSE)</f>
        <v>0</v>
      </c>
      <c r="AX98" s="235">
        <f>VLOOKUP(AX89,'تقرير مصروفات إجمالية'!$B$3:$N$117,10,FALSE)</f>
        <v>4398.41</v>
      </c>
      <c r="AY98" s="235">
        <f>VLOOKUP(AY89,'تقرير مصروفات إجمالية'!$B$3:$N$117,10,FALSE)</f>
        <v>240</v>
      </c>
      <c r="AZ98" s="235">
        <f>VLOOKUP(AZ89,'تقرير مصروفات إجمالية'!$B$3:$N$117,10,FALSE)</f>
        <v>1343.92</v>
      </c>
      <c r="BA98" s="235">
        <f>VLOOKUP(BA89,'تقرير مصروفات إجمالية'!$B$3:$N$117,10,FALSE)</f>
        <v>5205</v>
      </c>
      <c r="BB98" s="235">
        <f>VLOOKUP(BB89,'تقرير مصروفات إجمالية'!$B$3:$N$117,10,FALSE)</f>
        <v>15063</v>
      </c>
      <c r="BC98" s="235">
        <f>VLOOKUP(BC89,'تقرير مصروفات إجمالية'!$B$3:$N$117,10,FALSE)</f>
        <v>330</v>
      </c>
      <c r="BD98" s="235">
        <f>VLOOKUP(BD89,'تقرير مصروفات إجمالية'!$B$3:$N$117,10,FALSE)</f>
        <v>0</v>
      </c>
      <c r="BE98" s="235">
        <f>VLOOKUP(BE89,'تقرير مصروفات إجمالية'!$B$3:$N$117,10,FALSE)</f>
        <v>12835</v>
      </c>
      <c r="BF98" s="235">
        <f>VLOOKUP(BF89,'تقرير مصروفات إجمالية'!$B$3:$N$117,10,FALSE)</f>
        <v>25202</v>
      </c>
      <c r="BG98" s="235">
        <f>VLOOKUP(BG89,'تقرير مصروفات إجمالية'!$B$3:$N$117,10,FALSE)</f>
        <v>0</v>
      </c>
      <c r="BH98" s="235">
        <f>VLOOKUP(BH89,'تقرير مصروفات إجمالية'!$B$3:$N$117,10,FALSE)</f>
        <v>91940</v>
      </c>
      <c r="BI98" s="235">
        <f>VLOOKUP(BI89,'تقرير مصروفات إجمالية'!$B$3:$N$117,10,FALSE)</f>
        <v>12350</v>
      </c>
      <c r="BJ98" s="235">
        <f>VLOOKUP(BJ89,'تقرير مصروفات إجمالية'!$B$3:$N$117,10,FALSE)</f>
        <v>2349.5699999999997</v>
      </c>
      <c r="BK98" s="235">
        <f>VLOOKUP(BK89,'تقرير مصروفات إجمالية'!$B$3:$N$117,10,FALSE)</f>
        <v>8000</v>
      </c>
      <c r="BL98" s="235">
        <f>VLOOKUP(BL89,'تقرير مصروفات إجمالية'!$B$3:$N$117,10,FALSE)</f>
        <v>0</v>
      </c>
      <c r="BM98" s="235">
        <f>VLOOKUP(BM89,'تقرير مصروفات إجمالية'!$B$3:$N$117,10,FALSE)</f>
        <v>194800.93000000002</v>
      </c>
      <c r="BN98" s="235">
        <f>VLOOKUP(BN89,'تقرير مصروفات إجمالية'!$B$3:$N$117,10,FALSE)</f>
        <v>0</v>
      </c>
      <c r="BO98" s="235">
        <f>VLOOKUP(BO89,'تقرير مصروفات إجمالية'!$B$3:$N$117,10,FALSE)</f>
        <v>12350</v>
      </c>
      <c r="BP98" s="235">
        <f>VLOOKUP(BP89,'تقرير مصروفات إجمالية'!$B$3:$N$117,10,FALSE)</f>
        <v>39688</v>
      </c>
      <c r="BQ98" s="235">
        <f>VLOOKUP(BQ89,'تقرير مصروفات إجمالية'!$B$3:$N$117,10,FALSE)</f>
        <v>0</v>
      </c>
      <c r="BR98" s="235">
        <f>VLOOKUP(BR89,'تقرير مصروفات إجمالية'!$B$3:$N$117,10,FALSE)</f>
        <v>14365</v>
      </c>
      <c r="BS98" s="235">
        <f>VLOOKUP(BS89,'تقرير مصروفات إجمالية'!$B$3:$N$117,10,FALSE)</f>
        <v>0</v>
      </c>
      <c r="BT98" s="235">
        <f>VLOOKUP(BT89,'تقرير مصروفات إجمالية'!$B$3:$N$117,10,FALSE)</f>
        <v>22900</v>
      </c>
      <c r="BU98" s="235">
        <f>VLOOKUP(BU89,'تقرير مصروفات إجمالية'!$B$3:$N$117,10,FALSE)</f>
        <v>6000</v>
      </c>
      <c r="BV98" s="235">
        <f>VLOOKUP(BV89,'تقرير مصروفات إجمالية'!$B$3:$N$117,10,FALSE)</f>
        <v>0</v>
      </c>
      <c r="BW98" s="235">
        <f>VLOOKUP(BW89,'تقرير مصروفات إجمالية'!$B$3:$N$117,10,FALSE)</f>
        <v>0</v>
      </c>
      <c r="BX98" s="235">
        <f>VLOOKUP(BX89,'تقرير مصروفات إجمالية'!$B$3:$N$117,10,FALSE)</f>
        <v>1750</v>
      </c>
      <c r="BY98" s="235">
        <f>VLOOKUP(BY89,'تقرير مصروفات إجمالية'!$B$3:$N$117,10,FALSE)</f>
        <v>0</v>
      </c>
      <c r="BZ98" s="235">
        <f>VLOOKUP(BZ89,'تقرير مصروفات إجمالية'!$B$3:$N$117,10,FALSE)</f>
        <v>0</v>
      </c>
      <c r="CA98" s="235">
        <f>VLOOKUP(CA89,'تقرير مصروفات إجمالية'!$B$3:$N$117,10,FALSE)</f>
        <v>0</v>
      </c>
      <c r="CB98" s="235">
        <f>VLOOKUP(CB89,'تقرير مصروفات إجمالية'!$B$3:$N$117,10,FALSE)</f>
        <v>0</v>
      </c>
      <c r="CC98" s="235">
        <f>VLOOKUP(CC89,'تقرير مصروفات إجمالية'!$B$3:$N$117,10,FALSE)</f>
        <v>0</v>
      </c>
      <c r="CD98" s="235">
        <f>VLOOKUP(CD89,'تقرير مصروفات إجمالية'!$B$3:$N$117,10,FALSE)</f>
        <v>0</v>
      </c>
      <c r="CE98" s="235">
        <f>VLOOKUP(CE89,'تقرير مصروفات إجمالية'!$B$3:$N$117,10,FALSE)</f>
        <v>0</v>
      </c>
      <c r="CF98" s="235">
        <f>VLOOKUP(CF89,'تقرير مصروفات إجمالية'!$B$3:$N$117,10,FALSE)</f>
        <v>0</v>
      </c>
      <c r="CG98" s="235">
        <f>VLOOKUP(CG89,'تقرير مصروفات إجمالية'!$B$3:$N$117,10,FALSE)</f>
        <v>0</v>
      </c>
      <c r="CH98" s="235">
        <f>VLOOKUP(CH89,'تقرير مصروفات إجمالية'!$B$3:$N$117,10,FALSE)</f>
        <v>0</v>
      </c>
      <c r="CI98" s="235">
        <f>VLOOKUP(CI89,'تقرير مصروفات إجمالية'!$B$3:$N$117,10,FALSE)</f>
        <v>28370</v>
      </c>
      <c r="CJ98" s="235">
        <f>VLOOKUP(CJ89,'تقرير مصروفات إجمالية'!$B$3:$N$117,10,FALSE)</f>
        <v>0</v>
      </c>
      <c r="CK98" s="235">
        <f>VLOOKUP(CK89,'تقرير مصروفات إجمالية'!$B$3:$N$117,10,FALSE)</f>
        <v>0</v>
      </c>
      <c r="CL98" s="235">
        <f>VLOOKUP(CL89,'تقرير مصروفات إجمالية'!$B$3:$N$117,10,FALSE)</f>
        <v>0</v>
      </c>
      <c r="CM98" s="235">
        <f>VLOOKUP(CM89,'تقرير مصروفات إجمالية'!$B$3:$N$117,10,FALSE)</f>
        <v>85921</v>
      </c>
      <c r="CN98" s="235">
        <f>VLOOKUP(CN89,'تقرير مصروفات إجمالية'!$B$3:$N$117,10,FALSE)</f>
        <v>14661</v>
      </c>
      <c r="CO98" s="235">
        <f>VLOOKUP(CO89,'تقرير مصروفات إجمالية'!$B$3:$N$117,10,FALSE)</f>
        <v>0</v>
      </c>
      <c r="CP98" s="235">
        <f>VLOOKUP(CP89,'تقرير مصروفات إجمالية'!$B$3:$N$117,10,FALSE)</f>
        <v>184472.5</v>
      </c>
      <c r="CQ98" s="235">
        <f>VLOOKUP(CQ89,'تقرير مصروفات إجمالية'!$B$3:$N$117,10,FALSE)</f>
        <v>0</v>
      </c>
      <c r="CR98" s="235">
        <f>VLOOKUP(CR89,'تقرير مصروفات إجمالية'!$B$3:$N$117,10,FALSE)</f>
        <v>0</v>
      </c>
      <c r="CS98" s="235">
        <f>VLOOKUP(CS89,'تقرير مصروفات إجمالية'!$B$3:$N$117,10,FALSE)</f>
        <v>201595</v>
      </c>
      <c r="CT98" s="235">
        <f>VLOOKUP(CT89,'تقرير مصروفات إجمالية'!$B$3:$N$117,10,FALSE)</f>
        <v>2650</v>
      </c>
      <c r="CU98" s="235">
        <f>VLOOKUP(CU89,'تقرير مصروفات إجمالية'!$B$3:$N$117,10,FALSE)</f>
        <v>0</v>
      </c>
      <c r="CV98" s="235">
        <f>VLOOKUP(CV89,'تقرير مصروفات إجمالية'!$B$3:$N$117,10,FALSE)</f>
        <v>10482.74</v>
      </c>
      <c r="CW98" s="235">
        <f>VLOOKUP(CW89,'تقرير مصروفات إجمالية'!$B$3:$N$117,10,FALSE)</f>
        <v>61770</v>
      </c>
      <c r="CX98" s="235">
        <f>VLOOKUP(CX89,'تقرير مصروفات إجمالية'!$B$3:$N$117,10,FALSE)</f>
        <v>0</v>
      </c>
      <c r="CY98" s="235">
        <f>VLOOKUP(CY89,'تقرير مصروفات إجمالية'!$B$3:$N$117,10,FALSE)</f>
        <v>6506.38</v>
      </c>
      <c r="CZ98" s="235">
        <f>VLOOKUP(CZ89,'تقرير مصروفات إجمالية'!$B$3:$N$117,10,FALSE)</f>
        <v>2223.2799999999997</v>
      </c>
      <c r="DA98" s="235">
        <f>VLOOKUP(DA89,'تقرير مصروفات إجمالية'!$B$3:$N$117,10,FALSE)</f>
        <v>4199.83</v>
      </c>
      <c r="DB98" s="235">
        <f>VLOOKUP(DB89,'تقرير مصروفات إجمالية'!$B$3:$N$117,10,FALSE)</f>
        <v>48422.55000000001</v>
      </c>
      <c r="DC98" s="235">
        <f>VLOOKUP(DC89,'تقرير مصروفات إجمالية'!$B$3:$N$117,10,FALSE)</f>
        <v>4927.72</v>
      </c>
      <c r="DD98" s="235">
        <f>VLOOKUP(DD89,'تقرير مصروفات إجمالية'!$B$3:$N$117,10,FALSE)</f>
        <v>13723.519999999997</v>
      </c>
      <c r="DE98" s="235">
        <f>VLOOKUP(DE89,'تقرير مصروفات إجمالية'!$B$3:$N$117,10,FALSE)</f>
        <v>21069.909999999996</v>
      </c>
      <c r="DF98" s="235">
        <f>VLOOKUP(DF89,'تقرير مصروفات إجمالية'!$B$3:$N$117,10,FALSE)</f>
        <v>0</v>
      </c>
      <c r="DG98" s="235">
        <f>VLOOKUP(DG89,'تقرير مصروفات إجمالية'!$B$3:$N$117,10,FALSE)</f>
        <v>0</v>
      </c>
      <c r="DH98" s="235">
        <f>VLOOKUP(DH89,'تقرير مصروفات إجمالية'!$B$3:$N$117,10,FALSE)</f>
        <v>116651.63</v>
      </c>
      <c r="DI98" s="235">
        <f>VLOOKUP(DI89,'تقرير مصروفات إجمالية'!$B$3:$N$117,10,FALSE)</f>
        <v>0</v>
      </c>
      <c r="DJ98" s="235">
        <f>VLOOKUP(DJ89,'تقرير مصروفات إجمالية'!$B$3:$N$117,10,FALSE)</f>
        <v>166.66</v>
      </c>
      <c r="DK98" s="235">
        <f>VLOOKUP(DK89,'تقرير مصروفات إجمالية'!$B$3:$N$117,10,FALSE)</f>
        <v>0</v>
      </c>
      <c r="DL98" s="235">
        <f>VLOOKUP(DL89,'تقرير مصروفات إجمالية'!$B$3:$N$117,10,FALSE)</f>
        <v>20550.28</v>
      </c>
      <c r="DM98" s="235">
        <f>VLOOKUP(DM89,'تقرير مصروفات إجمالية'!$B$3:$N$117,10,FALSE)</f>
        <v>0</v>
      </c>
      <c r="DN98" s="235">
        <f>VLOOKUP(DN89,'تقرير مصروفات إجمالية'!$B$3:$N$117,10,FALSE)</f>
        <v>4717.8500000000004</v>
      </c>
      <c r="DO98" s="235">
        <f>VLOOKUP(DO89,'تقرير مصروفات إجمالية'!$B$3:$N$117,10,FALSE)</f>
        <v>0</v>
      </c>
      <c r="DP98" s="235">
        <f>VLOOKUP(DP89,'تقرير مصروفات إجمالية'!$B$3:$N$117,10,FALSE)</f>
        <v>-3280</v>
      </c>
      <c r="DQ98" s="235">
        <f>VLOOKUP(DQ89,'تقرير مصروفات إجمالية'!$B$3:$N$117,10,FALSE)</f>
        <v>5350</v>
      </c>
      <c r="DR98" s="235">
        <f>VLOOKUP(DR89,'تقرير مصروفات إجمالية'!$B$3:$N$117,10,FALSE)</f>
        <v>0</v>
      </c>
      <c r="DS98" s="235">
        <f>VLOOKUP(DS89,'تقرير مصروفات إجمالية'!$B$3:$N$117,10,FALSE)</f>
        <v>0</v>
      </c>
      <c r="DT98" s="235">
        <f>VLOOKUP(DT89,'تقرير مصروفات إجمالية'!$B$3:$N$117,10,FALSE)</f>
        <v>0</v>
      </c>
      <c r="DU98" s="235">
        <f>VLOOKUP(DU89,'تقرير مصروفات إجمالية'!$B$3:$N$117,10,FALSE)</f>
        <v>0</v>
      </c>
      <c r="DV98" s="235">
        <f>VLOOKUP(DV89,'تقرير مصروفات إجمالية'!$B$3:$N$117,10,FALSE)</f>
        <v>13890.18</v>
      </c>
      <c r="DW98" s="235">
        <f>VLOOKUP(DW89,'تقرير مصروفات إجمالية'!$B$3:$N$117,10,FALSE)</f>
        <v>10583.22</v>
      </c>
      <c r="DX98" s="235">
        <f>VLOOKUP(DX89,'تقرير مصروفات إجمالية'!$B$3:$N$117,10,FALSE)</f>
        <v>13147</v>
      </c>
      <c r="DY98" s="235">
        <f>VLOOKUP(DY89,'تقرير مصروفات إجمالية'!$B$3:$N$117,10,FALSE)</f>
        <v>38899.43</v>
      </c>
      <c r="DZ98" s="235">
        <f>VLOOKUP(DZ89,'تقرير مصروفات إجمالية'!$B$3:$N$117,10,FALSE)</f>
        <v>75935.81</v>
      </c>
      <c r="EA98" s="235">
        <f>VLOOKUP(EA89,'تقرير مصروفات إجمالية'!$B$3:$N$117,10,FALSE)</f>
        <v>20500.68</v>
      </c>
      <c r="EB98" s="235">
        <f>VLOOKUP(EB89,'تقرير مصروفات إجمالية'!$B$3:$N$117,10,FALSE)</f>
        <v>13451.93</v>
      </c>
      <c r="EC98" s="235">
        <f>VLOOKUP(EC89,'تقرير مصروفات إجمالية'!$B$3:$N$117,10,FALSE)</f>
        <v>19795.14</v>
      </c>
      <c r="ED98" s="235">
        <f>VLOOKUP(ED89,'تقرير مصروفات إجمالية'!$B$3:$N$117,10,FALSE)</f>
        <v>14119.39</v>
      </c>
      <c r="EE98" s="235">
        <f>VLOOKUP(EE89,'تقرير مصروفات إجمالية'!$B$3:$N$117,10,FALSE)</f>
        <v>34012.5</v>
      </c>
      <c r="EF98" s="235">
        <f>VLOOKUP(EF89,'تقرير مصروفات إجمالية'!$B$3:$N$117,10,FALSE)</f>
        <v>20092.849999999999</v>
      </c>
      <c r="EG98" s="235">
        <f>VLOOKUP(EG89,'تقرير مصروفات إجمالية'!$B$3:$N$117,10,FALSE)</f>
        <v>18941.97</v>
      </c>
      <c r="EH98" s="235">
        <f>VLOOKUP(EH89,'تقرير مصروفات إجمالية'!$B$3:$N$117,10,FALSE)</f>
        <v>0</v>
      </c>
      <c r="EI98" s="235">
        <f>VLOOKUP(EI89,'تقرير مصروفات إجمالية'!$B$3:$N$117,10,FALSE)</f>
        <v>2485648.7399999998</v>
      </c>
      <c r="EJ98" s="235">
        <f>VLOOKUP(EJ89,'تقرير مصروفات إجمالية'!$B$3:$N$117,10,FALSE)</f>
        <v>0</v>
      </c>
      <c r="EK98" s="235">
        <f>VLOOKUP(EK89,'تقرير مصروفات إجمالية'!$B$3:$N$117,10,FALSE)</f>
        <v>988588.92000000016</v>
      </c>
      <c r="EL98" s="235">
        <f>VLOOKUP($EL$89,'تقرير مصروفات إجمالية'!$B$3:$O$119,12,FALSE)</f>
        <v>145389.75</v>
      </c>
    </row>
    <row r="99" spans="1:142" ht="14.4">
      <c r="AA99" s="197" t="s">
        <v>256</v>
      </c>
      <c r="AB99" s="235">
        <f>VLOOKUP(AB89,'تقرير مصروفات إجمالية'!$B$3:$N$115,11,FALSE)</f>
        <v>1313118.58</v>
      </c>
      <c r="AC99" s="235">
        <f>VLOOKUP(AC89,'تقرير مصروفات إجمالية'!$B$3:$N$115,11,FALSE)</f>
        <v>3752577.5880000009</v>
      </c>
      <c r="AD99" s="235">
        <f>VLOOKUP(AD89,'تقرير مصروفات إجمالية'!$B$3:$N$115,11,FALSE)</f>
        <v>118941.75</v>
      </c>
      <c r="AE99" s="235">
        <f>VLOOKUP(AE89,'تقرير مصروفات إجمالية'!$B$3:$N$115,11,FALSE)</f>
        <v>2358</v>
      </c>
      <c r="AF99" s="235">
        <f>VLOOKUP(AF89,'تقرير مصروفات إجمالية'!$B$3:$N$115,11,FALSE)</f>
        <v>920</v>
      </c>
      <c r="AG99" s="235">
        <f>VLOOKUP(AG89,'تقرير مصروفات إجمالية'!$B$3:$N$115,11,FALSE)</f>
        <v>300000</v>
      </c>
      <c r="AH99" s="235">
        <f>VLOOKUP(AH89,'تقرير مصروفات إجمالية'!$B$3:$N$115,11,FALSE)</f>
        <v>100000</v>
      </c>
      <c r="AI99" s="235">
        <f>VLOOKUP(AI89,'تقرير مصروفات إجمالية'!$B$3:$N$115,11,FALSE)</f>
        <v>390476</v>
      </c>
      <c r="AJ99" s="235">
        <f>VLOOKUP(AJ89,'تقرير مصروفات إجمالية'!$B$3:$N$115,11,FALSE)</f>
        <v>10378</v>
      </c>
      <c r="AK99" s="235">
        <f>VLOOKUP(AK89,'تقرير مصروفات إجمالية'!$B$3:$N$115,11,FALSE)</f>
        <v>19800.71999999999</v>
      </c>
      <c r="AL99" s="235">
        <f>VLOOKUP(AL89,'تقرير مصروفات إجمالية'!$B$3:$N$115,11,FALSE)</f>
        <v>0</v>
      </c>
      <c r="AM99" s="235">
        <f>VLOOKUP(AM89,'تقرير مصروفات إجمالية'!$B$3:$N$115,11,FALSE)</f>
        <v>31872</v>
      </c>
      <c r="AN99" s="235">
        <f>VLOOKUP(AN89,'تقرير مصروفات إجمالية'!$B$3:$N$115,11,FALSE)</f>
        <v>8707</v>
      </c>
      <c r="AO99" s="235">
        <f>VLOOKUP(AO89,'تقرير مصروفات إجمالية'!$B$3:$N$115,11,FALSE)</f>
        <v>24595</v>
      </c>
      <c r="AP99" s="235">
        <f>VLOOKUP(AP89,'تقرير مصروفات إجمالية'!$B$3:$N$115,11,FALSE)</f>
        <v>30800</v>
      </c>
      <c r="AQ99" s="235">
        <f>VLOOKUP(AQ89,'تقرير مصروفات إجمالية'!$B$3:$N$115,11,FALSE)</f>
        <v>58500</v>
      </c>
      <c r="AR99" s="235">
        <f>VLOOKUP(AR89,'تقرير مصروفات إجمالية'!$B$3:$N$115,11,FALSE)</f>
        <v>100</v>
      </c>
      <c r="AS99" s="235">
        <f>VLOOKUP(AS89,'تقرير مصروفات إجمالية'!$B$3:$N$115,11,FALSE)</f>
        <v>127252</v>
      </c>
      <c r="AT99" s="235">
        <f>VLOOKUP(AT89,'تقرير مصروفات إجمالية'!$B$3:$N$115,11,FALSE)</f>
        <v>29085</v>
      </c>
      <c r="AU99" s="235">
        <f>VLOOKUP(AU89,'تقرير مصروفات إجمالية'!$B$3:$N$115,11,FALSE)</f>
        <v>45191.99</v>
      </c>
      <c r="AV99" s="235">
        <f>VLOOKUP(AV89,'تقرير مصروفات إجمالية'!$B$3:$N$115,11,FALSE)</f>
        <v>370</v>
      </c>
      <c r="AW99" s="235">
        <f>VLOOKUP(AW89,'تقرير مصروفات إجمالية'!$B$3:$N$115,11,FALSE)</f>
        <v>0</v>
      </c>
      <c r="AX99" s="235">
        <f>VLOOKUP(AX89,'تقرير مصروفات إجمالية'!$B$3:$N$115,11,FALSE)</f>
        <v>4340</v>
      </c>
      <c r="AY99" s="235">
        <f>VLOOKUP(AY89,'تقرير مصروفات إجمالية'!$B$3:$N$115,11,FALSE)</f>
        <v>295</v>
      </c>
      <c r="AZ99" s="235">
        <f>VLOOKUP(AZ89,'تقرير مصروفات إجمالية'!$B$3:$N$115,11,FALSE)</f>
        <v>1343.92</v>
      </c>
      <c r="BA99" s="235">
        <f>VLOOKUP(BA89,'تقرير مصروفات إجمالية'!$B$3:$N$115,11,FALSE)</f>
        <v>18525</v>
      </c>
      <c r="BB99" s="235">
        <f>VLOOKUP(BB89,'تقرير مصروفات إجمالية'!$B$3:$N$115,11,FALSE)</f>
        <v>23728</v>
      </c>
      <c r="BC99" s="235">
        <f>VLOOKUP(BC89,'تقرير مصروفات إجمالية'!$B$3:$N$115,11,FALSE)</f>
        <v>610</v>
      </c>
      <c r="BD99" s="235">
        <f>VLOOKUP(BD89,'تقرير مصروفات إجمالية'!$B$3:$N$115,11,FALSE)</f>
        <v>0</v>
      </c>
      <c r="BE99" s="235">
        <f>VLOOKUP(BE89,'تقرير مصروفات إجمالية'!$B$3:$N$115,11,FALSE)</f>
        <v>14710</v>
      </c>
      <c r="BF99" s="235">
        <f>VLOOKUP(BF89,'تقرير مصروفات إجمالية'!$B$3:$N$115,11,FALSE)</f>
        <v>144185</v>
      </c>
      <c r="BG99" s="235">
        <f>VLOOKUP(BG89,'تقرير مصروفات إجمالية'!$B$3:$N$115,11,FALSE)</f>
        <v>219.48</v>
      </c>
      <c r="BH99" s="235">
        <f>VLOOKUP(BH89,'تقرير مصروفات إجمالية'!$B$3:$N$115,11,FALSE)</f>
        <v>60800</v>
      </c>
      <c r="BI99" s="235">
        <f>VLOOKUP(BI89,'تقرير مصروفات إجمالية'!$B$3:$N$115,11,FALSE)</f>
        <v>15230</v>
      </c>
      <c r="BJ99" s="235">
        <f>VLOOKUP(BJ89,'تقرير مصروفات إجمالية'!$B$3:$N$115,11,FALSE)</f>
        <v>3988.27</v>
      </c>
      <c r="BK99" s="235">
        <f>VLOOKUP(BK89,'تقرير مصروفات إجمالية'!$B$3:$N$115,11,FALSE)</f>
        <v>18000</v>
      </c>
      <c r="BL99" s="235">
        <f>VLOOKUP(BL89,'تقرير مصروفات إجمالية'!$B$3:$N$115,11,FALSE)</f>
        <v>0</v>
      </c>
      <c r="BM99" s="235">
        <f>VLOOKUP(BM89,'تقرير مصروفات إجمالية'!$B$3:$N$115,11,FALSE)</f>
        <v>101826.12</v>
      </c>
      <c r="BN99" s="235">
        <f>VLOOKUP(BN89,'تقرير مصروفات إجمالية'!$B$3:$N$115,11,FALSE)</f>
        <v>155428</v>
      </c>
      <c r="BO99" s="235">
        <f>VLOOKUP(BO89,'تقرير مصروفات إجمالية'!$B$3:$N$115,11,FALSE)</f>
        <v>4520</v>
      </c>
      <c r="BP99" s="235">
        <f>VLOOKUP(BP89,'تقرير مصروفات إجمالية'!$B$3:$N$115,11,FALSE)</f>
        <v>0</v>
      </c>
      <c r="BQ99" s="235">
        <f>VLOOKUP(BQ89,'تقرير مصروفات إجمالية'!$B$3:$N$115,11,FALSE)</f>
        <v>0</v>
      </c>
      <c r="BR99" s="235">
        <f>VLOOKUP(BR89,'تقرير مصروفات إجمالية'!$B$3:$N$115,11,FALSE)</f>
        <v>7060</v>
      </c>
      <c r="BS99" s="235">
        <f>VLOOKUP(BS89,'تقرير مصروفات إجمالية'!$B$3:$N$115,11,FALSE)</f>
        <v>0</v>
      </c>
      <c r="BT99" s="235">
        <f>VLOOKUP(BT89,'تقرير مصروفات إجمالية'!$B$3:$N$115,11,FALSE)</f>
        <v>20840</v>
      </c>
      <c r="BU99" s="235">
        <f>VLOOKUP(BU89,'تقرير مصروفات إجمالية'!$B$3:$N$115,11,FALSE)</f>
        <v>6000</v>
      </c>
      <c r="BV99" s="235">
        <f>VLOOKUP(BV89,'تقرير مصروفات إجمالية'!$B$3:$N$115,11,FALSE)</f>
        <v>0</v>
      </c>
      <c r="BW99" s="235">
        <f>VLOOKUP(BW89,'تقرير مصروفات إجمالية'!$B$3:$N$115,11,FALSE)</f>
        <v>0</v>
      </c>
      <c r="BX99" s="235">
        <f>VLOOKUP(BX89,'تقرير مصروفات إجمالية'!$B$3:$N$115,11,FALSE)</f>
        <v>1000</v>
      </c>
      <c r="BY99" s="235">
        <f>VLOOKUP(BY89,'تقرير مصروفات إجمالية'!$B$3:$N$115,11,FALSE)</f>
        <v>0</v>
      </c>
      <c r="BZ99" s="235">
        <f>VLOOKUP(BZ89,'تقرير مصروفات إجمالية'!$B$3:$N$115,11,FALSE)</f>
        <v>0</v>
      </c>
      <c r="CA99" s="235">
        <f>VLOOKUP(CA89,'تقرير مصروفات إجمالية'!$B$3:$N$115,11,FALSE)</f>
        <v>0</v>
      </c>
      <c r="CB99" s="235">
        <f>VLOOKUP(CB89,'تقرير مصروفات إجمالية'!$B$3:$N$115,11,FALSE)</f>
        <v>0</v>
      </c>
      <c r="CC99" s="235">
        <f>VLOOKUP(CC89,'تقرير مصروفات إجمالية'!$B$3:$N$115,11,FALSE)</f>
        <v>0</v>
      </c>
      <c r="CD99" s="235">
        <f>VLOOKUP(CD89,'تقرير مصروفات إجمالية'!$B$3:$N$115,11,FALSE)</f>
        <v>0</v>
      </c>
      <c r="CE99" s="235">
        <f>VLOOKUP(CE89,'تقرير مصروفات إجمالية'!$B$3:$N$115,11,FALSE)</f>
        <v>0</v>
      </c>
      <c r="CF99" s="235">
        <f>VLOOKUP(CF89,'تقرير مصروفات إجمالية'!$B$3:$N$115,11,FALSE)</f>
        <v>0</v>
      </c>
      <c r="CG99" s="235">
        <f>VLOOKUP(CG89,'تقرير مصروفات إجمالية'!$B$3:$N$115,11,FALSE)</f>
        <v>0</v>
      </c>
      <c r="CH99" s="235">
        <f>VLOOKUP(CH89,'تقرير مصروفات إجمالية'!$B$3:$N$115,11,FALSE)</f>
        <v>0</v>
      </c>
      <c r="CI99" s="235">
        <f>VLOOKUP(CI89,'تقرير مصروفات إجمالية'!$B$3:$N$115,11,FALSE)</f>
        <v>46330.75</v>
      </c>
      <c r="CJ99" s="235">
        <f>VLOOKUP(CJ89,'تقرير مصروفات إجمالية'!$B$3:$N$115,11,FALSE)</f>
        <v>0</v>
      </c>
      <c r="CK99" s="235">
        <f>VLOOKUP(CK89,'تقرير مصروفات إجمالية'!$B$3:$N$115,11,FALSE)</f>
        <v>1200</v>
      </c>
      <c r="CL99" s="235">
        <f>VLOOKUP(CL89,'تقرير مصروفات إجمالية'!$B$3:$N$115,11,FALSE)</f>
        <v>0</v>
      </c>
      <c r="CM99" s="235">
        <f>VLOOKUP(CM89,'تقرير مصروفات إجمالية'!$B$3:$N$115,11,FALSE)</f>
        <v>100</v>
      </c>
      <c r="CN99" s="235">
        <f>VLOOKUP(CN89,'تقرير مصروفات إجمالية'!$B$3:$N$115,11,FALSE)</f>
        <v>27315.199999999986</v>
      </c>
      <c r="CO99" s="235">
        <f>VLOOKUP(CO89,'تقرير مصروفات إجمالية'!$B$3:$N$115,11,FALSE)</f>
        <v>0</v>
      </c>
      <c r="CP99" s="235">
        <f>VLOOKUP(CP89,'تقرير مصروفات إجمالية'!$B$3:$N$115,11,FALSE)</f>
        <v>0</v>
      </c>
      <c r="CQ99" s="235">
        <f>VLOOKUP(CQ89,'تقرير مصروفات إجمالية'!$B$3:$N$115,11,FALSE)</f>
        <v>0</v>
      </c>
      <c r="CR99" s="235">
        <f>VLOOKUP(CR89,'تقرير مصروفات إجمالية'!$B$3:$N$115,11,FALSE)</f>
        <v>0</v>
      </c>
      <c r="CS99" s="235">
        <f>VLOOKUP(CS89,'تقرير مصروفات إجمالية'!$B$3:$N$115,11,FALSE)</f>
        <v>210183</v>
      </c>
      <c r="CT99" s="235">
        <f>VLOOKUP(CT89,'تقرير مصروفات إجمالية'!$B$3:$N$115,11,FALSE)</f>
        <v>1650</v>
      </c>
      <c r="CU99" s="235">
        <f>VLOOKUP(CU89,'تقرير مصروفات إجمالية'!$B$3:$N$115,11,FALSE)</f>
        <v>0</v>
      </c>
      <c r="CV99" s="235">
        <f>VLOOKUP(CV89,'تقرير مصروفات إجمالية'!$B$3:$N$115,11,FALSE)</f>
        <v>15831.24</v>
      </c>
      <c r="CW99" s="235">
        <f>VLOOKUP(CW89,'تقرير مصروفات إجمالية'!$B$3:$N$115,11,FALSE)</f>
        <v>32385</v>
      </c>
      <c r="CX99" s="235">
        <f>VLOOKUP(CX89,'تقرير مصروفات إجمالية'!$B$3:$N$115,11,FALSE)</f>
        <v>0</v>
      </c>
      <c r="CY99" s="235">
        <f>VLOOKUP(CY89,'تقرير مصروفات إجمالية'!$B$3:$N$115,11,FALSE)</f>
        <v>6506.38</v>
      </c>
      <c r="CZ99" s="235">
        <f>VLOOKUP(CZ89,'تقرير مصروفات إجمالية'!$B$3:$N$115,11,FALSE)</f>
        <v>2223.2799999999997</v>
      </c>
      <c r="DA99" s="235">
        <f>VLOOKUP(DA89,'تقرير مصروفات إجمالية'!$B$3:$N$115,11,FALSE)</f>
        <v>4199.83</v>
      </c>
      <c r="DB99" s="235">
        <f>VLOOKUP(DB89,'تقرير مصروفات إجمالية'!$B$3:$N$115,11,FALSE)</f>
        <v>52184.490000000013</v>
      </c>
      <c r="DC99" s="235">
        <f>VLOOKUP(DC89,'تقرير مصروفات إجمالية'!$B$3:$N$115,11,FALSE)</f>
        <v>4916.01</v>
      </c>
      <c r="DD99" s="235">
        <f>VLOOKUP(DD89,'تقرير مصروفات إجمالية'!$B$3:$N$115,11,FALSE)</f>
        <v>15476.59</v>
      </c>
      <c r="DE99" s="235">
        <f>VLOOKUP(DE89,'تقرير مصروفات إجمالية'!$B$3:$N$115,11,FALSE)</f>
        <v>25061.759999999995</v>
      </c>
      <c r="DF99" s="235">
        <f>VLOOKUP(DF89,'تقرير مصروفات إجمالية'!$B$3:$N$115,11,FALSE)</f>
        <v>0</v>
      </c>
      <c r="DG99" s="235">
        <f>VLOOKUP(DG89,'تقرير مصروفات إجمالية'!$B$3:$N$115,11,FALSE)</f>
        <v>18659</v>
      </c>
      <c r="DH99" s="235">
        <f>VLOOKUP(DH89,'تقرير مصروفات إجمالية'!$B$3:$N$115,11,FALSE)</f>
        <v>128281.24000000002</v>
      </c>
      <c r="DI99" s="235">
        <f>VLOOKUP(DI89,'تقرير مصروفات إجمالية'!$B$3:$N$115,11,FALSE)</f>
        <v>0</v>
      </c>
      <c r="DJ99" s="235">
        <f>VLOOKUP(DJ89,'تقرير مصروفات إجمالية'!$B$3:$N$115,11,FALSE)</f>
        <v>166.66</v>
      </c>
      <c r="DK99" s="235">
        <f>VLOOKUP(DK89,'تقرير مصروفات إجمالية'!$B$3:$N$115,11,FALSE)</f>
        <v>0</v>
      </c>
      <c r="DL99" s="235">
        <f>VLOOKUP(DL89,'تقرير مصروفات إجمالية'!$B$3:$N$115,11,FALSE)</f>
        <v>46383.030000000006</v>
      </c>
      <c r="DM99" s="235">
        <f>VLOOKUP(DM89,'تقرير مصروفات إجمالية'!$B$3:$N$115,11,FALSE)</f>
        <v>0</v>
      </c>
      <c r="DN99" s="235">
        <f>VLOOKUP(DN89,'تقرير مصروفات إجمالية'!$B$3:$N$115,11,FALSE)</f>
        <v>8873</v>
      </c>
      <c r="DO99" s="235">
        <f>VLOOKUP(DO89,'تقرير مصروفات إجمالية'!$B$3:$N$115,11,FALSE)</f>
        <v>0</v>
      </c>
      <c r="DP99" s="235">
        <f>VLOOKUP(DP89,'تقرير مصروفات إجمالية'!$B$3:$N$115,11,FALSE)</f>
        <v>10860</v>
      </c>
      <c r="DQ99" s="235">
        <f>VLOOKUP(DQ89,'تقرير مصروفات إجمالية'!$B$3:$N$115,11,FALSE)</f>
        <v>6710</v>
      </c>
      <c r="DR99" s="235">
        <f>VLOOKUP(DR89,'تقرير مصروفات إجمالية'!$B$3:$N$115,11,FALSE)</f>
        <v>0</v>
      </c>
      <c r="DS99" s="235">
        <f>VLOOKUP(DS89,'تقرير مصروفات إجمالية'!$B$3:$N$115,11,FALSE)</f>
        <v>0</v>
      </c>
      <c r="DT99" s="235">
        <f>VLOOKUP(DT89,'تقرير مصروفات إجمالية'!$B$3:$N$115,11,FALSE)</f>
        <v>0</v>
      </c>
      <c r="DU99" s="235">
        <f>VLOOKUP(DU89,'تقرير مصروفات إجمالية'!$B$3:$N$115,11,FALSE)</f>
        <v>0</v>
      </c>
      <c r="DV99" s="235">
        <f>VLOOKUP(DV89,'تقرير مصروفات إجمالية'!$B$3:$N$115,11,FALSE)</f>
        <v>13553.66</v>
      </c>
      <c r="DW99" s="235">
        <f>VLOOKUP(DW89,'تقرير مصروفات إجمالية'!$B$3:$N$115,11,FALSE)</f>
        <v>10263.68</v>
      </c>
      <c r="DX99" s="235">
        <f>VLOOKUP(DX89,'تقرير مصروفات إجمالية'!$B$3:$N$115,11,FALSE)</f>
        <v>12428.04</v>
      </c>
      <c r="DY99" s="235">
        <f>VLOOKUP(DY89,'تقرير مصروفات إجمالية'!$B$3:$N$115,11,FALSE)</f>
        <v>38465.22</v>
      </c>
      <c r="DZ99" s="235">
        <f>VLOOKUP(DZ89,'تقرير مصروفات إجمالية'!$B$3:$N$115,11,FALSE)</f>
        <v>0</v>
      </c>
      <c r="EA99" s="235">
        <f>VLOOKUP(EA89,'تقرير مصروفات إجمالية'!$B$3:$N$115,11,FALSE)</f>
        <v>19703.32</v>
      </c>
      <c r="EB99" s="235">
        <f>VLOOKUP(EB89,'تقرير مصروفات إجمالية'!$B$3:$N$115,11,FALSE)</f>
        <v>13013.79</v>
      </c>
      <c r="EC99" s="235">
        <f>VLOOKUP(EC89,'تقرير مصروفات إجمالية'!$B$3:$N$115,11,FALSE)</f>
        <v>19139.599999999999</v>
      </c>
      <c r="ED99" s="235">
        <f>VLOOKUP(ED89,'تقرير مصروفات إجمالية'!$B$3:$N$115,11,FALSE)</f>
        <v>13682.43</v>
      </c>
      <c r="EE99" s="235">
        <f>VLOOKUP(EE89,'تقرير مصروفات إجمالية'!$B$3:$N$115,11,FALSE)</f>
        <v>33581.25</v>
      </c>
      <c r="EF99" s="235">
        <f>VLOOKUP(EF89,'تقرير مصروفات إجمالية'!$B$3:$N$115,11,FALSE)</f>
        <v>19845.650000000001</v>
      </c>
      <c r="EG99" s="235">
        <f>VLOOKUP(EG89,'تقرير مصروفات إجمالية'!$B$3:$N$115,11,FALSE)</f>
        <v>18489.740000000002</v>
      </c>
      <c r="EH99" s="235">
        <f>VLOOKUP(EH89,'تقرير مصروفات إجمالية'!$B$3:$N$115,11,FALSE)</f>
        <v>0</v>
      </c>
      <c r="EI99" s="235">
        <f>VLOOKUP(EI89,'تقرير مصروفات إجمالية'!$B$3:$N$115,11,FALSE)</f>
        <v>2296919.08</v>
      </c>
      <c r="EJ99" s="235">
        <f>VLOOKUP(EJ89,'تقرير مصروفات إجمالية'!$B$3:$N$117,11,FALSE)</f>
        <v>0</v>
      </c>
      <c r="EK99" s="235">
        <f>VLOOKUP(EK89,'تقرير مصروفات إجمالية'!$B$3:$N$117,11,FALSE)</f>
        <v>851325.58999999985</v>
      </c>
      <c r="EL99" s="235">
        <f>VLOOKUP($EL$89,'تقرير مصروفات إجمالية'!$B$3:$O$119,12,FALSE)</f>
        <v>145389.75</v>
      </c>
    </row>
    <row r="100" spans="1:142" ht="14.4">
      <c r="AA100" s="197" t="s">
        <v>257</v>
      </c>
      <c r="AB100" s="235">
        <f>VLOOKUP(AB89,'تقرير مصروفات إجمالية'!$B$3:$O$119,12,FALSE)</f>
        <v>1305040.6399999999</v>
      </c>
      <c r="AC100" s="235">
        <f>VLOOKUP(AC89,'تقرير مصروفات إجمالية'!$B$3:$O$119,12,FALSE)</f>
        <v>3826155.73</v>
      </c>
      <c r="AD100" s="235">
        <f>VLOOKUP(AD89,'تقرير مصروفات إجمالية'!$B$3:$O$119,12,FALSE)</f>
        <v>87318</v>
      </c>
      <c r="AE100" s="235">
        <f>VLOOKUP(AE89,'تقرير مصروفات إجمالية'!$B$3:$O$119,12,FALSE)</f>
        <v>979</v>
      </c>
      <c r="AF100" s="235">
        <f>VLOOKUP(AF89,'تقرير مصروفات إجمالية'!$B$3:$O$119,12,FALSE)</f>
        <v>2900</v>
      </c>
      <c r="AG100" s="235">
        <f>VLOOKUP(AG89,'تقرير مصروفات إجمالية'!$B$3:$O$119,12,FALSE)</f>
        <v>510000</v>
      </c>
      <c r="AH100" s="235">
        <f>VLOOKUP(AH89,'تقرير مصروفات إجمالية'!$B$3:$O$119,12,FALSE)</f>
        <v>50000</v>
      </c>
      <c r="AI100" s="235">
        <f>VLOOKUP(AI89,'تقرير مصروفات إجمالية'!$B$3:$O$119,12,FALSE)</f>
        <v>407936</v>
      </c>
      <c r="AJ100" s="235">
        <f>VLOOKUP(AJ89,'تقرير مصروفات إجمالية'!$B$3:$O$119,12,FALSE)</f>
        <v>1675</v>
      </c>
      <c r="AK100" s="235">
        <f>VLOOKUP(AK89,'تقرير مصروفات إجمالية'!$B$3:$O$119,12,FALSE)</f>
        <v>22265.509999999995</v>
      </c>
      <c r="AL100" s="235">
        <f>VLOOKUP(AL89,'تقرير مصروفات إجمالية'!$B$3:$O$119,12,FALSE)</f>
        <v>100</v>
      </c>
      <c r="AM100" s="235">
        <f>VLOOKUP(AM89,'تقرير مصروفات إجمالية'!$B$3:$O$119,12,FALSE)</f>
        <v>7850</v>
      </c>
      <c r="AN100" s="235">
        <f>VLOOKUP(AN89,'تقرير مصروفات إجمالية'!$B$3:$O$119,12,FALSE)</f>
        <v>10290</v>
      </c>
      <c r="AO100" s="235">
        <f>VLOOKUP(AO89,'تقرير مصروفات إجمالية'!$B$3:$O$119,12,FALSE)</f>
        <v>37036</v>
      </c>
      <c r="AP100" s="235">
        <f>VLOOKUP(AP89,'تقرير مصروفات إجمالية'!$B$3:$O$119,12,FALSE)</f>
        <v>0</v>
      </c>
      <c r="AQ100" s="235">
        <f>VLOOKUP(AQ89,'تقرير مصروفات إجمالية'!$B$3:$O$119,12,FALSE)</f>
        <v>130</v>
      </c>
      <c r="AR100" s="235">
        <f>VLOOKUP(AR89,'تقرير مصروفات إجمالية'!$B$3:$O$119,12,FALSE)</f>
        <v>0</v>
      </c>
      <c r="AS100" s="235">
        <f>VLOOKUP(AS89,'تقرير مصروفات إجمالية'!$B$3:$O$119,12,FALSE)</f>
        <v>55912</v>
      </c>
      <c r="AT100" s="235">
        <f>VLOOKUP(AT89,'تقرير مصروفات إجمالية'!$B$3:$O$119,12,FALSE)</f>
        <v>17089.8</v>
      </c>
      <c r="AU100" s="235">
        <f>VLOOKUP(AU89,'تقرير مصروفات إجمالية'!$B$3:$O$119,12,FALSE)</f>
        <v>52414.16</v>
      </c>
      <c r="AV100" s="235">
        <f>VLOOKUP(AV89,'تقرير مصروفات إجمالية'!$B$3:$O$119,12,FALSE)</f>
        <v>529</v>
      </c>
      <c r="AW100" s="235">
        <f>VLOOKUP(AW89,'تقرير مصروفات إجمالية'!$B$3:$O$119,12,FALSE)</f>
        <v>0</v>
      </c>
      <c r="AX100" s="235">
        <f>VLOOKUP(AX89,'تقرير مصروفات إجمالية'!$B$3:$O$119,12,FALSE)</f>
        <v>4095.31</v>
      </c>
      <c r="AY100" s="235">
        <f>VLOOKUP(AY89,'تقرير مصروفات إجمالية'!$B$3:$O$119,12,FALSE)</f>
        <v>275</v>
      </c>
      <c r="AZ100" s="235">
        <f>VLOOKUP(AZ89,'تقرير مصروفات إجمالية'!$B$3:$O$119,12,FALSE)</f>
        <v>1343.92</v>
      </c>
      <c r="BA100" s="235">
        <f>VLOOKUP(BA89,'تقرير مصروفات إجمالية'!$B$3:$O$119,12,FALSE)</f>
        <v>4500</v>
      </c>
      <c r="BB100" s="235">
        <f>VLOOKUP(BB89,'تقرير مصروفات إجمالية'!$B$3:$O$119,12,FALSE)</f>
        <v>11495</v>
      </c>
      <c r="BC100" s="235">
        <f>VLOOKUP(BC89,'تقرير مصروفات إجمالية'!$B$3:$O$119,12,FALSE)</f>
        <v>4660</v>
      </c>
      <c r="BD100" s="235">
        <f>VLOOKUP(BD89,'تقرير مصروفات إجمالية'!$B$3:$O$119,12,FALSE)</f>
        <v>0</v>
      </c>
      <c r="BE100" s="235">
        <f>VLOOKUP(BE89,'تقرير مصروفات إجمالية'!$B$3:$O$119,12,FALSE)</f>
        <v>20095</v>
      </c>
      <c r="BF100" s="235">
        <f>VLOOKUP(BF89,'تقرير مصروفات إجمالية'!$B$3:$O$119,12,FALSE)</f>
        <v>36575</v>
      </c>
      <c r="BG100" s="235">
        <f>VLOOKUP(BG89,'تقرير مصروفات إجمالية'!$B$3:$O$119,12,FALSE)</f>
        <v>0</v>
      </c>
      <c r="BH100" s="235">
        <f>VLOOKUP(BH89,'تقرير مصروفات إجمالية'!$B$3:$O$119,12,FALSE)</f>
        <v>10400</v>
      </c>
      <c r="BI100" s="235">
        <f>VLOOKUP(BI89,'تقرير مصروفات إجمالية'!$B$3:$O$119,12,FALSE)</f>
        <v>5130</v>
      </c>
      <c r="BJ100" s="235">
        <f>VLOOKUP(BJ89,'تقرير مصروفات إجمالية'!$B$3:$O$119,12,FALSE)</f>
        <v>3851.19</v>
      </c>
      <c r="BK100" s="235">
        <f>VLOOKUP(BK89,'تقرير مصروفات إجمالية'!$B$3:$O$119,12,FALSE)</f>
        <v>58000</v>
      </c>
      <c r="BL100" s="235">
        <f>VLOOKUP(BL89,'تقرير مصروفات إجمالية'!$B$3:$O$119,12,FALSE)</f>
        <v>0</v>
      </c>
      <c r="BM100" s="235">
        <f>VLOOKUP(BM89,'تقرير مصروفات إجمالية'!$B$3:$O$119,12,FALSE)</f>
        <v>150544.66999999998</v>
      </c>
      <c r="BN100" s="235">
        <f>VLOOKUP(BN89,'تقرير مصروفات إجمالية'!$B$3:$O$119,12,FALSE)</f>
        <v>0</v>
      </c>
      <c r="BO100" s="235">
        <f>VLOOKUP(BO89,'تقرير مصروفات إجمالية'!$B$3:$O$119,12,FALSE)</f>
        <v>5445.15</v>
      </c>
      <c r="BP100" s="235">
        <f>VLOOKUP(BP89,'تقرير مصروفات إجمالية'!$B$3:$O$119,12,FALSE)</f>
        <v>0</v>
      </c>
      <c r="BQ100" s="235">
        <f>VLOOKUP(BQ89,'تقرير مصروفات إجمالية'!$B$3:$O$119,12,FALSE)</f>
        <v>3500</v>
      </c>
      <c r="BR100" s="235">
        <f>VLOOKUP(BR89,'تقرير مصروفات إجمالية'!$B$3:$O$119,12,FALSE)</f>
        <v>3505</v>
      </c>
      <c r="BS100" s="235">
        <f>VLOOKUP(BS89,'تقرير مصروفات إجمالية'!$B$3:$O$119,12,FALSE)</f>
        <v>0</v>
      </c>
      <c r="BT100" s="235">
        <f>VLOOKUP(BT89,'تقرير مصروفات إجمالية'!$B$3:$O$119,12,FALSE)</f>
        <v>18485</v>
      </c>
      <c r="BU100" s="235">
        <f>VLOOKUP(BU89,'تقرير مصروفات إجمالية'!$B$3:$O$119,12,FALSE)</f>
        <v>7050</v>
      </c>
      <c r="BV100" s="235">
        <f>VLOOKUP(BV89,'تقرير مصروفات إجمالية'!$B$3:$O$119,12,FALSE)</f>
        <v>0</v>
      </c>
      <c r="BW100" s="235">
        <f>VLOOKUP(BW89,'تقرير مصروفات إجمالية'!$B$3:$O$119,12,FALSE)</f>
        <v>0</v>
      </c>
      <c r="BX100" s="235">
        <f>VLOOKUP(BX89,'تقرير مصروفات إجمالية'!$B$3:$O$119,12,FALSE)</f>
        <v>6255</v>
      </c>
      <c r="BY100" s="235">
        <f>VLOOKUP(BY89,'تقرير مصروفات إجمالية'!$B$3:$O$119,12,FALSE)</f>
        <v>0</v>
      </c>
      <c r="BZ100" s="235">
        <f>VLOOKUP(BZ89,'تقرير مصروفات إجمالية'!$B$3:$O$119,12,FALSE)</f>
        <v>0</v>
      </c>
      <c r="CA100" s="235">
        <f>VLOOKUP(CA89,'تقرير مصروفات إجمالية'!$B$3:$O$119,12,FALSE)</f>
        <v>0</v>
      </c>
      <c r="CB100" s="235">
        <f>VLOOKUP(CB89,'تقرير مصروفات إجمالية'!$B$3:$O$119,12,FALSE)</f>
        <v>0</v>
      </c>
      <c r="CC100" s="235">
        <f>VLOOKUP(CC89,'تقرير مصروفات إجمالية'!$B$3:$O$119,12,FALSE)</f>
        <v>0</v>
      </c>
      <c r="CD100" s="235">
        <f>VLOOKUP(CD89,'تقرير مصروفات إجمالية'!$B$3:$O$119,12,FALSE)</f>
        <v>0</v>
      </c>
      <c r="CE100" s="235">
        <f>VLOOKUP(CE89,'تقرير مصروفات إجمالية'!$B$3:$O$119,12,FALSE)</f>
        <v>0</v>
      </c>
      <c r="CF100" s="235">
        <f>VLOOKUP(CF89,'تقرير مصروفات إجمالية'!$B$3:$O$119,12,FALSE)</f>
        <v>0</v>
      </c>
      <c r="CG100" s="235">
        <f>VLOOKUP(CG89,'تقرير مصروفات إجمالية'!$B$3:$O$119,12,FALSE)</f>
        <v>0</v>
      </c>
      <c r="CH100" s="235">
        <f>VLOOKUP(CH89,'تقرير مصروفات إجمالية'!$B$3:$O$119,12,FALSE)</f>
        <v>0</v>
      </c>
      <c r="CI100" s="235">
        <f>VLOOKUP(CI89,'تقرير مصروفات إجمالية'!$B$3:$O$119,12,FALSE)</f>
        <v>62614</v>
      </c>
      <c r="CJ100" s="235">
        <f>VLOOKUP(CJ89,'تقرير مصروفات إجمالية'!$B$3:$O$119,12,FALSE)</f>
        <v>0</v>
      </c>
      <c r="CK100" s="235">
        <f>VLOOKUP(CK89,'تقرير مصروفات إجمالية'!$B$3:$O$119,12,FALSE)</f>
        <v>1050</v>
      </c>
      <c r="CL100" s="235">
        <f>VLOOKUP(CL89,'تقرير مصروفات إجمالية'!$B$3:$O$119,12,FALSE)</f>
        <v>0</v>
      </c>
      <c r="CM100" s="235">
        <f>VLOOKUP(CM89,'تقرير مصروفات إجمالية'!$B$3:$O$119,12,FALSE)</f>
        <v>0</v>
      </c>
      <c r="CN100" s="235">
        <f>VLOOKUP(CN89,'تقرير مصروفات إجمالية'!$B$3:$O$119,12,FALSE)</f>
        <v>49228.499999999993</v>
      </c>
      <c r="CO100" s="235">
        <f>VLOOKUP(CO89,'تقرير مصروفات إجمالية'!$B$3:$O$119,12,FALSE)</f>
        <v>0</v>
      </c>
      <c r="CP100" s="235">
        <f>VLOOKUP(CP89,'تقرير مصروفات إجمالية'!$B$3:$O$119,12,FALSE)</f>
        <v>0</v>
      </c>
      <c r="CQ100" s="235">
        <f>VLOOKUP(CQ89,'تقرير مصروفات إجمالية'!$B$3:$O$119,12,FALSE)</f>
        <v>0</v>
      </c>
      <c r="CR100" s="235">
        <f>VLOOKUP(CR89,'تقرير مصروفات إجمالية'!$B$3:$O$119,12,FALSE)</f>
        <v>0</v>
      </c>
      <c r="CS100" s="235">
        <f>VLOOKUP(CS89,'تقرير مصروفات إجمالية'!$B$3:$O$119,12,FALSE)</f>
        <v>267524</v>
      </c>
      <c r="CT100" s="235">
        <f>VLOOKUP(CT89,'تقرير مصروفات إجمالية'!$B$3:$O$119,12,FALSE)</f>
        <v>970</v>
      </c>
      <c r="CU100" s="235">
        <f>VLOOKUP(CU89,'تقرير مصروفات إجمالية'!$B$3:$O$119,12,FALSE)</f>
        <v>0</v>
      </c>
      <c r="CV100" s="235">
        <f>VLOOKUP(CV89,'تقرير مصروفات إجمالية'!$B$3:$O$119,12,FALSE)</f>
        <v>63740.729999999989</v>
      </c>
      <c r="CW100" s="235">
        <f>VLOOKUP(CW89,'تقرير مصروفات إجمالية'!$B$3:$O$119,12,FALSE)</f>
        <v>30885</v>
      </c>
      <c r="CX100" s="235">
        <f>VLOOKUP(CX89,'تقرير مصروفات إجمالية'!$B$3:$O$119,12,FALSE)</f>
        <v>0</v>
      </c>
      <c r="CY100" s="235">
        <f>VLOOKUP(CY89,'تقرير مصروفات إجمالية'!$B$3:$O$119,12,FALSE)</f>
        <v>6506.38</v>
      </c>
      <c r="CZ100" s="235">
        <f>VLOOKUP(CZ89,'تقرير مصروفات إجمالية'!$B$3:$O$119,12,FALSE)</f>
        <v>2162.34</v>
      </c>
      <c r="DA100" s="235">
        <f>VLOOKUP(DA89,'تقرير مصروفات إجمالية'!$B$3:$O$119,12,FALSE)</f>
        <v>6506.04</v>
      </c>
      <c r="DB100" s="235">
        <f>VLOOKUP(DB89,'تقرير مصروفات إجمالية'!$B$3:$O$119,12,FALSE)</f>
        <v>53180.810000000012</v>
      </c>
      <c r="DC100" s="235">
        <f>VLOOKUP(DC89,'تقرير مصروفات إجمالية'!$B$3:$O$119,12,FALSE)</f>
        <v>4915.7800000000007</v>
      </c>
      <c r="DD100" s="235">
        <f>VLOOKUP(DD89,'تقرير مصروفات إجمالية'!$B$3:$O$119,12,FALSE)</f>
        <v>18085.350000000002</v>
      </c>
      <c r="DE100" s="235">
        <f>VLOOKUP(DE89,'تقرير مصروفات إجمالية'!$B$3:$O$119,12,FALSE)</f>
        <v>31927.590000000007</v>
      </c>
      <c r="DF100" s="235">
        <f>VLOOKUP(DF89,'تقرير مصروفات إجمالية'!$B$3:$O$119,12,FALSE)</f>
        <v>0</v>
      </c>
      <c r="DG100" s="235">
        <f>VLOOKUP(DG89,'تقرير مصروفات إجمالية'!$B$3:$O$119,12,FALSE)</f>
        <v>0</v>
      </c>
      <c r="DH100" s="235">
        <f>VLOOKUP(DH89,'تقرير مصروفات إجمالية'!$B$3:$O$119,12,FALSE)</f>
        <v>129177.04999999999</v>
      </c>
      <c r="DI100" s="235">
        <f>VLOOKUP(DI89,'تقرير مصروفات إجمالية'!$B$3:$O$119,12,FALSE)</f>
        <v>0</v>
      </c>
      <c r="DJ100" s="235">
        <f>VLOOKUP(DJ89,'تقرير مصروفات إجمالية'!$B$3:$O$119,12,FALSE)</f>
        <v>166.66</v>
      </c>
      <c r="DK100" s="235">
        <f>VLOOKUP(DK89,'تقرير مصروفات إجمالية'!$B$3:$O$119,12,FALSE)</f>
        <v>113361.23999999999</v>
      </c>
      <c r="DL100" s="235">
        <f>VLOOKUP(DL89,'تقرير مصروفات إجمالية'!$B$3:$O$119,12,FALSE)</f>
        <v>115268.11</v>
      </c>
      <c r="DM100" s="235">
        <f>VLOOKUP(DM89,'تقرير مصروفات إجمالية'!$B$3:$O$119,12,FALSE)</f>
        <v>0</v>
      </c>
      <c r="DN100" s="235">
        <f>VLOOKUP(DN89,'تقرير مصروفات إجمالية'!$B$3:$O$119,12,FALSE)</f>
        <v>3390</v>
      </c>
      <c r="DO100" s="235">
        <f>VLOOKUP(DO89,'تقرير مصروفات إجمالية'!$B$3:$O$119,12,FALSE)</f>
        <v>0</v>
      </c>
      <c r="DP100" s="235">
        <f>VLOOKUP(DP89,'تقرير مصروفات إجمالية'!$B$3:$O$119,12,FALSE)</f>
        <v>7160</v>
      </c>
      <c r="DQ100" s="235">
        <f>VLOOKUP(DQ89,'تقرير مصروفات إجمالية'!$B$3:$O$119,12,FALSE)</f>
        <v>4510</v>
      </c>
      <c r="DR100" s="235">
        <f>VLOOKUP(DR89,'تقرير مصروفات إجمالية'!$B$3:$O$119,12,FALSE)</f>
        <v>0</v>
      </c>
      <c r="DS100" s="235">
        <f>VLOOKUP(DS89,'تقرير مصروفات إجمالية'!$B$3:$O$119,12,FALSE)</f>
        <v>0</v>
      </c>
      <c r="DT100" s="235">
        <f>VLOOKUP(DT89,'تقرير مصروفات إجمالية'!$B$3:$O$119,12,FALSE)</f>
        <v>0</v>
      </c>
      <c r="DU100" s="235">
        <f>VLOOKUP(DU89,'تقرير مصروفات إجمالية'!$B$3:$O$119,12,FALSE)</f>
        <v>0</v>
      </c>
      <c r="DV100" s="235">
        <f>VLOOKUP(DV89,'تقرير مصروفات إجمالية'!$B$3:$O$119,12,FALSE)</f>
        <v>13211.8</v>
      </c>
      <c r="DW100" s="235">
        <f>VLOOKUP(DW89,'تقرير مصروفات إجمالية'!$B$3:$O$119,12,FALSE)</f>
        <v>9939.33</v>
      </c>
      <c r="DX100" s="235">
        <f>VLOOKUP(DX89,'تقرير مصروفات إجمالية'!$B$3:$O$119,12,FALSE)</f>
        <v>11696.48</v>
      </c>
      <c r="DY100" s="235">
        <f>VLOOKUP(DY89,'تقرير مصروفات إجمالية'!$B$3:$O$119,12,FALSE)</f>
        <v>37382.58</v>
      </c>
      <c r="DZ100" s="235">
        <f>VLOOKUP(DZ89,'تقرير مصروفات إجمالية'!$B$3:$O$119,12,FALSE)</f>
        <v>141515.57</v>
      </c>
      <c r="EA100" s="235">
        <f>VLOOKUP(EA89,'تقرير مصروفات إجمالية'!$B$3:$O$119,12,FALSE)</f>
        <v>18894.37</v>
      </c>
      <c r="EB100" s="235">
        <f>VLOOKUP(EB89,'تقرير مصروفات إجمالية'!$B$3:$O$119,12,FALSE)</f>
        <v>12568.34</v>
      </c>
      <c r="EC100" s="235">
        <f>VLOOKUP(EC89,'تقرير مصروفات إجمالية'!$B$3:$O$119,12,FALSE)</f>
        <v>18473.21</v>
      </c>
      <c r="ED100" s="235">
        <f>VLOOKUP(ED89,'تقرير مصروفات إجمالية'!$B$3:$O$119,12,FALSE)</f>
        <v>13238.09</v>
      </c>
      <c r="EE100" s="235">
        <f>VLOOKUP(EE89,'تقرير مصروفات إجمالية'!$B$3:$O$119,12,FALSE)</f>
        <v>33149.5</v>
      </c>
      <c r="EF100" s="235">
        <f>VLOOKUP(EF89,'تقرير مصروفات إجمالية'!$B$3:$O$119,12,FALSE)</f>
        <v>19594.13</v>
      </c>
      <c r="EG100" s="235">
        <f>VLOOKUP(EG89,'تقرير مصروفات إجمالية'!$B$3:$O$119,12,FALSE)</f>
        <v>18028.79</v>
      </c>
      <c r="EH100" s="235">
        <f>VLOOKUP(EH89,'تقرير مصروفات إجمالية'!$B$3:$O$119,12,FALSE)</f>
        <v>0</v>
      </c>
      <c r="EI100" s="235">
        <f>VLOOKUP(EI89,'تقرير مصروفات إجمالية'!$B$3:$O$119,12,FALSE)</f>
        <v>2541007.5499999998</v>
      </c>
      <c r="EJ100" s="235">
        <f>VLOOKUP(EJ89,'تقرير مصروفات إجمالية'!$B$3:$O$119,12,FALSE)</f>
        <v>0</v>
      </c>
      <c r="EK100" s="235">
        <f>VLOOKUP(EK89,'تقرير مصروفات إجمالية'!$B$3:$O$119,12,FALSE)</f>
        <v>432581.85000000003</v>
      </c>
      <c r="EL100" s="235">
        <f>VLOOKUP($EL$89,'تقرير مصروفات إجمالية'!$B$3:$O$119,12,FALSE)</f>
        <v>145389.75</v>
      </c>
    </row>
    <row r="101" spans="1:142" ht="14.4">
      <c r="AA101" s="197" t="s">
        <v>258</v>
      </c>
      <c r="AB101" s="235">
        <f>VLOOKUP(AB89,'تقرير مصروفات إجمالية'!$B$3:$N$115,13,FALSE)</f>
        <v>1313581.9000000001</v>
      </c>
      <c r="AC101" s="235">
        <f>VLOOKUP(AC89,'تقرير مصروفات إجمالية'!$B$3:$N$115,13,FALSE)</f>
        <v>4020526.8199999989</v>
      </c>
      <c r="AD101" s="235">
        <f>VLOOKUP(AD89,'تقرير مصروفات إجمالية'!$B$3:$N$115,13,FALSE)</f>
        <v>70345</v>
      </c>
      <c r="AE101" s="235">
        <f>VLOOKUP(AE89,'تقرير مصروفات إجمالية'!$B$3:$N$115,13,FALSE)</f>
        <v>8069</v>
      </c>
      <c r="AF101" s="235">
        <f>VLOOKUP(AF89,'تقرير مصروفات إجمالية'!$B$3:$N$115,13,FALSE)</f>
        <v>0</v>
      </c>
      <c r="AG101" s="235">
        <f>VLOOKUP(AG89,'تقرير مصروفات إجمالية'!$B$3:$N$115,13,FALSE)</f>
        <v>510000</v>
      </c>
      <c r="AH101" s="235">
        <f>VLOOKUP(AH89,'تقرير مصروفات إجمالية'!$B$3:$N$115,13,FALSE)</f>
        <v>50000</v>
      </c>
      <c r="AI101" s="235">
        <f>VLOOKUP(AI89,'تقرير مصروفات إجمالية'!$B$3:$N$115,13,FALSE)</f>
        <v>406756</v>
      </c>
      <c r="AJ101" s="235">
        <f>VLOOKUP(AJ89,'تقرير مصروفات إجمالية'!$B$3:$N$115,13,FALSE)</f>
        <v>23690</v>
      </c>
      <c r="AK101" s="235">
        <f>VLOOKUP(AK89,'تقرير مصروفات إجمالية'!$B$3:$N$115,13,FALSE)</f>
        <v>25005.690000000002</v>
      </c>
      <c r="AL101" s="235">
        <f>VLOOKUP(AL89,'تقرير مصروفات إجمالية'!$B$3:$N$115,13,FALSE)</f>
        <v>0</v>
      </c>
      <c r="AM101" s="235">
        <f>VLOOKUP(AM89,'تقرير مصروفات إجمالية'!$B$3:$N$115,13,FALSE)</f>
        <v>28828.5</v>
      </c>
      <c r="AN101" s="235">
        <f>VLOOKUP(AN89,'تقرير مصروفات إجمالية'!$B$3:$N$115,13,FALSE)</f>
        <v>18790</v>
      </c>
      <c r="AO101" s="235">
        <f>VLOOKUP(AO89,'تقرير مصروفات إجمالية'!$B$3:$N$115,13,FALSE)</f>
        <v>24875</v>
      </c>
      <c r="AP101" s="235">
        <f>VLOOKUP(AP89,'تقرير مصروفات إجمالية'!$B$3:$N$115,13,FALSE)</f>
        <v>38500</v>
      </c>
      <c r="AQ101" s="235">
        <f>VLOOKUP(AQ89,'تقرير مصروفات إجمالية'!$B$3:$N$115,13,FALSE)</f>
        <v>54240</v>
      </c>
      <c r="AR101" s="235">
        <f>VLOOKUP(AR89,'تقرير مصروفات إجمالية'!$B$3:$N$115,13,FALSE)</f>
        <v>130</v>
      </c>
      <c r="AS101" s="235">
        <f>VLOOKUP(AS89,'تقرير مصروفات إجمالية'!$B$3:$N$115,13,FALSE)</f>
        <v>55892</v>
      </c>
      <c r="AT101" s="235">
        <f>VLOOKUP(AT89,'تقرير مصروفات إجمالية'!$B$3:$N$115,13,FALSE)</f>
        <v>23831.75</v>
      </c>
      <c r="AU101" s="235">
        <f>VLOOKUP(AU89,'تقرير مصروفات إجمالية'!$B$3:$N$115,13,FALSE)</f>
        <v>38911.509999999995</v>
      </c>
      <c r="AV101" s="235">
        <f>VLOOKUP(AV89,'تقرير مصروفات إجمالية'!$B$3:$N$115,13,FALSE)</f>
        <v>430</v>
      </c>
      <c r="AW101" s="235">
        <f>VLOOKUP(AW89,'تقرير مصروفات إجمالية'!$B$3:$N$115,13,FALSE)</f>
        <v>0</v>
      </c>
      <c r="AX101" s="235">
        <f>VLOOKUP(AX89,'تقرير مصروفات إجمالية'!$B$3:$N$115,13,FALSE)</f>
        <v>3354</v>
      </c>
      <c r="AY101" s="235">
        <f>VLOOKUP(AY89,'تقرير مصروفات إجمالية'!$B$3:$N$115,13,FALSE)</f>
        <v>295</v>
      </c>
      <c r="AZ101" s="235">
        <f>VLOOKUP(AZ89,'تقرير مصروفات إجمالية'!$B$3:$N$115,13,FALSE)</f>
        <v>1343.92</v>
      </c>
      <c r="BA101" s="235">
        <f>VLOOKUP(BA89,'تقرير مصروفات إجمالية'!$B$3:$N$115,13,FALSE)</f>
        <v>0</v>
      </c>
      <c r="BB101" s="235">
        <f>VLOOKUP(BB89,'تقرير مصروفات إجمالية'!$B$3:$N$115,13,FALSE)</f>
        <v>8285</v>
      </c>
      <c r="BC101" s="235">
        <f>VLOOKUP(BC89,'تقرير مصروفات إجمالية'!$B$3:$N$115,13,FALSE)</f>
        <v>570</v>
      </c>
      <c r="BD101" s="235">
        <f>VLOOKUP(BD89,'تقرير مصروفات إجمالية'!$B$3:$N$115,13,FALSE)</f>
        <v>20</v>
      </c>
      <c r="BE101" s="235">
        <f>VLOOKUP(BE89,'تقرير مصروفات إجمالية'!$B$3:$N$115,13,FALSE)</f>
        <v>46835</v>
      </c>
      <c r="BF101" s="235">
        <f>VLOOKUP(BF89,'تقرير مصروفات إجمالية'!$B$3:$N$115,13,FALSE)</f>
        <v>31735</v>
      </c>
      <c r="BG101" s="235">
        <f>VLOOKUP(BG89,'تقرير مصروفات إجمالية'!$B$3:$N$115,13,FALSE)</f>
        <v>108</v>
      </c>
      <c r="BH101" s="235">
        <f>VLOOKUP(BH89,'تقرير مصروفات إجمالية'!$B$3:$N$115,13,FALSE)</f>
        <v>265200</v>
      </c>
      <c r="BI101" s="235">
        <f>VLOOKUP(BI89,'تقرير مصروفات إجمالية'!$B$3:$N$115,13,FALSE)</f>
        <v>7641</v>
      </c>
      <c r="BJ101" s="235">
        <f>VLOOKUP(BJ89,'تقرير مصروفات إجمالية'!$B$3:$N$115,13,FALSE)</f>
        <v>1730.74</v>
      </c>
      <c r="BK101" s="235">
        <f>VLOOKUP(BK89,'تقرير مصروفات إجمالية'!$B$3:$N$115,13,FALSE)</f>
        <v>8000</v>
      </c>
      <c r="BL101" s="235">
        <f>VLOOKUP(BL89,'تقرير مصروفات إجمالية'!$B$3:$N$115,13,FALSE)</f>
        <v>0</v>
      </c>
      <c r="BM101" s="235">
        <f>VLOOKUP(BM89,'تقرير مصروفات إجمالية'!$B$3:$N$115,13,FALSE)</f>
        <v>133474.59999999998</v>
      </c>
      <c r="BN101" s="235">
        <f>VLOOKUP(BN89,'تقرير مصروفات إجمالية'!$B$3:$N$115,13,FALSE)</f>
        <v>181926</v>
      </c>
      <c r="BO101" s="235">
        <f>VLOOKUP(BO89,'تقرير مصروفات إجمالية'!$B$3:$N$115,13,FALSE)</f>
        <v>3700</v>
      </c>
      <c r="BP101" s="235">
        <f>VLOOKUP(BP89,'تقرير مصروفات إجمالية'!$B$3:$N$115,13,FALSE)</f>
        <v>0</v>
      </c>
      <c r="BQ101" s="235">
        <f>VLOOKUP(BQ89,'تقرير مصروفات إجمالية'!$B$3:$N$115,13,FALSE)</f>
        <v>0</v>
      </c>
      <c r="BR101" s="235">
        <f>VLOOKUP(BR89,'تقرير مصروفات إجمالية'!$B$3:$N$115,13,FALSE)</f>
        <v>4385</v>
      </c>
      <c r="BS101" s="235">
        <f>VLOOKUP(BS89,'تقرير مصروفات إجمالية'!$B$3:$N$115,13,FALSE)</f>
        <v>0</v>
      </c>
      <c r="BT101" s="235">
        <f>VLOOKUP(BT89,'تقرير مصروفات إجمالية'!$B$3:$N$115,13,FALSE)</f>
        <v>26400</v>
      </c>
      <c r="BU101" s="235">
        <f>VLOOKUP(BU89,'تقرير مصروفات إجمالية'!$B$3:$N$115,13,FALSE)</f>
        <v>6000</v>
      </c>
      <c r="BV101" s="235">
        <f>VLOOKUP(BV89,'تقرير مصروفات إجمالية'!$B$3:$N$115,13,FALSE)</f>
        <v>0</v>
      </c>
      <c r="BW101" s="235">
        <f>VLOOKUP(BW89,'تقرير مصروفات إجمالية'!$B$3:$N$115,13,FALSE)</f>
        <v>0</v>
      </c>
      <c r="BX101" s="235">
        <f>VLOOKUP(BX89,'تقرير مصروفات إجمالية'!$B$3:$N$115,13,FALSE)</f>
        <v>2335</v>
      </c>
      <c r="BY101" s="235">
        <f>VLOOKUP(BY89,'تقرير مصروفات إجمالية'!$B$3:$N$115,13,FALSE)</f>
        <v>0</v>
      </c>
      <c r="BZ101" s="235">
        <f>VLOOKUP(BZ89,'تقرير مصروفات إجمالية'!$B$3:$N$115,13,FALSE)</f>
        <v>0</v>
      </c>
      <c r="CA101" s="235">
        <f>VLOOKUP(CA89,'تقرير مصروفات إجمالية'!$B$3:$N$115,13,FALSE)</f>
        <v>0</v>
      </c>
      <c r="CB101" s="235">
        <f>VLOOKUP(CB89,'تقرير مصروفات إجمالية'!$B$3:$N$115,13,FALSE)</f>
        <v>0</v>
      </c>
      <c r="CC101" s="235">
        <f>VLOOKUP(CC89,'تقرير مصروفات إجمالية'!$B$3:$N$115,13,FALSE)</f>
        <v>0</v>
      </c>
      <c r="CD101" s="235">
        <f>VLOOKUP(CD89,'تقرير مصروفات إجمالية'!$B$3:$N$115,13,FALSE)</f>
        <v>0</v>
      </c>
      <c r="CE101" s="235">
        <f>VLOOKUP(CE89,'تقرير مصروفات إجمالية'!$B$3:$N$115,13,FALSE)</f>
        <v>0</v>
      </c>
      <c r="CF101" s="235">
        <f>VLOOKUP(CF89,'تقرير مصروفات إجمالية'!$B$3:$N$115,13,FALSE)</f>
        <v>0</v>
      </c>
      <c r="CG101" s="235">
        <f>VLOOKUP(CG89,'تقرير مصروفات إجمالية'!$B$3:$N$115,13,FALSE)</f>
        <v>0</v>
      </c>
      <c r="CH101" s="235">
        <f>VLOOKUP(CH89,'تقرير مصروفات إجمالية'!$B$3:$N$115,13,FALSE)</f>
        <v>0</v>
      </c>
      <c r="CI101" s="235">
        <f>VLOOKUP(CI89,'تقرير مصروفات إجمالية'!$B$3:$N$115,13,FALSE)</f>
        <v>57487</v>
      </c>
      <c r="CJ101" s="235">
        <f>VLOOKUP(CJ89,'تقرير مصروفات إجمالية'!$B$3:$N$115,13,FALSE)</f>
        <v>0</v>
      </c>
      <c r="CK101" s="235">
        <f>VLOOKUP(CK89,'تقرير مصروفات إجمالية'!$B$3:$N$115,13,FALSE)</f>
        <v>8375</v>
      </c>
      <c r="CL101" s="235">
        <f>VLOOKUP(CL89,'تقرير مصروفات إجمالية'!$B$3:$N$115,13,FALSE)</f>
        <v>0</v>
      </c>
      <c r="CM101" s="235">
        <f>VLOOKUP(CM89,'تقرير مصروفات إجمالية'!$B$3:$N$115,13,FALSE)</f>
        <v>3005</v>
      </c>
      <c r="CN101" s="235">
        <f>VLOOKUP(CN89,'تقرير مصروفات إجمالية'!$B$3:$N$115,13,FALSE)</f>
        <v>15763.5</v>
      </c>
      <c r="CO101" s="235">
        <f>VLOOKUP(CO89,'تقرير مصروفات إجمالية'!$B$3:$N$115,13,FALSE)</f>
        <v>168858</v>
      </c>
      <c r="CP101" s="235">
        <f>VLOOKUP(CP89,'تقرير مصروفات إجمالية'!$B$3:$N$115,13,FALSE)</f>
        <v>0</v>
      </c>
      <c r="CQ101" s="235">
        <f>VLOOKUP(CQ89,'تقرير مصروفات إجمالية'!$B$3:$N$115,13,FALSE)</f>
        <v>0</v>
      </c>
      <c r="CR101" s="235">
        <f>VLOOKUP(CR89,'تقرير مصروفات إجمالية'!$B$3:$N$115,13,FALSE)</f>
        <v>0</v>
      </c>
      <c r="CS101" s="235">
        <f>VLOOKUP(CS89,'تقرير مصروفات إجمالية'!$B$3:$N$115,13,FALSE)</f>
        <v>265150</v>
      </c>
      <c r="CT101" s="235">
        <f>VLOOKUP(CT89,'تقرير مصروفات إجمالية'!$B$3:$N$115,13,FALSE)</f>
        <v>54285</v>
      </c>
      <c r="CU101" s="235">
        <f>VLOOKUP(CU89,'تقرير مصروفات إجمالية'!$B$3:$N$115,13,FALSE)</f>
        <v>0</v>
      </c>
      <c r="CV101" s="235">
        <f>VLOOKUP(CV89,'تقرير مصروفات إجمالية'!$B$3:$N$115,13,FALSE)</f>
        <v>12044.669999999998</v>
      </c>
      <c r="CW101" s="235">
        <f>VLOOKUP(CW89,'تقرير مصروفات إجمالية'!$B$3:$N$115,13,FALSE)</f>
        <v>169125</v>
      </c>
      <c r="CX101" s="235">
        <f>VLOOKUP(CX89,'تقرير مصروفات إجمالية'!$B$3:$N$115,13,FALSE)</f>
        <v>0</v>
      </c>
      <c r="CY101" s="235">
        <f>VLOOKUP(CY89,'تقرير مصروفات إجمالية'!$B$3:$N$115,13,FALSE)</f>
        <v>73.33</v>
      </c>
      <c r="CZ101" s="235">
        <f>VLOOKUP(CZ89,'تقرير مصروفات إجمالية'!$B$3:$N$115,13,FALSE)</f>
        <v>67.47</v>
      </c>
      <c r="DA101" s="235">
        <f>VLOOKUP(DA89,'تقرير مصروفات إجمالية'!$B$3:$N$115,13,FALSE)</f>
        <v>5097.34</v>
      </c>
      <c r="DB101" s="235">
        <f>VLOOKUP(DB89,'تقرير مصروفات إجمالية'!$B$3:$N$115,13,FALSE)</f>
        <v>28246.190000000002</v>
      </c>
      <c r="DC101" s="235">
        <f>VLOOKUP(DC89,'تقرير مصروفات إجمالية'!$B$3:$N$115,13,FALSE)</f>
        <v>404.52</v>
      </c>
      <c r="DD101" s="235">
        <f>VLOOKUP(DD89,'تقرير مصروفات إجمالية'!$B$3:$N$115,13,FALSE)</f>
        <v>11318.100000000004</v>
      </c>
      <c r="DE101" s="235">
        <f>VLOOKUP(DE89,'تقرير مصروفات إجمالية'!$B$3:$N$115,13,FALSE)</f>
        <v>18147.88</v>
      </c>
      <c r="DF101" s="235">
        <f>VLOOKUP(DF89,'تقرير مصروفات إجمالية'!$B$3:$N$115,13,FALSE)</f>
        <v>0</v>
      </c>
      <c r="DG101" s="235">
        <f>VLOOKUP(DG89,'تقرير مصروفات إجمالية'!$B$3:$N$115,13,FALSE)</f>
        <v>0</v>
      </c>
      <c r="DH101" s="235">
        <f>VLOOKUP(DH89,'تقرير مصروفات إجمالية'!$B$3:$N$115,13,FALSE)</f>
        <v>138781.04999999999</v>
      </c>
      <c r="DI101" s="235">
        <f>VLOOKUP(DI89,'تقرير مصروفات إجمالية'!$B$3:$N$115,13,FALSE)</f>
        <v>0</v>
      </c>
      <c r="DJ101" s="235">
        <f>VLOOKUP(DJ89,'تقرير مصروفات إجمالية'!$B$3:$N$115,13,FALSE)</f>
        <v>166.66</v>
      </c>
      <c r="DK101" s="235">
        <f>VLOOKUP(DK89,'تقرير مصروفات إجمالية'!$B$3:$N$115,13,FALSE)</f>
        <v>13241.24</v>
      </c>
      <c r="DL101" s="235">
        <f>VLOOKUP(DL89,'تقرير مصروفات إجمالية'!$B$3:$N$115,13,FALSE)</f>
        <v>124316.57</v>
      </c>
      <c r="DM101" s="235">
        <f>VLOOKUP(DM89,'تقرير مصروفات إجمالية'!$B$3:$N$115,13,FALSE)</f>
        <v>53192</v>
      </c>
      <c r="DN101" s="235">
        <f>VLOOKUP(DN89,'تقرير مصروفات إجمالية'!$B$3:$N$115,13,FALSE)</f>
        <v>5114</v>
      </c>
      <c r="DO101" s="235">
        <f>VLOOKUP(DO89,'تقرير مصروفات إجمالية'!$B$3:$N$115,13,FALSE)</f>
        <v>0</v>
      </c>
      <c r="DP101" s="235">
        <f>VLOOKUP(DP89,'تقرير مصروفات إجمالية'!$B$3:$N$115,13,FALSE)</f>
        <v>500</v>
      </c>
      <c r="DQ101" s="235">
        <f>VLOOKUP(DQ89,'تقرير مصروفات إجمالية'!$B$3:$N$115,13,FALSE)</f>
        <v>2960</v>
      </c>
      <c r="DR101" s="235">
        <f>VLOOKUP(DR89,'تقرير مصروفات إجمالية'!$B$3:$N$115,13,FALSE)</f>
        <v>0</v>
      </c>
      <c r="DS101" s="235">
        <f>VLOOKUP(DS89,'تقرير مصروفات إجمالية'!$B$3:$N$115,13,FALSE)</f>
        <v>0</v>
      </c>
      <c r="DT101" s="235">
        <f>VLOOKUP(DT89,'تقرير مصروفات إجمالية'!$B$3:$N$115,13,FALSE)</f>
        <v>0</v>
      </c>
      <c r="DU101" s="235">
        <f>VLOOKUP(DU89,'تقرير مصروفات إجمالية'!$B$3:$N$115,13,FALSE)</f>
        <v>58314.999999999993</v>
      </c>
      <c r="DV101" s="235">
        <f>VLOOKUP(DV89,'تقرير مصروفات إجمالية'!$B$3:$N$115,13,FALSE)</f>
        <v>13038.16</v>
      </c>
      <c r="DW101" s="235">
        <f>VLOOKUP(DW89,'تقرير مصروفات إجمالية'!$B$3:$N$115,13,FALSE)</f>
        <v>9610.09</v>
      </c>
      <c r="DX101" s="235">
        <f>VLOOKUP(DX89,'تقرير مصروفات إجمالية'!$B$3:$N$115,13,FALSE)</f>
        <v>10952.1</v>
      </c>
      <c r="DY101" s="235">
        <f>VLOOKUP(DY89,'تقرير مصروفات إجمالية'!$B$3:$N$115,13,FALSE)</f>
        <v>36281.33</v>
      </c>
      <c r="DZ101" s="235">
        <f>VLOOKUP(DZ89,'تقرير مصروفات إجمالية'!$B$3:$N$115,13,FALSE)</f>
        <v>216471.7</v>
      </c>
      <c r="EA101" s="235">
        <f>VLOOKUP(EA89,'تقرير مصروفات إجمالية'!$B$3:$N$115,13,FALSE)</f>
        <v>18073.64</v>
      </c>
      <c r="EB101" s="235">
        <f>VLOOKUP(EB89,'تقرير مصروفات إجمالية'!$B$3:$N$115,13,FALSE)</f>
        <v>12115.46</v>
      </c>
      <c r="EC101" s="235">
        <f>VLOOKUP(EC89,'تقرير مصروفات إجمالية'!$B$3:$N$115,13,FALSE)</f>
        <v>17795.78</v>
      </c>
      <c r="ED101" s="235">
        <f>VLOOKUP(ED89,'تقرير مصروفات إجمالية'!$B$3:$N$115,13,FALSE)</f>
        <v>12786.24</v>
      </c>
      <c r="EE101" s="235">
        <f>VLOOKUP(EE89,'تقرير مصروفات إجمالية'!$B$3:$N$115,13,FALSE)</f>
        <v>33150</v>
      </c>
      <c r="EF101" s="235">
        <f>VLOOKUP(EF89,'تقرير مصروفات إجمالية'!$B$3:$N$115,13,FALSE)</f>
        <v>19338.2</v>
      </c>
      <c r="EG101" s="235">
        <f>VLOOKUP(EG89,'تقرير مصروفات إجمالية'!$B$3:$N$115,13,FALSE)</f>
        <v>17558.96</v>
      </c>
      <c r="EH101" s="235">
        <f>VLOOKUP(EH89,'تقرير مصروفات إجمالية'!$B$3:$N$115,13,FALSE)</f>
        <v>11470</v>
      </c>
      <c r="EI101" s="235">
        <f>VLOOKUP(EI89,'تقرير مصروفات إجمالية'!$B$3:$N$115,13,FALSE)</f>
        <v>2803080.6300000004</v>
      </c>
      <c r="EJ101" s="235">
        <f>VLOOKUP(EJ89,'تقرير مصروفات إجمالية'!$B$3:$N$119,13,FALSE)</f>
        <v>0</v>
      </c>
      <c r="EK101" s="235">
        <f>VLOOKUP(EK89,'تقرير مصروفات إجمالية'!$B$3:$N$119,13,FALSE)</f>
        <v>665695.34000000008</v>
      </c>
      <c r="EL101" s="235">
        <f>VLOOKUP(EL89,'تقرير مصروفات إجمالية'!$B$3:$N$119,13,FALSE)</f>
        <v>92000</v>
      </c>
    </row>
    <row r="102" spans="1:142">
      <c r="AA102" s="267" t="s">
        <v>239</v>
      </c>
      <c r="AB102" s="268">
        <f t="shared" ref="AB102:BG102" si="4">SUM(AB90:AB101)</f>
        <v>13045836.84</v>
      </c>
      <c r="AC102" s="268">
        <f t="shared" si="4"/>
        <v>40198543.682999998</v>
      </c>
      <c r="AD102" s="268">
        <f t="shared" si="4"/>
        <v>802355.75</v>
      </c>
      <c r="AE102" s="268">
        <f t="shared" si="4"/>
        <v>30638</v>
      </c>
      <c r="AF102" s="268">
        <f t="shared" si="4"/>
        <v>20556</v>
      </c>
      <c r="AG102" s="268">
        <f t="shared" si="4"/>
        <v>4020000</v>
      </c>
      <c r="AH102" s="268">
        <f t="shared" si="4"/>
        <v>1100000</v>
      </c>
      <c r="AI102" s="268">
        <f t="shared" si="4"/>
        <v>4739877</v>
      </c>
      <c r="AJ102" s="268">
        <f t="shared" si="4"/>
        <v>98193</v>
      </c>
      <c r="AK102" s="268">
        <f t="shared" si="4"/>
        <v>256624.77999999991</v>
      </c>
      <c r="AL102" s="268">
        <f t="shared" si="4"/>
        <v>375</v>
      </c>
      <c r="AM102" s="268">
        <f t="shared" si="4"/>
        <v>187446</v>
      </c>
      <c r="AN102" s="268">
        <f t="shared" si="4"/>
        <v>244015.47</v>
      </c>
      <c r="AO102" s="268">
        <f t="shared" si="4"/>
        <v>217388</v>
      </c>
      <c r="AP102" s="268">
        <f t="shared" si="4"/>
        <v>192065</v>
      </c>
      <c r="AQ102" s="268">
        <f t="shared" si="4"/>
        <v>301870</v>
      </c>
      <c r="AR102" s="268">
        <f t="shared" si="4"/>
        <v>500</v>
      </c>
      <c r="AS102" s="269">
        <f t="shared" si="4"/>
        <v>917696</v>
      </c>
      <c r="AT102" s="270">
        <f t="shared" si="4"/>
        <v>570127.09000000008</v>
      </c>
      <c r="AU102" s="268">
        <f t="shared" si="4"/>
        <v>895504.85000000009</v>
      </c>
      <c r="AV102" s="268">
        <f t="shared" si="4"/>
        <v>3842</v>
      </c>
      <c r="AW102" s="268">
        <f t="shared" si="4"/>
        <v>0</v>
      </c>
      <c r="AX102" s="268">
        <f t="shared" si="4"/>
        <v>41310.050000000003</v>
      </c>
      <c r="AY102" s="268">
        <f t="shared" si="4"/>
        <v>3780</v>
      </c>
      <c r="AZ102" s="268">
        <f t="shared" si="4"/>
        <v>16127.04</v>
      </c>
      <c r="BA102" s="268">
        <f t="shared" si="4"/>
        <v>95890</v>
      </c>
      <c r="BB102" s="268">
        <f t="shared" si="4"/>
        <v>123676</v>
      </c>
      <c r="BC102" s="268">
        <f t="shared" si="4"/>
        <v>10475</v>
      </c>
      <c r="BD102" s="268">
        <f t="shared" si="4"/>
        <v>20</v>
      </c>
      <c r="BE102" s="268">
        <f t="shared" si="4"/>
        <v>263542.5</v>
      </c>
      <c r="BF102" s="270">
        <f t="shared" si="4"/>
        <v>785731</v>
      </c>
      <c r="BG102" s="268">
        <f t="shared" si="4"/>
        <v>3595.13</v>
      </c>
      <c r="BH102" s="268">
        <f t="shared" ref="BH102:CM102" si="5">SUM(BH90:BH101)</f>
        <v>1247625</v>
      </c>
      <c r="BI102" s="268">
        <f t="shared" si="5"/>
        <v>130731</v>
      </c>
      <c r="BJ102" s="268">
        <f t="shared" si="5"/>
        <v>34484.300000000003</v>
      </c>
      <c r="BK102" s="268">
        <f t="shared" si="5"/>
        <v>251000</v>
      </c>
      <c r="BL102" s="268">
        <f t="shared" si="5"/>
        <v>0</v>
      </c>
      <c r="BM102" s="268">
        <f t="shared" si="5"/>
        <v>1166146.5</v>
      </c>
      <c r="BN102" s="268">
        <f t="shared" si="5"/>
        <v>986729</v>
      </c>
      <c r="BO102" s="268">
        <f t="shared" si="5"/>
        <v>62200.15</v>
      </c>
      <c r="BP102" s="268">
        <f t="shared" si="5"/>
        <v>108098</v>
      </c>
      <c r="BQ102" s="268">
        <f t="shared" si="5"/>
        <v>40500</v>
      </c>
      <c r="BR102" s="268">
        <f t="shared" si="5"/>
        <v>245830</v>
      </c>
      <c r="BS102" s="268">
        <f t="shared" si="5"/>
        <v>0</v>
      </c>
      <c r="BT102" s="268">
        <f t="shared" si="5"/>
        <v>239573</v>
      </c>
      <c r="BU102" s="268">
        <f t="shared" si="5"/>
        <v>63950</v>
      </c>
      <c r="BV102" s="268">
        <f t="shared" si="5"/>
        <v>0</v>
      </c>
      <c r="BW102" s="268">
        <f t="shared" si="5"/>
        <v>0</v>
      </c>
      <c r="BX102" s="268">
        <f t="shared" si="5"/>
        <v>105621</v>
      </c>
      <c r="BY102" s="268">
        <f t="shared" si="5"/>
        <v>9070</v>
      </c>
      <c r="BZ102" s="268">
        <f t="shared" si="5"/>
        <v>0</v>
      </c>
      <c r="CA102" s="268">
        <f t="shared" si="5"/>
        <v>0</v>
      </c>
      <c r="CB102" s="268">
        <f t="shared" si="5"/>
        <v>0</v>
      </c>
      <c r="CC102" s="268">
        <f t="shared" si="5"/>
        <v>0</v>
      </c>
      <c r="CD102" s="268">
        <f t="shared" si="5"/>
        <v>0</v>
      </c>
      <c r="CE102" s="268">
        <f t="shared" si="5"/>
        <v>0</v>
      </c>
      <c r="CF102" s="268">
        <f t="shared" si="5"/>
        <v>0</v>
      </c>
      <c r="CG102" s="268">
        <f t="shared" si="5"/>
        <v>0</v>
      </c>
      <c r="CH102" s="268">
        <f t="shared" si="5"/>
        <v>5500</v>
      </c>
      <c r="CI102" s="268">
        <f t="shared" si="5"/>
        <v>532312.75</v>
      </c>
      <c r="CJ102" s="268">
        <f t="shared" si="5"/>
        <v>0</v>
      </c>
      <c r="CK102" s="268">
        <f t="shared" si="5"/>
        <v>28777</v>
      </c>
      <c r="CL102" s="268">
        <f t="shared" si="5"/>
        <v>0</v>
      </c>
      <c r="CM102" s="268">
        <f t="shared" si="5"/>
        <v>823023</v>
      </c>
      <c r="CN102" s="268">
        <f t="shared" ref="CN102:DS102" si="6">SUM(CN90:CN101)</f>
        <v>363327.95</v>
      </c>
      <c r="CO102" s="268">
        <f t="shared" si="6"/>
        <v>168858</v>
      </c>
      <c r="CP102" s="268">
        <f t="shared" si="6"/>
        <v>232312.5</v>
      </c>
      <c r="CQ102" s="268">
        <f t="shared" si="6"/>
        <v>0</v>
      </c>
      <c r="CR102" s="268">
        <f t="shared" si="6"/>
        <v>7400</v>
      </c>
      <c r="CS102" s="268">
        <f t="shared" si="6"/>
        <v>2476455</v>
      </c>
      <c r="CT102" s="268">
        <f t="shared" si="6"/>
        <v>155428.99</v>
      </c>
      <c r="CU102" s="268">
        <f t="shared" si="6"/>
        <v>69510.100000000006</v>
      </c>
      <c r="CV102" s="268">
        <f t="shared" si="6"/>
        <v>202700.33999999997</v>
      </c>
      <c r="CW102" s="268">
        <f t="shared" si="6"/>
        <v>364368</v>
      </c>
      <c r="CX102" s="268">
        <f t="shared" si="6"/>
        <v>0</v>
      </c>
      <c r="CY102" s="268">
        <f t="shared" si="6"/>
        <v>71205.989999999991</v>
      </c>
      <c r="CZ102" s="268">
        <f t="shared" si="6"/>
        <v>26401.77</v>
      </c>
      <c r="DA102" s="268">
        <f t="shared" si="6"/>
        <v>44423.89</v>
      </c>
      <c r="DB102" s="268">
        <f t="shared" si="6"/>
        <v>521981.72000000003</v>
      </c>
      <c r="DC102" s="268">
        <f t="shared" si="6"/>
        <v>73080.01999999999</v>
      </c>
      <c r="DD102" s="268">
        <f t="shared" si="6"/>
        <v>146121.67000000001</v>
      </c>
      <c r="DE102" s="268">
        <f t="shared" si="6"/>
        <v>278388.74999999994</v>
      </c>
      <c r="DF102" s="268">
        <f t="shared" si="6"/>
        <v>1061</v>
      </c>
      <c r="DG102" s="268">
        <f t="shared" si="6"/>
        <v>18659</v>
      </c>
      <c r="DH102" s="268">
        <f t="shared" si="6"/>
        <v>1511857.9200000002</v>
      </c>
      <c r="DI102" s="268">
        <f t="shared" si="6"/>
        <v>0</v>
      </c>
      <c r="DJ102" s="268">
        <f t="shared" si="6"/>
        <v>1999.9200000000003</v>
      </c>
      <c r="DK102" s="268">
        <f t="shared" si="6"/>
        <v>154812.24</v>
      </c>
      <c r="DL102" s="270">
        <f t="shared" si="6"/>
        <v>548057.18999999994</v>
      </c>
      <c r="DM102" s="268">
        <f t="shared" si="6"/>
        <v>80337</v>
      </c>
      <c r="DN102" s="268">
        <f t="shared" si="6"/>
        <v>152779.76999999999</v>
      </c>
      <c r="DO102" s="268">
        <f t="shared" si="6"/>
        <v>0</v>
      </c>
      <c r="DP102" s="269">
        <f t="shared" si="6"/>
        <v>70320</v>
      </c>
      <c r="DQ102" s="268">
        <f t="shared" si="6"/>
        <v>54325</v>
      </c>
      <c r="DR102" s="268">
        <f t="shared" si="6"/>
        <v>0</v>
      </c>
      <c r="DS102" s="268">
        <f t="shared" si="6"/>
        <v>0</v>
      </c>
      <c r="DT102" s="268">
        <f t="shared" ref="DT102:EI102" si="7">SUM(DT90:DT101)</f>
        <v>0</v>
      </c>
      <c r="DU102" s="269">
        <f t="shared" si="7"/>
        <v>195945.16999999998</v>
      </c>
      <c r="DV102" s="268">
        <f t="shared" si="7"/>
        <v>192613.24</v>
      </c>
      <c r="DW102" s="268">
        <f t="shared" si="7"/>
        <v>173149.28999999998</v>
      </c>
      <c r="DX102" s="268">
        <f t="shared" si="7"/>
        <v>361629.1399999999</v>
      </c>
      <c r="DY102" s="268">
        <f t="shared" si="7"/>
        <v>515145.31999999995</v>
      </c>
      <c r="DZ102" s="268">
        <f t="shared" si="7"/>
        <v>1029870.5700000001</v>
      </c>
      <c r="EA102" s="268">
        <f t="shared" si="7"/>
        <v>339899.17</v>
      </c>
      <c r="EB102" s="268">
        <f t="shared" si="7"/>
        <v>207334.71999999997</v>
      </c>
      <c r="EC102" s="268">
        <f t="shared" si="7"/>
        <v>304743.80999999994</v>
      </c>
      <c r="ED102" s="268">
        <f t="shared" si="7"/>
        <v>210706.63999999998</v>
      </c>
      <c r="EE102" s="268">
        <f t="shared" si="7"/>
        <v>400913.5</v>
      </c>
      <c r="EF102" s="268">
        <f t="shared" si="7"/>
        <v>266499.14</v>
      </c>
      <c r="EG102" s="268">
        <f t="shared" si="7"/>
        <v>261068.56999999998</v>
      </c>
      <c r="EH102" s="268">
        <f t="shared" si="7"/>
        <v>95200</v>
      </c>
      <c r="EI102" s="268">
        <f t="shared" si="7"/>
        <v>24669510.07</v>
      </c>
      <c r="EJ102" s="268">
        <f>SUM(EJ90:EJ101)</f>
        <v>2157.5</v>
      </c>
      <c r="EK102" s="268">
        <f>SUM(EK90:EK101)</f>
        <v>3995421.2800000003</v>
      </c>
      <c r="EL102" s="268">
        <f>SUM(EL90:EL101)</f>
        <v>1545897.5</v>
      </c>
    </row>
    <row r="103" spans="1:142" s="112" customForma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DL103" s="236"/>
    </row>
    <row r="104" spans="1:142" s="112" customForma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DL104" s="236"/>
    </row>
    <row r="105" spans="1:142" s="112" customForma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DL105" s="236"/>
    </row>
    <row r="106" spans="1:142" s="112" customForma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DL106" s="236"/>
    </row>
    <row r="107" spans="1:142" s="112" customForma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DL107" s="236"/>
    </row>
    <row r="108" spans="1:142" s="112" customForma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DL108" s="236"/>
    </row>
    <row r="109" spans="1:142" s="112" customForma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DL109" s="236"/>
    </row>
    <row r="110" spans="1:142" s="112" customForma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DL110" s="236"/>
    </row>
    <row r="111" spans="1:142" s="112" customForma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DL111" s="236"/>
    </row>
    <row r="112" spans="1:142" s="112" customForma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DL112" s="236"/>
    </row>
    <row r="113" spans="1:116" s="112" customForma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DL113" s="236"/>
    </row>
    <row r="114" spans="1:116" s="112" customForma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DL114" s="236"/>
    </row>
    <row r="115" spans="1:116" s="112" customForma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DL115" s="236"/>
    </row>
    <row r="121" spans="1:116" ht="13.2" customHeight="1"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</row>
    <row r="122" spans="1:116"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</row>
    <row r="123" spans="1:116"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</row>
    <row r="124" spans="1:116"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</row>
    <row r="125" spans="1:116"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</row>
    <row r="126" spans="1:116"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</row>
    <row r="127" spans="1:116"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</row>
    <row r="128" spans="1:116"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</row>
    <row r="129" spans="27:48"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</row>
    <row r="130" spans="27:48"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</row>
    <row r="131" spans="27:48"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</row>
    <row r="132" spans="27:48"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</row>
    <row r="133" spans="27:48"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</row>
    <row r="134" spans="27:48"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</row>
    <row r="135" spans="27:48"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</row>
    <row r="136" spans="27:48"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</row>
    <row r="137" spans="27:48"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</row>
    <row r="173" spans="8:8">
      <c r="H173" s="113">
        <v>0</v>
      </c>
    </row>
  </sheetData>
  <mergeCells count="130">
    <mergeCell ref="C2:E2"/>
    <mergeCell ref="C3:E3"/>
    <mergeCell ref="C19:F21"/>
    <mergeCell ref="H28:P28"/>
    <mergeCell ref="C8:F8"/>
    <mergeCell ref="C9:F9"/>
    <mergeCell ref="H25:P25"/>
    <mergeCell ref="C27:F27"/>
    <mergeCell ref="H27:P27"/>
    <mergeCell ref="C28:F28"/>
    <mergeCell ref="H7:P8"/>
    <mergeCell ref="C29:F29"/>
    <mergeCell ref="H29:I29"/>
    <mergeCell ref="C16:F17"/>
    <mergeCell ref="M29:N29"/>
    <mergeCell ref="H30:I30"/>
    <mergeCell ref="M34:N34"/>
    <mergeCell ref="H44:I44"/>
    <mergeCell ref="H45:I45"/>
    <mergeCell ref="H46:I46"/>
    <mergeCell ref="H43:I43"/>
    <mergeCell ref="H39:I39"/>
    <mergeCell ref="H42:I42"/>
    <mergeCell ref="M33:N33"/>
    <mergeCell ref="M32:N32"/>
    <mergeCell ref="M30:N30"/>
    <mergeCell ref="M31:N31"/>
    <mergeCell ref="H54:I54"/>
    <mergeCell ref="H55:I55"/>
    <mergeCell ref="H56:I56"/>
    <mergeCell ref="H57:I57"/>
    <mergeCell ref="H31:I31"/>
    <mergeCell ref="H36:I36"/>
    <mergeCell ref="H35:I35"/>
    <mergeCell ref="H34:I34"/>
    <mergeCell ref="H41:I41"/>
    <mergeCell ref="H40:I40"/>
    <mergeCell ref="H38:I38"/>
    <mergeCell ref="H37:I37"/>
    <mergeCell ref="H33:I33"/>
    <mergeCell ref="H32:I32"/>
    <mergeCell ref="H47:I47"/>
    <mergeCell ref="H48:I48"/>
    <mergeCell ref="H49:I49"/>
    <mergeCell ref="H50:I50"/>
    <mergeCell ref="H51:I51"/>
    <mergeCell ref="H52:I52"/>
    <mergeCell ref="H53:I53"/>
    <mergeCell ref="H63:I63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73:I73"/>
    <mergeCell ref="H74:I74"/>
    <mergeCell ref="H75:I75"/>
    <mergeCell ref="H76:I76"/>
    <mergeCell ref="H77:I77"/>
    <mergeCell ref="H68:I68"/>
    <mergeCell ref="H69:I69"/>
    <mergeCell ref="H70:I70"/>
    <mergeCell ref="H71:I71"/>
    <mergeCell ref="H72:I72"/>
    <mergeCell ref="M50:N50"/>
    <mergeCell ref="M51:N51"/>
    <mergeCell ref="M52:N52"/>
    <mergeCell ref="M53:N53"/>
    <mergeCell ref="M54:N54"/>
    <mergeCell ref="H84:I8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H78:I78"/>
    <mergeCell ref="H79:I79"/>
    <mergeCell ref="H80:I80"/>
    <mergeCell ref="M60:N60"/>
    <mergeCell ref="M61:N61"/>
    <mergeCell ref="M62:N62"/>
    <mergeCell ref="M63:N63"/>
    <mergeCell ref="M64:N64"/>
    <mergeCell ref="M55:N55"/>
    <mergeCell ref="M56:N56"/>
    <mergeCell ref="M57:N57"/>
    <mergeCell ref="M58:N58"/>
    <mergeCell ref="M59:N59"/>
    <mergeCell ref="M70:N70"/>
    <mergeCell ref="M71:N71"/>
    <mergeCell ref="M72:N72"/>
    <mergeCell ref="M73:N73"/>
    <mergeCell ref="M74:N74"/>
    <mergeCell ref="M65:N65"/>
    <mergeCell ref="M66:N66"/>
    <mergeCell ref="M67:N67"/>
    <mergeCell ref="M68:N68"/>
    <mergeCell ref="M69:N69"/>
    <mergeCell ref="H83:I83"/>
    <mergeCell ref="O87:P88"/>
    <mergeCell ref="M80:N80"/>
    <mergeCell ref="M81:N81"/>
    <mergeCell ref="M82:N82"/>
    <mergeCell ref="M84:N84"/>
    <mergeCell ref="M75:N75"/>
    <mergeCell ref="M76:N76"/>
    <mergeCell ref="M77:N77"/>
    <mergeCell ref="M78:N78"/>
    <mergeCell ref="M79:N79"/>
    <mergeCell ref="M83:N83"/>
    <mergeCell ref="H81:I81"/>
    <mergeCell ref="H82:I82"/>
    <mergeCell ref="M85:N85"/>
    <mergeCell ref="H85:I85"/>
    <mergeCell ref="H86:I86"/>
    <mergeCell ref="M86:N86"/>
  </mergeCells>
  <conditionalFormatting sqref="P2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{CF1CAB70-D4A0-47A4-B100-43A5999E43B6}</x14:id>
        </ext>
      </extLst>
    </cfRule>
  </conditionalFormatting>
  <conditionalFormatting sqref="P3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{19EB84EC-682B-4218-8D88-2A5F5AA9ADBD}</x14:id>
        </ext>
      </extLst>
    </cfRule>
  </conditionalFormatting>
  <conditionalFormatting sqref="P3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{1797B180-AF3B-4886-BA61-9F6F871DEFE6}</x14:id>
        </ext>
      </extLst>
    </cfRule>
  </conditionalFormatting>
  <conditionalFormatting sqref="P32:P85 K29:K8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{525FAC7C-EEF8-437C-AF39-7894D1BF7A73}</x14:id>
        </ext>
      </extLst>
    </cfRule>
  </conditionalFormatting>
  <conditionalFormatting sqref="P8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{19CCEAAE-B1EF-4B45-9933-A492D5691802}</x14:id>
        </ext>
      </extLst>
    </cfRule>
  </conditionalFormatting>
  <dataValidations count="2">
    <dataValidation type="list" allowBlank="1" showInputMessage="1" showErrorMessage="1" sqref="H25:P25" xr:uid="{00000000-0002-0000-0000-000000000000}">
      <formula1>$AA$30:$AA$41</formula1>
    </dataValidation>
    <dataValidation type="list" allowBlank="1" showInputMessage="1" showErrorMessage="1" sqref="R3" xr:uid="{00000000-0002-0000-0000-000001000000}">
      <formula1>$EJ$21:$EJ$60</formula1>
    </dataValidation>
  </dataValidations>
  <hyperlinks>
    <hyperlink ref="R3" location="Shheet_Link" display="Etisalat" xr:uid="{00000000-0004-0000-0000-000000000000}"/>
  </hyperlinks>
  <pageMargins left="0.7" right="0.7" top="0.75" bottom="0.75" header="0.3" footer="0.3"/>
  <pageSetup paperSize="9" orientation="portrait" horizontalDpi="300" verticalDpi="300" r:id="rId1"/>
  <ignoredErrors>
    <ignoredError sqref="E36 E34:E35 E40" evalError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1CAB70-D4A0-47A4-B100-43A5999E4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P29</xm:sqref>
        </x14:conditionalFormatting>
        <x14:conditionalFormatting xmlns:xm="http://schemas.microsoft.com/office/excel/2006/main">
          <x14:cfRule type="dataBar" id="{19EB84EC-682B-4218-8D88-2A5F5AA9A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</xm:sqref>
        </x14:conditionalFormatting>
        <x14:conditionalFormatting xmlns:xm="http://schemas.microsoft.com/office/excel/2006/main">
          <x14:cfRule type="dataBar" id="{1797B180-AF3B-4886-BA61-9F6F871DEF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P31</xm:sqref>
        </x14:conditionalFormatting>
        <x14:conditionalFormatting xmlns:xm="http://schemas.microsoft.com/office/excel/2006/main">
          <x14:cfRule type="dataBar" id="{525FAC7C-EEF8-437C-AF39-7894D1BF7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P32:P85 K29:K86</xm:sqref>
        </x14:conditionalFormatting>
        <x14:conditionalFormatting xmlns:xm="http://schemas.microsoft.com/office/excel/2006/main">
          <x14:cfRule type="dataBar" id="{19CCEAAE-B1EF-4B45-9933-A492D56918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C000"/>
  </sheetPr>
  <dimension ref="A1:T152"/>
  <sheetViews>
    <sheetView rightToLeft="1" workbookViewId="0">
      <selection activeCell="Q19" sqref="Q19"/>
    </sheetView>
  </sheetViews>
  <sheetFormatPr defaultColWidth="9.109375" defaultRowHeight="13.2"/>
  <cols>
    <col min="1" max="1" width="5.88671875" style="113" bestFit="1" customWidth="1"/>
    <col min="2" max="2" width="1.6640625" style="113" customWidth="1"/>
    <col min="3" max="3" width="31.33203125" style="113" bestFit="1" customWidth="1"/>
    <col min="4" max="14" width="14.44140625" style="113" customWidth="1"/>
    <col min="15" max="15" width="14.88671875" style="113" customWidth="1"/>
    <col min="16" max="16" width="15.5546875" style="113" bestFit="1" customWidth="1"/>
    <col min="17" max="18" width="10.33203125" style="113" bestFit="1" customWidth="1"/>
    <col min="19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120"/>
      <c r="G3" s="629" t="s">
        <v>330</v>
      </c>
      <c r="H3" s="629"/>
      <c r="I3" s="629"/>
      <c r="J3" s="120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</row>
    <row r="6" spans="1:20" ht="29.25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194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</row>
    <row r="8" spans="1:20" ht="18" customHeight="1">
      <c r="A8" s="152"/>
      <c r="B8" s="124"/>
      <c r="C8" s="369" t="s">
        <v>114</v>
      </c>
      <c r="D8" s="364">
        <f>D9+D10+D11</f>
        <v>0</v>
      </c>
      <c r="E8" s="364">
        <f t="shared" ref="E8:O8" si="0">E9+E10+E11</f>
        <v>0</v>
      </c>
      <c r="F8" s="364">
        <f t="shared" si="0"/>
        <v>0</v>
      </c>
      <c r="G8" s="364">
        <f t="shared" si="0"/>
        <v>0</v>
      </c>
      <c r="H8" s="364">
        <f t="shared" si="0"/>
        <v>0</v>
      </c>
      <c r="I8" s="364">
        <f t="shared" si="0"/>
        <v>0</v>
      </c>
      <c r="J8" s="364">
        <f t="shared" si="0"/>
        <v>0</v>
      </c>
      <c r="K8" s="364">
        <f t="shared" si="0"/>
        <v>0</v>
      </c>
      <c r="L8" s="364">
        <f t="shared" si="0"/>
        <v>0</v>
      </c>
      <c r="M8" s="364">
        <f t="shared" si="0"/>
        <v>0</v>
      </c>
      <c r="N8" s="364">
        <f t="shared" si="0"/>
        <v>0</v>
      </c>
      <c r="O8" s="380">
        <f t="shared" si="0"/>
        <v>0</v>
      </c>
      <c r="P8" s="381">
        <f t="shared" ref="P8:P17" si="1">SUM(D8:O8)</f>
        <v>0</v>
      </c>
    </row>
    <row r="9" spans="1:20" ht="18" customHeight="1">
      <c r="B9" s="124"/>
      <c r="C9" s="370" t="s">
        <v>115</v>
      </c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81">
        <f t="shared" si="1"/>
        <v>0</v>
      </c>
    </row>
    <row r="10" spans="1:20" ht="18" customHeight="1">
      <c r="B10" s="124"/>
      <c r="C10" s="370" t="s">
        <v>21</v>
      </c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81">
        <f t="shared" si="1"/>
        <v>0</v>
      </c>
    </row>
    <row r="11" spans="1:20" ht="18" customHeight="1">
      <c r="B11" s="124"/>
      <c r="C11" s="370" t="s">
        <v>116</v>
      </c>
      <c r="D11" s="365"/>
      <c r="E11" s="365"/>
      <c r="F11" s="365"/>
      <c r="G11" s="365"/>
      <c r="H11" s="365"/>
      <c r="I11" s="365"/>
      <c r="J11" s="365"/>
      <c r="K11" s="365"/>
      <c r="L11" s="365"/>
      <c r="M11" s="365"/>
      <c r="N11" s="365"/>
      <c r="O11" s="365"/>
      <c r="P11" s="381">
        <f t="shared" si="1"/>
        <v>0</v>
      </c>
    </row>
    <row r="12" spans="1:20" ht="18" customHeight="1">
      <c r="B12" s="124"/>
      <c r="C12" s="369" t="s">
        <v>120</v>
      </c>
      <c r="D12" s="364"/>
      <c r="E12" s="364"/>
      <c r="F12" s="364"/>
      <c r="G12" s="364"/>
      <c r="H12" s="364"/>
      <c r="I12" s="364"/>
      <c r="J12" s="365"/>
      <c r="K12" s="364"/>
      <c r="L12" s="364"/>
      <c r="M12" s="364"/>
      <c r="N12" s="364"/>
      <c r="O12" s="364"/>
      <c r="P12" s="381">
        <f t="shared" si="1"/>
        <v>0</v>
      </c>
    </row>
    <row r="13" spans="1:20" ht="18" customHeight="1">
      <c r="B13" s="124"/>
      <c r="C13" s="371" t="s">
        <v>14</v>
      </c>
      <c r="D13" s="366">
        <f t="shared" ref="D13:O13" si="2">D8-D12</f>
        <v>0</v>
      </c>
      <c r="E13" s="366">
        <f t="shared" si="2"/>
        <v>0</v>
      </c>
      <c r="F13" s="366">
        <f t="shared" si="2"/>
        <v>0</v>
      </c>
      <c r="G13" s="366">
        <f t="shared" si="2"/>
        <v>0</v>
      </c>
      <c r="H13" s="366">
        <f t="shared" si="2"/>
        <v>0</v>
      </c>
      <c r="I13" s="366">
        <f t="shared" si="2"/>
        <v>0</v>
      </c>
      <c r="J13" s="366">
        <f t="shared" si="2"/>
        <v>0</v>
      </c>
      <c r="K13" s="366">
        <f t="shared" si="2"/>
        <v>0</v>
      </c>
      <c r="L13" s="366">
        <f t="shared" si="2"/>
        <v>0</v>
      </c>
      <c r="M13" s="366">
        <f t="shared" si="2"/>
        <v>0</v>
      </c>
      <c r="N13" s="366">
        <f t="shared" si="2"/>
        <v>0</v>
      </c>
      <c r="O13" s="366">
        <f t="shared" si="2"/>
        <v>0</v>
      </c>
      <c r="P13" s="366">
        <f t="shared" si="1"/>
        <v>0</v>
      </c>
    </row>
    <row r="14" spans="1:20" ht="18" customHeight="1">
      <c r="B14" s="124"/>
      <c r="C14" s="369" t="s">
        <v>117</v>
      </c>
      <c r="D14" s="367">
        <v>223875.51</v>
      </c>
      <c r="E14" s="367">
        <v>337632.98</v>
      </c>
      <c r="F14" s="367">
        <v>289944.04999999981</v>
      </c>
      <c r="G14" s="367">
        <v>78025.570000000007</v>
      </c>
      <c r="H14" s="367">
        <v>402717.41000000015</v>
      </c>
      <c r="I14" s="367">
        <v>369287.54000000004</v>
      </c>
      <c r="J14" s="367">
        <v>218232.85</v>
      </c>
      <c r="K14" s="411">
        <v>402056.92000000039</v>
      </c>
      <c r="L14" s="367">
        <v>224091.10000000009</v>
      </c>
      <c r="M14" s="367">
        <v>152627.11999999965</v>
      </c>
      <c r="N14" s="414">
        <v>79525.80999999959</v>
      </c>
      <c r="O14" s="367">
        <v>223453.29000000004</v>
      </c>
      <c r="P14" s="393">
        <f t="shared" si="1"/>
        <v>3001470.15</v>
      </c>
    </row>
    <row r="15" spans="1:20" ht="18" customHeight="1">
      <c r="B15" s="124"/>
      <c r="C15" s="369" t="s">
        <v>122</v>
      </c>
      <c r="D15" s="367"/>
      <c r="E15" s="367">
        <v>365</v>
      </c>
      <c r="F15" s="367"/>
      <c r="G15" s="367"/>
      <c r="H15" s="367">
        <v>21851.9</v>
      </c>
      <c r="I15" s="367"/>
      <c r="J15" s="367"/>
      <c r="K15" s="367"/>
      <c r="L15" s="367"/>
      <c r="M15" s="367"/>
      <c r="N15" s="367"/>
      <c r="O15" s="367"/>
      <c r="P15" s="393">
        <f t="shared" si="1"/>
        <v>22216.9</v>
      </c>
    </row>
    <row r="16" spans="1:20" ht="18" customHeight="1">
      <c r="B16" s="124"/>
      <c r="C16" s="369" t="s">
        <v>118</v>
      </c>
      <c r="D16" s="367">
        <v>367.55</v>
      </c>
      <c r="E16" s="367">
        <v>21315.47</v>
      </c>
      <c r="F16" s="367">
        <v>3831.65</v>
      </c>
      <c r="G16" s="367">
        <v>536.90999999999985</v>
      </c>
      <c r="H16" s="367"/>
      <c r="I16" s="367">
        <v>10453.729999999996</v>
      </c>
      <c r="J16" s="367">
        <v>0</v>
      </c>
      <c r="K16" s="367"/>
      <c r="L16" s="367"/>
      <c r="M16" s="367"/>
      <c r="N16" s="367"/>
      <c r="O16" s="367"/>
      <c r="P16" s="393">
        <f t="shared" si="1"/>
        <v>36505.31</v>
      </c>
    </row>
    <row r="17" spans="2:18" ht="18" customHeight="1">
      <c r="B17" s="124"/>
      <c r="C17" s="369" t="s">
        <v>119</v>
      </c>
      <c r="D17" s="367">
        <v>79417.320000000007</v>
      </c>
      <c r="E17" s="367">
        <f>72208.32+20000</f>
        <v>92208.320000000007</v>
      </c>
      <c r="F17" s="367">
        <v>170139.06</v>
      </c>
      <c r="G17" s="367">
        <v>469365.13</v>
      </c>
      <c r="H17" s="367">
        <f>116464.98+24250+475192.23</f>
        <v>615907.21</v>
      </c>
      <c r="I17" s="367">
        <f>98027.03+203257.17+56562+6111</f>
        <v>363957.2</v>
      </c>
      <c r="J17" s="367">
        <f>292309.63+3</f>
        <v>292312.63</v>
      </c>
      <c r="K17" s="367">
        <v>195965.83000000002</v>
      </c>
      <c r="L17" s="367">
        <v>1022901.42</v>
      </c>
      <c r="M17" s="367">
        <v>139477.83000000002</v>
      </c>
      <c r="N17" s="414">
        <v>365063.49</v>
      </c>
      <c r="O17" s="367">
        <v>4552194.1749998545</v>
      </c>
      <c r="P17" s="393">
        <f t="shared" si="1"/>
        <v>8358909.6149998549</v>
      </c>
      <c r="R17" s="585"/>
    </row>
    <row r="18" spans="2:18" ht="18" customHeight="1">
      <c r="B18" s="124"/>
      <c r="C18" s="372" t="s">
        <v>269</v>
      </c>
      <c r="D18" s="363">
        <f>SUM(D14:D17)</f>
        <v>303660.38</v>
      </c>
      <c r="E18" s="363">
        <f t="shared" ref="E18:O18" si="3">SUM(E14:E17)</f>
        <v>451521.76999999996</v>
      </c>
      <c r="F18" s="363">
        <f t="shared" si="3"/>
        <v>463914.75999999983</v>
      </c>
      <c r="G18" s="363">
        <f t="shared" si="3"/>
        <v>547927.61</v>
      </c>
      <c r="H18" s="363">
        <f t="shared" si="3"/>
        <v>1040476.5200000001</v>
      </c>
      <c r="I18" s="363">
        <f t="shared" si="3"/>
        <v>743698.47</v>
      </c>
      <c r="J18" s="363">
        <f t="shared" si="3"/>
        <v>510545.48</v>
      </c>
      <c r="K18" s="363">
        <f t="shared" si="3"/>
        <v>598022.75000000047</v>
      </c>
      <c r="L18" s="363">
        <f t="shared" si="3"/>
        <v>1246992.52</v>
      </c>
      <c r="M18" s="368">
        <f t="shared" si="3"/>
        <v>292104.94999999966</v>
      </c>
      <c r="N18" s="368">
        <f t="shared" si="3"/>
        <v>444589.29999999958</v>
      </c>
      <c r="O18" s="368">
        <f t="shared" si="3"/>
        <v>4775647.4649998546</v>
      </c>
      <c r="P18" s="393">
        <f>SUM(D18:O18)</f>
        <v>11419101.974999852</v>
      </c>
    </row>
    <row r="19" spans="2:18" ht="21" customHeight="1">
      <c r="B19" s="124"/>
      <c r="C19" s="373" t="s">
        <v>14</v>
      </c>
      <c r="D19" s="374">
        <f t="shared" ref="D19:O19" si="4">D13+D18</f>
        <v>303660.38</v>
      </c>
      <c r="E19" s="374">
        <f t="shared" si="4"/>
        <v>451521.76999999996</v>
      </c>
      <c r="F19" s="374">
        <f t="shared" si="4"/>
        <v>463914.75999999983</v>
      </c>
      <c r="G19" s="374">
        <f t="shared" si="4"/>
        <v>547927.61</v>
      </c>
      <c r="H19" s="374">
        <f t="shared" si="4"/>
        <v>1040476.5200000001</v>
      </c>
      <c r="I19" s="374">
        <f t="shared" si="4"/>
        <v>743698.47</v>
      </c>
      <c r="J19" s="374">
        <f t="shared" si="4"/>
        <v>510545.48</v>
      </c>
      <c r="K19" s="374">
        <f t="shared" si="4"/>
        <v>598022.75000000047</v>
      </c>
      <c r="L19" s="374">
        <f t="shared" si="4"/>
        <v>1246992.52</v>
      </c>
      <c r="M19" s="374">
        <f t="shared" si="4"/>
        <v>292104.94999999966</v>
      </c>
      <c r="N19" s="374">
        <f t="shared" si="4"/>
        <v>444589.29999999958</v>
      </c>
      <c r="O19" s="374">
        <f t="shared" si="4"/>
        <v>4775647.4649998546</v>
      </c>
      <c r="P19" s="374">
        <f>P13+P18</f>
        <v>11419101.974999852</v>
      </c>
      <c r="Q19" s="585">
        <f>P19-P14</f>
        <v>8417631.8249998521</v>
      </c>
    </row>
    <row r="20" spans="2:18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</row>
    <row r="21" spans="2:18" ht="18" customHeight="1">
      <c r="B21" s="124"/>
      <c r="C21" s="133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</row>
    <row r="22" spans="2:18" ht="18" customHeight="1">
      <c r="B22" s="124"/>
      <c r="C22" s="150" t="s">
        <v>40</v>
      </c>
      <c r="D22" s="375">
        <f>IFERROR(VLOOKUP(C22,'تقرير المصروفات حسب الشهر'!$C$10:$AD$119,2,FALSE),0)</f>
        <v>853477.34</v>
      </c>
      <c r="E22" s="376">
        <f>IFERROR(VLOOKUP(C22,'تقرير المصروفات حسب الشهر'!$C$135:$AD$252,2,FALSE),0)</f>
        <v>899945.03</v>
      </c>
      <c r="F22" s="376">
        <f>_xlfn.XLOOKUP(C22,'تقرير المصروفات حسب الشهر'!C261:C373,'تقرير المصروفات حسب الشهر'!D261:D373,0,0)</f>
        <v>896301.69000000006</v>
      </c>
      <c r="G22" s="376">
        <f>IFERROR(VLOOKUP(C22,'تقرير المصروفات حسب الشهر'!$C$387:$AD$495,2,FALSE),0)</f>
        <v>903218.51</v>
      </c>
      <c r="H22" s="376">
        <f>IFERROR(VLOOKUP(C22,'تقرير المصروفات حسب الشهر'!$C$512:$AD$620,2,FALSE),0)</f>
        <v>994803.77</v>
      </c>
      <c r="I22" s="513">
        <f>IFERROR(VLOOKUP(C22,'تقرير المصروفات حسب الشهر'!$C$637:$AD$746,2,FALSE),0)</f>
        <v>1006628.75</v>
      </c>
      <c r="J22" s="376">
        <f>IFERROR(VLOOKUP(C22,'تقرير المصروفات حسب الشهر'!$C$763:$AD$872,2,FALSE),0)</f>
        <v>1108595.69</v>
      </c>
      <c r="K22" s="376">
        <f>IFERROR(VLOOKUP(C22,'تقرير المصروفات حسب الشهر'!$C$889:$D$999,2,FALSE),0)</f>
        <v>1266314.54</v>
      </c>
      <c r="L22" s="376">
        <f>IFERROR(VLOOKUP(C22,'تقرير المصروفات حسب الشهر'!$C$1016:$AD$1126,2,FALSE),0)</f>
        <v>1184810.3999999999</v>
      </c>
      <c r="M22" s="376">
        <f>IFERROR(VLOOKUP(C22,'تقرير المصروفات حسب الشهر'!$C$1143:$AD$1254,2,FALSE),0)</f>
        <v>1313118.58</v>
      </c>
      <c r="N22" s="413">
        <f>IFERROR(VLOOKUP(C22,'تقرير المصروفات حسب الشهر'!$C$1270:$AD$1381,2,FALSE),0)</f>
        <v>1305040.6399999999</v>
      </c>
      <c r="O22" s="376">
        <f>IFERROR(VLOOKUP(C22,'تقرير المصروفات حسب الشهر'!$C$1397:$AI$1512,2,FALSE),0)</f>
        <v>1313581.9000000001</v>
      </c>
      <c r="P22" s="394">
        <f>SUM(D22:O22)</f>
        <v>13045836.84</v>
      </c>
    </row>
    <row r="23" spans="2:18" ht="18" customHeight="1">
      <c r="B23" s="124"/>
      <c r="C23" s="150" t="s">
        <v>41</v>
      </c>
      <c r="D23" s="376">
        <f>IFERROR(VLOOKUP(C23,'تقرير المصروفات حسب الشهر'!$C$10:$AD$119,2,FALSE),0)</f>
        <v>0</v>
      </c>
      <c r="E23" s="376">
        <f>IFERROR(VLOOKUP(C23,'تقرير المصروفات حسب الشهر'!$C$135:$AD$252,2,FALSE),0)</f>
        <v>365</v>
      </c>
      <c r="F23" s="376">
        <f>_xlfn.XLOOKUP(C23,'تقرير المصروفات حسب الشهر'!C262:C374,'تقرير المصروفات حسب الشهر'!D262:D374,0,0)</f>
        <v>0</v>
      </c>
      <c r="G23" s="376">
        <f>IFERROR(VLOOKUP(C23,'تقرير المصروفات حسب الشهر'!$C$387:$AD$495,2,FALSE),0)</f>
        <v>0</v>
      </c>
      <c r="H23" s="376">
        <f>IFERROR(VLOOKUP(C23,'تقرير المصروفات حسب الشهر'!$C$512:$AD$620,2,FALSE),0)</f>
        <v>0</v>
      </c>
      <c r="I23" s="376">
        <f>IFERROR(VLOOKUP(C23,'تقرير المصروفات حسب الشهر'!$C$637:$AD$746,2,FALSE),0)</f>
        <v>0</v>
      </c>
      <c r="J23" s="376">
        <f>IFERROR(VLOOKUP(C23,'تقرير المصروفات حسب الشهر'!$C$763:$AD$872,2,FALSE),0)</f>
        <v>0</v>
      </c>
      <c r="K23" s="376">
        <f>IFERROR(VLOOKUP(C23,'تقرير المصروفات حسب الشهر'!$C$889:$D$999,2,FALSE),0)</f>
        <v>0</v>
      </c>
      <c r="L23" s="376">
        <f>IFERROR(VLOOKUP(C23,'تقرير المصروفات حسب الشهر'!$C$1016:$AD$1126,2,FALSE),0)</f>
        <v>0</v>
      </c>
      <c r="M23" s="376">
        <f>IFERROR(VLOOKUP(C23,'تقرير المصروفات حسب الشهر'!$C$1143:$AD$1254,2,FALSE),0)</f>
        <v>0</v>
      </c>
      <c r="N23" s="376">
        <f>IFERROR(VLOOKUP(C23,'تقرير المصروفات حسب الشهر'!$C$1270:$AD$1381,2,FALSE),0)</f>
        <v>0</v>
      </c>
      <c r="O23" s="376">
        <f>IFERROR(VLOOKUP(C23,'تقرير المصروفات حسب الشهر'!$C$1397:$AI$1512,2,FALSE),0)</f>
        <v>0</v>
      </c>
      <c r="P23" s="394">
        <f t="shared" ref="P23:P86" si="5">SUM(D23:O23)</f>
        <v>365</v>
      </c>
    </row>
    <row r="24" spans="2:18" ht="18" customHeight="1">
      <c r="B24" s="124"/>
      <c r="C24" s="150" t="s">
        <v>26</v>
      </c>
      <c r="D24" s="376">
        <f>IFERROR(VLOOKUP(C24,'تقرير المصروفات حسب الشهر'!$C$10:$AD$119,2,FALSE),0)</f>
        <v>2925</v>
      </c>
      <c r="E24" s="376">
        <f>IFERROR(VLOOKUP(C24,'تقرير المصروفات حسب الشهر'!$C$135:$AD$252,2,FALSE),0)</f>
        <v>1000</v>
      </c>
      <c r="F24" s="376">
        <f>_xlfn.XLOOKUP(C24,'تقرير المصروفات حسب الشهر'!C263:C375,'تقرير المصروفات حسب الشهر'!D263:D375,0,0)</f>
        <v>17462</v>
      </c>
      <c r="G24" s="376">
        <f>IFERROR(VLOOKUP(C24,'تقرير المصروفات حسب الشهر'!$C$387:$AD$495,2,FALSE),0)</f>
        <v>2000</v>
      </c>
      <c r="H24" s="376">
        <f>IFERROR(VLOOKUP(C24,'تقرير المصروفات حسب الشهر'!$C$512:$AD$620,2,FALSE),0)</f>
        <v>6374</v>
      </c>
      <c r="I24" s="513">
        <f>IFERROR(VLOOKUP(C24,'تقرير المصروفات حسب الشهر'!$C$637:$AD$746,2,FALSE),0)</f>
        <v>22158</v>
      </c>
      <c r="J24" s="376">
        <f>IFERROR(VLOOKUP(C24,'تقرير المصروفات حسب الشهر'!$C$763:$AD$872,2,FALSE),0)</f>
        <v>18677</v>
      </c>
      <c r="K24" s="376">
        <f>IFERROR(VLOOKUP(C24,'تقرير المصروفات حسب الشهر'!$C$889:$D$999,2,FALSE),0)</f>
        <v>12995</v>
      </c>
      <c r="L24" s="376">
        <f>IFERROR(VLOOKUP(C24,'تقرير المصروفات حسب الشهر'!$C$1016:$AD$1126,2,FALSE),0)</f>
        <v>11244</v>
      </c>
      <c r="M24" s="376">
        <f>IFERROR(VLOOKUP(C24,'تقرير المصروفات حسب الشهر'!$C$1143:$AD$1254,2,FALSE),0)</f>
        <v>42424.75</v>
      </c>
      <c r="N24" s="376">
        <f>IFERROR(VLOOKUP(C24,'تقرير المصروفات حسب الشهر'!$C$1270:$AD$1381,2,FALSE),0)</f>
        <v>16611</v>
      </c>
      <c r="O24" s="376">
        <f>IFERROR(VLOOKUP(C24,'تقرير المصروفات حسب الشهر'!$C$1397:$AI$1512,2,FALSE),0)</f>
        <v>8245</v>
      </c>
      <c r="P24" s="394">
        <f t="shared" si="5"/>
        <v>162115.75</v>
      </c>
    </row>
    <row r="25" spans="2:18" ht="18" customHeight="1">
      <c r="B25" s="124"/>
      <c r="C25" s="150" t="s">
        <v>27</v>
      </c>
      <c r="D25" s="376">
        <f>IFERROR(VLOOKUP(C25,'تقرير المصروفات حسب الشهر'!$C$10:$AD$119,2,FALSE),0)</f>
        <v>0</v>
      </c>
      <c r="E25" s="376">
        <f>IFERROR(VLOOKUP(C25,'تقرير المصروفات حسب الشهر'!$C$135:$AD$252,2,FALSE),0)</f>
        <v>0</v>
      </c>
      <c r="F25" s="376">
        <f>_xlfn.XLOOKUP(C25,'تقرير المصروفات حسب الشهر'!C264:C376,'تقرير المصروفات حسب الشهر'!D264:D376,0,0)</f>
        <v>0</v>
      </c>
      <c r="G25" s="376">
        <f>IFERROR(VLOOKUP(C25,'تقرير المصروفات حسب الشهر'!$C$387:$AD$495,2,FALSE),0)</f>
        <v>0</v>
      </c>
      <c r="H25" s="376">
        <f>IFERROR(VLOOKUP(C25,'تقرير المصروفات حسب الشهر'!$C$512:$AD$620,2,FALSE),0)</f>
        <v>0</v>
      </c>
      <c r="I25" s="376">
        <f>IFERROR(VLOOKUP(C25,'تقرير المصروفات حسب الشهر'!$C$637:$AD$746,2,FALSE),0)</f>
        <v>0</v>
      </c>
      <c r="J25" s="376">
        <f>IFERROR(VLOOKUP(C25,'تقرير المصروفات حسب الشهر'!$C$763:$AD$872,2,FALSE),0)</f>
        <v>306</v>
      </c>
      <c r="K25" s="376">
        <f>IFERROR(VLOOKUP(C25,'تقرير المصروفات حسب الشهر'!$C$889:$D$999,2,FALSE),0)</f>
        <v>0</v>
      </c>
      <c r="L25" s="376">
        <f>IFERROR(VLOOKUP(C25,'تقرير المصروفات حسب الشهر'!$C$1016:$AD$1126,2,FALSE),0)</f>
        <v>0</v>
      </c>
      <c r="M25" s="376">
        <f>IFERROR(VLOOKUP(C25,'تقرير المصروفات حسب الشهر'!$C$1143:$AD$1254,2,FALSE),0)</f>
        <v>0</v>
      </c>
      <c r="N25" s="376">
        <f>IFERROR(VLOOKUP(C25,'تقرير المصروفات حسب الشهر'!$C$1270:$AD$1381,2,FALSE),0)</f>
        <v>0</v>
      </c>
      <c r="O25" s="376">
        <f>IFERROR(VLOOKUP(C25,'تقرير المصروفات حسب الشهر'!$C$1397:$AI$1512,2,FALSE),0)</f>
        <v>0</v>
      </c>
      <c r="P25" s="394">
        <f t="shared" si="5"/>
        <v>306</v>
      </c>
    </row>
    <row r="26" spans="2:18" ht="18" customHeight="1">
      <c r="B26" s="124"/>
      <c r="C26" s="150" t="s">
        <v>42</v>
      </c>
      <c r="D26" s="376">
        <f>IFERROR(VLOOKUP(C26,'تقرير المصروفات حسب الشهر'!$C$10:$AD$119,2,FALSE),0)</f>
        <v>700</v>
      </c>
      <c r="E26" s="376">
        <f>IFERROR(VLOOKUP(C26,'تقرير المصروفات حسب الشهر'!$C$135:$AD$252,2,FALSE),0)</f>
        <v>0</v>
      </c>
      <c r="F26" s="376">
        <f>_xlfn.XLOOKUP(C26,'تقرير المصروفات حسب الشهر'!C265:C377,'تقرير المصروفات حسب الشهر'!D265:D377,0,0)</f>
        <v>800</v>
      </c>
      <c r="G26" s="376">
        <f>IFERROR(VLOOKUP(C26,'تقرير المصروفات حسب الشهر'!$C$387:$AD$495,2,FALSE),0)</f>
        <v>0</v>
      </c>
      <c r="H26" s="376">
        <f>IFERROR(VLOOKUP(C26,'تقرير المصروفات حسب الشهر'!$C$512:$AD$620,2,FALSE),0)</f>
        <v>0</v>
      </c>
      <c r="I26" s="513">
        <f>IFERROR(VLOOKUP(C26,'تقرير المصروفات حسب الشهر'!$C$637:$AD$746,2,FALSE),0)</f>
        <v>1600</v>
      </c>
      <c r="J26" s="376">
        <f>IFERROR(VLOOKUP(C26,'تقرير المصروفات حسب الشهر'!$C$763:$AD$872,2,FALSE),0)</f>
        <v>0</v>
      </c>
      <c r="K26" s="376">
        <f>IFERROR(VLOOKUP(C26,'تقرير المصروفات حسب الشهر'!$C$889:$D$999,2,FALSE),0)</f>
        <v>0</v>
      </c>
      <c r="L26" s="376">
        <f>IFERROR(VLOOKUP(C26,'تقرير المصروفات حسب الشهر'!$C$1016:$AD$1126,2,FALSE),0)</f>
        <v>0</v>
      </c>
      <c r="M26" s="376">
        <f>IFERROR(VLOOKUP(C26,'تقرير المصروفات حسب الشهر'!$C$1143:$AD$1254,2,FALSE),0)</f>
        <v>920</v>
      </c>
      <c r="N26" s="376">
        <f>IFERROR(VLOOKUP(C26,'تقرير المصروفات حسب الشهر'!$C$1270:$AD$1381,2,FALSE),0)</f>
        <v>600</v>
      </c>
      <c r="O26" s="376">
        <f>IFERROR(VLOOKUP(C26,'تقرير المصروفات حسب الشهر'!$C$1397:$AI$1512,2,FALSE),0)</f>
        <v>0</v>
      </c>
      <c r="P26" s="394">
        <f t="shared" si="5"/>
        <v>4620</v>
      </c>
    </row>
    <row r="27" spans="2:18" ht="18" customHeight="1">
      <c r="B27" s="124"/>
      <c r="C27" s="150" t="s">
        <v>43</v>
      </c>
      <c r="D27" s="376">
        <f>IFERROR(VLOOKUP(C27,'تقرير المصروفات حسب الشهر'!$C$10:$AD$119,2,FALSE),0)</f>
        <v>0</v>
      </c>
      <c r="E27" s="376">
        <f>IFERROR(VLOOKUP(C27,'تقرير المصروفات حسب الشهر'!$C$135:$AD$252,2,FALSE),0)</f>
        <v>0</v>
      </c>
      <c r="F27" s="376">
        <f>_xlfn.XLOOKUP(C27,'تقرير المصروفات حسب الشهر'!C266:C378,'تقرير المصروفات حسب الشهر'!D266:D378,0,0)</f>
        <v>0</v>
      </c>
      <c r="G27" s="376">
        <f>IFERROR(VLOOKUP(C27,'تقرير المصروفات حسب الشهر'!$C$387:$AD$495,2,FALSE),0)</f>
        <v>0</v>
      </c>
      <c r="H27" s="376">
        <f>IFERROR(VLOOKUP(C27,'تقرير المصروفات حسب الشهر'!$C$512:$AD$620,2,FALSE),0)</f>
        <v>0</v>
      </c>
      <c r="I27" s="376">
        <f>IFERROR(VLOOKUP(C27,'تقرير المصروفات حسب الشهر'!$C$637:$AD$746,2,FALSE),0)</f>
        <v>0</v>
      </c>
      <c r="J27" s="376">
        <f>IFERROR(VLOOKUP(C27,'تقرير المصروفات حسب الشهر'!$C$763:$AD$872,2,FALSE),0)</f>
        <v>0</v>
      </c>
      <c r="K27" s="376">
        <f>IFERROR(VLOOKUP(C27,'تقرير المصروفات حسب الشهر'!$C$889:$D$999,2,FALSE),0)</f>
        <v>0</v>
      </c>
      <c r="L27" s="376">
        <f>IFERROR(VLOOKUP(C27,'تقرير المصروفات حسب الشهر'!$C$1016:$AD$1126,2,FALSE),0)</f>
        <v>0</v>
      </c>
      <c r="M27" s="376">
        <f>IFERROR(VLOOKUP(C27,'تقرير المصروفات حسب الشهر'!$C$1143:$AD$1254,2,FALSE),0)</f>
        <v>0</v>
      </c>
      <c r="N27" s="376">
        <f>IFERROR(VLOOKUP(C27,'تقرير المصروفات حسب الشهر'!$C$1270:$AD$1381,2,FALSE),0)</f>
        <v>0</v>
      </c>
      <c r="O27" s="376">
        <f>IFERROR(VLOOKUP(C27,'تقرير المصروفات حسب الشهر'!$C$1397:$AI$1512,2,FALSE),0)</f>
        <v>0</v>
      </c>
      <c r="P27" s="394">
        <f t="shared" si="5"/>
        <v>0</v>
      </c>
    </row>
    <row r="28" spans="2:18" ht="18" customHeight="1">
      <c r="B28" s="124"/>
      <c r="C28" s="150" t="s">
        <v>44</v>
      </c>
      <c r="D28" s="376">
        <f>IFERROR(VLOOKUP(C28,'تقرير المصروفات حسب الشهر'!$C$10:$AD$119,2,FALSE),0)</f>
        <v>100000</v>
      </c>
      <c r="E28" s="376">
        <f>IFERROR(VLOOKUP(C28,'تقرير المصروفات حسب الشهر'!$C$135:$AD$252,2,FALSE),0)</f>
        <v>100000</v>
      </c>
      <c r="F28" s="376">
        <f>_xlfn.XLOOKUP(C28,'تقرير المصروفات حسب الشهر'!C267:C379,'تقرير المصروفات حسب الشهر'!D267:D379,0,0)</f>
        <v>100000</v>
      </c>
      <c r="G28" s="376">
        <f>IFERROR(VLOOKUP(C28,'تقرير المصروفات حسب الشهر'!$C$387:$AD$495,2,FALSE),0)</f>
        <v>100000</v>
      </c>
      <c r="H28" s="376">
        <f>IFERROR(VLOOKUP(C28,'تقرير المصروفات حسب الشهر'!$C$512:$AD$620,2,FALSE),0)</f>
        <v>100000</v>
      </c>
      <c r="I28" s="513">
        <f>IFERROR(VLOOKUP(C28,'تقرير المصروفات حسب الشهر'!$C$637:$AD$746,2,FALSE),0)</f>
        <v>100000</v>
      </c>
      <c r="J28" s="376">
        <f>IFERROR(VLOOKUP(C28,'تقرير المصروفات حسب الشهر'!$C$763:$AD$872,2,FALSE),0)</f>
        <v>100000</v>
      </c>
      <c r="K28" s="376">
        <f>IFERROR(VLOOKUP(C28,'تقرير المصروفات حسب الشهر'!$C$889:$D$999,2,FALSE),0)</f>
        <v>100000</v>
      </c>
      <c r="L28" s="376">
        <f>IFERROR(VLOOKUP(C28,'تقرير المصروفات حسب الشهر'!$C$1016:$AD$1126,2,FALSE),0)</f>
        <v>100000</v>
      </c>
      <c r="M28" s="376">
        <f>IFERROR(VLOOKUP(C28,'تقرير المصروفات حسب الشهر'!$C$1143:$AD$1254,2,FALSE),0)</f>
        <v>100000</v>
      </c>
      <c r="N28" s="376">
        <f>IFERROR(VLOOKUP(C28,'تقرير المصروفات حسب الشهر'!$C$1270:$AD$1381,2,FALSE),0)</f>
        <v>50000</v>
      </c>
      <c r="O28" s="376">
        <f>IFERROR(VLOOKUP(C28,'تقرير المصروفات حسب الشهر'!$C$1397:$AI$1512,2,FALSE),0)</f>
        <v>50000</v>
      </c>
      <c r="P28" s="394">
        <f t="shared" si="5"/>
        <v>1100000</v>
      </c>
    </row>
    <row r="29" spans="2:18" ht="18" customHeight="1">
      <c r="B29" s="124"/>
      <c r="C29" s="150" t="s">
        <v>45</v>
      </c>
      <c r="D29" s="376">
        <f>IFERROR(VLOOKUP(C29,'تقرير المصروفات حسب الشهر'!$C$10:$AD$119,2,FALSE),0)</f>
        <v>40610</v>
      </c>
      <c r="E29" s="376">
        <f>IFERROR(VLOOKUP(C29,'تقرير المصروفات حسب الشهر'!$C$135:$AD$252,2,FALSE),0)</f>
        <v>40610</v>
      </c>
      <c r="F29" s="376">
        <f>_xlfn.XLOOKUP(C29,'تقرير المصروفات حسب الشهر'!C268:C380,'تقرير المصروفات حسب الشهر'!D268:D380,0,0)</f>
        <v>40610</v>
      </c>
      <c r="G29" s="376">
        <f>IFERROR(VLOOKUP(C29,'تقرير المصروفات حسب الشهر'!$C$387:$AD$495,2,FALSE),0)</f>
        <v>40610</v>
      </c>
      <c r="H29" s="376">
        <f>IFERROR(VLOOKUP(C29,'تقرير المصروفات حسب الشهر'!$C$512:$AD$620,2,FALSE),0)</f>
        <v>40610</v>
      </c>
      <c r="I29" s="513">
        <f>IFERROR(VLOOKUP(C29,'تقرير المصروفات حسب الشهر'!$C$637:$AD$746,2,FALSE),0)</f>
        <v>40610</v>
      </c>
      <c r="J29" s="376">
        <f>IFERROR(VLOOKUP(C29,'تقرير المصروفات حسب الشهر'!$C$763:$AD$872,2,FALSE),0)</f>
        <v>41900</v>
      </c>
      <c r="K29" s="376">
        <f>IFERROR(VLOOKUP(C29,'تقرير المصروفات حسب الشهر'!$C$889:$D$999,2,FALSE),0)</f>
        <v>41900</v>
      </c>
      <c r="L29" s="376">
        <f>IFERROR(VLOOKUP(C29,'تقرير المصروفات حسب الشهر'!$C$1016:$AD$1126,2,FALSE),0)</f>
        <v>43220</v>
      </c>
      <c r="M29" s="376">
        <f>IFERROR(VLOOKUP(C29,'تقرير المصروفات حسب الشهر'!$C$1143:$AD$1254,2,FALSE),0)</f>
        <v>41900</v>
      </c>
      <c r="N29" s="376">
        <f>IFERROR(VLOOKUP(C29,'تقرير المصروفات حسب الشهر'!$C$1270:$AD$1381,2,FALSE),0)</f>
        <v>43330</v>
      </c>
      <c r="O29" s="376">
        <f>IFERROR(VLOOKUP(C29,'تقرير المصروفات حسب الشهر'!$C$1397:$AI$1512,2,FALSE),0)</f>
        <v>43330</v>
      </c>
      <c r="P29" s="394">
        <f t="shared" si="5"/>
        <v>499240</v>
      </c>
    </row>
    <row r="30" spans="2:18" ht="18" customHeight="1">
      <c r="B30" s="124"/>
      <c r="C30" s="150" t="s">
        <v>156</v>
      </c>
      <c r="D30" s="376">
        <f>IFERROR(VLOOKUP(C30,'تقرير المصروفات حسب الشهر'!$C$10:$AD$119,2,FALSE),0)</f>
        <v>1255</v>
      </c>
      <c r="E30" s="376">
        <f>IFERROR(VLOOKUP(C30,'تقرير المصروفات حسب الشهر'!$C$135:$AD$252,2,FALSE),0)</f>
        <v>7710</v>
      </c>
      <c r="F30" s="376">
        <f>_xlfn.XLOOKUP(C30,'تقرير المصروفات حسب الشهر'!C269:C381,'تقرير المصروفات حسب الشهر'!D269:D381,0,0)</f>
        <v>3555.6</v>
      </c>
      <c r="G30" s="376">
        <f>IFERROR(VLOOKUP(C30,'تقرير المصروفات حسب الشهر'!$C$387:$AD$495,2,FALSE),0)</f>
        <v>9375</v>
      </c>
      <c r="H30" s="376">
        <f>IFERROR(VLOOKUP(C30,'تقرير المصروفات حسب الشهر'!$C$512:$AD$620,2,FALSE),0)</f>
        <v>2000</v>
      </c>
      <c r="I30" s="513">
        <f>IFERROR(VLOOKUP(C30,'تقرير المصروفات حسب الشهر'!$C$637:$AD$746,2,FALSE),0)</f>
        <v>8290.25</v>
      </c>
      <c r="J30" s="518">
        <f>IFERROR(VLOOKUP(C30,'تقرير المصروفات حسب الشهر'!$C$763:$AD$872,2,FALSE),0)</f>
        <v>1123</v>
      </c>
      <c r="K30" s="376">
        <f>IFERROR(VLOOKUP(C30,'تقرير المصروفات حسب الشهر'!$C$889:$D$999,2,FALSE),0)</f>
        <v>12220</v>
      </c>
      <c r="L30" s="376">
        <f>IFERROR(VLOOKUP(C30,'تقرير المصروفات حسب الشهر'!$C$1016:$AD$1126,2,FALSE),0)</f>
        <v>1000</v>
      </c>
      <c r="M30" s="376">
        <f>IFERROR(VLOOKUP(C30,'تقرير المصروفات حسب الشهر'!$C$1143:$AD$1254,2,FALSE),0)</f>
        <v>1000</v>
      </c>
      <c r="N30" s="376">
        <f>IFERROR(VLOOKUP(C30,'تقرير المصروفات حسب الشهر'!$C$1270:$AD$1381,2,FALSE),0)</f>
        <v>1650</v>
      </c>
      <c r="O30" s="376">
        <f>IFERROR(VLOOKUP(C30,'تقرير المصروفات حسب الشهر'!$C$1397:$AI$1512,2,FALSE),0)</f>
        <v>10375</v>
      </c>
      <c r="P30" s="394">
        <f t="shared" si="5"/>
        <v>59553.85</v>
      </c>
    </row>
    <row r="31" spans="2:18" ht="18" customHeight="1">
      <c r="B31" s="124"/>
      <c r="C31" s="150" t="s">
        <v>46</v>
      </c>
      <c r="D31" s="376">
        <f>IFERROR(VLOOKUP(C31,'تقرير المصروفات حسب الشهر'!$C$10:$AD$119,2,FALSE),0)</f>
        <v>11807.53</v>
      </c>
      <c r="E31" s="376">
        <f>IFERROR(VLOOKUP(C31,'تقرير المصروفات حسب الشهر'!$C$135:$AD$252,2,FALSE),0)</f>
        <v>15279.64</v>
      </c>
      <c r="F31" s="376">
        <f>_xlfn.XLOOKUP(C31,'تقرير المصروفات حسب الشهر'!C270:C382,'تقرير المصروفات حسب الشهر'!D270:D382,0,0)</f>
        <v>12903.64</v>
      </c>
      <c r="G31" s="376">
        <f>IFERROR(VLOOKUP(C31,'تقرير المصروفات حسب الشهر'!$C$387:$AD$495,2,FALSE),0)</f>
        <v>12719.11</v>
      </c>
      <c r="H31" s="376">
        <f>IFERROR(VLOOKUP(C31,'تقرير المصروفات حسب الشهر'!$C$512:$AD$620,2,FALSE),0)</f>
        <v>13043.11</v>
      </c>
      <c r="I31" s="515">
        <f>IFERROR(VLOOKUP(C31,'تقرير المصروفات حسب الشهر'!$C$637:$AD$746,2,FALSE),0)</f>
        <v>11919.11</v>
      </c>
      <c r="J31" s="376">
        <f>IFERROR(VLOOKUP(C31,'تقرير المصروفات حسب الشهر'!$C$763:$AD$872,2,FALSE),0)</f>
        <v>12253.64</v>
      </c>
      <c r="K31" s="376">
        <f>IFERROR(VLOOKUP(C31,'تقرير المصروفات حسب الشهر'!$C$889:$D$999,2,FALSE),0)</f>
        <v>12260.68</v>
      </c>
      <c r="L31" s="376">
        <f>IFERROR(VLOOKUP(C31,'تقرير المصروفات حسب الشهر'!$C$1016:$AD$1126,2,FALSE),0)</f>
        <v>12138.8</v>
      </c>
      <c r="M31" s="376">
        <f>IFERROR(VLOOKUP(C31,'تقرير المصروفات حسب الشهر'!$C$1143:$AD$1254,2,FALSE),0)</f>
        <v>12580.61</v>
      </c>
      <c r="N31" s="376">
        <f>IFERROR(VLOOKUP(C31,'تقرير المصروفات حسب الشهر'!$C$1270:$AD$1381,2,FALSE),0)</f>
        <v>12579.97</v>
      </c>
      <c r="O31" s="376">
        <f>IFERROR(VLOOKUP(C31,'تقرير المصروفات حسب الشهر'!$C$1397:$AI$1512,2,FALSE),0)</f>
        <v>18165.740000000002</v>
      </c>
      <c r="P31" s="394">
        <f t="shared" si="5"/>
        <v>157651.57999999999</v>
      </c>
    </row>
    <row r="32" spans="2:18" ht="18" customHeight="1">
      <c r="B32" s="124"/>
      <c r="C32" s="150" t="s">
        <v>47</v>
      </c>
      <c r="D32" s="376">
        <f>IFERROR(VLOOKUP(C32,'تقرير المصروفات حسب الشهر'!$C$10:$AD$119,2,FALSE),0)</f>
        <v>0</v>
      </c>
      <c r="E32" s="376">
        <f>IFERROR(VLOOKUP(C32,'تقرير المصروفات حسب الشهر'!$C$135:$AD$252,2,FALSE),0)</f>
        <v>0</v>
      </c>
      <c r="F32" s="376">
        <f>_xlfn.XLOOKUP(C32,'تقرير المصروفات حسب الشهر'!C271:C383,'تقرير المصروفات حسب الشهر'!D271:D383,0,0)</f>
        <v>0</v>
      </c>
      <c r="G32" s="376">
        <f>IFERROR(VLOOKUP(C32,'تقرير المصروفات حسب الشهر'!$C$387:$AD$495,2,FALSE),0)</f>
        <v>0</v>
      </c>
      <c r="H32" s="376">
        <f>IFERROR(VLOOKUP(C32,'تقرير المصروفات حسب الشهر'!$C$512:$AD$620,2,FALSE),0)</f>
        <v>0</v>
      </c>
      <c r="I32" s="376">
        <f>IFERROR(VLOOKUP(C32,'تقرير المصروفات حسب الشهر'!$C$637:$AD$746,2,FALSE),0)</f>
        <v>0</v>
      </c>
      <c r="J32" s="376">
        <f>IFERROR(VLOOKUP(C32,'تقرير المصروفات حسب الشهر'!$C$763:$AD$872,2,FALSE),0)</f>
        <v>275</v>
      </c>
      <c r="K32" s="376">
        <f>IFERROR(VLOOKUP(C32,'تقرير المصروفات حسب الشهر'!$C$889:$D$999,2,FALSE),0)</f>
        <v>0</v>
      </c>
      <c r="L32" s="376">
        <f>IFERROR(VLOOKUP(C32,'تقرير المصروفات حسب الشهر'!$C$1016:$AD$1126,2,FALSE),0)</f>
        <v>0</v>
      </c>
      <c r="M32" s="376">
        <f>IFERROR(VLOOKUP(C32,'تقرير المصروفات حسب الشهر'!$C$1143:$AD$1254,2,FALSE),0)</f>
        <v>0</v>
      </c>
      <c r="N32" s="376">
        <f>IFERROR(VLOOKUP(C32,'تقرير المصروفات حسب الشهر'!$C$1270:$AD$1381,2,FALSE),0)</f>
        <v>0</v>
      </c>
      <c r="O32" s="376">
        <f>IFERROR(VLOOKUP(C32,'تقرير المصروفات حسب الشهر'!$C$1397:$AI$1512,2,FALSE),0)</f>
        <v>0</v>
      </c>
      <c r="P32" s="394">
        <f t="shared" si="5"/>
        <v>275</v>
      </c>
    </row>
    <row r="33" spans="2:16" ht="18" customHeight="1">
      <c r="B33" s="124"/>
      <c r="C33" s="150" t="s">
        <v>48</v>
      </c>
      <c r="D33" s="376">
        <f>IFERROR(VLOOKUP(C33,'تقرير المصروفات حسب الشهر'!$C$10:$AD$119,2,FALSE),0)</f>
        <v>1000</v>
      </c>
      <c r="E33" s="376">
        <f>IFERROR(VLOOKUP(C33,'تقرير المصروفات حسب الشهر'!$C$135:$AD$252,2,FALSE),0)</f>
        <v>3715</v>
      </c>
      <c r="F33" s="376">
        <f>_xlfn.XLOOKUP(C33,'تقرير المصروفات حسب الشهر'!C272:C384,'تقرير المصروفات حسب الشهر'!D272:D384,0,0)</f>
        <v>1205</v>
      </c>
      <c r="G33" s="376">
        <f>IFERROR(VLOOKUP(C33,'تقرير المصروفات حسب الشهر'!$C$387:$AD$495,2,FALSE),0)</f>
        <v>1500</v>
      </c>
      <c r="H33" s="376">
        <f>IFERROR(VLOOKUP(C33,'تقرير المصروفات حسب الشهر'!$C$512:$AD$620,2,FALSE),0)</f>
        <v>13940</v>
      </c>
      <c r="I33" s="515">
        <f>IFERROR(VLOOKUP(C33,'تقرير المصروفات حسب الشهر'!$C$637:$AD$746,2,FALSE),0)</f>
        <v>4862.5</v>
      </c>
      <c r="J33" s="376">
        <f>IFERROR(VLOOKUP(C33,'تقرير المصروفات حسب الشهر'!$C$763:$AD$872,2,FALSE),0)</f>
        <v>26085</v>
      </c>
      <c r="K33" s="376">
        <f>IFERROR(VLOOKUP(C33,'تقرير المصروفات حسب الشهر'!$C$889:$D$999,2,FALSE),0)</f>
        <v>4698</v>
      </c>
      <c r="L33" s="376">
        <f>IFERROR(VLOOKUP(C33,'تقرير المصروفات حسب الشهر'!$C$1016:$AD$1126,2,FALSE),0)</f>
        <v>8555</v>
      </c>
      <c r="M33" s="376">
        <f>IFERROR(VLOOKUP(C33,'تقرير المصروفات حسب الشهر'!$C$1143:$AD$1254,2,FALSE),0)</f>
        <v>31872</v>
      </c>
      <c r="N33" s="376">
        <f>IFERROR(VLOOKUP(C33,'تقرير المصروفات حسب الشهر'!$C$1270:$AD$1381,2,FALSE),0)</f>
        <v>1900</v>
      </c>
      <c r="O33" s="376">
        <f>IFERROR(VLOOKUP(C33,'تقرير المصروفات حسب الشهر'!$C$1397:$AI$1512,2,FALSE),0)</f>
        <v>24851</v>
      </c>
      <c r="P33" s="394">
        <f t="shared" si="5"/>
        <v>124183.5</v>
      </c>
    </row>
    <row r="34" spans="2:16" ht="18" customHeight="1">
      <c r="B34" s="124"/>
      <c r="C34" s="150" t="s">
        <v>49</v>
      </c>
      <c r="D34" s="376">
        <f>IFERROR(VLOOKUP(C34,'تقرير المصروفات حسب الشهر'!$C$10:$AD$119,2,FALSE),0)</f>
        <v>5246.47</v>
      </c>
      <c r="E34" s="376">
        <f>IFERROR(VLOOKUP(C34,'تقرير المصروفات حسب الشهر'!$C$135:$AD$252,2,FALSE),0)</f>
        <v>20700</v>
      </c>
      <c r="F34" s="376">
        <f>_xlfn.XLOOKUP(C34,'تقرير المصروفات حسب الشهر'!C273:C385,'تقرير المصروفات حسب الشهر'!D273:D385,0,0)</f>
        <v>665</v>
      </c>
      <c r="G34" s="376">
        <f>IFERROR(VLOOKUP(C34,'تقرير المصروفات حسب الشهر'!$C$387:$AD$495,2,FALSE),0)</f>
        <v>118565</v>
      </c>
      <c r="H34" s="376">
        <f>IFERROR(VLOOKUP(C34,'تقرير المصروفات حسب الشهر'!$C$512:$AD$620,2,FALSE),0)</f>
        <v>7371</v>
      </c>
      <c r="I34" s="513">
        <f>IFERROR(VLOOKUP(C34,'تقرير المصروفات حسب الشهر'!$C$637:$AD$746,2,FALSE),0)</f>
        <v>7920</v>
      </c>
      <c r="J34" s="376">
        <f>IFERROR(VLOOKUP(C34,'تقرير المصروفات حسب الشهر'!$C$763:$AD$872,2,FALSE),0)</f>
        <v>5245</v>
      </c>
      <c r="K34" s="376">
        <f>IFERROR(VLOOKUP(C34,'تقرير المصروفات حسب الشهر'!$C$889:$D$999,2,FALSE),0)</f>
        <v>8733</v>
      </c>
      <c r="L34" s="376">
        <f>IFERROR(VLOOKUP(C34,'تقرير المصروفات حسب الشهر'!$C$1016:$AD$1126,2,FALSE),0)</f>
        <v>31783</v>
      </c>
      <c r="M34" s="376">
        <f>IFERROR(VLOOKUP(C34,'تقرير المصروفات حسب الشهر'!$C$1143:$AD$1254,2,FALSE),0)</f>
        <v>8707</v>
      </c>
      <c r="N34" s="376">
        <f>IFERROR(VLOOKUP(C34,'تقرير المصروفات حسب الشهر'!$C$1270:$AD$1381,2,FALSE),0)</f>
        <v>10290</v>
      </c>
      <c r="O34" s="376">
        <f>IFERROR(VLOOKUP(C34,'تقرير المصروفات حسب الشهر'!$C$1397:$AI$1512,2,FALSE),0)</f>
        <v>18790</v>
      </c>
      <c r="P34" s="394">
        <f t="shared" si="5"/>
        <v>244015.47</v>
      </c>
    </row>
    <row r="35" spans="2:16" ht="18" customHeight="1">
      <c r="B35" s="124"/>
      <c r="C35" s="150" t="s">
        <v>158</v>
      </c>
      <c r="D35" s="376">
        <f>IFERROR(VLOOKUP(C35,'تقرير المصروفات حسب الشهر'!$C$10:$AD$119,2,FALSE),0)</f>
        <v>2180</v>
      </c>
      <c r="E35" s="376">
        <f>IFERROR(VLOOKUP(C35,'تقرير المصروفات حسب الشهر'!$C$135:$AD$252,2,FALSE),0)</f>
        <v>1870</v>
      </c>
      <c r="F35" s="376">
        <f>_xlfn.XLOOKUP(C35,'تقرير المصروفات حسب الشهر'!C274:C386,'تقرير المصروفات حسب الشهر'!D274:D386,0,0)</f>
        <v>380</v>
      </c>
      <c r="G35" s="376">
        <f>IFERROR(VLOOKUP(C35,'تقرير المصروفات حسب الشهر'!$C$387:$AD$495,2,FALSE),0)</f>
        <v>595</v>
      </c>
      <c r="H35" s="376">
        <f>IFERROR(VLOOKUP(C35,'تقرير المصروفات حسب الشهر'!$C$512:$AD$620,2,FALSE),0)</f>
        <v>5645</v>
      </c>
      <c r="I35" s="515">
        <f>IFERROR(VLOOKUP(C35,'تقرير المصروفات حسب الشهر'!$C$637:$AD$746,2,FALSE),0)</f>
        <v>13798</v>
      </c>
      <c r="J35" s="376">
        <f>IFERROR(VLOOKUP(C35,'تقرير المصروفات حسب الشهر'!$C$763:$AD$872,2,FALSE),0)</f>
        <v>1268</v>
      </c>
      <c r="K35" s="376">
        <f>IFERROR(VLOOKUP(C35,'تقرير المصروفات حسب الشهر'!$C$889:$D$999,2,FALSE),0)</f>
        <v>34084</v>
      </c>
      <c r="L35" s="376">
        <f>IFERROR(VLOOKUP(C35,'تقرير المصروفات حسب الشهر'!$C$1016:$AD$1126,2,FALSE),0)</f>
        <v>460</v>
      </c>
      <c r="M35" s="376">
        <f>IFERROR(VLOOKUP(C35,'تقرير المصروفات حسب الشهر'!$C$1143:$AD$1254,2,FALSE),0)</f>
        <v>420</v>
      </c>
      <c r="N35" s="376">
        <f>IFERROR(VLOOKUP(C35,'تقرير المصروفات حسب الشهر'!$C$1270:$AD$1381,2,FALSE),0)</f>
        <v>17956</v>
      </c>
      <c r="O35" s="376">
        <f>IFERROR(VLOOKUP(C35,'تقرير المصروفات حسب الشهر'!$C$1397:$AI$1512,2,FALSE),0)</f>
        <v>9630</v>
      </c>
      <c r="P35" s="394">
        <f t="shared" si="5"/>
        <v>88286</v>
      </c>
    </row>
    <row r="36" spans="2:16" ht="18" customHeight="1">
      <c r="B36" s="124"/>
      <c r="C36" s="150" t="s">
        <v>50</v>
      </c>
      <c r="D36" s="376">
        <f>IFERROR(VLOOKUP(C36,'تقرير المصروفات حسب الشهر'!$C$10:$AD$119,2,FALSE),0)</f>
        <v>750</v>
      </c>
      <c r="E36" s="376">
        <f>IFERROR(VLOOKUP(C36,'تقرير المصروفات حسب الشهر'!$C$135:$AD$252,2,FALSE),0)</f>
        <v>0</v>
      </c>
      <c r="F36" s="376">
        <f>_xlfn.XLOOKUP(C36,'تقرير المصروفات حسب الشهر'!C275:C387,'تقرير المصروفات حسب الشهر'!D275:D387,0,0)</f>
        <v>4500</v>
      </c>
      <c r="G36" s="376">
        <f>IFERROR(VLOOKUP(C36,'تقرير المصروفات حسب الشهر'!$C$387:$AD$495,2,FALSE),0)</f>
        <v>6000</v>
      </c>
      <c r="H36" s="376">
        <f>IFERROR(VLOOKUP(C36,'تقرير المصروفات حسب الشهر'!$C$512:$AD$620,2,FALSE),0)</f>
        <v>0</v>
      </c>
      <c r="I36" s="515">
        <f>IFERROR(VLOOKUP(C36,'تقرير المصروفات حسب الشهر'!$C$637:$AD$746,2,FALSE),0)</f>
        <v>4710</v>
      </c>
      <c r="J36" s="376">
        <f>IFERROR(VLOOKUP(C36,'تقرير المصروفات حسب الشهر'!$C$763:$AD$872,2,FALSE),0)</f>
        <v>0</v>
      </c>
      <c r="K36" s="376">
        <f>IFERROR(VLOOKUP(C36,'تقرير المصروفات حسب الشهر'!$C$889:$D$999,2,FALSE),0)</f>
        <v>4620</v>
      </c>
      <c r="L36" s="376">
        <f>IFERROR(VLOOKUP(C36,'تقرير المصروفات حسب الشهر'!$C$1016:$AD$1126,2,FALSE),0)</f>
        <v>0</v>
      </c>
      <c r="M36" s="376">
        <f>IFERROR(VLOOKUP(C36,'تقرير المصروفات حسب الشهر'!$C$1143:$AD$1254,2,FALSE),0)</f>
        <v>4620</v>
      </c>
      <c r="N36" s="376">
        <f>IFERROR(VLOOKUP(C36,'تقرير المصروفات حسب الشهر'!$C$1270:$AD$1381,2,FALSE),0)</f>
        <v>0</v>
      </c>
      <c r="O36" s="376">
        <f>IFERROR(VLOOKUP(C36,'تقرير المصروفات حسب الشهر'!$C$1397:$AI$1512,2,FALSE),0)</f>
        <v>3080</v>
      </c>
      <c r="P36" s="394">
        <f t="shared" si="5"/>
        <v>28280</v>
      </c>
    </row>
    <row r="37" spans="2:16" ht="18" customHeight="1">
      <c r="B37" s="124"/>
      <c r="C37" s="150" t="s">
        <v>51</v>
      </c>
      <c r="D37" s="376">
        <f>IFERROR(VLOOKUP(C37,'تقرير المصروفات حسب الشهر'!$C$10:$AD$119,2,FALSE),0)</f>
        <v>0</v>
      </c>
      <c r="E37" s="376">
        <f>IFERROR(VLOOKUP(C37,'تقرير المصروفات حسب الشهر'!$C$135:$AD$252,2,FALSE),0)</f>
        <v>0</v>
      </c>
      <c r="F37" s="376">
        <f>_xlfn.XLOOKUP(C37,'تقرير المصروفات حسب الشهر'!C276:C388,'تقرير المصروفات حسب الشهر'!D276:D388,0,0)</f>
        <v>2250</v>
      </c>
      <c r="G37" s="376">
        <f>IFERROR(VLOOKUP(C37,'تقرير المصروفات حسب الشهر'!$C$387:$AD$495,2,FALSE),0)</f>
        <v>0</v>
      </c>
      <c r="H37" s="376">
        <f>IFERROR(VLOOKUP(C37,'تقرير المصروفات حسب الشهر'!$C$512:$AD$620,2,FALSE),0)</f>
        <v>0</v>
      </c>
      <c r="I37" s="376">
        <f>IFERROR(VLOOKUP(C37,'تقرير المصروفات حسب الشهر'!$C$637:$AD$746,2,FALSE),0)</f>
        <v>0</v>
      </c>
      <c r="J37" s="376">
        <f>IFERROR(VLOOKUP(C37,'تقرير المصروفات حسب الشهر'!$C$763:$AD$872,2,FALSE),0)</f>
        <v>0</v>
      </c>
      <c r="K37" s="376">
        <f>IFERROR(VLOOKUP(C37,'تقرير المصروفات حسب الشهر'!$C$889:$D$999,2,FALSE),0)</f>
        <v>0</v>
      </c>
      <c r="L37" s="376">
        <f>IFERROR(VLOOKUP(C37,'تقرير المصروفات حسب الشهر'!$C$1016:$AD$1126,2,FALSE),0)</f>
        <v>0</v>
      </c>
      <c r="M37" s="376">
        <f>IFERROR(VLOOKUP(C37,'تقرير المصروفات حسب الشهر'!$C$1143:$AD$1254,2,FALSE),0)</f>
        <v>0</v>
      </c>
      <c r="N37" s="376">
        <f>IFERROR(VLOOKUP(C37,'تقرير المصروفات حسب الشهر'!$C$1270:$AD$1381,2,FALSE),0)</f>
        <v>0</v>
      </c>
      <c r="O37" s="376">
        <f>IFERROR(VLOOKUP(C37,'تقرير المصروفات حسب الشهر'!$C$1397:$AI$1512,2,FALSE),0)</f>
        <v>0</v>
      </c>
      <c r="P37" s="394">
        <f t="shared" si="5"/>
        <v>2250</v>
      </c>
    </row>
    <row r="38" spans="2:16" ht="18" customHeight="1">
      <c r="B38" s="124"/>
      <c r="C38" s="150" t="s">
        <v>52</v>
      </c>
      <c r="D38" s="376">
        <f>IFERROR(VLOOKUP(C38,'تقرير المصروفات حسب الشهر'!$C$10:$AD$119,2,FALSE),0)</f>
        <v>0</v>
      </c>
      <c r="E38" s="376">
        <f>IFERROR(VLOOKUP(C38,'تقرير المصروفات حسب الشهر'!$C$135:$AD$252,2,FALSE),0)</f>
        <v>0</v>
      </c>
      <c r="F38" s="376">
        <f>_xlfn.XLOOKUP(C38,'تقرير المصروفات حسب الشهر'!C277:C389,'تقرير المصروفات حسب الشهر'!D277:D389,0,0)</f>
        <v>0</v>
      </c>
      <c r="G38" s="376">
        <f>IFERROR(VLOOKUP(C38,'تقرير المصروفات حسب الشهر'!$C$387:$AD$495,2,FALSE),0)</f>
        <v>0</v>
      </c>
      <c r="H38" s="376">
        <f>IFERROR(VLOOKUP(C38,'تقرير المصروفات حسب الشهر'!$C$512:$AD$620,2,FALSE),0)</f>
        <v>0</v>
      </c>
      <c r="I38" s="376">
        <f>IFERROR(VLOOKUP(C38,'تقرير المصروفات حسب الشهر'!$C$637:$AD$746,2,FALSE),0)</f>
        <v>0</v>
      </c>
      <c r="J38" s="376">
        <f>IFERROR(VLOOKUP(C38,'تقرير المصروفات حسب الشهر'!$C$763:$AD$872,2,FALSE),0)</f>
        <v>0</v>
      </c>
      <c r="K38" s="376">
        <f>IFERROR(VLOOKUP(C38,'تقرير المصروفات حسب الشهر'!$C$889:$D$999,2,FALSE),0)</f>
        <v>0</v>
      </c>
      <c r="L38" s="376">
        <f>IFERROR(VLOOKUP(C38,'تقرير المصروفات حسب الشهر'!$C$1016:$AD$1126,2,FALSE),0)</f>
        <v>0</v>
      </c>
      <c r="M38" s="376">
        <f>IFERROR(VLOOKUP(C38,'تقرير المصروفات حسب الشهر'!$C$1143:$AD$1254,2,FALSE),0)</f>
        <v>0</v>
      </c>
      <c r="N38" s="376">
        <f>IFERROR(VLOOKUP(C38,'تقرير المصروفات حسب الشهر'!$C$1270:$AD$1381,2,FALSE),0)</f>
        <v>0</v>
      </c>
      <c r="O38" s="376">
        <f>IFERROR(VLOOKUP(C38,'تقرير المصروفات حسب الشهر'!$C$1397:$AI$1512,2,FALSE),0)</f>
        <v>0</v>
      </c>
      <c r="P38" s="394">
        <f t="shared" si="5"/>
        <v>0</v>
      </c>
    </row>
    <row r="39" spans="2:16" ht="18" customHeight="1">
      <c r="B39" s="124"/>
      <c r="C39" s="150" t="s">
        <v>174</v>
      </c>
      <c r="D39" s="376">
        <f>IFERROR(VLOOKUP(C39,'تقرير المصروفات حسب الشهر'!$C$10:$AD$119,2,FALSE),0)</f>
        <v>410</v>
      </c>
      <c r="E39" s="376">
        <f>IFERROR(VLOOKUP(C39,'تقرير المصروفات حسب الشهر'!$C$135:$AD$252,2,FALSE),0)</f>
        <v>6110</v>
      </c>
      <c r="F39" s="376">
        <f>_xlfn.XLOOKUP(C39,'تقرير المصروفات حسب الشهر'!C278:C390,'تقرير المصروفات حسب الشهر'!D278:D390,0,0)</f>
        <v>0</v>
      </c>
      <c r="G39" s="376">
        <f>IFERROR(VLOOKUP(C39,'تقرير المصروفات حسب الشهر'!$C$387:$AD$495,2,FALSE),0)</f>
        <v>793</v>
      </c>
      <c r="H39" s="376">
        <f>IFERROR(VLOOKUP(C39,'تقرير المصروفات حسب الشهر'!$C$512:$AD$620,2,FALSE),0)</f>
        <v>820</v>
      </c>
      <c r="I39" s="376">
        <f>IFERROR(VLOOKUP(C39,'تقرير المصروفات حسب الشهر'!$C$637:$AD$746,2,FALSE),0)</f>
        <v>0</v>
      </c>
      <c r="J39" s="376">
        <f>IFERROR(VLOOKUP(C39,'تقرير المصروفات حسب الشهر'!$C$763:$AD$872,2,FALSE),0)</f>
        <v>10000</v>
      </c>
      <c r="K39" s="376">
        <f>IFERROR(VLOOKUP(C39,'تقرير المصروفات حسب الشهر'!$C$889:$D$999,2,FALSE),0)</f>
        <v>9420</v>
      </c>
      <c r="L39" s="376">
        <f>IFERROR(VLOOKUP(C39,'تقرير المصروفات حسب الشهر'!$C$1016:$AD$1126,2,FALSE),0)</f>
        <v>1100</v>
      </c>
      <c r="M39" s="376">
        <f>IFERROR(VLOOKUP(C39,'تقرير المصروفات حسب الشهر'!$C$1143:$AD$1254,2,FALSE),0)</f>
        <v>1700</v>
      </c>
      <c r="N39" s="376">
        <f>IFERROR(VLOOKUP(C39,'تقرير المصروفات حسب الشهر'!$C$1270:$AD$1381,2,FALSE),0)</f>
        <v>250</v>
      </c>
      <c r="O39" s="376">
        <f>IFERROR(VLOOKUP(C39,'تقرير المصروفات حسب الشهر'!$C$1397:$AI$1512,2,FALSE),0)</f>
        <v>300</v>
      </c>
      <c r="P39" s="394">
        <f t="shared" si="5"/>
        <v>30903</v>
      </c>
    </row>
    <row r="40" spans="2:16" ht="18" customHeight="1">
      <c r="B40" s="124"/>
      <c r="C40" s="150" t="s">
        <v>53</v>
      </c>
      <c r="D40" s="376">
        <f>IFERROR(VLOOKUP(C40,'تقرير المصروفات حسب الشهر'!$C$10:$AD$119,2,FALSE),0)</f>
        <v>4400</v>
      </c>
      <c r="E40" s="376">
        <f>IFERROR(VLOOKUP(C40,'تقرير المصروفات حسب الشهر'!$C$135:$AD$252,2,FALSE),0)</f>
        <v>19050</v>
      </c>
      <c r="F40" s="376">
        <f>_xlfn.XLOOKUP(C40,'تقرير المصروفات حسب الشهر'!C279:C391,'تقرير المصروفات حسب الشهر'!D279:D391,0,0)</f>
        <v>9620</v>
      </c>
      <c r="G40" s="376">
        <f>IFERROR(VLOOKUP(C40,'تقرير المصروفات حسب الشهر'!$C$387:$AD$495,2,FALSE),0)</f>
        <v>4250</v>
      </c>
      <c r="H40" s="376">
        <f>IFERROR(VLOOKUP(C40,'تقرير المصروفات حسب الشهر'!$C$512:$AD$620,2,FALSE),0)</f>
        <v>10825</v>
      </c>
      <c r="I40" s="513">
        <f>IFERROR(VLOOKUP(C40,'تقرير المصروفات حسب الشهر'!$C$637:$AD$746,2,FALSE),0)</f>
        <v>22287</v>
      </c>
      <c r="J40" s="376">
        <f>IFERROR(VLOOKUP(C40,'تقرير المصروفات حسب الشهر'!$C$763:$AD$872,2,FALSE),0)</f>
        <v>18352</v>
      </c>
      <c r="K40" s="376">
        <f>IFERROR(VLOOKUP(C40,'تقرير المصروفات حسب الشهر'!$C$889:$D$999,2,FALSE),0)</f>
        <v>16516</v>
      </c>
      <c r="L40" s="376">
        <f>IFERROR(VLOOKUP(C40,'تقرير المصروفات حسب الشهر'!$C$1016:$AD$1126,2,FALSE),0)</f>
        <v>48200</v>
      </c>
      <c r="M40" s="376">
        <f>IFERROR(VLOOKUP(C40,'تقرير المصروفات حسب الشهر'!$C$1143:$AD$1254,2,FALSE),0)</f>
        <v>3500</v>
      </c>
      <c r="N40" s="376">
        <f>IFERROR(VLOOKUP(C40,'تقرير المصروفات حسب الشهر'!$C$1270:$AD$1381,2,FALSE),0)</f>
        <v>5270</v>
      </c>
      <c r="O40" s="376">
        <f>IFERROR(VLOOKUP(C40,'تقرير المصروفات حسب الشهر'!$C$1397:$AI$1512,2,FALSE),0)</f>
        <v>20406.75</v>
      </c>
      <c r="P40" s="394">
        <f t="shared" si="5"/>
        <v>182676.75</v>
      </c>
    </row>
    <row r="41" spans="2:16" ht="18" customHeight="1">
      <c r="B41" s="124"/>
      <c r="C41" s="150" t="s">
        <v>191</v>
      </c>
      <c r="D41" s="376">
        <f>IFERROR(VLOOKUP(C41,'تقرير المصروفات حسب الشهر'!$C$10:$AD$119,2,FALSE),0)</f>
        <v>54790.58</v>
      </c>
      <c r="E41" s="376">
        <f>IFERROR(VLOOKUP(C41,'تقرير المصروفات حسب الشهر'!$C$135:$AD$252,2,FALSE),0)</f>
        <v>49802.65</v>
      </c>
      <c r="F41" s="376">
        <f>_xlfn.XLOOKUP(C41,'تقرير المصروفات حسب الشهر'!C280:C392,'تقرير المصروفات حسب الشهر'!D280:D392,0,0)</f>
        <v>241186.75</v>
      </c>
      <c r="G41" s="376">
        <f>IFERROR(VLOOKUP(C41,'تقرير المصروفات حسب الشهر'!$C$387:$AD$495,2,FALSE),0)</f>
        <v>36373.919999999998</v>
      </c>
      <c r="H41" s="376">
        <f>IFERROR(VLOOKUP(C41,'تقرير المصروفات حسب الشهر'!$C$512:$AD$620,2,FALSE),0)</f>
        <v>53615</v>
      </c>
      <c r="I41" s="515">
        <f>IFERROR(VLOOKUP(C41,'تقرير المصروفات حسب الشهر'!$C$637:$AD$746,2,FALSE),0)</f>
        <v>65345.5</v>
      </c>
      <c r="J41" s="376">
        <f>IFERROR(VLOOKUP(C41,'تقرير المصروفات حسب الشهر'!$C$763:$AD$872,2,FALSE),0)</f>
        <v>61995.77</v>
      </c>
      <c r="K41" s="376">
        <f>IFERROR(VLOOKUP(C41,'تقرير المصروفات حسب الشهر'!$C$889:$D$999,2,FALSE),0)</f>
        <v>70347.5</v>
      </c>
      <c r="L41" s="376">
        <f>IFERROR(VLOOKUP(C41,'تقرير المصروفات حسب الشهر'!$C$1016:$AD$1126,2,FALSE),0)</f>
        <v>112535.73</v>
      </c>
      <c r="M41" s="376">
        <f>IFERROR(VLOOKUP(C41,'تقرير المصروفات حسب الشهر'!$C$1143:$AD$1254,2,FALSE),0)</f>
        <v>44384.25</v>
      </c>
      <c r="N41" s="376">
        <f>IFERROR(VLOOKUP(C41,'تقرير المصروفات حسب الشهر'!$C$1270:$AD$1381,2,FALSE),0)</f>
        <v>51427.37</v>
      </c>
      <c r="O41" s="376">
        <f>IFERROR(VLOOKUP(C41,'تقرير المصروفات حسب الشهر'!$C$1397:$AI$1512,2,FALSE),0)</f>
        <v>38436.339999999997</v>
      </c>
      <c r="P41" s="394">
        <f t="shared" si="5"/>
        <v>880241.35999999987</v>
      </c>
    </row>
    <row r="42" spans="2:16" ht="18" customHeight="1">
      <c r="B42" s="124"/>
      <c r="C42" s="150" t="s">
        <v>29</v>
      </c>
      <c r="D42" s="376">
        <f>IFERROR(VLOOKUP(C42,'تقرير المصروفات حسب الشهر'!$C$10:$AD$119,2,FALSE),0)</f>
        <v>0</v>
      </c>
      <c r="E42" s="376">
        <f>IFERROR(VLOOKUP(C42,'تقرير المصروفات حسب الشهر'!$C$135:$AD$252,2,FALSE),0)</f>
        <v>35</v>
      </c>
      <c r="F42" s="376">
        <f>_xlfn.XLOOKUP(C42,'تقرير المصروفات حسب الشهر'!C281:C393,'تقرير المصروفات حسب الشهر'!D281:D393,0,0)</f>
        <v>0</v>
      </c>
      <c r="G42" s="376">
        <f>IFERROR(VLOOKUP(C42,'تقرير المصروفات حسب الشهر'!$C$387:$AD$495,2,FALSE),0)</f>
        <v>231</v>
      </c>
      <c r="H42" s="376">
        <f>IFERROR(VLOOKUP(C42,'تقرير المصروفات حسب الشهر'!$C$512:$AD$620,2,FALSE),0)</f>
        <v>30</v>
      </c>
      <c r="I42" s="515">
        <f>IFERROR(VLOOKUP(C42,'تقرير المصروفات حسب الشهر'!$C$637:$AD$746,2,FALSE),0)</f>
        <v>35</v>
      </c>
      <c r="J42" s="376">
        <f>IFERROR(VLOOKUP(C42,'تقرير المصروفات حسب الشهر'!$C$763:$AD$872,2,FALSE),0)</f>
        <v>232</v>
      </c>
      <c r="K42" s="376">
        <f>IFERROR(VLOOKUP(C42,'تقرير المصروفات حسب الشهر'!$C$889:$D$999,2,FALSE),0)</f>
        <v>0</v>
      </c>
      <c r="L42" s="376">
        <f>IFERROR(VLOOKUP(C42,'تقرير المصروفات حسب الشهر'!$C$1016:$AD$1126,2,FALSE),0)</f>
        <v>185</v>
      </c>
      <c r="M42" s="376">
        <f>IFERROR(VLOOKUP(C42,'تقرير المصروفات حسب الشهر'!$C$1143:$AD$1254,2,FALSE),0)</f>
        <v>55</v>
      </c>
      <c r="N42" s="376">
        <f>IFERROR(VLOOKUP(C42,'تقرير المصروفات حسب الشهر'!$C$1270:$AD$1381,2,FALSE),0)</f>
        <v>0</v>
      </c>
      <c r="O42" s="376">
        <f>IFERROR(VLOOKUP(C42,'تقرير المصروفات حسب الشهر'!$C$1397:$AI$1512,2,FALSE),0)</f>
        <v>30</v>
      </c>
      <c r="P42" s="394">
        <f t="shared" si="5"/>
        <v>833</v>
      </c>
    </row>
    <row r="43" spans="2:16" ht="18" customHeight="1">
      <c r="B43" s="124"/>
      <c r="C43" s="150" t="s">
        <v>54</v>
      </c>
      <c r="D43" s="376">
        <f>IFERROR(VLOOKUP(C43,'تقرير المصروفات حسب الشهر'!$C$10:$AD$119,2,FALSE),0)</f>
        <v>0</v>
      </c>
      <c r="E43" s="376">
        <f>IFERROR(VLOOKUP(C43,'تقرير المصروفات حسب الشهر'!$C$135:$AD$252,2,FALSE),0)</f>
        <v>0</v>
      </c>
      <c r="F43" s="376">
        <f>_xlfn.XLOOKUP(C43,'تقرير المصروفات حسب الشهر'!C282:C394,'تقرير المصروفات حسب الشهر'!D282:D394,0,0)</f>
        <v>0</v>
      </c>
      <c r="G43" s="376">
        <f>IFERROR(VLOOKUP(C43,'تقرير المصروفات حسب الشهر'!$C$387:$AD$495,2,FALSE),0)</f>
        <v>0</v>
      </c>
      <c r="H43" s="376">
        <f>IFERROR(VLOOKUP(C43,'تقرير المصروفات حسب الشهر'!$C$512:$AD$620,2,FALSE),0)</f>
        <v>0</v>
      </c>
      <c r="I43" s="376">
        <f>IFERROR(VLOOKUP(C43,'تقرير المصروفات حسب الشهر'!$C$637:$AD$746,2,FALSE),0)</f>
        <v>0</v>
      </c>
      <c r="J43" s="376">
        <f>IFERROR(VLOOKUP(C43,'تقرير المصروفات حسب الشهر'!$C$763:$AD$872,2,FALSE),0)</f>
        <v>0</v>
      </c>
      <c r="K43" s="376">
        <f>IFERROR(VLOOKUP(C43,'تقرير المصروفات حسب الشهر'!$C$889:$D$999,2,FALSE),0)</f>
        <v>0</v>
      </c>
      <c r="L43" s="376">
        <f>IFERROR(VLOOKUP(C43,'تقرير المصروفات حسب الشهر'!$C$1016:$AD$1126,2,FALSE),0)</f>
        <v>0</v>
      </c>
      <c r="M43" s="376">
        <f>IFERROR(VLOOKUP(C43,'تقرير المصروفات حسب الشهر'!$C$1143:$AD$1254,2,FALSE),0)</f>
        <v>0</v>
      </c>
      <c r="N43" s="376">
        <f>IFERROR(VLOOKUP(C43,'تقرير المصروفات حسب الشهر'!$C$1270:$AD$1381,2,FALSE),0)</f>
        <v>0</v>
      </c>
      <c r="O43" s="376">
        <f>IFERROR(VLOOKUP(C43,'تقرير المصروفات حسب الشهر'!$C$1397:$AI$1512,2,FALSE),0)</f>
        <v>0</v>
      </c>
      <c r="P43" s="394">
        <f t="shared" si="5"/>
        <v>0</v>
      </c>
    </row>
    <row r="44" spans="2:16" ht="18" customHeight="1">
      <c r="B44" s="124"/>
      <c r="C44" s="150" t="s">
        <v>31</v>
      </c>
      <c r="D44" s="376">
        <f>IFERROR(VLOOKUP(C44,'تقرير المصروفات حسب الشهر'!$C$10:$AD$119,2,FALSE),0)</f>
        <v>1203</v>
      </c>
      <c r="E44" s="376">
        <f>IFERROR(VLOOKUP(C44,'تقرير المصروفات حسب الشهر'!$C$135:$AD$252,2,FALSE),0)</f>
        <v>979</v>
      </c>
      <c r="F44" s="376">
        <f>_xlfn.XLOOKUP(C44,'تقرير المصروفات حسب الشهر'!C283:C395,'تقرير المصروفات حسب الشهر'!D283:D395,0,0)</f>
        <v>702</v>
      </c>
      <c r="G44" s="376">
        <f>IFERROR(VLOOKUP(C44,'تقرير المصروفات حسب الشهر'!$C$387:$AD$495,2,FALSE),0)</f>
        <v>1240</v>
      </c>
      <c r="H44" s="376">
        <f>IFERROR(VLOOKUP(C44,'تقرير المصروفات حسب الشهر'!$C$512:$AD$620,2,FALSE),0)</f>
        <v>482</v>
      </c>
      <c r="I44" s="515">
        <f>IFERROR(VLOOKUP(C44,'تقرير المصروفات حسب الشهر'!$C$637:$AD$746,2,FALSE),0)</f>
        <v>550</v>
      </c>
      <c r="J44" s="376">
        <f>IFERROR(VLOOKUP(C44,'تقرير المصروفات حسب الشهر'!$C$763:$AD$872,2,FALSE),0)</f>
        <v>850</v>
      </c>
      <c r="K44" s="376">
        <f>IFERROR(VLOOKUP(C44,'تقرير المصروفات حسب الشهر'!$C$889:$D$999,2,FALSE),0)</f>
        <v>321</v>
      </c>
      <c r="L44" s="376">
        <f>IFERROR(VLOOKUP(C44,'تقرير المصروفات حسب الشهر'!$C$1016:$AD$1126,2,FALSE),0)</f>
        <v>1540.41</v>
      </c>
      <c r="M44" s="376">
        <f>IFERROR(VLOOKUP(C44,'تقرير المصروفات حسب الشهر'!$C$1143:$AD$1254,2,FALSE),0)</f>
        <v>638</v>
      </c>
      <c r="N44" s="376">
        <f>IFERROR(VLOOKUP(C44,'تقرير المصروفات حسب الشهر'!$C$1270:$AD$1381,2,FALSE),0)</f>
        <v>625</v>
      </c>
      <c r="O44" s="376">
        <f>IFERROR(VLOOKUP(C44,'تقرير المصروفات حسب الشهر'!$C$1397:$AI$1512,2,FALSE),0)</f>
        <v>470</v>
      </c>
      <c r="P44" s="394">
        <f t="shared" si="5"/>
        <v>9600.41</v>
      </c>
    </row>
    <row r="45" spans="2:16" ht="18" customHeight="1">
      <c r="B45" s="124"/>
      <c r="C45" s="150" t="s">
        <v>55</v>
      </c>
      <c r="D45" s="376">
        <f>IFERROR(VLOOKUP(C45,'تقرير المصروفات حسب الشهر'!$C$10:$AD$119,2,FALSE),0)</f>
        <v>100</v>
      </c>
      <c r="E45" s="376">
        <f>IFERROR(VLOOKUP(C45,'تقرير المصروفات حسب الشهر'!$C$135:$AD$252,2,FALSE),0)</f>
        <v>100</v>
      </c>
      <c r="F45" s="376">
        <f>_xlfn.XLOOKUP(C45,'تقرير المصروفات حسب الشهر'!C284:C396,'تقرير المصروفات حسب الشهر'!D284:D396,0,0)</f>
        <v>100</v>
      </c>
      <c r="G45" s="376">
        <f>IFERROR(VLOOKUP(C45,'تقرير المصروفات حسب الشهر'!$C$387:$AD$495,2,FALSE),0)</f>
        <v>0</v>
      </c>
      <c r="H45" s="376">
        <f>IFERROR(VLOOKUP(C45,'تقرير المصروفات حسب الشهر'!$C$512:$AD$620,2,FALSE),0)</f>
        <v>0</v>
      </c>
      <c r="I45" s="376">
        <f>IFERROR(VLOOKUP(C45,'تقرير المصروفات حسب الشهر'!$C$637:$AD$746,2,FALSE),0)</f>
        <v>0</v>
      </c>
      <c r="J45" s="376">
        <f>IFERROR(VLOOKUP(C45,'تقرير المصروفات حسب الشهر'!$C$763:$AD$872,2,FALSE),0)</f>
        <v>155</v>
      </c>
      <c r="K45" s="376">
        <f>IFERROR(VLOOKUP(C45,'تقرير المصروفات حسب الشهر'!$C$889:$D$999,2,FALSE),0)</f>
        <v>100</v>
      </c>
      <c r="L45" s="376">
        <f>IFERROR(VLOOKUP(C45,'تقرير المصروفات حسب الشهر'!$C$1016:$AD$1126,2,FALSE),0)</f>
        <v>165</v>
      </c>
      <c r="M45" s="376">
        <f>IFERROR(VLOOKUP(C45,'تقرير المصروفات حسب الشهر'!$C$1143:$AD$1254,2,FALSE),0)</f>
        <v>100</v>
      </c>
      <c r="N45" s="376">
        <f>IFERROR(VLOOKUP(C45,'تقرير المصروفات حسب الشهر'!$C$1270:$AD$1381,2,FALSE),0)</f>
        <v>0</v>
      </c>
      <c r="O45" s="376">
        <f>IFERROR(VLOOKUP(C45,'تقرير المصروفات حسب الشهر'!$C$1397:$AI$1512,2,FALSE),0)</f>
        <v>100</v>
      </c>
      <c r="P45" s="394">
        <f t="shared" si="5"/>
        <v>920</v>
      </c>
    </row>
    <row r="46" spans="2:16" ht="18" customHeight="1">
      <c r="B46" s="124"/>
      <c r="C46" s="150" t="s">
        <v>56</v>
      </c>
      <c r="D46" s="376">
        <f>IFERROR(VLOOKUP(C46,'تقرير المصروفات حسب الشهر'!$C$10:$AD$119,2,FALSE),0)</f>
        <v>393.97</v>
      </c>
      <c r="E46" s="376">
        <f>IFERROR(VLOOKUP(C46,'تقرير المصروفات حسب الشهر'!$C$135:$AD$252,2,FALSE),0)</f>
        <v>393.97</v>
      </c>
      <c r="F46" s="376">
        <f>_xlfn.XLOOKUP(C46,'تقرير المصروفات حسب الشهر'!C285:C397,'تقرير المصروفات حسب الشهر'!D285:D397,0,0)</f>
        <v>393.97</v>
      </c>
      <c r="G46" s="376">
        <f>IFERROR(VLOOKUP(C46,'تقرير المصروفات حسب الشهر'!$C$387:$AD$495,2,FALSE),0)</f>
        <v>393.97</v>
      </c>
      <c r="H46" s="376">
        <f>IFERROR(VLOOKUP(C46,'تقرير المصروفات حسب الشهر'!$C$512:$AD$620,2,FALSE),0)</f>
        <v>393.97</v>
      </c>
      <c r="I46" s="513">
        <f>IFERROR(VLOOKUP(C46,'تقرير المصروفات حسب الشهر'!$C$637:$AD$746,2,FALSE),0)</f>
        <v>393.97</v>
      </c>
      <c r="J46" s="376">
        <f>IFERROR(VLOOKUP(C46,'تقرير المصروفات حسب الشهر'!$C$763:$AD$872,2,FALSE),0)</f>
        <v>393.97</v>
      </c>
      <c r="K46" s="376">
        <f>IFERROR(VLOOKUP(C46,'تقرير المصروفات حسب الشهر'!$C$889:$D$999,2,FALSE),0)</f>
        <v>393.97</v>
      </c>
      <c r="L46" s="376">
        <f>IFERROR(VLOOKUP(C46,'تقرير المصروفات حسب الشهر'!$C$1016:$AD$1126,2,FALSE),0)</f>
        <v>393.97</v>
      </c>
      <c r="M46" s="376">
        <f>IFERROR(VLOOKUP(C46,'تقرير المصروفات حسب الشهر'!$C$1143:$AD$1254,2,FALSE),0)</f>
        <v>393.97</v>
      </c>
      <c r="N46" s="376">
        <f>IFERROR(VLOOKUP(C46,'تقرير المصروفات حسب الشهر'!$C$1270:$AD$1381,2,FALSE),0)</f>
        <v>393.97</v>
      </c>
      <c r="O46" s="376">
        <f>IFERROR(VLOOKUP(C46,'تقرير المصروفات حسب الشهر'!$C$1397:$AI$1512,2,FALSE),0)</f>
        <v>393.97</v>
      </c>
      <c r="P46" s="394">
        <f t="shared" si="5"/>
        <v>4727.6400000000012</v>
      </c>
    </row>
    <row r="47" spans="2:16" ht="18" customHeight="1">
      <c r="B47" s="124"/>
      <c r="C47" s="150" t="s">
        <v>57</v>
      </c>
      <c r="D47" s="376">
        <f>IFERROR(VLOOKUP(C47,'تقرير المصروفات حسب الشهر'!$C$10:$AD$119,2,FALSE),0)</f>
        <v>0</v>
      </c>
      <c r="E47" s="376">
        <f>IFERROR(VLOOKUP(C47,'تقرير المصروفات حسب الشهر'!$C$135:$AD$252,2,FALSE),0)</f>
        <v>0</v>
      </c>
      <c r="F47" s="376">
        <f>_xlfn.XLOOKUP(C47,'تقرير المصروفات حسب الشهر'!C286:C398,'تقرير المصروفات حسب الشهر'!D286:D398,0,0)</f>
        <v>0</v>
      </c>
      <c r="G47" s="376">
        <f>IFERROR(VLOOKUP(C47,'تقرير المصروفات حسب الشهر'!$C$387:$AD$495,2,FALSE),0)</f>
        <v>6800</v>
      </c>
      <c r="H47" s="376">
        <f>IFERROR(VLOOKUP(C47,'تقرير المصروفات حسب الشهر'!$C$512:$AD$620,2,FALSE),0)</f>
        <v>2800</v>
      </c>
      <c r="I47" s="513">
        <f>IFERROR(VLOOKUP(C47,'تقرير المصروفات حسب الشهر'!$C$637:$AD$746,2,FALSE),0)</f>
        <v>2100</v>
      </c>
      <c r="J47" s="376">
        <f>IFERROR(VLOOKUP(C47,'تقرير المصروفات حسب الشهر'!$C$763:$AD$872,2,FALSE),0)</f>
        <v>2600</v>
      </c>
      <c r="K47" s="376">
        <f>IFERROR(VLOOKUP(C47,'تقرير المصروفات حسب الشهر'!$C$889:$D$999,2,FALSE),0)</f>
        <v>1950</v>
      </c>
      <c r="L47" s="376">
        <f>IFERROR(VLOOKUP(C47,'تقرير المصروفات حسب الشهر'!$C$1016:$AD$1126,2,FALSE),0)</f>
        <v>0</v>
      </c>
      <c r="M47" s="376">
        <f>IFERROR(VLOOKUP(C47,'تقرير المصروفات حسب الشهر'!$C$1143:$AD$1254,2,FALSE),0)</f>
        <v>4050</v>
      </c>
      <c r="N47" s="376">
        <f>IFERROR(VLOOKUP(C47,'تقرير المصروفات حسب الشهر'!$C$1270:$AD$1381,2,FALSE),0)</f>
        <v>2100</v>
      </c>
      <c r="O47" s="376">
        <f>IFERROR(VLOOKUP(C47,'تقرير المصروفات حسب الشهر'!$C$1397:$AI$1512,2,FALSE),0)</f>
        <v>0</v>
      </c>
      <c r="P47" s="394">
        <f t="shared" si="5"/>
        <v>22400</v>
      </c>
    </row>
    <row r="48" spans="2:16" ht="18" customHeight="1">
      <c r="B48" s="124"/>
      <c r="C48" s="150" t="s">
        <v>58</v>
      </c>
      <c r="D48" s="376">
        <f>IFERROR(VLOOKUP(C48,'تقرير المصروفات حسب الشهر'!$C$10:$AD$119,2,FALSE),0)</f>
        <v>4005</v>
      </c>
      <c r="E48" s="376">
        <f>IFERROR(VLOOKUP(C48,'تقرير المصروفات حسب الشهر'!$C$135:$AD$252,2,FALSE),0)</f>
        <v>255</v>
      </c>
      <c r="F48" s="376">
        <f>_xlfn.XLOOKUP(C48,'تقرير المصروفات حسب الشهر'!C287:C399,'تقرير المصروفات حسب الشهر'!D287:D399,0,0)</f>
        <v>370</v>
      </c>
      <c r="G48" s="376">
        <f>IFERROR(VLOOKUP(C48,'تقرير المصروفات حسب الشهر'!$C$387:$AD$495,2,FALSE),0)</f>
        <v>0</v>
      </c>
      <c r="H48" s="376">
        <f>IFERROR(VLOOKUP(C48,'تقرير المصروفات حسب الشهر'!$C$512:$AD$620,2,FALSE),0)</f>
        <v>0</v>
      </c>
      <c r="I48" s="376">
        <f>IFERROR(VLOOKUP(C48,'تقرير المصروفات حسب الشهر'!$C$637:$AD$746,2,FALSE),0)</f>
        <v>0</v>
      </c>
      <c r="J48" s="376">
        <f>IFERROR(VLOOKUP(C48,'تقرير المصروفات حسب الشهر'!$C$763:$AD$872,2,FALSE),0)</f>
        <v>1425</v>
      </c>
      <c r="K48" s="376">
        <f>IFERROR(VLOOKUP(C48,'تقرير المصروفات حسب الشهر'!$C$889:$D$999,2,FALSE),0)</f>
        <v>0</v>
      </c>
      <c r="L48" s="376">
        <f>IFERROR(VLOOKUP(C48,'تقرير المصروفات حسب الشهر'!$C$1016:$AD$1126,2,FALSE),0)</f>
        <v>0</v>
      </c>
      <c r="M48" s="376">
        <f>IFERROR(VLOOKUP(C48,'تقرير المصروفات حسب الشهر'!$C$1143:$AD$1254,2,FALSE),0)</f>
        <v>5410</v>
      </c>
      <c r="N48" s="376">
        <f>IFERROR(VLOOKUP(C48,'تقرير المصروفات حسب الشهر'!$C$1270:$AD$1381,2,FALSE),0)</f>
        <v>0</v>
      </c>
      <c r="O48" s="376">
        <f>IFERROR(VLOOKUP(C48,'تقرير المصروفات حسب الشهر'!$C$1397:$AI$1512,2,FALSE),0)</f>
        <v>0</v>
      </c>
      <c r="P48" s="394">
        <f t="shared" si="5"/>
        <v>11465</v>
      </c>
    </row>
    <row r="49" spans="2:16" ht="18" customHeight="1">
      <c r="B49" s="124"/>
      <c r="C49" s="150" t="s">
        <v>59</v>
      </c>
      <c r="D49" s="376">
        <f>IFERROR(VLOOKUP(C49,'تقرير المصروفات حسب الشهر'!$C$10:$AD$119,2,FALSE),0)</f>
        <v>0</v>
      </c>
      <c r="E49" s="376">
        <f>IFERROR(VLOOKUP(C49,'تقرير المصروفات حسب الشهر'!$C$135:$AD$252,2,FALSE),0)</f>
        <v>565</v>
      </c>
      <c r="F49" s="376">
        <f>_xlfn.XLOOKUP(C49,'تقرير المصروفات حسب الشهر'!C288:C400,'تقرير المصروفات حسب الشهر'!D288:D400,0,0)</f>
        <v>0</v>
      </c>
      <c r="G49" s="376">
        <f>IFERROR(VLOOKUP(C49,'تقرير المصروفات حسب الشهر'!$C$387:$AD$495,2,FALSE),0)</f>
        <v>0</v>
      </c>
      <c r="H49" s="376">
        <f>IFERROR(VLOOKUP(C49,'تقرير المصروفات حسب الشهر'!$C$512:$AD$620,2,FALSE),0)</f>
        <v>0</v>
      </c>
      <c r="I49" s="376">
        <f>IFERROR(VLOOKUP(C49,'تقرير المصروفات حسب الشهر'!$C$637:$AD$746,2,FALSE),0)</f>
        <v>0</v>
      </c>
      <c r="J49" s="376">
        <f>IFERROR(VLOOKUP(C49,'تقرير المصروفات حسب الشهر'!$C$763:$AD$872,2,FALSE),0)</f>
        <v>0</v>
      </c>
      <c r="K49" s="376">
        <f>IFERROR(VLOOKUP(C49,'تقرير المصروفات حسب الشهر'!$C$889:$D$999,2,FALSE),0)</f>
        <v>0</v>
      </c>
      <c r="L49" s="376">
        <f>IFERROR(VLOOKUP(C49,'تقرير المصروفات حسب الشهر'!$C$1016:$AD$1126,2,FALSE),0)</f>
        <v>0</v>
      </c>
      <c r="M49" s="376">
        <f>IFERROR(VLOOKUP(C49,'تقرير المصروفات حسب الشهر'!$C$1143:$AD$1254,2,FALSE),0)</f>
        <v>510</v>
      </c>
      <c r="N49" s="376">
        <f>IFERROR(VLOOKUP(C49,'تقرير المصروفات حسب الشهر'!$C$1270:$AD$1381,2,FALSE),0)</f>
        <v>350</v>
      </c>
      <c r="O49" s="376">
        <f>IFERROR(VLOOKUP(C49,'تقرير المصروفات حسب الشهر'!$C$1397:$AI$1512,2,FALSE),0)</f>
        <v>20</v>
      </c>
      <c r="P49" s="394">
        <f t="shared" si="5"/>
        <v>1445</v>
      </c>
    </row>
    <row r="50" spans="2:16" ht="18" customHeight="1">
      <c r="B50" s="124"/>
      <c r="C50" s="150" t="s">
        <v>60</v>
      </c>
      <c r="D50" s="376">
        <f>IFERROR(VLOOKUP(C50,'تقرير المصروفات حسب الشهر'!$C$10:$AD$119,2,FALSE),0)</f>
        <v>0</v>
      </c>
      <c r="E50" s="376">
        <f>IFERROR(VLOOKUP(C50,'تقرير المصروفات حسب الشهر'!$C$135:$AD$252,2,FALSE),0)</f>
        <v>0</v>
      </c>
      <c r="F50" s="376">
        <f>_xlfn.XLOOKUP(C50,'تقرير المصروفات حسب الشهر'!C289:C401,'تقرير المصروفات حسب الشهر'!D289:D401,0,0)</f>
        <v>0</v>
      </c>
      <c r="G50" s="376">
        <f>IFERROR(VLOOKUP(C50,'تقرير المصروفات حسب الشهر'!$C$387:$AD$495,2,FALSE),0)</f>
        <v>0</v>
      </c>
      <c r="H50" s="376">
        <f>IFERROR(VLOOKUP(C50,'تقرير المصروفات حسب الشهر'!$C$512:$AD$620,2,FALSE),0)</f>
        <v>0</v>
      </c>
      <c r="I50" s="376">
        <f>IFERROR(VLOOKUP(C50,'تقرير المصروفات حسب الشهر'!$C$637:$AD$746,2,FALSE),0)</f>
        <v>0</v>
      </c>
      <c r="J50" s="376">
        <f>IFERROR(VLOOKUP(C50,'تقرير المصروفات حسب الشهر'!$C$763:$AD$872,2,FALSE),0)</f>
        <v>0</v>
      </c>
      <c r="K50" s="376">
        <f>IFERROR(VLOOKUP(C50,'تقرير المصروفات حسب الشهر'!$C$889:$D$999,2,FALSE),0)</f>
        <v>0</v>
      </c>
      <c r="L50" s="376">
        <f>IFERROR(VLOOKUP(C50,'تقرير المصروفات حسب الشهر'!$C$1016:$AD$1126,2,FALSE),0)</f>
        <v>0</v>
      </c>
      <c r="M50" s="376">
        <f>IFERROR(VLOOKUP(C50,'تقرير المصروفات حسب الشهر'!$C$1143:$AD$1254,2,FALSE),0)</f>
        <v>0</v>
      </c>
      <c r="N50" s="376">
        <f>IFERROR(VLOOKUP(C50,'تقرير المصروفات حسب الشهر'!$C$1270:$AD$1381,2,FALSE),0)</f>
        <v>0</v>
      </c>
      <c r="O50" s="376">
        <f>IFERROR(VLOOKUP(C50,'تقرير المصروفات حسب الشهر'!$C$1397:$AI$1512,2,FALSE),0)</f>
        <v>0</v>
      </c>
      <c r="P50" s="394">
        <f t="shared" si="5"/>
        <v>0</v>
      </c>
    </row>
    <row r="51" spans="2:16" ht="18" customHeight="1">
      <c r="B51" s="124"/>
      <c r="C51" s="150" t="s">
        <v>61</v>
      </c>
      <c r="D51" s="376">
        <f>IFERROR(VLOOKUP(C51,'تقرير المصروفات حسب الشهر'!$C$10:$AD$119,2,FALSE),0)</f>
        <v>11050</v>
      </c>
      <c r="E51" s="376">
        <f>IFERROR(VLOOKUP(C51,'تقرير المصروفات حسب الشهر'!$C$135:$AD$252,2,FALSE),0)</f>
        <v>6660</v>
      </c>
      <c r="F51" s="376">
        <f>_xlfn.XLOOKUP(C51,'تقرير المصروفات حسب الشهر'!C290:C402,'تقرير المصروفات حسب الشهر'!D290:D402,0,0)</f>
        <v>1950</v>
      </c>
      <c r="G51" s="376">
        <f>IFERROR(VLOOKUP(C51,'تقرير المصروفات حسب الشهر'!$C$387:$AD$495,2,FALSE),0)</f>
        <v>8950</v>
      </c>
      <c r="H51" s="376">
        <f>IFERROR(VLOOKUP(C51,'تقرير المصروفات حسب الشهر'!$C$512:$AD$620,2,FALSE),0)</f>
        <v>1950</v>
      </c>
      <c r="I51" s="513">
        <f>IFERROR(VLOOKUP(C51,'تقرير المصروفات حسب الشهر'!$C$637:$AD$746,2,FALSE),0)</f>
        <v>2200</v>
      </c>
      <c r="J51" s="518">
        <f>IFERROR(VLOOKUP(C51,'تقرير المصروفات حسب الشهر'!$C$763:$AD$872,2,FALSE),0)</f>
        <v>13000</v>
      </c>
      <c r="K51" s="376">
        <f>IFERROR(VLOOKUP(C51,'تقرير المصروفات حسب الشهر'!$C$889:$D$999,2,FALSE),0)</f>
        <v>2390</v>
      </c>
      <c r="L51" s="376">
        <f>IFERROR(VLOOKUP(C51,'تقرير المصروفات حسب الشهر'!$C$1016:$AD$1126,2,FALSE),0)</f>
        <v>1950</v>
      </c>
      <c r="M51" s="376">
        <f>IFERROR(VLOOKUP(C51,'تقرير المصروفات حسب الشهر'!$C$1143:$AD$1254,2,FALSE),0)</f>
        <v>1950</v>
      </c>
      <c r="N51" s="376">
        <f>IFERROR(VLOOKUP(C51,'تقرير المصروفات حسب الشهر'!$C$1270:$AD$1381,2,FALSE),0)</f>
        <v>2020</v>
      </c>
      <c r="O51" s="376">
        <f>IFERROR(VLOOKUP(C51,'تقرير المصروفات حسب الشهر'!$C$1397:$AI$1512,2,FALSE),0)</f>
        <v>2120</v>
      </c>
      <c r="P51" s="394">
        <f t="shared" si="5"/>
        <v>56190</v>
      </c>
    </row>
    <row r="52" spans="2:16" ht="18" customHeight="1">
      <c r="B52" s="124"/>
      <c r="C52" s="150" t="s">
        <v>62</v>
      </c>
      <c r="D52" s="376">
        <f>IFERROR(VLOOKUP(C52,'تقرير المصروفات حسب الشهر'!$C$10:$AD$119,2,FALSE),0)</f>
        <v>110738</v>
      </c>
      <c r="E52" s="376">
        <f>IFERROR(VLOOKUP(C52,'تقرير المصروفات حسب الشهر'!$C$135:$AD$252,2,FALSE),0)</f>
        <v>26190</v>
      </c>
      <c r="F52" s="376">
        <f>_xlfn.XLOOKUP(C52,'تقرير المصروفات حسب الشهر'!C291:C403,'تقرير المصروفات حسب الشهر'!D291:D403,0,0)</f>
        <v>17225</v>
      </c>
      <c r="G52" s="376">
        <f>IFERROR(VLOOKUP(C52,'تقرير المصروفات حسب الشهر'!$C$387:$AD$495,2,FALSE),0)</f>
        <v>60980</v>
      </c>
      <c r="H52" s="376">
        <f>IFERROR(VLOOKUP(C52,'تقرير المصروفات حسب الشهر'!$C$512:$AD$620,2,FALSE),0)</f>
        <v>102358</v>
      </c>
      <c r="I52" s="515">
        <f>IFERROR(VLOOKUP(C52,'تقرير المصروفات حسب الشهر'!$C$637:$AD$746,2,FALSE),0)</f>
        <v>50760</v>
      </c>
      <c r="J52" s="376">
        <f>IFERROR(VLOOKUP(C52,'تقرير المصروفات حسب الشهر'!$C$763:$AD$872,2,FALSE),0)</f>
        <v>33388</v>
      </c>
      <c r="K52" s="376">
        <f>IFERROR(VLOOKUP(C52,'تقرير المصروفات حسب الشهر'!$C$889:$D$999,2,FALSE),0)</f>
        <v>20800</v>
      </c>
      <c r="L52" s="376">
        <f>IFERROR(VLOOKUP(C52,'تقرير المصروفات حسب الشهر'!$C$1016:$AD$1126,2,FALSE),0)</f>
        <v>15000</v>
      </c>
      <c r="M52" s="376">
        <f>IFERROR(VLOOKUP(C52,'تقرير المصروفات حسب الشهر'!$C$1143:$AD$1254,2,FALSE),0)</f>
        <v>57575</v>
      </c>
      <c r="N52" s="376">
        <f>IFERROR(VLOOKUP(C52,'تقرير المصروفات حسب الشهر'!$C$1270:$AD$1381,2,FALSE),0)</f>
        <v>20150</v>
      </c>
      <c r="O52" s="376">
        <f>IFERROR(VLOOKUP(C52,'تقرير المصروفات حسب الشهر'!$C$1397:$AI$1512,2,FALSE),0)</f>
        <v>25830</v>
      </c>
      <c r="P52" s="394">
        <f t="shared" si="5"/>
        <v>540994</v>
      </c>
    </row>
    <row r="53" spans="2:16" ht="18" customHeight="1">
      <c r="B53" s="124"/>
      <c r="C53" s="150" t="s">
        <v>63</v>
      </c>
      <c r="D53" s="376">
        <f>IFERROR(VLOOKUP(C53,'تقرير المصروفات حسب الشهر'!$C$10:$AD$119,2,FALSE),0)</f>
        <v>0</v>
      </c>
      <c r="E53" s="376">
        <f>IFERROR(VLOOKUP(C53,'تقرير المصروفات حسب الشهر'!$C$135:$AD$252,2,FALSE),0)</f>
        <v>0</v>
      </c>
      <c r="F53" s="376">
        <f>_xlfn.XLOOKUP(C53,'تقرير المصروفات حسب الشهر'!C292:C404,'تقرير المصروفات حسب الشهر'!D292:D404,0,0)</f>
        <v>0</v>
      </c>
      <c r="G53" s="376">
        <f>IFERROR(VLOOKUP(C53,'تقرير المصروفات حسب الشهر'!$C$387:$AD$495,2,FALSE),0)</f>
        <v>0</v>
      </c>
      <c r="H53" s="376">
        <f>IFERROR(VLOOKUP(C53,'تقرير المصروفات حسب الشهر'!$C$512:$AD$620,2,FALSE),0)</f>
        <v>0</v>
      </c>
      <c r="I53" s="376">
        <f>IFERROR(VLOOKUP(C53,'تقرير المصروفات حسب الشهر'!$C$637:$AD$746,2,FALSE),0)</f>
        <v>0</v>
      </c>
      <c r="J53" s="376">
        <f>IFERROR(VLOOKUP(C53,'تقرير المصروفات حسب الشهر'!$C$763:$AD$872,2,FALSE),0)</f>
        <v>0</v>
      </c>
      <c r="K53" s="376">
        <f>IFERROR(VLOOKUP(C53,'تقرير المصروفات حسب الشهر'!$C$889:$D$999,2,FALSE),0)</f>
        <v>3000</v>
      </c>
      <c r="L53" s="376">
        <f>IFERROR(VLOOKUP(C53,'تقرير المصروفات حسب الشهر'!$C$1016:$AD$1126,2,FALSE),0)</f>
        <v>0</v>
      </c>
      <c r="M53" s="376">
        <f>IFERROR(VLOOKUP(C53,'تقرير المصروفات حسب الشهر'!$C$1143:$AD$1254,2,FALSE),0)</f>
        <v>0</v>
      </c>
      <c r="N53" s="376">
        <f>IFERROR(VLOOKUP(C53,'تقرير المصروفات حسب الشهر'!$C$1270:$AD$1381,2,FALSE),0)</f>
        <v>0</v>
      </c>
      <c r="O53" s="376">
        <f>IFERROR(VLOOKUP(C53,'تقرير المصروفات حسب الشهر'!$C$1397:$AI$1512,2,FALSE),0)</f>
        <v>0</v>
      </c>
      <c r="P53" s="394">
        <f t="shared" si="5"/>
        <v>3000</v>
      </c>
    </row>
    <row r="54" spans="2:16" ht="18" customHeight="1">
      <c r="B54" s="124"/>
      <c r="C54" s="150" t="s">
        <v>64</v>
      </c>
      <c r="D54" s="376">
        <f>IFERROR(VLOOKUP(C54,'تقرير المصروفات حسب الشهر'!$C$10:$AD$119,2,FALSE),0)</f>
        <v>0</v>
      </c>
      <c r="E54" s="376">
        <f>IFERROR(VLOOKUP(C54,'تقرير المصروفات حسب الشهر'!$C$135:$AD$252,2,FALSE),0)</f>
        <v>4000</v>
      </c>
      <c r="F54" s="376">
        <f>_xlfn.XLOOKUP(C54,'تقرير المصروفات حسب الشهر'!C293:C405,'تقرير المصروفات حسب الشهر'!D293:D405,0,0)</f>
        <v>4500</v>
      </c>
      <c r="G54" s="376">
        <f>IFERROR(VLOOKUP(C54,'تقرير المصروفات حسب الشهر'!$C$387:$AD$495,2,FALSE),0)</f>
        <v>4500</v>
      </c>
      <c r="H54" s="376">
        <f>IFERROR(VLOOKUP(C54,'تقرير المصروفات حسب الشهر'!$C$512:$AD$620,2,FALSE),0)</f>
        <v>4500</v>
      </c>
      <c r="I54" s="376">
        <f>IFERROR(VLOOKUP(C54,'تقرير المصروفات حسب الشهر'!$C$637:$AD$746,2,FALSE),0)</f>
        <v>0</v>
      </c>
      <c r="J54" s="376">
        <f>IFERROR(VLOOKUP(C54,'تقرير المصروفات حسب الشهر'!$C$763:$AD$872,2,FALSE),0)</f>
        <v>9000</v>
      </c>
      <c r="K54" s="376">
        <f>IFERROR(VLOOKUP(C54,'تقرير المصروفات حسب الشهر'!$C$889:$D$999,2,FALSE),0)</f>
        <v>4500</v>
      </c>
      <c r="L54" s="376">
        <f>IFERROR(VLOOKUP(C54,'تقرير المصروفات حسب الشهر'!$C$1016:$AD$1126,2,FALSE),0)</f>
        <v>0</v>
      </c>
      <c r="M54" s="376">
        <f>IFERROR(VLOOKUP(C54,'تقرير المصروفات حسب الشهر'!$C$1143:$AD$1254,2,FALSE),0)</f>
        <v>5000</v>
      </c>
      <c r="N54" s="376">
        <f>IFERROR(VLOOKUP(C54,'تقرير المصروفات حسب الشهر'!$C$1270:$AD$1381,2,FALSE),0)</f>
        <v>5000</v>
      </c>
      <c r="O54" s="376">
        <f>IFERROR(VLOOKUP(C54,'تقرير المصروفات حسب الشهر'!$C$1397:$AI$1512,2,FALSE),0)</f>
        <v>4300</v>
      </c>
      <c r="P54" s="394">
        <f t="shared" si="5"/>
        <v>45300</v>
      </c>
    </row>
    <row r="55" spans="2:16" ht="18" customHeight="1">
      <c r="B55" s="124"/>
      <c r="C55" s="150" t="s">
        <v>28</v>
      </c>
      <c r="D55" s="376">
        <f>IFERROR(VLOOKUP(C55,'تقرير المصروفات حسب الشهر'!$C$10:$AD$119,2,FALSE),0)</f>
        <v>15290</v>
      </c>
      <c r="E55" s="376">
        <f>IFERROR(VLOOKUP(C55,'تقرير المصروفات حسب الشهر'!$C$135:$AD$252,2,FALSE),0)</f>
        <v>14245</v>
      </c>
      <c r="F55" s="376">
        <f>_xlfn.XLOOKUP(C55,'تقرير المصروفات حسب الشهر'!C294:C406,'تقرير المصروفات حسب الشهر'!D294:D406,0,0)</f>
        <v>6760</v>
      </c>
      <c r="G55" s="376">
        <f>IFERROR(VLOOKUP(C55,'تقرير المصروفات حسب الشهر'!$C$387:$AD$495,2,FALSE),0)</f>
        <v>9960</v>
      </c>
      <c r="H55" s="376">
        <f>IFERROR(VLOOKUP(C55,'تقرير المصروفات حسب الشهر'!$C$512:$AD$620,2,FALSE),0)</f>
        <v>16425</v>
      </c>
      <c r="I55" s="515">
        <f>IFERROR(VLOOKUP(C55,'تقرير المصروفات حسب الشهر'!$C$637:$AD$746,2,FALSE),0)</f>
        <v>17910</v>
      </c>
      <c r="J55" s="376">
        <f>IFERROR(VLOOKUP(C55,'تقرير المصروفات حسب الشهر'!$C$763:$AD$872,2,FALSE),0)</f>
        <v>5090</v>
      </c>
      <c r="K55" s="376">
        <f>IFERROR(VLOOKUP(C55,'تقرير المصروفات حسب الشهر'!$C$889:$D$999,2,FALSE),0)</f>
        <v>4700</v>
      </c>
      <c r="L55" s="376">
        <f>IFERROR(VLOOKUP(C55,'تقرير المصروفات حسب الشهر'!$C$1016:$AD$1126,2,FALSE),0)</f>
        <v>12350</v>
      </c>
      <c r="M55" s="376">
        <f>IFERROR(VLOOKUP(C55,'تقرير المصروفات حسب الشهر'!$C$1143:$AD$1254,2,FALSE),0)</f>
        <v>7730</v>
      </c>
      <c r="N55" s="376">
        <f>IFERROR(VLOOKUP(C55,'تقرير المصروفات حسب الشهر'!$C$1270:$AD$1381,2,FALSE),0)</f>
        <v>5130</v>
      </c>
      <c r="O55" s="376">
        <f>IFERROR(VLOOKUP(C55,'تقرير المصروفات حسب الشهر'!$C$1397:$AI$1512,2,FALSE),0)</f>
        <v>7641</v>
      </c>
      <c r="P55" s="394">
        <f t="shared" si="5"/>
        <v>123231</v>
      </c>
    </row>
    <row r="56" spans="2:16" ht="18" customHeight="1">
      <c r="B56" s="124"/>
      <c r="C56" s="150" t="s">
        <v>157</v>
      </c>
      <c r="D56" s="376">
        <f>IFERROR(VLOOKUP(C56,'تقرير المصروفات حسب الشهر'!$C$10:$AD$119,2,FALSE),0)</f>
        <v>0</v>
      </c>
      <c r="E56" s="376">
        <f>IFERROR(VLOOKUP(C56,'تقرير المصروفات حسب الشهر'!$C$135:$AD$252,2,FALSE),0)</f>
        <v>0</v>
      </c>
      <c r="F56" s="376">
        <f>_xlfn.XLOOKUP(C56,'تقرير المصروفات حسب الشهر'!C295:C407,'تقرير المصروفات حسب الشهر'!D295:D407,0,0)</f>
        <v>0</v>
      </c>
      <c r="G56" s="376">
        <f>IFERROR(VLOOKUP(C56,'تقرير المصروفات حسب الشهر'!$C$387:$AD$495,2,FALSE),0)</f>
        <v>0</v>
      </c>
      <c r="H56" s="376">
        <f>IFERROR(VLOOKUP(C56,'تقرير المصروفات حسب الشهر'!$C$512:$AD$620,2,FALSE),0)</f>
        <v>0</v>
      </c>
      <c r="I56" s="515">
        <f>IFERROR(VLOOKUP(C56,'تقرير المصروفات حسب الشهر'!$C$637:$AD$746,2,FALSE),0)</f>
        <v>185.02</v>
      </c>
      <c r="J56" s="376">
        <f>IFERROR(VLOOKUP(C56,'تقرير المصروفات حسب الشهر'!$C$763:$AD$872,2,FALSE),0)</f>
        <v>0</v>
      </c>
      <c r="K56" s="376">
        <f>IFERROR(VLOOKUP(C56,'تقرير المصروفات حسب الشهر'!$C$889:$D$999,2,FALSE),0)</f>
        <v>0</v>
      </c>
      <c r="L56" s="376">
        <f>IFERROR(VLOOKUP(C56,'تقرير المصروفات حسب الشهر'!$C$1016:$AD$1126,2,FALSE),0)</f>
        <v>0</v>
      </c>
      <c r="M56" s="376">
        <f>IFERROR(VLOOKUP(C56,'تقرير المصروفات حسب الشهر'!$C$1143:$AD$1254,2,FALSE),0)</f>
        <v>0</v>
      </c>
      <c r="N56" s="376">
        <f>IFERROR(VLOOKUP(C56,'تقرير المصروفات حسب الشهر'!$C$1270:$AD$1381,2,FALSE),0)</f>
        <v>0</v>
      </c>
      <c r="O56" s="376">
        <f>IFERROR(VLOOKUP(C56,'تقرير المصروفات حسب الشهر'!$C$1397:$AI$1512,2,FALSE),0)</f>
        <v>0</v>
      </c>
      <c r="P56" s="394">
        <f t="shared" si="5"/>
        <v>185.02</v>
      </c>
    </row>
    <row r="57" spans="2:16" ht="18" customHeight="1">
      <c r="B57" s="124"/>
      <c r="C57" s="150" t="s">
        <v>65</v>
      </c>
      <c r="D57" s="376">
        <f>IFERROR(VLOOKUP(C57,'تقرير المصروفات حسب الشهر'!$C$10:$AD$119,2,FALSE),0)</f>
        <v>8000</v>
      </c>
      <c r="E57" s="376">
        <f>IFERROR(VLOOKUP(C57,'تقرير المصروفات حسب الشهر'!$C$135:$AD$252,2,FALSE),0)</f>
        <v>18000</v>
      </c>
      <c r="F57" s="376">
        <f>_xlfn.XLOOKUP(C57,'تقرير المصروفات حسب الشهر'!C296:C408,'تقرير المصروفات حسب الشهر'!D296:D408,0,0)</f>
        <v>28000</v>
      </c>
      <c r="G57" s="376">
        <f>IFERROR(VLOOKUP(C57,'تقرير المصروفات حسب الشهر'!$C$387:$AD$495,2,FALSE),0)</f>
        <v>38000</v>
      </c>
      <c r="H57" s="376">
        <f>IFERROR(VLOOKUP(C57,'تقرير المصروفات حسب الشهر'!$C$512:$AD$620,2,FALSE),0)</f>
        <v>38000</v>
      </c>
      <c r="I57" s="513">
        <f>IFERROR(VLOOKUP(C57,'تقرير المصروفات حسب الشهر'!$C$637:$AD$746,2,FALSE),0)</f>
        <v>8000</v>
      </c>
      <c r="J57" s="518">
        <f>IFERROR(VLOOKUP(C57,'تقرير المصروفات حسب الشهر'!$C$763:$AD$872,2,FALSE),0)</f>
        <v>8000</v>
      </c>
      <c r="K57" s="376">
        <f>IFERROR(VLOOKUP(C57,'تقرير المصروفات حسب الشهر'!$C$889:$D$999,2,FALSE),0)</f>
        <v>13000</v>
      </c>
      <c r="L57" s="376">
        <f>IFERROR(VLOOKUP(C57,'تقرير المصروفات حسب الشهر'!$C$1016:$AD$1126,2,FALSE),0)</f>
        <v>8000</v>
      </c>
      <c r="M57" s="376">
        <f>IFERROR(VLOOKUP(C57,'تقرير المصروفات حسب الشهر'!$C$1143:$AD$1254,2,FALSE),0)</f>
        <v>18000</v>
      </c>
      <c r="N57" s="376">
        <f>IFERROR(VLOOKUP(C57,'تقرير المصروفات حسب الشهر'!$C$1270:$AD$1381,2,FALSE),0)</f>
        <v>58000</v>
      </c>
      <c r="O57" s="376">
        <f>IFERROR(VLOOKUP(C57,'تقرير المصروفات حسب الشهر'!$C$1397:$AI$1512,2,FALSE),0)</f>
        <v>8000</v>
      </c>
      <c r="P57" s="394">
        <f t="shared" si="5"/>
        <v>251000</v>
      </c>
    </row>
    <row r="58" spans="2:16" ht="18" customHeight="1">
      <c r="B58" s="124"/>
      <c r="C58" s="150" t="s">
        <v>66</v>
      </c>
      <c r="D58" s="376">
        <f>IFERROR(VLOOKUP(C58,'تقرير المصروفات حسب الشهر'!$C$10:$AD$119,2,FALSE),0)</f>
        <v>0</v>
      </c>
      <c r="E58" s="376">
        <f>IFERROR(VLOOKUP(C58,'تقرير المصروفات حسب الشهر'!$C$135:$AD$252,2,FALSE),0)</f>
        <v>0</v>
      </c>
      <c r="F58" s="376">
        <f>_xlfn.XLOOKUP(C58,'تقرير المصروفات حسب الشهر'!C297:C409,'تقرير المصروفات حسب الشهر'!D297:D409,0,0)</f>
        <v>0</v>
      </c>
      <c r="G58" s="376">
        <f>IFERROR(VLOOKUP(C58,'تقرير المصروفات حسب الشهر'!$C$387:$AD$495,2,FALSE),0)</f>
        <v>0</v>
      </c>
      <c r="H58" s="376">
        <f>IFERROR(VLOOKUP(C58,'تقرير المصروفات حسب الشهر'!$C$512:$AD$620,2,FALSE),0)</f>
        <v>0</v>
      </c>
      <c r="I58" s="376">
        <f>IFERROR(VLOOKUP(C58,'تقرير المصروفات حسب الشهر'!$C$637:$AD$746,2,FALSE),0)</f>
        <v>0</v>
      </c>
      <c r="J58" s="376">
        <f>IFERROR(VLOOKUP(C58,'تقرير المصروفات حسب الشهر'!$C$763:$AD$872,2,FALSE),0)</f>
        <v>0</v>
      </c>
      <c r="K58" s="376">
        <f>IFERROR(VLOOKUP(C58,'تقرير المصروفات حسب الشهر'!$C$889:$D$999,2,FALSE),0)</f>
        <v>0</v>
      </c>
      <c r="L58" s="376">
        <f>IFERROR(VLOOKUP(C58,'تقرير المصروفات حسب الشهر'!$C$1016:$AD$1126,2,FALSE),0)</f>
        <v>0</v>
      </c>
      <c r="M58" s="376">
        <f>IFERROR(VLOOKUP(C58,'تقرير المصروفات حسب الشهر'!$C$1143:$AD$1254,2,FALSE),0)</f>
        <v>0</v>
      </c>
      <c r="N58" s="376">
        <f>IFERROR(VLOOKUP(C58,'تقرير المصروفات حسب الشهر'!$C$1270:$AD$1381,2,FALSE),0)</f>
        <v>0</v>
      </c>
      <c r="O58" s="376">
        <f>IFERROR(VLOOKUP(C58,'تقرير المصروفات حسب الشهر'!$C$1397:$AI$1512,2,FALSE),0)</f>
        <v>0</v>
      </c>
      <c r="P58" s="394">
        <f t="shared" si="5"/>
        <v>0</v>
      </c>
    </row>
    <row r="59" spans="2:16" ht="18" customHeight="1">
      <c r="B59" s="124"/>
      <c r="C59" s="150" t="s">
        <v>30</v>
      </c>
      <c r="D59" s="376">
        <f>IFERROR(VLOOKUP(C59,'تقرير المصروفات حسب الشهر'!$C$10:$AD$119,2,FALSE),0)</f>
        <v>22351.98</v>
      </c>
      <c r="E59" s="376">
        <f>IFERROR(VLOOKUP(C59,'تقرير المصروفات حسب الشهر'!$C$135:$AD$252,2,FALSE),0)</f>
        <v>12961.75</v>
      </c>
      <c r="F59" s="376">
        <f>_xlfn.XLOOKUP(C59,'تقرير المصروفات حسب الشهر'!C298:C410,'تقرير المصروفات حسب الشهر'!D298:D410,0,0)</f>
        <v>9703.91</v>
      </c>
      <c r="G59" s="376">
        <f>IFERROR(VLOOKUP(C59,'تقرير المصروفات حسب الشهر'!$C$387:$AD$495,2,FALSE),0)</f>
        <v>30527.26</v>
      </c>
      <c r="H59" s="376">
        <f>IFERROR(VLOOKUP(C59,'تقرير المصروفات حسب الشهر'!$C$512:$AD$620,2,FALSE),0)</f>
        <v>40324.58</v>
      </c>
      <c r="I59" s="515">
        <f>IFERROR(VLOOKUP(C59,'تقرير المصروفات حسب الشهر'!$C$637:$AD$746,2,FALSE),0)</f>
        <v>15955.7</v>
      </c>
      <c r="J59" s="376">
        <f>IFERROR(VLOOKUP(C59,'تقرير المصروفات حسب الشهر'!$C$763:$AD$872,2,FALSE),0)</f>
        <v>28684.880000000001</v>
      </c>
      <c r="K59" s="376">
        <f>IFERROR(VLOOKUP(C59,'تقرير المصروفات حسب الشهر'!$C$889:$D$999,2,FALSE),0)</f>
        <v>14143.99</v>
      </c>
      <c r="L59" s="376">
        <f>IFERROR(VLOOKUP(C59,'تقرير المصروفات حسب الشهر'!$C$1016:$AD$1126,2,FALSE),0)</f>
        <v>31034.48</v>
      </c>
      <c r="M59" s="376">
        <f>IFERROR(VLOOKUP(C59,'تقرير المصروفات حسب الشهر'!$C$1143:$AD$1254,2,FALSE),0)</f>
        <v>12095.26</v>
      </c>
      <c r="N59" s="376">
        <f>IFERROR(VLOOKUP(C59,'تقرير المصروفات حسب الشهر'!$C$1270:$AD$1381,2,FALSE),0)</f>
        <v>8031.16</v>
      </c>
      <c r="O59" s="376">
        <f>IFERROR(VLOOKUP(C59,'تقرير المصروفات حسب الشهر'!$C$1397:$AI$1512,2,FALSE),0)</f>
        <v>25488.97</v>
      </c>
      <c r="P59" s="394">
        <f t="shared" si="5"/>
        <v>251303.92</v>
      </c>
    </row>
    <row r="60" spans="2:16" ht="18" customHeight="1">
      <c r="B60" s="124"/>
      <c r="C60" s="150" t="s">
        <v>67</v>
      </c>
      <c r="D60" s="376">
        <f>IFERROR(VLOOKUP(C60,'تقرير المصروفات حسب الشهر'!$C$10:$AD$119,2,FALSE),0)</f>
        <v>0</v>
      </c>
      <c r="E60" s="376">
        <f>IFERROR(VLOOKUP(C60,'تقرير المصروفات حسب الشهر'!$C$135:$AD$252,2,FALSE),0)</f>
        <v>18799</v>
      </c>
      <c r="F60" s="376">
        <f>_xlfn.XLOOKUP(C60,'تقرير المصروفات حسب الشهر'!C299:C411,'تقرير المصروفات حسب الشهر'!D299:D411,0,0)</f>
        <v>0</v>
      </c>
      <c r="G60" s="376">
        <f>IFERROR(VLOOKUP(C60,'تقرير المصروفات حسب الشهر'!$C$387:$AD$495,2,FALSE),0)</f>
        <v>1550</v>
      </c>
      <c r="H60" s="376">
        <f>IFERROR(VLOOKUP(C60,'تقرير المصروفات حسب الشهر'!$C$512:$AD$620,2,FALSE),0)</f>
        <v>0</v>
      </c>
      <c r="I60" s="515">
        <f>IFERROR(VLOOKUP(C60,'تقرير المصروفات حسب الشهر'!$C$637:$AD$746,2,FALSE),0)</f>
        <v>9920</v>
      </c>
      <c r="J60" s="376">
        <f>IFERROR(VLOOKUP(C60,'تقرير المصروفات حسب الشهر'!$C$763:$AD$872,2,FALSE),0)</f>
        <v>0</v>
      </c>
      <c r="K60" s="376">
        <f>IFERROR(VLOOKUP(C60,'تقرير المصروفات حسب الشهر'!$C$889:$D$999,2,FALSE),0)</f>
        <v>39912</v>
      </c>
      <c r="L60" s="376">
        <f>IFERROR(VLOOKUP(C60,'تقرير المصروفات حسب الشهر'!$C$1016:$AD$1126,2,FALSE),0)</f>
        <v>0</v>
      </c>
      <c r="M60" s="376">
        <f>IFERROR(VLOOKUP(C60,'تقرير المصروفات حسب الشهر'!$C$1143:$AD$1254,2,FALSE),0)</f>
        <v>3100</v>
      </c>
      <c r="N60" s="376">
        <f>IFERROR(VLOOKUP(C60,'تقرير المصروفات حسب الشهر'!$C$1270:$AD$1381,2,FALSE),0)</f>
        <v>0</v>
      </c>
      <c r="O60" s="376">
        <f>IFERROR(VLOOKUP(C60,'تقرير المصروفات حسب الشهر'!$C$1397:$AI$1512,2,FALSE),0)</f>
        <v>39986</v>
      </c>
      <c r="P60" s="394">
        <f t="shared" si="5"/>
        <v>113267</v>
      </c>
    </row>
    <row r="61" spans="2:16" ht="18" customHeight="1">
      <c r="B61" s="124"/>
      <c r="C61" s="150" t="s">
        <v>111</v>
      </c>
      <c r="D61" s="376">
        <f>IFERROR(VLOOKUP(C61,'تقرير المصروفات حسب الشهر'!$C$10:$AD$119,2,FALSE),0)</f>
        <v>100</v>
      </c>
      <c r="E61" s="376">
        <f>IFERROR(VLOOKUP(C61,'تقرير المصروفات حسب الشهر'!$C$135:$AD$252,2,FALSE),0)</f>
        <v>0</v>
      </c>
      <c r="F61" s="376">
        <f>_xlfn.XLOOKUP(C61,'تقرير المصروفات حسب الشهر'!C300:C412,'تقرير المصروفات حسب الشهر'!D300:D412,0,0)</f>
        <v>100</v>
      </c>
      <c r="G61" s="376">
        <f>IFERROR(VLOOKUP(C61,'تقرير المصروفات حسب الشهر'!$C$387:$AD$495,2,FALSE),0)</f>
        <v>175</v>
      </c>
      <c r="H61" s="376">
        <f>IFERROR(VLOOKUP(C61,'تقرير المصروفات حسب الشهر'!$C$512:$AD$620,2,FALSE),0)</f>
        <v>200</v>
      </c>
      <c r="I61" s="376">
        <f>IFERROR(VLOOKUP(C61,'تقرير المصروفات حسب الشهر'!$C$637:$AD$746,2,FALSE),0)</f>
        <v>0</v>
      </c>
      <c r="J61" s="376">
        <f>IFERROR(VLOOKUP(C61,'تقرير المصروفات حسب الشهر'!$C$763:$AD$872,2,FALSE),0)</f>
        <v>0</v>
      </c>
      <c r="K61" s="376">
        <f>IFERROR(VLOOKUP(C61,'تقرير المصروفات حسب الشهر'!$C$889:$D$999,2,FALSE),0)</f>
        <v>400</v>
      </c>
      <c r="L61" s="376">
        <f>IFERROR(VLOOKUP(C61,'تقرير المصروفات حسب الشهر'!$C$1016:$AD$1126,2,FALSE),0)</f>
        <v>1550</v>
      </c>
      <c r="M61" s="376">
        <f>IFERROR(VLOOKUP(C61,'تقرير المصروفات حسب الشهر'!$C$1143:$AD$1254,2,FALSE),0)</f>
        <v>0</v>
      </c>
      <c r="N61" s="376">
        <f>IFERROR(VLOOKUP(C61,'تقرير المصروفات حسب الشهر'!$C$1270:$AD$1381,2,FALSE),0)</f>
        <v>2445</v>
      </c>
      <c r="O61" s="376">
        <f>IFERROR(VLOOKUP(C61,'تقرير المصروفات حسب الشهر'!$C$1397:$AI$1512,2,FALSE),0)</f>
        <v>0</v>
      </c>
      <c r="P61" s="394">
        <f t="shared" si="5"/>
        <v>4970</v>
      </c>
    </row>
    <row r="62" spans="2:16" ht="18" customHeight="1">
      <c r="B62" s="124"/>
      <c r="C62" s="150" t="s">
        <v>68</v>
      </c>
      <c r="D62" s="376">
        <f>IFERROR(VLOOKUP(C62,'تقرير المصروفات حسب الشهر'!$C$10:$AD$119,2,FALSE),0)</f>
        <v>0</v>
      </c>
      <c r="E62" s="376">
        <f>IFERROR(VLOOKUP(C62,'تقرير المصروفات حسب الشهر'!$C$135:$AD$252,2,FALSE),0)</f>
        <v>0</v>
      </c>
      <c r="F62" s="376">
        <f>_xlfn.XLOOKUP(C62,'تقرير المصروفات حسب الشهر'!C301:C413,'تقرير المصروفات حسب الشهر'!D301:D413,0,0)</f>
        <v>0</v>
      </c>
      <c r="G62" s="376">
        <f>IFERROR(VLOOKUP(C62,'تقرير المصروفات حسب الشهر'!$C$387:$AD$495,2,FALSE),0)</f>
        <v>0</v>
      </c>
      <c r="H62" s="376">
        <f>IFERROR(VLOOKUP(C62,'تقرير المصروفات حسب الشهر'!$C$512:$AD$620,2,FALSE),0)</f>
        <v>0</v>
      </c>
      <c r="I62" s="376">
        <f>IFERROR(VLOOKUP(C62,'تقرير المصروفات حسب الشهر'!$C$637:$AD$746,2,FALSE),0)</f>
        <v>0</v>
      </c>
      <c r="J62" s="376">
        <f>IFERROR(VLOOKUP(C62,'تقرير المصروفات حسب الشهر'!$C$763:$AD$872,2,FALSE),0)</f>
        <v>0</v>
      </c>
      <c r="K62" s="376">
        <f>IFERROR(VLOOKUP(C62,'تقرير المصروفات حسب الشهر'!$C$889:$D$999,2,FALSE),0)</f>
        <v>0</v>
      </c>
      <c r="L62" s="376">
        <f>IFERROR(VLOOKUP(C62,'تقرير المصروفات حسب الشهر'!$C$1016:$AD$1126,2,FALSE),0)</f>
        <v>0</v>
      </c>
      <c r="M62" s="376">
        <f>IFERROR(VLOOKUP(C62,'تقرير المصروفات حسب الشهر'!$C$1143:$AD$1254,2,FALSE),0)</f>
        <v>0</v>
      </c>
      <c r="N62" s="376">
        <f>IFERROR(VLOOKUP(C62,'تقرير المصروفات حسب الشهر'!$C$1270:$AD$1381,2,FALSE),0)</f>
        <v>0</v>
      </c>
      <c r="O62" s="376">
        <f>IFERROR(VLOOKUP(C62,'تقرير المصروفات حسب الشهر'!$C$1397:$AI$1512,2,FALSE),0)</f>
        <v>0</v>
      </c>
      <c r="P62" s="394">
        <f t="shared" si="5"/>
        <v>0</v>
      </c>
    </row>
    <row r="63" spans="2:16" ht="18" customHeight="1">
      <c r="B63" s="124"/>
      <c r="C63" s="150" t="s">
        <v>69</v>
      </c>
      <c r="D63" s="376">
        <f>IFERROR(VLOOKUP(C63,'تقرير المصروفات حسب الشهر'!$C$10:$AD$119,2,FALSE),0)</f>
        <v>0</v>
      </c>
      <c r="E63" s="376">
        <f>IFERROR(VLOOKUP(C63,'تقرير المصروفات حسب الشهر'!$C$135:$AD$252,2,FALSE),0)</f>
        <v>0</v>
      </c>
      <c r="F63" s="376">
        <f>_xlfn.XLOOKUP(C63,'تقرير المصروفات حسب الشهر'!C302:C414,'تقرير المصروفات حسب الشهر'!D302:D414,0,0)</f>
        <v>0</v>
      </c>
      <c r="G63" s="376">
        <f>IFERROR(VLOOKUP(C63,'تقرير المصروفات حسب الشهر'!$C$387:$AD$495,2,FALSE),0)</f>
        <v>0</v>
      </c>
      <c r="H63" s="376">
        <f>IFERROR(VLOOKUP(C63,'تقرير المصروفات حسب الشهر'!$C$512:$AD$620,2,FALSE),0)</f>
        <v>0</v>
      </c>
      <c r="I63" s="376">
        <f>IFERROR(VLOOKUP(C63,'تقرير المصروفات حسب الشهر'!$C$637:$AD$746,2,FALSE),0)</f>
        <v>0</v>
      </c>
      <c r="J63" s="376">
        <f>IFERROR(VLOOKUP(C63,'تقرير المصروفات حسب الشهر'!$C$763:$AD$872,2,FALSE),0)</f>
        <v>0</v>
      </c>
      <c r="K63" s="376">
        <f>IFERROR(VLOOKUP(C63,'تقرير المصروفات حسب الشهر'!$C$889:$D$999,2,FALSE),0)</f>
        <v>0</v>
      </c>
      <c r="L63" s="376">
        <f>IFERROR(VLOOKUP(C63,'تقرير المصروفات حسب الشهر'!$C$1016:$AD$1126,2,FALSE),0)</f>
        <v>0</v>
      </c>
      <c r="M63" s="376">
        <f>IFERROR(VLOOKUP(C63,'تقرير المصروفات حسب الشهر'!$C$1143:$AD$1254,2,FALSE),0)</f>
        <v>0</v>
      </c>
      <c r="N63" s="376">
        <f>IFERROR(VLOOKUP(C63,'تقرير المصروفات حسب الشهر'!$C$1270:$AD$1381,2,FALSE),0)</f>
        <v>0</v>
      </c>
      <c r="O63" s="376">
        <f>IFERROR(VLOOKUP(C63,'تقرير المصروفات حسب الشهر'!$C$1397:$AI$1512,2,FALSE),0)</f>
        <v>0</v>
      </c>
      <c r="P63" s="394">
        <f t="shared" si="5"/>
        <v>0</v>
      </c>
    </row>
    <row r="64" spans="2:16" ht="18" customHeight="1">
      <c r="B64" s="124"/>
      <c r="C64" s="150" t="s">
        <v>70</v>
      </c>
      <c r="D64" s="376">
        <f>IFERROR(VLOOKUP(C64,'تقرير المصروفات حسب الشهر'!$C$10:$AD$119,2,FALSE),0)</f>
        <v>5655</v>
      </c>
      <c r="E64" s="376">
        <f>IFERROR(VLOOKUP(C64,'تقرير المصروفات حسب الشهر'!$C$135:$AD$252,2,FALSE),0)</f>
        <v>4680</v>
      </c>
      <c r="F64" s="376">
        <f>_xlfn.XLOOKUP(C64,'تقرير المصروفات حسب الشهر'!C303:C415,'تقرير المصروفات حسب الشهر'!D303:D415,0,0)</f>
        <v>31265</v>
      </c>
      <c r="G64" s="376">
        <f>IFERROR(VLOOKUP(C64,'تقرير المصروفات حسب الشهر'!$C$387:$AD$495,2,FALSE),0)</f>
        <v>565</v>
      </c>
      <c r="H64" s="376">
        <f>IFERROR(VLOOKUP(C64,'تقرير المصروفات حسب الشهر'!$C$512:$AD$620,2,FALSE),0)</f>
        <v>4790</v>
      </c>
      <c r="I64" s="515">
        <f>IFERROR(VLOOKUP(C64,'تقرير المصروفات حسب الشهر'!$C$637:$AD$746,2,FALSE),0)</f>
        <v>3000</v>
      </c>
      <c r="J64" s="376">
        <f>IFERROR(VLOOKUP(C64,'تقرير المصروفات حسب الشهر'!$C$763:$AD$872,2,FALSE),0)</f>
        <v>1955</v>
      </c>
      <c r="K64" s="376">
        <f>IFERROR(VLOOKUP(C64,'تقرير المصروفات حسب الشهر'!$C$889:$D$999,2,FALSE),0)</f>
        <v>6660</v>
      </c>
      <c r="L64" s="376">
        <f>IFERROR(VLOOKUP(C64,'تقرير المصروفات حسب الشهر'!$C$1016:$AD$1126,2,FALSE),0)</f>
        <v>2510</v>
      </c>
      <c r="M64" s="376">
        <f>IFERROR(VLOOKUP(C64,'تقرير المصروفات حسب الشهر'!$C$1143:$AD$1254,2,FALSE),0)</f>
        <v>2080</v>
      </c>
      <c r="N64" s="376">
        <f>IFERROR(VLOOKUP(C64,'تقرير المصروفات حسب الشهر'!$C$1270:$AD$1381,2,FALSE),0)</f>
        <v>610</v>
      </c>
      <c r="O64" s="376">
        <f>IFERROR(VLOOKUP(C64,'تقرير المصروفات حسب الشهر'!$C$1397:$AI$1512,2,FALSE),0)</f>
        <v>400</v>
      </c>
      <c r="P64" s="394">
        <f t="shared" si="5"/>
        <v>64170</v>
      </c>
    </row>
    <row r="65" spans="2:16" ht="18" customHeight="1">
      <c r="B65" s="124"/>
      <c r="C65" s="150" t="s">
        <v>71</v>
      </c>
      <c r="D65" s="376">
        <f>IFERROR(VLOOKUP(C65,'تقرير المصروفات حسب الشهر'!$C$10:$AD$119,2,FALSE),0)</f>
        <v>0</v>
      </c>
      <c r="E65" s="376">
        <f>IFERROR(VLOOKUP(C65,'تقرير المصروفات حسب الشهر'!$C$135:$AD$252,2,FALSE),0)</f>
        <v>0</v>
      </c>
      <c r="F65" s="376">
        <f>_xlfn.XLOOKUP(C65,'تقرير المصروفات حسب الشهر'!C304:C416,'تقرير المصروفات حسب الشهر'!D304:D416,0,0)</f>
        <v>0</v>
      </c>
      <c r="G65" s="376">
        <f>IFERROR(VLOOKUP(C65,'تقرير المصروفات حسب الشهر'!$C$387:$AD$495,2,FALSE),0)</f>
        <v>0</v>
      </c>
      <c r="H65" s="376">
        <f>IFERROR(VLOOKUP(C65,'تقرير المصروفات حسب الشهر'!$C$512:$AD$620,2,FALSE),0)</f>
        <v>0</v>
      </c>
      <c r="I65" s="376">
        <f>IFERROR(VLOOKUP(C65,'تقرير المصروفات حسب الشهر'!$C$637:$AD$746,2,FALSE),0)</f>
        <v>0</v>
      </c>
      <c r="J65" s="376">
        <f>IFERROR(VLOOKUP(C65,'تقرير المصروفات حسب الشهر'!$C$763:$AD$872,2,FALSE),0)</f>
        <v>0</v>
      </c>
      <c r="K65" s="376">
        <f>IFERROR(VLOOKUP(C65,'تقرير المصروفات حسب الشهر'!$C$889:$D$999,2,FALSE),0)</f>
        <v>0</v>
      </c>
      <c r="L65" s="376">
        <f>IFERROR(VLOOKUP(C65,'تقرير المصروفات حسب الشهر'!$C$1016:$AD$1126,2,FALSE),0)</f>
        <v>0</v>
      </c>
      <c r="M65" s="376">
        <f>IFERROR(VLOOKUP(C65,'تقرير المصروفات حسب الشهر'!$C$1143:$AD$1254,2,FALSE),0)</f>
        <v>0</v>
      </c>
      <c r="N65" s="376">
        <f>IFERROR(VLOOKUP(C65,'تقرير المصروفات حسب الشهر'!$C$1270:$AD$1381,2,FALSE),0)</f>
        <v>0</v>
      </c>
      <c r="O65" s="376">
        <f>IFERROR(VLOOKUP(C65,'تقرير المصروفات حسب الشهر'!$C$1397:$AI$1512,2,FALSE),0)</f>
        <v>0</v>
      </c>
      <c r="P65" s="394">
        <f t="shared" si="5"/>
        <v>0</v>
      </c>
    </row>
    <row r="66" spans="2:16" ht="18" customHeight="1">
      <c r="B66" s="124"/>
      <c r="C66" s="150" t="s">
        <v>159</v>
      </c>
      <c r="D66" s="376">
        <f>IFERROR(VLOOKUP(C66,'تقرير المصروفات حسب الشهر'!$C$10:$AD$119,2,FALSE),0)</f>
        <v>15200</v>
      </c>
      <c r="E66" s="376">
        <f>IFERROR(VLOOKUP(C66,'تقرير المصروفات حسب الشهر'!$C$135:$AD$252,2,FALSE),0)</f>
        <v>18390</v>
      </c>
      <c r="F66" s="376">
        <f>_xlfn.XLOOKUP(C66,'تقرير المصروفات حسب الشهر'!C305:C417,'تقرير المصروفات حسب الشهر'!D305:D417,0,0)</f>
        <v>16510</v>
      </c>
      <c r="G66" s="376">
        <f>IFERROR(VLOOKUP(C66,'تقرير المصروفات حسب الشهر'!$C$387:$AD$495,2,FALSE),0)</f>
        <v>16575</v>
      </c>
      <c r="H66" s="376">
        <f>IFERROR(VLOOKUP(C66,'تقرير المصروفات حسب الشهر'!$C$512:$AD$620,2,FALSE),0)</f>
        <v>19360</v>
      </c>
      <c r="I66" s="515">
        <f>IFERROR(VLOOKUP(C66,'تقرير المصروفات حسب الشهر'!$C$637:$AD$746,2,FALSE),0)</f>
        <v>21073</v>
      </c>
      <c r="J66" s="376">
        <f>IFERROR(VLOOKUP(C66,'تقرير المصروفات حسب الشهر'!$C$763:$AD$872,2,FALSE),0)</f>
        <v>18755</v>
      </c>
      <c r="K66" s="376">
        <f>IFERROR(VLOOKUP(C66,'تقرير المصروفات حسب الشهر'!$C$889:$D$999,2,FALSE),0)</f>
        <v>22715</v>
      </c>
      <c r="L66" s="376">
        <f>IFERROR(VLOOKUP(C66,'تقرير المصروفات حسب الشهر'!$C$1016:$AD$1126,2,FALSE),0)</f>
        <v>22310</v>
      </c>
      <c r="M66" s="376">
        <f>IFERROR(VLOOKUP(C66,'تقرير المصروفات حسب الشهر'!$C$1143:$AD$1254,2,FALSE),0)</f>
        <v>20840</v>
      </c>
      <c r="N66" s="376">
        <f>IFERROR(VLOOKUP(C66,'تقرير المصروفات حسب الشهر'!$C$1270:$AD$1381,2,FALSE),0)</f>
        <v>18085</v>
      </c>
      <c r="O66" s="376">
        <f>IFERROR(VLOOKUP(C66,'تقرير المصروفات حسب الشهر'!$C$1397:$AI$1512,2,FALSE),0)</f>
        <v>26400</v>
      </c>
      <c r="P66" s="394">
        <f t="shared" si="5"/>
        <v>236213</v>
      </c>
    </row>
    <row r="67" spans="2:16" ht="18" customHeight="1">
      <c r="B67" s="124"/>
      <c r="C67" s="150" t="s">
        <v>72</v>
      </c>
      <c r="D67" s="376">
        <f>IFERROR(VLOOKUP(C67,'تقرير المصروفات حسب الشهر'!$C$10:$AD$119,2,FALSE),0)</f>
        <v>6000</v>
      </c>
      <c r="E67" s="376">
        <f>IFERROR(VLOOKUP(C67,'تقرير المصروفات حسب الشهر'!$C$135:$AD$252,2,FALSE),0)</f>
        <v>0</v>
      </c>
      <c r="F67" s="376">
        <f>_xlfn.XLOOKUP(C67,'تقرير المصروفات حسب الشهر'!C306:C418,'تقرير المصروفات حسب الشهر'!D306:D418,0,0)</f>
        <v>6000</v>
      </c>
      <c r="G67" s="376">
        <f>IFERROR(VLOOKUP(C67,'تقرير المصروفات حسب الشهر'!$C$387:$AD$495,2,FALSE),0)</f>
        <v>7850</v>
      </c>
      <c r="H67" s="376">
        <f>IFERROR(VLOOKUP(C67,'تقرير المصروفات حسب الشهر'!$C$512:$AD$620,2,FALSE),0)</f>
        <v>6000</v>
      </c>
      <c r="I67" s="515">
        <f>IFERROR(VLOOKUP(C67,'تقرير المصروفات حسب الشهر'!$C$637:$AD$746,2,FALSE),0)</f>
        <v>6000</v>
      </c>
      <c r="J67" s="376">
        <f>IFERROR(VLOOKUP(C67,'تقرير المصروفات حسب الشهر'!$C$763:$AD$872,2,FALSE),0)</f>
        <v>0</v>
      </c>
      <c r="K67" s="376">
        <f>IFERROR(VLOOKUP(C67,'تقرير المصروفات حسب الشهر'!$C$889:$D$999,2,FALSE),0)</f>
        <v>7050</v>
      </c>
      <c r="L67" s="376">
        <f>IFERROR(VLOOKUP(C67,'تقرير المصروفات حسب الشهر'!$C$1016:$AD$1126,2,FALSE),0)</f>
        <v>6000</v>
      </c>
      <c r="M67" s="376">
        <f>IFERROR(VLOOKUP(C67,'تقرير المصروفات حسب الشهر'!$C$1143:$AD$1254,2,FALSE),0)</f>
        <v>6000</v>
      </c>
      <c r="N67" s="376">
        <f>IFERROR(VLOOKUP(C67,'تقرير المصروفات حسب الشهر'!$C$1270:$AD$1381,2,FALSE),0)</f>
        <v>7050</v>
      </c>
      <c r="O67" s="376">
        <f>IFERROR(VLOOKUP(C67,'تقرير المصروفات حسب الشهر'!$C$1397:$AI$1512,2,FALSE),0)</f>
        <v>6000</v>
      </c>
      <c r="P67" s="394">
        <f t="shared" si="5"/>
        <v>63950</v>
      </c>
    </row>
    <row r="68" spans="2:16" ht="18" customHeight="1">
      <c r="B68" s="124"/>
      <c r="C68" s="150" t="s">
        <v>73</v>
      </c>
      <c r="D68" s="376">
        <f>IFERROR(VLOOKUP(C68,'تقرير المصروفات حسب الشهر'!$C$10:$AD$119,2,FALSE),0)</f>
        <v>0</v>
      </c>
      <c r="E68" s="376">
        <f>IFERROR(VLOOKUP(C68,'تقرير المصروفات حسب الشهر'!$C$135:$AD$252,2,FALSE),0)</f>
        <v>0</v>
      </c>
      <c r="F68" s="376">
        <f>_xlfn.XLOOKUP(C68,'تقرير المصروفات حسب الشهر'!C307:C419,'تقرير المصروفات حسب الشهر'!D307:D419,0,0)</f>
        <v>0</v>
      </c>
      <c r="G68" s="376">
        <f>IFERROR(VLOOKUP(C68,'تقرير المصروفات حسب الشهر'!$C$387:$AD$495,2,FALSE),0)</f>
        <v>0</v>
      </c>
      <c r="H68" s="376">
        <f>IFERROR(VLOOKUP(C68,'تقرير المصروفات حسب الشهر'!$C$512:$AD$620,2,FALSE),0)</f>
        <v>0</v>
      </c>
      <c r="I68" s="376">
        <f>IFERROR(VLOOKUP(C68,'تقرير المصروفات حسب الشهر'!$C$637:$AD$746,2,FALSE),0)</f>
        <v>0</v>
      </c>
      <c r="J68" s="376">
        <f>IFERROR(VLOOKUP(C68,'تقرير المصروفات حسب الشهر'!$C$763:$AD$872,2,FALSE),0)</f>
        <v>0</v>
      </c>
      <c r="K68" s="376">
        <f>IFERROR(VLOOKUP(C68,'تقرير المصروفات حسب الشهر'!$C$889:$D$999,2,FALSE),0)</f>
        <v>0</v>
      </c>
      <c r="L68" s="376">
        <f>IFERROR(VLOOKUP(C68,'تقرير المصروفات حسب الشهر'!$C$1016:$AD$1126,2,FALSE),0)</f>
        <v>0</v>
      </c>
      <c r="M68" s="376">
        <f>IFERROR(VLOOKUP(C68,'تقرير المصروفات حسب الشهر'!$C$1143:$AD$1254,2,FALSE),0)</f>
        <v>0</v>
      </c>
      <c r="N68" s="376">
        <f>IFERROR(VLOOKUP(C68,'تقرير المصروفات حسب الشهر'!$C$1270:$AD$1381,2,FALSE),0)</f>
        <v>0</v>
      </c>
      <c r="O68" s="376">
        <f>IFERROR(VLOOKUP(C68,'تقرير المصروفات حسب الشهر'!$C$1397:$AI$1512,2,FALSE),0)</f>
        <v>0</v>
      </c>
      <c r="P68" s="394">
        <f t="shared" si="5"/>
        <v>0</v>
      </c>
    </row>
    <row r="69" spans="2:16" ht="18" customHeight="1">
      <c r="B69" s="124"/>
      <c r="C69" s="150" t="s">
        <v>74</v>
      </c>
      <c r="D69" s="376">
        <f>IFERROR(VLOOKUP(C69,'تقرير المصروفات حسب الشهر'!$C$10:$AD$119,2,FALSE),0)</f>
        <v>0</v>
      </c>
      <c r="E69" s="376">
        <f>IFERROR(VLOOKUP(C69,'تقرير المصروفات حسب الشهر'!$C$135:$AD$252,2,FALSE),0)</f>
        <v>0</v>
      </c>
      <c r="F69" s="376">
        <f>_xlfn.XLOOKUP(C69,'تقرير المصروفات حسب الشهر'!C308:C420,'تقرير المصروفات حسب الشهر'!D308:D420,0,0)</f>
        <v>0</v>
      </c>
      <c r="G69" s="376">
        <f>IFERROR(VLOOKUP(C69,'تقرير المصروفات حسب الشهر'!$C$387:$AD$495,2,FALSE),0)</f>
        <v>0</v>
      </c>
      <c r="H69" s="376">
        <f>IFERROR(VLOOKUP(C69,'تقرير المصروفات حسب الشهر'!$C$512:$AD$620,2,FALSE),0)</f>
        <v>0</v>
      </c>
      <c r="I69" s="376">
        <f>IFERROR(VLOOKUP(C69,'تقرير المصروفات حسب الشهر'!$C$637:$AD$746,2,FALSE),0)</f>
        <v>0</v>
      </c>
      <c r="J69" s="376">
        <f>IFERROR(VLOOKUP(C69,'تقرير المصروفات حسب الشهر'!$C$763:$AD$872,2,FALSE),0)</f>
        <v>0</v>
      </c>
      <c r="K69" s="376">
        <f>IFERROR(VLOOKUP(C69,'تقرير المصروفات حسب الشهر'!$C$889:$D$999,2,FALSE),0)</f>
        <v>0</v>
      </c>
      <c r="L69" s="376">
        <f>IFERROR(VLOOKUP(C69,'تقرير المصروفات حسب الشهر'!$C$1016:$AD$1126,2,FALSE),0)</f>
        <v>0</v>
      </c>
      <c r="M69" s="376">
        <f>IFERROR(VLOOKUP(C69,'تقرير المصروفات حسب الشهر'!$C$1143:$AD$1254,2,FALSE),0)</f>
        <v>0</v>
      </c>
      <c r="N69" s="376">
        <f>IFERROR(VLOOKUP(C69,'تقرير المصروفات حسب الشهر'!$C$1270:$AD$1381,2,FALSE),0)</f>
        <v>0</v>
      </c>
      <c r="O69" s="376">
        <f>IFERROR(VLOOKUP(C69,'تقرير المصروفات حسب الشهر'!$C$1397:$AI$1512,2,FALSE),0)</f>
        <v>0</v>
      </c>
      <c r="P69" s="394">
        <f t="shared" si="5"/>
        <v>0</v>
      </c>
    </row>
    <row r="70" spans="2:16" ht="18" customHeight="1">
      <c r="B70" s="124"/>
      <c r="C70" s="150" t="s">
        <v>246</v>
      </c>
      <c r="D70" s="376">
        <f>IFERROR(VLOOKUP(C70,'تقرير المصروفات حسب الشهر'!$C$10:$AD$119,2,FALSE),0)</f>
        <v>1300</v>
      </c>
      <c r="E70" s="376">
        <f>IFERROR(VLOOKUP(C70,'تقرير المصروفات حسب الشهر'!$C$135:$AD$252,2,FALSE),0)</f>
        <v>9460</v>
      </c>
      <c r="F70" s="376">
        <f>_xlfn.XLOOKUP(C70,'تقرير المصروفات حسب الشهر'!C309:C421,'تقرير المصروفات حسب الشهر'!D309:D421,0,0)</f>
        <v>23875</v>
      </c>
      <c r="G70" s="376">
        <f>IFERROR(VLOOKUP(C70,'تقرير المصروفات حسب الشهر'!$C$387:$AD$495,2,FALSE),0)</f>
        <v>2000</v>
      </c>
      <c r="H70" s="376">
        <f>IFERROR(VLOOKUP(C70,'تقرير المصروفات حسب الشهر'!$C$512:$AD$620,2,FALSE),0)</f>
        <v>2150</v>
      </c>
      <c r="I70" s="513">
        <f>IFERROR(VLOOKUP(C70,'تقرير المصروفات حسب الشهر'!$C$637:$AD$746,2,FALSE),0)</f>
        <v>1150</v>
      </c>
      <c r="J70" s="518">
        <f>IFERROR(VLOOKUP(C70,'تقرير المصروفات حسب الشهر'!$C$763:$AD$872,2,FALSE),0)</f>
        <v>9015</v>
      </c>
      <c r="K70" s="376">
        <f>IFERROR(VLOOKUP(C70,'تقرير المصروفات حسب الشهر'!$C$889:$D$999,2,FALSE),0)</f>
        <v>45331</v>
      </c>
      <c r="L70" s="376">
        <f>IFERROR(VLOOKUP(C70,'تقرير المصروفات حسب الشهر'!$C$1016:$AD$1126,2,FALSE),0)</f>
        <v>1750</v>
      </c>
      <c r="M70" s="376">
        <f>IFERROR(VLOOKUP(C70,'تقرير المصروفات حسب الشهر'!$C$1143:$AD$1254,2,FALSE),0)</f>
        <v>1000</v>
      </c>
      <c r="N70" s="376">
        <f>IFERROR(VLOOKUP(C70,'تقرير المصروفات حسب الشهر'!$C$1270:$AD$1381,2,FALSE),0)</f>
        <v>6255</v>
      </c>
      <c r="O70" s="376">
        <f>IFERROR(VLOOKUP(C70,'تقرير المصروفات حسب الشهر'!$C$1397:$AI$1512,2,FALSE),0)</f>
        <v>2335</v>
      </c>
      <c r="P70" s="394">
        <f t="shared" si="5"/>
        <v>105621</v>
      </c>
    </row>
    <row r="71" spans="2:16" ht="18" customHeight="1">
      <c r="B71" s="124"/>
      <c r="C71" s="150" t="s">
        <v>75</v>
      </c>
      <c r="D71" s="376">
        <f>IFERROR(VLOOKUP(C71,'تقرير المصروفات حسب الشهر'!$C$10:$AD$119,2,FALSE),0)</f>
        <v>8285</v>
      </c>
      <c r="E71" s="376">
        <f>IFERROR(VLOOKUP(C71,'تقرير المصروفات حسب الشهر'!$C$135:$AD$252,2,FALSE),0)</f>
        <v>0</v>
      </c>
      <c r="F71" s="376">
        <f>_xlfn.XLOOKUP(C71,'تقرير المصروفات حسب الشهر'!C310:C422,'تقرير المصروفات حسب الشهر'!D310:D422,0,0)</f>
        <v>0</v>
      </c>
      <c r="G71" s="376">
        <f>IFERROR(VLOOKUP(C71,'تقرير المصروفات حسب الشهر'!$C$387:$AD$495,2,FALSE),0)</f>
        <v>785</v>
      </c>
      <c r="H71" s="376">
        <f>IFERROR(VLOOKUP(C71,'تقرير المصروفات حسب الشهر'!$C$512:$AD$620,2,FALSE),0)</f>
        <v>0</v>
      </c>
      <c r="I71" s="376">
        <f>IFERROR(VLOOKUP(C71,'تقرير المصروفات حسب الشهر'!$C$637:$AD$746,2,FALSE),0)</f>
        <v>0</v>
      </c>
      <c r="J71" s="376">
        <f>IFERROR(VLOOKUP(C71,'تقرير المصروفات حسب الشهر'!$C$763:$AD$872,2,FALSE),0)</f>
        <v>0</v>
      </c>
      <c r="K71" s="376">
        <f>IFERROR(VLOOKUP(C71,'تقرير المصروفات حسب الشهر'!$C$889:$D$999,2,FALSE),0)</f>
        <v>0</v>
      </c>
      <c r="L71" s="376">
        <f>IFERROR(VLOOKUP(C71,'تقرير المصروفات حسب الشهر'!$C$1016:$AD$1126,2,FALSE),0)</f>
        <v>0</v>
      </c>
      <c r="M71" s="376">
        <f>IFERROR(VLOOKUP(C71,'تقرير المصروفات حسب الشهر'!$C$1143:$AD$1254,2,FALSE),0)</f>
        <v>0</v>
      </c>
      <c r="N71" s="376">
        <f>IFERROR(VLOOKUP(C71,'تقرير المصروفات حسب الشهر'!$C$1270:$AD$1381,2,FALSE),0)</f>
        <v>0</v>
      </c>
      <c r="O71" s="376">
        <f>IFERROR(VLOOKUP(C71,'تقرير المصروفات حسب الشهر'!$C$1397:$AI$1512,2,FALSE),0)</f>
        <v>0</v>
      </c>
      <c r="P71" s="394">
        <f t="shared" si="5"/>
        <v>9070</v>
      </c>
    </row>
    <row r="72" spans="2:16" ht="18" customHeight="1">
      <c r="B72" s="124"/>
      <c r="C72" s="150" t="s">
        <v>76</v>
      </c>
      <c r="D72" s="376">
        <f>IFERROR(VLOOKUP(C72,'تقرير المصروفات حسب الشهر'!$C$10:$AD$119,2,FALSE),0)</f>
        <v>0</v>
      </c>
      <c r="E72" s="376">
        <f>IFERROR(VLOOKUP(C72,'تقرير المصروفات حسب الشهر'!$C$135:$AD$252,2,FALSE),0)</f>
        <v>0</v>
      </c>
      <c r="F72" s="376">
        <f>_xlfn.XLOOKUP(C72,'تقرير المصروفات حسب الشهر'!C311:C423,'تقرير المصروفات حسب الشهر'!D311:D423,0,0)</f>
        <v>0</v>
      </c>
      <c r="G72" s="376">
        <f>IFERROR(VLOOKUP(C72,'تقرير المصروفات حسب الشهر'!$C$387:$AD$495,2,FALSE),0)</f>
        <v>0</v>
      </c>
      <c r="H72" s="376">
        <f>IFERROR(VLOOKUP(C72,'تقرير المصروفات حسب الشهر'!$C$512:$AD$620,2,FALSE),0)</f>
        <v>0</v>
      </c>
      <c r="I72" s="376">
        <f>IFERROR(VLOOKUP(C72,'تقرير المصروفات حسب الشهر'!$C$637:$AD$746,2,FALSE),0)</f>
        <v>0</v>
      </c>
      <c r="J72" s="376">
        <f>IFERROR(VLOOKUP(C72,'تقرير المصروفات حسب الشهر'!$C$763:$AD$872,2,FALSE),0)</f>
        <v>0</v>
      </c>
      <c r="K72" s="376">
        <f>IFERROR(VLOOKUP(C72,'تقرير المصروفات حسب الشهر'!$C$889:$D$999,2,FALSE),0)</f>
        <v>0</v>
      </c>
      <c r="L72" s="376">
        <f>IFERROR(VLOOKUP(C72,'تقرير المصروفات حسب الشهر'!$C$1016:$AD$1126,2,FALSE),0)</f>
        <v>0</v>
      </c>
      <c r="M72" s="376">
        <f>IFERROR(VLOOKUP(C72,'تقرير المصروفات حسب الشهر'!$C$1143:$AD$1254,2,FALSE),0)</f>
        <v>0</v>
      </c>
      <c r="N72" s="376">
        <f>IFERROR(VLOOKUP(C72,'تقرير المصروفات حسب الشهر'!$C$1270:$AD$1381,2,FALSE),0)</f>
        <v>0</v>
      </c>
      <c r="O72" s="376">
        <f>IFERROR(VLOOKUP(C72,'تقرير المصروفات حسب الشهر'!$C$1397:$AI$1512,2,FALSE),0)</f>
        <v>0</v>
      </c>
      <c r="P72" s="394">
        <f t="shared" si="5"/>
        <v>0</v>
      </c>
    </row>
    <row r="73" spans="2:16" ht="18" customHeight="1">
      <c r="B73" s="124"/>
      <c r="C73" s="150" t="s">
        <v>77</v>
      </c>
      <c r="D73" s="376">
        <f>IFERROR(VLOOKUP(C73,'تقرير المصروفات حسب الشهر'!$C$10:$AD$119,2,FALSE),0)</f>
        <v>0</v>
      </c>
      <c r="E73" s="376">
        <f>IFERROR(VLOOKUP(C73,'تقرير المصروفات حسب الشهر'!$C$135:$AD$252,2,FALSE),0)</f>
        <v>0</v>
      </c>
      <c r="F73" s="376">
        <f>_xlfn.XLOOKUP(C73,'تقرير المصروفات حسب الشهر'!C312:C424,'تقرير المصروفات حسب الشهر'!D312:D424,0,0)</f>
        <v>0</v>
      </c>
      <c r="G73" s="376">
        <f>IFERROR(VLOOKUP(C73,'تقرير المصروفات حسب الشهر'!$C$387:$AD$495,2,FALSE),0)</f>
        <v>0</v>
      </c>
      <c r="H73" s="376">
        <f>IFERROR(VLOOKUP(C73,'تقرير المصروفات حسب الشهر'!$C$512:$AD$620,2,FALSE),0)</f>
        <v>0</v>
      </c>
      <c r="I73" s="376">
        <f>IFERROR(VLOOKUP(C73,'تقرير المصروفات حسب الشهر'!$C$637:$AD$746,2,FALSE),0)</f>
        <v>0</v>
      </c>
      <c r="J73" s="376">
        <f>IFERROR(VLOOKUP(C73,'تقرير المصروفات حسب الشهر'!$C$763:$AD$872,2,FALSE),0)</f>
        <v>0</v>
      </c>
      <c r="K73" s="376">
        <f>IFERROR(VLOOKUP(C73,'تقرير المصروفات حسب الشهر'!$C$889:$D$999,2,FALSE),0)</f>
        <v>0</v>
      </c>
      <c r="L73" s="376">
        <f>IFERROR(VLOOKUP(C73,'تقرير المصروفات حسب الشهر'!$C$1016:$AD$1126,2,FALSE),0)</f>
        <v>0</v>
      </c>
      <c r="M73" s="376">
        <f>IFERROR(VLOOKUP(C73,'تقرير المصروفات حسب الشهر'!$C$1143:$AD$1254,2,FALSE),0)</f>
        <v>0</v>
      </c>
      <c r="N73" s="376">
        <f>IFERROR(VLOOKUP(C73,'تقرير المصروفات حسب الشهر'!$C$1270:$AD$1381,2,FALSE),0)</f>
        <v>0</v>
      </c>
      <c r="O73" s="376">
        <f>IFERROR(VLOOKUP(C73,'تقرير المصروفات حسب الشهر'!$C$1397:$AI$1512,2,FALSE),0)</f>
        <v>0</v>
      </c>
      <c r="P73" s="394">
        <f t="shared" si="5"/>
        <v>0</v>
      </c>
    </row>
    <row r="74" spans="2:16" ht="18" customHeight="1">
      <c r="B74" s="124"/>
      <c r="C74" s="150" t="s">
        <v>78</v>
      </c>
      <c r="D74" s="376">
        <f>IFERROR(VLOOKUP(C74,'تقرير المصروفات حسب الشهر'!$C$10:$AD$119,2,FALSE),0)</f>
        <v>0</v>
      </c>
      <c r="E74" s="376">
        <f>IFERROR(VLOOKUP(C74,'تقرير المصروفات حسب الشهر'!$C$135:$AD$252,2,FALSE),0)</f>
        <v>0</v>
      </c>
      <c r="F74" s="376">
        <f>_xlfn.XLOOKUP(C74,'تقرير المصروفات حسب الشهر'!C313:C425,'تقرير المصروفات حسب الشهر'!D313:D425,0,0)</f>
        <v>0</v>
      </c>
      <c r="G74" s="376">
        <f>IFERROR(VLOOKUP(C74,'تقرير المصروفات حسب الشهر'!$C$387:$AD$495,2,FALSE),0)</f>
        <v>0</v>
      </c>
      <c r="H74" s="376">
        <f>IFERROR(VLOOKUP(C74,'تقرير المصروفات حسب الشهر'!$C$512:$AD$620,2,FALSE),0)</f>
        <v>0</v>
      </c>
      <c r="I74" s="376">
        <f>IFERROR(VLOOKUP(C74,'تقرير المصروفات حسب الشهر'!$C$637:$AD$746,2,FALSE),0)</f>
        <v>0</v>
      </c>
      <c r="J74" s="376">
        <f>IFERROR(VLOOKUP(C74,'تقرير المصروفات حسب الشهر'!$C$763:$AD$872,2,FALSE),0)</f>
        <v>0</v>
      </c>
      <c r="K74" s="376">
        <f>IFERROR(VLOOKUP(C74,'تقرير المصروفات حسب الشهر'!$C$889:$D$999,2,FALSE),0)</f>
        <v>0</v>
      </c>
      <c r="L74" s="376">
        <f>IFERROR(VLOOKUP(C74,'تقرير المصروفات حسب الشهر'!$C$1016:$AD$1126,2,FALSE),0)</f>
        <v>0</v>
      </c>
      <c r="M74" s="376">
        <f>IFERROR(VLOOKUP(C74,'تقرير المصروفات حسب الشهر'!$C$1143:$AD$1254,2,FALSE),0)</f>
        <v>0</v>
      </c>
      <c r="N74" s="376">
        <f>IFERROR(VLOOKUP(C74,'تقرير المصروفات حسب الشهر'!$C$1270:$AD$1381,2,FALSE),0)</f>
        <v>0</v>
      </c>
      <c r="O74" s="376">
        <f>IFERROR(VLOOKUP(C74,'تقرير المصروفات حسب الشهر'!$C$1397:$AI$1512,2,FALSE),0)</f>
        <v>0</v>
      </c>
      <c r="P74" s="394">
        <f t="shared" si="5"/>
        <v>0</v>
      </c>
    </row>
    <row r="75" spans="2:16" ht="18" customHeight="1">
      <c r="B75" s="124"/>
      <c r="C75" s="150" t="s">
        <v>79</v>
      </c>
      <c r="D75" s="376">
        <f>IFERROR(VLOOKUP(C75,'تقرير المصروفات حسب الشهر'!$C$10:$AD$119,2,FALSE),0)</f>
        <v>0</v>
      </c>
      <c r="E75" s="376">
        <f>IFERROR(VLOOKUP(C75,'تقرير المصروفات حسب الشهر'!$C$135:$AD$252,2,FALSE),0)</f>
        <v>0</v>
      </c>
      <c r="F75" s="376">
        <f>_xlfn.XLOOKUP(C75,'تقرير المصروفات حسب الشهر'!C314:C426,'تقرير المصروفات حسب الشهر'!D314:D426,0,0)</f>
        <v>0</v>
      </c>
      <c r="G75" s="376">
        <f>IFERROR(VLOOKUP(C75,'تقرير المصروفات حسب الشهر'!$C$387:$AD$495,2,FALSE),0)</f>
        <v>0</v>
      </c>
      <c r="H75" s="376">
        <f>IFERROR(VLOOKUP(C75,'تقرير المصروفات حسب الشهر'!$C$512:$AD$620,2,FALSE),0)</f>
        <v>0</v>
      </c>
      <c r="I75" s="376">
        <f>IFERROR(VLOOKUP(C75,'تقرير المصروفات حسب الشهر'!$C$637:$AD$746,2,FALSE),0)</f>
        <v>0</v>
      </c>
      <c r="J75" s="376">
        <f>IFERROR(VLOOKUP(C75,'تقرير المصروفات حسب الشهر'!$C$763:$AD$872,2,FALSE),0)</f>
        <v>0</v>
      </c>
      <c r="K75" s="376">
        <f>IFERROR(VLOOKUP(C75,'تقرير المصروفات حسب الشهر'!$C$889:$D$999,2,FALSE),0)</f>
        <v>0</v>
      </c>
      <c r="L75" s="376">
        <f>IFERROR(VLOOKUP(C75,'تقرير المصروفات حسب الشهر'!$C$1016:$AD$1126,2,FALSE),0)</f>
        <v>0</v>
      </c>
      <c r="M75" s="376">
        <f>IFERROR(VLOOKUP(C75,'تقرير المصروفات حسب الشهر'!$C$1143:$AD$1254,2,FALSE),0)</f>
        <v>0</v>
      </c>
      <c r="N75" s="376">
        <f>IFERROR(VLOOKUP(C75,'تقرير المصروفات حسب الشهر'!$C$1270:$AD$1381,2,FALSE),0)</f>
        <v>0</v>
      </c>
      <c r="O75" s="376">
        <f>IFERROR(VLOOKUP(C75,'تقرير المصروفات حسب الشهر'!$C$1397:$AI$1512,2,FALSE),0)</f>
        <v>0</v>
      </c>
      <c r="P75" s="394">
        <f t="shared" si="5"/>
        <v>0</v>
      </c>
    </row>
    <row r="76" spans="2:16" ht="18" customHeight="1">
      <c r="B76" s="124"/>
      <c r="C76" s="150" t="s">
        <v>80</v>
      </c>
      <c r="D76" s="376">
        <f>IFERROR(VLOOKUP(C76,'تقرير المصروفات حسب الشهر'!$C$10:$AD$119,2,FALSE),0)</f>
        <v>0</v>
      </c>
      <c r="E76" s="376">
        <f>IFERROR(VLOOKUP(C76,'تقرير المصروفات حسب الشهر'!$C$135:$AD$252,2,FALSE),0)</f>
        <v>0</v>
      </c>
      <c r="F76" s="376">
        <f>_xlfn.XLOOKUP(C76,'تقرير المصروفات حسب الشهر'!C315:C427,'تقرير المصروفات حسب الشهر'!D315:D427,0,0)</f>
        <v>0</v>
      </c>
      <c r="G76" s="376">
        <f>IFERROR(VLOOKUP(C76,'تقرير المصروفات حسب الشهر'!$C$387:$AD$495,2,FALSE),0)</f>
        <v>0</v>
      </c>
      <c r="H76" s="376">
        <f>IFERROR(VLOOKUP(C76,'تقرير المصروفات حسب الشهر'!$C$512:$AD$620,2,FALSE),0)</f>
        <v>0</v>
      </c>
      <c r="I76" s="376">
        <f>IFERROR(VLOOKUP(C76,'تقرير المصروفات حسب الشهر'!$C$637:$AD$746,2,FALSE),0)</f>
        <v>0</v>
      </c>
      <c r="J76" s="376">
        <f>IFERROR(VLOOKUP(C76,'تقرير المصروفات حسب الشهر'!$C$763:$AD$872,2,FALSE),0)</f>
        <v>0</v>
      </c>
      <c r="K76" s="376">
        <f>IFERROR(VLOOKUP(C76,'تقرير المصروفات حسب الشهر'!$C$889:$D$999,2,FALSE),0)</f>
        <v>0</v>
      </c>
      <c r="L76" s="376">
        <f>IFERROR(VLOOKUP(C76,'تقرير المصروفات حسب الشهر'!$C$1016:$AD$1126,2,FALSE),0)</f>
        <v>0</v>
      </c>
      <c r="M76" s="376">
        <f>IFERROR(VLOOKUP(C76,'تقرير المصروفات حسب الشهر'!$C$1143:$AD$1254,2,FALSE),0)</f>
        <v>0</v>
      </c>
      <c r="N76" s="376">
        <f>IFERROR(VLOOKUP(C76,'تقرير المصروفات حسب الشهر'!$C$1270:$AD$1381,2,FALSE),0)</f>
        <v>0</v>
      </c>
      <c r="O76" s="376">
        <f>IFERROR(VLOOKUP(C76,'تقرير المصروفات حسب الشهر'!$C$1397:$AI$1512,2,FALSE),0)</f>
        <v>0</v>
      </c>
      <c r="P76" s="394">
        <f t="shared" si="5"/>
        <v>0</v>
      </c>
    </row>
    <row r="77" spans="2:16" ht="18" customHeight="1">
      <c r="B77" s="124"/>
      <c r="C77" s="150" t="s">
        <v>81</v>
      </c>
      <c r="D77" s="376">
        <f>IFERROR(VLOOKUP(C77,'تقرير المصروفات حسب الشهر'!$C$10:$AD$119,2,FALSE),0)</f>
        <v>0</v>
      </c>
      <c r="E77" s="376">
        <f>IFERROR(VLOOKUP(C77,'تقرير المصروفات حسب الشهر'!$C$135:$AD$252,2,FALSE),0)</f>
        <v>0</v>
      </c>
      <c r="F77" s="376">
        <f>_xlfn.XLOOKUP(C77,'تقرير المصروفات حسب الشهر'!C316:C428,'تقرير المصروفات حسب الشهر'!D316:D428,0,0)</f>
        <v>0</v>
      </c>
      <c r="G77" s="376">
        <f>IFERROR(VLOOKUP(C77,'تقرير المصروفات حسب الشهر'!$C$387:$AD$495,2,FALSE),0)</f>
        <v>0</v>
      </c>
      <c r="H77" s="376">
        <f>IFERROR(VLOOKUP(C77,'تقرير المصروفات حسب الشهر'!$C$512:$AD$620,2,FALSE),0)</f>
        <v>0</v>
      </c>
      <c r="I77" s="376">
        <f>IFERROR(VLOOKUP(C77,'تقرير المصروفات حسب الشهر'!$C$637:$AD$746,2,FALSE),0)</f>
        <v>0</v>
      </c>
      <c r="J77" s="376">
        <f>IFERROR(VLOOKUP(C77,'تقرير المصروفات حسب الشهر'!$C$763:$AD$872,2,FALSE),0)</f>
        <v>0</v>
      </c>
      <c r="K77" s="376">
        <f>IFERROR(VLOOKUP(C77,'تقرير المصروفات حسب الشهر'!$C$889:$D$999,2,FALSE),0)</f>
        <v>0</v>
      </c>
      <c r="L77" s="376">
        <f>IFERROR(VLOOKUP(C77,'تقرير المصروفات حسب الشهر'!$C$1016:$AD$1126,2,FALSE),0)</f>
        <v>0</v>
      </c>
      <c r="M77" s="376">
        <f>IFERROR(VLOOKUP(C77,'تقرير المصروفات حسب الشهر'!$C$1143:$AD$1254,2,FALSE),0)</f>
        <v>0</v>
      </c>
      <c r="N77" s="376">
        <f>IFERROR(VLOOKUP(C77,'تقرير المصروفات حسب الشهر'!$C$1270:$AD$1381,2,FALSE),0)</f>
        <v>0</v>
      </c>
      <c r="O77" s="376">
        <f>IFERROR(VLOOKUP(C77,'تقرير المصروفات حسب الشهر'!$C$1397:$AI$1512,2,FALSE),0)</f>
        <v>0</v>
      </c>
      <c r="P77" s="394">
        <f t="shared" si="5"/>
        <v>0</v>
      </c>
    </row>
    <row r="78" spans="2:16" ht="18" customHeight="1">
      <c r="B78" s="124"/>
      <c r="C78" s="150" t="s">
        <v>82</v>
      </c>
      <c r="D78" s="376">
        <f>IFERROR(VLOOKUP(C78,'تقرير المصروفات حسب الشهر'!$C$10:$AD$119,2,FALSE),0)</f>
        <v>0</v>
      </c>
      <c r="E78" s="376">
        <f>IFERROR(VLOOKUP(C78,'تقرير المصروفات حسب الشهر'!$C$135:$AD$252,2,FALSE),0)</f>
        <v>0</v>
      </c>
      <c r="F78" s="376">
        <f>_xlfn.XLOOKUP(C78,'تقرير المصروفات حسب الشهر'!C317:C429,'تقرير المصروفات حسب الشهر'!D317:D429,0,0)</f>
        <v>0</v>
      </c>
      <c r="G78" s="376">
        <f>IFERROR(VLOOKUP(C78,'تقرير المصروفات حسب الشهر'!$C$387:$AD$495,2,FALSE),0)</f>
        <v>0</v>
      </c>
      <c r="H78" s="376">
        <f>IFERROR(VLOOKUP(C78,'تقرير المصروفات حسب الشهر'!$C$512:$AD$620,2,FALSE),0)</f>
        <v>0</v>
      </c>
      <c r="I78" s="376">
        <f>IFERROR(VLOOKUP(C78,'تقرير المصروفات حسب الشهر'!$C$637:$AD$746,2,FALSE),0)</f>
        <v>0</v>
      </c>
      <c r="J78" s="376">
        <f>IFERROR(VLOOKUP(C78,'تقرير المصروفات حسب الشهر'!$C$763:$AD$872,2,FALSE),0)</f>
        <v>0</v>
      </c>
      <c r="K78" s="376">
        <f>IFERROR(VLOOKUP(C78,'تقرير المصروفات حسب الشهر'!$C$889:$D$999,2,FALSE),0)</f>
        <v>0</v>
      </c>
      <c r="L78" s="376">
        <f>IFERROR(VLOOKUP(C78,'تقرير المصروفات حسب الشهر'!$C$1016:$AD$1126,2,FALSE),0)</f>
        <v>0</v>
      </c>
      <c r="M78" s="376">
        <f>IFERROR(VLOOKUP(C78,'تقرير المصروفات حسب الشهر'!$C$1143:$AD$1254,2,FALSE),0)</f>
        <v>0</v>
      </c>
      <c r="N78" s="376">
        <f>IFERROR(VLOOKUP(C78,'تقرير المصروفات حسب الشهر'!$C$1270:$AD$1381,2,FALSE),0)</f>
        <v>0</v>
      </c>
      <c r="O78" s="376">
        <f>IFERROR(VLOOKUP(C78,'تقرير المصروفات حسب الشهر'!$C$1397:$AI$1512,2,FALSE),0)</f>
        <v>0</v>
      </c>
      <c r="P78" s="394">
        <f t="shared" si="5"/>
        <v>0</v>
      </c>
    </row>
    <row r="79" spans="2:16" ht="18" customHeight="1">
      <c r="B79" s="124"/>
      <c r="C79" s="150" t="s">
        <v>83</v>
      </c>
      <c r="D79" s="376">
        <f>IFERROR(VLOOKUP(C79,'تقرير المصروفات حسب الشهر'!$C$10:$AD$119,2,FALSE),0)</f>
        <v>0</v>
      </c>
      <c r="E79" s="376">
        <f>IFERROR(VLOOKUP(C79,'تقرير المصروفات حسب الشهر'!$C$135:$AD$252,2,FALSE),0)</f>
        <v>0</v>
      </c>
      <c r="F79" s="376">
        <f>_xlfn.XLOOKUP(C79,'تقرير المصروفات حسب الشهر'!C318:C430,'تقرير المصروفات حسب الشهر'!D318:D430,0,0)</f>
        <v>0</v>
      </c>
      <c r="G79" s="376">
        <f>IFERROR(VLOOKUP(C79,'تقرير المصروفات حسب الشهر'!$C$387:$AD$495,2,FALSE),0)</f>
        <v>0</v>
      </c>
      <c r="H79" s="376">
        <f>IFERROR(VLOOKUP(C79,'تقرير المصروفات حسب الشهر'!$C$512:$AD$620,2,FALSE),0)</f>
        <v>0</v>
      </c>
      <c r="I79" s="376">
        <f>IFERROR(VLOOKUP(C79,'تقرير المصروفات حسب الشهر'!$C$637:$AD$746,2,FALSE),0)</f>
        <v>0</v>
      </c>
      <c r="J79" s="376">
        <f>IFERROR(VLOOKUP(C79,'تقرير المصروفات حسب الشهر'!$C$763:$AD$872,2,FALSE),0)</f>
        <v>0</v>
      </c>
      <c r="K79" s="376">
        <f>IFERROR(VLOOKUP(C79,'تقرير المصروفات حسب الشهر'!$C$889:$D$999,2,FALSE),0)</f>
        <v>0</v>
      </c>
      <c r="L79" s="376">
        <f>IFERROR(VLOOKUP(C79,'تقرير المصروفات حسب الشهر'!$C$1016:$AD$1126,2,FALSE),0)</f>
        <v>0</v>
      </c>
      <c r="M79" s="376">
        <f>IFERROR(VLOOKUP(C79,'تقرير المصروفات حسب الشهر'!$C$1143:$AD$1254,2,FALSE),0)</f>
        <v>0</v>
      </c>
      <c r="N79" s="376">
        <f>IFERROR(VLOOKUP(C79,'تقرير المصروفات حسب الشهر'!$C$1270:$AD$1381,2,FALSE),0)</f>
        <v>0</v>
      </c>
      <c r="O79" s="376">
        <f>IFERROR(VLOOKUP(C79,'تقرير المصروفات حسب الشهر'!$C$1397:$AI$1512,2,FALSE),0)</f>
        <v>0</v>
      </c>
      <c r="P79" s="394">
        <f t="shared" si="5"/>
        <v>0</v>
      </c>
    </row>
    <row r="80" spans="2:16" ht="18" customHeight="1">
      <c r="B80" s="124"/>
      <c r="C80" s="150" t="s">
        <v>84</v>
      </c>
      <c r="D80" s="376">
        <f>IFERROR(VLOOKUP(C80,'تقرير المصروفات حسب الشهر'!$C$10:$AD$119,2,FALSE),0)</f>
        <v>0</v>
      </c>
      <c r="E80" s="376">
        <f>IFERROR(VLOOKUP(C80,'تقرير المصروفات حسب الشهر'!$C$135:$AD$252,2,FALSE),0)</f>
        <v>0</v>
      </c>
      <c r="F80" s="376">
        <f>_xlfn.XLOOKUP(C80,'تقرير المصروفات حسب الشهر'!C319:C431,'تقرير المصروفات حسب الشهر'!D319:D431,0,0)</f>
        <v>0</v>
      </c>
      <c r="G80" s="376">
        <f>IFERROR(VLOOKUP(C80,'تقرير المصروفات حسب الشهر'!$C$387:$AD$495,2,FALSE),0)</f>
        <v>0</v>
      </c>
      <c r="H80" s="376">
        <f>IFERROR(VLOOKUP(C80,'تقرير المصروفات حسب الشهر'!$C$512:$AD$620,2,FALSE),0)</f>
        <v>0</v>
      </c>
      <c r="I80" s="376">
        <f>IFERROR(VLOOKUP(C80,'تقرير المصروفات حسب الشهر'!$C$637:$AD$746,2,FALSE),0)</f>
        <v>0</v>
      </c>
      <c r="J80" s="376">
        <f>IFERROR(VLOOKUP(C80,'تقرير المصروفات حسب الشهر'!$C$763:$AD$872,2,FALSE),0)</f>
        <v>0</v>
      </c>
      <c r="K80" s="376">
        <f>IFERROR(VLOOKUP(C80,'تقرير المصروفات حسب الشهر'!$C$889:$D$999,2,FALSE),0)</f>
        <v>0</v>
      </c>
      <c r="L80" s="376">
        <f>IFERROR(VLOOKUP(C80,'تقرير المصروفات حسب الشهر'!$C$1016:$AD$1126,2,FALSE),0)</f>
        <v>0</v>
      </c>
      <c r="M80" s="376">
        <f>IFERROR(VLOOKUP(C80,'تقرير المصروفات حسب الشهر'!$C$1143:$AD$1254,2,FALSE),0)</f>
        <v>0</v>
      </c>
      <c r="N80" s="376">
        <f>IFERROR(VLOOKUP(C80,'تقرير المصروفات حسب الشهر'!$C$1270:$AD$1381,2,FALSE),0)</f>
        <v>0</v>
      </c>
      <c r="O80" s="376">
        <f>IFERROR(VLOOKUP(C80,'تقرير المصروفات حسب الشهر'!$C$1397:$AI$1512,2,FALSE),0)</f>
        <v>0</v>
      </c>
      <c r="P80" s="394">
        <f t="shared" si="5"/>
        <v>0</v>
      </c>
    </row>
    <row r="81" spans="2:16" ht="18" customHeight="1">
      <c r="B81" s="124"/>
      <c r="C81" s="150" t="s">
        <v>85</v>
      </c>
      <c r="D81" s="376">
        <f>IFERROR(VLOOKUP(C81,'تقرير المصروفات حسب الشهر'!$C$10:$AD$119,2,FALSE),0)</f>
        <v>0</v>
      </c>
      <c r="E81" s="376">
        <f>IFERROR(VLOOKUP(C81,'تقرير المصروفات حسب الشهر'!$C$135:$AD$252,2,FALSE),0)</f>
        <v>0</v>
      </c>
      <c r="F81" s="376">
        <f>_xlfn.XLOOKUP(C81,'تقرير المصروفات حسب الشهر'!C320:C432,'تقرير المصروفات حسب الشهر'!D320:D432,0,0)</f>
        <v>0</v>
      </c>
      <c r="G81" s="376">
        <f>IFERROR(VLOOKUP(C81,'تقرير المصروفات حسب الشهر'!$C$387:$AD$495,2,FALSE),0)</f>
        <v>0</v>
      </c>
      <c r="H81" s="376">
        <f>IFERROR(VLOOKUP(C81,'تقرير المصروفات حسب الشهر'!$C$512:$AD$620,2,FALSE),0)</f>
        <v>4359</v>
      </c>
      <c r="I81" s="376">
        <f>IFERROR(VLOOKUP(C81,'تقرير المصروفات حسب الشهر'!$C$637:$AD$746,2,FALSE),0)</f>
        <v>0</v>
      </c>
      <c r="J81" s="376">
        <f>IFERROR(VLOOKUP(C81,'تقرير المصروفات حسب الشهر'!$C$763:$AD$872,2,FALSE),0)</f>
        <v>49605</v>
      </c>
      <c r="K81" s="376">
        <f>IFERROR(VLOOKUP(C81,'تقرير المصروفات حسب الشهر'!$C$889:$D$999,2,FALSE),0)</f>
        <v>300</v>
      </c>
      <c r="L81" s="376">
        <f>IFERROR(VLOOKUP(C81,'تقرير المصروفات حسب الشهر'!$C$1016:$AD$1126,2,FALSE),0)</f>
        <v>0</v>
      </c>
      <c r="M81" s="376">
        <f>IFERROR(VLOOKUP(C81,'تقرير المصروفات حسب الشهر'!$C$1143:$AD$1254,2,FALSE),0)</f>
        <v>0</v>
      </c>
      <c r="N81" s="376">
        <f>IFERROR(VLOOKUP(C81,'تقرير المصروفات حسب الشهر'!$C$1270:$AD$1381,2,FALSE),0)</f>
        <v>0</v>
      </c>
      <c r="O81" s="376">
        <f>IFERROR(VLOOKUP(C81,'تقرير المصروفات حسب الشهر'!$C$1397:$AI$1512,2,FALSE),0)</f>
        <v>0</v>
      </c>
      <c r="P81" s="394">
        <f t="shared" si="5"/>
        <v>54264</v>
      </c>
    </row>
    <row r="82" spans="2:16" ht="18" customHeight="1">
      <c r="B82" s="124"/>
      <c r="C82" s="150" t="s">
        <v>86</v>
      </c>
      <c r="D82" s="376">
        <f>IFERROR(VLOOKUP(C82,'تقرير المصروفات حسب الشهر'!$C$10:$AD$119,2,FALSE),0)</f>
        <v>0</v>
      </c>
      <c r="E82" s="376">
        <f>IFERROR(VLOOKUP(C82,'تقرير المصروفات حسب الشهر'!$C$135:$AD$252,2,FALSE),0)</f>
        <v>0</v>
      </c>
      <c r="F82" s="376">
        <f>_xlfn.XLOOKUP(C82,'تقرير المصروفات حسب الشهر'!C321:C433,'تقرير المصروفات حسب الشهر'!D321:D433,0,0)</f>
        <v>0</v>
      </c>
      <c r="G82" s="376">
        <f>IFERROR(VLOOKUP(C82,'تقرير المصروفات حسب الشهر'!$C$387:$AD$495,2,FALSE),0)</f>
        <v>0</v>
      </c>
      <c r="H82" s="376">
        <f>IFERROR(VLOOKUP(C82,'تقرير المصروفات حسب الشهر'!$C$512:$AD$620,2,FALSE),0)</f>
        <v>0</v>
      </c>
      <c r="I82" s="376">
        <f>IFERROR(VLOOKUP(C82,'تقرير المصروفات حسب الشهر'!$C$637:$AD$746,2,FALSE),0)</f>
        <v>0</v>
      </c>
      <c r="J82" s="376">
        <f>IFERROR(VLOOKUP(C82,'تقرير المصروفات حسب الشهر'!$C$763:$AD$872,2,FALSE),0)</f>
        <v>0</v>
      </c>
      <c r="K82" s="376">
        <f>IFERROR(VLOOKUP(C82,'تقرير المصروفات حسب الشهر'!$C$889:$D$999,2,FALSE),0)</f>
        <v>0</v>
      </c>
      <c r="L82" s="376">
        <f>IFERROR(VLOOKUP(C82,'تقرير المصروفات حسب الشهر'!$C$1016:$AD$1126,2,FALSE),0)</f>
        <v>0</v>
      </c>
      <c r="M82" s="376">
        <f>IFERROR(VLOOKUP(C82,'تقرير المصروفات حسب الشهر'!$C$1143:$AD$1254,2,FALSE),0)</f>
        <v>0</v>
      </c>
      <c r="N82" s="376">
        <f>IFERROR(VLOOKUP(C82,'تقرير المصروفات حسب الشهر'!$C$1270:$AD$1381,2,FALSE),0)</f>
        <v>0</v>
      </c>
      <c r="O82" s="376">
        <f>IFERROR(VLOOKUP(C82,'تقرير المصروفات حسب الشهر'!$C$1397:$AI$1512,2,FALSE),0)</f>
        <v>0</v>
      </c>
      <c r="P82" s="394">
        <f t="shared" si="5"/>
        <v>0</v>
      </c>
    </row>
    <row r="83" spans="2:16" ht="18" customHeight="1">
      <c r="B83" s="124"/>
      <c r="C83" s="150" t="s">
        <v>87</v>
      </c>
      <c r="D83" s="376">
        <f>IFERROR(VLOOKUP(C83,'تقرير المصروفات حسب الشهر'!$C$10:$AD$119,2,FALSE),0)</f>
        <v>0</v>
      </c>
      <c r="E83" s="376">
        <f>IFERROR(VLOOKUP(C83,'تقرير المصروفات حسب الشهر'!$C$135:$AD$252,2,FALSE),0)</f>
        <v>0</v>
      </c>
      <c r="F83" s="376">
        <f>_xlfn.XLOOKUP(C83,'تقرير المصروفات حسب الشهر'!C322:C434,'تقرير المصروفات حسب الشهر'!D322:D434,0,0)</f>
        <v>0</v>
      </c>
      <c r="G83" s="376">
        <f>IFERROR(VLOOKUP(C83,'تقرير المصروفات حسب الشهر'!$C$387:$AD$495,2,FALSE),0)</f>
        <v>0</v>
      </c>
      <c r="H83" s="376">
        <f>IFERROR(VLOOKUP(C83,'تقرير المصروفات حسب الشهر'!$C$512:$AD$620,2,FALSE),0)</f>
        <v>0</v>
      </c>
      <c r="I83" s="376">
        <f>IFERROR(VLOOKUP(C83,'تقرير المصروفات حسب الشهر'!$C$637:$AD$746,2,FALSE),0)</f>
        <v>0</v>
      </c>
      <c r="J83" s="376">
        <f>IFERROR(VLOOKUP(C83,'تقرير المصروفات حسب الشهر'!$C$763:$AD$872,2,FALSE),0)</f>
        <v>4500</v>
      </c>
      <c r="K83" s="376">
        <f>IFERROR(VLOOKUP(C83,'تقرير المصروفات حسب الشهر'!$C$889:$D$999,2,FALSE),0)</f>
        <v>0</v>
      </c>
      <c r="L83" s="376">
        <f>IFERROR(VLOOKUP(C83,'تقرير المصروفات حسب الشهر'!$C$1016:$AD$1126,2,FALSE),0)</f>
        <v>0</v>
      </c>
      <c r="M83" s="376">
        <f>IFERROR(VLOOKUP(C83,'تقرير المصروفات حسب الشهر'!$C$1143:$AD$1254,2,FALSE),0)</f>
        <v>0</v>
      </c>
      <c r="N83" s="376">
        <f>IFERROR(VLOOKUP(C83,'تقرير المصروفات حسب الشهر'!$C$1270:$AD$1381,2,FALSE),0)</f>
        <v>0</v>
      </c>
      <c r="O83" s="376">
        <f>IFERROR(VLOOKUP(C83,'تقرير المصروفات حسب الشهر'!$C$1397:$AI$1512,2,FALSE),0)</f>
        <v>3000</v>
      </c>
      <c r="P83" s="394">
        <f t="shared" si="5"/>
        <v>7500</v>
      </c>
    </row>
    <row r="84" spans="2:16" ht="18" customHeight="1">
      <c r="B84" s="124"/>
      <c r="C84" s="150" t="s">
        <v>88</v>
      </c>
      <c r="D84" s="376">
        <f>IFERROR(VLOOKUP(C84,'تقرير المصروفات حسب الشهر'!$C$10:$AD$119,2,FALSE),0)</f>
        <v>0</v>
      </c>
      <c r="E84" s="376">
        <f>IFERROR(VLOOKUP(C84,'تقرير المصروفات حسب الشهر'!$C$135:$AD$252,2,FALSE),0)</f>
        <v>0</v>
      </c>
      <c r="F84" s="376">
        <f>_xlfn.XLOOKUP(C84,'تقرير المصروفات حسب الشهر'!C323:C435,'تقرير المصروفات حسب الشهر'!D323:D435,0,0)</f>
        <v>0</v>
      </c>
      <c r="G84" s="376">
        <f>IFERROR(VLOOKUP(C84,'تقرير المصروفات حسب الشهر'!$C$387:$AD$495,2,FALSE),0)</f>
        <v>0</v>
      </c>
      <c r="H84" s="376">
        <f>IFERROR(VLOOKUP(C84,'تقرير المصروفات حسب الشهر'!$C$512:$AD$620,2,FALSE),0)</f>
        <v>0</v>
      </c>
      <c r="I84" s="376">
        <f>IFERROR(VLOOKUP(C84,'تقرير المصروفات حسب الشهر'!$C$637:$AD$746,2,FALSE),0)</f>
        <v>0</v>
      </c>
      <c r="J84" s="376">
        <f>IFERROR(VLOOKUP(C84,'تقرير المصروفات حسب الشهر'!$C$763:$AD$872,2,FALSE),0)</f>
        <v>0</v>
      </c>
      <c r="K84" s="376">
        <f>IFERROR(VLOOKUP(C84,'تقرير المصروفات حسب الشهر'!$C$889:$D$999,2,FALSE),0)</f>
        <v>0</v>
      </c>
      <c r="L84" s="376">
        <f>IFERROR(VLOOKUP(C84,'تقرير المصروفات حسب الشهر'!$C$1016:$AD$1126,2,FALSE),0)</f>
        <v>0</v>
      </c>
      <c r="M84" s="376">
        <f>IFERROR(VLOOKUP(C84,'تقرير المصروفات حسب الشهر'!$C$1143:$AD$1254,2,FALSE),0)</f>
        <v>0</v>
      </c>
      <c r="N84" s="376">
        <f>IFERROR(VLOOKUP(C84,'تقرير المصروفات حسب الشهر'!$C$1270:$AD$1381,2,FALSE),0)</f>
        <v>0</v>
      </c>
      <c r="O84" s="376">
        <f>IFERROR(VLOOKUP(C84,'تقرير المصروفات حسب الشهر'!$C$1397:$AI$1512,2,FALSE),0)</f>
        <v>0</v>
      </c>
      <c r="P84" s="394">
        <f t="shared" si="5"/>
        <v>0</v>
      </c>
    </row>
    <row r="85" spans="2:16" ht="18" customHeight="1">
      <c r="B85" s="124"/>
      <c r="C85" s="150" t="s">
        <v>89</v>
      </c>
      <c r="D85" s="376">
        <f>IFERROR(VLOOKUP(C85,'تقرير المصروفات حسب الشهر'!$C$10:$AD$119,2,FALSE),0)</f>
        <v>65883</v>
      </c>
      <c r="E85" s="376">
        <f>IFERROR(VLOOKUP(C85,'تقرير المصروفات حسب الشهر'!$C$135:$AD$252,2,FALSE),0)</f>
        <v>65708</v>
      </c>
      <c r="F85" s="376">
        <f>_xlfn.XLOOKUP(C85,'تقرير المصروفات حسب الشهر'!C324:C436,'تقرير المصروفات حسب الشهر'!D324:D436,0,0)</f>
        <v>68268</v>
      </c>
      <c r="G85" s="376">
        <f>IFERROR(VLOOKUP(C85,'تقرير المصروفات حسب الشهر'!$C$387:$AD$495,2,FALSE),0)</f>
        <v>65608</v>
      </c>
      <c r="H85" s="376">
        <f>IFERROR(VLOOKUP(C85,'تقرير المصروفات حسب الشهر'!$C$512:$AD$620,2,FALSE),0)</f>
        <v>170</v>
      </c>
      <c r="I85" s="515">
        <f>IFERROR(VLOOKUP(C85,'تقرير المصروفات حسب الشهر'!$C$637:$AD$746,2,FALSE),0)</f>
        <v>154820</v>
      </c>
      <c r="J85" s="376">
        <f>IFERROR(VLOOKUP(C85,'تقرير المصروفات حسب الشهر'!$C$763:$AD$872,2,FALSE),0)</f>
        <v>155565</v>
      </c>
      <c r="K85" s="376">
        <f>IFERROR(VLOOKUP(C85,'تقرير المصروفات حسب الشهر'!$C$889:$D$999,2,FALSE),0)</f>
        <v>154970</v>
      </c>
      <c r="L85" s="376">
        <f>IFERROR(VLOOKUP(C85,'تقرير المصروفات حسب الشهر'!$C$1016:$AD$1126,2,FALSE),0)</f>
        <v>85921</v>
      </c>
      <c r="M85" s="376">
        <f>IFERROR(VLOOKUP(C85,'تقرير المصروفات حسب الشهر'!$C$1143:$AD$1254,2,FALSE),0)</f>
        <v>100</v>
      </c>
      <c r="N85" s="376">
        <f>IFERROR(VLOOKUP(C85,'تقرير المصروفات حسب الشهر'!$C$1270:$AD$1381,2,FALSE),0)</f>
        <v>0</v>
      </c>
      <c r="O85" s="376">
        <f>IFERROR(VLOOKUP(C85,'تقرير المصروفات حسب الشهر'!$C$1397:$AI$1512,2,FALSE),0)</f>
        <v>0</v>
      </c>
      <c r="P85" s="394">
        <f t="shared" si="5"/>
        <v>817013</v>
      </c>
    </row>
    <row r="86" spans="2:16" ht="18" customHeight="1">
      <c r="B86" s="124"/>
      <c r="C86" s="150" t="s">
        <v>33</v>
      </c>
      <c r="D86" s="376">
        <f>IFERROR(VLOOKUP(C86,'تقرير المصروفات حسب الشهر'!$C$10:$AD$119,2,FALSE),0)</f>
        <v>2735</v>
      </c>
      <c r="E86" s="376">
        <f>IFERROR(VLOOKUP(C86,'تقرير المصروفات حسب الشهر'!$C$135:$AD$252,2,FALSE),0)</f>
        <v>12802.01</v>
      </c>
      <c r="F86" s="376">
        <f>_xlfn.XLOOKUP(C86,'تقرير المصروفات حسب الشهر'!C325:C437,'تقرير المصروفات حسب الشهر'!D325:D437,0,0)</f>
        <v>1281.5</v>
      </c>
      <c r="G86" s="376">
        <f>IFERROR(VLOOKUP(C86,'تقرير المصروفات حسب الشهر'!$C$387:$AD$495,2,FALSE),0)</f>
        <v>1808</v>
      </c>
      <c r="H86" s="376">
        <f>IFERROR(VLOOKUP(C86,'تقرير المصروفات حسب الشهر'!$C$512:$AD$620,2,FALSE),0)</f>
        <v>1836.25</v>
      </c>
      <c r="I86" s="515">
        <f>IFERROR(VLOOKUP(C86,'تقرير المصروفات حسب الشهر'!$C$637:$AD$746,2,FALSE),0)</f>
        <v>15801.17</v>
      </c>
      <c r="J86" s="376">
        <f>IFERROR(VLOOKUP(C86,'تقرير المصروفات حسب الشهر'!$C$763:$AD$872,2,FALSE),0)</f>
        <v>979</v>
      </c>
      <c r="K86" s="376">
        <f>IFERROR(VLOOKUP(C86,'تقرير المصروفات حسب الشهر'!$C$889:$D$999,2,FALSE),0)</f>
        <v>12019.4</v>
      </c>
      <c r="L86" s="376">
        <f>IFERROR(VLOOKUP(C86,'تقرير المصروفات حسب الشهر'!$C$1016:$AD$1126,2,FALSE),0)</f>
        <v>9090</v>
      </c>
      <c r="M86" s="376">
        <f>IFERROR(VLOOKUP(C86,'تقرير المصروفات حسب الشهر'!$C$1143:$AD$1254,2,FALSE),0)</f>
        <v>950</v>
      </c>
      <c r="N86" s="376">
        <f>IFERROR(VLOOKUP(C86,'تقرير المصروفات حسب الشهر'!$C$1270:$AD$1381,2,FALSE),0)</f>
        <v>367.25</v>
      </c>
      <c r="O86" s="376">
        <f>IFERROR(VLOOKUP(C86,'تقرير المصروفات حسب الشهر'!$C$1397:$AI$1512,2,FALSE),0)</f>
        <v>2712</v>
      </c>
      <c r="P86" s="394">
        <f t="shared" si="5"/>
        <v>62381.58</v>
      </c>
    </row>
    <row r="87" spans="2:16" ht="18" customHeight="1">
      <c r="B87" s="124"/>
      <c r="C87" s="150" t="s">
        <v>90</v>
      </c>
      <c r="D87" s="376">
        <f>IFERROR(VLOOKUP(C87,'تقرير المصروفات حسب الشهر'!$C$10:$AD$119,2,FALSE),0)</f>
        <v>0</v>
      </c>
      <c r="E87" s="376">
        <f>IFERROR(VLOOKUP(C87,'تقرير المصروفات حسب الشهر'!$C$135:$AD$252,2,FALSE),0)</f>
        <v>0</v>
      </c>
      <c r="F87" s="376">
        <f>_xlfn.XLOOKUP(C87,'تقرير المصروفات حسب الشهر'!C326:C438,'تقرير المصروفات حسب الشهر'!D326:D438,0,0)</f>
        <v>0</v>
      </c>
      <c r="G87" s="376">
        <f>IFERROR(VLOOKUP(C87,'تقرير المصروفات حسب الشهر'!$C$387:$AD$495,2,FALSE),0)</f>
        <v>0</v>
      </c>
      <c r="H87" s="376">
        <f>IFERROR(VLOOKUP(C87,'تقرير المصروفات حسب الشهر'!$C$512:$AD$620,2,FALSE),0)</f>
        <v>0</v>
      </c>
      <c r="I87" s="376">
        <f>IFERROR(VLOOKUP(C87,'تقرير المصروفات حسب الشهر'!$C$637:$AD$746,2,FALSE),0)</f>
        <v>0</v>
      </c>
      <c r="J87" s="376">
        <f>IFERROR(VLOOKUP(C87,'تقرير المصروفات حسب الشهر'!$C$763:$AD$872,2,FALSE),0)</f>
        <v>0</v>
      </c>
      <c r="K87" s="376">
        <f>IFERROR(VLOOKUP(C87,'تقرير المصروفات حسب الشهر'!$C$889:$D$999,2,FALSE),0)</f>
        <v>0</v>
      </c>
      <c r="L87" s="376">
        <f>IFERROR(VLOOKUP(C87,'تقرير المصروفات حسب الشهر'!$C$1016:$AD$1126,2,FALSE),0)</f>
        <v>0</v>
      </c>
      <c r="M87" s="376">
        <f>IFERROR(VLOOKUP(C87,'تقرير المصروفات حسب الشهر'!$C$1143:$AD$1254,2,FALSE),0)</f>
        <v>0</v>
      </c>
      <c r="N87" s="376">
        <f>IFERROR(VLOOKUP(C87,'تقرير المصروفات حسب الشهر'!$C$1270:$AD$1381,2,FALSE),0)</f>
        <v>0</v>
      </c>
      <c r="O87" s="376">
        <f>IFERROR(VLOOKUP(C87,'تقرير المصروفات حسب الشهر'!$C$1397:$AI$1512,2,FALSE),0)</f>
        <v>46442</v>
      </c>
      <c r="P87" s="394">
        <f t="shared" ref="P87:P139" si="6">SUM(D87:O87)</f>
        <v>46442</v>
      </c>
    </row>
    <row r="88" spans="2:16" ht="18" customHeight="1">
      <c r="B88" s="124"/>
      <c r="C88" s="150" t="s">
        <v>91</v>
      </c>
      <c r="D88" s="376">
        <f>IFERROR(VLOOKUP(C88,'تقرير المصروفات حسب الشهر'!$C$10:$AD$119,2,FALSE),0)</f>
        <v>0</v>
      </c>
      <c r="E88" s="376">
        <f>IFERROR(VLOOKUP(C88,'تقرير المصروفات حسب الشهر'!$C$135:$AD$252,2,FALSE),0)</f>
        <v>0</v>
      </c>
      <c r="F88" s="376">
        <f>_xlfn.XLOOKUP(C88,'تقرير المصروفات حسب الشهر'!C327:C439,'تقرير المصروفات حسب الشهر'!D327:D439,0,0)</f>
        <v>11650</v>
      </c>
      <c r="G88" s="376">
        <f>IFERROR(VLOOKUP(C88,'تقرير المصروفات حسب الشهر'!$C$387:$AD$495,2,FALSE),0)</f>
        <v>460</v>
      </c>
      <c r="H88" s="376">
        <f>IFERROR(VLOOKUP(C88,'تقرير المصروفات حسب الشهر'!$C$512:$AD$620,2,FALSE),0)</f>
        <v>0</v>
      </c>
      <c r="I88" s="515">
        <f>IFERROR(VLOOKUP(C88,'تقرير المصروفات حسب الشهر'!$C$637:$AD$746,2,FALSE),0)</f>
        <v>13150</v>
      </c>
      <c r="J88" s="376">
        <f>IFERROR(VLOOKUP(C88,'تقرير المصروفات حسب الشهر'!$C$763:$AD$872,2,FALSE),0)</f>
        <v>0</v>
      </c>
      <c r="K88" s="376">
        <f>IFERROR(VLOOKUP(C88,'تقرير المصروفات حسب الشهر'!$C$889:$D$999,2,FALSE),0)</f>
        <v>550</v>
      </c>
      <c r="L88" s="376">
        <f>IFERROR(VLOOKUP(C88,'تقرير المصروفات حسب الشهر'!$C$1016:$AD$1126,2,FALSE),0)</f>
        <v>184472.5</v>
      </c>
      <c r="M88" s="376">
        <f>IFERROR(VLOOKUP(C88,'تقرير المصروفات حسب الشهر'!$C$1143:$AD$1254,2,FALSE),0)</f>
        <v>0</v>
      </c>
      <c r="N88" s="376">
        <f>IFERROR(VLOOKUP(C88,'تقرير المصروفات حسب الشهر'!$C$1270:$AD$1381,2,FALSE),0)</f>
        <v>0</v>
      </c>
      <c r="O88" s="376">
        <f>IFERROR(VLOOKUP(C88,'تقرير المصروفات حسب الشهر'!$C$1397:$AI$1512,2,FALSE),0)</f>
        <v>0</v>
      </c>
      <c r="P88" s="394">
        <f t="shared" si="6"/>
        <v>210282.5</v>
      </c>
    </row>
    <row r="89" spans="2:16" ht="18" customHeight="1">
      <c r="B89" s="124"/>
      <c r="C89" s="150" t="s">
        <v>92</v>
      </c>
      <c r="D89" s="376">
        <f>IFERROR(VLOOKUP(C89,'تقرير المصروفات حسب الشهر'!$C$10:$AD$119,2,FALSE),0)</f>
        <v>0</v>
      </c>
      <c r="E89" s="376">
        <f>IFERROR(VLOOKUP(C89,'تقرير المصروفات حسب الشهر'!$C$135:$AD$252,2,FALSE),0)</f>
        <v>0</v>
      </c>
      <c r="F89" s="376">
        <f>_xlfn.XLOOKUP(C89,'تقرير المصروفات حسب الشهر'!C328:C440,'تقرير المصروفات حسب الشهر'!D328:D440,0,0)</f>
        <v>0</v>
      </c>
      <c r="G89" s="376">
        <f>IFERROR(VLOOKUP(C89,'تقرير المصروفات حسب الشهر'!$C$387:$AD$495,2,FALSE),0)</f>
        <v>0</v>
      </c>
      <c r="H89" s="376">
        <f>IFERROR(VLOOKUP(C89,'تقرير المصروفات حسب الشهر'!$C$512:$AD$620,2,FALSE),0)</f>
        <v>0</v>
      </c>
      <c r="I89" s="376">
        <f>IFERROR(VLOOKUP(C89,'تقرير المصروفات حسب الشهر'!$C$637:$AD$746,2,FALSE),0)</f>
        <v>0</v>
      </c>
      <c r="J89" s="376">
        <f>IFERROR(VLOOKUP(C89,'تقرير المصروفات حسب الشهر'!$C$763:$AD$872,2,FALSE),0)</f>
        <v>0</v>
      </c>
      <c r="K89" s="376">
        <f>IFERROR(VLOOKUP(C89,'تقرير المصروفات حسب الشهر'!$C$889:$D$999,2,FALSE),0)</f>
        <v>0</v>
      </c>
      <c r="L89" s="376">
        <f>IFERROR(VLOOKUP(C89,'تقرير المصروفات حسب الشهر'!$C$1016:$AD$1126,2,FALSE),0)</f>
        <v>0</v>
      </c>
      <c r="M89" s="376">
        <f>IFERROR(VLOOKUP(C89,'تقرير المصروفات حسب الشهر'!$C$1143:$AD$1254,2,FALSE),0)</f>
        <v>0</v>
      </c>
      <c r="N89" s="376">
        <f>IFERROR(VLOOKUP(C89,'تقرير المصروفات حسب الشهر'!$C$1270:$AD$1381,2,FALSE),0)</f>
        <v>0</v>
      </c>
      <c r="O89" s="376">
        <f>IFERROR(VLOOKUP(C89,'تقرير المصروفات حسب الشهر'!$C$1397:$AI$1512,2,FALSE),0)</f>
        <v>0</v>
      </c>
      <c r="P89" s="394">
        <f t="shared" si="6"/>
        <v>0</v>
      </c>
    </row>
    <row r="90" spans="2:16" ht="18" customHeight="1">
      <c r="B90" s="124"/>
      <c r="C90" s="150" t="s">
        <v>93</v>
      </c>
      <c r="D90" s="376">
        <f>IFERROR(VLOOKUP(C90,'تقرير المصروفات حسب الشهر'!$C$10:$AD$119,2,FALSE),0)</f>
        <v>0</v>
      </c>
      <c r="E90" s="376">
        <f>IFERROR(VLOOKUP(C90,'تقرير المصروفات حسب الشهر'!$C$135:$AD$252,2,FALSE),0)</f>
        <v>0</v>
      </c>
      <c r="F90" s="376">
        <f>_xlfn.XLOOKUP(C90,'تقرير المصروفات حسب الشهر'!C329:C441,'تقرير المصروفات حسب الشهر'!D329:D441,0,0)</f>
        <v>3700</v>
      </c>
      <c r="G90" s="376">
        <f>IFERROR(VLOOKUP(C90,'تقرير المصروفات حسب الشهر'!$C$387:$AD$495,2,FALSE),0)</f>
        <v>0</v>
      </c>
      <c r="H90" s="376">
        <f>IFERROR(VLOOKUP(C90,'تقرير المصروفات حسب الشهر'!$C$512:$AD$620,2,FALSE),0)</f>
        <v>3700</v>
      </c>
      <c r="I90" s="376">
        <f>IFERROR(VLOOKUP(C90,'تقرير المصروفات حسب الشهر'!$C$637:$AD$746,2,FALSE),0)</f>
        <v>0</v>
      </c>
      <c r="J90" s="376">
        <f>IFERROR(VLOOKUP(C90,'تقرير المصروفات حسب الشهر'!$C$763:$AD$872,2,FALSE),0)</f>
        <v>0</v>
      </c>
      <c r="K90" s="376">
        <f>IFERROR(VLOOKUP(C90,'تقرير المصروفات حسب الشهر'!$C$889:$D$999,2,FALSE),0)</f>
        <v>0</v>
      </c>
      <c r="L90" s="376">
        <f>IFERROR(VLOOKUP(C90,'تقرير المصروفات حسب الشهر'!$C$1016:$AD$1126,2,FALSE),0)</f>
        <v>0</v>
      </c>
      <c r="M90" s="376">
        <f>IFERROR(VLOOKUP(C90,'تقرير المصروفات حسب الشهر'!$C$1143:$AD$1254,2,FALSE),0)</f>
        <v>0</v>
      </c>
      <c r="N90" s="376">
        <f>IFERROR(VLOOKUP(C90,'تقرير المصروفات حسب الشهر'!$C$1270:$AD$1381,2,FALSE),0)</f>
        <v>0</v>
      </c>
      <c r="O90" s="376">
        <f>IFERROR(VLOOKUP(C90,'تقرير المصروفات حسب الشهر'!$C$1397:$AI$1512,2,FALSE),0)</f>
        <v>0</v>
      </c>
      <c r="P90" s="394">
        <f t="shared" si="6"/>
        <v>7400</v>
      </c>
    </row>
    <row r="91" spans="2:16" ht="18" customHeight="1">
      <c r="B91" s="124"/>
      <c r="C91" s="150" t="s">
        <v>94</v>
      </c>
      <c r="D91" s="376">
        <f>IFERROR(VLOOKUP(C91,'تقرير المصروفات حسب الشهر'!$C$10:$AD$119,2,FALSE),0)</f>
        <v>232905</v>
      </c>
      <c r="E91" s="376">
        <f>IFERROR(VLOOKUP(C91,'تقرير المصروفات حسب الشهر'!$C$135:$AD$252,2,FALSE),0)</f>
        <v>92815</v>
      </c>
      <c r="F91" s="376">
        <f>_xlfn.XLOOKUP(C91,'تقرير المصروفات حسب الشهر'!C330:C442,'تقرير المصروفات حسب الشهر'!D330:D442,0,0)</f>
        <v>93295</v>
      </c>
      <c r="G91" s="376">
        <f>IFERROR(VLOOKUP(C91,'تقرير المصروفات حسب الشهر'!$C$387:$AD$495,2,FALSE),0)</f>
        <v>102135</v>
      </c>
      <c r="H91" s="376">
        <f>IFERROR(VLOOKUP(C91,'تقرير المصروفات حسب الشهر'!$C$512:$AD$620,2,FALSE),0)</f>
        <v>101000</v>
      </c>
      <c r="I91" s="513">
        <f>IFERROR(VLOOKUP(C91,'تقرير المصروفات حسب الشهر'!$C$637:$AD$746,2,FALSE),0)</f>
        <v>101575</v>
      </c>
      <c r="J91" s="376">
        <f>IFERROR(VLOOKUP(C91,'تقرير المصروفات حسب الشهر'!$C$763:$AD$872,2,FALSE),0)</f>
        <v>159735</v>
      </c>
      <c r="K91" s="376">
        <f>IFERROR(VLOOKUP(C91,'تقرير المصروفات حسب الشهر'!$C$889:$D$999,2,FALSE),0)</f>
        <v>158880</v>
      </c>
      <c r="L91" s="376">
        <f>IFERROR(VLOOKUP(C91,'تقرير المصروفات حسب الشهر'!$C$1016:$AD$1126,2,FALSE),0)</f>
        <v>158835</v>
      </c>
      <c r="M91" s="376">
        <f>IFERROR(VLOOKUP(C91,'تقرير المصروفات حسب الشهر'!$C$1143:$AD$1254,2,FALSE),0)</f>
        <v>158650</v>
      </c>
      <c r="N91" s="376">
        <f>IFERROR(VLOOKUP(C91,'تقرير المصروفات حسب الشهر'!$C$1270:$AD$1381,2,FALSE),0)</f>
        <v>225280</v>
      </c>
      <c r="O91" s="376">
        <f>IFERROR(VLOOKUP(C91,'تقرير المصروفات حسب الشهر'!$C$1397:$AI$1512,2,FALSE),0)</f>
        <v>223750</v>
      </c>
      <c r="P91" s="394">
        <f t="shared" si="6"/>
        <v>1808855</v>
      </c>
    </row>
    <row r="92" spans="2:16" ht="18" customHeight="1">
      <c r="B92" s="124"/>
      <c r="C92" s="150" t="s">
        <v>95</v>
      </c>
      <c r="D92" s="376">
        <f>IFERROR(VLOOKUP(C92,'تقرير المصروفات حسب الشهر'!$C$10:$AD$119,2,FALSE),0)</f>
        <v>9500</v>
      </c>
      <c r="E92" s="376">
        <f>IFERROR(VLOOKUP(C92,'تقرير المصروفات حسب الشهر'!$C$135:$AD$252,2,FALSE),0)</f>
        <v>3091</v>
      </c>
      <c r="F92" s="376">
        <f>_xlfn.XLOOKUP(C92,'تقرير المصروفات حسب الشهر'!C331:C443,'تقرير المصروفات حسب الشهر'!D331:D443,0,0)</f>
        <v>0</v>
      </c>
      <c r="G92" s="376">
        <f>IFERROR(VLOOKUP(C92,'تقرير المصروفات حسب الشهر'!$C$387:$AD$495,2,FALSE),0)</f>
        <v>7400</v>
      </c>
      <c r="H92" s="376">
        <f>IFERROR(VLOOKUP(C92,'تقرير المصروفات حسب الشهر'!$C$512:$AD$620,2,FALSE),0)</f>
        <v>0</v>
      </c>
      <c r="I92" s="376">
        <f>IFERROR(VLOOKUP(C92,'تقرير المصروفات حسب الشهر'!$C$637:$AD$746,2,FALSE),0)</f>
        <v>0</v>
      </c>
      <c r="J92" s="376">
        <f>IFERROR(VLOOKUP(C92,'تقرير المصروفات حسب الشهر'!$C$763:$AD$872,2,FALSE),0)</f>
        <v>0</v>
      </c>
      <c r="K92" s="376">
        <f>IFERROR(VLOOKUP(C92,'تقرير المصروفات حسب الشهر'!$C$889:$D$999,2,FALSE),0)</f>
        <v>0</v>
      </c>
      <c r="L92" s="376">
        <f>IFERROR(VLOOKUP(C92,'تقرير المصروفات حسب الشهر'!$C$1016:$AD$1126,2,FALSE),0)</f>
        <v>0</v>
      </c>
      <c r="M92" s="376">
        <f>IFERROR(VLOOKUP(C92,'تقرير المصروفات حسب الشهر'!$C$1143:$AD$1254,2,FALSE),0)</f>
        <v>0</v>
      </c>
      <c r="N92" s="376">
        <f>IFERROR(VLOOKUP(C92,'تقرير المصروفات حسب الشهر'!$C$1270:$AD$1381,2,FALSE),0)</f>
        <v>970</v>
      </c>
      <c r="O92" s="376">
        <f>IFERROR(VLOOKUP(C92,'تقرير المصروفات حسب الشهر'!$C$1397:$AI$1512,2,FALSE),0)</f>
        <v>49285</v>
      </c>
      <c r="P92" s="394">
        <f t="shared" si="6"/>
        <v>70246</v>
      </c>
    </row>
    <row r="93" spans="2:16" ht="18" customHeight="1">
      <c r="B93" s="124"/>
      <c r="C93" s="150" t="s">
        <v>96</v>
      </c>
      <c r="D93" s="376">
        <f>IFERROR(VLOOKUP(C93,'تقرير المصروفات حسب الشهر'!$C$10:$AD$119,2,FALSE),0)</f>
        <v>0</v>
      </c>
      <c r="E93" s="376">
        <f>IFERROR(VLOOKUP(C93,'تقرير المصروفات حسب الشهر'!$C$135:$AD$252,2,FALSE),0)</f>
        <v>4690</v>
      </c>
      <c r="F93" s="376">
        <f>_xlfn.XLOOKUP(C93,'تقرير المصروفات حسب الشهر'!C332:C444,'تقرير المصروفات حسب الشهر'!D332:D444,0,0)</f>
        <v>0</v>
      </c>
      <c r="G93" s="376">
        <f>IFERROR(VLOOKUP(C93,'تقرير المصروفات حسب الشهر'!$C$387:$AD$495,2,FALSE),0)</f>
        <v>0</v>
      </c>
      <c r="H93" s="376">
        <f>IFERROR(VLOOKUP(C93,'تقرير المصروفات حسب الشهر'!$C$512:$AD$620,2,FALSE),0)</f>
        <v>0</v>
      </c>
      <c r="I93" s="376">
        <f>IFERROR(VLOOKUP(C93,'تقرير المصروفات حسب الشهر'!$C$637:$AD$746,2,FALSE),0)</f>
        <v>0</v>
      </c>
      <c r="J93" s="518">
        <f>IFERROR(VLOOKUP(C93,'تقرير المصروفات حسب الشهر'!$C$763:$AD$872,2,FALSE),0)</f>
        <v>668</v>
      </c>
      <c r="K93" s="376">
        <f>IFERROR(VLOOKUP(C93,'تقرير المصروفات حسب الشهر'!$C$889:$D$999,2,FALSE),0)</f>
        <v>1331.8</v>
      </c>
      <c r="L93" s="376">
        <f>IFERROR(VLOOKUP(C93,'تقرير المصروفات حسب الشهر'!$C$1016:$AD$1126,2,FALSE),0)</f>
        <v>0</v>
      </c>
      <c r="M93" s="376">
        <f>IFERROR(VLOOKUP(C93,'تقرير المصروفات حسب الشهر'!$C$1143:$AD$1254,2,FALSE),0)</f>
        <v>0</v>
      </c>
      <c r="N93" s="376">
        <f>IFERROR(VLOOKUP(C93,'تقرير المصروفات حسب الشهر'!$C$1270:$AD$1381,2,FALSE),0)</f>
        <v>0</v>
      </c>
      <c r="O93" s="376">
        <f>IFERROR(VLOOKUP(C93,'تقرير المصروفات حسب الشهر'!$C$1397:$AI$1512,2,FALSE),0)</f>
        <v>0</v>
      </c>
      <c r="P93" s="394">
        <f t="shared" si="6"/>
        <v>6689.8</v>
      </c>
    </row>
    <row r="94" spans="2:16" ht="18" customHeight="1">
      <c r="B94" s="124"/>
      <c r="C94" s="150" t="s">
        <v>97</v>
      </c>
      <c r="D94" s="376">
        <f>IFERROR(VLOOKUP(C94,'تقرير المصروفات حسب الشهر'!$C$10:$AD$119,2,FALSE),0)</f>
        <v>4137.2</v>
      </c>
      <c r="E94" s="376">
        <f>IFERROR(VLOOKUP(C94,'تقرير المصروفات حسب الشهر'!$C$135:$AD$252,2,FALSE),0)</f>
        <v>1965.5</v>
      </c>
      <c r="F94" s="376">
        <f>_xlfn.XLOOKUP(C94,'تقرير المصروفات حسب الشهر'!C333:C445,'تقرير المصروفات حسب الشهر'!D333:D445,0,0)</f>
        <v>1965.51</v>
      </c>
      <c r="G94" s="376">
        <f>IFERROR(VLOOKUP(C94,'تقرير المصروفات حسب الشهر'!$C$387:$AD$495,2,FALSE),0)</f>
        <v>3766.51</v>
      </c>
      <c r="H94" s="376">
        <f>IFERROR(VLOOKUP(C94,'تقرير المصروفات حسب الشهر'!$C$512:$AD$620,2,FALSE),0)</f>
        <v>799.51</v>
      </c>
      <c r="I94" s="513">
        <f>IFERROR(VLOOKUP(C94,'تقرير المصروفات حسب الشهر'!$C$637:$AD$746,2,FALSE),0)</f>
        <v>2242.5100000000002</v>
      </c>
      <c r="J94" s="376">
        <f>IFERROR(VLOOKUP(C94,'تقرير المصروفات حسب الشهر'!$C$763:$AD$872,2,FALSE),0)</f>
        <v>4476.2700000000004</v>
      </c>
      <c r="K94" s="376">
        <f>IFERROR(VLOOKUP(C94,'تقرير المصروفات حسب الشهر'!$C$889:$D$999,2,FALSE),0)</f>
        <v>9303.75</v>
      </c>
      <c r="L94" s="376">
        <f>IFERROR(VLOOKUP(C94,'تقرير المصروفات حسب الشهر'!$C$1016:$AD$1126,2,FALSE),0)</f>
        <v>2327.8200000000002</v>
      </c>
      <c r="M94" s="376">
        <f>IFERROR(VLOOKUP(C94,'تقرير المصروفات حسب الشهر'!$C$1143:$AD$1254,2,FALSE),0)</f>
        <v>2327.8200000000002</v>
      </c>
      <c r="N94" s="376">
        <f>IFERROR(VLOOKUP(C94,'تقرير المصروفات حسب الشهر'!$C$1270:$AD$1381,2,FALSE),0)</f>
        <v>20886.48</v>
      </c>
      <c r="O94" s="376">
        <f>IFERROR(VLOOKUP(C94,'تقرير المصروفات حسب الشهر'!$C$1397:$AI$1512,2,FALSE),0)</f>
        <v>2222.8200000000002</v>
      </c>
      <c r="P94" s="394">
        <f t="shared" si="6"/>
        <v>56421.700000000004</v>
      </c>
    </row>
    <row r="95" spans="2:16" ht="18" customHeight="1">
      <c r="B95" s="124"/>
      <c r="C95" s="150" t="s">
        <v>192</v>
      </c>
      <c r="D95" s="376">
        <f>IFERROR(VLOOKUP(C95,'تقرير المصروفات حسب الشهر'!$C$10:$AD$119,2,FALSE),0)</f>
        <v>6500</v>
      </c>
      <c r="E95" s="376">
        <f>IFERROR(VLOOKUP(C95,'تقرير المصروفات حسب الشهر'!$C$135:$AD$252,2,FALSE),0)</f>
        <v>0</v>
      </c>
      <c r="F95" s="376">
        <f>_xlfn.XLOOKUP(C95,'تقرير المصروفات حسب الشهر'!C334:C446,'تقرير المصروفات حسب الشهر'!D334:D446,0,0)</f>
        <v>18000</v>
      </c>
      <c r="G95" s="376">
        <f>IFERROR(VLOOKUP(C95,'تقرير المصروفات حسب الشهر'!$C$387:$AD$495,2,FALSE),0)</f>
        <v>10020</v>
      </c>
      <c r="H95" s="376">
        <f>IFERROR(VLOOKUP(C95,'تقرير المصروفات حسب الشهر'!$C$512:$AD$620,2,FALSE),0)</f>
        <v>5000</v>
      </c>
      <c r="I95" s="513">
        <f>IFERROR(VLOOKUP(C95,'تقرير المصروفات حسب الشهر'!$C$637:$AD$746,2,FALSE),0)</f>
        <v>7933</v>
      </c>
      <c r="J95" s="376">
        <f>IFERROR(VLOOKUP(C95,'تقرير المصروفات حسب الشهر'!$C$763:$AD$872,2,FALSE),0)</f>
        <v>3000</v>
      </c>
      <c r="K95" s="376">
        <f>IFERROR(VLOOKUP(C95,'تقرير المصروفات حسب الشهر'!$C$889:$D$999,2,FALSE),0)</f>
        <v>18250</v>
      </c>
      <c r="L95" s="376">
        <f>IFERROR(VLOOKUP(C95,'تقرير المصروفات حسب الشهر'!$C$1016:$AD$1126,2,FALSE),0)</f>
        <v>2130</v>
      </c>
      <c r="M95" s="376">
        <f>IFERROR(VLOOKUP(C95,'تقرير المصروفات حسب الشهر'!$C$1143:$AD$1254,2,FALSE),0)</f>
        <v>2565</v>
      </c>
      <c r="N95" s="376">
        <f>IFERROR(VLOOKUP(C95,'تقرير المصروفات حسب الشهر'!$C$1270:$AD$1381,2,FALSE),0)</f>
        <v>1065</v>
      </c>
      <c r="O95" s="376">
        <f>IFERROR(VLOOKUP(C95,'تقرير المصروفات حسب الشهر'!$C$1397:$AI$1512,2,FALSE),0)</f>
        <v>7065</v>
      </c>
      <c r="P95" s="394">
        <f t="shared" si="6"/>
        <v>81528</v>
      </c>
    </row>
    <row r="96" spans="2:16" ht="18" customHeight="1">
      <c r="B96" s="124"/>
      <c r="C96" s="150" t="s">
        <v>98</v>
      </c>
      <c r="D96" s="376">
        <f>IFERROR(VLOOKUP(C96,'تقرير المصروفات حسب الشهر'!$C$10:$AD$119,2,FALSE),0)</f>
        <v>0</v>
      </c>
      <c r="E96" s="376">
        <f>IFERROR(VLOOKUP(C96,'تقرير المصروفات حسب الشهر'!$C$135:$AD$252,2,FALSE),0)</f>
        <v>0</v>
      </c>
      <c r="F96" s="376">
        <f>_xlfn.XLOOKUP(C96,'تقرير المصروفات حسب الشهر'!C335:C447,'تقرير المصروفات حسب الشهر'!D335:D447,0,0)</f>
        <v>0</v>
      </c>
      <c r="G96" s="376">
        <f>IFERROR(VLOOKUP(C96,'تقرير المصروفات حسب الشهر'!$C$387:$AD$495,2,FALSE),0)</f>
        <v>0</v>
      </c>
      <c r="H96" s="376">
        <f>IFERROR(VLOOKUP(C96,'تقرير المصروفات حسب الشهر'!$C$512:$AD$620,2,FALSE),0)</f>
        <v>0</v>
      </c>
      <c r="I96" s="376">
        <f>IFERROR(VLOOKUP(C96,'تقرير المصروفات حسب الشهر'!$C$637:$AD$746,2,FALSE),0)</f>
        <v>0</v>
      </c>
      <c r="J96" s="376">
        <f>IFERROR(VLOOKUP(C96,'تقرير المصروفات حسب الشهر'!$C$763:$AD$872,2,FALSE),0)</f>
        <v>0</v>
      </c>
      <c r="K96" s="376">
        <f>IFERROR(VLOOKUP(C96,'تقرير المصروفات حسب الشهر'!$C$889:$D$999,2,FALSE),0)</f>
        <v>0</v>
      </c>
      <c r="L96" s="376">
        <f>IFERROR(VLOOKUP(C96,'تقرير المصروفات حسب الشهر'!$C$1016:$AD$1126,2,FALSE),0)</f>
        <v>0</v>
      </c>
      <c r="M96" s="376">
        <f>IFERROR(VLOOKUP(C96,'تقرير المصروفات حسب الشهر'!$C$1143:$AD$1254,2,FALSE),0)</f>
        <v>0</v>
      </c>
      <c r="N96" s="376">
        <f>IFERROR(VLOOKUP(C96,'تقرير المصروفات حسب الشهر'!$C$1270:$AD$1381,2,FALSE),0)</f>
        <v>0</v>
      </c>
      <c r="O96" s="376">
        <f>IFERROR(VLOOKUP(C96,'تقرير المصروفات حسب الشهر'!$C$1397:$AI$1512,2,FALSE),0)</f>
        <v>0</v>
      </c>
      <c r="P96" s="394">
        <f t="shared" si="6"/>
        <v>0</v>
      </c>
    </row>
    <row r="97" spans="2:16" ht="18" customHeight="1">
      <c r="B97" s="124"/>
      <c r="C97" s="150" t="s">
        <v>99</v>
      </c>
      <c r="D97" s="376">
        <f>IFERROR(VLOOKUP(C97,'تقرير المصروفات حسب الشهر'!$C$10:$AD$119,2,FALSE),0)</f>
        <v>6433.05</v>
      </c>
      <c r="E97" s="376">
        <f>IFERROR(VLOOKUP(C97,'تقرير المصروفات حسب الشهر'!$C$135:$AD$252,2,FALSE),0)</f>
        <v>6433.05</v>
      </c>
      <c r="F97" s="376">
        <f>_xlfn.XLOOKUP(C97,'تقرير المصروفات حسب الشهر'!C336:C448,'تقرير المصروفات حسب الشهر'!D336:D448,0,0)</f>
        <v>6433.05</v>
      </c>
      <c r="G97" s="376">
        <f>IFERROR(VLOOKUP(C97,'تقرير المصروفات حسب الشهر'!$C$387:$AD$495,2,FALSE),0)</f>
        <v>6433.05</v>
      </c>
      <c r="H97" s="376">
        <f>IFERROR(VLOOKUP(C97,'تقرير المصروفات حسب الشهر'!$C$512:$AD$620,2,FALSE),0)</f>
        <v>6433.05</v>
      </c>
      <c r="I97" s="515">
        <f>IFERROR(VLOOKUP(C97,'تقرير المصروفات حسب الشهر'!$C$637:$AD$746,2,FALSE),0)</f>
        <v>6433.05</v>
      </c>
      <c r="J97" s="518">
        <f>IFERROR(VLOOKUP(C97,'تقرير المصروفات حسب الشهر'!$C$763:$AD$872,2,FALSE),0)</f>
        <v>6433.05</v>
      </c>
      <c r="K97" s="376">
        <f>IFERROR(VLOOKUP(C97,'تقرير المصروفات حسب الشهر'!$C$889:$D$999,2,FALSE),0)</f>
        <v>6433.05</v>
      </c>
      <c r="L97" s="376">
        <f>IFERROR(VLOOKUP(C97,'تقرير المصروفات حسب الشهر'!$C$1016:$AD$1126,2,FALSE),0)</f>
        <v>6433.05</v>
      </c>
      <c r="M97" s="376">
        <f>IFERROR(VLOOKUP(C97,'تقرير المصروفات حسب الشهر'!$C$1143:$AD$1254,2,FALSE),0)</f>
        <v>6433.05</v>
      </c>
      <c r="N97" s="376">
        <f>IFERROR(VLOOKUP(C97,'تقرير المصروفات حسب الشهر'!$C$1270:$AD$1381,2,FALSE),0)</f>
        <v>6433.05</v>
      </c>
      <c r="O97" s="376">
        <f>IFERROR(VLOOKUP(C97,'تقرير المصروفات حسب الشهر'!$C$1397:$AI$1512,2,FALSE),0)</f>
        <v>0</v>
      </c>
      <c r="P97" s="394">
        <f t="shared" si="6"/>
        <v>70763.550000000017</v>
      </c>
    </row>
    <row r="98" spans="2:16" ht="18" customHeight="1">
      <c r="B98" s="124"/>
      <c r="C98" s="150" t="s">
        <v>100</v>
      </c>
      <c r="D98" s="376">
        <f>IFERROR(VLOOKUP(C98,'تقرير المصروفات حسب الشهر'!$C$10:$AD$119,2,FALSE),0)</f>
        <v>1896.25</v>
      </c>
      <c r="E98" s="376">
        <f>IFERROR(VLOOKUP(C98,'تقرير المصروفات حسب الشهر'!$C$135:$AD$252,2,FALSE),0)</f>
        <v>1896.25</v>
      </c>
      <c r="F98" s="376">
        <f>_xlfn.XLOOKUP(C98,'تقرير المصروفات حسب الشهر'!C337:C449,'تقرير المصروفات حسب الشهر'!D337:D449,0,0)</f>
        <v>1896.25</v>
      </c>
      <c r="G98" s="376">
        <f>IFERROR(VLOOKUP(C98,'تقرير المصروفات حسب الشهر'!$C$387:$AD$495,2,FALSE),0)</f>
        <v>1871.25</v>
      </c>
      <c r="H98" s="376">
        <f>IFERROR(VLOOKUP(C98,'تقرير المصروفات حسب الشهر'!$C$512:$AD$620,2,FALSE),0)</f>
        <v>1692.62</v>
      </c>
      <c r="I98" s="515">
        <f>IFERROR(VLOOKUP(C98,'تقرير المصروفات حسب الشهر'!$C$637:$AD$746,2,FALSE),0)</f>
        <v>1660.47</v>
      </c>
      <c r="J98" s="518">
        <f>IFERROR(VLOOKUP(C98,'تقرير المصروفات حسب الشهر'!$C$763:$AD$872,2,FALSE),0)</f>
        <v>1610.47</v>
      </c>
      <c r="K98" s="376">
        <f>IFERROR(VLOOKUP(C98,'تقرير المصروفات حسب الشهر'!$C$889:$D$999,2,FALSE),0)</f>
        <v>1610.47</v>
      </c>
      <c r="L98" s="376">
        <f>IFERROR(VLOOKUP(C98,'تقرير المصروفات حسب الشهر'!$C$1016:$AD$1126,2,FALSE),0)</f>
        <v>1509.37</v>
      </c>
      <c r="M98" s="376">
        <f>IFERROR(VLOOKUP(C98,'تقرير المصروفات حسب الشهر'!$C$1143:$AD$1254,2,FALSE),0)</f>
        <v>1509.37</v>
      </c>
      <c r="N98" s="376">
        <f>IFERROR(VLOOKUP(C98,'تقرير المصروفات حسب الشهر'!$C$1270:$AD$1381,2,FALSE),0)</f>
        <v>1482.97</v>
      </c>
      <c r="O98" s="376">
        <f>IFERROR(VLOOKUP(C98,'تقرير المصروفات حسب الشهر'!$C$1397:$AI$1512,2,FALSE),0)</f>
        <v>0.32</v>
      </c>
      <c r="P98" s="394">
        <f t="shared" si="6"/>
        <v>18636.059999999998</v>
      </c>
    </row>
    <row r="99" spans="2:16" ht="18" customHeight="1">
      <c r="B99" s="124"/>
      <c r="C99" s="150" t="s">
        <v>101</v>
      </c>
      <c r="D99" s="376">
        <f>IFERROR(VLOOKUP(C99,'تقرير المصروفات حسب الشهر'!$C$10:$AD$119,2,FALSE),0)</f>
        <v>907.16</v>
      </c>
      <c r="E99" s="376">
        <f>IFERROR(VLOOKUP(C99,'تقرير المصروفات حسب الشهر'!$C$135:$AD$252,2,FALSE),0)</f>
        <v>907.16</v>
      </c>
      <c r="F99" s="376">
        <f>_xlfn.XLOOKUP(C99,'تقرير المصروفات حسب الشهر'!C338:C450,'تقرير المصروفات حسب الشهر'!D338:D450,0,0)</f>
        <v>907.16</v>
      </c>
      <c r="G99" s="376">
        <f>IFERROR(VLOOKUP(C99,'تقرير المصروفات حسب الشهر'!$C$387:$AD$495,2,FALSE),0)</f>
        <v>907.16</v>
      </c>
      <c r="H99" s="376">
        <f>IFERROR(VLOOKUP(C99,'تقرير المصروفات حسب الشهر'!$C$512:$AD$620,2,FALSE),0)</f>
        <v>112.5</v>
      </c>
      <c r="I99" s="515">
        <f>IFERROR(VLOOKUP(C99,'تقرير المصروفات حسب الشهر'!$C$637:$AD$746,2,FALSE),0)</f>
        <v>112.5</v>
      </c>
      <c r="J99" s="518">
        <f>IFERROR(VLOOKUP(C99,'تقرير المصروفات حسب الشهر'!$C$763:$AD$872,2,FALSE),0)</f>
        <v>112.5</v>
      </c>
      <c r="K99" s="376">
        <f>IFERROR(VLOOKUP(C99,'تقرير المصروفات حسب الشهر'!$C$889:$D$999,2,FALSE),0)</f>
        <v>112.5</v>
      </c>
      <c r="L99" s="376">
        <f>IFERROR(VLOOKUP(C99,'تقرير المصروفات حسب الشهر'!$C$1016:$AD$1126,2,FALSE),0)</f>
        <v>112.5</v>
      </c>
      <c r="M99" s="376">
        <f>IFERROR(VLOOKUP(C99,'تقرير المصروفات حسب الشهر'!$C$1143:$AD$1254,2,FALSE),0)</f>
        <v>112.5</v>
      </c>
      <c r="N99" s="376">
        <f>IFERROR(VLOOKUP(C99,'تقرير المصروفات حسب الشهر'!$C$1270:$AD$1381,2,FALSE),0)</f>
        <v>112.5</v>
      </c>
      <c r="O99" s="376">
        <f>IFERROR(VLOOKUP(C99,'تقرير المصروفات حسب الشهر'!$C$1397:$AI$1512,2,FALSE),0)</f>
        <v>0</v>
      </c>
      <c r="P99" s="394">
        <f t="shared" si="6"/>
        <v>4416.1399999999994</v>
      </c>
    </row>
    <row r="100" spans="2:16" ht="18" customHeight="1">
      <c r="B100" s="124"/>
      <c r="C100" s="150" t="s">
        <v>102</v>
      </c>
      <c r="D100" s="376">
        <f>IFERROR(VLOOKUP(C100,'تقرير المصروفات حسب الشهر'!$C$10:$AD$119,2,FALSE),0)</f>
        <v>18878.52</v>
      </c>
      <c r="E100" s="376">
        <f>IFERROR(VLOOKUP(C100,'تقرير المصروفات حسب الشهر'!$C$135:$AD$252,2,FALSE),0)</f>
        <v>18993.78</v>
      </c>
      <c r="F100" s="376">
        <f>_xlfn.XLOOKUP(C100,'تقرير المصروفات حسب الشهر'!C339:C451,'تقرير المصروفات حسب الشهر'!D339:D451,0,0)</f>
        <v>19516.61</v>
      </c>
      <c r="G100" s="376">
        <f>IFERROR(VLOOKUP(C100,'تقرير المصروفات حسب الشهر'!$C$387:$AD$495,2,FALSE),0)</f>
        <v>19460.490000000002</v>
      </c>
      <c r="H100" s="376">
        <f>IFERROR(VLOOKUP(C100,'تقرير المصروفات حسب الشهر'!$C$512:$AD$620,2,FALSE),0)</f>
        <v>19340.919999999998</v>
      </c>
      <c r="I100" s="515">
        <f>IFERROR(VLOOKUP(C100,'تقرير المصروفات حسب الشهر'!$C$637:$AD$746,2,FALSE),0)</f>
        <v>20404.63</v>
      </c>
      <c r="J100" s="518">
        <f>IFERROR(VLOOKUP(C100,'تقرير المصروفات حسب الشهر'!$C$763:$AD$872,2,FALSE),0)</f>
        <v>21345.85</v>
      </c>
      <c r="K100" s="376">
        <f>IFERROR(VLOOKUP(C100,'تقرير المصروفات حسب الشهر'!$C$889:$D$999,2,FALSE),0)</f>
        <v>22622.85</v>
      </c>
      <c r="L100" s="376">
        <f>IFERROR(VLOOKUP(C100,'تقرير المصروفات حسب الشهر'!$C$1016:$AD$1126,2,FALSE),0)</f>
        <v>23448.97</v>
      </c>
      <c r="M100" s="376">
        <f>IFERROR(VLOOKUP(C100,'تقرير المصروفات حسب الشهر'!$C$1143:$AD$1254,2,FALSE),0)</f>
        <v>24102.63</v>
      </c>
      <c r="N100" s="376">
        <f>IFERROR(VLOOKUP(C100,'تقرير المصروفات حسب الشهر'!$C$1270:$AD$1381,2,FALSE),0)</f>
        <v>24248.84</v>
      </c>
      <c r="O100" s="376">
        <f>IFERROR(VLOOKUP(C100,'تقرير المصروفات حسب الشهر'!$C$1397:$AI$1512,2,FALSE),0)</f>
        <v>9789.31</v>
      </c>
      <c r="P100" s="394">
        <f t="shared" si="6"/>
        <v>242153.40000000002</v>
      </c>
    </row>
    <row r="101" spans="2:16" ht="18" customHeight="1">
      <c r="B101" s="124"/>
      <c r="C101" s="150" t="s">
        <v>103</v>
      </c>
      <c r="D101" s="376">
        <f>IFERROR(VLOOKUP(C101,'تقرير المصروفات حسب الشهر'!$C$10:$AD$119,2,FALSE),0)</f>
        <v>3301.12</v>
      </c>
      <c r="E101" s="376">
        <f>IFERROR(VLOOKUP(C101,'تقرير المصروفات حسب الشهر'!$C$135:$AD$252,2,FALSE),0)</f>
        <v>3301.12</v>
      </c>
      <c r="F101" s="376">
        <f>_xlfn.XLOOKUP(C101,'تقرير المصروفات حسب الشهر'!C340:C452,'تقرير المصروفات حسب الشهر'!D340:D452,0,0)</f>
        <v>3301.12</v>
      </c>
      <c r="G101" s="376">
        <f>IFERROR(VLOOKUP(C101,'تقرير المصروفات حسب الشهر'!$C$387:$AD$495,2,FALSE),0)</f>
        <v>3301.12</v>
      </c>
      <c r="H101" s="376">
        <f>IFERROR(VLOOKUP(C101,'تقرير المصروفات حسب الشهر'!$C$512:$AD$620,2,FALSE),0)</f>
        <v>3301.12</v>
      </c>
      <c r="I101" s="515">
        <f>IFERROR(VLOOKUP(C101,'تقرير المصروفات حسب الشهر'!$C$637:$AD$746,2,FALSE),0)</f>
        <v>3301.12</v>
      </c>
      <c r="J101" s="518">
        <f>IFERROR(VLOOKUP(C101,'تقرير المصروفات حسب الشهر'!$C$763:$AD$872,2,FALSE),0)</f>
        <v>3301.12</v>
      </c>
      <c r="K101" s="376">
        <f>IFERROR(VLOOKUP(C101,'تقرير المصروفات حسب الشهر'!$C$889:$D$999,2,FALSE),0)</f>
        <v>3192.6</v>
      </c>
      <c r="L101" s="376">
        <f>IFERROR(VLOOKUP(C101,'تقرير المصروفات حسب الشهر'!$C$1016:$AD$1126,2,FALSE),0)</f>
        <v>2905.47</v>
      </c>
      <c r="M101" s="376">
        <f>IFERROR(VLOOKUP(C101,'تقرير المصروفات حسب الشهر'!$C$1143:$AD$1254,2,FALSE),0)</f>
        <v>2905.47</v>
      </c>
      <c r="N101" s="376">
        <f>IFERROR(VLOOKUP(C101,'تقرير المصروفات حسب الشهر'!$C$1270:$AD$1381,2,FALSE),0)</f>
        <v>2905.47</v>
      </c>
      <c r="O101" s="376">
        <f>IFERROR(VLOOKUP(C101,'تقرير المصروفات حسب الشهر'!$C$1397:$AI$1512,2,FALSE),0)</f>
        <v>0.23</v>
      </c>
      <c r="P101" s="394">
        <f t="shared" si="6"/>
        <v>35017.08</v>
      </c>
    </row>
    <row r="102" spans="2:16" ht="18" customHeight="1">
      <c r="B102" s="124"/>
      <c r="C102" s="150" t="s">
        <v>104</v>
      </c>
      <c r="D102" s="376">
        <f>IFERROR(VLOOKUP(C102,'تقرير المصروفات حسب الشهر'!$C$10:$AD$119,2,FALSE),0)</f>
        <v>2350.1999999999998</v>
      </c>
      <c r="E102" s="376">
        <f>IFERROR(VLOOKUP(C102,'تقرير المصروفات حسب الشهر'!$C$135:$AD$252,2,FALSE),0)</f>
        <v>2348.56</v>
      </c>
      <c r="F102" s="376">
        <f>_xlfn.XLOOKUP(C102,'تقرير المصروفات حسب الشهر'!C341:C453,'تقرير المصروفات حسب الشهر'!D341:D453,0,0)</f>
        <v>3732.3</v>
      </c>
      <c r="G102" s="376">
        <f>IFERROR(VLOOKUP(C102,'تقرير المصروفات حسب الشهر'!$C$387:$AD$495,2,FALSE),0)</f>
        <v>4185.8</v>
      </c>
      <c r="H102" s="376">
        <f>IFERROR(VLOOKUP(C102,'تقرير المصروفات حسب الشهر'!$C$512:$AD$620,2,FALSE),0)</f>
        <v>4986.1000000000004</v>
      </c>
      <c r="I102" s="515">
        <f>IFERROR(VLOOKUP(C102,'تقرير المصروفات حسب الشهر'!$C$637:$AD$746,2,FALSE),0)</f>
        <v>5101.71</v>
      </c>
      <c r="J102" s="518">
        <f>IFERROR(VLOOKUP(C102,'تقرير المصروفات حسب الشهر'!$C$763:$AD$872,2,FALSE),0)</f>
        <v>5157.38</v>
      </c>
      <c r="K102" s="376">
        <f>IFERROR(VLOOKUP(C102,'تقرير المصروفات حسب الشهر'!$C$889:$D$999,2,FALSE),0)</f>
        <v>5225.29</v>
      </c>
      <c r="L102" s="376">
        <f>IFERROR(VLOOKUP(C102,'تقرير المصروفات حسب الشهر'!$C$1016:$AD$1126,2,FALSE),0)</f>
        <v>5278.23</v>
      </c>
      <c r="M102" s="376">
        <f>IFERROR(VLOOKUP(C102,'تقرير المصروفات حسب الشهر'!$C$1143:$AD$1254,2,FALSE),0)</f>
        <v>5450.33</v>
      </c>
      <c r="N102" s="376">
        <f>IFERROR(VLOOKUP(C102,'تقرير المصروفات حسب الشهر'!$C$1270:$AD$1381,2,FALSE),0)</f>
        <v>8100.84</v>
      </c>
      <c r="O102" s="376">
        <f>IFERROR(VLOOKUP(C102,'تقرير المصروفات حسب الشهر'!$C$1397:$AI$1512,2,FALSE),0)</f>
        <v>6750.73</v>
      </c>
      <c r="P102" s="394">
        <f t="shared" si="6"/>
        <v>58667.469999999987</v>
      </c>
    </row>
    <row r="103" spans="2:16" ht="18" customHeight="1">
      <c r="B103" s="124"/>
      <c r="C103" s="150" t="s">
        <v>105</v>
      </c>
      <c r="D103" s="376">
        <f>IFERROR(VLOOKUP(C103,'تقرير المصروفات حسب الشهر'!$C$10:$AD$119,2,FALSE),0)</f>
        <v>1419.88</v>
      </c>
      <c r="E103" s="376">
        <f>IFERROR(VLOOKUP(C103,'تقرير المصروفات حسب الشهر'!$C$135:$AD$252,2,FALSE),0)</f>
        <v>1401.31</v>
      </c>
      <c r="F103" s="376">
        <f>_xlfn.XLOOKUP(C103,'تقرير المصروفات حسب الشهر'!C342:C454,'تقرير المصروفات حسب الشهر'!D342:D454,0,0)</f>
        <v>1238.3800000000001</v>
      </c>
      <c r="G103" s="376">
        <f>IFERROR(VLOOKUP(C103,'تقرير المصروفات حسب الشهر'!$C$387:$AD$495,2,FALSE),0)</f>
        <v>1217.1300000000001</v>
      </c>
      <c r="H103" s="376">
        <f>IFERROR(VLOOKUP(C103,'تقرير المصروفات حسب الشهر'!$C$512:$AD$620,2,FALSE),0)</f>
        <v>966.44</v>
      </c>
      <c r="I103" s="515">
        <f>IFERROR(VLOOKUP(C103,'تقرير المصروفات حسب الشهر'!$C$637:$AD$746,2,FALSE),0)</f>
        <v>966.44</v>
      </c>
      <c r="J103" s="518">
        <f>IFERROR(VLOOKUP(C103,'تقرير المصروفات حسب الشهر'!$C$763:$AD$872,2,FALSE),0)</f>
        <v>1007.92</v>
      </c>
      <c r="K103" s="376">
        <f>IFERROR(VLOOKUP(C103,'تقرير المصروفات حسب الشهر'!$C$889:$D$999,2,FALSE),0)</f>
        <v>1236.8499999999999</v>
      </c>
      <c r="L103" s="376">
        <f>IFERROR(VLOOKUP(C103,'تقرير المصروفات حسب الشهر'!$C$1016:$AD$1126,2,FALSE),0)</f>
        <v>1080.49</v>
      </c>
      <c r="M103" s="376">
        <f>IFERROR(VLOOKUP(C103,'تقرير المصروفات حسب الشهر'!$C$1143:$AD$1254,2,FALSE),0)</f>
        <v>1247.57</v>
      </c>
      <c r="N103" s="376">
        <f>IFERROR(VLOOKUP(C103,'تقرير المصروفات حسب الشهر'!$C$1270:$AD$1381,2,FALSE),0)</f>
        <v>1692.87</v>
      </c>
      <c r="O103" s="376">
        <f>IFERROR(VLOOKUP(C103,'تقرير المصروفات حسب الشهر'!$C$1397:$AI$1512,2,FALSE),0)</f>
        <v>831.89</v>
      </c>
      <c r="P103" s="394">
        <f t="shared" si="6"/>
        <v>14307.170000000002</v>
      </c>
    </row>
    <row r="104" spans="2:16" ht="18" customHeight="1">
      <c r="B104" s="124"/>
      <c r="C104" s="150" t="s">
        <v>106</v>
      </c>
      <c r="D104" s="376">
        <f>IFERROR(VLOOKUP(C104,'تقرير المصروفات حسب الشهر'!$C$10:$AD$119,2,FALSE),0)</f>
        <v>0</v>
      </c>
      <c r="E104" s="376">
        <f>IFERROR(VLOOKUP(C104,'تقرير المصروفات حسب الشهر'!$C$135:$AD$252,2,FALSE),0)</f>
        <v>0</v>
      </c>
      <c r="F104" s="376">
        <f>_xlfn.XLOOKUP(C104,'تقرير المصروفات حسب الشهر'!C343:C455,'تقرير المصروفات حسب الشهر'!D343:D455,0,0)</f>
        <v>0</v>
      </c>
      <c r="G104" s="376">
        <f>IFERROR(VLOOKUP(C104,'تقرير المصروفات حسب الشهر'!$C$387:$AD$495,2,FALSE),0)</f>
        <v>0</v>
      </c>
      <c r="H104" s="376">
        <f>IFERROR(VLOOKUP(C104,'تقرير المصروفات حسب الشهر'!$C$512:$AD$620,2,FALSE),0)</f>
        <v>1061</v>
      </c>
      <c r="I104" s="376">
        <f>IFERROR(VLOOKUP(C104,'تقرير المصروفات حسب الشهر'!$C$637:$AD$746,2,FALSE),0)</f>
        <v>0</v>
      </c>
      <c r="J104" s="376">
        <f>IFERROR(VLOOKUP(C104,'تقرير المصروفات حسب الشهر'!$C$763:$AD$872,2,FALSE),0)</f>
        <v>0</v>
      </c>
      <c r="K104" s="376">
        <f>IFERROR(VLOOKUP(C104,'تقرير المصروفات حسب الشهر'!$C$889:$D$999,2,FALSE),0)</f>
        <v>0</v>
      </c>
      <c r="L104" s="376">
        <f>IFERROR(VLOOKUP(C104,'تقرير المصروفات حسب الشهر'!$C$1016:$AD$1126,2,FALSE),0)</f>
        <v>0</v>
      </c>
      <c r="M104" s="376">
        <f>IFERROR(VLOOKUP(C104,'تقرير المصروفات حسب الشهر'!$C$1143:$AD$1254,2,FALSE),0)</f>
        <v>0</v>
      </c>
      <c r="N104" s="376">
        <f>IFERROR(VLOOKUP(C104,'تقرير المصروفات حسب الشهر'!$C$1270:$AD$1381,2,FALSE),0)</f>
        <v>0</v>
      </c>
      <c r="O104" s="376">
        <f>IFERROR(VLOOKUP(C104,'تقرير المصروفات حسب الشهر'!$C$1397:$AI$1512,2,FALSE),0)</f>
        <v>0</v>
      </c>
      <c r="P104" s="394">
        <f t="shared" si="6"/>
        <v>1061</v>
      </c>
    </row>
    <row r="105" spans="2:16" ht="18" customHeight="1">
      <c r="B105" s="124"/>
      <c r="C105" s="150" t="s">
        <v>107</v>
      </c>
      <c r="D105" s="376">
        <f>IFERROR(VLOOKUP(C105,'تقرير المصروفات حسب الشهر'!$C$10:$AD$119,2,FALSE),0)</f>
        <v>0</v>
      </c>
      <c r="E105" s="376">
        <f>IFERROR(VLOOKUP(C105,'تقرير المصروفات حسب الشهر'!$C$135:$AD$252,2,FALSE),0)</f>
        <v>0</v>
      </c>
      <c r="F105" s="376">
        <f>_xlfn.XLOOKUP(C105,'تقرير المصروفات حسب الشهر'!C344:C456,'تقرير المصروفات حسب الشهر'!D344:D456,0,0)</f>
        <v>0</v>
      </c>
      <c r="G105" s="376">
        <f>IFERROR(VLOOKUP(C105,'تقرير المصروفات حسب الشهر'!$C$387:$AD$495,2,FALSE),0)</f>
        <v>0</v>
      </c>
      <c r="H105" s="376">
        <f>IFERROR(VLOOKUP(C105,'تقرير المصروفات حسب الشهر'!$C$512:$AD$620,2,FALSE),0)</f>
        <v>0</v>
      </c>
      <c r="I105" s="376">
        <f>IFERROR(VLOOKUP(C105,'تقرير المصروفات حسب الشهر'!$C$637:$AD$746,2,FALSE),0)</f>
        <v>0</v>
      </c>
      <c r="J105" s="376">
        <f>IFERROR(VLOOKUP(C105,'تقرير المصروفات حسب الشهر'!$C$763:$AD$872,2,FALSE),0)</f>
        <v>0</v>
      </c>
      <c r="K105" s="376">
        <f>IFERROR(VLOOKUP(C105,'تقرير المصروفات حسب الشهر'!$C$889:$D$999,2,FALSE),0)</f>
        <v>0</v>
      </c>
      <c r="L105" s="376">
        <f>IFERROR(VLOOKUP(C105,'تقرير المصروفات حسب الشهر'!$C$1016:$AD$1126,2,FALSE),0)</f>
        <v>0</v>
      </c>
      <c r="M105" s="376">
        <f>IFERROR(VLOOKUP(C105,'تقرير المصروفات حسب الشهر'!$C$1143:$AD$1254,2,FALSE),0)</f>
        <v>0</v>
      </c>
      <c r="N105" s="376">
        <f>IFERROR(VLOOKUP(C105,'تقرير المصروفات حسب الشهر'!$C$1270:$AD$1381,2,FALSE),0)</f>
        <v>0</v>
      </c>
      <c r="O105" s="376">
        <f>IFERROR(VLOOKUP(C105,'تقرير المصروفات حسب الشهر'!$C$1397:$AI$1512,2,FALSE),0)</f>
        <v>0</v>
      </c>
      <c r="P105" s="394">
        <f t="shared" si="6"/>
        <v>0</v>
      </c>
    </row>
    <row r="106" spans="2:16" ht="18" customHeight="1">
      <c r="B106" s="124"/>
      <c r="C106" s="150" t="s">
        <v>108</v>
      </c>
      <c r="D106" s="376">
        <f>IFERROR(VLOOKUP(C106,'تقرير المصروفات حسب الشهر'!$C$10:$AD$119,2,FALSE),0)</f>
        <v>0</v>
      </c>
      <c r="E106" s="376">
        <f>IFERROR(VLOOKUP(C106,'تقرير المصروفات حسب الشهر'!$C$135:$AD$252,2,FALSE),0)</f>
        <v>0</v>
      </c>
      <c r="F106" s="376">
        <f>_xlfn.XLOOKUP(C106,'تقرير المصروفات حسب الشهر'!C345:C457,'تقرير المصروفات حسب الشهر'!D345:D457,0,0)</f>
        <v>0</v>
      </c>
      <c r="G106" s="376">
        <f>IFERROR(VLOOKUP(C106,'تقرير المصروفات حسب الشهر'!$C$387:$AD$495,2,FALSE),0)</f>
        <v>0</v>
      </c>
      <c r="H106" s="376">
        <f>IFERROR(VLOOKUP(C106,'تقرير المصروفات حسب الشهر'!$C$512:$AD$620,2,FALSE),0)</f>
        <v>0</v>
      </c>
      <c r="I106" s="376">
        <f>IFERROR(VLOOKUP(C106,'تقرير المصروفات حسب الشهر'!$C$637:$AD$746,2,FALSE),0)</f>
        <v>0</v>
      </c>
      <c r="J106" s="376">
        <f>IFERROR(VLOOKUP(C106,'تقرير المصروفات حسب الشهر'!$C$763:$AD$872,2,FALSE),0)</f>
        <v>0</v>
      </c>
      <c r="K106" s="376">
        <f>IFERROR(VLOOKUP(C106,'تقرير المصروفات حسب الشهر'!$C$889:$D$999,2,FALSE),0)</f>
        <v>0</v>
      </c>
      <c r="L106" s="376">
        <f>IFERROR(VLOOKUP(C106,'تقرير المصروفات حسب الشهر'!$C$1016:$AD$1126,2,FALSE),0)</f>
        <v>0</v>
      </c>
      <c r="M106" s="376">
        <f>IFERROR(VLOOKUP(C106,'تقرير المصروفات حسب الشهر'!$C$1143:$AD$1254,2,FALSE),0)</f>
        <v>0</v>
      </c>
      <c r="N106" s="376">
        <f>IFERROR(VLOOKUP(C106,'تقرير المصروفات حسب الشهر'!$C$1270:$AD$1381,2,FALSE),0)</f>
        <v>0</v>
      </c>
      <c r="O106" s="376">
        <f>IFERROR(VLOOKUP(C106,'تقرير المصروفات حسب الشهر'!$C$1397:$AI$1512,2,FALSE),0)</f>
        <v>0</v>
      </c>
      <c r="P106" s="394">
        <f t="shared" si="6"/>
        <v>0</v>
      </c>
    </row>
    <row r="107" spans="2:16" ht="18" customHeight="1">
      <c r="B107" s="124"/>
      <c r="C107" s="150" t="s">
        <v>109</v>
      </c>
      <c r="D107" s="376">
        <f>IFERROR(VLOOKUP(C107,'تقرير المصروفات حسب الشهر'!$C$10:$AD$119,2,FALSE),0)</f>
        <v>0</v>
      </c>
      <c r="E107" s="376">
        <f>IFERROR(VLOOKUP(C107,'تقرير المصروفات حسب الشهر'!$C$135:$AD$252,2,FALSE),0)</f>
        <v>0</v>
      </c>
      <c r="F107" s="376">
        <f>_xlfn.XLOOKUP(C107,'تقرير المصروفات حسب الشهر'!C346:C458,'تقرير المصروفات حسب الشهر'!D346:D458,0,0)</f>
        <v>0</v>
      </c>
      <c r="G107" s="376">
        <f>IFERROR(VLOOKUP(C107,'تقرير المصروفات حسب الشهر'!$C$387:$AD$495,2,FALSE),0)</f>
        <v>0</v>
      </c>
      <c r="H107" s="376">
        <f>IFERROR(VLOOKUP(C107,'تقرير المصروفات حسب الشهر'!$C$512:$AD$620,2,FALSE),0)</f>
        <v>0</v>
      </c>
      <c r="I107" s="376">
        <f>IFERROR(VLOOKUP(C107,'تقرير المصروفات حسب الشهر'!$C$637:$AD$746,2,FALSE),0)</f>
        <v>0</v>
      </c>
      <c r="J107" s="376">
        <f>IFERROR(VLOOKUP(C107,'تقرير المصروفات حسب الشهر'!$C$763:$AD$872,2,FALSE),0)</f>
        <v>0</v>
      </c>
      <c r="K107" s="376">
        <f>IFERROR(VLOOKUP(C107,'تقرير المصروفات حسب الشهر'!$C$889:$D$999,2,FALSE),0)</f>
        <v>0</v>
      </c>
      <c r="L107" s="376">
        <f>IFERROR(VLOOKUP(C107,'تقرير المصروفات حسب الشهر'!$C$1016:$AD$1126,2,FALSE),0)</f>
        <v>0</v>
      </c>
      <c r="M107" s="376">
        <f>IFERROR(VLOOKUP(C107,'تقرير المصروفات حسب الشهر'!$C$1143:$AD$1254,2,FALSE),0)</f>
        <v>0</v>
      </c>
      <c r="N107" s="376">
        <f>IFERROR(VLOOKUP(C107,'تقرير المصروفات حسب الشهر'!$C$1270:$AD$1381,2,FALSE),0)</f>
        <v>0</v>
      </c>
      <c r="O107" s="376">
        <f>IFERROR(VLOOKUP(C107,'تقرير المصروفات حسب الشهر'!$C$1397:$AI$1512,2,FALSE),0)</f>
        <v>0</v>
      </c>
      <c r="P107" s="394">
        <f t="shared" si="6"/>
        <v>0</v>
      </c>
    </row>
    <row r="108" spans="2:16" ht="18" customHeight="1">
      <c r="B108" s="124"/>
      <c r="C108" s="150" t="s">
        <v>110</v>
      </c>
      <c r="D108" s="376">
        <f>IFERROR(VLOOKUP(C108,'تقرير المصروفات حسب الشهر'!$C$10:$AD$119,2,FALSE),0)</f>
        <v>0</v>
      </c>
      <c r="E108" s="376">
        <f>IFERROR(VLOOKUP(C108,'تقرير المصروفات حسب الشهر'!$C$135:$AD$252,2,FALSE),0)</f>
        <v>0</v>
      </c>
      <c r="F108" s="376">
        <f>_xlfn.XLOOKUP(C108,'تقرير المصروفات حسب الشهر'!C347:C459,'تقرير المصروفات حسب الشهر'!D347:D459,0,0)</f>
        <v>0</v>
      </c>
      <c r="G108" s="376">
        <f>IFERROR(VLOOKUP(C108,'تقرير المصروفات حسب الشهر'!$C$387:$AD$495,2,FALSE),0)</f>
        <v>0</v>
      </c>
      <c r="H108" s="376">
        <f>IFERROR(VLOOKUP(C108,'تقرير المصروفات حسب الشهر'!$C$512:$AD$620,2,FALSE),0)</f>
        <v>0</v>
      </c>
      <c r="I108" s="376">
        <f>IFERROR(VLOOKUP(C108,'تقرير المصروفات حسب الشهر'!$C$637:$AD$746,2,FALSE),0)</f>
        <v>0</v>
      </c>
      <c r="J108" s="376">
        <f>IFERROR(VLOOKUP(C108,'تقرير المصروفات حسب الشهر'!$C$763:$AD$872,2,FALSE),0)</f>
        <v>0</v>
      </c>
      <c r="K108" s="376">
        <f>IFERROR(VLOOKUP(C108,'تقرير المصروفات حسب الشهر'!$C$889:$D$999,2,FALSE),0)</f>
        <v>0</v>
      </c>
      <c r="L108" s="376">
        <f>IFERROR(VLOOKUP(C108,'تقرير المصروفات حسب الشهر'!$C$1016:$AD$1126,2,FALSE),0)</f>
        <v>0</v>
      </c>
      <c r="M108" s="376">
        <f>IFERROR(VLOOKUP(C108,'تقرير المصروفات حسب الشهر'!$C$1143:$AD$1254,2,FALSE),0)</f>
        <v>0</v>
      </c>
      <c r="N108" s="376">
        <f>IFERROR(VLOOKUP(C108,'تقرير المصروفات حسب الشهر'!$C$1270:$AD$1381,2,FALSE),0)</f>
        <v>0</v>
      </c>
      <c r="O108" s="376">
        <f>IFERROR(VLOOKUP(C108,'تقرير المصروفات حسب الشهر'!$C$1397:$AI$1512,2,FALSE),0)</f>
        <v>0</v>
      </c>
      <c r="P108" s="394">
        <f t="shared" si="6"/>
        <v>0</v>
      </c>
    </row>
    <row r="109" spans="2:16" ht="18" customHeight="1">
      <c r="B109" s="124"/>
      <c r="C109" s="150" t="s">
        <v>112</v>
      </c>
      <c r="D109" s="376">
        <f>IFERROR(VLOOKUP(C109,'تقرير المصروفات حسب الشهر'!$C$10:$AD$119,2,FALSE),0)</f>
        <v>0</v>
      </c>
      <c r="E109" s="376">
        <f>IFERROR(VLOOKUP(C109,'تقرير المصروفات حسب الشهر'!$C$135:$AD$252,2,FALSE),0)</f>
        <v>0</v>
      </c>
      <c r="F109" s="376">
        <f>_xlfn.XLOOKUP(C109,'تقرير المصروفات حسب الشهر'!C348:C460,'تقرير المصروفات حسب الشهر'!D348:D460,0,0)</f>
        <v>0</v>
      </c>
      <c r="G109" s="376">
        <f>IFERROR(VLOOKUP(C109,'تقرير المصروفات حسب الشهر'!$C$387:$AD$495,2,FALSE),0)</f>
        <v>0</v>
      </c>
      <c r="H109" s="376">
        <f>IFERROR(VLOOKUP(C109,'تقرير المصروفات حسب الشهر'!$C$512:$AD$620,2,FALSE),0)</f>
        <v>0</v>
      </c>
      <c r="I109" s="376">
        <f>IFERROR(VLOOKUP(C109,'تقرير المصروفات حسب الشهر'!$C$637:$AD$746,2,FALSE),0)</f>
        <v>0</v>
      </c>
      <c r="J109" s="376">
        <f>IFERROR(VLOOKUP(C109,'تقرير المصروفات حسب الشهر'!$C$763:$AD$872,2,FALSE),0)</f>
        <v>0</v>
      </c>
      <c r="K109" s="376">
        <f>IFERROR(VLOOKUP(C109,'تقرير المصروفات حسب الشهر'!$C$889:$D$999,2,FALSE),0)</f>
        <v>7207.5</v>
      </c>
      <c r="L109" s="376">
        <f>IFERROR(VLOOKUP(C109,'تقرير المصروفات حسب الشهر'!$C$1016:$AD$1126,2,FALSE),0)</f>
        <v>0</v>
      </c>
      <c r="M109" s="376">
        <f>IFERROR(VLOOKUP(C109,'تقرير المصروفات حسب الشهر'!$C$1143:$AD$1254,2,FALSE),0)</f>
        <v>0</v>
      </c>
      <c r="N109" s="376">
        <f>IFERROR(VLOOKUP(C109,'تقرير المصروفات حسب الشهر'!$C$1270:$AD$1381,2,FALSE),0)</f>
        <v>107089.69</v>
      </c>
      <c r="O109" s="376">
        <f>IFERROR(VLOOKUP(C109,'تقرير المصروفات حسب الشهر'!$C$1397:$AI$1512,2,FALSE),0)</f>
        <v>0</v>
      </c>
      <c r="P109" s="394">
        <f t="shared" si="6"/>
        <v>114297.19</v>
      </c>
    </row>
    <row r="110" spans="2:16" ht="18" customHeight="1">
      <c r="B110" s="124"/>
      <c r="C110" s="150" t="s">
        <v>113</v>
      </c>
      <c r="D110" s="376">
        <f>IFERROR(VLOOKUP(C110,'تقرير المصروفات حسب الشهر'!$C$10:$AD$119,2,FALSE),0)</f>
        <v>0</v>
      </c>
      <c r="E110" s="376">
        <f>IFERROR(VLOOKUP(C110,'تقرير المصروفات حسب الشهر'!$C$135:$AD$252,2,FALSE),0)</f>
        <v>0</v>
      </c>
      <c r="F110" s="376">
        <f>_xlfn.XLOOKUP(C110,'تقرير المصروفات حسب الشهر'!C349:C461,'تقرير المصروفات حسب الشهر'!D349:D461,0,0)</f>
        <v>0</v>
      </c>
      <c r="G110" s="376">
        <f>IFERROR(VLOOKUP(C110,'تقرير المصروفات حسب الشهر'!$C$387:$AD$495,2,FALSE),0)</f>
        <v>0</v>
      </c>
      <c r="H110" s="376">
        <f>IFERROR(VLOOKUP(C110,'تقرير المصروفات حسب الشهر'!$C$512:$AD$620,2,FALSE),0)</f>
        <v>0</v>
      </c>
      <c r="I110" s="376">
        <f>IFERROR(VLOOKUP(C110,'تقرير المصروفات حسب الشهر'!$C$637:$AD$746,2,FALSE),0)</f>
        <v>0</v>
      </c>
      <c r="J110" s="376">
        <f>IFERROR(VLOOKUP(C110,'تقرير المصروفات حسب الشهر'!$C$763:$AD$872,2,FALSE),0)</f>
        <v>58399.12</v>
      </c>
      <c r="K110" s="376">
        <f>IFERROR(VLOOKUP(C110,'تقرير المصروفات حسب الشهر'!$C$889:$D$999,2,FALSE),0)</f>
        <v>0</v>
      </c>
      <c r="L110" s="376">
        <f>IFERROR(VLOOKUP(C110,'تقرير المصروفات حسب الشهر'!$C$1016:$AD$1126,2,FALSE),0)</f>
        <v>0</v>
      </c>
      <c r="M110" s="376">
        <f>IFERROR(VLOOKUP(C110,'تقرير المصروفات حسب الشهر'!$C$1143:$AD$1254,2,FALSE),0)</f>
        <v>0</v>
      </c>
      <c r="N110" s="376">
        <f>IFERROR(VLOOKUP(C110,'تقرير المصروفات حسب الشهر'!$C$1270:$AD$1381,2,FALSE),0)</f>
        <v>108048.61</v>
      </c>
      <c r="O110" s="376">
        <f>IFERROR(VLOOKUP(C110,'تقرير المصروفات حسب الشهر'!$C$1397:$AI$1512,2,FALSE),0)</f>
        <v>17324.05</v>
      </c>
      <c r="P110" s="394">
        <f t="shared" si="6"/>
        <v>183771.78</v>
      </c>
    </row>
    <row r="111" spans="2:16" ht="18" customHeight="1">
      <c r="B111" s="124"/>
      <c r="C111" s="150" t="s">
        <v>137</v>
      </c>
      <c r="D111" s="376">
        <f>IFERROR(VLOOKUP(C111,'تقرير المصروفات حسب الشهر'!$C$10:$AD$119,2,FALSE),0)</f>
        <v>0</v>
      </c>
      <c r="E111" s="376">
        <f>IFERROR(VLOOKUP(C111,'تقرير المصروفات حسب الشهر'!$C$135:$AD$252,2,FALSE),0)</f>
        <v>27145</v>
      </c>
      <c r="F111" s="376">
        <f>_xlfn.XLOOKUP(C111,'تقرير المصروفات حسب الشهر'!C350:C462,'تقرير المصروفات حسب الشهر'!D350:D462,0,0)</f>
        <v>0</v>
      </c>
      <c r="G111" s="376">
        <f>IFERROR(VLOOKUP(C111,'تقرير المصروفات حسب الشهر'!$C$387:$AD$495,2,FALSE),0)</f>
        <v>0</v>
      </c>
      <c r="H111" s="376">
        <f>IFERROR(VLOOKUP(C111,'تقرير المصروفات حسب الشهر'!$C$512:$AD$620,2,FALSE),0)</f>
        <v>0</v>
      </c>
      <c r="I111" s="376">
        <f>IFERROR(VLOOKUP(C111,'تقرير المصروفات حسب الشهر'!$C$637:$AD$746,2,FALSE),0)</f>
        <v>0</v>
      </c>
      <c r="J111" s="376">
        <f>IFERROR(VLOOKUP(C111,'تقرير المصروفات حسب الشهر'!$C$763:$AD$872,2,FALSE),0)</f>
        <v>0</v>
      </c>
      <c r="K111" s="376">
        <f>IFERROR(VLOOKUP(C111,'تقرير المصروفات حسب الشهر'!$C$889:$D$999,2,FALSE),0)</f>
        <v>0</v>
      </c>
      <c r="L111" s="376">
        <f>IFERROR(VLOOKUP(C111,'تقرير المصروفات حسب الشهر'!$C$1016:$AD$1126,2,FALSE),0)</f>
        <v>0</v>
      </c>
      <c r="M111" s="376">
        <f>IFERROR(VLOOKUP(C111,'تقرير المصروفات حسب الشهر'!$C$1143:$AD$1254,2,FALSE),0)</f>
        <v>0</v>
      </c>
      <c r="N111" s="376">
        <f>IFERROR(VLOOKUP(C111,'تقرير المصروفات حسب الشهر'!$C$1270:$AD$1381,2,FALSE),0)</f>
        <v>0</v>
      </c>
      <c r="O111" s="376">
        <f>IFERROR(VLOOKUP(C111,'تقرير المصروفات حسب الشهر'!$C$1397:$AI$1512,2,FALSE),0)</f>
        <v>53192</v>
      </c>
      <c r="P111" s="394">
        <f t="shared" si="6"/>
        <v>80337</v>
      </c>
    </row>
    <row r="112" spans="2:16" ht="18" customHeight="1">
      <c r="B112" s="124"/>
      <c r="C112" s="150" t="s">
        <v>140</v>
      </c>
      <c r="D112" s="376">
        <f>IFERROR(VLOOKUP(C112,'تقرير المصروفات حسب الشهر'!$C$10:$AD$119,2,FALSE),0)</f>
        <v>62284.62</v>
      </c>
      <c r="E112" s="376">
        <f>IFERROR(VLOOKUP(C112,'تقرير المصروفات حسب الشهر'!$C$135:$AD$252,2,FALSE),0)</f>
        <v>6017</v>
      </c>
      <c r="F112" s="376">
        <f>_xlfn.XLOOKUP(C112,'تقرير المصروفات حسب الشهر'!C351:C463,'تقرير المصروفات حسب الشهر'!D351:D463,0,0)</f>
        <v>0</v>
      </c>
      <c r="G112" s="376">
        <f>IFERROR(VLOOKUP(C112,'تقرير المصروفات حسب الشهر'!$C$387:$AD$495,2,FALSE),0)</f>
        <v>0</v>
      </c>
      <c r="H112" s="376">
        <f>IFERROR(VLOOKUP(C112,'تقرير المصروفات حسب الشهر'!$C$512:$AD$620,2,FALSE),0)</f>
        <v>4718</v>
      </c>
      <c r="I112" s="376">
        <f>IFERROR(VLOOKUP(C112,'تقرير المصروفات حسب الشهر'!$C$637:$AD$746,2,FALSE),0)</f>
        <v>0</v>
      </c>
      <c r="J112" s="376">
        <f>IFERROR(VLOOKUP(C112,'تقرير المصروفات حسب الشهر'!$C$763:$AD$872,2,FALSE),0)</f>
        <v>0</v>
      </c>
      <c r="K112" s="376">
        <f>IFERROR(VLOOKUP(C112,'تقرير المصروفات حسب الشهر'!$C$889:$D$999,2,FALSE),0)</f>
        <v>0</v>
      </c>
      <c r="L112" s="376">
        <f>IFERROR(VLOOKUP(C112,'تقرير المصروفات حسب الشهر'!$C$1016:$AD$1126,2,FALSE),0)</f>
        <v>0</v>
      </c>
      <c r="M112" s="376">
        <f>IFERROR(VLOOKUP(C112,'تقرير المصروفات حسب الشهر'!$C$1143:$AD$1254,2,FALSE),0)</f>
        <v>0</v>
      </c>
      <c r="N112" s="376">
        <f>IFERROR(VLOOKUP(C112,'تقرير المصروفات حسب الشهر'!$C$1270:$AD$1381,2,FALSE),0)</f>
        <v>0</v>
      </c>
      <c r="O112" s="376">
        <f>IFERROR(VLOOKUP(C112,'تقرير المصروفات حسب الشهر'!$C$1397:$AI$1512,2,FALSE),0)</f>
        <v>0</v>
      </c>
      <c r="P112" s="394">
        <f t="shared" si="6"/>
        <v>73019.62</v>
      </c>
    </row>
    <row r="113" spans="2:16" ht="18" customHeight="1">
      <c r="B113" s="124"/>
      <c r="C113" s="150" t="s">
        <v>141</v>
      </c>
      <c r="D113" s="376">
        <f>IFERROR(VLOOKUP(C113,'تقرير المصروفات حسب الشهر'!$C$10:$AD$119,2,FALSE),0)</f>
        <v>0</v>
      </c>
      <c r="E113" s="376">
        <f>IFERROR(VLOOKUP(C113,'تقرير المصروفات حسب الشهر'!$C$135:$AD$252,2,FALSE),0)</f>
        <v>0</v>
      </c>
      <c r="F113" s="376">
        <f>_xlfn.XLOOKUP(C113,'تقرير المصروفات حسب الشهر'!C352:C464,'تقرير المصروفات حسب الشهر'!D352:D464,0,0)</f>
        <v>0</v>
      </c>
      <c r="G113" s="376">
        <f>IFERROR(VLOOKUP(C113,'تقرير المصروفات حسب الشهر'!$C$387:$AD$495,2,FALSE),0)</f>
        <v>0</v>
      </c>
      <c r="H113" s="376">
        <f>IFERROR(VLOOKUP(C113,'تقرير المصروفات حسب الشهر'!$C$512:$AD$620,2,FALSE),0)</f>
        <v>0</v>
      </c>
      <c r="I113" s="376">
        <f>IFERROR(VLOOKUP(C113,'تقرير المصروفات حسب الشهر'!$C$637:$AD$746,2,FALSE),0)</f>
        <v>0</v>
      </c>
      <c r="J113" s="376">
        <f>IFERROR(VLOOKUP(C113,'تقرير المصروفات حسب الشهر'!$C$763:$AD$872,2,FALSE),0)</f>
        <v>0</v>
      </c>
      <c r="K113" s="376">
        <f>IFERROR(VLOOKUP(C113,'تقرير المصروفات حسب الشهر'!$C$889:$D$999,2,FALSE),0)</f>
        <v>0</v>
      </c>
      <c r="L113" s="376">
        <f>IFERROR(VLOOKUP(C113,'تقرير المصروفات حسب الشهر'!$C$1016:$AD$1126,2,FALSE),0)</f>
        <v>0</v>
      </c>
      <c r="M113" s="376">
        <f>IFERROR(VLOOKUP(C113,'تقرير المصروفات حسب الشهر'!$C$1143:$AD$1254,2,FALSE),0)</f>
        <v>0</v>
      </c>
      <c r="N113" s="376">
        <f>IFERROR(VLOOKUP(C113,'تقرير المصروفات حسب الشهر'!$C$1270:$AD$1381,2,FALSE),0)</f>
        <v>0</v>
      </c>
      <c r="O113" s="376">
        <f>IFERROR(VLOOKUP(C113,'تقرير المصروفات حسب الشهر'!$C$1397:$AI$1512,2,FALSE),0)</f>
        <v>0</v>
      </c>
      <c r="P113" s="394">
        <f t="shared" si="6"/>
        <v>0</v>
      </c>
    </row>
    <row r="114" spans="2:16" ht="18" customHeight="1">
      <c r="B114" s="124"/>
      <c r="C114" s="150" t="s">
        <v>193</v>
      </c>
      <c r="D114" s="376">
        <f>IFERROR(VLOOKUP(C114,'تقرير المصروفات حسب الشهر'!$C$10:$AD$119,2,FALSE),0)</f>
        <v>500</v>
      </c>
      <c r="E114" s="376">
        <f>IFERROR(VLOOKUP(C114,'تقرير المصروفات حسب الشهر'!$C$135:$AD$252,2,FALSE),0)</f>
        <v>500</v>
      </c>
      <c r="F114" s="376">
        <f>_xlfn.XLOOKUP(C114,'تقرير المصروفات حسب الشهر'!C353:C465,'تقرير المصروفات حسب الشهر'!D353:D465,0,0)</f>
        <v>500</v>
      </c>
      <c r="G114" s="376">
        <f>IFERROR(VLOOKUP(C114,'تقرير المصروفات حسب الشهر'!$C$387:$AD$495,2,FALSE),0)</f>
        <v>500</v>
      </c>
      <c r="H114" s="376">
        <f>IFERROR(VLOOKUP(C114,'تقرير المصروفات حسب الشهر'!$C$512:$AD$620,2,FALSE),0)</f>
        <v>500</v>
      </c>
      <c r="I114" s="515">
        <f>IFERROR(VLOOKUP(C114,'تقرير المصروفات حسب الشهر'!$C$637:$AD$746,2,FALSE),0)</f>
        <v>500</v>
      </c>
      <c r="J114" s="376">
        <f>IFERROR(VLOOKUP(C114,'تقرير المصروفات حسب الشهر'!$C$763:$AD$872,2,FALSE),0)</f>
        <v>500</v>
      </c>
      <c r="K114" s="376">
        <f>IFERROR(VLOOKUP(C114,'تقرير المصروفات حسب الشهر'!$C$889:$D$999,2,FALSE),0)</f>
        <v>500</v>
      </c>
      <c r="L114" s="376">
        <f>IFERROR(VLOOKUP(C114,'تقرير المصروفات حسب الشهر'!$C$1016:$AD$1126,2,FALSE),0)</f>
        <v>0</v>
      </c>
      <c r="M114" s="376">
        <f>IFERROR(VLOOKUP(C114,'تقرير المصروفات حسب الشهر'!$C$1143:$AD$1254,2,FALSE),0)</f>
        <v>500</v>
      </c>
      <c r="N114" s="376">
        <f>IFERROR(VLOOKUP(C114,'تقرير المصروفات حسب الشهر'!$C$1270:$AD$1381,2,FALSE),0)</f>
        <v>500</v>
      </c>
      <c r="O114" s="376">
        <f>IFERROR(VLOOKUP(C114,'تقرير المصروفات حسب الشهر'!$C$1397:$AI$1512,2,FALSE),0)</f>
        <v>500</v>
      </c>
      <c r="P114" s="394">
        <f t="shared" si="6"/>
        <v>5500</v>
      </c>
    </row>
    <row r="115" spans="2:16" ht="18" customHeight="1">
      <c r="B115" s="124"/>
      <c r="C115" s="150" t="s">
        <v>148</v>
      </c>
      <c r="D115" s="376">
        <f>IFERROR(VLOOKUP(C115,'تقرير المصروفات حسب الشهر'!$C$10:$AD$119,2,FALSE),0)</f>
        <v>0</v>
      </c>
      <c r="E115" s="376">
        <f>IFERROR(VLOOKUP(C115,'تقرير المصروفات حسب الشهر'!$C$135:$AD$252,2,FALSE),0)</f>
        <v>0</v>
      </c>
      <c r="F115" s="376">
        <f>_xlfn.XLOOKUP(C115,'تقرير المصروفات حسب الشهر'!C354:C466,'تقرير المصروفات حسب الشهر'!D354:D466,0,0)</f>
        <v>0</v>
      </c>
      <c r="G115" s="376">
        <f>IFERROR(VLOOKUP(C115,'تقرير المصروفات حسب الشهر'!$C$387:$AD$495,2,FALSE),0)</f>
        <v>0</v>
      </c>
      <c r="H115" s="376">
        <f>IFERROR(VLOOKUP(C115,'تقرير المصروفات حسب الشهر'!$C$512:$AD$620,2,FALSE),0)</f>
        <v>0</v>
      </c>
      <c r="I115" s="515">
        <f>IFERROR(VLOOKUP(C115,'تقرير المصروفات حسب الشهر'!$C$637:$AD$746,2,FALSE),0)</f>
        <v>780</v>
      </c>
      <c r="J115" s="376">
        <f>IFERROR(VLOOKUP(C115,'تقرير المصروفات حسب الشهر'!$C$763:$AD$872,2,FALSE),0)</f>
        <v>0</v>
      </c>
      <c r="K115" s="376">
        <f>IFERROR(VLOOKUP(C115,'تقرير المصروفات حسب الشهر'!$C$889:$D$999,2,FALSE),0)</f>
        <v>0</v>
      </c>
      <c r="L115" s="376">
        <f>IFERROR(VLOOKUP(C115,'تقرير المصروفات حسب الشهر'!$C$1016:$AD$1126,2,FALSE),0)</f>
        <v>0</v>
      </c>
      <c r="M115" s="376">
        <f>IFERROR(VLOOKUP(C115,'تقرير المصروفات حسب الشهر'!$C$1143:$AD$1254,2,FALSE),0)</f>
        <v>0</v>
      </c>
      <c r="N115" s="376">
        <f>IFERROR(VLOOKUP(C115,'تقرير المصروفات حسب الشهر'!$C$1270:$AD$1381,2,FALSE),0)</f>
        <v>0</v>
      </c>
      <c r="O115" s="376">
        <f>IFERROR(VLOOKUP(C115,'تقرير المصروفات حسب الشهر'!$C$1397:$AI$1512,2,FALSE),0)</f>
        <v>0</v>
      </c>
      <c r="P115" s="394">
        <f t="shared" si="6"/>
        <v>780</v>
      </c>
    </row>
    <row r="116" spans="2:16" ht="18" customHeight="1">
      <c r="B116" s="124"/>
      <c r="C116" s="150" t="s">
        <v>186</v>
      </c>
      <c r="D116" s="376">
        <f>IFERROR(VLOOKUP(C116,'تقرير المصروفات حسب الشهر'!$C$10:$AD$119,2,FALSE),0)</f>
        <v>0</v>
      </c>
      <c r="E116" s="376">
        <f>IFERROR(VLOOKUP(C116,'تقرير المصروفات حسب الشهر'!$C$135:$AD$252,2,FALSE),0)</f>
        <v>0</v>
      </c>
      <c r="F116" s="376">
        <f>_xlfn.XLOOKUP(C116,'تقرير المصروفات حسب الشهر'!C355:C467,'تقرير المصروفات حسب الشهر'!D355:D467,0,0)</f>
        <v>0</v>
      </c>
      <c r="G116" s="376">
        <f>IFERROR(VLOOKUP(C116,'تقرير المصروفات حسب الشهر'!$C$387:$AD$495,2,FALSE),0)</f>
        <v>0</v>
      </c>
      <c r="H116" s="376">
        <f>IFERROR(VLOOKUP(C116,'تقرير المصروفات حسب الشهر'!$C$512:$AD$620,2,FALSE),0)</f>
        <v>0</v>
      </c>
      <c r="I116" s="376">
        <f>IFERROR(VLOOKUP(C116,'تقرير المصروفات حسب الشهر'!$C$637:$AD$746,2,FALSE),0)</f>
        <v>0</v>
      </c>
      <c r="J116" s="376">
        <f>IFERROR(VLOOKUP(C116,'تقرير المصروفات حسب الشهر'!$C$763:$AD$872,2,FALSE),0)</f>
        <v>0</v>
      </c>
      <c r="K116" s="376">
        <f>IFERROR(VLOOKUP(C116,'تقرير المصروفات حسب الشهر'!$C$889:$D$999,2,FALSE),0)</f>
        <v>0</v>
      </c>
      <c r="L116" s="376">
        <f>IFERROR(VLOOKUP(C116,'تقرير المصروفات حسب الشهر'!$C$1016:$AD$1126,2,FALSE),0)</f>
        <v>0</v>
      </c>
      <c r="M116" s="376">
        <f>IFERROR(VLOOKUP(C116,'تقرير المصروفات حسب الشهر'!$C$1143:$AD$1254,2,FALSE),0)</f>
        <v>0</v>
      </c>
      <c r="N116" s="376">
        <f>IFERROR(VLOOKUP(C116,'تقرير المصروفات حسب الشهر'!$C$1270:$AD$1381,2,FALSE),0)</f>
        <v>0</v>
      </c>
      <c r="O116" s="376">
        <f>IFERROR(VLOOKUP(C116,'تقرير المصروفات حسب الشهر'!$C$1397:$AI$1512,2,FALSE),0)</f>
        <v>0</v>
      </c>
      <c r="P116" s="394">
        <f t="shared" si="6"/>
        <v>0</v>
      </c>
    </row>
    <row r="117" spans="2:16" ht="18" customHeight="1">
      <c r="B117" s="124"/>
      <c r="C117" s="150" t="s">
        <v>171</v>
      </c>
      <c r="D117" s="376">
        <f>IFERROR(VLOOKUP(C117,'تقرير المصروفات حسب الشهر'!$C$10:$AD$119,2,FALSE),0)</f>
        <v>0</v>
      </c>
      <c r="E117" s="376">
        <f>IFERROR(VLOOKUP(C117,'تقرير المصروفات حسب الشهر'!$C$135:$AD$252,2,FALSE),0)</f>
        <v>0</v>
      </c>
      <c r="F117" s="376">
        <f>_xlfn.XLOOKUP(C117,'تقرير المصروفات حسب الشهر'!C356:C468,'تقرير المصروفات حسب الشهر'!D356:D468,0,0)</f>
        <v>0</v>
      </c>
      <c r="G117" s="376">
        <f>IFERROR(VLOOKUP(C117,'تقرير المصروفات حسب الشهر'!$C$387:$AD$495,2,FALSE),0)</f>
        <v>0</v>
      </c>
      <c r="H117" s="376">
        <f>IFERROR(VLOOKUP(C117,'تقرير المصروفات حسب الشهر'!$C$512:$AD$620,2,FALSE),0)</f>
        <v>0</v>
      </c>
      <c r="I117" s="376">
        <f>IFERROR(VLOOKUP(C117,'تقرير المصروفات حسب الشهر'!$C$637:$AD$746,2,FALSE),0)</f>
        <v>0</v>
      </c>
      <c r="J117" s="376">
        <f>IFERROR(VLOOKUP(C117,'تقرير المصروفات حسب الشهر'!$C$763:$AD$872,2,FALSE),0)</f>
        <v>0</v>
      </c>
      <c r="K117" s="376">
        <f>IFERROR(VLOOKUP(C117,'تقرير المصروفات حسب الشهر'!$C$889:$D$999,2,FALSE),0)</f>
        <v>0</v>
      </c>
      <c r="L117" s="376">
        <f>IFERROR(VLOOKUP(C117,'تقرير المصروفات حسب الشهر'!$C$1016:$AD$1126,2,FALSE),0)</f>
        <v>0</v>
      </c>
      <c r="M117" s="376">
        <f>IFERROR(VLOOKUP(C117,'تقرير المصروفات حسب الشهر'!$C$1143:$AD$1254,2,FALSE),0)</f>
        <v>0</v>
      </c>
      <c r="N117" s="376">
        <f>IFERROR(VLOOKUP(C117,'تقرير المصروفات حسب الشهر'!$C$1270:$AD$1381,2,FALSE),0)</f>
        <v>0</v>
      </c>
      <c r="O117" s="376">
        <f>IFERROR(VLOOKUP(C117,'تقرير المصروفات حسب الشهر'!$C$1397:$AI$1512,2,FALSE),0)</f>
        <v>0</v>
      </c>
      <c r="P117" s="394">
        <f t="shared" si="6"/>
        <v>0</v>
      </c>
    </row>
    <row r="118" spans="2:16" ht="18" customHeight="1">
      <c r="B118" s="124"/>
      <c r="C118" s="150" t="s">
        <v>180</v>
      </c>
      <c r="D118" s="376">
        <f>IFERROR(VLOOKUP(C118,'تقرير المصروفات حسب الشهر'!$C$10:$AD$119,2,FALSE),0)</f>
        <v>0</v>
      </c>
      <c r="E118" s="376">
        <f>IFERROR(VLOOKUP(C118,'تقرير المصروفات حسب الشهر'!$C$135:$AD$252,2,FALSE),0)</f>
        <v>0</v>
      </c>
      <c r="F118" s="376">
        <f>_xlfn.XLOOKUP(C118,'تقرير المصروفات حسب الشهر'!C357:C469,'تقرير المصروفات حسب الشهر'!D357:D469,0,0)</f>
        <v>0</v>
      </c>
      <c r="G118" s="376">
        <f>IFERROR(VLOOKUP(C118,'تقرير المصروفات حسب الشهر'!$C$387:$AD$495,2,FALSE),0)</f>
        <v>0</v>
      </c>
      <c r="H118" s="376">
        <f>IFERROR(VLOOKUP(C118,'تقرير المصروفات حسب الشهر'!$C$512:$AD$620,2,FALSE),0)</f>
        <v>0</v>
      </c>
      <c r="I118" s="376">
        <f>IFERROR(VLOOKUP(C118,'تقرير المصروفات حسب الشهر'!$C$637:$AD$746,2,FALSE),0)</f>
        <v>0</v>
      </c>
      <c r="J118" s="376">
        <f>IFERROR(VLOOKUP(C118,'تقرير المصروفات حسب الشهر'!$C$763:$AD$872,2,FALSE),0)</f>
        <v>0</v>
      </c>
      <c r="K118" s="376">
        <f>IFERROR(VLOOKUP(C118,'تقرير المصروفات حسب الشهر'!$C$889:$D$999,2,FALSE),0)</f>
        <v>0</v>
      </c>
      <c r="L118" s="376">
        <f>IFERROR(VLOOKUP(C118,'تقرير المصروفات حسب الشهر'!$C$1016:$AD$1126,2,FALSE),0)</f>
        <v>0</v>
      </c>
      <c r="M118" s="376">
        <f>IFERROR(VLOOKUP(C118,'تقرير المصروفات حسب الشهر'!$C$1143:$AD$1254,2,FALSE),0)</f>
        <v>0</v>
      </c>
      <c r="N118" s="376">
        <f>IFERROR(VLOOKUP(C118,'تقرير المصروفات حسب الشهر'!$C$1270:$AD$1381,2,FALSE),0)</f>
        <v>0</v>
      </c>
      <c r="O118" s="376">
        <f>IFERROR(VLOOKUP(C118,'تقرير المصروفات حسب الشهر'!$C$1397:$AI$1512,2,FALSE),0)</f>
        <v>0</v>
      </c>
      <c r="P118" s="394">
        <f t="shared" si="6"/>
        <v>0</v>
      </c>
    </row>
    <row r="119" spans="2:16" ht="18" customHeight="1">
      <c r="B119" s="124"/>
      <c r="C119" s="150" t="s">
        <v>183</v>
      </c>
      <c r="D119" s="376">
        <f>IFERROR(VLOOKUP(C119,'تقرير المصروفات حسب الشهر'!$C$10:$AD$119,2,FALSE),0)</f>
        <v>0</v>
      </c>
      <c r="E119" s="376">
        <f>IFERROR(VLOOKUP(C119,'تقرير المصروفات حسب الشهر'!$C$135:$AD$252,2,FALSE),0)</f>
        <v>0</v>
      </c>
      <c r="F119" s="376">
        <f>_xlfn.XLOOKUP(C119,'تقرير المصروفات حسب الشهر'!C358:C470,'تقرير المصروفات حسب الشهر'!D358:D470,0,0)</f>
        <v>0</v>
      </c>
      <c r="G119" s="376">
        <f>IFERROR(VLOOKUP(C119,'تقرير المصروفات حسب الشهر'!$C$387:$AD$495,2,FALSE),0)</f>
        <v>0</v>
      </c>
      <c r="H119" s="376">
        <f>IFERROR(VLOOKUP(C119,'تقرير المصروفات حسب الشهر'!$C$512:$AD$620,2,FALSE),0)</f>
        <v>0</v>
      </c>
      <c r="I119" s="376">
        <f>IFERROR(VLOOKUP(C119,'تقرير المصروفات حسب الشهر'!$C$637:$AD$746,2,FALSE),0)</f>
        <v>0</v>
      </c>
      <c r="J119" s="376">
        <f>IFERROR(VLOOKUP(C119,'تقرير المصروفات حسب الشهر'!$C$763:$AD$872,2,FALSE),0)</f>
        <v>0</v>
      </c>
      <c r="K119" s="376">
        <f>IFERROR(VLOOKUP(C119,'تقرير المصروفات حسب الشهر'!$C$889:$D$999,2,FALSE),0)</f>
        <v>0</v>
      </c>
      <c r="L119" s="376">
        <f>IFERROR(VLOOKUP(C119,'تقرير المصروفات حسب الشهر'!$C$1016:$AD$1126,2,FALSE),0)</f>
        <v>0</v>
      </c>
      <c r="M119" s="376">
        <f>IFERROR(VLOOKUP(C119,'تقرير المصروفات حسب الشهر'!$C$1143:$AD$1254,2,FALSE),0)</f>
        <v>0</v>
      </c>
      <c r="N119" s="376">
        <f>IFERROR(VLOOKUP(C119,'تقرير المصروفات حسب الشهر'!$C$1270:$AD$1381,2,FALSE),0)</f>
        <v>0</v>
      </c>
      <c r="O119" s="376">
        <f>IFERROR(VLOOKUP(C119,'تقرير المصروفات حسب الشهر'!$C$1397:$AI$1512,2,FALSE),0)</f>
        <v>0</v>
      </c>
      <c r="P119" s="394">
        <f t="shared" si="6"/>
        <v>0</v>
      </c>
    </row>
    <row r="120" spans="2:16" ht="18" customHeight="1">
      <c r="B120" s="124"/>
      <c r="C120" s="150" t="s">
        <v>195</v>
      </c>
      <c r="D120" s="376">
        <f>IFERROR(VLOOKUP(C120,'تقرير المصروفات حسب الشهر'!$C$10:$AD$119,2,FALSE),0)</f>
        <v>17814</v>
      </c>
      <c r="E120" s="376">
        <f>IFERROR(VLOOKUP(C120,'تقرير المصروفات حسب الشهر'!$C$135:$AD$252,2,FALSE),0)</f>
        <v>17814</v>
      </c>
      <c r="F120" s="376">
        <f>_xlfn.XLOOKUP(C120,'تقرير المصروفات حسب الشهر'!C359:C471,'تقرير المصروفات حسب الشهر'!D359:D471,0,0)</f>
        <v>17814</v>
      </c>
      <c r="G120" s="376">
        <f>IFERROR(VLOOKUP(C120,'تقرير المصروفات حسب الشهر'!$C$387:$AD$495,2,FALSE),0)</f>
        <v>17814</v>
      </c>
      <c r="H120" s="376">
        <f>IFERROR(VLOOKUP(C120,'تقرير المصروفات حسب الشهر'!$C$512:$AD$620,2,FALSE),0)</f>
        <v>17814</v>
      </c>
      <c r="I120" s="515">
        <f>IFERROR(VLOOKUP(C120,'تقرير المصروفات حسب الشهر'!$C$637:$AD$746,2,FALSE),0)</f>
        <v>17814</v>
      </c>
      <c r="J120" s="376">
        <f>IFERROR(VLOOKUP(C120,'تقرير المصروفات حسب الشهر'!$C$763:$AD$872,2,FALSE),0)</f>
        <v>17814</v>
      </c>
      <c r="K120" s="376">
        <f>IFERROR(VLOOKUP(C120,'تقرير المصروفات حسب الشهر'!$C$889:$D$999,2,FALSE),0)</f>
        <v>14221.44</v>
      </c>
      <c r="L120" s="376">
        <f>IFERROR(VLOOKUP(C120,'تقرير المصروفات حسب الشهر'!$C$1016:$AD$1126,2,FALSE),0)</f>
        <v>13890.18</v>
      </c>
      <c r="M120" s="376">
        <f>IFERROR(VLOOKUP(C120,'تقرير المصروفات حسب الشهر'!$C$1143:$AD$1254,2,FALSE),0)</f>
        <v>13553.66</v>
      </c>
      <c r="N120" s="413">
        <f>IFERROR(VLOOKUP(C120,'تقرير المصروفات حسب الشهر'!$C$1270:$AD$1381,2,FALSE),0)</f>
        <v>13211.8</v>
      </c>
      <c r="O120" s="376">
        <f>IFERROR(VLOOKUP(C120,'تقرير المصروفات حسب الشهر'!$C$1397:$AI$1512,2,FALSE),0)</f>
        <v>13038.16</v>
      </c>
      <c r="P120" s="394">
        <f t="shared" si="6"/>
        <v>192613.24</v>
      </c>
    </row>
    <row r="121" spans="2:16" ht="18" customHeight="1">
      <c r="B121" s="124"/>
      <c r="C121" s="150" t="s">
        <v>189</v>
      </c>
      <c r="D121" s="376">
        <f>IFERROR(VLOOKUP(C121,'تقرير المصروفات حسب الشهر'!$C$10:$AD$119,2,FALSE),0)</f>
        <v>16217.28</v>
      </c>
      <c r="E121" s="376">
        <f>IFERROR(VLOOKUP(C121,'تقرير المصروفات حسب الشهر'!$C$135:$AD$252,2,FALSE),0)</f>
        <v>16217.28</v>
      </c>
      <c r="F121" s="376">
        <f>_xlfn.XLOOKUP(C121,'تقرير المصروفات حسب الشهر'!C360:C472,'تقرير المصروفات حسب الشهر'!D360:D472,0,0)</f>
        <v>16217.28</v>
      </c>
      <c r="G121" s="376">
        <f>IFERROR(VLOOKUP(C121,'تقرير المصروفات حسب الشهر'!$C$387:$AD$495,2,FALSE),0)</f>
        <v>16217.28</v>
      </c>
      <c r="H121" s="376">
        <f>IFERROR(VLOOKUP(C121,'تقرير المصروفات حسب الشهر'!$C$512:$AD$620,2,FALSE),0)</f>
        <v>16217.28</v>
      </c>
      <c r="I121" s="515">
        <f>IFERROR(VLOOKUP(C121,'تقرير المصروفات حسب الشهر'!$C$637:$AD$746,2,FALSE),0)</f>
        <v>16217.28</v>
      </c>
      <c r="J121" s="376">
        <f>IFERROR(VLOOKUP(C121,'تقرير المصروفات حسب الشهر'!$C$763:$AD$872,2,FALSE),0)</f>
        <v>24551.279999999999</v>
      </c>
      <c r="K121" s="376">
        <f>IFERROR(VLOOKUP(C121,'تقرير المصروفات حسب الشهر'!$C$889:$D$999,2,FALSE),0)</f>
        <v>10898.01</v>
      </c>
      <c r="L121" s="376">
        <f>IFERROR(VLOOKUP(C121,'تقرير المصروفات حسب الشهر'!$C$1016:$AD$1126,2,FALSE),0)</f>
        <v>10583.22</v>
      </c>
      <c r="M121" s="376">
        <f>IFERROR(VLOOKUP(C121,'تقرير المصروفات حسب الشهر'!$C$1143:$AD$1254,2,FALSE),0)</f>
        <v>10263.68</v>
      </c>
      <c r="N121" s="413">
        <f>IFERROR(VLOOKUP(C121,'تقرير المصروفات حسب الشهر'!$C$1270:$AD$1381,2,FALSE),0)</f>
        <v>9939.33</v>
      </c>
      <c r="O121" s="376">
        <f>IFERROR(VLOOKUP(C121,'تقرير المصروفات حسب الشهر'!$C$1397:$AI$1512,2,FALSE),0)</f>
        <v>9610.09</v>
      </c>
      <c r="P121" s="394">
        <f t="shared" si="6"/>
        <v>173149.28999999998</v>
      </c>
    </row>
    <row r="122" spans="2:16" ht="18" customHeight="1">
      <c r="B122" s="124"/>
      <c r="C122" s="150" t="s">
        <v>188</v>
      </c>
      <c r="D122" s="376">
        <f>IFERROR(VLOOKUP(C122,'تقرير المصروفات حسب الشهر'!$C$10:$AD$119,2,FALSE),0)</f>
        <v>32715.46</v>
      </c>
      <c r="E122" s="376">
        <f>IFERROR(VLOOKUP(C122,'تقرير المصروفات حسب الشهر'!$C$135:$AD$252,2,FALSE),0)</f>
        <v>32715.46</v>
      </c>
      <c r="F122" s="376">
        <f>_xlfn.XLOOKUP(C122,'تقرير المصروفات حسب الشهر'!C361:C473,'تقرير المصروفات حسب الشهر'!D361:D473,0,0)</f>
        <v>32715.699999999997</v>
      </c>
      <c r="G122" s="376">
        <f>IFERROR(VLOOKUP(C122,'تقرير المصروفات حسب الشهر'!$C$387:$AD$495,2,FALSE),0)</f>
        <v>16357.73</v>
      </c>
      <c r="H122" s="376">
        <f>IFERROR(VLOOKUP(C122,'تقرير المصروفات حسب الشهر'!$C$512:$AD$620,2,FALSE),0)</f>
        <v>32715.46</v>
      </c>
      <c r="I122" s="515">
        <f>IFERROR(VLOOKUP(C122,'تقرير المصروفات حسب الشهر'!$C$637:$AD$746,2,FALSE),0)</f>
        <v>32715.46</v>
      </c>
      <c r="J122" s="376">
        <f>IFERROR(VLOOKUP(C122,'تقرير المصروفات حسب الشهر'!$C$763:$AD$872,2,FALSE),0)</f>
        <v>119616.69</v>
      </c>
      <c r="K122" s="376">
        <f>IFERROR(VLOOKUP(C122,'تقرير المصروفات حسب الشهر'!$C$889:$D$999,2,FALSE),0)</f>
        <v>13853.56</v>
      </c>
      <c r="L122" s="376">
        <f>IFERROR(VLOOKUP(C122,'تقرير المصروفات حسب الشهر'!$C$1016:$AD$1126,2,FALSE),0)</f>
        <v>13147</v>
      </c>
      <c r="M122" s="376">
        <f>IFERROR(VLOOKUP(C122,'تقرير المصروفات حسب الشهر'!$C$1143:$AD$1254,2,FALSE),0)</f>
        <v>12428.04</v>
      </c>
      <c r="N122" s="413">
        <f>IFERROR(VLOOKUP(C122,'تقرير المصروفات حسب الشهر'!$C$1270:$AD$1381,2,FALSE),0)</f>
        <v>11696.48</v>
      </c>
      <c r="O122" s="376">
        <f>IFERROR(VLOOKUP(C122,'تقرير المصروفات حسب الشهر'!$C$1397:$AI$1512,2,FALSE),0)</f>
        <v>10952.1</v>
      </c>
      <c r="P122" s="394">
        <f t="shared" si="6"/>
        <v>361629.1399999999</v>
      </c>
    </row>
    <row r="123" spans="2:16" ht="18" customHeight="1">
      <c r="B123" s="124"/>
      <c r="C123" s="150" t="s">
        <v>196</v>
      </c>
      <c r="D123" s="376">
        <f>IFERROR(VLOOKUP(C123,'تقرير المصروفات حسب الشهر'!$C$10:$AD$119,2,FALSE),0)</f>
        <v>57468.78</v>
      </c>
      <c r="E123" s="376">
        <f>IFERROR(VLOOKUP(C123,'تقرير المصروفات حسب الشهر'!$C$135:$AD$252,2,FALSE),0)</f>
        <v>57468.78</v>
      </c>
      <c r="F123" s="376">
        <f>_xlfn.XLOOKUP(C123,'تقرير المصروفات حسب الشهر'!C362:C474,'تقرير المصروفات حسب الشهر'!D362:D474,0,0)</f>
        <v>57468.78</v>
      </c>
      <c r="G123" s="376">
        <f>IFERROR(VLOOKUP(C123,'تقرير المصروفات حسب الشهر'!$C$387:$AD$495,2,FALSE),0)</f>
        <v>23180.37</v>
      </c>
      <c r="H123" s="376">
        <f>IFERROR(VLOOKUP(C123,'تقرير المصروفات حسب الشهر'!$C$512:$AD$620,2,FALSE),0)</f>
        <v>23180.32</v>
      </c>
      <c r="I123" s="515">
        <f>IFERROR(VLOOKUP(C123,'تقرير المصروفات حسب الشهر'!$C$637:$AD$746,2,FALSE),0)</f>
        <v>52696.19</v>
      </c>
      <c r="J123" s="376">
        <f>IFERROR(VLOOKUP(C123,'تقرير المصروفات حسب الشهر'!$C$763:$AD$872,2,FALSE),0)</f>
        <v>52696.19</v>
      </c>
      <c r="K123" s="376">
        <f>IFERROR(VLOOKUP(C123,'تقرير المصروفات حسب الشهر'!$C$889:$D$999,2,FALSE),0)</f>
        <v>39957.35</v>
      </c>
      <c r="L123" s="376">
        <f>IFERROR(VLOOKUP(C123,'تقرير المصروفات حسب الشهر'!$C$1016:$AD$1126,2,FALSE),0)</f>
        <v>38899.43</v>
      </c>
      <c r="M123" s="376">
        <f>IFERROR(VLOOKUP(C123,'تقرير المصروفات حسب الشهر'!$C$1143:$AD$1254,2,FALSE),0)</f>
        <v>38465.22</v>
      </c>
      <c r="N123" s="413">
        <f>IFERROR(VLOOKUP(C123,'تقرير المصروفات حسب الشهر'!$C$1270:$AD$1381,2,FALSE),0)</f>
        <v>37382.58</v>
      </c>
      <c r="O123" s="376">
        <f>IFERROR(VLOOKUP(C123,'تقرير المصروفات حسب الشهر'!$C$1397:$AI$1512,2,FALSE),0)</f>
        <v>36281.33</v>
      </c>
      <c r="P123" s="394">
        <f t="shared" si="6"/>
        <v>515145.31999999995</v>
      </c>
    </row>
    <row r="124" spans="2:16" ht="18" customHeight="1">
      <c r="B124" s="124"/>
      <c r="C124" s="150" t="s">
        <v>197</v>
      </c>
      <c r="D124" s="376">
        <f>IFERROR(VLOOKUP(C124,'تقرير المصروفات حسب الشهر'!$C$10:$AD$119,2,FALSE),0)</f>
        <v>88117.95</v>
      </c>
      <c r="E124" s="376">
        <f>IFERROR(VLOOKUP(C124,'تقرير المصروفات حسب الشهر'!$C$135:$AD$252,2,FALSE),0)</f>
        <v>88117.95</v>
      </c>
      <c r="F124" s="376">
        <f>_xlfn.XLOOKUP(C124,'تقرير المصروفات حسب الشهر'!C363:C475,'تقرير المصروفات حسب الشهر'!D363:D475,0,0)</f>
        <v>81687</v>
      </c>
      <c r="G124" s="376">
        <f>IFERROR(VLOOKUP(C124,'تقرير المصروفات حسب الشهر'!$C$387:$AD$495,2,FALSE),0)</f>
        <v>81687.240000000005</v>
      </c>
      <c r="H124" s="376">
        <f>IFERROR(VLOOKUP(C124,'تقرير المصروفات حسب الشهر'!$C$512:$AD$620,2,FALSE),0)</f>
        <v>86901.23</v>
      </c>
      <c r="I124" s="515">
        <f>IFERROR(VLOOKUP(C124,'تقرير المصروفات حسب الشهر'!$C$637:$AD$746,2,FALSE),0)</f>
        <v>86901.23</v>
      </c>
      <c r="J124" s="376">
        <f>IFERROR(VLOOKUP(C124,'تقرير المصروفات حسب الشهر'!$C$763:$AD$872,2,FALSE),0)</f>
        <v>0</v>
      </c>
      <c r="K124" s="376">
        <f>IFERROR(VLOOKUP(C124,'تقرير المصروفات حسب الشهر'!$C$889:$D$999,2,FALSE),0)</f>
        <v>82534.89</v>
      </c>
      <c r="L124" s="376">
        <f>IFERROR(VLOOKUP(C124,'تقرير المصروفات حسب الشهر'!$C$1016:$AD$1126,2,FALSE),0)</f>
        <v>75935.81</v>
      </c>
      <c r="M124" s="376">
        <f>IFERROR(VLOOKUP(C124,'تقرير المصروفات حسب الشهر'!$C$1143:$AD$1254,2,FALSE),0)</f>
        <v>0</v>
      </c>
      <c r="N124" s="413">
        <f>IFERROR(VLOOKUP(C124,'تقرير المصروفات حسب الشهر'!$C$1270:$AD$1381,2,FALSE),0)</f>
        <v>141515.57</v>
      </c>
      <c r="O124" s="376">
        <f>IFERROR(VLOOKUP(C124,'تقرير المصروفات حسب الشهر'!$C$1397:$AI$1512,2,FALSE),0)</f>
        <v>216471.7</v>
      </c>
      <c r="P124" s="394">
        <f t="shared" si="6"/>
        <v>1029870.5700000001</v>
      </c>
    </row>
    <row r="125" spans="2:16" ht="18" customHeight="1">
      <c r="B125" s="124"/>
      <c r="C125" s="150" t="s">
        <v>198</v>
      </c>
      <c r="D125" s="376">
        <f>IFERROR(VLOOKUP(C125,'تقرير المصروفات حسب الشهر'!$C$10:$AD$119,2,FALSE),0)</f>
        <v>45418.64</v>
      </c>
      <c r="E125" s="376">
        <f>IFERROR(VLOOKUP(C125,'تقرير المصروفات حسب الشهر'!$C$135:$AD$252,2,FALSE),0)</f>
        <v>45418.64</v>
      </c>
      <c r="F125" s="376">
        <f>_xlfn.XLOOKUP(C125,'تقرير المصروفات حسب الشهر'!C364:C476,'تقرير المصروفات حسب الشهر'!D364:D476,0,0)</f>
        <v>45418.64</v>
      </c>
      <c r="G125" s="376">
        <f>IFERROR(VLOOKUP(C125,'تقرير المصروفات حسب الشهر'!$C$387:$AD$495,2,FALSE),0)</f>
        <v>29883</v>
      </c>
      <c r="H125" s="376">
        <f>IFERROR(VLOOKUP(C125,'تقرير المصروفات حسب الشهر'!$C$512:$AD$620,2,FALSE),0)</f>
        <v>29883</v>
      </c>
      <c r="I125" s="515">
        <f>IFERROR(VLOOKUP(C125,'تقرير المصروفات حسب الشهر'!$C$637:$AD$746,2,FALSE),0)</f>
        <v>45418.64</v>
      </c>
      <c r="J125" s="376">
        <f>IFERROR(VLOOKUP(C125,'تقرير المصروفات حسب الشهر'!$C$763:$AD$872,2,FALSE),0)</f>
        <v>0</v>
      </c>
      <c r="K125" s="376">
        <f>IFERROR(VLOOKUP(C125,'تقرير المصروفات حسب الشهر'!$C$889:$D$999,2,FALSE),0)</f>
        <v>21286.6</v>
      </c>
      <c r="L125" s="376">
        <f>IFERROR(VLOOKUP(C125,'تقرير المصروفات حسب الشهر'!$C$1016:$AD$1126,2,FALSE),0)</f>
        <v>20500.68</v>
      </c>
      <c r="M125" s="376">
        <f>IFERROR(VLOOKUP(C125,'تقرير المصروفات حسب الشهر'!$C$1143:$AD$1254,2,FALSE),0)</f>
        <v>19703.32</v>
      </c>
      <c r="N125" s="413">
        <f>IFERROR(VLOOKUP(C125,'تقرير المصروفات حسب الشهر'!$C$1270:$AD$1381,2,FALSE),0)</f>
        <v>18894.37</v>
      </c>
      <c r="O125" s="376">
        <f>IFERROR(VLOOKUP(C125,'تقرير المصروفات حسب الشهر'!$C$1397:$AI$1512,2,FALSE),0)</f>
        <v>18073.64</v>
      </c>
      <c r="P125" s="394">
        <f t="shared" si="6"/>
        <v>339899.17</v>
      </c>
    </row>
    <row r="126" spans="2:16" ht="18" customHeight="1">
      <c r="B126" s="124"/>
      <c r="C126" s="150" t="s">
        <v>201</v>
      </c>
      <c r="D126" s="376">
        <f>IFERROR(VLOOKUP(C126,'تقرير المصروفات حسب الشهر'!$C$10:$AD$119,2,FALSE),0)</f>
        <v>20328.900000000001</v>
      </c>
      <c r="E126" s="376">
        <f>IFERROR(VLOOKUP(C126,'تقرير المصروفات حسب الشهر'!$C$135:$AD$252,2,FALSE),0)</f>
        <v>20328.900000000001</v>
      </c>
      <c r="F126" s="376">
        <f>_xlfn.XLOOKUP(C126,'تقرير المصروفات حسب الشهر'!C365:C477,'تقرير المصروفات حسب الشهر'!D365:D477,0,0)</f>
        <v>20328.900000000001</v>
      </c>
      <c r="G126" s="376">
        <f>IFERROR(VLOOKUP(C126,'تقرير المصروفات حسب الشهر'!$C$387:$AD$495,2,FALSE),0)</f>
        <v>20328.900000000001</v>
      </c>
      <c r="H126" s="376">
        <f>IFERROR(VLOOKUP(C126,'تقرير المصروفات حسب الشهر'!$C$512:$AD$620,2,FALSE),0)</f>
        <v>20328.900000000001</v>
      </c>
      <c r="I126" s="515">
        <f>IFERROR(VLOOKUP(C126,'تقرير المصروفات حسب الشهر'!$C$637:$AD$746,2,FALSE),0)</f>
        <v>20328.900000000001</v>
      </c>
      <c r="J126" s="376">
        <f>IFERROR(VLOOKUP(C126,'تقرير المصروفات حسب الشهر'!$C$763:$AD$872,2,FALSE),0)</f>
        <v>20328.900000000001</v>
      </c>
      <c r="K126" s="376">
        <f>IFERROR(VLOOKUP(C126,'تقرير المصروفات حسب الشهر'!$C$889:$D$999,2,FALSE),0)</f>
        <v>13882.9</v>
      </c>
      <c r="L126" s="376">
        <f>IFERROR(VLOOKUP(C126,'تقرير المصروفات حسب الشهر'!$C$1016:$AD$1126,2,FALSE),0)</f>
        <v>13451.93</v>
      </c>
      <c r="M126" s="376">
        <f>IFERROR(VLOOKUP(C126,'تقرير المصروفات حسب الشهر'!$C$1143:$AD$1254,2,FALSE),0)</f>
        <v>13013.79</v>
      </c>
      <c r="N126" s="413">
        <f>IFERROR(VLOOKUP(C126,'تقرير المصروفات حسب الشهر'!$C$1270:$AD$1381,2,FALSE),0)</f>
        <v>12568.34</v>
      </c>
      <c r="O126" s="376">
        <f>IFERROR(VLOOKUP(C126,'تقرير المصروفات حسب الشهر'!$C$1397:$AI$1512,2,FALSE),0)</f>
        <v>12115.46</v>
      </c>
      <c r="P126" s="394">
        <f t="shared" si="6"/>
        <v>207334.71999999997</v>
      </c>
    </row>
    <row r="127" spans="2:16" ht="18" customHeight="1">
      <c r="B127" s="124"/>
      <c r="C127" s="150" t="s">
        <v>202</v>
      </c>
      <c r="D127" s="376">
        <f>IFERROR(VLOOKUP(C127,'تقرير المصروفات حسب الشهر'!$C$10:$AD$119,2,FALSE),0)</f>
        <v>31885.69</v>
      </c>
      <c r="E127" s="376">
        <f>IFERROR(VLOOKUP(C127,'تقرير المصروفات حسب الشهر'!$C$135:$AD$252,2,FALSE),0)</f>
        <v>31885.69</v>
      </c>
      <c r="F127" s="376">
        <f>_xlfn.XLOOKUP(C127,'تقرير المصروفات حسب الشهر'!C366:C478,'تقرير المصروفات حسب الشهر'!D366:D478,0,0)</f>
        <v>17785.95</v>
      </c>
      <c r="G127" s="376">
        <f>IFERROR(VLOOKUP(C127,'تقرير المصروفات حسب الشهر'!$C$387:$AD$495,2,FALSE),0)</f>
        <v>31885.69</v>
      </c>
      <c r="H127" s="376">
        <f>IFERROR(VLOOKUP(C127,'تقرير المصروفات حسب الشهر'!$C$512:$AD$620,2,FALSE),0)</f>
        <v>31885.69</v>
      </c>
      <c r="I127" s="515">
        <f>IFERROR(VLOOKUP(C127,'تقرير المصروفات حسب الشهر'!$C$637:$AD$746,2,FALSE),0)</f>
        <v>31885.69</v>
      </c>
      <c r="J127" s="376">
        <f>IFERROR(VLOOKUP(C127,'تقرير المصروفات حسب الشهر'!$C$763:$AD$872,2,FALSE),0)</f>
        <v>31885.69</v>
      </c>
      <c r="K127" s="376">
        <f>IFERROR(VLOOKUP(C127,'تقرير المصروفات حسب الشهر'!$C$889:$D$999,2,FALSE),0)</f>
        <v>20439.990000000002</v>
      </c>
      <c r="L127" s="376">
        <f>IFERROR(VLOOKUP(C127,'تقرير المصروفات حسب الشهر'!$C$1016:$AD$1126,2,FALSE),0)</f>
        <v>19795.14</v>
      </c>
      <c r="M127" s="376">
        <f>IFERROR(VLOOKUP(C127,'تقرير المصروفات حسب الشهر'!$C$1143:$AD$1254,2,FALSE),0)</f>
        <v>19139.599999999999</v>
      </c>
      <c r="N127" s="413">
        <f>IFERROR(VLOOKUP(C127,'تقرير المصروفات حسب الشهر'!$C$1270:$AD$1381,2,FALSE),0)</f>
        <v>18473.21</v>
      </c>
      <c r="O127" s="376">
        <f>IFERROR(VLOOKUP(C127,'تقرير المصروفات حسب الشهر'!$C$1397:$AI$1512,2,FALSE),0)</f>
        <v>17795.78</v>
      </c>
      <c r="P127" s="394">
        <f t="shared" si="6"/>
        <v>304743.80999999994</v>
      </c>
    </row>
    <row r="128" spans="2:16" ht="18" customHeight="1">
      <c r="B128" s="124"/>
      <c r="C128" s="150" t="s">
        <v>206</v>
      </c>
      <c r="D128" s="376">
        <f>IFERROR(VLOOKUP(C128,'تقرير المصروفات حسب الشهر'!$C$10:$AD$119,2,FALSE),0)</f>
        <v>20793.88</v>
      </c>
      <c r="E128" s="376">
        <f>IFERROR(VLOOKUP(C128,'تقرير المصروفات حسب الشهر'!$C$135:$AD$252,2,FALSE),0)</f>
        <v>20793.88</v>
      </c>
      <c r="F128" s="376">
        <f>_xlfn.XLOOKUP(C128,'تقرير المصروفات حسب الشهر'!C367:C479,'تقرير المصروفات حسب الشهر'!D367:D479,0,0)</f>
        <v>20793.88</v>
      </c>
      <c r="G128" s="376">
        <f>IFERROR(VLOOKUP(C128,'تقرير المصروفات حسب الشهر'!$C$387:$AD$495,2,FALSE),0)</f>
        <v>19181</v>
      </c>
      <c r="H128" s="376">
        <f>IFERROR(VLOOKUP(C128,'تقرير المصروفات حسب الشهر'!$C$512:$AD$620,2,FALSE),0)</f>
        <v>19181</v>
      </c>
      <c r="I128" s="515">
        <f>IFERROR(VLOOKUP(C128,'تقرير المصروفات حسب الشهر'!$C$637:$AD$746,2,FALSE),0)</f>
        <v>20793.88</v>
      </c>
      <c r="J128" s="376">
        <f>IFERROR(VLOOKUP(C128,'تقرير المصروفات حسب الشهر'!$C$763:$AD$872,2,FALSE),0)</f>
        <v>20793.88</v>
      </c>
      <c r="K128" s="376">
        <f>IFERROR(VLOOKUP(C128,'تقرير المصروفات حسب الشهر'!$C$889:$D$999,2,FALSE),0)</f>
        <v>14549.09</v>
      </c>
      <c r="L128" s="376">
        <f>IFERROR(VLOOKUP(C128,'تقرير المصروفات حسب الشهر'!$C$1016:$AD$1126,2,FALSE),0)</f>
        <v>14119.39</v>
      </c>
      <c r="M128" s="376">
        <f>IFERROR(VLOOKUP(C128,'تقرير المصروفات حسب الشهر'!$C$1143:$AD$1254,2,FALSE),0)</f>
        <v>13682.43</v>
      </c>
      <c r="N128" s="413">
        <f>IFERROR(VLOOKUP(C128,'تقرير المصروفات حسب الشهر'!$C$1270:$AD$1381,2,FALSE),0)</f>
        <v>13238.09</v>
      </c>
      <c r="O128" s="376">
        <f>IFERROR(VLOOKUP(C128,'تقرير المصروفات حسب الشهر'!$C$1397:$AI$1512,2,FALSE),0)</f>
        <v>12786.24</v>
      </c>
      <c r="P128" s="394">
        <f t="shared" si="6"/>
        <v>210706.63999999998</v>
      </c>
    </row>
    <row r="129" spans="2:16" ht="18" customHeight="1">
      <c r="B129" s="124"/>
      <c r="C129" s="150" t="s">
        <v>207</v>
      </c>
      <c r="D129" s="376">
        <f>IFERROR(VLOOKUP(C129,'تقرير المصروفات حسب الشهر'!$C$10:$AD$119,2,FALSE),0)</f>
        <v>10537.5</v>
      </c>
      <c r="E129" s="376">
        <f>IFERROR(VLOOKUP(C129,'تقرير المصروفات حسب الشهر'!$C$135:$AD$252,2,FALSE),0)</f>
        <v>10537.5</v>
      </c>
      <c r="F129" s="376">
        <f>_xlfn.XLOOKUP(C129,'تقرير المصروفات حسب الشهر'!C368:C480,'تقرير المصروفات حسب الشهر'!D368:D480,0,0)</f>
        <v>10537.5</v>
      </c>
      <c r="G129" s="376">
        <f>IFERROR(VLOOKUP(C129,'تقرير المصروفات حسب الشهر'!$C$387:$AD$495,2,FALSE),0)</f>
        <v>10537.5</v>
      </c>
      <c r="H129" s="376">
        <f>IFERROR(VLOOKUP(C129,'تقرير المصروفات حسب الشهر'!$C$512:$AD$620,2,FALSE),0)</f>
        <v>10537.5</v>
      </c>
      <c r="I129" s="514">
        <f>IFERROR(VLOOKUP(C129,'تقرير المصروفات حسب الشهر'!$C$637:$AD$746,2,FALSE),0)</f>
        <v>23569</v>
      </c>
      <c r="J129" s="376">
        <f>IFERROR(VLOOKUP(C129,'تقرير المصروفات حسب الشهر'!$C$763:$AD$872,2,FALSE),0)</f>
        <v>11400</v>
      </c>
      <c r="K129" s="376">
        <f>IFERROR(VLOOKUP(C129,'تقرير المصروفات حسب الشهر'!$C$889:$D$999,2,FALSE),0)</f>
        <v>11400</v>
      </c>
      <c r="L129" s="376">
        <f>IFERROR(VLOOKUP(C129,'تقرير المصروفات حسب الشهر'!$C$1016:$AD$1126,2,FALSE),0)</f>
        <v>11400</v>
      </c>
      <c r="M129" s="376">
        <f>IFERROR(VLOOKUP(C129,'تقرير المصروفات حسب الشهر'!$C$1143:$AD$1254,2,FALSE),0)</f>
        <v>11400</v>
      </c>
      <c r="N129" s="413">
        <f>IFERROR(VLOOKUP(C129,'تقرير المصروفات حسب الشهر'!$C$1270:$AD$1381,2,FALSE),0)</f>
        <v>11831.25</v>
      </c>
      <c r="O129" s="376">
        <f>IFERROR(VLOOKUP(C129,'تقرير المصروفات حسب الشهر'!$C$1397:$AI$1512,2,FALSE),0)</f>
        <v>11831.25</v>
      </c>
      <c r="P129" s="394">
        <f t="shared" si="6"/>
        <v>145519</v>
      </c>
    </row>
    <row r="130" spans="2:16" ht="18" customHeight="1">
      <c r="B130" s="124"/>
      <c r="C130" s="150" t="s">
        <v>208</v>
      </c>
      <c r="D130" s="376">
        <f>IFERROR(VLOOKUP(C130,'تقرير المصروفات حسب الشهر'!$C$10:$AD$119,2,FALSE),0)</f>
        <v>22944.91</v>
      </c>
      <c r="E130" s="376">
        <f>IFERROR(VLOOKUP(C130,'تقرير المصروفات حسب الشهر'!$C$135:$AD$252,2,FALSE),0)</f>
        <v>22944.91</v>
      </c>
      <c r="F130" s="376">
        <f>_xlfn.XLOOKUP(C130,'تقرير المصروفات حسب الشهر'!C369:C481,'تقرير المصروفات حسب الشهر'!D369:D481,0,0)</f>
        <v>22944.91</v>
      </c>
      <c r="G130" s="376">
        <f>IFERROR(VLOOKUP(C130,'تقرير المصروفات حسب الشهر'!$C$387:$AD$495,2,FALSE),0)</f>
        <v>22914.91</v>
      </c>
      <c r="H130" s="376">
        <f>IFERROR(VLOOKUP(C130,'تقرير المصروفات حسب الشهر'!$C$512:$AD$620,2,FALSE),0)</f>
        <v>29713.06</v>
      </c>
      <c r="I130" s="515">
        <f>IFERROR(VLOOKUP(C130,'تقرير المصروفات حسب الشهر'!$C$637:$AD$746,2,FALSE),0)</f>
        <v>22914.91</v>
      </c>
      <c r="J130" s="376">
        <f>IFERROR(VLOOKUP(C130,'تقرير المصروفات حسب الشهر'!$C$763:$AD$872,2,FALSE),0)</f>
        <v>22914.91</v>
      </c>
      <c r="K130" s="376">
        <f>IFERROR(VLOOKUP(C130,'تقرير المصروفات حسب الشهر'!$C$889:$D$999,2,FALSE),0)</f>
        <v>20335.79</v>
      </c>
      <c r="L130" s="376">
        <f>IFERROR(VLOOKUP(C130,'تقرير المصروفات حسب الشهر'!$C$1016:$AD$1126,2,FALSE),0)</f>
        <v>20092.849999999999</v>
      </c>
      <c r="M130" s="376">
        <f>IFERROR(VLOOKUP(C130,'تقرير المصروفات حسب الشهر'!$C$1143:$AD$1254,2,FALSE),0)</f>
        <v>19845.650000000001</v>
      </c>
      <c r="N130" s="413">
        <f>IFERROR(VLOOKUP(C130,'تقرير المصروفات حسب الشهر'!$C$1270:$AD$1381,2,FALSE),0)</f>
        <v>19594.13</v>
      </c>
      <c r="O130" s="376">
        <f>IFERROR(VLOOKUP(C130,'تقرير المصروفات حسب الشهر'!$C$1397:$AI$1512,2,FALSE),0)</f>
        <v>19338.2</v>
      </c>
      <c r="P130" s="394">
        <f t="shared" si="6"/>
        <v>266499.14</v>
      </c>
    </row>
    <row r="131" spans="2:16" ht="18" customHeight="1">
      <c r="B131" s="124"/>
      <c r="C131" s="150" t="s">
        <v>236</v>
      </c>
      <c r="D131" s="376">
        <f>IFERROR(VLOOKUP(C131,'تقرير المصروفات حسب الشهر'!$C$10:$AD$119,2,FALSE),0)</f>
        <v>24094.78</v>
      </c>
      <c r="E131" s="376">
        <f>IFERROR(VLOOKUP(C131,'تقرير المصروفات حسب الشهر'!$C$135:$AD$252,2,FALSE),0)</f>
        <v>24094.78</v>
      </c>
      <c r="F131" s="376">
        <f>_xlfn.XLOOKUP(C131,'تقرير المصروفات حسب الشهر'!C370:C482,'تقرير المصروفات حسب الشهر'!D370:D482,0,0)</f>
        <v>24094.78</v>
      </c>
      <c r="G131" s="376">
        <f>IFERROR(VLOOKUP(C131,'تقرير المصروفات حسب الشهر'!$C$387:$AD$495,2,FALSE),0)</f>
        <v>24094.78</v>
      </c>
      <c r="H131" s="376">
        <f>IFERROR(VLOOKUP(C131,'تقرير المصروفات حسب الشهر'!$C$512:$AD$620,2,FALSE),0)</f>
        <v>24094.78</v>
      </c>
      <c r="I131" s="515">
        <f>IFERROR(VLOOKUP(C131,'تقرير المصروفات حسب الشهر'!$C$637:$AD$746,2,FALSE),0)</f>
        <v>24094.78</v>
      </c>
      <c r="J131" s="376">
        <f>IFERROR(VLOOKUP(C131,'تقرير المصروفات حسب الشهر'!$C$763:$AD$872,2,FALSE),0)</f>
        <v>24094.78</v>
      </c>
      <c r="K131" s="376">
        <f>IFERROR(VLOOKUP(C131,'تقرير المصروفات حسب الشهر'!$C$889:$D$999,2,FALSE),0)</f>
        <v>19385.650000000001</v>
      </c>
      <c r="L131" s="376">
        <f>IFERROR(VLOOKUP(C131,'تقرير المصروفات حسب الشهر'!$C$1016:$AD$1126,2,FALSE),0)</f>
        <v>18941.97</v>
      </c>
      <c r="M131" s="376">
        <f>IFERROR(VLOOKUP(C131,'تقرير المصروفات حسب الشهر'!$C$1143:$AD$1254,2,FALSE),0)</f>
        <v>18489.740000000002</v>
      </c>
      <c r="N131" s="413">
        <f>IFERROR(VLOOKUP(C131,'تقرير المصروفات حسب الشهر'!$C$1270:$AD$1381,2,FALSE),0)</f>
        <v>18028.79</v>
      </c>
      <c r="O131" s="376">
        <f>IFERROR(VLOOKUP(C131,'تقرير المصروفات حسب الشهر'!$C$1397:$AI$1512,2,FALSE),0)</f>
        <v>17558.96</v>
      </c>
      <c r="P131" s="394">
        <f t="shared" si="6"/>
        <v>261068.56999999998</v>
      </c>
    </row>
    <row r="132" spans="2:16" ht="18" customHeight="1">
      <c r="B132" s="124"/>
      <c r="C132" s="341" t="s">
        <v>209</v>
      </c>
      <c r="D132" s="376">
        <f>IFERROR(VLOOKUP(C132,'تقرير المصروفات حسب الشهر'!$C$10:$AD$124,2,FALSE),0)</f>
        <v>18700</v>
      </c>
      <c r="E132" s="376">
        <f>IFERROR(VLOOKUP(C132,'تقرير المصروفات حسب الشهر'!$C$135:$AD$252,2,FALSE),0)</f>
        <v>28000</v>
      </c>
      <c r="F132" s="376">
        <f>_xlfn.XLOOKUP(C132,'تقرير المصروفات حسب الشهر'!C371:C483,'تقرير المصروفات حسب الشهر'!D371:D483,0,0)</f>
        <v>6000</v>
      </c>
      <c r="G132" s="376">
        <f>IFERROR(VLOOKUP(C132,'تقرير المصروفات حسب الشهر'!$C$387:$AD$495,2,FALSE),0)</f>
        <v>0</v>
      </c>
      <c r="H132" s="376">
        <f>IFERROR(VLOOKUP(C132,'تقرير المصروفات حسب الشهر'!$C$512:$AD$621,2,FALSE),0)</f>
        <v>530</v>
      </c>
      <c r="I132" s="513">
        <f>IFERROR(VLOOKUP(C132,'تقرير المصروفات حسب الشهر'!$C$637:$AD$746,2,FALSE),0)</f>
        <v>20000</v>
      </c>
      <c r="J132" s="518">
        <f>IFERROR(VLOOKUP(C132,'تقرير المصروفات حسب الشهر'!$C$763:$AD$872,2,FALSE),0)</f>
        <v>10000</v>
      </c>
      <c r="K132" s="376">
        <f>IFERROR(VLOOKUP(C132,'تقرير المصروفات حسب الشهر'!$C$889:$D$999,2,FALSE),0)</f>
        <v>500</v>
      </c>
      <c r="L132" s="376">
        <f>IFERROR(VLOOKUP(C132,'تقرير المصروفات حسب الشهر'!$C$1016:$AD$1126,2,FALSE),0)</f>
        <v>0</v>
      </c>
      <c r="M132" s="376">
        <f>IFERROR(VLOOKUP(C132,'تقرير المصروفات حسب الشهر'!$C$1143:$AD$1254,2,FALSE),0)</f>
        <v>0</v>
      </c>
      <c r="N132" s="376">
        <f>IFERROR(VLOOKUP(C132,'تقرير المصروفات حسب الشهر'!$C$1270:$AD$1381,2,FALSE),0)</f>
        <v>0</v>
      </c>
      <c r="O132" s="376">
        <f>IFERROR(VLOOKUP(C132,'تقرير المصروفات حسب الشهر'!$C$1397:$AI$1512,2,FALSE),0)</f>
        <v>11470</v>
      </c>
      <c r="P132" s="394">
        <f t="shared" si="6"/>
        <v>95200</v>
      </c>
    </row>
    <row r="133" spans="2:16" ht="18" customHeight="1">
      <c r="B133" s="124"/>
      <c r="C133" s="341" t="s">
        <v>360</v>
      </c>
      <c r="D133" s="376">
        <f>IFERROR(VLOOKUP(C133,'تقرير المصروفات حسب الشهر'!$C$10:$AD$119,2,FALSE),0)</f>
        <v>0</v>
      </c>
      <c r="E133" s="376">
        <f>IFERROR(VLOOKUP(C133,'تقرير المصروفات حسب الشهر'!$C$135:$AD$252,2,FALSE),0)</f>
        <v>0</v>
      </c>
      <c r="F133" s="376">
        <f>_xlfn.XLOOKUP(C133,'تقرير المصروفات حسب الشهر'!C372:C484,'تقرير المصروفات حسب الشهر'!D372:D484,0,0)</f>
        <v>0</v>
      </c>
      <c r="G133" s="376">
        <f>IFERROR(VLOOKUP(C133,'تقرير المصروفات حسب الشهر'!$C$387:$AD$495,2,FALSE),0)</f>
        <v>0</v>
      </c>
      <c r="H133" s="376">
        <f>IFERROR(VLOOKUP(C133,'تقرير المصروفات حسب الشهر'!$C$512:$AD$620,2,FALSE),0)</f>
        <v>0</v>
      </c>
      <c r="I133" s="376">
        <f>IFERROR(VLOOKUP(C133,'تقرير المصروفات حسب الشهر'!$C$637:$AD$746,2,FALSE),0)</f>
        <v>0</v>
      </c>
      <c r="J133" s="376">
        <f>IFERROR(VLOOKUP(C133,'تقرير المصروفات حسب الشهر'!$C$763:$AD$872,2,FALSE),0)</f>
        <v>0</v>
      </c>
      <c r="K133" s="376">
        <f>IFERROR(VLOOKUP(C133,'تقرير المصروفات حسب الشهر'!$C$889:$D$999,2,FALSE),0)</f>
        <v>0</v>
      </c>
      <c r="L133" s="376">
        <f>IFERROR(VLOOKUP(C133,'تقرير المصروفات حسب الشهر'!$C$1016:$AD$1126,2,FALSE),0)</f>
        <v>0</v>
      </c>
      <c r="M133" s="376">
        <f>IFERROR(VLOOKUP(C133,'تقرير المصروفات حسب الشهر'!$C$1143:$AD$1254,2,FALSE),0)</f>
        <v>0</v>
      </c>
      <c r="N133" s="376">
        <f>IFERROR(VLOOKUP(C133,'تقرير المصروفات حسب الشهر'!$C$1270:$AD$1381,2,FALSE),0)</f>
        <v>0</v>
      </c>
      <c r="O133" s="376">
        <f>IFERROR(VLOOKUP(C133,'تقرير المصروفات حسب الشهر'!$C$1397:$AI$1512,2,FALSE),0)</f>
        <v>0</v>
      </c>
      <c r="P133" s="394">
        <f t="shared" si="6"/>
        <v>0</v>
      </c>
    </row>
    <row r="134" spans="2:16" ht="18" customHeight="1">
      <c r="B134" s="124"/>
      <c r="C134" s="341" t="s">
        <v>400</v>
      </c>
      <c r="D134" s="376">
        <f>IFERROR(VLOOKUP(C134,'تقرير المصروفات حسب الشهر'!$C$10:$AD$121,2,FALSE),0)</f>
        <v>0</v>
      </c>
      <c r="E134" s="376">
        <f>IFERROR(VLOOKUP(C134,'تقرير المصروفات حسب الشهر'!$C$135:$AD$252,2,FALSE),0)</f>
        <v>145389.75</v>
      </c>
      <c r="F134" s="376">
        <f>_xlfn.XLOOKUP(C134,'تقرير المصروفات حسب الشهر'!C373:C485,'تقرير المصروفات حسب الشهر'!D373:D485,0,0)</f>
        <v>145389.75</v>
      </c>
      <c r="G134" s="376">
        <f>IFERROR(VLOOKUP(C134,'تقرير المصروفات حسب الشهر'!$C$387:$AD$498,2,FALSE),0)</f>
        <v>145389.75</v>
      </c>
      <c r="H134" s="376">
        <f>IFERROR(VLOOKUP(C134,'تقرير المصروفات حسب الشهر'!$C$512:$AD$628,2,FALSE),0)</f>
        <v>145389.75</v>
      </c>
      <c r="I134" s="376">
        <f>IFERROR(VLOOKUP(C134,'تقرير المصروفات حسب الشهر'!$C$637:$AD$749,2,FALSE),0)</f>
        <v>145389.75</v>
      </c>
      <c r="J134" s="376">
        <f>IFERROR(VLOOKUP(C134,'تقرير المصروفات حسب الشهر'!$C$763:$AD$878,2,FALSE),0)</f>
        <v>145389.75</v>
      </c>
      <c r="K134" s="376">
        <f>IFERROR(VLOOKUP(C134,'تقرير المصروفات حسب الشهر'!$C$889:$D$1005,2,FALSE),0)</f>
        <v>145389.75</v>
      </c>
      <c r="L134" s="376">
        <f>IFERROR(VLOOKUP(C134,'تقرير المصروفات حسب الشهر'!$C$1016:$AD$1130,2,FALSE),0)</f>
        <v>145389.75</v>
      </c>
      <c r="M134" s="376">
        <f>IFERROR(VLOOKUP(C134,'تقرير المصروفات حسب الشهر'!$C$1143:$AD$1259,2,FALSE),0)</f>
        <v>145389.75</v>
      </c>
      <c r="N134" s="376">
        <f>IFERROR(VLOOKUP(C134,'تقرير المصروفات حسب الشهر'!$C$1270:$AD$1384,2,FALSE),0)</f>
        <v>145389.75</v>
      </c>
      <c r="O134" s="376">
        <f>IFERROR(VLOOKUP(C134,'تقرير المصروفات حسب الشهر'!$C$1397:$AI$1512,2,FALSE),0)</f>
        <v>92000</v>
      </c>
      <c r="P134" s="394">
        <f t="shared" si="6"/>
        <v>1545897.5</v>
      </c>
    </row>
    <row r="135" spans="2:16" ht="18" customHeight="1">
      <c r="B135" s="124"/>
      <c r="C135" s="341"/>
      <c r="D135" s="376">
        <f>IFERROR(VLOOKUP(C135,'تقرير المصروفات حسب الشهر'!$C$10:$AD$119,2,FALSE),0)</f>
        <v>0</v>
      </c>
      <c r="E135" s="376">
        <f>IFERROR(VLOOKUP(C135,'تقرير المصروفات حسب الشهر'!$C$135:$AD$252,2,FALSE),0)</f>
        <v>0</v>
      </c>
      <c r="F135" s="376">
        <f>_xlfn.XLOOKUP(C135,'تقرير المصروفات حسب الشهر'!C374:C486,'تقرير المصروفات حسب الشهر'!D374:D486,0,0)</f>
        <v>0</v>
      </c>
      <c r="G135" s="376">
        <f>IFERROR(VLOOKUP(C135,'تقرير المصروفات حسب الشهر'!$C$387:$AD$495,2,FALSE),0)</f>
        <v>0</v>
      </c>
      <c r="H135" s="376">
        <f>IFERROR(VLOOKUP(C135,'تقرير المصروفات حسب الشهر'!$C$512:$AD$620,2,FALSE),0)</f>
        <v>0</v>
      </c>
      <c r="I135" s="376">
        <f>IFERROR(VLOOKUP(C135,'تقرير المصروفات حسب الشهر'!$C$637:$AD$746,2,FALSE),0)</f>
        <v>0</v>
      </c>
      <c r="J135" s="376">
        <f>IFERROR(VLOOKUP(C135,'تقرير المصروفات حسب الشهر'!$C$763:$AD$872,2,FALSE),0)</f>
        <v>0</v>
      </c>
      <c r="K135" s="376">
        <f>IFERROR(VLOOKUP(C135,'تقرير المصروفات حسب الشهر'!$C$889:$D$999,2,FALSE),0)</f>
        <v>0</v>
      </c>
      <c r="L135" s="376">
        <f>IFERROR(VLOOKUP(C135,'تقرير المصروفات حسب الشهر'!$C$1016:$AD$1126,2,FALSE),0)</f>
        <v>0</v>
      </c>
      <c r="M135" s="376">
        <f>IFERROR(VLOOKUP(C135,'تقرير المصروفات حسب الشهر'!$C$1143:$AD$1254,2,FALSE),0)</f>
        <v>0</v>
      </c>
      <c r="N135" s="376">
        <f>IFERROR(VLOOKUP(C135,'تقرير المصروفات حسب الشهر'!$C$1270:$AD$1381,2,FALSE),0)</f>
        <v>0</v>
      </c>
      <c r="O135" s="376">
        <f>IFERROR(VLOOKUP(C135,'تقرير المصروفات حسب الشهر'!$C$1397:$AI$1512,2,FALSE),0)</f>
        <v>0</v>
      </c>
      <c r="P135" s="394">
        <f t="shared" si="6"/>
        <v>0</v>
      </c>
    </row>
    <row r="136" spans="2:16" ht="18" customHeight="1">
      <c r="B136" s="124"/>
      <c r="C136" s="341"/>
      <c r="D136" s="376">
        <f>IFERROR(VLOOKUP(C136,'تقرير المصروفات حسب الشهر'!$C$10:$AD$119,2,FALSE),0)</f>
        <v>0</v>
      </c>
      <c r="E136" s="376">
        <f>IFERROR(VLOOKUP(C136,'تقرير المصروفات حسب الشهر'!$C$135:$AD$252,2,FALSE),0)</f>
        <v>0</v>
      </c>
      <c r="F136" s="376">
        <f>_xlfn.XLOOKUP(C136,'تقرير المصروفات حسب الشهر'!C375:C487,'تقرير المصروفات حسب الشهر'!D375:D487,0,0)</f>
        <v>0</v>
      </c>
      <c r="G136" s="376">
        <f>IFERROR(VLOOKUP(C136,'تقرير المصروفات حسب الشهر'!$C$387:$AD$495,2,FALSE),0)</f>
        <v>0</v>
      </c>
      <c r="H136" s="376">
        <f>IFERROR(VLOOKUP(C136,'تقرير المصروفات حسب الشهر'!$C$512:$AD$620,2,FALSE),0)</f>
        <v>0</v>
      </c>
      <c r="I136" s="376">
        <f>IFERROR(VLOOKUP(C136,'تقرير المصروفات حسب الشهر'!$C$637:$AD$746,2,FALSE),0)</f>
        <v>0</v>
      </c>
      <c r="J136" s="376">
        <f>IFERROR(VLOOKUP(C136,'تقرير المصروفات حسب الشهر'!$C$763:$AD$872,2,FALSE),0)</f>
        <v>0</v>
      </c>
      <c r="K136" s="376">
        <f>IFERROR(VLOOKUP(C136,'تقرير المصروفات حسب الشهر'!$C$889:$D$999,2,FALSE),0)</f>
        <v>0</v>
      </c>
      <c r="L136" s="376">
        <f>IFERROR(VLOOKUP(C136,'تقرير المصروفات حسب الشهر'!$C$1016:$AD$1126,2,FALSE),0)</f>
        <v>0</v>
      </c>
      <c r="M136" s="376">
        <f>IFERROR(VLOOKUP(C136,'تقرير المصروفات حسب الشهر'!$C$1143:$AD$1254,2,FALSE),0)</f>
        <v>0</v>
      </c>
      <c r="N136" s="376">
        <f>IFERROR(VLOOKUP(C136,'تقرير المصروفات حسب الشهر'!$C$1270:$AD$1381,2,FALSE),0)</f>
        <v>0</v>
      </c>
      <c r="O136" s="376">
        <f>IFERROR(VLOOKUP(C136,'تقرير المصروفات حسب الشهر'!$C$1397:$AI$1512,2,FALSE),0)</f>
        <v>0</v>
      </c>
      <c r="P136" s="394">
        <f t="shared" si="6"/>
        <v>0</v>
      </c>
    </row>
    <row r="137" spans="2:16" ht="18" customHeight="1">
      <c r="B137" s="124"/>
      <c r="C137" s="341"/>
      <c r="D137" s="376">
        <f>IFERROR(VLOOKUP(C137,'تقرير المصروفات حسب الشهر'!$C$10:$AD$119,2,FALSE),0)</f>
        <v>0</v>
      </c>
      <c r="E137" s="376">
        <f>IFERROR(VLOOKUP(C137,'تقرير المصروفات حسب الشهر'!$C$135:$AD$252,2,FALSE),0)</f>
        <v>0</v>
      </c>
      <c r="F137" s="376">
        <f>_xlfn.XLOOKUP(C137,'تقرير المصروفات حسب الشهر'!C376:C488,'تقرير المصروفات حسب الشهر'!D376:D488,0,0)</f>
        <v>0</v>
      </c>
      <c r="G137" s="376">
        <f>IFERROR(VLOOKUP(C137,'تقرير المصروفات حسب الشهر'!$C$387:$AD$495,2,FALSE),0)</f>
        <v>0</v>
      </c>
      <c r="H137" s="376">
        <f>IFERROR(VLOOKUP(C137,'تقرير المصروفات حسب الشهر'!$C$512:$AD$620,2,FALSE),0)</f>
        <v>0</v>
      </c>
      <c r="I137" s="376">
        <f>IFERROR(VLOOKUP(C137,'تقرير المصروفات حسب الشهر'!$C$637:$AD$746,2,FALSE),0)</f>
        <v>0</v>
      </c>
      <c r="J137" s="376">
        <f>IFERROR(VLOOKUP(C137,'تقرير المصروفات حسب الشهر'!$C$763:$AD$872,2,FALSE),0)</f>
        <v>0</v>
      </c>
      <c r="K137" s="376">
        <f>IFERROR(VLOOKUP(C137,'تقرير المصروفات حسب الشهر'!$C$889:$D$999,2,FALSE),0)</f>
        <v>0</v>
      </c>
      <c r="L137" s="376">
        <f>IFERROR(VLOOKUP(C137,'تقرير المصروفات حسب الشهر'!$C$1016:$AD$1126,2,FALSE),0)</f>
        <v>0</v>
      </c>
      <c r="M137" s="376">
        <f>IFERROR(VLOOKUP(C137,'تقرير المصروفات حسب الشهر'!$C$1143:$AD$1254,2,FALSE),0)</f>
        <v>0</v>
      </c>
      <c r="N137" s="376">
        <f>IFERROR(VLOOKUP(C137,'تقرير المصروفات حسب الشهر'!$C$1270:$AD$1381,2,FALSE),0)</f>
        <v>0</v>
      </c>
      <c r="O137" s="376">
        <f>IFERROR(VLOOKUP(C137,'تقرير المصروفات حسب الشهر'!$C$1397:$AI$1512,2,FALSE),0)</f>
        <v>0</v>
      </c>
      <c r="P137" s="394">
        <f t="shared" si="6"/>
        <v>0</v>
      </c>
    </row>
    <row r="138" spans="2:16" ht="18" customHeight="1">
      <c r="B138" s="124"/>
      <c r="C138" s="341"/>
      <c r="D138" s="376">
        <f>IFERROR(VLOOKUP(C138,'تقرير المصروفات حسب الشهر'!$C$10:$AD$119,2,FALSE),0)</f>
        <v>0</v>
      </c>
      <c r="E138" s="376">
        <f>IFERROR(VLOOKUP(C138,'تقرير المصروفات حسب الشهر'!$C$135:$AD$252,2,FALSE),0)</f>
        <v>0</v>
      </c>
      <c r="F138" s="376">
        <f>_xlfn.XLOOKUP(C138,'تقرير المصروفات حسب الشهر'!C377:C489,'تقرير المصروفات حسب الشهر'!D377:D489,0,0)</f>
        <v>0</v>
      </c>
      <c r="G138" s="376">
        <f>IFERROR(VLOOKUP(C138,'تقرير المصروفات حسب الشهر'!$C$387:$AD$495,2,FALSE),0)</f>
        <v>0</v>
      </c>
      <c r="H138" s="376">
        <f>IFERROR(VLOOKUP(C138,'تقرير المصروفات حسب الشهر'!$C$512:$AD$620,2,FALSE),0)</f>
        <v>0</v>
      </c>
      <c r="I138" s="376">
        <f>IFERROR(VLOOKUP(C138,'تقرير المصروفات حسب الشهر'!$C$637:$AD$746,2,FALSE),0)</f>
        <v>0</v>
      </c>
      <c r="J138" s="376">
        <f>IFERROR(VLOOKUP(C138,'تقرير المصروفات حسب الشهر'!$C$763:$AD$872,2,FALSE),0)</f>
        <v>0</v>
      </c>
      <c r="K138" s="376">
        <f>IFERROR(VLOOKUP(C138,'تقرير المصروفات حسب الشهر'!$C$889:$D$999,2,FALSE),0)</f>
        <v>0</v>
      </c>
      <c r="L138" s="376">
        <f>IFERROR(VLOOKUP(C138,'تقرير المصروفات حسب الشهر'!$C$1016:$AD$1126,2,FALSE),0)</f>
        <v>0</v>
      </c>
      <c r="M138" s="376">
        <f>IFERROR(VLOOKUP(C138,'تقرير المصروفات حسب الشهر'!$C$1143:$AD$1254,2,FALSE),0)</f>
        <v>0</v>
      </c>
      <c r="N138" s="376">
        <f>IFERROR(VLOOKUP(C138,'تقرير المصروفات حسب الشهر'!$C$1270:$AD$1381,2,FALSE),0)</f>
        <v>0</v>
      </c>
      <c r="O138" s="376">
        <f>IFERROR(VLOOKUP(C138,'تقرير المصروفات حسب الشهر'!$C$1397:$AI$1512,2,FALSE),0)</f>
        <v>0</v>
      </c>
      <c r="P138" s="394">
        <f t="shared" si="6"/>
        <v>0</v>
      </c>
    </row>
    <row r="139" spans="2:16" ht="18" customHeight="1">
      <c r="B139" s="124"/>
      <c r="C139" s="341"/>
      <c r="D139" s="376">
        <f>IFERROR(VLOOKUP(C139,'تقرير المصروفات حسب الشهر'!$C$10:$AD$119,2,FALSE),0)</f>
        <v>0</v>
      </c>
      <c r="E139" s="376">
        <f>IFERROR(VLOOKUP(C139,'تقرير المصروفات حسب الشهر'!$C$135:$AD$252,2,FALSE),0)</f>
        <v>0</v>
      </c>
      <c r="F139" s="376">
        <f>_xlfn.XLOOKUP(C139,'تقرير المصروفات حسب الشهر'!C378:C490,'تقرير المصروفات حسب الشهر'!D378:D490,0,0)</f>
        <v>0</v>
      </c>
      <c r="G139" s="376">
        <f>IFERROR(VLOOKUP(C139,'تقرير المصروفات حسب الشهر'!$C$387:$AD$495,2,FALSE),0)</f>
        <v>0</v>
      </c>
      <c r="H139" s="376">
        <f>IFERROR(VLOOKUP(C139,'تقرير المصروفات حسب الشهر'!$C$512:$AD$620,2,FALSE),0)</f>
        <v>0</v>
      </c>
      <c r="I139" s="376">
        <f>IFERROR(VLOOKUP(C139,'تقرير المصروفات حسب الشهر'!$C$637:$AD$746,2,FALSE),0)</f>
        <v>0</v>
      </c>
      <c r="J139" s="376">
        <f>IFERROR(VLOOKUP(C139,'تقرير المصروفات حسب الشهر'!$C$763:$AD$872,2,FALSE),0)</f>
        <v>0</v>
      </c>
      <c r="K139" s="376">
        <f>IFERROR(VLOOKUP(C139,'تقرير المصروفات حسب الشهر'!$C$889:$D$999,2,FALSE),0)</f>
        <v>0</v>
      </c>
      <c r="L139" s="376">
        <f>IFERROR(VLOOKUP(C139,'تقرير المصروفات حسب الشهر'!$C$1016:$AD$1126,2,FALSE),0)</f>
        <v>0</v>
      </c>
      <c r="M139" s="376">
        <f>IFERROR(VLOOKUP(C139,'تقرير المصروفات حسب الشهر'!$C$1143:$AD$1254,2,FALSE),0)</f>
        <v>0</v>
      </c>
      <c r="N139" s="376">
        <f>IFERROR(VLOOKUP(C139,'تقرير المصروفات حسب الشهر'!$C$1270:$AD$1381,2,FALSE),0)</f>
        <v>0</v>
      </c>
      <c r="O139" s="376">
        <f>IFERROR(VLOOKUP(C139,'تقرير المصروفات حسب الشهر'!$C$1397:$AI$1512,2,FALSE),0)</f>
        <v>0</v>
      </c>
      <c r="P139" s="394">
        <f t="shared" si="6"/>
        <v>0</v>
      </c>
    </row>
    <row r="140" spans="2:16" ht="18" customHeight="1">
      <c r="B140" s="124"/>
      <c r="C140" s="149" t="s">
        <v>270</v>
      </c>
      <c r="D140" s="377">
        <f>SUM(D22:D139)</f>
        <v>2115892.6399999992</v>
      </c>
      <c r="E140" s="377">
        <f t="shared" ref="E140:O140" si="7">SUM(E22:E139)</f>
        <v>2113613.2999999998</v>
      </c>
      <c r="F140" s="377">
        <f t="shared" si="7"/>
        <v>2233776.5099999998</v>
      </c>
      <c r="G140" s="377">
        <f t="shared" si="7"/>
        <v>2115627.4299999997</v>
      </c>
      <c r="H140" s="377">
        <f t="shared" si="7"/>
        <v>2137158.91</v>
      </c>
      <c r="I140" s="377">
        <f t="shared" si="7"/>
        <v>2344883.1099999994</v>
      </c>
      <c r="J140" s="377">
        <f t="shared" si="7"/>
        <v>2516501.6999999997</v>
      </c>
      <c r="K140" s="377">
        <f t="shared" si="7"/>
        <v>2613856.7600000002</v>
      </c>
      <c r="L140" s="377">
        <f t="shared" si="7"/>
        <v>2559477.5400000019</v>
      </c>
      <c r="M140" s="377">
        <f t="shared" si="7"/>
        <v>2295903.0400000005</v>
      </c>
      <c r="N140" s="377">
        <f t="shared" si="7"/>
        <v>2634097.3699999996</v>
      </c>
      <c r="O140" s="377">
        <f t="shared" si="7"/>
        <v>2630894.9300000011</v>
      </c>
      <c r="P140" s="377">
        <f>SUM(D140:O140)</f>
        <v>28311683.240000002</v>
      </c>
    </row>
    <row r="141" spans="2:16" ht="18" customHeight="1">
      <c r="B141" s="124"/>
      <c r="C141" s="134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</row>
    <row r="142" spans="2:16" ht="18" customHeight="1">
      <c r="B142" s="124"/>
      <c r="C142" s="148" t="s">
        <v>14</v>
      </c>
      <c r="D142" s="378">
        <f t="shared" ref="D142:O142" si="8">D19</f>
        <v>303660.38</v>
      </c>
      <c r="E142" s="378">
        <f t="shared" si="8"/>
        <v>451521.76999999996</v>
      </c>
      <c r="F142" s="378">
        <f t="shared" si="8"/>
        <v>463914.75999999983</v>
      </c>
      <c r="G142" s="378">
        <f t="shared" si="8"/>
        <v>547927.61</v>
      </c>
      <c r="H142" s="378">
        <f t="shared" si="8"/>
        <v>1040476.5200000001</v>
      </c>
      <c r="I142" s="378">
        <f t="shared" si="8"/>
        <v>743698.47</v>
      </c>
      <c r="J142" s="378">
        <f t="shared" si="8"/>
        <v>510545.48</v>
      </c>
      <c r="K142" s="378">
        <f t="shared" si="8"/>
        <v>598022.75000000047</v>
      </c>
      <c r="L142" s="378">
        <f t="shared" si="8"/>
        <v>1246992.52</v>
      </c>
      <c r="M142" s="378">
        <f t="shared" si="8"/>
        <v>292104.94999999966</v>
      </c>
      <c r="N142" s="378">
        <f t="shared" si="8"/>
        <v>444589.29999999958</v>
      </c>
      <c r="O142" s="378">
        <f t="shared" si="8"/>
        <v>4775647.4649998546</v>
      </c>
      <c r="P142" s="378">
        <f>P19</f>
        <v>11419101.974999852</v>
      </c>
    </row>
    <row r="143" spans="2:16" ht="10.95" customHeight="1">
      <c r="B143" s="124"/>
      <c r="C143" s="136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</row>
    <row r="144" spans="2:16" ht="18" customHeight="1">
      <c r="B144" s="124"/>
      <c r="C144" s="136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</row>
    <row r="145" spans="1:17" s="139" customFormat="1" ht="18" customHeight="1">
      <c r="A145" s="113"/>
      <c r="B145" s="138"/>
      <c r="C145" s="147" t="s">
        <v>271</v>
      </c>
      <c r="D145" s="379">
        <f>D142-D140</f>
        <v>-1812232.2599999993</v>
      </c>
      <c r="E145" s="379">
        <f t="shared" ref="E145:O145" si="9">E142-E140</f>
        <v>-1662091.5299999998</v>
      </c>
      <c r="F145" s="379">
        <f t="shared" si="9"/>
        <v>-1769861.75</v>
      </c>
      <c r="G145" s="379">
        <f t="shared" si="9"/>
        <v>-1567699.8199999998</v>
      </c>
      <c r="H145" s="379">
        <f t="shared" si="9"/>
        <v>-1096682.3900000001</v>
      </c>
      <c r="I145" s="379">
        <f t="shared" si="9"/>
        <v>-1601184.6399999994</v>
      </c>
      <c r="J145" s="379">
        <f t="shared" si="9"/>
        <v>-2005956.2199999997</v>
      </c>
      <c r="K145" s="379">
        <f t="shared" si="9"/>
        <v>-2015834.0099999998</v>
      </c>
      <c r="L145" s="379">
        <f t="shared" si="9"/>
        <v>-1312485.0200000019</v>
      </c>
      <c r="M145" s="379">
        <f t="shared" si="9"/>
        <v>-2003798.0900000008</v>
      </c>
      <c r="N145" s="379">
        <f t="shared" si="9"/>
        <v>-2189508.0700000003</v>
      </c>
      <c r="O145" s="379">
        <f t="shared" si="9"/>
        <v>2144752.5349998535</v>
      </c>
      <c r="P145" s="379">
        <f>P142-P140</f>
        <v>-16892581.26500015</v>
      </c>
      <c r="Q145" s="113"/>
    </row>
    <row r="146" spans="1:17" ht="7.5" customHeight="1">
      <c r="B146" s="140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</row>
    <row r="147" spans="1:17" ht="7.35" customHeight="1">
      <c r="B147" s="12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</row>
    <row r="148" spans="1:17" s="112" customFormat="1" ht="23.1" customHeight="1">
      <c r="A148" s="113"/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4"/>
      <c r="P148" s="144"/>
      <c r="Q148" s="145"/>
    </row>
    <row r="149" spans="1:17">
      <c r="D149" s="238">
        <v>2115892.6399999992</v>
      </c>
      <c r="E149" s="494">
        <v>2268223.5499999998</v>
      </c>
      <c r="F149" s="238">
        <v>2088386.7599999995</v>
      </c>
      <c r="G149" s="238">
        <v>1970237.68</v>
      </c>
      <c r="H149" s="443">
        <v>-951412.4</v>
      </c>
      <c r="J149" s="233">
        <v>-1860569.47</v>
      </c>
      <c r="K149" s="113">
        <v>-1870444.26</v>
      </c>
      <c r="N149" s="416">
        <f>N145+1686907.67</f>
        <v>-502600.40000000037</v>
      </c>
      <c r="O149" s="233">
        <v>-1293612.19</v>
      </c>
    </row>
    <row r="150" spans="1:17">
      <c r="D150" s="415">
        <f>D140-D149</f>
        <v>0</v>
      </c>
      <c r="E150" s="415">
        <f>E140-E149</f>
        <v>-154610.25</v>
      </c>
      <c r="F150" s="415">
        <f>F140-F149</f>
        <v>145389.75000000023</v>
      </c>
      <c r="G150" s="415">
        <f>G140-G149</f>
        <v>145389.74999999977</v>
      </c>
      <c r="H150" s="233">
        <f>H149-H145</f>
        <v>145269.99000000011</v>
      </c>
      <c r="J150" s="233">
        <f>J149-J145</f>
        <v>145386.74999999977</v>
      </c>
      <c r="K150" s="415">
        <f>K145-K149</f>
        <v>-145389.74999999977</v>
      </c>
      <c r="O150" s="233">
        <f>O145-O149</f>
        <v>3438364.7249998534</v>
      </c>
    </row>
    <row r="151" spans="1:17">
      <c r="E151" s="233"/>
      <c r="H151" s="443"/>
    </row>
    <row r="152" spans="1:17">
      <c r="D152" s="415"/>
    </row>
  </sheetData>
  <autoFilter ref="C21:P140" xr:uid="{00000000-0001-0000-0400-000000000000}"/>
  <mergeCells count="1">
    <mergeCell ref="G3:I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ignoredErrors>
    <ignoredError sqref="G23:L23 G22:L22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FFC000"/>
  </sheetPr>
  <dimension ref="A1:T146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331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36</v>
      </c>
      <c r="B8" s="390"/>
      <c r="C8" s="369" t="s">
        <v>114</v>
      </c>
      <c r="D8" s="364">
        <f>D9+D10+D11</f>
        <v>4953092.3099999996</v>
      </c>
      <c r="E8" s="364">
        <f t="shared" ref="E8:N8" si="0">E9+E10+E11</f>
        <v>4819082.2700000014</v>
      </c>
      <c r="F8" s="364">
        <f t="shared" si="0"/>
        <v>5158662.21</v>
      </c>
      <c r="G8" s="364">
        <f t="shared" si="0"/>
        <v>5613128.1999999993</v>
      </c>
      <c r="H8" s="364">
        <f t="shared" si="0"/>
        <v>5842714.6799999997</v>
      </c>
      <c r="I8" s="364">
        <f t="shared" si="0"/>
        <v>6079990.4500000002</v>
      </c>
      <c r="J8" s="364">
        <f t="shared" si="0"/>
        <v>6096124.6099999994</v>
      </c>
      <c r="K8" s="364">
        <f t="shared" si="0"/>
        <v>6860530.2199999997</v>
      </c>
      <c r="L8" s="364">
        <f t="shared" si="0"/>
        <v>6974349.3599999994</v>
      </c>
      <c r="M8" s="364">
        <f t="shared" si="0"/>
        <v>7492552.5499999998</v>
      </c>
      <c r="N8" s="364">
        <f t="shared" si="0"/>
        <v>6985159.2699999996</v>
      </c>
      <c r="O8" s="364">
        <f t="shared" ref="O8" si="1">O9+O10+O11</f>
        <v>7710152.96</v>
      </c>
      <c r="P8" s="364">
        <f>SUM(D8:O8)</f>
        <v>74585539.089999989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3046708.67</v>
      </c>
      <c r="E9" s="365">
        <f>VLOOKUP($A$8,'تقرير إحصائية بحجم المبيعات'!$B$42:$G$73,2,FALSE)</f>
        <v>2960938.6800000011</v>
      </c>
      <c r="F9" s="365">
        <f>VLOOKUP($A$8,'تقرير إحصائية بحجم المبيعات'!$B$78:$E$103,2,FALSE)</f>
        <v>3363349.7699999996</v>
      </c>
      <c r="G9" s="365">
        <f>VLOOKUP($A$8,'تقرير إحصائية بحجم المبيعات'!$B$112:$G$137,2,FALSE)</f>
        <v>3828803.9499999997</v>
      </c>
      <c r="H9" s="365">
        <f>VLOOKUP($A$8,'تقرير إحصائية بحجم المبيعات'!$B$147:$G$177,2,FALSE)</f>
        <v>3884393.1499999994</v>
      </c>
      <c r="I9" s="365">
        <f>VLOOKUP($A$8,'تقرير إحصائية بحجم المبيعات'!$B$182:$G$212,2,FALSE)</f>
        <v>4309083.29</v>
      </c>
      <c r="J9" s="365">
        <f>VLOOKUP($A$8,'تقرير إحصائية بحجم المبيعات'!$B$217:$L$243,2,FALSE)</f>
        <v>4185966.05</v>
      </c>
      <c r="K9" s="365">
        <f>VLOOKUP($A$8,'تقرير إحصائية بحجم المبيعات'!$B$252:$L$278,2,FALSE)</f>
        <v>4835066.8299999991</v>
      </c>
      <c r="L9" s="365">
        <f>VLOOKUP($A$8,'تقرير إحصائية بحجم المبيعات'!$B$287:$L$313,2,FALSE)</f>
        <v>4505534.6099999994</v>
      </c>
      <c r="M9" s="365">
        <f>VLOOKUP($A$8,'تقرير إحصائية بحجم المبيعات'!$B$322:$L$347,2,FALSE)</f>
        <v>4705280.62</v>
      </c>
      <c r="N9" s="365">
        <f>VLOOKUP($A$8,'تقرير إحصائية بحجم المبيعات'!$B$357:$L$383,2,FALSE)</f>
        <v>4700429.7299999995</v>
      </c>
      <c r="O9" s="365">
        <f>VLOOKUP($A$8,'تقرير إحصائية بحجم المبيعات'!$B$391:$L$420,2,FALSE)</f>
        <v>5046522.8</v>
      </c>
      <c r="P9" s="364">
        <f t="shared" ref="P9:P18" si="2">SUM(D9:O9)</f>
        <v>49372078.149999991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686579.51</v>
      </c>
      <c r="E10" s="365">
        <f>VLOOKUP($A$8,'تقرير إحصائية بحجم المبيعات'!$B$42:$G$73,3,FALSE)</f>
        <v>664076.68999999994</v>
      </c>
      <c r="F10" s="365">
        <f>VLOOKUP($A$8,'تقرير إحصائية بحجم المبيعات'!$B$78:$E$103,3,FALSE)</f>
        <v>531594.93000000005</v>
      </c>
      <c r="G10" s="365">
        <f>VLOOKUP($A$8,'تقرير إحصائية بحجم المبيعات'!$B$112:$G$137,3,FALSE)</f>
        <v>669148.36</v>
      </c>
      <c r="H10" s="365">
        <f>VLOOKUP($A$8,'تقرير إحصائية بحجم المبيعات'!$B$147:$G$177,3,FALSE)</f>
        <v>678401.42</v>
      </c>
      <c r="I10" s="365">
        <f>VLOOKUP($A$8,'تقرير إحصائية بحجم المبيعات'!$B$182:$G$212,3,FALSE)</f>
        <v>657047.38</v>
      </c>
      <c r="J10" s="365">
        <f>VLOOKUP($A$8,'تقرير إحصائية بحجم المبيعات'!$B$217:$L$243,3,FALSE)</f>
        <v>668506.5</v>
      </c>
      <c r="K10" s="365">
        <f>VLOOKUP($A$8,'تقرير إحصائية بحجم المبيعات'!$B$252:$L$278,3,FALSE)</f>
        <v>653473.9</v>
      </c>
      <c r="L10" s="365">
        <f>VLOOKUP($A$8,'تقرير إحصائية بحجم المبيعات'!$B$287:$L$313,3,FALSE)</f>
        <v>651093.14</v>
      </c>
      <c r="M10" s="365">
        <f>VLOOKUP($A$8,'تقرير إحصائية بحجم المبيعات'!$B$322:$L$347,3,FALSE)</f>
        <v>837640.09</v>
      </c>
      <c r="N10" s="365">
        <f>VLOOKUP($A$8,'تقرير إحصائية بحجم المبيعات'!$B$357:$L$383,3,FALSE)</f>
        <v>751344.31</v>
      </c>
      <c r="O10" s="365">
        <f>VLOOKUP($A$8,'تقرير إحصائية بحجم المبيعات'!$B$391:$L$420,3,FALSE)</f>
        <v>817456.55</v>
      </c>
      <c r="P10" s="364">
        <f t="shared" si="2"/>
        <v>8266362.7799999984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1219804.1299999999</v>
      </c>
      <c r="E11" s="365">
        <f>VLOOKUP($A$8,'تقرير إحصائية بحجم المبيعات'!$B$42:$G$73,4,FALSE)</f>
        <v>1194066.8999999999</v>
      </c>
      <c r="F11" s="365">
        <f>VLOOKUP($A$8,'تقرير إحصائية بحجم المبيعات'!$B$78:$E$103,4,FALSE)</f>
        <v>1263717.51</v>
      </c>
      <c r="G11" s="365">
        <f>VLOOKUP($A$8,'تقرير إحصائية بحجم المبيعات'!$B$112:$G$137,4,FALSE)</f>
        <v>1115175.8899999999</v>
      </c>
      <c r="H11" s="365">
        <f>VLOOKUP($A$8,'تقرير إحصائية بحجم المبيعات'!$B$147:$G$177,4,FALSE)</f>
        <v>1279920.1100000001</v>
      </c>
      <c r="I11" s="365">
        <f>VLOOKUP($A$8,'تقرير إحصائية بحجم المبيعات'!$B$182:$G$212,4,FALSE)</f>
        <v>1113859.78</v>
      </c>
      <c r="J11" s="365">
        <f>VLOOKUP($A$8,'تقرير إحصائية بحجم المبيعات'!$B$217:$L$243,4,FALSE)</f>
        <v>1241652.06</v>
      </c>
      <c r="K11" s="365">
        <f>VLOOKUP($A$8,'تقرير إحصائية بحجم المبيعات'!$B$252:$L$278,4,FALSE)</f>
        <v>1371989.49</v>
      </c>
      <c r="L11" s="365">
        <f>VLOOKUP($A$8,'تقرير إحصائية بحجم المبيعات'!$B$287:$L$313,4,FALSE)</f>
        <v>1817721.61</v>
      </c>
      <c r="M11" s="365">
        <f>VLOOKUP($A$8,'تقرير إحصائية بحجم المبيعات'!$B$322:$L$347,4,FALSE)</f>
        <v>1949631.84</v>
      </c>
      <c r="N11" s="365">
        <f>VLOOKUP($A$8,'تقرير إحصائية بحجم المبيعات'!$B$357:$L$383,4,FALSE)</f>
        <v>1533385.23</v>
      </c>
      <c r="O11" s="365">
        <f>VLOOKUP($A$8,'تقرير إحصائية بحجم المبيعات'!$B$391:$L$420,4,FALSE)</f>
        <v>1846173.61</v>
      </c>
      <c r="P11" s="364">
        <f t="shared" si="2"/>
        <v>16947098.16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3962640.35</v>
      </c>
      <c r="E12" s="364">
        <f>VLOOKUP($A$8,'تقرير إحصائية بحجم المبيعات'!$B$42:$L$73,11,FALSE)</f>
        <v>3883690.99</v>
      </c>
      <c r="F12" s="364">
        <f>VLOOKUP($A$8,'تقرير إحصائية بحجم المبيعات'!$B$78:$L$103,11,FALSE)</f>
        <v>4146557.42</v>
      </c>
      <c r="G12" s="364">
        <f>VLOOKUP($A$8,'تقرير إحصائية بحجم المبيعات'!$B$112:$L$137,11,FALSE)</f>
        <v>4499900.3099999996</v>
      </c>
      <c r="H12" s="364">
        <f>VLOOKUP($A$8,'تقرير إحصائية بحجم المبيعات'!$B$147:$L$177,11,FALSE)</f>
        <v>4660011.13</v>
      </c>
      <c r="I12" s="364">
        <f>VLOOKUP($A$8,'تقرير إحصائية بحجم المبيعات'!$B$182:$L$212,11,FALSE)</f>
        <v>4834090.24</v>
      </c>
      <c r="J12" s="365">
        <f>VLOOKUP($A$8,'تقرير إحصائية بحجم المبيعات'!$B$217:$L$243,11,FALSE)</f>
        <v>4883642.38</v>
      </c>
      <c r="K12" s="364">
        <f>VLOOKUP($A$8,'تقرير إحصائية بحجم المبيعات'!$B$252:$L$278,11,FALSE)</f>
        <v>5509486.0599999996</v>
      </c>
      <c r="L12" s="364">
        <f>VLOOKUP($A$8,'تقرير إحصائية بحجم المبيعات'!$B$287:$L$313,11,FALSE)</f>
        <v>5611199.7800000003</v>
      </c>
      <c r="M12" s="365">
        <f>VLOOKUP($A$8,'تقرير إحصائية بحجم المبيعات'!$B$322:$L$347,11,FALSE)</f>
        <v>5952639.2599999998</v>
      </c>
      <c r="N12" s="365">
        <f>VLOOKUP($A$8,'تقرير إحصائية بحجم المبيعات'!$B$357:$L$383,11,FALSE)</f>
        <v>5564222</v>
      </c>
      <c r="O12" s="365">
        <f>VLOOKUP($A$8,'تقرير إحصائية بحجم المبيعات'!$B$391:$L$420,11,FALSE)</f>
        <v>6048273.4699999997</v>
      </c>
      <c r="P12" s="364">
        <f t="shared" si="2"/>
        <v>59556353.389999993</v>
      </c>
    </row>
    <row r="13" spans="1:20" ht="18" customHeight="1">
      <c r="B13" s="124"/>
      <c r="C13" s="371" t="s">
        <v>14</v>
      </c>
      <c r="D13" s="366">
        <f t="shared" ref="D13:N13" si="3">D8-D12</f>
        <v>990451.9599999995</v>
      </c>
      <c r="E13" s="366">
        <f t="shared" si="3"/>
        <v>935391.28000000119</v>
      </c>
      <c r="F13" s="366">
        <f t="shared" si="3"/>
        <v>1012104.79</v>
      </c>
      <c r="G13" s="366">
        <f t="shared" si="3"/>
        <v>1113227.8899999997</v>
      </c>
      <c r="H13" s="366">
        <f t="shared" si="3"/>
        <v>1182703.5499999998</v>
      </c>
      <c r="I13" s="366">
        <f t="shared" si="3"/>
        <v>1245900.21</v>
      </c>
      <c r="J13" s="366">
        <f t="shared" si="3"/>
        <v>1212482.2299999995</v>
      </c>
      <c r="K13" s="366">
        <f t="shared" si="3"/>
        <v>1351044.1600000001</v>
      </c>
      <c r="L13" s="366">
        <f t="shared" si="3"/>
        <v>1363149.5799999991</v>
      </c>
      <c r="M13" s="366">
        <f t="shared" si="3"/>
        <v>1539913.29</v>
      </c>
      <c r="N13" s="366">
        <f t="shared" si="3"/>
        <v>1420937.2699999996</v>
      </c>
      <c r="O13" s="366">
        <f t="shared" ref="O13" si="4">O8-O12</f>
        <v>1661879.4900000002</v>
      </c>
      <c r="P13" s="366">
        <f t="shared" si="2"/>
        <v>15029185.699999997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2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2"/>
        <v>0</v>
      </c>
    </row>
    <row r="16" spans="1:20" ht="18" customHeight="1">
      <c r="B16" s="124"/>
      <c r="C16" s="369" t="s">
        <v>118</v>
      </c>
      <c r="D16" s="367">
        <v>16005.5</v>
      </c>
      <c r="E16" s="367">
        <f>1784.79-7.67</f>
        <v>1777.12</v>
      </c>
      <c r="F16" s="367">
        <v>-0.21</v>
      </c>
      <c r="G16" s="367"/>
      <c r="H16" s="367"/>
      <c r="I16" s="367">
        <v>15.630000000000109</v>
      </c>
      <c r="J16" s="367"/>
      <c r="K16" s="367">
        <v>0.01</v>
      </c>
      <c r="L16" s="367">
        <v>0.75999999999476131</v>
      </c>
      <c r="M16" s="367"/>
      <c r="N16" s="367">
        <v>1216.820000000007</v>
      </c>
      <c r="O16" s="367"/>
      <c r="P16" s="364">
        <f t="shared" si="2"/>
        <v>19015.63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>
        <v>3850</v>
      </c>
      <c r="I17" s="367"/>
      <c r="J17" s="367">
        <v>26300</v>
      </c>
      <c r="K17" s="367"/>
      <c r="L17" s="367">
        <v>14000</v>
      </c>
      <c r="M17" s="367">
        <v>-2000</v>
      </c>
      <c r="N17" s="367">
        <v>9000</v>
      </c>
      <c r="O17" s="367">
        <v>-3200</v>
      </c>
      <c r="P17" s="364">
        <f t="shared" si="2"/>
        <v>47950</v>
      </c>
    </row>
    <row r="18" spans="2:16" ht="18" customHeight="1">
      <c r="B18" s="124"/>
      <c r="C18" s="372" t="s">
        <v>269</v>
      </c>
      <c r="D18" s="363">
        <f>SUM(D14:D17)</f>
        <v>16005.5</v>
      </c>
      <c r="E18" s="363">
        <f t="shared" ref="E18:N18" si="5">SUM(E14:E17)</f>
        <v>1777.12</v>
      </c>
      <c r="F18" s="363">
        <f t="shared" si="5"/>
        <v>-0.21</v>
      </c>
      <c r="G18" s="363">
        <f t="shared" si="5"/>
        <v>0</v>
      </c>
      <c r="H18" s="363">
        <f t="shared" si="5"/>
        <v>3850</v>
      </c>
      <c r="I18" s="363">
        <f t="shared" si="5"/>
        <v>15.630000000000109</v>
      </c>
      <c r="J18" s="363">
        <f t="shared" si="5"/>
        <v>26300</v>
      </c>
      <c r="K18" s="363">
        <f t="shared" si="5"/>
        <v>0.01</v>
      </c>
      <c r="L18" s="363">
        <f t="shared" si="5"/>
        <v>14000.759999999995</v>
      </c>
      <c r="M18" s="368">
        <f t="shared" si="5"/>
        <v>-2000</v>
      </c>
      <c r="N18" s="368">
        <f t="shared" si="5"/>
        <v>10216.820000000007</v>
      </c>
      <c r="O18" s="368">
        <f t="shared" ref="O18" si="6">SUM(O14:O17)</f>
        <v>-3200</v>
      </c>
      <c r="P18" s="364">
        <f t="shared" si="2"/>
        <v>66965.63</v>
      </c>
    </row>
    <row r="19" spans="2:16" ht="18" customHeight="1">
      <c r="B19" s="124"/>
      <c r="C19" s="386" t="s">
        <v>14</v>
      </c>
      <c r="D19" s="374">
        <f t="shared" ref="D19:O19" si="7">D13+D18</f>
        <v>1006457.4599999995</v>
      </c>
      <c r="E19" s="374">
        <f t="shared" si="7"/>
        <v>937168.40000000119</v>
      </c>
      <c r="F19" s="374">
        <f t="shared" si="7"/>
        <v>1012104.5800000001</v>
      </c>
      <c r="G19" s="374">
        <f t="shared" si="7"/>
        <v>1113227.8899999997</v>
      </c>
      <c r="H19" s="374">
        <f t="shared" si="7"/>
        <v>1186553.5499999998</v>
      </c>
      <c r="I19" s="374">
        <f t="shared" si="7"/>
        <v>1245915.8399999999</v>
      </c>
      <c r="J19" s="374">
        <f t="shared" si="7"/>
        <v>1238782.2299999995</v>
      </c>
      <c r="K19" s="374">
        <f t="shared" si="7"/>
        <v>1351044.1700000002</v>
      </c>
      <c r="L19" s="374">
        <f t="shared" si="7"/>
        <v>1377150.3399999992</v>
      </c>
      <c r="M19" s="374">
        <f t="shared" si="7"/>
        <v>1537913.29</v>
      </c>
      <c r="N19" s="374">
        <f t="shared" si="7"/>
        <v>1431154.0899999996</v>
      </c>
      <c r="O19" s="374">
        <f t="shared" si="7"/>
        <v>1658679.4900000002</v>
      </c>
      <c r="P19" s="382">
        <f>SUM(D19:O19)</f>
        <v>15096151.33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465">
        <f>D23/D8</f>
        <v>5.0035944111043638E-2</v>
      </c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الشهر'!$C$10:$AD$119,3,FALSE),0)</f>
        <v>0</v>
      </c>
      <c r="E22" s="362">
        <f>IFERROR(VLOOKUP(C22,'تقرير المصروفات حسب الشهر'!$C$135:$AD$244,3,FALSE),0)</f>
        <v>0</v>
      </c>
      <c r="F22" s="362">
        <v>0</v>
      </c>
      <c r="G22" s="362">
        <f>IFERROR(VLOOKUP(C22,'تقرير المصروفات حسب الشهر'!$C$387:$AD$495,3,FALSE),0)</f>
        <v>0</v>
      </c>
      <c r="H22" s="362">
        <f>IFERROR(VLOOKUP(C22,'تقرير المصروفات حسب الشهر'!$C$512:$AD$620,3,FALSE),0)</f>
        <v>0</v>
      </c>
      <c r="I22" s="362">
        <f>IFERROR(VLOOKUP(C22,'تقرير المصروفات حسب الشهر'!$C$637:$AD$746,3,FALSE),0)</f>
        <v>0</v>
      </c>
      <c r="J22" s="362">
        <f>IFERROR(VLOOKUP(C22,'تقرير المصروفات حسب الشهر'!$C$763:$AD$872,3,FALSE),0)</f>
        <v>0</v>
      </c>
      <c r="K22" s="362">
        <f>IFERROR(VLOOKUP(C22,'تقرير المصروفات حسب الشهر'!$C$890:$AD$999,3,FALSE),0)</f>
        <v>0</v>
      </c>
      <c r="L22" s="362">
        <f>IFERROR(VLOOKUP(C22,'تقرير المصروفات حسب الشهر'!$C$1016:$AD$1126,3,FALSE),0)</f>
        <v>0</v>
      </c>
      <c r="M22" s="376">
        <f>IFERROR(VLOOKUP(C22,'تقرير المصروفات حسب الشهر'!$C$1143:$AD$1254,3,FALSE),0)</f>
        <v>0</v>
      </c>
      <c r="N22" s="376">
        <f>IFERROR(VLOOKUP(C22,'تقرير المصروفات حسب الشهر'!$C$1270:$AD$1381,3,FALSE),0)</f>
        <v>0</v>
      </c>
      <c r="O22" s="376">
        <f>IFERROR(VLOOKUP(C22,'تقرير المصروفات حسب الشهر'!$C$1397:$AI$1512,3,FALSE),0)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الشهر'!$C$10:$AD$119,3,FALSE),0)</f>
        <v>247832.65</v>
      </c>
      <c r="E23" s="362">
        <f>IFERROR(VLOOKUP(C23,'تقرير المصروفات حسب الشهر'!$C$135:$AD$244,3,FALSE),0)</f>
        <v>252633.84999999998</v>
      </c>
      <c r="F23" s="362">
        <v>267258.58999999997</v>
      </c>
      <c r="G23" s="362">
        <f>IFERROR(VLOOKUP(C23,'تقرير المصروفات حسب الشهر'!$C$387:$AD$495,3,FALSE),0)</f>
        <v>268532.35000000003</v>
      </c>
      <c r="H23" s="362">
        <f>IFERROR(VLOOKUP(C23,'تقرير المصروفات حسب الشهر'!$C$512:$AD$620,3,FALSE),0)</f>
        <v>282215.70999999996</v>
      </c>
      <c r="I23" s="362">
        <f>IFERROR(VLOOKUP(C23,'تقرير المصروفات حسب الشهر'!$C$637:$AD$746,3,FALSE),0)</f>
        <v>301672.18</v>
      </c>
      <c r="J23" s="362">
        <f>IFERROR(VLOOKUP(C23,'تقرير المصروفات حسب الشهر'!$C$763:$AD$872,3,FALSE),0)</f>
        <v>324699.23</v>
      </c>
      <c r="K23" s="362">
        <f>IFERROR(VLOOKUP(C23,'تقرير المصروفات حسب الشهر'!$C$890:$AD$999,3,FALSE),0)</f>
        <v>323117.12</v>
      </c>
      <c r="L23" s="362">
        <f>IFERROR(VLOOKUP(C23,'تقرير المصروفات حسب الشهر'!$C$1016:$AD$1126,3,FALSE),0)</f>
        <v>366497.25</v>
      </c>
      <c r="M23" s="376">
        <f>IFERROR(VLOOKUP(C23,'تقرير المصروفات حسب الشهر'!$C$1143:$AD$1254,3,FALSE),0)</f>
        <v>370937.50999999995</v>
      </c>
      <c r="N23" s="557">
        <f>IFERROR(VLOOKUP(C23,'تقرير المصروفات حسب الشهر'!$C$1270:$AD$1381,3,FALSE),0)</f>
        <v>386501.24</v>
      </c>
      <c r="O23" s="376">
        <f>IFERROR(VLOOKUP(C23,'تقرير المصروفات حسب الشهر'!$C$1397:$AI$1512,3,FALSE),0)</f>
        <v>397777.67</v>
      </c>
      <c r="P23" s="364">
        <f t="shared" ref="P23:P86" si="8">SUM(D23:O23)</f>
        <v>3789675.3499999996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الشهر'!$C$10:$AD$119,3,FALSE),0)</f>
        <v>6809</v>
      </c>
      <c r="E24" s="362">
        <f>IFERROR(VLOOKUP(C24,'تقرير المصروفات حسب الشهر'!$C$135:$AD$244,3,FALSE),0)</f>
        <v>0</v>
      </c>
      <c r="F24" s="362">
        <v>5553</v>
      </c>
      <c r="G24" s="362">
        <f>IFERROR(VLOOKUP(C24,'تقرير المصروفات حسب الشهر'!$C$387:$AD$495,3,FALSE),0)</f>
        <v>0</v>
      </c>
      <c r="H24" s="362">
        <f>IFERROR(VLOOKUP(C24,'تقرير المصروفات حسب الشهر'!$C$512:$AD$620,3,FALSE),0)</f>
        <v>5902</v>
      </c>
      <c r="I24" s="362">
        <f>IFERROR(VLOOKUP(C24,'تقرير المصروفات حسب الشهر'!$C$637:$AD$746,3,FALSE),0)</f>
        <v>4084</v>
      </c>
      <c r="J24" s="362">
        <f>IFERROR(VLOOKUP(C24,'تقرير المصروفات حسب الشهر'!$C$763:$AD$872,3,FALSE),0)</f>
        <v>5313</v>
      </c>
      <c r="K24" s="362">
        <f>IFERROR(VLOOKUP(C24,'تقرير المصروفات حسب الشهر'!$C$890:$AD$999,3,FALSE),0)</f>
        <v>7215</v>
      </c>
      <c r="L24" s="362">
        <f>IFERROR(VLOOKUP(C24,'تقرير المصروفات حسب الشهر'!$C$1016:$AD$1126,3,FALSE),0)</f>
        <v>8346</v>
      </c>
      <c r="M24" s="376">
        <f>IFERROR(VLOOKUP(C24,'تقرير المصروفات حسب الشهر'!$C$1143:$AD$1254,3,FALSE),0)</f>
        <v>7871</v>
      </c>
      <c r="N24" s="557">
        <f>IFERROR(VLOOKUP(C24,'تقرير المصروفات حسب الشهر'!$C$1270:$AD$1381,3,FALSE),0)</f>
        <v>5587</v>
      </c>
      <c r="O24" s="376">
        <f>IFERROR(VLOOKUP(C24,'تقرير المصروفات حسب الشهر'!$C$1397:$AI$1512,3,FALSE),0)</f>
        <v>0</v>
      </c>
      <c r="P24" s="364">
        <f t="shared" si="8"/>
        <v>56680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الشهر'!$C$10:$AD$119,3,FALSE),0)</f>
        <v>200</v>
      </c>
      <c r="E25" s="362">
        <f>IFERROR(VLOOKUP(C25,'تقرير المصروفات حسب الشهر'!$C$135:$AD$244,3,FALSE),0)</f>
        <v>200</v>
      </c>
      <c r="F25" s="362">
        <v>200</v>
      </c>
      <c r="G25" s="362">
        <f>IFERROR(VLOOKUP(C25,'تقرير المصروفات حسب الشهر'!$C$387:$AD$495,3,FALSE),0)</f>
        <v>200</v>
      </c>
      <c r="H25" s="362">
        <f>IFERROR(VLOOKUP(C25,'تقرير المصروفات حسب الشهر'!$C$512:$AD$620,3,FALSE),0)</f>
        <v>0</v>
      </c>
      <c r="I25" s="362">
        <f>IFERROR(VLOOKUP(C25,'تقرير المصروفات حسب الشهر'!$C$637:$AD$746,3,FALSE),0)</f>
        <v>215</v>
      </c>
      <c r="J25" s="362">
        <f>IFERROR(VLOOKUP(C25,'تقرير المصروفات حسب الشهر'!$C$763:$AD$872,3,FALSE),0)</f>
        <v>0</v>
      </c>
      <c r="K25" s="362">
        <f>IFERROR(VLOOKUP(C25,'تقرير المصروفات حسب الشهر'!$C$890:$AD$999,3,FALSE),0)</f>
        <v>569</v>
      </c>
      <c r="L25" s="362">
        <f>IFERROR(VLOOKUP(C25,'تقرير المصروفات حسب الشهر'!$C$1016:$AD$1126,3,FALSE),0)</f>
        <v>490</v>
      </c>
      <c r="M25" s="376">
        <f>IFERROR(VLOOKUP(C25,'تقرير المصروفات حسب الشهر'!$C$1143:$AD$1254,3,FALSE),0)</f>
        <v>500</v>
      </c>
      <c r="N25" s="557">
        <f>IFERROR(VLOOKUP(C25,'تقرير المصروفات حسب الشهر'!$C$1270:$AD$1381,3,FALSE),0)</f>
        <v>842</v>
      </c>
      <c r="O25" s="376">
        <f>IFERROR(VLOOKUP(C25,'تقرير المصروفات حسب الشهر'!$C$1397:$AI$1512,3,FALSE),0)</f>
        <v>831</v>
      </c>
      <c r="P25" s="364">
        <f t="shared" si="8"/>
        <v>4247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الشهر'!$C$10:$AD$119,3,FALSE),0)</f>
        <v>500</v>
      </c>
      <c r="E26" s="362">
        <f>IFERROR(VLOOKUP(C26,'تقرير المصروفات حسب الشهر'!$C$135:$AD$244,3,FALSE),0)</f>
        <v>0</v>
      </c>
      <c r="F26" s="362">
        <v>350</v>
      </c>
      <c r="G26" s="362">
        <f>IFERROR(VLOOKUP(C26,'تقرير المصروفات حسب الشهر'!$C$387:$AD$495,3,FALSE),0)</f>
        <v>0</v>
      </c>
      <c r="H26" s="362">
        <f>IFERROR(VLOOKUP(C26,'تقرير المصروفات حسب الشهر'!$C$512:$AD$620,3,FALSE),0)</f>
        <v>0</v>
      </c>
      <c r="I26" s="362">
        <f>IFERROR(VLOOKUP(C26,'تقرير المصروفات حسب الشهر'!$C$637:$AD$746,3,FALSE),0)</f>
        <v>800</v>
      </c>
      <c r="J26" s="362">
        <f>IFERROR(VLOOKUP(C26,'تقرير المصروفات حسب الشهر'!$C$763:$AD$872,3,FALSE),0)</f>
        <v>0</v>
      </c>
      <c r="K26" s="362">
        <f>IFERROR(VLOOKUP(C26,'تقرير المصروفات حسب الشهر'!$C$890:$AD$999,3,FALSE),0)</f>
        <v>0</v>
      </c>
      <c r="L26" s="362">
        <f>IFERROR(VLOOKUP(C26,'تقرير المصروفات حسب الشهر'!$C$1016:$AD$1126,3,FALSE),0)</f>
        <v>0</v>
      </c>
      <c r="M26" s="376">
        <f>IFERROR(VLOOKUP(C26,'تقرير المصروفات حسب الشهر'!$C$1143:$AD$1254,3,FALSE),0)</f>
        <v>0</v>
      </c>
      <c r="N26" s="557">
        <f>IFERROR(VLOOKUP(C26,'تقرير المصروفات حسب الشهر'!$C$1270:$AD$1381,3,FALSE),0)</f>
        <v>400</v>
      </c>
      <c r="O26" s="376">
        <f>IFERROR(VLOOKUP(C26,'تقرير المصروفات حسب الشهر'!$C$1397:$AI$1512,3,FALSE),0)</f>
        <v>0</v>
      </c>
      <c r="P26" s="364">
        <f t="shared" si="8"/>
        <v>2050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الشهر'!$C$10:$AD$119,3,FALSE),0)</f>
        <v>100000</v>
      </c>
      <c r="E27" s="362">
        <f>IFERROR(VLOOKUP(C27,'تقرير المصروفات حسب الشهر'!$C$135:$AD$244,3,FALSE),0)</f>
        <v>100000</v>
      </c>
      <c r="F27" s="362">
        <v>100000</v>
      </c>
      <c r="G27" s="362">
        <f>IFERROR(VLOOKUP(C27,'تقرير المصروفات حسب الشهر'!$C$387:$AD$495,3,FALSE),0)</f>
        <v>100000</v>
      </c>
      <c r="H27" s="362">
        <f>IFERROR(VLOOKUP(C27,'تقرير المصروفات حسب الشهر'!$C$512:$AD$620,3,FALSE),0)</f>
        <v>100000</v>
      </c>
      <c r="I27" s="362">
        <f>IFERROR(VLOOKUP(C27,'تقرير المصروفات حسب الشهر'!$C$637:$AD$746,3,FALSE),0)</f>
        <v>100000</v>
      </c>
      <c r="J27" s="362">
        <f>IFERROR(VLOOKUP(C27,'تقرير المصروفات حسب الشهر'!$C$763:$AD$872,3,FALSE),0)</f>
        <v>100000</v>
      </c>
      <c r="K27" s="362">
        <f>IFERROR(VLOOKUP(C27,'تقرير المصروفات حسب الشهر'!$C$890:$AD$999,3,FALSE),0)</f>
        <v>100000</v>
      </c>
      <c r="L27" s="362">
        <f>IFERROR(VLOOKUP(C27,'تقرير المصروفات حسب الشهر'!$C$1016:$AD$1126,3,FALSE),0)</f>
        <v>100000</v>
      </c>
      <c r="M27" s="376">
        <f>IFERROR(VLOOKUP(C27,'تقرير المصروفات حسب الشهر'!$C$1143:$AD$1254,3,FALSE),0)</f>
        <v>100000</v>
      </c>
      <c r="N27" s="557">
        <f>IFERROR(VLOOKUP(C27,'تقرير المصروفات حسب الشهر'!$C$1270:$AD$1381,3,FALSE),0)</f>
        <v>170000</v>
      </c>
      <c r="O27" s="376">
        <f>IFERROR(VLOOKUP(C27,'تقرير المصروفات حسب الشهر'!$C$1397:$AI$1512,3,FALSE),0)</f>
        <v>170000</v>
      </c>
      <c r="P27" s="364">
        <f t="shared" si="8"/>
        <v>1340000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الشهر'!$C$10:$AD$119,3,FALSE),0)</f>
        <v>0</v>
      </c>
      <c r="E28" s="362">
        <f>IFERROR(VLOOKUP(C28,'تقرير المصروفات حسب الشهر'!$C$135:$AD$244,3,FALSE),0)</f>
        <v>0</v>
      </c>
      <c r="F28" s="362">
        <v>0</v>
      </c>
      <c r="G28" s="362">
        <f>IFERROR(VLOOKUP(C28,'تقرير المصروفات حسب الشهر'!$C$387:$AD$495,3,FALSE),0)</f>
        <v>0</v>
      </c>
      <c r="H28" s="362">
        <f>IFERROR(VLOOKUP(C28,'تقرير المصروفات حسب الشهر'!$C$512:$AD$620,3,FALSE),0)</f>
        <v>0</v>
      </c>
      <c r="I28" s="362">
        <f>IFERROR(VLOOKUP(C28,'تقرير المصروفات حسب الشهر'!$C$637:$AD$746,3,FALSE),0)</f>
        <v>0</v>
      </c>
      <c r="J28" s="362">
        <f>IFERROR(VLOOKUP(C28,'تقرير المصروفات حسب الشهر'!$C$763:$AD$872,3,FALSE),0)</f>
        <v>0</v>
      </c>
      <c r="K28" s="362">
        <f>IFERROR(VLOOKUP(C28,'تقرير المصروفات حسب الشهر'!$C$890:$AD$999,3,FALSE),0)</f>
        <v>0</v>
      </c>
      <c r="L28" s="362">
        <f>IFERROR(VLOOKUP(C28,'تقرير المصروفات حسب الشهر'!$C$1016:$AD$1126,3,FALSE),0)</f>
        <v>0</v>
      </c>
      <c r="M28" s="376">
        <f>IFERROR(VLOOKUP(C28,'تقرير المصروفات حسب الشهر'!$C$1143:$AD$1254,3,FALSE),0)</f>
        <v>0</v>
      </c>
      <c r="N28" s="376">
        <f>IFERROR(VLOOKUP(C28,'تقرير المصروفات حسب الشهر'!$C$1270:$AD$1381,3,FALSE),0)</f>
        <v>0</v>
      </c>
      <c r="O28" s="376">
        <f>IFERROR(VLOOKUP(C28,'تقرير المصروفات حسب الشهر'!$C$1397:$AI$1512,3,FALSE),0)</f>
        <v>0</v>
      </c>
      <c r="P28" s="364">
        <f t="shared" si="8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الشهر'!$C$10:$AD$119,3,FALSE),0)</f>
        <v>0</v>
      </c>
      <c r="E29" s="362">
        <f>IFERROR(VLOOKUP(C29,'تقرير المصروفات حسب الشهر'!$C$135:$AD$244,3,FALSE),0)</f>
        <v>0</v>
      </c>
      <c r="F29" s="362">
        <v>0</v>
      </c>
      <c r="G29" s="362">
        <f>IFERROR(VLOOKUP(C29,'تقرير المصروفات حسب الشهر'!$C$387:$AD$495,3,FALSE),0)</f>
        <v>0</v>
      </c>
      <c r="H29" s="362">
        <f>IFERROR(VLOOKUP(C29,'تقرير المصروفات حسب الشهر'!$C$512:$AD$620,3,FALSE),0)</f>
        <v>0</v>
      </c>
      <c r="I29" s="362">
        <f>IFERROR(VLOOKUP(C29,'تقرير المصروفات حسب الشهر'!$C$637:$AD$746,3,FALSE),0)</f>
        <v>0</v>
      </c>
      <c r="J29" s="362">
        <f>IFERROR(VLOOKUP(C29,'تقرير المصروفات حسب الشهر'!$C$763:$AD$872,3,FALSE),0)</f>
        <v>0</v>
      </c>
      <c r="K29" s="362">
        <f>IFERROR(VLOOKUP(C29,'تقرير المصروفات حسب الشهر'!$C$890:$AD$999,3,FALSE),0)</f>
        <v>0</v>
      </c>
      <c r="L29" s="362">
        <f>IFERROR(VLOOKUP(C29,'تقرير المصروفات حسب الشهر'!$C$1016:$AD$1126,3,FALSE),0)</f>
        <v>0</v>
      </c>
      <c r="M29" s="376">
        <f>IFERROR(VLOOKUP(C29,'تقرير المصروفات حسب الشهر'!$C$1143:$AD$1254,3,FALSE),0)</f>
        <v>0</v>
      </c>
      <c r="N29" s="376">
        <f>IFERROR(VLOOKUP(C29,'تقرير المصروفات حسب الشهر'!$C$1270:$AD$1381,3,FALSE),0)</f>
        <v>0</v>
      </c>
      <c r="O29" s="376">
        <f>IFERROR(VLOOKUP(C29,'تقرير المصروفات حسب الشهر'!$C$1397:$AI$1512,3,FALSE),0)</f>
        <v>0</v>
      </c>
      <c r="P29" s="364">
        <f t="shared" si="8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الشهر'!$C$10:$AD$119,3,FALSE),0)</f>
        <v>0</v>
      </c>
      <c r="E30" s="362">
        <f>IFERROR(VLOOKUP(C30,'تقرير المصروفات حسب الشهر'!$C$135:$AD$244,3,FALSE),0)</f>
        <v>65</v>
      </c>
      <c r="F30" s="362">
        <v>925.25</v>
      </c>
      <c r="G30" s="362">
        <f>IFERROR(VLOOKUP(C30,'تقرير المصروفات حسب الشهر'!$C$387:$AD$495,3,FALSE),0)</f>
        <v>65</v>
      </c>
      <c r="H30" s="362">
        <f>IFERROR(VLOOKUP(C30,'تقرير المصروفات حسب الشهر'!$C$512:$AD$620,3,FALSE),0)</f>
        <v>0</v>
      </c>
      <c r="I30" s="362">
        <f>IFERROR(VLOOKUP(C30,'تقرير المصروفات حسب الشهر'!$C$637:$AD$746,3,FALSE),0)</f>
        <v>988.25</v>
      </c>
      <c r="J30" s="362">
        <f>IFERROR(VLOOKUP(C30,'تقرير المصروفات حسب الشهر'!$C$763:$AD$872,3,FALSE),0)</f>
        <v>70</v>
      </c>
      <c r="K30" s="362">
        <f>IFERROR(VLOOKUP(C30,'تقرير المصروفات حسب الشهر'!$C$890:$AD$999,3,FALSE),0)</f>
        <v>0</v>
      </c>
      <c r="L30" s="362">
        <f>IFERROR(VLOOKUP(C30,'تقرير المصروفات حسب الشهر'!$C$1016:$AD$1126,3,FALSE),0)</f>
        <v>80</v>
      </c>
      <c r="M30" s="376">
        <f>IFERROR(VLOOKUP(C30,'تقرير المصروفات حسب الشهر'!$C$1143:$AD$1254,3,FALSE),0)</f>
        <v>967.5</v>
      </c>
      <c r="N30" s="376">
        <f>IFERROR(VLOOKUP(C30,'تقرير المصروفات حسب الشهر'!$C$1270:$AD$1381,3,FALSE),0)</f>
        <v>0</v>
      </c>
      <c r="O30" s="376">
        <f>IFERROR(VLOOKUP(C30,'تقرير المصروفات حسب الشهر'!$C$1397:$AI$1512,3,FALSE),0)</f>
        <v>1200</v>
      </c>
      <c r="P30" s="364">
        <f t="shared" si="8"/>
        <v>4361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الشهر'!$C$10:$AD$119,3,FALSE),0)</f>
        <v>783.54</v>
      </c>
      <c r="E31" s="362">
        <f>IFERROR(VLOOKUP(C31,'تقرير المصروفات حسب الشهر'!$C$135:$AD$244,3,FALSE),0)</f>
        <v>783.54</v>
      </c>
      <c r="F31" s="362">
        <v>783.54</v>
      </c>
      <c r="G31" s="362">
        <f>IFERROR(VLOOKUP(C31,'تقرير المصروفات حسب الشهر'!$C$387:$AD$495,3,FALSE),0)</f>
        <v>791.98</v>
      </c>
      <c r="H31" s="362">
        <f>IFERROR(VLOOKUP(C31,'تقرير المصروفات حسب الشهر'!$C$512:$AD$620,3,FALSE),0)</f>
        <v>721.98</v>
      </c>
      <c r="I31" s="362">
        <f>IFERROR(VLOOKUP(C31,'تقرير المصروفات حسب الشهر'!$C$637:$AD$746,3,FALSE),0)</f>
        <v>721.98</v>
      </c>
      <c r="J31" s="362">
        <f>IFERROR(VLOOKUP(C31,'تقرير المصروفات حسب الشهر'!$C$763:$AD$872,3,FALSE),0)</f>
        <v>721.98</v>
      </c>
      <c r="K31" s="362">
        <f>IFERROR(VLOOKUP(C31,'تقرير المصروفات حسب الشهر'!$C$890:$AD$999,3,FALSE),0)</f>
        <v>721.98</v>
      </c>
      <c r="L31" s="362">
        <f>IFERROR(VLOOKUP(C31,'تقرير المصروفات حسب الشهر'!$C$1016:$AD$1126,3,FALSE),0)</f>
        <v>871.98</v>
      </c>
      <c r="M31" s="376">
        <f>IFERROR(VLOOKUP(C31,'تقرير المصروفات حسب الشهر'!$C$1143:$AD$1254,3,FALSE),0)</f>
        <v>721.98</v>
      </c>
      <c r="N31" s="557">
        <f>IFERROR(VLOOKUP(C31,'تقرير المصروفات حسب الشهر'!$C$1270:$AD$1381,3,FALSE),0)</f>
        <v>1071.98</v>
      </c>
      <c r="O31" s="376">
        <f>IFERROR(VLOOKUP(C31,'تقرير المصروفات حسب الشهر'!$C$1397:$AI$1512,3,FALSE),0)</f>
        <v>721.98</v>
      </c>
      <c r="P31" s="364">
        <f t="shared" si="8"/>
        <v>9418.4399999999969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الشهر'!$C$10:$AD$119,3,FALSE),0)</f>
        <v>0</v>
      </c>
      <c r="E32" s="362">
        <f>IFERROR(VLOOKUP(C32,'تقرير المصروفات حسب الشهر'!$C$135:$AD$244,3,FALSE),0)</f>
        <v>0</v>
      </c>
      <c r="F32" s="362">
        <v>0</v>
      </c>
      <c r="G32" s="362">
        <f>IFERROR(VLOOKUP(C32,'تقرير المصروفات حسب الشهر'!$C$387:$AD$495,3,FALSE),0)</f>
        <v>0</v>
      </c>
      <c r="H32" s="362">
        <f>IFERROR(VLOOKUP(C32,'تقرير المصروفات حسب الشهر'!$C$512:$AD$620,3,FALSE),0)</f>
        <v>0</v>
      </c>
      <c r="I32" s="362">
        <f>IFERROR(VLOOKUP(C32,'تقرير المصروفات حسب الشهر'!$C$637:$AD$746,3,FALSE),0)</f>
        <v>0</v>
      </c>
      <c r="J32" s="362">
        <f>IFERROR(VLOOKUP(C32,'تقرير المصروفات حسب الشهر'!$C$763:$AD$872,3,FALSE),0)</f>
        <v>0</v>
      </c>
      <c r="K32" s="362">
        <f>IFERROR(VLOOKUP(C32,'تقرير المصروفات حسب الشهر'!$C$890:$AD$999,3,FALSE),0)</f>
        <v>0</v>
      </c>
      <c r="L32" s="362">
        <f>IFERROR(VLOOKUP(C32,'تقرير المصروفات حسب الشهر'!$C$1016:$AD$1126,3,FALSE),0)</f>
        <v>0</v>
      </c>
      <c r="M32" s="376">
        <f>IFERROR(VLOOKUP(C32,'تقرير المصروفات حسب الشهر'!$C$1143:$AD$1254,3,FALSE),0)</f>
        <v>0</v>
      </c>
      <c r="N32" s="376">
        <f>IFERROR(VLOOKUP(C32,'تقرير المصروفات حسب الشهر'!$C$1270:$AD$1381,3,FALSE),0)</f>
        <v>0</v>
      </c>
      <c r="O32" s="376">
        <f>IFERROR(VLOOKUP(C32,'تقرير المصروفات حسب الشهر'!$C$1397:$AI$1512,3,FALSE),0)</f>
        <v>0</v>
      </c>
      <c r="P32" s="364">
        <f t="shared" si="8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الشهر'!$C$10:$AD$119,3,FALSE),0)</f>
        <v>1500</v>
      </c>
      <c r="E33" s="362">
        <f>IFERROR(VLOOKUP(C33,'تقرير المصروفات حسب الشهر'!$C$135:$AD$244,3,FALSE),0)</f>
        <v>1400</v>
      </c>
      <c r="F33" s="362">
        <v>1400</v>
      </c>
      <c r="G33" s="362">
        <f>IFERROR(VLOOKUP(C33,'تقرير المصروفات حسب الشهر'!$C$387:$AD$495,3,FALSE),0)</f>
        <v>1400</v>
      </c>
      <c r="H33" s="362">
        <f>IFERROR(VLOOKUP(C33,'تقرير المصروفات حسب الشهر'!$C$512:$AD$620,3,FALSE),0)</f>
        <v>2200</v>
      </c>
      <c r="I33" s="362">
        <f>IFERROR(VLOOKUP(C33,'تقرير المصروفات حسب الشهر'!$C$637:$AD$746,3,FALSE),0)</f>
        <v>1400</v>
      </c>
      <c r="J33" s="362">
        <f>IFERROR(VLOOKUP(C33,'تقرير المصروفات حسب الشهر'!$C$763:$AD$872,3,FALSE),0)</f>
        <v>2200</v>
      </c>
      <c r="K33" s="362">
        <f>IFERROR(VLOOKUP(C33,'تقرير المصروفات حسب الشهر'!$C$890:$AD$999,3,FALSE),0)</f>
        <v>0</v>
      </c>
      <c r="L33" s="362">
        <f>IFERROR(VLOOKUP(C33,'تقرير المصروفات حسب الشهر'!$C$1016:$AD$1126,3,FALSE),0)</f>
        <v>500</v>
      </c>
      <c r="M33" s="376">
        <f>IFERROR(VLOOKUP(C33,'تقرير المصروفات حسب الشهر'!$C$1143:$AD$1254,3,FALSE),0)</f>
        <v>0</v>
      </c>
      <c r="N33" s="557">
        <f>IFERROR(VLOOKUP(C33,'تقرير المصروفات حسب الشهر'!$C$1270:$AD$1381,3,FALSE),0)</f>
        <v>1150</v>
      </c>
      <c r="O33" s="376">
        <f>IFERROR(VLOOKUP(C33,'تقرير المصروفات حسب الشهر'!$C$1397:$AI$1512,3,FALSE),0)</f>
        <v>0</v>
      </c>
      <c r="P33" s="364">
        <f t="shared" si="8"/>
        <v>13150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الشهر'!$C$10:$AD$119,3,FALSE),0)</f>
        <v>0</v>
      </c>
      <c r="E34" s="362">
        <f>IFERROR(VLOOKUP(C34,'تقرير المصروفات حسب الشهر'!$C$135:$AD$244,3,FALSE),0)</f>
        <v>0</v>
      </c>
      <c r="F34" s="362">
        <v>0</v>
      </c>
      <c r="G34" s="362">
        <f>IFERROR(VLOOKUP(C34,'تقرير المصروفات حسب الشهر'!$C$387:$AD$495,3,FALSE),0)</f>
        <v>0</v>
      </c>
      <c r="H34" s="362">
        <f>IFERROR(VLOOKUP(C34,'تقرير المصروفات حسب الشهر'!$C$512:$AD$620,3,FALSE),0)</f>
        <v>0</v>
      </c>
      <c r="I34" s="362">
        <f>IFERROR(VLOOKUP(C34,'تقرير المصروفات حسب الشهر'!$C$637:$AD$746,3,FALSE),0)</f>
        <v>0</v>
      </c>
      <c r="J34" s="362">
        <f>IFERROR(VLOOKUP(C34,'تقرير المصروفات حسب الشهر'!$C$763:$AD$872,3,FALSE),0)</f>
        <v>0</v>
      </c>
      <c r="K34" s="362">
        <f>IFERROR(VLOOKUP(C34,'تقرير المصروفات حسب الشهر'!$C$890:$AD$999,3,FALSE),0)</f>
        <v>0</v>
      </c>
      <c r="L34" s="362">
        <f>IFERROR(VLOOKUP(C34,'تقرير المصروفات حسب الشهر'!$C$1016:$AD$1126,3,FALSE),0)</f>
        <v>0</v>
      </c>
      <c r="M34" s="376">
        <f>IFERROR(VLOOKUP(C34,'تقرير المصروفات حسب الشهر'!$C$1143:$AD$1254,3,FALSE),0)</f>
        <v>0</v>
      </c>
      <c r="N34" s="376">
        <f>IFERROR(VLOOKUP(C34,'تقرير المصروفات حسب الشهر'!$C$1270:$AD$1381,3,FALSE),0)</f>
        <v>0</v>
      </c>
      <c r="O34" s="376">
        <f>IFERROR(VLOOKUP(C34,'تقرير المصروفات حسب الشهر'!$C$1397:$AI$1512,3,FALSE),0)</f>
        <v>0</v>
      </c>
      <c r="P34" s="364">
        <f t="shared" si="8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الشهر'!$C$10:$AD$119,3,FALSE),0)</f>
        <v>2830</v>
      </c>
      <c r="E35" s="362">
        <f>IFERROR(VLOOKUP(C35,'تقرير المصروفات حسب الشهر'!$C$135:$AD$244,3,FALSE),0)</f>
        <v>13450</v>
      </c>
      <c r="F35" s="362">
        <v>2500</v>
      </c>
      <c r="G35" s="362">
        <f>IFERROR(VLOOKUP(C35,'تقرير المصروفات حسب الشهر'!$C$387:$AD$495,3,FALSE),0)</f>
        <v>2800</v>
      </c>
      <c r="H35" s="362">
        <f>IFERROR(VLOOKUP(C35,'تقرير المصروفات حسب الشهر'!$C$512:$AD$620,3,FALSE),0)</f>
        <v>50</v>
      </c>
      <c r="I35" s="362">
        <f>IFERROR(VLOOKUP(C35,'تقرير المصروفات حسب الشهر'!$C$637:$AD$746,3,FALSE),0)</f>
        <v>2500</v>
      </c>
      <c r="J35" s="362">
        <f>IFERROR(VLOOKUP(C35,'تقرير المصروفات حسب الشهر'!$C$763:$AD$872,3,FALSE),0)</f>
        <v>2500</v>
      </c>
      <c r="K35" s="362">
        <f>IFERROR(VLOOKUP(C35,'تقرير المصروفات حسب الشهر'!$C$890:$AD$999,3,FALSE),0)</f>
        <v>2500</v>
      </c>
      <c r="L35" s="362">
        <f>IFERROR(VLOOKUP(C35,'تقرير المصروفات حسب الشهر'!$C$1016:$AD$1126,3,FALSE),0)</f>
        <v>2500</v>
      </c>
      <c r="M35" s="376">
        <f>IFERROR(VLOOKUP(C35,'تقرير المصروفات حسب الشهر'!$C$1143:$AD$1254,3,FALSE),0)</f>
        <v>2500</v>
      </c>
      <c r="N35" s="557">
        <f>IFERROR(VLOOKUP(C35,'تقرير المصروفات حسب الشهر'!$C$1270:$AD$1381,3,FALSE),0)</f>
        <v>7410</v>
      </c>
      <c r="O35" s="376">
        <f>IFERROR(VLOOKUP(C35,'تقرير المصروفات حسب الشهر'!$C$1397:$AI$1512,3,FALSE),0)</f>
        <v>8500</v>
      </c>
      <c r="P35" s="364">
        <f t="shared" si="8"/>
        <v>50040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الشهر'!$C$10:$AD$119,3,FALSE),0)</f>
        <v>0</v>
      </c>
      <c r="E36" s="362">
        <f>IFERROR(VLOOKUP(C36,'تقرير المصروفات حسب الشهر'!$C$135:$AD$244,3,FALSE),0)</f>
        <v>0</v>
      </c>
      <c r="F36" s="362">
        <v>0</v>
      </c>
      <c r="G36" s="362">
        <f>IFERROR(VLOOKUP(C36,'تقرير المصروفات حسب الشهر'!$C$387:$AD$495,3,FALSE),0)</f>
        <v>1500</v>
      </c>
      <c r="H36" s="362">
        <f>IFERROR(VLOOKUP(C36,'تقرير المصروفات حسب الشهر'!$C$512:$AD$620,3,FALSE),0)</f>
        <v>0</v>
      </c>
      <c r="I36" s="362">
        <f>IFERROR(VLOOKUP(C36,'تقرير المصروفات حسب الشهر'!$C$637:$AD$746,3,FALSE),0)</f>
        <v>770</v>
      </c>
      <c r="J36" s="362">
        <f>IFERROR(VLOOKUP(C36,'تقرير المصروفات حسب الشهر'!$C$763:$AD$872,3,FALSE),0)</f>
        <v>0</v>
      </c>
      <c r="K36" s="362">
        <f>IFERROR(VLOOKUP(C36,'تقرير المصروفات حسب الشهر'!$C$890:$AD$999,3,FALSE),0)</f>
        <v>3080</v>
      </c>
      <c r="L36" s="362">
        <f>IFERROR(VLOOKUP(C36,'تقرير المصروفات حسب الشهر'!$C$1016:$AD$1126,3,FALSE),0)</f>
        <v>0</v>
      </c>
      <c r="M36" s="376">
        <f>IFERROR(VLOOKUP(C36,'تقرير المصروفات حسب الشهر'!$C$1143:$AD$1254,3,FALSE),0)</f>
        <v>1540</v>
      </c>
      <c r="N36" s="376">
        <f>IFERROR(VLOOKUP(C36,'تقرير المصروفات حسب الشهر'!$C$1270:$AD$1381,3,FALSE),0)</f>
        <v>0</v>
      </c>
      <c r="O36" s="376">
        <f>IFERROR(VLOOKUP(C36,'تقرير المصروفات حسب الشهر'!$C$1397:$AI$1512,3,FALSE),0)</f>
        <v>2310</v>
      </c>
      <c r="P36" s="364">
        <f t="shared" si="8"/>
        <v>9200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الشهر'!$C$10:$AD$119,3,FALSE),0)</f>
        <v>2250</v>
      </c>
      <c r="E37" s="362">
        <f>IFERROR(VLOOKUP(C37,'تقرير المصروفات حسب الشهر'!$C$135:$AD$244,3,FALSE),0)</f>
        <v>0</v>
      </c>
      <c r="F37" s="362">
        <v>2250</v>
      </c>
      <c r="G37" s="362">
        <f>IFERROR(VLOOKUP(C37,'تقرير المصروفات حسب الشهر'!$C$387:$AD$495,3,FALSE),0)</f>
        <v>2250</v>
      </c>
      <c r="H37" s="362">
        <f>IFERROR(VLOOKUP(C37,'تقرير المصروفات حسب الشهر'!$C$512:$AD$620,3,FALSE),0)</f>
        <v>0</v>
      </c>
      <c r="I37" s="362">
        <f>IFERROR(VLOOKUP(C37,'تقرير المصروفات حسب الشهر'!$C$637:$AD$746,3,FALSE),0)</f>
        <v>9000</v>
      </c>
      <c r="J37" s="362">
        <f>IFERROR(VLOOKUP(C37,'تقرير المصروفات حسب الشهر'!$C$763:$AD$872,3,FALSE),0)</f>
        <v>0</v>
      </c>
      <c r="K37" s="362">
        <f>IFERROR(VLOOKUP(C37,'تقرير المصروفات حسب الشهر'!$C$890:$AD$999,3,FALSE),0)</f>
        <v>4500</v>
      </c>
      <c r="L37" s="362">
        <f>IFERROR(VLOOKUP(C37,'تقرير المصروفات حسب الشهر'!$C$1016:$AD$1126,3,FALSE),0)</f>
        <v>0</v>
      </c>
      <c r="M37" s="376">
        <f>IFERROR(VLOOKUP(C37,'تقرير المصروفات حسب الشهر'!$C$1143:$AD$1254,3,FALSE),0)</f>
        <v>4500</v>
      </c>
      <c r="N37" s="376">
        <f>IFERROR(VLOOKUP(C37,'تقرير المصروفات حسب الشهر'!$C$1270:$AD$1381,3,FALSE),0)</f>
        <v>0</v>
      </c>
      <c r="O37" s="376">
        <f>IFERROR(VLOOKUP(C37,'تقرير المصروفات حسب الشهر'!$C$1397:$AI$1512,3,FALSE),0)</f>
        <v>6780</v>
      </c>
      <c r="P37" s="364">
        <f t="shared" si="8"/>
        <v>31530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الشهر'!$C$10:$AD$119,3,FALSE),0)</f>
        <v>0</v>
      </c>
      <c r="E38" s="362">
        <f>IFERROR(VLOOKUP(C38,'تقرير المصروفات حسب الشهر'!$C$135:$AD$244,3,FALSE),0)</f>
        <v>0</v>
      </c>
      <c r="F38" s="362">
        <v>0</v>
      </c>
      <c r="G38" s="362">
        <f>IFERROR(VLOOKUP(C38,'تقرير المصروفات حسب الشهر'!$C$387:$AD$495,3,FALSE),0)</f>
        <v>0</v>
      </c>
      <c r="H38" s="362">
        <f>IFERROR(VLOOKUP(C38,'تقرير المصروفات حسب الشهر'!$C$512:$AD$620,3,FALSE),0)</f>
        <v>0</v>
      </c>
      <c r="I38" s="362">
        <f>IFERROR(VLOOKUP(C38,'تقرير المصروفات حسب الشهر'!$C$637:$AD$746,3,FALSE),0)</f>
        <v>0</v>
      </c>
      <c r="J38" s="362">
        <f>IFERROR(VLOOKUP(C38,'تقرير المصروفات حسب الشهر'!$C$763:$AD$872,3,FALSE),0)</f>
        <v>0</v>
      </c>
      <c r="K38" s="362">
        <f>IFERROR(VLOOKUP(C38,'تقرير المصروفات حسب الشهر'!$C$890:$AD$999,3,FALSE),0)</f>
        <v>0</v>
      </c>
      <c r="L38" s="362">
        <f>IFERROR(VLOOKUP(C38,'تقرير المصروفات حسب الشهر'!$C$1016:$AD$1126,3,FALSE),0)</f>
        <v>0</v>
      </c>
      <c r="M38" s="376">
        <f>IFERROR(VLOOKUP(C38,'تقرير المصروفات حسب الشهر'!$C$1143:$AD$1254,3,FALSE),0)</f>
        <v>0</v>
      </c>
      <c r="N38" s="376">
        <f>IFERROR(VLOOKUP(C38,'تقرير المصروفات حسب الشهر'!$C$1270:$AD$1381,3,FALSE),0)</f>
        <v>0</v>
      </c>
      <c r="O38" s="376">
        <f>IFERROR(VLOOKUP(C38,'تقرير المصروفات حسب الشهر'!$C$1397:$AI$1512,3,FALSE),0)</f>
        <v>0</v>
      </c>
      <c r="P38" s="364">
        <f t="shared" si="8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الشهر'!$C$10:$AD$119,3,FALSE),0)</f>
        <v>4422.5</v>
      </c>
      <c r="E39" s="362">
        <f>IFERROR(VLOOKUP(C39,'تقرير المصروفات حسب الشهر'!$C$135:$AD$244,3,FALSE),0)</f>
        <v>4442.1000000000004</v>
      </c>
      <c r="F39" s="362">
        <v>3952.5</v>
      </c>
      <c r="G39" s="362">
        <f>IFERROR(VLOOKUP(C39,'تقرير المصروفات حسب الشهر'!$C$387:$AD$495,3,FALSE),0)</f>
        <v>3436.9</v>
      </c>
      <c r="H39" s="362">
        <f>IFERROR(VLOOKUP(C39,'تقرير المصروفات حسب الشهر'!$C$512:$AD$620,3,FALSE),0)</f>
        <v>4803</v>
      </c>
      <c r="I39" s="362">
        <f>IFERROR(VLOOKUP(C39,'تقرير المصروفات حسب الشهر'!$C$637:$AD$746,3,FALSE),0)</f>
        <v>3787</v>
      </c>
      <c r="J39" s="362">
        <f>IFERROR(VLOOKUP(C39,'تقرير المصروفات حسب الشهر'!$C$763:$AD$872,3,FALSE),0)</f>
        <v>2478</v>
      </c>
      <c r="K39" s="362">
        <f>IFERROR(VLOOKUP(C39,'تقرير المصروفات حسب الشهر'!$C$890:$AD$999,3,FALSE),0)</f>
        <v>2070</v>
      </c>
      <c r="L39" s="362">
        <f>IFERROR(VLOOKUP(C39,'تقرير المصروفات حسب الشهر'!$C$1016:$AD$1126,3,FALSE),0)</f>
        <v>1866</v>
      </c>
      <c r="M39" s="376">
        <f>IFERROR(VLOOKUP(C39,'تقرير المصروفات حسب الشهر'!$C$1143:$AD$1254,3,FALSE),0)</f>
        <v>1382</v>
      </c>
      <c r="N39" s="557">
        <f>IFERROR(VLOOKUP(C39,'تقرير المصروفات حسب الشهر'!$C$1270:$AD$1381,3,FALSE),0)</f>
        <v>2906</v>
      </c>
      <c r="O39" s="376">
        <f>IFERROR(VLOOKUP(C39,'تقرير المصروفات حسب الشهر'!$C$1397:$AI$1512,3,FALSE),0)</f>
        <v>4605</v>
      </c>
      <c r="P39" s="364">
        <f t="shared" si="8"/>
        <v>40151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الشهر'!$C$10:$AD$119,3,FALSE),0)</f>
        <v>250</v>
      </c>
      <c r="E40" s="362">
        <f>IFERROR(VLOOKUP(C40,'تقرير المصروفات حسب الشهر'!$C$135:$AD$244,3,FALSE),0)</f>
        <v>1072.73</v>
      </c>
      <c r="F40" s="362">
        <v>700</v>
      </c>
      <c r="G40" s="362">
        <f>IFERROR(VLOOKUP(C40,'تقرير المصروفات حسب الشهر'!$C$387:$AD$495,3,FALSE),0)</f>
        <v>0</v>
      </c>
      <c r="H40" s="362">
        <f>IFERROR(VLOOKUP(C40,'تقرير المصروفات حسب الشهر'!$C$512:$AD$620,3,FALSE),0)</f>
        <v>67.13</v>
      </c>
      <c r="I40" s="362">
        <f>IFERROR(VLOOKUP(C40,'تقرير المصروفات حسب الشهر'!$C$637:$AD$746,3,FALSE),0)</f>
        <v>0</v>
      </c>
      <c r="J40" s="362">
        <f>IFERROR(VLOOKUP(C40,'تقرير المصروفات حسب الشهر'!$C$763:$AD$872,3,FALSE),0)</f>
        <v>0</v>
      </c>
      <c r="K40" s="362">
        <f>IFERROR(VLOOKUP(C40,'تقرير المصروفات حسب الشهر'!$C$890:$AD$999,3,FALSE),0)</f>
        <v>1690</v>
      </c>
      <c r="L40" s="362">
        <f>IFERROR(VLOOKUP(C40,'تقرير المصروفات حسب الشهر'!$C$1016:$AD$1126,3,FALSE),0)</f>
        <v>5000</v>
      </c>
      <c r="M40" s="376">
        <f>IFERROR(VLOOKUP(C40,'تقرير المصروفات حسب الشهر'!$C$1143:$AD$1254,3,FALSE),0)</f>
        <v>100</v>
      </c>
      <c r="N40" s="376">
        <f>IFERROR(VLOOKUP(C40,'تقرير المصروفات حسب الشهر'!$C$1270:$AD$1381,3,FALSE),0)</f>
        <v>0</v>
      </c>
      <c r="O40" s="376">
        <f>IFERROR(VLOOKUP(C40,'تقرير المصروفات حسب الشهر'!$C$1397:$AI$1512,3,FALSE),0)</f>
        <v>0</v>
      </c>
      <c r="P40" s="364">
        <f t="shared" si="8"/>
        <v>8879.86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الشهر'!$C$10:$AD$119,3,FALSE),0)</f>
        <v>0</v>
      </c>
      <c r="E41" s="362">
        <f>IFERROR(VLOOKUP(C41,'تقرير المصروفات حسب الشهر'!$C$135:$AD$244,3,FALSE),0)</f>
        <v>0</v>
      </c>
      <c r="F41" s="362">
        <v>0</v>
      </c>
      <c r="G41" s="362">
        <f>IFERROR(VLOOKUP(C41,'تقرير المصروفات حسب الشهر'!$C$387:$AD$495,3,FALSE),0)</f>
        <v>0</v>
      </c>
      <c r="H41" s="362">
        <f>IFERROR(VLOOKUP(C41,'تقرير المصروفات حسب الشهر'!$C$512:$AD$620,3,FALSE),0)</f>
        <v>42.1</v>
      </c>
      <c r="I41" s="362">
        <f>IFERROR(VLOOKUP(C41,'تقرير المصروفات حسب الشهر'!$C$637:$AD$746,3,FALSE),0)</f>
        <v>0</v>
      </c>
      <c r="J41" s="362">
        <f>IFERROR(VLOOKUP(C41,'تقرير المصروفات حسب الشهر'!$C$763:$AD$872,3,FALSE),0)</f>
        <v>0</v>
      </c>
      <c r="K41" s="362">
        <f>IFERROR(VLOOKUP(C41,'تقرير المصروفات حسب الشهر'!$C$890:$AD$999,3,FALSE),0)</f>
        <v>0</v>
      </c>
      <c r="L41" s="362">
        <f>IFERROR(VLOOKUP(C41,'تقرير المصروفات حسب الشهر'!$C$1016:$AD$1126,3,FALSE),0)</f>
        <v>0</v>
      </c>
      <c r="M41" s="376">
        <f>IFERROR(VLOOKUP(C41,'تقرير المصروفات حسب الشهر'!$C$1143:$AD$1254,3,FALSE),0)</f>
        <v>0</v>
      </c>
      <c r="N41" s="376">
        <f>IFERROR(VLOOKUP(C41,'تقرير المصروفات حسب الشهر'!$C$1270:$AD$1381,3,FALSE),0)</f>
        <v>0</v>
      </c>
      <c r="O41" s="376">
        <f>IFERROR(VLOOKUP(C41,'تقرير المصروفات حسب الشهر'!$C$1397:$AI$1512,3,FALSE),0)</f>
        <v>0</v>
      </c>
      <c r="P41" s="364">
        <f t="shared" si="8"/>
        <v>42.1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الشهر'!$C$10:$AD$119,3,FALSE),0)</f>
        <v>0</v>
      </c>
      <c r="E42" s="362">
        <f>IFERROR(VLOOKUP(C42,'تقرير المصروفات حسب الشهر'!$C$135:$AD$244,3,FALSE),0)</f>
        <v>0</v>
      </c>
      <c r="F42" s="362">
        <v>0</v>
      </c>
      <c r="G42" s="362">
        <f>IFERROR(VLOOKUP(C42,'تقرير المصروفات حسب الشهر'!$C$387:$AD$495,3,FALSE),0)</f>
        <v>165</v>
      </c>
      <c r="H42" s="362">
        <f>IFERROR(VLOOKUP(C42,'تقرير المصروفات حسب الشهر'!$C$512:$AD$620,3,FALSE),0)</f>
        <v>115</v>
      </c>
      <c r="I42" s="362">
        <f>IFERROR(VLOOKUP(C42,'تقرير المصروفات حسب الشهر'!$C$637:$AD$746,3,FALSE),0)</f>
        <v>0</v>
      </c>
      <c r="J42" s="362">
        <f>IFERROR(VLOOKUP(C42,'تقرير المصروفات حسب الشهر'!$C$763:$AD$872,3,FALSE),0)</f>
        <v>0</v>
      </c>
      <c r="K42" s="362">
        <f>IFERROR(VLOOKUP(C42,'تقرير المصروفات حسب الشهر'!$C$890:$AD$999,3,FALSE),0)</f>
        <v>0</v>
      </c>
      <c r="L42" s="362">
        <f>IFERROR(VLOOKUP(C42,'تقرير المصروفات حسب الشهر'!$C$1016:$AD$1126,3,FALSE),0)</f>
        <v>0</v>
      </c>
      <c r="M42" s="376">
        <f>IFERROR(VLOOKUP(C42,'تقرير المصروفات حسب الشهر'!$C$1143:$AD$1254,3,FALSE),0)</f>
        <v>85</v>
      </c>
      <c r="N42" s="376">
        <f>IFERROR(VLOOKUP(C42,'تقرير المصروفات حسب الشهر'!$C$1270:$AD$1381,3,FALSE),0)</f>
        <v>0</v>
      </c>
      <c r="O42" s="376">
        <f>IFERROR(VLOOKUP(C42,'تقرير المصروفات حسب الشهر'!$C$1397:$AI$1512,3,FALSE),0)</f>
        <v>85</v>
      </c>
      <c r="P42" s="364">
        <f t="shared" si="8"/>
        <v>450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الشهر'!$C$10:$AD$119,3,FALSE),0)</f>
        <v>0</v>
      </c>
      <c r="E43" s="362">
        <f>IFERROR(VLOOKUP(C43,'تقرير المصروفات حسب الشهر'!$C$135:$AD$244,3,FALSE),0)</f>
        <v>0</v>
      </c>
      <c r="F43" s="362">
        <v>0</v>
      </c>
      <c r="G43" s="362">
        <f>IFERROR(VLOOKUP(C43,'تقرير المصروفات حسب الشهر'!$C$387:$AD$495,3,FALSE),0)</f>
        <v>0</v>
      </c>
      <c r="H43" s="362">
        <f>IFERROR(VLOOKUP(C43,'تقرير المصروفات حسب الشهر'!$C$512:$AD$620,3,FALSE),0)</f>
        <v>0</v>
      </c>
      <c r="I43" s="362">
        <f>IFERROR(VLOOKUP(C43,'تقرير المصروفات حسب الشهر'!$C$637:$AD$746,3,FALSE),0)</f>
        <v>0</v>
      </c>
      <c r="J43" s="362">
        <f>IFERROR(VLOOKUP(C43,'تقرير المصروفات حسب الشهر'!$C$763:$AD$872,3,FALSE),0)</f>
        <v>0</v>
      </c>
      <c r="K43" s="362">
        <f>IFERROR(VLOOKUP(C43,'تقرير المصروفات حسب الشهر'!$C$890:$AD$999,3,FALSE),0)</f>
        <v>0</v>
      </c>
      <c r="L43" s="362">
        <f>IFERROR(VLOOKUP(C43,'تقرير المصروفات حسب الشهر'!$C$1016:$AD$1126,3,FALSE),0)</f>
        <v>0</v>
      </c>
      <c r="M43" s="376">
        <f>IFERROR(VLOOKUP(C43,'تقرير المصروفات حسب الشهر'!$C$1143:$AD$1254,3,FALSE),0)</f>
        <v>0</v>
      </c>
      <c r="N43" s="376">
        <f>IFERROR(VLOOKUP(C43,'تقرير المصروفات حسب الشهر'!$C$1270:$AD$1381,3,FALSE),0)</f>
        <v>0</v>
      </c>
      <c r="O43" s="376">
        <f>IFERROR(VLOOKUP(C43,'تقرير المصروفات حسب الشهر'!$C$1397:$AI$1512,3,FALSE),0)</f>
        <v>0</v>
      </c>
      <c r="P43" s="364">
        <f t="shared" si="8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الشهر'!$C$10:$AD$119,3,FALSE),0)</f>
        <v>70</v>
      </c>
      <c r="E44" s="362">
        <f>IFERROR(VLOOKUP(C44,'تقرير المصروفات حسب الشهر'!$C$135:$AD$244,3,FALSE),0)</f>
        <v>187</v>
      </c>
      <c r="F44" s="362">
        <v>330</v>
      </c>
      <c r="G44" s="362">
        <f>IFERROR(VLOOKUP(C44,'تقرير المصروفات حسب الشهر'!$C$387:$AD$495,3,FALSE),0)</f>
        <v>194.27</v>
      </c>
      <c r="H44" s="362">
        <f>IFERROR(VLOOKUP(C44,'تقرير المصروفات حسب الشهر'!$C$512:$AD$620,3,FALSE),0)</f>
        <v>402</v>
      </c>
      <c r="I44" s="362">
        <f>IFERROR(VLOOKUP(C44,'تقرير المصروفات حسب الشهر'!$C$637:$AD$746,3,FALSE),0)</f>
        <v>251.06</v>
      </c>
      <c r="J44" s="362">
        <f>IFERROR(VLOOKUP(C44,'تقرير المصروفات حسب الشهر'!$C$763:$AD$872,3,FALSE),0)</f>
        <v>410</v>
      </c>
      <c r="K44" s="362">
        <f>IFERROR(VLOOKUP(C44,'تقرير المصروفات حسب الشهر'!$C$890:$AD$999,3,FALSE),0)</f>
        <v>535</v>
      </c>
      <c r="L44" s="362">
        <f>IFERROR(VLOOKUP(C44,'تقرير المصروفات حسب الشهر'!$C$1016:$AD$1126,3,FALSE),0)</f>
        <v>559</v>
      </c>
      <c r="M44" s="376">
        <f>IFERROR(VLOOKUP(C44,'تقرير المصروفات حسب الشهر'!$C$1143:$AD$1254,3,FALSE),0)</f>
        <v>155</v>
      </c>
      <c r="N44" s="557">
        <f>IFERROR(VLOOKUP(C44,'تقرير المصروفات حسب الشهر'!$C$1270:$AD$1381,3,FALSE),0)</f>
        <v>383.81</v>
      </c>
      <c r="O44" s="376">
        <f>IFERROR(VLOOKUP(C44,'تقرير المصروفات حسب الشهر'!$C$1397:$AI$1512,3,FALSE),0)</f>
        <v>185</v>
      </c>
      <c r="P44" s="364">
        <f t="shared" si="8"/>
        <v>3662.14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الشهر'!$C$10:$AD$119,3,FALSE),0)</f>
        <v>75</v>
      </c>
      <c r="E45" s="362">
        <f>IFERROR(VLOOKUP(C45,'تقرير المصروفات حسب الشهر'!$C$135:$AD$244,3,FALSE),0)</f>
        <v>75</v>
      </c>
      <c r="F45" s="362">
        <v>75</v>
      </c>
      <c r="G45" s="362">
        <f>IFERROR(VLOOKUP(C45,'تقرير المصروفات حسب الشهر'!$C$387:$AD$495,3,FALSE),0)</f>
        <v>75</v>
      </c>
      <c r="H45" s="362">
        <f>IFERROR(VLOOKUP(C45,'تقرير المصروفات حسب الشهر'!$C$512:$AD$620,3,FALSE),0)</f>
        <v>75</v>
      </c>
      <c r="I45" s="362">
        <f>IFERROR(VLOOKUP(C45,'تقرير المصروفات حسب الشهر'!$C$637:$AD$746,3,FALSE),0)</f>
        <v>75</v>
      </c>
      <c r="J45" s="362">
        <f>IFERROR(VLOOKUP(C45,'تقرير المصروفات حسب الشهر'!$C$763:$AD$872,3,FALSE),0)</f>
        <v>150</v>
      </c>
      <c r="K45" s="362">
        <f>IFERROR(VLOOKUP(C45,'تقرير المصروفات حسب الشهر'!$C$890:$AD$999,3,FALSE),0)</f>
        <v>0</v>
      </c>
      <c r="L45" s="362">
        <f>IFERROR(VLOOKUP(C45,'تقرير المصروفات حسب الشهر'!$C$1016:$AD$1126,3,FALSE),0)</f>
        <v>75</v>
      </c>
      <c r="M45" s="376">
        <f>IFERROR(VLOOKUP(C45,'تقرير المصروفات حسب الشهر'!$C$1143:$AD$1254,3,FALSE),0)</f>
        <v>75</v>
      </c>
      <c r="N45" s="557">
        <f>IFERROR(VLOOKUP(C45,'تقرير المصروفات حسب الشهر'!$C$1270:$AD$1381,3,FALSE),0)</f>
        <v>75</v>
      </c>
      <c r="O45" s="376">
        <f>IFERROR(VLOOKUP(C45,'تقرير المصروفات حسب الشهر'!$C$1397:$AI$1512,3,FALSE),0)</f>
        <v>75</v>
      </c>
      <c r="P45" s="364">
        <f t="shared" si="8"/>
        <v>900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الشهر'!$C$10:$AD$119,3,FALSE),0)</f>
        <v>217.24</v>
      </c>
      <c r="E46" s="362">
        <f>IFERROR(VLOOKUP(C46,'تقرير المصروفات حسب الشهر'!$C$135:$AD$244,3,FALSE),0)</f>
        <v>217.24</v>
      </c>
      <c r="F46" s="362">
        <v>217.24</v>
      </c>
      <c r="G46" s="362">
        <f>IFERROR(VLOOKUP(C46,'تقرير المصروفات حسب الشهر'!$C$387:$AD$495,3,FALSE),0)</f>
        <v>217.24</v>
      </c>
      <c r="H46" s="362">
        <f>IFERROR(VLOOKUP(C46,'تقرير المصروفات حسب الشهر'!$C$512:$AD$620,3,FALSE),0)</f>
        <v>217.24</v>
      </c>
      <c r="I46" s="362">
        <f>IFERROR(VLOOKUP(C46,'تقرير المصروفات حسب الشهر'!$C$637:$AD$746,3,FALSE),0)</f>
        <v>217.24</v>
      </c>
      <c r="J46" s="362">
        <f>IFERROR(VLOOKUP(C46,'تقرير المصروفات حسب الشهر'!$C$763:$AD$872,3,FALSE),0)</f>
        <v>217.24</v>
      </c>
      <c r="K46" s="362">
        <f>IFERROR(VLOOKUP(C46,'تقرير المصروفات حسب الشهر'!$C$890:$AD$999,3,FALSE),0)</f>
        <v>217.24</v>
      </c>
      <c r="L46" s="362">
        <f>IFERROR(VLOOKUP(C46,'تقرير المصروفات حسب الشهر'!$C$1016:$AD$1126,3,FALSE),0)</f>
        <v>217.24</v>
      </c>
      <c r="M46" s="376">
        <f>IFERROR(VLOOKUP(C46,'تقرير المصروفات حسب الشهر'!$C$1143:$AD$1254,3,FALSE),0)</f>
        <v>217.24</v>
      </c>
      <c r="N46" s="557">
        <f>IFERROR(VLOOKUP(C46,'تقرير المصروفات حسب الشهر'!$C$1270:$AD$1381,3,FALSE),0)</f>
        <v>217.24</v>
      </c>
      <c r="O46" s="376">
        <f>IFERROR(VLOOKUP(C46,'تقرير المصروفات حسب الشهر'!$C$1397:$AI$1512,3,FALSE),0)</f>
        <v>217.24</v>
      </c>
      <c r="P46" s="364">
        <f t="shared" si="8"/>
        <v>2606.88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الشهر'!$C$10:$AD$119,3,FALSE),0)</f>
        <v>0</v>
      </c>
      <c r="E47" s="362">
        <f>IFERROR(VLOOKUP(C47,'تقرير المصروفات حسب الشهر'!$C$135:$AD$244,3,FALSE),0)</f>
        <v>0</v>
      </c>
      <c r="F47" s="362">
        <v>0</v>
      </c>
      <c r="G47" s="362">
        <f>IFERROR(VLOOKUP(C47,'تقرير المصروفات حسب الشهر'!$C$387:$AD$495,3,FALSE),0)</f>
        <v>1100</v>
      </c>
      <c r="H47" s="362">
        <f>IFERROR(VLOOKUP(C47,'تقرير المصروفات حسب الشهر'!$C$512:$AD$620,3,FALSE),0)</f>
        <v>1600</v>
      </c>
      <c r="I47" s="362">
        <f>IFERROR(VLOOKUP(C47,'تقرير المصروفات حسب الشهر'!$C$637:$AD$746,3,FALSE),0)</f>
        <v>300</v>
      </c>
      <c r="J47" s="362">
        <f>IFERROR(VLOOKUP(C47,'تقرير المصروفات حسب الشهر'!$C$763:$AD$872,3,FALSE),0)</f>
        <v>300</v>
      </c>
      <c r="K47" s="362">
        <f>IFERROR(VLOOKUP(C47,'تقرير المصروفات حسب الشهر'!$C$890:$AD$999,3,FALSE),0)</f>
        <v>300</v>
      </c>
      <c r="L47" s="362">
        <f>IFERROR(VLOOKUP(C47,'تقرير المصروفات حسب الشهر'!$C$1016:$AD$1126,3,FALSE),0)</f>
        <v>5205</v>
      </c>
      <c r="M47" s="376">
        <f>IFERROR(VLOOKUP(C47,'تقرير المصروفات حسب الشهر'!$C$1143:$AD$1254,3,FALSE),0)</f>
        <v>2575</v>
      </c>
      <c r="N47" s="557">
        <f>IFERROR(VLOOKUP(C47,'تقرير المصروفات حسب الشهر'!$C$1270:$AD$1381,3,FALSE),0)</f>
        <v>300</v>
      </c>
      <c r="O47" s="376">
        <f>IFERROR(VLOOKUP(C47,'تقرير المصروفات حسب الشهر'!$C$1397:$AI$1512,3,FALSE),0)</f>
        <v>0</v>
      </c>
      <c r="P47" s="364">
        <f t="shared" si="8"/>
        <v>11680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الشهر'!$C$10:$AD$119,3,FALSE),0)</f>
        <v>50</v>
      </c>
      <c r="E48" s="362">
        <f>IFERROR(VLOOKUP(C48,'تقرير المصروفات حسب الشهر'!$C$135:$AD$244,3,FALSE),0)</f>
        <v>4230</v>
      </c>
      <c r="F48" s="362">
        <v>0</v>
      </c>
      <c r="G48" s="362">
        <f>IFERROR(VLOOKUP(C48,'تقرير المصروفات حسب الشهر'!$C$387:$AD$495,3,FALSE),0)</f>
        <v>13500</v>
      </c>
      <c r="H48" s="362">
        <f>IFERROR(VLOOKUP(C48,'تقرير المصروفات حسب الشهر'!$C$512:$AD$620,3,FALSE),0)</f>
        <v>0</v>
      </c>
      <c r="I48" s="362">
        <f>IFERROR(VLOOKUP(C48,'تقرير المصروفات حسب الشهر'!$C$637:$AD$746,3,FALSE),0)</f>
        <v>0</v>
      </c>
      <c r="J48" s="362">
        <f>IFERROR(VLOOKUP(C48,'تقرير المصروفات حسب الشهر'!$C$763:$AD$872,3,FALSE),0)</f>
        <v>0</v>
      </c>
      <c r="K48" s="362">
        <f>IFERROR(VLOOKUP(C48,'تقرير المصروفات حسب الشهر'!$C$890:$AD$999,3,FALSE),0)</f>
        <v>0</v>
      </c>
      <c r="L48" s="362">
        <f>IFERROR(VLOOKUP(C48,'تقرير المصروفات حسب الشهر'!$C$1016:$AD$1126,3,FALSE),0)</f>
        <v>0</v>
      </c>
      <c r="M48" s="376">
        <f>IFERROR(VLOOKUP(C48,'تقرير المصروفات حسب الشهر'!$C$1143:$AD$1254,3,FALSE),0)</f>
        <v>5195</v>
      </c>
      <c r="N48" s="376">
        <f>IFERROR(VLOOKUP(C48,'تقرير المصروفات حسب الشهر'!$C$1270:$AD$1381,3,FALSE),0)</f>
        <v>0</v>
      </c>
      <c r="O48" s="376">
        <f>IFERROR(VLOOKUP(C48,'تقرير المصروفات حسب الشهر'!$C$1397:$AI$1512,3,FALSE),0)</f>
        <v>6800</v>
      </c>
      <c r="P48" s="364">
        <f t="shared" si="8"/>
        <v>29775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الشهر'!$C$10:$AD$119,3,FALSE),0)</f>
        <v>60</v>
      </c>
      <c r="E49" s="362">
        <f>IFERROR(VLOOKUP(C49,'تقرير المصروفات حسب الشهر'!$C$135:$AD$244,3,FALSE),0)</f>
        <v>0</v>
      </c>
      <c r="F49" s="362">
        <v>0</v>
      </c>
      <c r="G49" s="362">
        <f>IFERROR(VLOOKUP(C49,'تقرير المصروفات حسب الشهر'!$C$387:$AD$495,3,FALSE),0)</f>
        <v>0</v>
      </c>
      <c r="H49" s="362">
        <f>IFERROR(VLOOKUP(C49,'تقرير المصروفات حسب الشهر'!$C$512:$AD$620,3,FALSE),0)</f>
        <v>0</v>
      </c>
      <c r="I49" s="362">
        <f>IFERROR(VLOOKUP(C49,'تقرير المصروفات حسب الشهر'!$C$637:$AD$746,3,FALSE),0)</f>
        <v>0</v>
      </c>
      <c r="J49" s="362">
        <f>IFERROR(VLOOKUP(C49,'تقرير المصروفات حسب الشهر'!$C$763:$AD$872,3,FALSE),0)</f>
        <v>0</v>
      </c>
      <c r="K49" s="362">
        <f>IFERROR(VLOOKUP(C49,'تقرير المصروفات حسب الشهر'!$C$890:$AD$999,3,FALSE),0)</f>
        <v>0</v>
      </c>
      <c r="L49" s="362">
        <f>IFERROR(VLOOKUP(C49,'تقرير المصروفات حسب الشهر'!$C$1016:$AD$1126,3,FALSE),0)</f>
        <v>0</v>
      </c>
      <c r="M49" s="376">
        <f>IFERROR(VLOOKUP(C49,'تقرير المصروفات حسب الشهر'!$C$1143:$AD$1254,3,FALSE),0)</f>
        <v>0</v>
      </c>
      <c r="N49" s="376">
        <f>IFERROR(VLOOKUP(C49,'تقرير المصروفات حسب الشهر'!$C$1270:$AD$1381,3,FALSE),0)</f>
        <v>0</v>
      </c>
      <c r="O49" s="376">
        <f>IFERROR(VLOOKUP(C49,'تقرير المصروفات حسب الشهر'!$C$1397:$AI$1512,3,FALSE),0)</f>
        <v>0</v>
      </c>
      <c r="P49" s="364">
        <f t="shared" si="8"/>
        <v>60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الشهر'!$C$10:$AD$119,3,FALSE),0)</f>
        <v>0</v>
      </c>
      <c r="E50" s="362">
        <f>IFERROR(VLOOKUP(C50,'تقرير المصروفات حسب الشهر'!$C$135:$AD$244,3,FALSE),0)</f>
        <v>0</v>
      </c>
      <c r="F50" s="362">
        <v>0</v>
      </c>
      <c r="G50" s="362">
        <f>IFERROR(VLOOKUP(C50,'تقرير المصروفات حسب الشهر'!$C$387:$AD$495,3,FALSE),0)</f>
        <v>0</v>
      </c>
      <c r="H50" s="362">
        <f>IFERROR(VLOOKUP(C50,'تقرير المصروفات حسب الشهر'!$C$512:$AD$620,3,FALSE),0)</f>
        <v>0</v>
      </c>
      <c r="I50" s="362">
        <f>IFERROR(VLOOKUP(C50,'تقرير المصروفات حسب الشهر'!$C$637:$AD$746,3,FALSE),0)</f>
        <v>0</v>
      </c>
      <c r="J50" s="362">
        <f>IFERROR(VLOOKUP(C50,'تقرير المصروفات حسب الشهر'!$C$763:$AD$872,3,FALSE),0)</f>
        <v>0</v>
      </c>
      <c r="K50" s="362">
        <f>IFERROR(VLOOKUP(C50,'تقرير المصروفات حسب الشهر'!$C$890:$AD$999,3,FALSE),0)</f>
        <v>0</v>
      </c>
      <c r="L50" s="362">
        <f>IFERROR(VLOOKUP(C50,'تقرير المصروفات حسب الشهر'!$C$1016:$AD$1126,3,FALSE),0)</f>
        <v>0</v>
      </c>
      <c r="M50" s="376">
        <f>IFERROR(VLOOKUP(C50,'تقرير المصروفات حسب الشهر'!$C$1143:$AD$1254,3,FALSE),0)</f>
        <v>0</v>
      </c>
      <c r="N50" s="376">
        <f>IFERROR(VLOOKUP(C50,'تقرير المصروفات حسب الشهر'!$C$1270:$AD$1381,3,FALSE),0)</f>
        <v>0</v>
      </c>
      <c r="O50" s="376">
        <f>IFERROR(VLOOKUP(C50,'تقرير المصروفات حسب الشهر'!$C$1397:$AI$1512,3,FALSE),0)</f>
        <v>20</v>
      </c>
      <c r="P50" s="364">
        <f t="shared" si="8"/>
        <v>20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الشهر'!$C$10:$AD$119,3,FALSE),0)</f>
        <v>320</v>
      </c>
      <c r="E51" s="362">
        <f>IFERROR(VLOOKUP(C51,'تقرير المصروفات حسب الشهر'!$C$135:$AD$244,3,FALSE),0)</f>
        <v>1950</v>
      </c>
      <c r="F51" s="362">
        <v>0</v>
      </c>
      <c r="G51" s="362">
        <f>IFERROR(VLOOKUP(C51,'تقرير المصروفات حسب الشهر'!$C$387:$AD$495,3,FALSE),0)</f>
        <v>13360</v>
      </c>
      <c r="H51" s="362">
        <f>IFERROR(VLOOKUP(C51,'تقرير المصروفات حسب الشهر'!$C$512:$AD$620,3,FALSE),0)</f>
        <v>275</v>
      </c>
      <c r="I51" s="362">
        <f>IFERROR(VLOOKUP(C51,'تقرير المصروفات حسب الشهر'!$C$637:$AD$746,3,FALSE),0)</f>
        <v>4000</v>
      </c>
      <c r="J51" s="362">
        <f>IFERROR(VLOOKUP(C51,'تقرير المصروفات حسب الشهر'!$C$763:$AD$872,3,FALSE),0)</f>
        <v>130</v>
      </c>
      <c r="K51" s="362">
        <f>IFERROR(VLOOKUP(C51,'تقرير المصروفات حسب الشهر'!$C$890:$AD$999,3,FALSE),0)</f>
        <v>1610</v>
      </c>
      <c r="L51" s="362">
        <f>IFERROR(VLOOKUP(C51,'تقرير المصروفات حسب الشهر'!$C$1016:$AD$1126,3,FALSE),0)</f>
        <v>20</v>
      </c>
      <c r="M51" s="376">
        <f>IFERROR(VLOOKUP(C51,'تقرير المصروفات حسب الشهر'!$C$1143:$AD$1254,3,FALSE),0)</f>
        <v>2200</v>
      </c>
      <c r="N51" s="557">
        <f>IFERROR(VLOOKUP(C51,'تقرير المصروفات حسب الشهر'!$C$1270:$AD$1381,3,FALSE),0)</f>
        <v>1200</v>
      </c>
      <c r="O51" s="376">
        <f>IFERROR(VLOOKUP(C51,'تقرير المصروفات حسب الشهر'!$C$1397:$AI$1512,3,FALSE),0)</f>
        <v>900</v>
      </c>
      <c r="P51" s="364">
        <f t="shared" si="8"/>
        <v>25965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الشهر'!$C$10:$AD$119,3,FALSE),0)</f>
        <v>2675</v>
      </c>
      <c r="E52" s="362">
        <f>IFERROR(VLOOKUP(C52,'تقرير المصروفات حسب الشهر'!$C$135:$AD$244,3,FALSE),0)</f>
        <v>4325</v>
      </c>
      <c r="F52" s="362">
        <v>0</v>
      </c>
      <c r="G52" s="362">
        <f>IFERROR(VLOOKUP(C52,'تقرير المصروفات حسب الشهر'!$C$387:$AD$495,3,FALSE),0)</f>
        <v>3925</v>
      </c>
      <c r="H52" s="362">
        <f>IFERROR(VLOOKUP(C52,'تقرير المصروفات حسب الشهر'!$C$512:$AD$620,3,FALSE),0)</f>
        <v>4550</v>
      </c>
      <c r="I52" s="362">
        <f>IFERROR(VLOOKUP(C52,'تقرير المصروفات حسب الشهر'!$C$637:$AD$746,3,FALSE),0)</f>
        <v>4800</v>
      </c>
      <c r="J52" s="362">
        <f>IFERROR(VLOOKUP(C52,'تقرير المصروفات حسب الشهر'!$C$763:$AD$872,3,FALSE),0)</f>
        <v>800</v>
      </c>
      <c r="K52" s="362">
        <f>IFERROR(VLOOKUP(C52,'تقرير المصروفات حسب الشهر'!$C$890:$AD$999,3,FALSE),0)</f>
        <v>2885</v>
      </c>
      <c r="L52" s="362">
        <f>IFERROR(VLOOKUP(C52,'تقرير المصروفات حسب الشهر'!$C$1016:$AD$1126,3,FALSE),0)</f>
        <v>4475</v>
      </c>
      <c r="M52" s="376">
        <f>IFERROR(VLOOKUP(C52,'تقرير المصروفات حسب الشهر'!$C$1143:$AD$1254,3,FALSE),0)</f>
        <v>4510</v>
      </c>
      <c r="N52" s="557">
        <f>IFERROR(VLOOKUP(C52,'تقرير المصروفات حسب الشهر'!$C$1270:$AD$1381,3,FALSE),0)</f>
        <v>5225</v>
      </c>
      <c r="O52" s="376">
        <f>IFERROR(VLOOKUP(C52,'تقرير المصروفات حسب الشهر'!$C$1397:$AI$1512,3,FALSE),0)</f>
        <v>3725</v>
      </c>
      <c r="P52" s="364">
        <f t="shared" si="8"/>
        <v>41895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الشهر'!$C$10:$AD$119,3,FALSE),0)</f>
        <v>0</v>
      </c>
      <c r="E53" s="362">
        <f>IFERROR(VLOOKUP(C53,'تقرير المصروفات حسب الشهر'!$C$135:$AD$244,3,FALSE),0)</f>
        <v>0</v>
      </c>
      <c r="F53" s="362">
        <v>0</v>
      </c>
      <c r="G53" s="362">
        <f>IFERROR(VLOOKUP(C53,'تقرير المصروفات حسب الشهر'!$C$387:$AD$495,3,FALSE),0)</f>
        <v>0</v>
      </c>
      <c r="H53" s="362">
        <f>IFERROR(VLOOKUP(C53,'تقرير المصروفات حسب الشهر'!$C$512:$AD$620,3,FALSE),0)</f>
        <v>142.96</v>
      </c>
      <c r="I53" s="362">
        <f>IFERROR(VLOOKUP(C53,'تقرير المصروفات حسب الشهر'!$C$637:$AD$746,3,FALSE),0)</f>
        <v>124.69</v>
      </c>
      <c r="J53" s="362">
        <f>IFERROR(VLOOKUP(C53,'تقرير المصروفات حسب الشهر'!$C$763:$AD$872,3,FALSE),0)</f>
        <v>0</v>
      </c>
      <c r="K53" s="362">
        <f>IFERROR(VLOOKUP(C53,'تقرير المصروفات حسب الشهر'!$C$890:$AD$999,3,FALSE),0)</f>
        <v>0</v>
      </c>
      <c r="L53" s="362">
        <f>IFERROR(VLOOKUP(C53,'تقرير المصروفات حسب الشهر'!$C$1016:$AD$1126,3,FALSE),0)</f>
        <v>0</v>
      </c>
      <c r="M53" s="376">
        <f>IFERROR(VLOOKUP(C53,'تقرير المصروفات حسب الشهر'!$C$1143:$AD$1254,3,FALSE),0)</f>
        <v>219.48</v>
      </c>
      <c r="N53" s="376">
        <f>IFERROR(VLOOKUP(C53,'تقرير المصروفات حسب الشهر'!$C$1270:$AD$1381,3,FALSE),0)</f>
        <v>0</v>
      </c>
      <c r="O53" s="376">
        <f>IFERROR(VLOOKUP(C53,'تقرير المصروفات حسب الشهر'!$C$1397:$AI$1512,3,FALSE),0)</f>
        <v>108</v>
      </c>
      <c r="P53" s="364">
        <f t="shared" si="8"/>
        <v>595.13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الشهر'!$C$10:$AD$119,3,FALSE),0)</f>
        <v>12300</v>
      </c>
      <c r="E54" s="362">
        <f>IFERROR(VLOOKUP(C54,'تقرير المصروفات حسب الشهر'!$C$135:$AD$244,3,FALSE),0)</f>
        <v>0</v>
      </c>
      <c r="F54" s="362">
        <v>29500</v>
      </c>
      <c r="G54" s="362">
        <f>IFERROR(VLOOKUP(C54,'تقرير المصروفات حسب الشهر'!$C$387:$AD$495,3,FALSE),0)</f>
        <v>14800</v>
      </c>
      <c r="H54" s="362">
        <f>IFERROR(VLOOKUP(C54,'تقرير المصروفات حسب الشهر'!$C$512:$AD$620,3,FALSE),0)</f>
        <v>17200</v>
      </c>
      <c r="I54" s="362">
        <f>IFERROR(VLOOKUP(C54,'تقرير المصروفات حسب الشهر'!$C$637:$AD$746,3,FALSE),0)</f>
        <v>17100</v>
      </c>
      <c r="J54" s="362">
        <f>IFERROR(VLOOKUP(C54,'تقرير المصروفات حسب الشهر'!$C$763:$AD$872,3,FALSE),0)</f>
        <v>18700</v>
      </c>
      <c r="K54" s="362">
        <f>IFERROR(VLOOKUP(C54,'تقرير المصروفات حسب الشهر'!$C$890:$AD$999,3,FALSE),0)</f>
        <v>0</v>
      </c>
      <c r="L54" s="362">
        <f>IFERROR(VLOOKUP(C54,'تقرير المصروفات حسب الشهر'!$C$1016:$AD$1126,3,FALSE),0)</f>
        <v>21700</v>
      </c>
      <c r="M54" s="376">
        <f>IFERROR(VLOOKUP(C54,'تقرير المصروفات حسب الشهر'!$C$1143:$AD$1254,3,FALSE),0)</f>
        <v>10000</v>
      </c>
      <c r="N54" s="376">
        <f>IFERROR(VLOOKUP(C54,'تقرير المصروفات حسب الشهر'!$C$1270:$AD$1381,3,FALSE),0)</f>
        <v>0</v>
      </c>
      <c r="O54" s="376">
        <f>IFERROR(VLOOKUP(C54,'تقرير المصروفات حسب الشهر'!$C$1397:$AI$1512,3,FALSE),0)</f>
        <v>31400</v>
      </c>
      <c r="P54" s="364">
        <f t="shared" si="8"/>
        <v>172700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الشهر'!$C$10:$AD$119,3,FALSE),0)</f>
        <v>0</v>
      </c>
      <c r="E55" s="362">
        <f>IFERROR(VLOOKUP(C55,'تقرير المصروفات حسب الشهر'!$C$135:$AD$244,3,FALSE),0)</f>
        <v>0</v>
      </c>
      <c r="F55" s="362">
        <v>0</v>
      </c>
      <c r="G55" s="362">
        <f>IFERROR(VLOOKUP(C55,'تقرير المصروفات حسب الشهر'!$C$387:$AD$495,3,FALSE),0)</f>
        <v>0</v>
      </c>
      <c r="H55" s="362">
        <f>IFERROR(VLOOKUP(C55,'تقرير المصروفات حسب الشهر'!$C$512:$AD$620,3,FALSE),0)</f>
        <v>0</v>
      </c>
      <c r="I55" s="362">
        <f>IFERROR(VLOOKUP(C55,'تقرير المصروفات حسب الشهر'!$C$637:$AD$746,3,FALSE),0)</f>
        <v>0</v>
      </c>
      <c r="J55" s="362">
        <f>IFERROR(VLOOKUP(C55,'تقرير المصروفات حسب الشهر'!$C$763:$AD$872,3,FALSE),0)</f>
        <v>0</v>
      </c>
      <c r="K55" s="362">
        <f>IFERROR(VLOOKUP(C55,'تقرير المصروفات حسب الشهر'!$C$890:$AD$999,3,FALSE),0)</f>
        <v>0</v>
      </c>
      <c r="L55" s="362">
        <f>IFERROR(VLOOKUP(C55,'تقرير المصروفات حسب الشهر'!$C$1016:$AD$1126,3,FALSE),0)</f>
        <v>0</v>
      </c>
      <c r="M55" s="376">
        <f>IFERROR(VLOOKUP(C55,'تقرير المصروفات حسب الشهر'!$C$1143:$AD$1254,3,FALSE),0)</f>
        <v>0</v>
      </c>
      <c r="N55" s="376">
        <f>IFERROR(VLOOKUP(C55,'تقرير المصروفات حسب الشهر'!$C$1270:$AD$1381,3,FALSE),0)</f>
        <v>0</v>
      </c>
      <c r="O55" s="376">
        <f>IFERROR(VLOOKUP(C55,'تقرير المصروفات حسب الشهر'!$C$1397:$AI$1512,3,FALSE),0)</f>
        <v>0</v>
      </c>
      <c r="P55" s="364">
        <f t="shared" si="8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الشهر'!$C$10:$AD$119,3,FALSE),0)</f>
        <v>704.62</v>
      </c>
      <c r="E56" s="362">
        <f>IFERROR(VLOOKUP(C56,'تقرير المصروفات حسب الشهر'!$C$135:$AD$244,3,FALSE),0)</f>
        <v>1190</v>
      </c>
      <c r="F56" s="362">
        <v>2000.82</v>
      </c>
      <c r="G56" s="362">
        <f>IFERROR(VLOOKUP(C56,'تقرير المصروفات حسب الشهر'!$C$387:$AD$495,3,FALSE),0)</f>
        <v>1333.39</v>
      </c>
      <c r="H56" s="362">
        <f>IFERROR(VLOOKUP(C56,'تقرير المصروفات حسب الشهر'!$C$512:$AD$620,3,FALSE),0)</f>
        <v>0</v>
      </c>
      <c r="I56" s="362">
        <f>IFERROR(VLOOKUP(C56,'تقرير المصروفات حسب الشهر'!$C$637:$AD$746,3,FALSE),0)</f>
        <v>1050.32</v>
      </c>
      <c r="J56" s="362">
        <f>IFERROR(VLOOKUP(C56,'تقرير المصروفات حسب الشهر'!$C$763:$AD$872,3,FALSE),0)</f>
        <v>123</v>
      </c>
      <c r="K56" s="362">
        <f>IFERROR(VLOOKUP(C56,'تقرير المصروفات حسب الشهر'!$C$890:$AD$999,3,FALSE),0)</f>
        <v>937.62</v>
      </c>
      <c r="L56" s="362">
        <f>IFERROR(VLOOKUP(C56,'تقرير المصروفات حسب الشهر'!$C$1016:$AD$1126,3,FALSE),0)</f>
        <v>823.33</v>
      </c>
      <c r="M56" s="376">
        <f>IFERROR(VLOOKUP(C56,'تقرير المصروفات حسب الشهر'!$C$1143:$AD$1254,3,FALSE),0)</f>
        <v>505.43</v>
      </c>
      <c r="N56" s="376">
        <f>IFERROR(VLOOKUP(C56,'تقرير المصروفات حسب الشهر'!$C$1270:$AD$1381,3,FALSE),0)</f>
        <v>0</v>
      </c>
      <c r="O56" s="376">
        <f>IFERROR(VLOOKUP(C56,'تقرير المصروفات حسب الشهر'!$C$1397:$AI$1512,3,FALSE),0)</f>
        <v>83.77</v>
      </c>
      <c r="P56" s="364">
        <f t="shared" si="8"/>
        <v>8752.2999999999993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الشهر'!$C$10:$AD$119,3,FALSE),0)</f>
        <v>0</v>
      </c>
      <c r="E57" s="362">
        <f>IFERROR(VLOOKUP(C57,'تقرير المصروفات حسب الشهر'!$C$135:$AD$244,3,FALSE),0)</f>
        <v>0</v>
      </c>
      <c r="F57" s="362">
        <v>0</v>
      </c>
      <c r="G57" s="362">
        <f>IFERROR(VLOOKUP(C57,'تقرير المصروفات حسب الشهر'!$C$387:$AD$495,3,FALSE),0)</f>
        <v>0</v>
      </c>
      <c r="H57" s="362">
        <f>IFERROR(VLOOKUP(C57,'تقرير المصروفات حسب الشهر'!$C$512:$AD$620,3,FALSE),0)</f>
        <v>0</v>
      </c>
      <c r="I57" s="362">
        <f>IFERROR(VLOOKUP(C57,'تقرير المصروفات حسب الشهر'!$C$637:$AD$746,3,FALSE),0)</f>
        <v>0</v>
      </c>
      <c r="J57" s="362">
        <f>IFERROR(VLOOKUP(C57,'تقرير المصروفات حسب الشهر'!$C$763:$AD$872,3,FALSE),0)</f>
        <v>0</v>
      </c>
      <c r="K57" s="362">
        <f>IFERROR(VLOOKUP(C57,'تقرير المصروفات حسب الشهر'!$C$890:$AD$999,3,FALSE),0)</f>
        <v>0</v>
      </c>
      <c r="L57" s="362">
        <f>IFERROR(VLOOKUP(C57,'تقرير المصروفات حسب الشهر'!$C$1016:$AD$1126,3,FALSE),0)</f>
        <v>0</v>
      </c>
      <c r="M57" s="376">
        <f>IFERROR(VLOOKUP(C57,'تقرير المصروفات حسب الشهر'!$C$1143:$AD$1254,3,FALSE),0)</f>
        <v>0</v>
      </c>
      <c r="N57" s="376">
        <f>IFERROR(VLOOKUP(C57,'تقرير المصروفات حسب الشهر'!$C$1270:$AD$1381,3,FALSE),0)</f>
        <v>0</v>
      </c>
      <c r="O57" s="376">
        <f>IFERROR(VLOOKUP(C57,'تقرير المصروفات حسب الشهر'!$C$1397:$AI$1512,3,FALSE),0)</f>
        <v>0</v>
      </c>
      <c r="P57" s="364">
        <f t="shared" si="8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الشهر'!$C$10:$AD$119,3,FALSE),0)</f>
        <v>0</v>
      </c>
      <c r="E58" s="362">
        <f>IFERROR(VLOOKUP(C58,'تقرير المصروفات حسب الشهر'!$C$135:$AD$244,3,FALSE),0)</f>
        <v>0</v>
      </c>
      <c r="F58" s="362">
        <v>0</v>
      </c>
      <c r="G58" s="362">
        <f>IFERROR(VLOOKUP(C58,'تقرير المصروفات حسب الشهر'!$C$387:$AD$495,3,FALSE),0)</f>
        <v>0</v>
      </c>
      <c r="H58" s="362">
        <f>IFERROR(VLOOKUP(C58,'تقرير المصروفات حسب الشهر'!$C$512:$AD$620,3,FALSE),0)</f>
        <v>0</v>
      </c>
      <c r="I58" s="362">
        <f>IFERROR(VLOOKUP(C58,'تقرير المصروفات حسب الشهر'!$C$637:$AD$746,3,FALSE),0)</f>
        <v>0</v>
      </c>
      <c r="J58" s="362">
        <f>IFERROR(VLOOKUP(C58,'تقرير المصروفات حسب الشهر'!$C$763:$AD$872,3,FALSE),0)</f>
        <v>0</v>
      </c>
      <c r="K58" s="362">
        <f>IFERROR(VLOOKUP(C58,'تقرير المصروفات حسب الشهر'!$C$890:$AD$999,3,FALSE),0)</f>
        <v>0</v>
      </c>
      <c r="L58" s="362">
        <f>IFERROR(VLOOKUP(C58,'تقرير المصروفات حسب الشهر'!$C$1016:$AD$1126,3,FALSE),0)</f>
        <v>0</v>
      </c>
      <c r="M58" s="376">
        <f>IFERROR(VLOOKUP(C58,'تقرير المصروفات حسب الشهر'!$C$1143:$AD$1254,3,FALSE),0)</f>
        <v>0</v>
      </c>
      <c r="N58" s="376">
        <f>IFERROR(VLOOKUP(C58,'تقرير المصروفات حسب الشهر'!$C$1270:$AD$1381,3,FALSE),0)</f>
        <v>0</v>
      </c>
      <c r="O58" s="376">
        <f>IFERROR(VLOOKUP(C58,'تقرير المصروفات حسب الشهر'!$C$1397:$AI$1512,3,FALSE),0)</f>
        <v>0</v>
      </c>
      <c r="P58" s="364">
        <f t="shared" si="8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الشهر'!$C$10:$AD$119,3,FALSE),0)</f>
        <v>0</v>
      </c>
      <c r="E59" s="362">
        <f>IFERROR(VLOOKUP(C59,'تقرير المصروفات حسب الشهر'!$C$135:$AD$244,3,FALSE),0)</f>
        <v>11522.25</v>
      </c>
      <c r="F59" s="362">
        <v>7255.5</v>
      </c>
      <c r="G59" s="362">
        <f>IFERROR(VLOOKUP(C59,'تقرير المصروفات حسب الشهر'!$C$387:$AD$495,3,FALSE),0)</f>
        <v>8775.25</v>
      </c>
      <c r="H59" s="362">
        <f>IFERROR(VLOOKUP(C59,'تقرير المصروفات حسب الشهر'!$C$512:$AD$620,3,FALSE),0)</f>
        <v>0</v>
      </c>
      <c r="I59" s="362">
        <f>IFERROR(VLOOKUP(C59,'تقرير المصروفات حسب الشهر'!$C$637:$AD$746,3,FALSE),0)</f>
        <v>7477.5</v>
      </c>
      <c r="J59" s="362">
        <f>IFERROR(VLOOKUP(C59,'تقرير المصروفات حسب الشهر'!$C$763:$AD$872,3,FALSE),0)</f>
        <v>8777.25</v>
      </c>
      <c r="K59" s="362">
        <f>IFERROR(VLOOKUP(C59,'تقرير المصروفات حسب الشهر'!$C$890:$AD$999,3,FALSE),0)</f>
        <v>0</v>
      </c>
      <c r="L59" s="362">
        <f>IFERROR(VLOOKUP(C59,'تقرير المصروفات حسب الشهر'!$C$1016:$AD$1126,3,FALSE),0)</f>
        <v>17800.25</v>
      </c>
      <c r="M59" s="376">
        <f>IFERROR(VLOOKUP(C59,'تقرير المصروفات حسب الشهر'!$C$1143:$AD$1254,3,FALSE),0)</f>
        <v>7888.25</v>
      </c>
      <c r="N59" s="557">
        <f>IFERROR(VLOOKUP(C59,'تقرير المصروفات حسب الشهر'!$C$1270:$AD$1381,3,FALSE),0)</f>
        <v>9888.25</v>
      </c>
      <c r="O59" s="376">
        <f>IFERROR(VLOOKUP(C59,'تقرير المصروفات حسب الشهر'!$C$1397:$AI$1512,3,FALSE),0)</f>
        <v>9800.25</v>
      </c>
      <c r="P59" s="364">
        <f t="shared" si="8"/>
        <v>89184.75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الشهر'!$C$10:$AD$119,3,FALSE),0)</f>
        <v>14040</v>
      </c>
      <c r="E60" s="362">
        <f>IFERROR(VLOOKUP(C60,'تقرير المصروفات حسب الشهر'!$C$135:$AD$244,3,FALSE),0)</f>
        <v>0</v>
      </c>
      <c r="F60" s="362">
        <v>16000</v>
      </c>
      <c r="G60" s="362">
        <f>IFERROR(VLOOKUP(C60,'تقرير المصروفات حسب الشهر'!$C$387:$AD$495,3,FALSE),0)</f>
        <v>8680</v>
      </c>
      <c r="H60" s="362">
        <f>IFERROR(VLOOKUP(C60,'تقرير المصروفات حسب الشهر'!$C$512:$AD$620,3,FALSE),0)</f>
        <v>0</v>
      </c>
      <c r="I60" s="362">
        <f>IFERROR(VLOOKUP(C60,'تقرير المصروفات حسب الشهر'!$C$637:$AD$746,3,FALSE),0)</f>
        <v>9920</v>
      </c>
      <c r="J60" s="362">
        <f>IFERROR(VLOOKUP(C60,'تقرير المصروفات حسب الشهر'!$C$763:$AD$872,3,FALSE),0)</f>
        <v>0</v>
      </c>
      <c r="K60" s="362">
        <f>IFERROR(VLOOKUP(C60,'تقرير المصروفات حسب الشهر'!$C$890:$AD$999,3,FALSE),0)</f>
        <v>20460</v>
      </c>
      <c r="L60" s="362">
        <f>IFERROR(VLOOKUP(C60,'تقرير المصروفات حسب الشهر'!$C$1016:$AD$1126,3,FALSE),0)</f>
        <v>0</v>
      </c>
      <c r="M60" s="376">
        <f>IFERROR(VLOOKUP(C60,'تقرير المصروفات حسب الشهر'!$C$1143:$AD$1254,3,FALSE),0)</f>
        <v>16830</v>
      </c>
      <c r="N60" s="376">
        <f>IFERROR(VLOOKUP(C60,'تقرير المصروفات حسب الشهر'!$C$1270:$AD$1381,3,FALSE),0)</f>
        <v>0</v>
      </c>
      <c r="O60" s="376">
        <f>IFERROR(VLOOKUP(C60,'تقرير المصروفات حسب الشهر'!$C$1397:$AI$1512,3,FALSE),0)</f>
        <v>13200</v>
      </c>
      <c r="P60" s="364">
        <f t="shared" si="8"/>
        <v>99130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الشهر'!$C$10:$AD$119,3,FALSE),0)</f>
        <v>500</v>
      </c>
      <c r="E61" s="362">
        <f>IFERROR(VLOOKUP(C61,'تقرير المصروفات حسب الشهر'!$C$135:$AD$244,3,FALSE),0)</f>
        <v>400</v>
      </c>
      <c r="F61" s="362">
        <v>200</v>
      </c>
      <c r="G61" s="362">
        <f>IFERROR(VLOOKUP(C61,'تقرير المصروفات حسب الشهر'!$C$387:$AD$495,3,FALSE),0)</f>
        <v>600</v>
      </c>
      <c r="H61" s="362">
        <f>IFERROR(VLOOKUP(C61,'تقرير المصروفات حسب الشهر'!$C$512:$AD$620,3,FALSE),0)</f>
        <v>0</v>
      </c>
      <c r="I61" s="362">
        <f>IFERROR(VLOOKUP(C61,'تقرير المصروفات حسب الشهر'!$C$637:$AD$746,3,FALSE),0)</f>
        <v>600</v>
      </c>
      <c r="J61" s="362">
        <f>IFERROR(VLOOKUP(C61,'تقرير المصروفات حسب الشهر'!$C$763:$AD$872,3,FALSE),0)</f>
        <v>300</v>
      </c>
      <c r="K61" s="362">
        <f>IFERROR(VLOOKUP(C61,'تقرير المصروفات حسب الشهر'!$C$890:$AD$999,3,FALSE),0)</f>
        <v>400</v>
      </c>
      <c r="L61" s="362">
        <f>IFERROR(VLOOKUP(C61,'تقرير المصروفات حسب الشهر'!$C$1016:$AD$1126,3,FALSE),0)</f>
        <v>450</v>
      </c>
      <c r="M61" s="376">
        <f>IFERROR(VLOOKUP(C61,'تقرير المصروفات حسب الشهر'!$C$1143:$AD$1254,3,FALSE),0)</f>
        <v>200</v>
      </c>
      <c r="N61" s="376">
        <f>IFERROR(VLOOKUP(C61,'تقرير المصروفات حسب الشهر'!$C$1270:$AD$1381,3,FALSE),0)</f>
        <v>0</v>
      </c>
      <c r="O61" s="376">
        <f>IFERROR(VLOOKUP(C61,'تقرير المصروفات حسب الشهر'!$C$1397:$AI$1512,3,FALSE),0)</f>
        <v>500</v>
      </c>
      <c r="P61" s="364">
        <f t="shared" si="8"/>
        <v>4150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الشهر'!$C$10:$AD$119,3,FALSE),0)</f>
        <v>0</v>
      </c>
      <c r="E62" s="362">
        <f>IFERROR(VLOOKUP(C62,'تقرير المصروفات حسب الشهر'!$C$135:$AD$244,3,FALSE),0)</f>
        <v>0</v>
      </c>
      <c r="F62" s="362">
        <v>3420</v>
      </c>
      <c r="G62" s="362">
        <f>IFERROR(VLOOKUP(C62,'تقرير المصروفات حسب الشهر'!$C$387:$AD$495,3,FALSE),0)</f>
        <v>0</v>
      </c>
      <c r="H62" s="362">
        <f>IFERROR(VLOOKUP(C62,'تقرير المصروفات حسب الشهر'!$C$512:$AD$620,3,FALSE),0)</f>
        <v>3110</v>
      </c>
      <c r="I62" s="362">
        <f>IFERROR(VLOOKUP(C62,'تقرير المصروفات حسب الشهر'!$C$637:$AD$746,3,FALSE),0)</f>
        <v>0</v>
      </c>
      <c r="J62" s="362">
        <f>IFERROR(VLOOKUP(C62,'تقرير المصروفات حسب الشهر'!$C$763:$AD$872,3,FALSE),0)</f>
        <v>0</v>
      </c>
      <c r="K62" s="362">
        <f>IFERROR(VLOOKUP(C62,'تقرير المصروفات حسب الشهر'!$C$890:$AD$999,3,FALSE),0)</f>
        <v>0</v>
      </c>
      <c r="L62" s="362">
        <f>IFERROR(VLOOKUP(C62,'تقرير المصروفات حسب الشهر'!$C$1016:$AD$1126,3,FALSE),0)</f>
        <v>3608</v>
      </c>
      <c r="M62" s="376">
        <f>IFERROR(VLOOKUP(C62,'تقرير المصروفات حسب الشهر'!$C$1143:$AD$1254,3,FALSE),0)</f>
        <v>0</v>
      </c>
      <c r="N62" s="376">
        <f>IFERROR(VLOOKUP(C62,'تقرير المصروفات حسب الشهر'!$C$1270:$AD$1381,3,FALSE),0)</f>
        <v>0</v>
      </c>
      <c r="O62" s="376">
        <f>IFERROR(VLOOKUP(C62,'تقرير المصروفات حسب الشهر'!$C$1397:$AI$1512,3,FALSE),0)</f>
        <v>0</v>
      </c>
      <c r="P62" s="364">
        <f t="shared" si="8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الشهر'!$C$10:$AD$119,3,FALSE),0)</f>
        <v>4000</v>
      </c>
      <c r="E63" s="362">
        <f>IFERROR(VLOOKUP(C63,'تقرير المصروفات حسب الشهر'!$C$135:$AD$244,3,FALSE),0)</f>
        <v>400</v>
      </c>
      <c r="F63" s="362">
        <v>0</v>
      </c>
      <c r="G63" s="362">
        <f>IFERROR(VLOOKUP(C63,'تقرير المصروفات حسب الشهر'!$C$387:$AD$495,3,FALSE),0)</f>
        <v>0</v>
      </c>
      <c r="H63" s="362">
        <f>IFERROR(VLOOKUP(C63,'تقرير المصروفات حسب الشهر'!$C$512:$AD$620,3,FALSE),0)</f>
        <v>0</v>
      </c>
      <c r="I63" s="362">
        <f>IFERROR(VLOOKUP(C63,'تقرير المصروفات حسب الشهر'!$C$637:$AD$746,3,FALSE),0)</f>
        <v>0</v>
      </c>
      <c r="J63" s="362">
        <f>IFERROR(VLOOKUP(C63,'تقرير المصروفات حسب الشهر'!$C$763:$AD$872,3,FALSE),0)</f>
        <v>1200</v>
      </c>
      <c r="K63" s="362">
        <f>IFERROR(VLOOKUP(C63,'تقرير المصروفات حسب الشهر'!$C$890:$AD$999,3,FALSE),0)</f>
        <v>0</v>
      </c>
      <c r="L63" s="362">
        <f>IFERROR(VLOOKUP(C63,'تقرير المصروفات حسب الشهر'!$C$1016:$AD$1126,3,FALSE),0)</f>
        <v>0</v>
      </c>
      <c r="M63" s="376">
        <f>IFERROR(VLOOKUP(C63,'تقرير المصروفات حسب الشهر'!$C$1143:$AD$1254,3,FALSE),0)</f>
        <v>0</v>
      </c>
      <c r="N63" s="557">
        <f>IFERROR(VLOOKUP(C63,'تقرير المصروفات حسب الشهر'!$C$1270:$AD$1381,3,FALSE),0)</f>
        <v>700</v>
      </c>
      <c r="O63" s="376">
        <f>IFERROR(VLOOKUP(C63,'تقرير المصروفات حسب الشهر'!$C$1397:$AI$1512,3,FALSE),0)</f>
        <v>0</v>
      </c>
      <c r="P63" s="364">
        <f t="shared" si="8"/>
        <v>6300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الشهر'!$C$10:$AD$119,3,FALSE),0)</f>
        <v>0</v>
      </c>
      <c r="E64" s="362">
        <f>IFERROR(VLOOKUP(C64,'تقرير المصروفات حسب الشهر'!$C$135:$AD$244,3,FALSE),0)</f>
        <v>0</v>
      </c>
      <c r="F64" s="362">
        <v>11800</v>
      </c>
      <c r="G64" s="362">
        <f>IFERROR(VLOOKUP(C64,'تقرير المصروفات حسب الشهر'!$C$387:$AD$495,3,FALSE),0)</f>
        <v>960</v>
      </c>
      <c r="H64" s="362">
        <f>IFERROR(VLOOKUP(C64,'تقرير المصروفات حسب الشهر'!$C$512:$AD$620,3,FALSE),0)</f>
        <v>0</v>
      </c>
      <c r="I64" s="362">
        <f>IFERROR(VLOOKUP(C64,'تقرير المصروفات حسب الشهر'!$C$637:$AD$746,3,FALSE),0)</f>
        <v>1800</v>
      </c>
      <c r="J64" s="362">
        <f>IFERROR(VLOOKUP(C64,'تقرير المصروفات حسب الشهر'!$C$763:$AD$872,3,FALSE),0)</f>
        <v>0</v>
      </c>
      <c r="K64" s="362">
        <f>IFERROR(VLOOKUP(C64,'تقرير المصروفات حسب الشهر'!$C$890:$AD$999,3,FALSE),0)</f>
        <v>0</v>
      </c>
      <c r="L64" s="362">
        <f>IFERROR(VLOOKUP(C64,'تقرير المصروفات حسب الشهر'!$C$1016:$AD$1126,3,FALSE),0)</f>
        <v>1800</v>
      </c>
      <c r="M64" s="376">
        <f>IFERROR(VLOOKUP(C64,'تقرير المصروفات حسب الشهر'!$C$1143:$AD$1254,3,FALSE),0)</f>
        <v>0</v>
      </c>
      <c r="N64" s="376">
        <f>IFERROR(VLOOKUP(C64,'تقرير المصروفات حسب الشهر'!$C$1270:$AD$1381,3,FALSE),0)</f>
        <v>0</v>
      </c>
      <c r="O64" s="376">
        <f>IFERROR(VLOOKUP(C64,'تقرير المصروفات حسب الشهر'!$C$1397:$AI$1512,3,FALSE),0)</f>
        <v>0</v>
      </c>
      <c r="P64" s="364">
        <f t="shared" si="8"/>
        <v>16360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الشهر'!$C$10:$AD$119,3,FALSE),0)</f>
        <v>0</v>
      </c>
      <c r="E65" s="362">
        <f>IFERROR(VLOOKUP(C65,'تقرير المصروفات حسب الشهر'!$C$135:$AD$244,3,FALSE),0)</f>
        <v>0</v>
      </c>
      <c r="F65" s="362">
        <v>0</v>
      </c>
      <c r="G65" s="362">
        <f>IFERROR(VLOOKUP(C65,'تقرير المصروفات حسب الشهر'!$C$387:$AD$495,3,FALSE),0)</f>
        <v>0</v>
      </c>
      <c r="H65" s="362">
        <f>IFERROR(VLOOKUP(C65,'تقرير المصروفات حسب الشهر'!$C$512:$AD$620,3,FALSE),0)</f>
        <v>0</v>
      </c>
      <c r="I65" s="362">
        <f>IFERROR(VLOOKUP(C65,'تقرير المصروفات حسب الشهر'!$C$637:$AD$746,3,FALSE),0)</f>
        <v>0</v>
      </c>
      <c r="J65" s="362">
        <f>IFERROR(VLOOKUP(C65,'تقرير المصروفات حسب الشهر'!$C$763:$AD$872,3,FALSE),0)</f>
        <v>0</v>
      </c>
      <c r="K65" s="362">
        <f>IFERROR(VLOOKUP(C65,'تقرير المصروفات حسب الشهر'!$C$890:$AD$999,3,FALSE),0)</f>
        <v>0</v>
      </c>
      <c r="L65" s="362">
        <f>IFERROR(VLOOKUP(C65,'تقرير المصروفات حسب الشهر'!$C$1016:$AD$1126,3,FALSE),0)</f>
        <v>0</v>
      </c>
      <c r="M65" s="376">
        <f>IFERROR(VLOOKUP(C65,'تقرير المصروفات حسب الشهر'!$C$1143:$AD$1254,3,FALSE),0)</f>
        <v>0</v>
      </c>
      <c r="N65" s="376">
        <f>IFERROR(VLOOKUP(C65,'تقرير المصروفات حسب الشهر'!$C$1270:$AD$1381,3,FALSE),0)</f>
        <v>0</v>
      </c>
      <c r="O65" s="376">
        <f>IFERROR(VLOOKUP(C65,'تقرير المصروفات حسب الشهر'!$C$1397:$AI$1512,3,FALSE),0)</f>
        <v>0</v>
      </c>
      <c r="P65" s="364">
        <f t="shared" si="8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الشهر'!$C$10:$AD$119,3,FALSE),0)</f>
        <v>0</v>
      </c>
      <c r="E66" s="362">
        <f>IFERROR(VLOOKUP(C66,'تقرير المصروفات حسب الشهر'!$C$135:$AD$244,3,FALSE),0)</f>
        <v>0</v>
      </c>
      <c r="F66" s="362">
        <v>0</v>
      </c>
      <c r="G66" s="362">
        <f>IFERROR(VLOOKUP(C66,'تقرير المصروفات حسب الشهر'!$C$387:$AD$495,3,FALSE),0)</f>
        <v>0</v>
      </c>
      <c r="H66" s="362">
        <f>IFERROR(VLOOKUP(C66,'تقرير المصروفات حسب الشهر'!$C$512:$AD$620,3,FALSE),0)</f>
        <v>0</v>
      </c>
      <c r="I66" s="362">
        <f>IFERROR(VLOOKUP(C66,'تقرير المصروفات حسب الشهر'!$C$637:$AD$746,3,FALSE),0)</f>
        <v>0</v>
      </c>
      <c r="J66" s="362">
        <f>IFERROR(VLOOKUP(C66,'تقرير المصروفات حسب الشهر'!$C$763:$AD$872,3,FALSE),0)</f>
        <v>0</v>
      </c>
      <c r="K66" s="362">
        <f>IFERROR(VLOOKUP(C66,'تقرير المصروفات حسب الشهر'!$C$890:$AD$999,3,FALSE),0)</f>
        <v>0</v>
      </c>
      <c r="L66" s="362">
        <f>IFERROR(VLOOKUP(C66,'تقرير المصروفات حسب الشهر'!$C$1016:$AD$1126,3,FALSE),0)</f>
        <v>0</v>
      </c>
      <c r="M66" s="376">
        <f>IFERROR(VLOOKUP(C66,'تقرير المصروفات حسب الشهر'!$C$1143:$AD$1254,3,FALSE),0)</f>
        <v>0</v>
      </c>
      <c r="N66" s="376">
        <f>IFERROR(VLOOKUP(C66,'تقرير المصروفات حسب الشهر'!$C$1270:$AD$1381,3,FALSE),0)</f>
        <v>0</v>
      </c>
      <c r="O66" s="376">
        <f>IFERROR(VLOOKUP(C66,'تقرير المصروفات حسب الشهر'!$C$1397:$AI$1512,3,FALSE),0)</f>
        <v>0</v>
      </c>
      <c r="P66" s="364">
        <f t="shared" si="8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الشهر'!$C$10:$AD$119,3,FALSE),0)</f>
        <v>0</v>
      </c>
      <c r="E67" s="362">
        <f>IFERROR(VLOOKUP(C67,'تقرير المصروفات حسب الشهر'!$C$135:$AD$244,3,FALSE),0)</f>
        <v>0</v>
      </c>
      <c r="F67" s="362">
        <v>0</v>
      </c>
      <c r="G67" s="362">
        <f>IFERROR(VLOOKUP(C67,'تقرير المصروفات حسب الشهر'!$C$387:$AD$495,3,FALSE),0)</f>
        <v>0</v>
      </c>
      <c r="H67" s="362">
        <f>IFERROR(VLOOKUP(C67,'تقرير المصروفات حسب الشهر'!$C$512:$AD$620,3,FALSE),0)</f>
        <v>0</v>
      </c>
      <c r="I67" s="362">
        <f>IFERROR(VLOOKUP(C67,'تقرير المصروفات حسب الشهر'!$C$637:$AD$746,3,FALSE),0)</f>
        <v>0</v>
      </c>
      <c r="J67" s="362">
        <f>IFERROR(VLOOKUP(C67,'تقرير المصروفات حسب الشهر'!$C$763:$AD$872,3,FALSE),0)</f>
        <v>0</v>
      </c>
      <c r="K67" s="362">
        <f>IFERROR(VLOOKUP(C67,'تقرير المصروفات حسب الشهر'!$C$890:$AD$999,3,FALSE),0)</f>
        <v>0</v>
      </c>
      <c r="L67" s="362">
        <f>IFERROR(VLOOKUP(C67,'تقرير المصروفات حسب الشهر'!$C$1016:$AD$1126,3,FALSE),0)</f>
        <v>0</v>
      </c>
      <c r="M67" s="376">
        <f>IFERROR(VLOOKUP(C67,'تقرير المصروفات حسب الشهر'!$C$1143:$AD$1254,3,FALSE),0)</f>
        <v>0</v>
      </c>
      <c r="N67" s="376">
        <f>IFERROR(VLOOKUP(C67,'تقرير المصروفات حسب الشهر'!$C$1270:$AD$1381,3,FALSE),0)</f>
        <v>0</v>
      </c>
      <c r="O67" s="376">
        <f>IFERROR(VLOOKUP(C67,'تقرير المصروفات حسب الشهر'!$C$1397:$AI$1512,3,FALSE),0)</f>
        <v>0</v>
      </c>
      <c r="P67" s="364">
        <f t="shared" si="8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الشهر'!$C$10:$AD$119,3,FALSE),0)</f>
        <v>0</v>
      </c>
      <c r="E68" s="362">
        <f>IFERROR(VLOOKUP(C68,'تقرير المصروفات حسب الشهر'!$C$135:$AD$244,3,FALSE),0)</f>
        <v>0</v>
      </c>
      <c r="F68" s="362">
        <v>0</v>
      </c>
      <c r="G68" s="362">
        <f>IFERROR(VLOOKUP(C68,'تقرير المصروفات حسب الشهر'!$C$387:$AD$495,3,FALSE),0)</f>
        <v>0</v>
      </c>
      <c r="H68" s="362">
        <f>IFERROR(VLOOKUP(C68,'تقرير المصروفات حسب الشهر'!$C$512:$AD$620,3,FALSE),0)</f>
        <v>0</v>
      </c>
      <c r="I68" s="362">
        <f>IFERROR(VLOOKUP(C68,'تقرير المصروفات حسب الشهر'!$C$637:$AD$746,3,FALSE),0)</f>
        <v>0</v>
      </c>
      <c r="J68" s="362">
        <f>IFERROR(VLOOKUP(C68,'تقرير المصروفات حسب الشهر'!$C$763:$AD$872,3,FALSE),0)</f>
        <v>0</v>
      </c>
      <c r="K68" s="362">
        <f>IFERROR(VLOOKUP(C68,'تقرير المصروفات حسب الشهر'!$C$890:$AD$999,3,FALSE),0)</f>
        <v>0</v>
      </c>
      <c r="L68" s="362">
        <f>IFERROR(VLOOKUP(C68,'تقرير المصروفات حسب الشهر'!$C$1016:$AD$1126,3,FALSE),0)</f>
        <v>0</v>
      </c>
      <c r="M68" s="376">
        <f>IFERROR(VLOOKUP(C68,'تقرير المصروفات حسب الشهر'!$C$1143:$AD$1254,3,FALSE),0)</f>
        <v>0</v>
      </c>
      <c r="N68" s="376">
        <f>IFERROR(VLOOKUP(C68,'تقرير المصروفات حسب الشهر'!$C$1270:$AD$1381,3,FALSE),0)</f>
        <v>0</v>
      </c>
      <c r="O68" s="376">
        <f>IFERROR(VLOOKUP(C68,'تقرير المصروفات حسب الشهر'!$C$1397:$AI$1512,3,FALSE),0)</f>
        <v>0</v>
      </c>
      <c r="P68" s="364">
        <f t="shared" si="8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الشهر'!$C$10:$AD$119,3,FALSE),0)</f>
        <v>0</v>
      </c>
      <c r="E69" s="362">
        <f>IFERROR(VLOOKUP(C69,'تقرير المصروفات حسب الشهر'!$C$135:$AD$244,3,FALSE),0)</f>
        <v>0</v>
      </c>
      <c r="F69" s="362">
        <v>0</v>
      </c>
      <c r="G69" s="362">
        <f>IFERROR(VLOOKUP(C69,'تقرير المصروفات حسب الشهر'!$C$387:$AD$495,3,FALSE),0)</f>
        <v>0</v>
      </c>
      <c r="H69" s="362">
        <f>IFERROR(VLOOKUP(C69,'تقرير المصروفات حسب الشهر'!$C$512:$AD$620,3,FALSE),0)</f>
        <v>0</v>
      </c>
      <c r="I69" s="362">
        <f>IFERROR(VLOOKUP(C69,'تقرير المصروفات حسب الشهر'!$C$637:$AD$746,3,FALSE),0)</f>
        <v>0</v>
      </c>
      <c r="J69" s="362">
        <f>IFERROR(VLOOKUP(C69,'تقرير المصروفات حسب الشهر'!$C$763:$AD$872,3,FALSE),0)</f>
        <v>0</v>
      </c>
      <c r="K69" s="362">
        <f>IFERROR(VLOOKUP(C69,'تقرير المصروفات حسب الشهر'!$C$890:$AD$999,3,FALSE),0)</f>
        <v>0</v>
      </c>
      <c r="L69" s="362">
        <f>IFERROR(VLOOKUP(C69,'تقرير المصروفات حسب الشهر'!$C$1016:$AD$1126,3,FALSE),0)</f>
        <v>0</v>
      </c>
      <c r="M69" s="376">
        <f>IFERROR(VLOOKUP(C69,'تقرير المصروفات حسب الشهر'!$C$1143:$AD$1254,3,FALSE),0)</f>
        <v>0</v>
      </c>
      <c r="N69" s="376">
        <f>IFERROR(VLOOKUP(C69,'تقرير المصروفات حسب الشهر'!$C$1270:$AD$1381,3,FALSE),0)</f>
        <v>0</v>
      </c>
      <c r="O69" s="376">
        <f>IFERROR(VLOOKUP(C69,'تقرير المصروفات حسب الشهر'!$C$1397:$AI$1512,3,FALSE),0)</f>
        <v>0</v>
      </c>
      <c r="P69" s="364">
        <f t="shared" si="8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الشهر'!$C$10:$AD$119,3,FALSE),0)</f>
        <v>0</v>
      </c>
      <c r="E70" s="362">
        <f>IFERROR(VLOOKUP(C70,'تقرير المصروفات حسب الشهر'!$C$135:$AD$244,3,FALSE),0)</f>
        <v>0</v>
      </c>
      <c r="F70" s="362">
        <v>0</v>
      </c>
      <c r="G70" s="362">
        <f>IFERROR(VLOOKUP(C70,'تقرير المصروفات حسب الشهر'!$C$387:$AD$495,3,FALSE),0)</f>
        <v>0</v>
      </c>
      <c r="H70" s="362">
        <f>IFERROR(VLOOKUP(C70,'تقرير المصروفات حسب الشهر'!$C$512:$AD$620,3,FALSE),0)</f>
        <v>0</v>
      </c>
      <c r="I70" s="362">
        <f>IFERROR(VLOOKUP(C70,'تقرير المصروفات حسب الشهر'!$C$637:$AD$746,3,FALSE),0)</f>
        <v>0</v>
      </c>
      <c r="J70" s="362">
        <f>IFERROR(VLOOKUP(C70,'تقرير المصروفات حسب الشهر'!$C$763:$AD$872,3,FALSE),0)</f>
        <v>0</v>
      </c>
      <c r="K70" s="362">
        <f>IFERROR(VLOOKUP(C70,'تقرير المصروفات حسب الشهر'!$C$890:$AD$999,3,FALSE),0)</f>
        <v>0</v>
      </c>
      <c r="L70" s="362">
        <f>IFERROR(VLOOKUP(C70,'تقرير المصروفات حسب الشهر'!$C$1016:$AD$1126,3,FALSE),0)</f>
        <v>0</v>
      </c>
      <c r="M70" s="376">
        <f>IFERROR(VLOOKUP(C70,'تقرير المصروفات حسب الشهر'!$C$1143:$AD$1254,3,FALSE),0)</f>
        <v>0</v>
      </c>
      <c r="N70" s="376">
        <f>IFERROR(VLOOKUP(C70,'تقرير المصروفات حسب الشهر'!$C$1270:$AD$1381,3,FALSE),0)</f>
        <v>0</v>
      </c>
      <c r="O70" s="376">
        <f>IFERROR(VLOOKUP(C70,'تقرير المصروفات حسب الشهر'!$C$1397:$AI$1512,3,FALSE),0)</f>
        <v>0</v>
      </c>
      <c r="P70" s="364">
        <f t="shared" si="8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الشهر'!$C$10:$AD$119,3,FALSE),0)</f>
        <v>0</v>
      </c>
      <c r="E71" s="362">
        <f>IFERROR(VLOOKUP(C71,'تقرير المصروفات حسب الشهر'!$C$135:$AD$244,3,FALSE),0)</f>
        <v>0</v>
      </c>
      <c r="F71" s="362">
        <v>0</v>
      </c>
      <c r="G71" s="362">
        <f>IFERROR(VLOOKUP(C71,'تقرير المصروفات حسب الشهر'!$C$387:$AD$495,3,FALSE),0)</f>
        <v>0</v>
      </c>
      <c r="H71" s="362">
        <f>IFERROR(VLOOKUP(C71,'تقرير المصروفات حسب الشهر'!$C$512:$AD$620,3,FALSE),0)</f>
        <v>0</v>
      </c>
      <c r="I71" s="362">
        <f>IFERROR(VLOOKUP(C71,'تقرير المصروفات حسب الشهر'!$C$637:$AD$746,3,FALSE),0)</f>
        <v>0</v>
      </c>
      <c r="J71" s="362">
        <f>IFERROR(VLOOKUP(C71,'تقرير المصروفات حسب الشهر'!$C$763:$AD$872,3,FALSE),0)</f>
        <v>0</v>
      </c>
      <c r="K71" s="362">
        <f>IFERROR(VLOOKUP(C71,'تقرير المصروفات حسب الشهر'!$C$890:$AD$999,3,FALSE),0)</f>
        <v>0</v>
      </c>
      <c r="L71" s="362">
        <f>IFERROR(VLOOKUP(C71,'تقرير المصروفات حسب الشهر'!$C$1016:$AD$1126,3,FALSE),0)</f>
        <v>0</v>
      </c>
      <c r="M71" s="376">
        <f>IFERROR(VLOOKUP(C71,'تقرير المصروفات حسب الشهر'!$C$1143:$AD$1254,3,FALSE),0)</f>
        <v>0</v>
      </c>
      <c r="N71" s="376">
        <f>IFERROR(VLOOKUP(C71,'تقرير المصروفات حسب الشهر'!$C$1270:$AD$1381,3,FALSE),0)</f>
        <v>0</v>
      </c>
      <c r="O71" s="376">
        <f>IFERROR(VLOOKUP(C71,'تقرير المصروفات حسب الشهر'!$C$1397:$AI$1512,3,FALSE),0)</f>
        <v>0</v>
      </c>
      <c r="P71" s="364">
        <f t="shared" si="8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الشهر'!$C$10:$AD$119,3,FALSE),0)</f>
        <v>0</v>
      </c>
      <c r="E72" s="362">
        <f>IFERROR(VLOOKUP(C72,'تقرير المصروفات حسب الشهر'!$C$135:$AD$244,3,FALSE),0)</f>
        <v>0</v>
      </c>
      <c r="F72" s="362">
        <v>0</v>
      </c>
      <c r="G72" s="362">
        <f>IFERROR(VLOOKUP(C72,'تقرير المصروفات حسب الشهر'!$C$387:$AD$495,3,FALSE),0)</f>
        <v>0</v>
      </c>
      <c r="H72" s="362">
        <f>IFERROR(VLOOKUP(C72,'تقرير المصروفات حسب الشهر'!$C$512:$AD$620,3,FALSE),0)</f>
        <v>0</v>
      </c>
      <c r="I72" s="362">
        <f>IFERROR(VLOOKUP(C72,'تقرير المصروفات حسب الشهر'!$C$637:$AD$746,3,FALSE),0)</f>
        <v>0</v>
      </c>
      <c r="J72" s="362">
        <f>IFERROR(VLOOKUP(C72,'تقرير المصروفات حسب الشهر'!$C$763:$AD$872,3,FALSE),0)</f>
        <v>0</v>
      </c>
      <c r="K72" s="362">
        <f>IFERROR(VLOOKUP(C72,'تقرير المصروفات حسب الشهر'!$C$890:$AD$999,3,FALSE),0)</f>
        <v>0</v>
      </c>
      <c r="L72" s="362">
        <f>IFERROR(VLOOKUP(C72,'تقرير المصروفات حسب الشهر'!$C$1016:$AD$1126,3,FALSE),0)</f>
        <v>0</v>
      </c>
      <c r="M72" s="376">
        <f>IFERROR(VLOOKUP(C72,'تقرير المصروفات حسب الشهر'!$C$1143:$AD$1254,3,FALSE),0)</f>
        <v>0</v>
      </c>
      <c r="N72" s="376">
        <f>IFERROR(VLOOKUP(C72,'تقرير المصروفات حسب الشهر'!$C$1270:$AD$1381,3,FALSE),0)</f>
        <v>0</v>
      </c>
      <c r="O72" s="376">
        <f>IFERROR(VLOOKUP(C72,'تقرير المصروفات حسب الشهر'!$C$1397:$AI$1512,3,FALSE),0)</f>
        <v>0</v>
      </c>
      <c r="P72" s="364">
        <f t="shared" si="8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الشهر'!$C$10:$AD$119,3,FALSE),0)</f>
        <v>0</v>
      </c>
      <c r="E73" s="362">
        <f>IFERROR(VLOOKUP(C73,'تقرير المصروفات حسب الشهر'!$C$135:$AD$244,3,FALSE),0)</f>
        <v>0</v>
      </c>
      <c r="F73" s="362">
        <v>0</v>
      </c>
      <c r="G73" s="362">
        <f>IFERROR(VLOOKUP(C73,'تقرير المصروفات حسب الشهر'!$C$387:$AD$495,3,FALSE),0)</f>
        <v>0</v>
      </c>
      <c r="H73" s="362">
        <f>IFERROR(VLOOKUP(C73,'تقرير المصروفات حسب الشهر'!$C$512:$AD$620,3,FALSE),0)</f>
        <v>0</v>
      </c>
      <c r="I73" s="362">
        <f>IFERROR(VLOOKUP(C73,'تقرير المصروفات حسب الشهر'!$C$637:$AD$746,3,FALSE),0)</f>
        <v>0</v>
      </c>
      <c r="J73" s="362">
        <f>IFERROR(VLOOKUP(C73,'تقرير المصروفات حسب الشهر'!$C$763:$AD$872,3,FALSE),0)</f>
        <v>0</v>
      </c>
      <c r="K73" s="362">
        <f>IFERROR(VLOOKUP(C73,'تقرير المصروفات حسب الشهر'!$C$890:$AD$999,3,FALSE),0)</f>
        <v>0</v>
      </c>
      <c r="L73" s="362">
        <f>IFERROR(VLOOKUP(C73,'تقرير المصروفات حسب الشهر'!$C$1016:$AD$1126,3,FALSE),0)</f>
        <v>0</v>
      </c>
      <c r="M73" s="376">
        <f>IFERROR(VLOOKUP(C73,'تقرير المصروفات حسب الشهر'!$C$1143:$AD$1254,3,FALSE),0)</f>
        <v>0</v>
      </c>
      <c r="N73" s="376">
        <f>IFERROR(VLOOKUP(C73,'تقرير المصروفات حسب الشهر'!$C$1270:$AD$1381,3,FALSE),0)</f>
        <v>0</v>
      </c>
      <c r="O73" s="376">
        <f>IFERROR(VLOOKUP(C73,'تقرير المصروفات حسب الشهر'!$C$1397:$AI$1512,3,FALSE),0)</f>
        <v>0</v>
      </c>
      <c r="P73" s="364">
        <f t="shared" si="8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الشهر'!$C$10:$AD$119,3,FALSE),0)</f>
        <v>0</v>
      </c>
      <c r="E74" s="362">
        <f>IFERROR(VLOOKUP(C74,'تقرير المصروفات حسب الشهر'!$C$135:$AD$244,3,FALSE),0)</f>
        <v>0</v>
      </c>
      <c r="F74" s="362">
        <v>0</v>
      </c>
      <c r="G74" s="362">
        <f>IFERROR(VLOOKUP(C74,'تقرير المصروفات حسب الشهر'!$C$387:$AD$495,3,FALSE),0)</f>
        <v>0</v>
      </c>
      <c r="H74" s="362">
        <f>IFERROR(VLOOKUP(C74,'تقرير المصروفات حسب الشهر'!$C$512:$AD$620,3,FALSE),0)</f>
        <v>0</v>
      </c>
      <c r="I74" s="362">
        <f>IFERROR(VLOOKUP(C74,'تقرير المصروفات حسب الشهر'!$C$637:$AD$746,3,FALSE),0)</f>
        <v>0</v>
      </c>
      <c r="J74" s="362">
        <f>IFERROR(VLOOKUP(C74,'تقرير المصروفات حسب الشهر'!$C$763:$AD$872,3,FALSE),0)</f>
        <v>0</v>
      </c>
      <c r="K74" s="362">
        <f>IFERROR(VLOOKUP(C74,'تقرير المصروفات حسب الشهر'!$C$890:$AD$999,3,FALSE),0)</f>
        <v>0</v>
      </c>
      <c r="L74" s="362">
        <f>IFERROR(VLOOKUP(C74,'تقرير المصروفات حسب الشهر'!$C$1016:$AD$1126,3,FALSE),0)</f>
        <v>0</v>
      </c>
      <c r="M74" s="376">
        <f>IFERROR(VLOOKUP(C74,'تقرير المصروفات حسب الشهر'!$C$1143:$AD$1254,3,FALSE),0)</f>
        <v>0</v>
      </c>
      <c r="N74" s="376">
        <f>IFERROR(VLOOKUP(C74,'تقرير المصروفات حسب الشهر'!$C$1270:$AD$1381,3,FALSE),0)</f>
        <v>0</v>
      </c>
      <c r="O74" s="376">
        <f>IFERROR(VLOOKUP(C74,'تقرير المصروفات حسب الشهر'!$C$1397:$AI$1512,3,FALSE),0)</f>
        <v>0</v>
      </c>
      <c r="P74" s="364">
        <f t="shared" si="8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الشهر'!$C$10:$AD$119,3,FALSE),0)</f>
        <v>0</v>
      </c>
      <c r="E75" s="362">
        <f>IFERROR(VLOOKUP(C75,'تقرير المصروفات حسب الشهر'!$C$135:$AD$244,3,FALSE),0)</f>
        <v>0</v>
      </c>
      <c r="F75" s="362">
        <v>0</v>
      </c>
      <c r="G75" s="362">
        <f>IFERROR(VLOOKUP(C75,'تقرير المصروفات حسب الشهر'!$C$387:$AD$495,3,FALSE),0)</f>
        <v>0</v>
      </c>
      <c r="H75" s="362">
        <f>IFERROR(VLOOKUP(C75,'تقرير المصروفات حسب الشهر'!$C$512:$AD$620,3,FALSE),0)</f>
        <v>0</v>
      </c>
      <c r="I75" s="362">
        <f>IFERROR(VLOOKUP(C75,'تقرير المصروفات حسب الشهر'!$C$637:$AD$746,3,FALSE),0)</f>
        <v>0</v>
      </c>
      <c r="J75" s="362">
        <f>IFERROR(VLOOKUP(C75,'تقرير المصروفات حسب الشهر'!$C$763:$AD$872,3,FALSE),0)</f>
        <v>0</v>
      </c>
      <c r="K75" s="362">
        <f>IFERROR(VLOOKUP(C75,'تقرير المصروفات حسب الشهر'!$C$890:$AD$999,3,FALSE),0)</f>
        <v>0</v>
      </c>
      <c r="L75" s="362">
        <f>IFERROR(VLOOKUP(C75,'تقرير المصروفات حسب الشهر'!$C$1016:$AD$1126,3,FALSE),0)</f>
        <v>0</v>
      </c>
      <c r="M75" s="376">
        <f>IFERROR(VLOOKUP(C75,'تقرير المصروفات حسب الشهر'!$C$1143:$AD$1254,3,FALSE),0)</f>
        <v>0</v>
      </c>
      <c r="N75" s="376">
        <f>IFERROR(VLOOKUP(C75,'تقرير المصروفات حسب الشهر'!$C$1270:$AD$1381,3,FALSE),0)</f>
        <v>0</v>
      </c>
      <c r="O75" s="376">
        <f>IFERROR(VLOOKUP(C75,'تقرير المصروفات حسب الشهر'!$C$1397:$AI$1512,3,FALSE),0)</f>
        <v>0</v>
      </c>
      <c r="P75" s="364">
        <f t="shared" si="8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الشهر'!$C$10:$AD$119,3,FALSE),0)</f>
        <v>0</v>
      </c>
      <c r="E76" s="362">
        <f>IFERROR(VLOOKUP(C76,'تقرير المصروفات حسب الشهر'!$C$135:$AD$244,3,FALSE),0)</f>
        <v>0</v>
      </c>
      <c r="F76" s="362">
        <v>0</v>
      </c>
      <c r="G76" s="362">
        <f>IFERROR(VLOOKUP(C76,'تقرير المصروفات حسب الشهر'!$C$387:$AD$495,3,FALSE),0)</f>
        <v>0</v>
      </c>
      <c r="H76" s="362">
        <f>IFERROR(VLOOKUP(C76,'تقرير المصروفات حسب الشهر'!$C$512:$AD$620,3,FALSE),0)</f>
        <v>0</v>
      </c>
      <c r="I76" s="362">
        <f>IFERROR(VLOOKUP(C76,'تقرير المصروفات حسب الشهر'!$C$637:$AD$746,3,FALSE),0)</f>
        <v>0</v>
      </c>
      <c r="J76" s="362">
        <f>IFERROR(VLOOKUP(C76,'تقرير المصروفات حسب الشهر'!$C$763:$AD$872,3,FALSE),0)</f>
        <v>0</v>
      </c>
      <c r="K76" s="362">
        <f>IFERROR(VLOOKUP(C76,'تقرير المصروفات حسب الشهر'!$C$890:$AD$999,3,FALSE),0)</f>
        <v>0</v>
      </c>
      <c r="L76" s="362">
        <f>IFERROR(VLOOKUP(C76,'تقرير المصروفات حسب الشهر'!$C$1016:$AD$1126,3,FALSE),0)</f>
        <v>0</v>
      </c>
      <c r="M76" s="376">
        <f>IFERROR(VLOOKUP(C76,'تقرير المصروفات حسب الشهر'!$C$1143:$AD$1254,3,FALSE),0)</f>
        <v>0</v>
      </c>
      <c r="N76" s="376">
        <f>IFERROR(VLOOKUP(C76,'تقرير المصروفات حسب الشهر'!$C$1270:$AD$1381,3,FALSE),0)</f>
        <v>0</v>
      </c>
      <c r="O76" s="376">
        <f>IFERROR(VLOOKUP(C76,'تقرير المصروفات حسب الشهر'!$C$1397:$AI$1512,3,FALSE),0)</f>
        <v>0</v>
      </c>
      <c r="P76" s="364">
        <f t="shared" si="8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الشهر'!$C$10:$AD$119,3,FALSE),0)</f>
        <v>0</v>
      </c>
      <c r="E77" s="362">
        <f>IFERROR(VLOOKUP(C77,'تقرير المصروفات حسب الشهر'!$C$135:$AD$244,3,FALSE),0)</f>
        <v>0</v>
      </c>
      <c r="F77" s="362">
        <v>0</v>
      </c>
      <c r="G77" s="362">
        <f>IFERROR(VLOOKUP(C77,'تقرير المصروفات حسب الشهر'!$C$387:$AD$495,3,FALSE),0)</f>
        <v>0</v>
      </c>
      <c r="H77" s="362">
        <f>IFERROR(VLOOKUP(C77,'تقرير المصروفات حسب الشهر'!$C$512:$AD$620,3,FALSE),0)</f>
        <v>0</v>
      </c>
      <c r="I77" s="362">
        <f>IFERROR(VLOOKUP(C77,'تقرير المصروفات حسب الشهر'!$C$637:$AD$746,3,FALSE),0)</f>
        <v>0</v>
      </c>
      <c r="J77" s="362">
        <f>IFERROR(VLOOKUP(C77,'تقرير المصروفات حسب الشهر'!$C$763:$AD$872,3,FALSE),0)</f>
        <v>0</v>
      </c>
      <c r="K77" s="362">
        <f>IFERROR(VLOOKUP(C77,'تقرير المصروفات حسب الشهر'!$C$890:$AD$999,3,FALSE),0)</f>
        <v>0</v>
      </c>
      <c r="L77" s="362">
        <f>IFERROR(VLOOKUP(C77,'تقرير المصروفات حسب الشهر'!$C$1016:$AD$1126,3,FALSE),0)</f>
        <v>0</v>
      </c>
      <c r="M77" s="376">
        <f>IFERROR(VLOOKUP(C77,'تقرير المصروفات حسب الشهر'!$C$1143:$AD$1254,3,FALSE),0)</f>
        <v>0</v>
      </c>
      <c r="N77" s="376">
        <f>IFERROR(VLOOKUP(C77,'تقرير المصروفات حسب الشهر'!$C$1270:$AD$1381,3,FALSE),0)</f>
        <v>0</v>
      </c>
      <c r="O77" s="376">
        <f>IFERROR(VLOOKUP(C77,'تقرير المصروفات حسب الشهر'!$C$1397:$AI$1512,3,FALSE),0)</f>
        <v>0</v>
      </c>
      <c r="P77" s="364">
        <f t="shared" si="8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الشهر'!$C$10:$AD$119,3,FALSE),0)</f>
        <v>0</v>
      </c>
      <c r="E78" s="362">
        <f>IFERROR(VLOOKUP(C78,'تقرير المصروفات حسب الشهر'!$C$135:$AD$244,3,FALSE),0)</f>
        <v>0</v>
      </c>
      <c r="F78" s="362">
        <v>0</v>
      </c>
      <c r="G78" s="362">
        <f>IFERROR(VLOOKUP(C78,'تقرير المصروفات حسب الشهر'!$C$387:$AD$495,3,FALSE),0)</f>
        <v>0</v>
      </c>
      <c r="H78" s="362">
        <f>IFERROR(VLOOKUP(C78,'تقرير المصروفات حسب الشهر'!$C$512:$AD$620,3,FALSE),0)</f>
        <v>0</v>
      </c>
      <c r="I78" s="362">
        <f>IFERROR(VLOOKUP(C78,'تقرير المصروفات حسب الشهر'!$C$637:$AD$746,3,FALSE),0)</f>
        <v>0</v>
      </c>
      <c r="J78" s="362">
        <f>IFERROR(VLOOKUP(C78,'تقرير المصروفات حسب الشهر'!$C$763:$AD$872,3,FALSE),0)</f>
        <v>0</v>
      </c>
      <c r="K78" s="362">
        <f>IFERROR(VLOOKUP(C78,'تقرير المصروفات حسب الشهر'!$C$890:$AD$999,3,FALSE),0)</f>
        <v>0</v>
      </c>
      <c r="L78" s="362">
        <f>IFERROR(VLOOKUP(C78,'تقرير المصروفات حسب الشهر'!$C$1016:$AD$1126,3,FALSE),0)</f>
        <v>0</v>
      </c>
      <c r="M78" s="376">
        <f>IFERROR(VLOOKUP(C78,'تقرير المصروفات حسب الشهر'!$C$1143:$AD$1254,3,FALSE),0)</f>
        <v>0</v>
      </c>
      <c r="N78" s="376">
        <f>IFERROR(VLOOKUP(C78,'تقرير المصروفات حسب الشهر'!$C$1270:$AD$1381,3,FALSE),0)</f>
        <v>0</v>
      </c>
      <c r="O78" s="376">
        <f>IFERROR(VLOOKUP(C78,'تقرير المصروفات حسب الشهر'!$C$1397:$AI$1512,3,FALSE),0)</f>
        <v>0</v>
      </c>
      <c r="P78" s="364">
        <f t="shared" si="8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الشهر'!$C$10:$AD$119,3,FALSE),0)</f>
        <v>0</v>
      </c>
      <c r="E79" s="362">
        <f>IFERROR(VLOOKUP(C79,'تقرير المصروفات حسب الشهر'!$C$135:$AD$244,3,FALSE),0)</f>
        <v>0</v>
      </c>
      <c r="F79" s="362">
        <v>0</v>
      </c>
      <c r="G79" s="362">
        <f>IFERROR(VLOOKUP(C79,'تقرير المصروفات حسب الشهر'!$C$387:$AD$495,3,FALSE),0)</f>
        <v>0</v>
      </c>
      <c r="H79" s="362">
        <f>IFERROR(VLOOKUP(C79,'تقرير المصروفات حسب الشهر'!$C$512:$AD$620,3,FALSE),0)</f>
        <v>0</v>
      </c>
      <c r="I79" s="362">
        <f>IFERROR(VLOOKUP(C79,'تقرير المصروفات حسب الشهر'!$C$637:$AD$746,3,FALSE),0)</f>
        <v>0</v>
      </c>
      <c r="J79" s="362">
        <f>IFERROR(VLOOKUP(C79,'تقرير المصروفات حسب الشهر'!$C$763:$AD$872,3,FALSE),0)</f>
        <v>0</v>
      </c>
      <c r="K79" s="362">
        <f>IFERROR(VLOOKUP(C79,'تقرير المصروفات حسب الشهر'!$C$890:$AD$999,3,FALSE),0)</f>
        <v>0</v>
      </c>
      <c r="L79" s="362">
        <f>IFERROR(VLOOKUP(C79,'تقرير المصروفات حسب الشهر'!$C$1016:$AD$1126,3,FALSE),0)</f>
        <v>0</v>
      </c>
      <c r="M79" s="376">
        <f>IFERROR(VLOOKUP(C79,'تقرير المصروفات حسب الشهر'!$C$1143:$AD$1254,3,FALSE),0)</f>
        <v>0</v>
      </c>
      <c r="N79" s="376">
        <f>IFERROR(VLOOKUP(C79,'تقرير المصروفات حسب الشهر'!$C$1270:$AD$1381,3,FALSE),0)</f>
        <v>0</v>
      </c>
      <c r="O79" s="376">
        <f>IFERROR(VLOOKUP(C79,'تقرير المصروفات حسب الشهر'!$C$1397:$AI$1512,3,FALSE),0)</f>
        <v>0</v>
      </c>
      <c r="P79" s="364">
        <f t="shared" si="8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الشهر'!$C$10:$AD$119,3,FALSE),0)</f>
        <v>0</v>
      </c>
      <c r="E80" s="362">
        <f>IFERROR(VLOOKUP(C80,'تقرير المصروفات حسب الشهر'!$C$135:$AD$244,3,FALSE),0)</f>
        <v>0</v>
      </c>
      <c r="F80" s="362">
        <v>0</v>
      </c>
      <c r="G80" s="362">
        <f>IFERROR(VLOOKUP(C80,'تقرير المصروفات حسب الشهر'!$C$387:$AD$495,3,FALSE),0)</f>
        <v>0</v>
      </c>
      <c r="H80" s="362">
        <f>IFERROR(VLOOKUP(C80,'تقرير المصروفات حسب الشهر'!$C$512:$AD$620,3,FALSE),0)</f>
        <v>1800</v>
      </c>
      <c r="I80" s="362">
        <f>IFERROR(VLOOKUP(C80,'تقرير المصروفات حسب الشهر'!$C$637:$AD$746,3,FALSE),0)</f>
        <v>0</v>
      </c>
      <c r="J80" s="362">
        <f>IFERROR(VLOOKUP(C80,'تقرير المصروفات حسب الشهر'!$C$763:$AD$872,3,FALSE),0)</f>
        <v>0</v>
      </c>
      <c r="K80" s="362">
        <f>IFERROR(VLOOKUP(C80,'تقرير المصروفات حسب الشهر'!$C$890:$AD$999,3,FALSE),0)</f>
        <v>0</v>
      </c>
      <c r="L80" s="362">
        <f>IFERROR(VLOOKUP(C80,'تقرير المصروفات حسب الشهر'!$C$1016:$AD$1126,3,FALSE),0)</f>
        <v>0</v>
      </c>
      <c r="M80" s="376">
        <f>IFERROR(VLOOKUP(C80,'تقرير المصروفات حسب الشهر'!$C$1143:$AD$1254,3,FALSE),0)</f>
        <v>0</v>
      </c>
      <c r="N80" s="376">
        <f>IFERROR(VLOOKUP(C80,'تقرير المصروفات حسب الشهر'!$C$1270:$AD$1381,3,FALSE),0)</f>
        <v>0</v>
      </c>
      <c r="O80" s="376">
        <f>IFERROR(VLOOKUP(C80,'تقرير المصروفات حسب الشهر'!$C$1397:$AI$1512,3,FALSE),0)</f>
        <v>0</v>
      </c>
      <c r="P80" s="364">
        <f t="shared" si="8"/>
        <v>1800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الشهر'!$C$10:$AD$119,3,FALSE),0)</f>
        <v>1316</v>
      </c>
      <c r="E81" s="362">
        <f>IFERROR(VLOOKUP(C81,'تقرير المصروفات حسب الشهر'!$C$135:$AD$244,3,FALSE),0)</f>
        <v>0</v>
      </c>
      <c r="F81" s="362">
        <v>0</v>
      </c>
      <c r="G81" s="362">
        <f>IFERROR(VLOOKUP(C81,'تقرير المصروفات حسب الشهر'!$C$387:$AD$495,3,FALSE),0)</f>
        <v>0</v>
      </c>
      <c r="H81" s="362">
        <f>IFERROR(VLOOKUP(C81,'تقرير المصروفات حسب الشهر'!$C$512:$AD$620,3,FALSE),0)</f>
        <v>0</v>
      </c>
      <c r="I81" s="362">
        <f>IFERROR(VLOOKUP(C81,'تقرير المصروفات حسب الشهر'!$C$637:$AD$746,3,FALSE),0)</f>
        <v>0</v>
      </c>
      <c r="J81" s="362">
        <f>IFERROR(VLOOKUP(C81,'تقرير المصروفات حسب الشهر'!$C$763:$AD$872,3,FALSE),0)</f>
        <v>6320</v>
      </c>
      <c r="K81" s="362">
        <f>IFERROR(VLOOKUP(C81,'تقرير المصروفات حسب الشهر'!$C$890:$AD$999,3,FALSE),0)</f>
        <v>300</v>
      </c>
      <c r="L81" s="362">
        <f>IFERROR(VLOOKUP(C81,'تقرير المصروفات حسب الشهر'!$C$1016:$AD$1126,3,FALSE),0)</f>
        <v>0</v>
      </c>
      <c r="M81" s="376">
        <f>IFERROR(VLOOKUP(C81,'تقرير المصروفات حسب الشهر'!$C$1143:$AD$1254,3,FALSE),0)</f>
        <v>200</v>
      </c>
      <c r="N81" s="557">
        <f>IFERROR(VLOOKUP(C81,'تقرير المصروفات حسب الشهر'!$C$1270:$AD$1381,3,FALSE),0)</f>
        <v>200</v>
      </c>
      <c r="O81" s="376">
        <f>IFERROR(VLOOKUP(C81,'تقرير المصروفات حسب الشهر'!$C$1397:$AI$1512,3,FALSE),0)</f>
        <v>3800</v>
      </c>
      <c r="P81" s="364">
        <f t="shared" si="8"/>
        <v>12136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الشهر'!$C$10:$AD$119,3,FALSE),0)</f>
        <v>0</v>
      </c>
      <c r="E82" s="362">
        <f>IFERROR(VLOOKUP(C82,'تقرير المصروفات حسب الشهر'!$C$135:$AD$244,3,FALSE),0)</f>
        <v>0</v>
      </c>
      <c r="F82" s="362">
        <v>0</v>
      </c>
      <c r="G82" s="362">
        <f>IFERROR(VLOOKUP(C82,'تقرير المصروفات حسب الشهر'!$C$387:$AD$495,3,FALSE),0)</f>
        <v>0</v>
      </c>
      <c r="H82" s="362">
        <f>IFERROR(VLOOKUP(C82,'تقرير المصروفات حسب الشهر'!$C$512:$AD$620,3,FALSE),0)</f>
        <v>0</v>
      </c>
      <c r="I82" s="362">
        <f>IFERROR(VLOOKUP(C82,'تقرير المصروفات حسب الشهر'!$C$637:$AD$746,3,FALSE),0)</f>
        <v>0</v>
      </c>
      <c r="J82" s="362">
        <f>IFERROR(VLOOKUP(C82,'تقرير المصروفات حسب الشهر'!$C$763:$AD$872,3,FALSE),0)</f>
        <v>0</v>
      </c>
      <c r="K82" s="362">
        <f>IFERROR(VLOOKUP(C82,'تقرير المصروفات حسب الشهر'!$C$890:$AD$999,3,FALSE),0)</f>
        <v>0</v>
      </c>
      <c r="L82" s="362">
        <f>IFERROR(VLOOKUP(C82,'تقرير المصروفات حسب الشهر'!$C$1016:$AD$1126,3,FALSE),0)</f>
        <v>0</v>
      </c>
      <c r="M82" s="376">
        <f>IFERROR(VLOOKUP(C82,'تقرير المصروفات حسب الشهر'!$C$1143:$AD$1254,3,FALSE),0)</f>
        <v>0</v>
      </c>
      <c r="N82" s="376">
        <f>IFERROR(VLOOKUP(C82,'تقرير المصروفات حسب الشهر'!$C$1270:$AD$1381,3,FALSE),0)</f>
        <v>0</v>
      </c>
      <c r="O82" s="376">
        <f>IFERROR(VLOOKUP(C82,'تقرير المصروفات حسب الشهر'!$C$1397:$AI$1512,3,FALSE),0)</f>
        <v>0</v>
      </c>
      <c r="P82" s="364">
        <f t="shared" si="8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الشهر'!$C$10:$AD$119,3,FALSE),0)</f>
        <v>0</v>
      </c>
      <c r="E83" s="362">
        <f>IFERROR(VLOOKUP(C83,'تقرير المصروفات حسب الشهر'!$C$135:$AD$244,3,FALSE),0)</f>
        <v>0</v>
      </c>
      <c r="F83" s="362">
        <v>0</v>
      </c>
      <c r="G83" s="362">
        <f>IFERROR(VLOOKUP(C83,'تقرير المصروفات حسب الشهر'!$C$387:$AD$495,3,FALSE),0)</f>
        <v>0</v>
      </c>
      <c r="H83" s="362">
        <f>IFERROR(VLOOKUP(C83,'تقرير المصروفات حسب الشهر'!$C$512:$AD$620,3,FALSE),0)</f>
        <v>0</v>
      </c>
      <c r="I83" s="362">
        <f>IFERROR(VLOOKUP(C83,'تقرير المصروفات حسب الشهر'!$C$637:$AD$746,3,FALSE),0)</f>
        <v>0</v>
      </c>
      <c r="J83" s="362">
        <f>IFERROR(VLOOKUP(C83,'تقرير المصروفات حسب الشهر'!$C$763:$AD$872,3,FALSE),0)</f>
        <v>0</v>
      </c>
      <c r="K83" s="362">
        <f>IFERROR(VLOOKUP(C83,'تقرير المصروفات حسب الشهر'!$C$890:$AD$999,3,FALSE),0)</f>
        <v>0</v>
      </c>
      <c r="L83" s="362">
        <f>IFERROR(VLOOKUP(C83,'تقرير المصروفات حسب الشهر'!$C$1016:$AD$1126,3,FALSE),0)</f>
        <v>0</v>
      </c>
      <c r="M83" s="376">
        <f>IFERROR(VLOOKUP(C83,'تقرير المصروفات حسب الشهر'!$C$1143:$AD$1254,3,FALSE),0)</f>
        <v>0</v>
      </c>
      <c r="N83" s="376">
        <f>IFERROR(VLOOKUP(C83,'تقرير المصروفات حسب الشهر'!$C$1270:$AD$1381,3,FALSE),0)</f>
        <v>0</v>
      </c>
      <c r="O83" s="376">
        <f>IFERROR(VLOOKUP(C83,'تقرير المصروفات حسب الشهر'!$C$1397:$AI$1512,3,FALSE),0)</f>
        <v>0</v>
      </c>
      <c r="P83" s="364">
        <f t="shared" si="8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الشهر'!$C$10:$AD$119,3,FALSE),0)</f>
        <v>0</v>
      </c>
      <c r="E84" s="362">
        <f>IFERROR(VLOOKUP(C84,'تقرير المصروفات حسب الشهر'!$C$135:$AD$244,3,FALSE),0)</f>
        <v>0</v>
      </c>
      <c r="F84" s="362">
        <v>0</v>
      </c>
      <c r="G84" s="362">
        <f>IFERROR(VLOOKUP(C84,'تقرير المصروفات حسب الشهر'!$C$387:$AD$495,3,FALSE),0)</f>
        <v>0</v>
      </c>
      <c r="H84" s="362">
        <f>IFERROR(VLOOKUP(C84,'تقرير المصروفات حسب الشهر'!$C$512:$AD$620,3,FALSE),0)</f>
        <v>0</v>
      </c>
      <c r="I84" s="362">
        <f>IFERROR(VLOOKUP(C84,'تقرير المصروفات حسب الشهر'!$C$637:$AD$746,3,FALSE),0)</f>
        <v>0</v>
      </c>
      <c r="J84" s="362">
        <f>IFERROR(VLOOKUP(C84,'تقرير المصروفات حسب الشهر'!$C$763:$AD$872,3,FALSE),0)</f>
        <v>0</v>
      </c>
      <c r="K84" s="362">
        <f>IFERROR(VLOOKUP(C84,'تقرير المصروفات حسب الشهر'!$C$890:$AD$999,3,FALSE),0)</f>
        <v>0</v>
      </c>
      <c r="L84" s="362">
        <f>IFERROR(VLOOKUP(C84,'تقرير المصروفات حسب الشهر'!$C$1016:$AD$1126,3,FALSE),0)</f>
        <v>0</v>
      </c>
      <c r="M84" s="376">
        <f>IFERROR(VLOOKUP(C84,'تقرير المصروفات حسب الشهر'!$C$1143:$AD$1254,3,FALSE),0)</f>
        <v>0</v>
      </c>
      <c r="N84" s="376">
        <f>IFERROR(VLOOKUP(C84,'تقرير المصروفات حسب الشهر'!$C$1270:$AD$1381,3,FALSE),0)</f>
        <v>0</v>
      </c>
      <c r="O84" s="376">
        <f>IFERROR(VLOOKUP(C84,'تقرير المصروفات حسب الشهر'!$C$1397:$AI$1512,3,FALSE),0)</f>
        <v>0</v>
      </c>
      <c r="P84" s="364">
        <f t="shared" si="8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الشهر'!$C$10:$AD$119,3,FALSE),0)</f>
        <v>0</v>
      </c>
      <c r="E85" s="362">
        <f>IFERROR(VLOOKUP(C85,'تقرير المصروفات حسب الشهر'!$C$135:$AD$244,3,FALSE),0)</f>
        <v>0</v>
      </c>
      <c r="F85" s="362">
        <v>0</v>
      </c>
      <c r="G85" s="362">
        <f>IFERROR(VLOOKUP(C85,'تقرير المصروفات حسب الشهر'!$C$387:$AD$495,3,FALSE),0)</f>
        <v>0</v>
      </c>
      <c r="H85" s="362">
        <f>IFERROR(VLOOKUP(C85,'تقرير المصروفات حسب الشهر'!$C$512:$AD$620,3,FALSE),0)</f>
        <v>0</v>
      </c>
      <c r="I85" s="362">
        <f>IFERROR(VLOOKUP(C85,'تقرير المصروفات حسب الشهر'!$C$637:$AD$746,3,FALSE),0)</f>
        <v>0</v>
      </c>
      <c r="J85" s="362">
        <f>IFERROR(VLOOKUP(C85,'تقرير المصروفات حسب الشهر'!$C$763:$AD$872,3,FALSE),0)</f>
        <v>0</v>
      </c>
      <c r="K85" s="362">
        <f>IFERROR(VLOOKUP(C85,'تقرير المصروفات حسب الشهر'!$C$890:$AD$999,3,FALSE),0)</f>
        <v>0</v>
      </c>
      <c r="L85" s="362">
        <f>IFERROR(VLOOKUP(C85,'تقرير المصروفات حسب الشهر'!$C$1016:$AD$1126,3,FALSE),0)</f>
        <v>0</v>
      </c>
      <c r="M85" s="376">
        <f>IFERROR(VLOOKUP(C85,'تقرير المصروفات حسب الشهر'!$C$1143:$AD$1254,3,FALSE),0)</f>
        <v>0</v>
      </c>
      <c r="N85" s="376">
        <f>IFERROR(VLOOKUP(C85,'تقرير المصروفات حسب الشهر'!$C$1270:$AD$1381,3,FALSE),0)</f>
        <v>0</v>
      </c>
      <c r="O85" s="376">
        <f>IFERROR(VLOOKUP(C85,'تقرير المصروفات حسب الشهر'!$C$1397:$AI$1512,3,FALSE),0)</f>
        <v>0</v>
      </c>
      <c r="P85" s="364">
        <f t="shared" si="8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الشهر'!$C$10:$AD$119,3,FALSE),0)</f>
        <v>313.56</v>
      </c>
      <c r="E86" s="362">
        <f>IFERROR(VLOOKUP(C86,'تقرير المصروفات حسب الشهر'!$C$135:$AD$244,3,FALSE),0)</f>
        <v>1959.65</v>
      </c>
      <c r="F86" s="362">
        <v>1281.5</v>
      </c>
      <c r="G86" s="362">
        <f>IFERROR(VLOOKUP(C86,'تقرير المصروفات حسب الشهر'!$C$387:$AD$495,3,FALSE),0)</f>
        <v>1633</v>
      </c>
      <c r="H86" s="362">
        <f>IFERROR(VLOOKUP(C86,'تقرير المصروفات حسب الشهر'!$C$512:$AD$620,3,FALSE),0)</f>
        <v>3315</v>
      </c>
      <c r="I86" s="362">
        <f>IFERROR(VLOOKUP(C86,'تقرير المصروفات حسب الشهر'!$C$637:$AD$746,3,FALSE),0)</f>
        <v>5085</v>
      </c>
      <c r="J86" s="362">
        <f>IFERROR(VLOOKUP(C86,'تقرير المصروفات حسب الشهر'!$C$763:$AD$872,3,FALSE),0)</f>
        <v>979</v>
      </c>
      <c r="K86" s="362">
        <f>IFERROR(VLOOKUP(C86,'تقرير المصروفات حسب الشهر'!$C$890:$AD$999,3,FALSE),0)</f>
        <v>6953.4</v>
      </c>
      <c r="L86" s="362">
        <f>IFERROR(VLOOKUP(C86,'تقرير المصروفات حسب الشهر'!$C$1016:$AD$1126,3,FALSE),0)</f>
        <v>1825</v>
      </c>
      <c r="M86" s="376">
        <f>IFERROR(VLOOKUP(C86,'تقرير المصروفات حسب الشهر'!$C$1143:$AD$1254,3,FALSE),0)</f>
        <v>1335.76</v>
      </c>
      <c r="N86" s="557">
        <f>IFERROR(VLOOKUP(C86,'تقرير المصروفات حسب الشهر'!$C$1270:$AD$1381,3,FALSE),0)</f>
        <v>6219.07</v>
      </c>
      <c r="O86" s="376">
        <f>IFERROR(VLOOKUP(C86,'تقرير المصروفات حسب الشهر'!$C$1397:$AI$1512,3,FALSE),0)</f>
        <v>0</v>
      </c>
      <c r="P86" s="364">
        <f t="shared" si="8"/>
        <v>30899.94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الشهر'!$C$10:$AD$119,3,FALSE),0)</f>
        <v>0</v>
      </c>
      <c r="E87" s="362">
        <f>IFERROR(VLOOKUP(C87,'تقرير المصروفات حسب الشهر'!$C$135:$AD$244,3,FALSE),0)</f>
        <v>0</v>
      </c>
      <c r="F87" s="362">
        <v>0</v>
      </c>
      <c r="G87" s="362">
        <f>IFERROR(VLOOKUP(C87,'تقرير المصروفات حسب الشهر'!$C$387:$AD$495,3,FALSE),0)</f>
        <v>0</v>
      </c>
      <c r="H87" s="362">
        <f>IFERROR(VLOOKUP(C87,'تقرير المصروفات حسب الشهر'!$C$512:$AD$620,3,FALSE),0)</f>
        <v>0</v>
      </c>
      <c r="I87" s="362">
        <f>IFERROR(VLOOKUP(C87,'تقرير المصروفات حسب الشهر'!$C$637:$AD$746,3,FALSE),0)</f>
        <v>0</v>
      </c>
      <c r="J87" s="362">
        <f>IFERROR(VLOOKUP(C87,'تقرير المصروفات حسب الشهر'!$C$763:$AD$872,3,FALSE),0)</f>
        <v>0</v>
      </c>
      <c r="K87" s="362">
        <f>IFERROR(VLOOKUP(C87,'تقرير المصروفات حسب الشهر'!$C$890:$AD$999,3,FALSE),0)</f>
        <v>0</v>
      </c>
      <c r="L87" s="362">
        <f>IFERROR(VLOOKUP(C87,'تقرير المصروفات حسب الشهر'!$C$1016:$AD$1126,3,FALSE),0)</f>
        <v>0</v>
      </c>
      <c r="M87" s="376">
        <f>IFERROR(VLOOKUP(C87,'تقرير المصروفات حسب الشهر'!$C$1143:$AD$1254,3,FALSE),0)</f>
        <v>0</v>
      </c>
      <c r="N87" s="376">
        <f>IFERROR(VLOOKUP(C87,'تقرير المصروفات حسب الشهر'!$C$1270:$AD$1381,3,FALSE),0)</f>
        <v>0</v>
      </c>
      <c r="O87" s="376">
        <f>IFERROR(VLOOKUP(C87,'تقرير المصروفات حسب الشهر'!$C$1397:$AI$1512,3,FALSE),0)</f>
        <v>4372</v>
      </c>
      <c r="P87" s="364">
        <f t="shared" ref="P87:P136" si="9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الشهر'!$C$10:$AD$119,3,FALSE),0)</f>
        <v>0</v>
      </c>
      <c r="E88" s="362">
        <f>IFERROR(VLOOKUP(C88,'تقرير المصروفات حسب الشهر'!$C$135:$AD$244,3,FALSE),0)</f>
        <v>0</v>
      </c>
      <c r="F88" s="362">
        <v>0</v>
      </c>
      <c r="G88" s="362">
        <f>IFERROR(VLOOKUP(C88,'تقرير المصروفات حسب الشهر'!$C$387:$AD$495,3,FALSE),0)</f>
        <v>310</v>
      </c>
      <c r="H88" s="362">
        <f>IFERROR(VLOOKUP(C88,'تقرير المصروفات حسب الشهر'!$C$512:$AD$620,3,FALSE),0)</f>
        <v>333</v>
      </c>
      <c r="I88" s="362">
        <f>IFERROR(VLOOKUP(C88,'تقرير المصروفات حسب الشهر'!$C$637:$AD$746,3,FALSE),0)</f>
        <v>120</v>
      </c>
      <c r="J88" s="362">
        <f>IFERROR(VLOOKUP(C88,'تقرير المصروفات حسب الشهر'!$C$763:$AD$872,3,FALSE),0)</f>
        <v>0</v>
      </c>
      <c r="K88" s="362">
        <f>IFERROR(VLOOKUP(C88,'تقرير المصروفات حسب الشهر'!$C$890:$AD$999,3,FALSE),0)</f>
        <v>0</v>
      </c>
      <c r="L88" s="362">
        <f>IFERROR(VLOOKUP(C88,'تقرير المصروفات حسب الشهر'!$C$1016:$AD$1126,3,FALSE),0)</f>
        <v>0</v>
      </c>
      <c r="M88" s="376">
        <f>IFERROR(VLOOKUP(C88,'تقرير المصروفات حسب الشهر'!$C$1143:$AD$1254,3,FALSE),0)</f>
        <v>0</v>
      </c>
      <c r="N88" s="376">
        <f>IFERROR(VLOOKUP(C88,'تقرير المصروفات حسب الشهر'!$C$1270:$AD$1381,3,FALSE),0)</f>
        <v>0</v>
      </c>
      <c r="O88" s="376">
        <f>IFERROR(VLOOKUP(C88,'تقرير المصروفات حسب الشهر'!$C$1397:$AI$1512,3,FALSE),0)</f>
        <v>0</v>
      </c>
      <c r="P88" s="364">
        <f t="shared" si="9"/>
        <v>763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الشهر'!$C$10:$AD$119,3,FALSE),0)</f>
        <v>0</v>
      </c>
      <c r="E89" s="362">
        <f>IFERROR(VLOOKUP(C89,'تقرير المصروفات حسب الشهر'!$C$135:$AD$244,3,FALSE),0)</f>
        <v>0</v>
      </c>
      <c r="F89" s="362">
        <v>0</v>
      </c>
      <c r="G89" s="362">
        <f>IFERROR(VLOOKUP(C89,'تقرير المصروفات حسب الشهر'!$C$387:$AD$495,3,FALSE),0)</f>
        <v>0</v>
      </c>
      <c r="H89" s="362">
        <f>IFERROR(VLOOKUP(C89,'تقرير المصروفات حسب الشهر'!$C$512:$AD$620,3,FALSE),0)</f>
        <v>0</v>
      </c>
      <c r="I89" s="362">
        <f>IFERROR(VLOOKUP(C89,'تقرير المصروفات حسب الشهر'!$C$637:$AD$746,3,FALSE),0)</f>
        <v>0</v>
      </c>
      <c r="J89" s="362">
        <f>IFERROR(VLOOKUP(C89,'تقرير المصروفات حسب الشهر'!$C$763:$AD$872,3,FALSE),0)</f>
        <v>0</v>
      </c>
      <c r="K89" s="362">
        <f>IFERROR(VLOOKUP(C89,'تقرير المصروفات حسب الشهر'!$C$890:$AD$999,3,FALSE),0)</f>
        <v>0</v>
      </c>
      <c r="L89" s="362">
        <f>IFERROR(VLOOKUP(C89,'تقرير المصروفات حسب الشهر'!$C$1016:$AD$1126,3,FALSE),0)</f>
        <v>0</v>
      </c>
      <c r="M89" s="376">
        <f>IFERROR(VLOOKUP(C89,'تقرير المصروفات حسب الشهر'!$C$1143:$AD$1254,3,FALSE),0)</f>
        <v>0</v>
      </c>
      <c r="N89" s="376">
        <f>IFERROR(VLOOKUP(C89,'تقرير المصروفات حسب الشهر'!$C$1270:$AD$1381,3,FALSE),0)</f>
        <v>0</v>
      </c>
      <c r="O89" s="376">
        <f>IFERROR(VLOOKUP(C89,'تقرير المصروفات حسب الشهر'!$C$1397:$AI$1512,3,FALSE),0)</f>
        <v>0</v>
      </c>
      <c r="P89" s="364">
        <f t="shared" si="9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الشهر'!$C$10:$AD$119,3,FALSE),0)</f>
        <v>0</v>
      </c>
      <c r="E90" s="362">
        <f>IFERROR(VLOOKUP(C90,'تقرير المصروفات حسب الشهر'!$C$135:$AD$244,3,FALSE),0)</f>
        <v>0</v>
      </c>
      <c r="F90" s="362">
        <v>0</v>
      </c>
      <c r="G90" s="362">
        <f>IFERROR(VLOOKUP(C90,'تقرير المصروفات حسب الشهر'!$C$387:$AD$495,3,FALSE),0)</f>
        <v>0</v>
      </c>
      <c r="H90" s="362">
        <f>IFERROR(VLOOKUP(C90,'تقرير المصروفات حسب الشهر'!$C$512:$AD$620,3,FALSE),0)</f>
        <v>0</v>
      </c>
      <c r="I90" s="362">
        <f>IFERROR(VLOOKUP(C90,'تقرير المصروفات حسب الشهر'!$C$637:$AD$746,3,FALSE),0)</f>
        <v>0</v>
      </c>
      <c r="J90" s="362">
        <f>IFERROR(VLOOKUP(C90,'تقرير المصروفات حسب الشهر'!$C$763:$AD$872,3,FALSE),0)</f>
        <v>0</v>
      </c>
      <c r="K90" s="362">
        <f>IFERROR(VLOOKUP(C90,'تقرير المصروفات حسب الشهر'!$C$890:$AD$999,3,FALSE),0)</f>
        <v>0</v>
      </c>
      <c r="L90" s="362">
        <f>IFERROR(VLOOKUP(C90,'تقرير المصروفات حسب الشهر'!$C$1016:$AD$1126,3,FALSE),0)</f>
        <v>0</v>
      </c>
      <c r="M90" s="376">
        <f>IFERROR(VLOOKUP(C90,'تقرير المصروفات حسب الشهر'!$C$1143:$AD$1254,3,FALSE),0)</f>
        <v>0</v>
      </c>
      <c r="N90" s="376">
        <f>IFERROR(VLOOKUP(C90,'تقرير المصروفات حسب الشهر'!$C$1270:$AD$1381,3,FALSE),0)</f>
        <v>0</v>
      </c>
      <c r="O90" s="376">
        <f>IFERROR(VLOOKUP(C90,'تقرير المصروفات حسب الشهر'!$C$1397:$AI$1512,3,FALSE),0)</f>
        <v>0</v>
      </c>
      <c r="P90" s="364">
        <f t="shared" si="9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الشهر'!$C$10:$AD$119,3,FALSE),0)</f>
        <v>78615</v>
      </c>
      <c r="E91" s="362">
        <f>IFERROR(VLOOKUP(C91,'تقرير المصروفات حسب الشهر'!$C$135:$AD$244,3,FALSE),0)</f>
        <v>6865</v>
      </c>
      <c r="F91" s="362">
        <v>7255</v>
      </c>
      <c r="G91" s="362">
        <f>IFERROR(VLOOKUP(C91,'تقرير المصروفات حسب الشهر'!$C$387:$AD$495,3,FALSE),0)</f>
        <v>6800</v>
      </c>
      <c r="H91" s="362">
        <f>IFERROR(VLOOKUP(C91,'تقرير المصروفات حسب الشهر'!$C$512:$AD$620,3,FALSE),0)</f>
        <v>8070</v>
      </c>
      <c r="I91" s="362">
        <f>IFERROR(VLOOKUP(C91,'تقرير المصروفات حسب الشهر'!$C$637:$AD$746,3,FALSE),0)</f>
        <v>7230</v>
      </c>
      <c r="J91" s="362">
        <f>IFERROR(VLOOKUP(C91,'تقرير المصروفات حسب الشهر'!$C$763:$AD$872,3,FALSE),0)</f>
        <v>9225</v>
      </c>
      <c r="K91" s="362">
        <f>IFERROR(VLOOKUP(C91,'تقرير المصروفات حسب الشهر'!$C$890:$AD$999,3,FALSE),0)</f>
        <v>7160</v>
      </c>
      <c r="L91" s="362">
        <f>IFERROR(VLOOKUP(C91,'تقرير المصروفات حسب الشهر'!$C$1016:$AD$1126,3,FALSE),0)</f>
        <v>7715</v>
      </c>
      <c r="M91" s="376">
        <f>IFERROR(VLOOKUP(C91,'تقرير المصروفات حسب الشهر'!$C$1143:$AD$1254,3,FALSE),0)</f>
        <v>7035</v>
      </c>
      <c r="N91" s="557">
        <f>IFERROR(VLOOKUP(C91,'تقرير المصروفات حسب الشهر'!$C$1270:$AD$1381,3,FALSE),0)</f>
        <v>7520</v>
      </c>
      <c r="O91" s="376">
        <f>IFERROR(VLOOKUP(C91,'تقرير المصروفات حسب الشهر'!$C$1397:$AI$1512,3,FALSE),0)</f>
        <v>8940</v>
      </c>
      <c r="P91" s="364">
        <f t="shared" si="9"/>
        <v>162430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الشهر'!$C$10:$AD$119,3,FALSE),0)</f>
        <v>0</v>
      </c>
      <c r="E92" s="362">
        <f>IFERROR(VLOOKUP(C92,'تقرير المصروفات حسب الشهر'!$C$135:$AD$244,3,FALSE),0)</f>
        <v>0</v>
      </c>
      <c r="F92" s="362">
        <v>0</v>
      </c>
      <c r="G92" s="362">
        <f>IFERROR(VLOOKUP(C92,'تقرير المصروفات حسب الشهر'!$C$387:$AD$495,3,FALSE),0)</f>
        <v>0</v>
      </c>
      <c r="H92" s="362">
        <f>IFERROR(VLOOKUP(C92,'تقرير المصروفات حسب الشهر'!$C$512:$AD$620,3,FALSE),0)</f>
        <v>0</v>
      </c>
      <c r="I92" s="362">
        <f>IFERROR(VLOOKUP(C92,'تقرير المصروفات حسب الشهر'!$C$637:$AD$746,3,FALSE),0)</f>
        <v>0</v>
      </c>
      <c r="J92" s="362">
        <f>IFERROR(VLOOKUP(C92,'تقرير المصروفات حسب الشهر'!$C$763:$AD$872,3,FALSE),0)</f>
        <v>0</v>
      </c>
      <c r="K92" s="362">
        <f>IFERROR(VLOOKUP(C92,'تقرير المصروفات حسب الشهر'!$C$890:$AD$999,3,FALSE),0)</f>
        <v>1680</v>
      </c>
      <c r="L92" s="362">
        <f>IFERROR(VLOOKUP(C92,'تقرير المصروفات حسب الشهر'!$C$1016:$AD$1126,3,FALSE),0)</f>
        <v>0</v>
      </c>
      <c r="M92" s="376">
        <f>IFERROR(VLOOKUP(C92,'تقرير المصروفات حسب الشهر'!$C$1143:$AD$1254,3,FALSE),0)</f>
        <v>0</v>
      </c>
      <c r="N92" s="376">
        <f>IFERROR(VLOOKUP(C92,'تقرير المصروفات حسب الشهر'!$C$1270:$AD$1381,3,FALSE),0)</f>
        <v>0</v>
      </c>
      <c r="O92" s="376">
        <f>IFERROR(VLOOKUP(C92,'تقرير المصروفات حسب الشهر'!$C$1397:$AI$1512,3,FALSE),0)</f>
        <v>1200</v>
      </c>
      <c r="P92" s="364">
        <f t="shared" si="9"/>
        <v>2880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الشهر'!$C$10:$AD$119,3,FALSE),0)</f>
        <v>0</v>
      </c>
      <c r="E93" s="362">
        <f>IFERROR(VLOOKUP(C93,'تقرير المصروفات حسب الشهر'!$C$135:$AD$244,3,FALSE),0)</f>
        <v>1865</v>
      </c>
      <c r="F93" s="362">
        <v>0</v>
      </c>
      <c r="G93" s="362">
        <f>IFERROR(VLOOKUP(C93,'تقرير المصروفات حسب الشهر'!$C$387:$AD$495,3,FALSE),0)</f>
        <v>0</v>
      </c>
      <c r="H93" s="362">
        <f>IFERROR(VLOOKUP(C93,'تقرير المصروفات حسب الشهر'!$C$512:$AD$620,3,FALSE),0)</f>
        <v>1865</v>
      </c>
      <c r="I93" s="362">
        <f>IFERROR(VLOOKUP(C93,'تقرير المصروفات حسب الشهر'!$C$637:$AD$746,3,FALSE),0)</f>
        <v>0</v>
      </c>
      <c r="J93" s="362">
        <f>IFERROR(VLOOKUP(C93,'تقرير المصروفات حسب الشهر'!$C$763:$AD$872,3,FALSE),0)</f>
        <v>668</v>
      </c>
      <c r="K93" s="362">
        <f>IFERROR(VLOOKUP(C93,'تقرير المصروفات حسب الشهر'!$C$890:$AD$999,3,FALSE),0)</f>
        <v>1331.8</v>
      </c>
      <c r="L93" s="362">
        <f>IFERROR(VLOOKUP(C93,'تقرير المصروفات حسب الشهر'!$C$1016:$AD$1126,3,FALSE),0)</f>
        <v>0</v>
      </c>
      <c r="M93" s="376">
        <f>IFERROR(VLOOKUP(C93,'تقرير المصروفات حسب الشهر'!$C$1143:$AD$1254,3,FALSE),0)</f>
        <v>0</v>
      </c>
      <c r="N93" s="376">
        <f>IFERROR(VLOOKUP(C93,'تقرير المصروفات حسب الشهر'!$C$1270:$AD$1381,3,FALSE),0)</f>
        <v>0</v>
      </c>
      <c r="O93" s="376">
        <f>IFERROR(VLOOKUP(C93,'تقرير المصروفات حسب الشهر'!$C$1397:$AI$1512,3,FALSE),0)</f>
        <v>0</v>
      </c>
      <c r="P93" s="364">
        <f t="shared" si="9"/>
        <v>5729.8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الشهر'!$C$10:$AD$119,3,FALSE),0)</f>
        <v>0</v>
      </c>
      <c r="E94" s="362">
        <f>IFERROR(VLOOKUP(C94,'تقرير المصروفات حسب الشهر'!$C$135:$AD$244,3,FALSE),0)</f>
        <v>0</v>
      </c>
      <c r="F94" s="362">
        <v>0</v>
      </c>
      <c r="G94" s="362">
        <f>IFERROR(VLOOKUP(C94,'تقرير المصروفات حسب الشهر'!$C$387:$AD$495,3,FALSE),0)</f>
        <v>0</v>
      </c>
      <c r="H94" s="362">
        <f>IFERROR(VLOOKUP(C94,'تقرير المصروفات حسب الشهر'!$C$512:$AD$620,3,FALSE),0)</f>
        <v>0</v>
      </c>
      <c r="I94" s="362">
        <f>IFERROR(VLOOKUP(C94,'تقرير المصروفات حسب الشهر'!$C$637:$AD$746,3,FALSE),0)</f>
        <v>0</v>
      </c>
      <c r="J94" s="362">
        <f>IFERROR(VLOOKUP(C94,'تقرير المصروفات حسب الشهر'!$C$763:$AD$872,3,FALSE),0)</f>
        <v>0</v>
      </c>
      <c r="K94" s="362">
        <f>IFERROR(VLOOKUP(C94,'تقرير المصروفات حسب الشهر'!$C$890:$AD$999,3,FALSE),0)</f>
        <v>0</v>
      </c>
      <c r="L94" s="362">
        <f>IFERROR(VLOOKUP(C94,'تقرير المصروفات حسب الشهر'!$C$1016:$AD$1126,3,FALSE),0)</f>
        <v>0</v>
      </c>
      <c r="M94" s="376">
        <f>IFERROR(VLOOKUP(C94,'تقرير المصروفات حسب الشهر'!$C$1143:$AD$1254,3,FALSE),0)</f>
        <v>0</v>
      </c>
      <c r="N94" s="376">
        <f>IFERROR(VLOOKUP(C94,'تقرير المصروفات حسب الشهر'!$C$1270:$AD$1381,3,FALSE),0)</f>
        <v>0</v>
      </c>
      <c r="O94" s="376">
        <f>IFERROR(VLOOKUP(C94,'تقرير المصروفات حسب الشهر'!$C$1397:$AI$1512,3,FALSE),0)</f>
        <v>0</v>
      </c>
      <c r="P94" s="364">
        <f t="shared" si="9"/>
        <v>0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الشهر'!$C$10:$AD$119,3,FALSE),0)</f>
        <v>0</v>
      </c>
      <c r="E95" s="362">
        <f>IFERROR(VLOOKUP(C95,'تقرير المصروفات حسب الشهر'!$C$135:$AD$244,3,FALSE),0)</f>
        <v>0</v>
      </c>
      <c r="F95" s="362">
        <v>0</v>
      </c>
      <c r="G95" s="362">
        <f>IFERROR(VLOOKUP(C95,'تقرير المصروفات حسب الشهر'!$C$387:$AD$495,3,FALSE),0)</f>
        <v>0</v>
      </c>
      <c r="H95" s="362">
        <f>IFERROR(VLOOKUP(C95,'تقرير المصروفات حسب الشهر'!$C$512:$AD$620,3,FALSE),0)</f>
        <v>0</v>
      </c>
      <c r="I95" s="362">
        <f>IFERROR(VLOOKUP(C95,'تقرير المصروفات حسب الشهر'!$C$637:$AD$746,3,FALSE),0)</f>
        <v>0</v>
      </c>
      <c r="J95" s="362">
        <f>IFERROR(VLOOKUP(C95,'تقرير المصروفات حسب الشهر'!$C$763:$AD$872,3,FALSE),0)</f>
        <v>0</v>
      </c>
      <c r="K95" s="362">
        <f>IFERROR(VLOOKUP(C95,'تقرير المصروفات حسب الشهر'!$C$890:$AD$999,3,FALSE),0)</f>
        <v>0</v>
      </c>
      <c r="L95" s="362">
        <f>IFERROR(VLOOKUP(C95,'تقرير المصروفات حسب الشهر'!$C$1016:$AD$1126,3,FALSE),0)</f>
        <v>2130</v>
      </c>
      <c r="M95" s="376">
        <f>IFERROR(VLOOKUP(C95,'تقرير المصروفات حسب الشهر'!$C$1143:$AD$1254,3,FALSE),0)</f>
        <v>1065</v>
      </c>
      <c r="N95" s="557">
        <f>IFERROR(VLOOKUP(C95,'تقرير المصروفات حسب الشهر'!$C$1270:$AD$1381,3,FALSE),0)</f>
        <v>1065</v>
      </c>
      <c r="O95" s="376">
        <f>IFERROR(VLOOKUP(C95,'تقرير المصروفات حسب الشهر'!$C$1397:$AI$1512,3,FALSE),0)</f>
        <v>15759</v>
      </c>
      <c r="P95" s="364">
        <f t="shared" si="9"/>
        <v>20019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الشهر'!$C$10:$AD$119,3,FALSE),0)</f>
        <v>0</v>
      </c>
      <c r="E96" s="362">
        <f>IFERROR(VLOOKUP(C96,'تقرير المصروفات حسب الشهر'!$C$135:$AD$244,3,FALSE),0)</f>
        <v>0</v>
      </c>
      <c r="F96" s="362">
        <v>0</v>
      </c>
      <c r="G96" s="362">
        <f>IFERROR(VLOOKUP(C96,'تقرير المصروفات حسب الشهر'!$C$387:$AD$495,3,FALSE),0)</f>
        <v>0</v>
      </c>
      <c r="H96" s="362">
        <f>IFERROR(VLOOKUP(C96,'تقرير المصروفات حسب الشهر'!$C$512:$AD$620,3,FALSE),0)</f>
        <v>0</v>
      </c>
      <c r="I96" s="362">
        <f>IFERROR(VLOOKUP(C96,'تقرير المصروفات حسب الشهر'!$C$637:$AD$746,3,FALSE),0)</f>
        <v>0</v>
      </c>
      <c r="J96" s="362">
        <f>IFERROR(VLOOKUP(C96,'تقرير المصروفات حسب الشهر'!$C$763:$AD$872,3,FALSE),0)</f>
        <v>0</v>
      </c>
      <c r="K96" s="362">
        <f>IFERROR(VLOOKUP(C96,'تقرير المصروفات حسب الشهر'!$C$890:$AD$999,3,FALSE),0)</f>
        <v>0</v>
      </c>
      <c r="L96" s="362">
        <f>IFERROR(VLOOKUP(C96,'تقرير المصروفات حسب الشهر'!$C$1016:$AD$1126,3,FALSE),0)</f>
        <v>0</v>
      </c>
      <c r="M96" s="376">
        <f>IFERROR(VLOOKUP(C96,'تقرير المصروفات حسب الشهر'!$C$1143:$AD$1254,3,FALSE),0)</f>
        <v>0</v>
      </c>
      <c r="N96" s="376">
        <f>IFERROR(VLOOKUP(C96,'تقرير المصروفات حسب الشهر'!$C$1270:$AD$1381,3,FALSE),0)</f>
        <v>0</v>
      </c>
      <c r="O96" s="376">
        <f>IFERROR(VLOOKUP(C96,'تقرير المصروفات حسب الشهر'!$C$1397:$AI$1512,3,FALSE),0)</f>
        <v>0</v>
      </c>
      <c r="P96" s="364">
        <f t="shared" si="9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الشهر'!$C$10:$AD$119,3,FALSE),0)</f>
        <v>0</v>
      </c>
      <c r="E97" s="362">
        <f>IFERROR(VLOOKUP(C97,'تقرير المصروفات حسب الشهر'!$C$135:$AD$244,3,FALSE),0)</f>
        <v>0</v>
      </c>
      <c r="F97" s="362">
        <v>0</v>
      </c>
      <c r="G97" s="362">
        <f>IFERROR(VLOOKUP(C97,'تقرير المصروفات حسب الشهر'!$C$387:$AD$495,3,FALSE),0)</f>
        <v>0</v>
      </c>
      <c r="H97" s="362">
        <f>IFERROR(VLOOKUP(C97,'تقرير المصروفات حسب الشهر'!$C$512:$AD$620,3,FALSE),0)</f>
        <v>0</v>
      </c>
      <c r="I97" s="362">
        <f>IFERROR(VLOOKUP(C97,'تقرير المصروفات حسب الشهر'!$C$637:$AD$746,3,FALSE),0)</f>
        <v>0</v>
      </c>
      <c r="J97" s="362">
        <f>IFERROR(VLOOKUP(C97,'تقرير المصروفات حسب الشهر'!$C$763:$AD$872,3,FALSE),0)</f>
        <v>0</v>
      </c>
      <c r="K97" s="362">
        <f>IFERROR(VLOOKUP(C97,'تقرير المصروفات حسب الشهر'!$C$890:$AD$999,3,FALSE),0)</f>
        <v>0</v>
      </c>
      <c r="L97" s="362">
        <f>IFERROR(VLOOKUP(C97,'تقرير المصروفات حسب الشهر'!$C$1016:$AD$1126,3,FALSE),0)</f>
        <v>0</v>
      </c>
      <c r="M97" s="376">
        <f>IFERROR(VLOOKUP(C97,'تقرير المصروفات حسب الشهر'!$C$1143:$AD$1254,3,FALSE),0)</f>
        <v>0</v>
      </c>
      <c r="N97" s="376">
        <f>IFERROR(VLOOKUP(C97,'تقرير المصروفات حسب الشهر'!$C$1270:$AD$1381,3,FALSE),0)</f>
        <v>0</v>
      </c>
      <c r="O97" s="376">
        <f>IFERROR(VLOOKUP(C97,'تقرير المصروفات حسب الشهر'!$C$1397:$AI$1512,3,FALSE),0)</f>
        <v>0</v>
      </c>
      <c r="P97" s="364">
        <f t="shared" si="9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الشهر'!$C$10:$AD$119,3,FALSE),0)</f>
        <v>103.08</v>
      </c>
      <c r="E98" s="362">
        <f>IFERROR(VLOOKUP(C98,'تقرير المصروفات حسب الشهر'!$C$135:$AD$244,3,FALSE),0)</f>
        <v>103.08</v>
      </c>
      <c r="F98" s="362">
        <v>103.08</v>
      </c>
      <c r="G98" s="362">
        <f>IFERROR(VLOOKUP(C98,'تقرير المصروفات حسب الشهر'!$C$387:$AD$495,3,FALSE),0)</f>
        <v>103.08</v>
      </c>
      <c r="H98" s="362">
        <f>IFERROR(VLOOKUP(C98,'تقرير المصروفات حسب الشهر'!$C$512:$AD$620,3,FALSE),0)</f>
        <v>103.08</v>
      </c>
      <c r="I98" s="362">
        <f>IFERROR(VLOOKUP(C98,'تقرير المصروفات حسب الشهر'!$C$637:$AD$746,3,FALSE),0)</f>
        <v>103.08</v>
      </c>
      <c r="J98" s="362">
        <f>IFERROR(VLOOKUP(C98,'تقرير المصروفات حسب الشهر'!$C$763:$AD$872,3,FALSE),0)</f>
        <v>103.08</v>
      </c>
      <c r="K98" s="362">
        <f>IFERROR(VLOOKUP(C98,'تقرير المصروفات حسب الشهر'!$C$890:$AD$999,3,FALSE),0)</f>
        <v>103.08</v>
      </c>
      <c r="L98" s="362">
        <f>IFERROR(VLOOKUP(C98,'تقرير المصروفات حسب الشهر'!$C$1016:$AD$1126,3,FALSE),0)</f>
        <v>103.08</v>
      </c>
      <c r="M98" s="376">
        <f>IFERROR(VLOOKUP(C98,'تقرير المصروفات حسب الشهر'!$C$1143:$AD$1254,3,FALSE),0)</f>
        <v>103.08</v>
      </c>
      <c r="N98" s="557">
        <f>IFERROR(VLOOKUP(C98,'تقرير المصروفات حسب الشهر'!$C$1270:$AD$1381,3,FALSE),0)</f>
        <v>103.08</v>
      </c>
      <c r="O98" s="376">
        <f>IFERROR(VLOOKUP(C98,'تقرير المصروفات حسب الشهر'!$C$1397:$AI$1512,3,FALSE),0)</f>
        <v>0.16</v>
      </c>
      <c r="P98" s="364">
        <f t="shared" si="9"/>
        <v>1134.0400000000002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الشهر'!$C$10:$AD$119,3,FALSE),0)</f>
        <v>1065.6600000000001</v>
      </c>
      <c r="E99" s="362">
        <f>IFERROR(VLOOKUP(C99,'تقرير المصروفات حسب الشهر'!$C$135:$AD$244,3,FALSE),0)</f>
        <v>1065.6600000000001</v>
      </c>
      <c r="F99" s="362">
        <v>1065.6600000000001</v>
      </c>
      <c r="G99" s="362">
        <f>IFERROR(VLOOKUP(C99,'تقرير المصروفات حسب الشهر'!$C$387:$AD$495,3,FALSE),0)</f>
        <v>1065.6600000000001</v>
      </c>
      <c r="H99" s="362">
        <f>IFERROR(VLOOKUP(C99,'تقرير المصروفات حسب الشهر'!$C$512:$AD$620,3,FALSE),0)</f>
        <v>1065.6600000000001</v>
      </c>
      <c r="I99" s="362">
        <f>IFERROR(VLOOKUP(C99,'تقرير المصروفات حسب الشهر'!$C$637:$AD$746,3,FALSE),0)</f>
        <v>1065.6600000000001</v>
      </c>
      <c r="J99" s="362">
        <f>IFERROR(VLOOKUP(C99,'تقرير المصروفات حسب الشهر'!$C$763:$AD$872,3,FALSE),0)</f>
        <v>1065.6600000000001</v>
      </c>
      <c r="K99" s="362">
        <f>IFERROR(VLOOKUP(C99,'تقرير المصروفات حسب الشهر'!$C$890:$AD$999,3,FALSE),0)</f>
        <v>1065.6600000000001</v>
      </c>
      <c r="L99" s="362">
        <f>IFERROR(VLOOKUP(C99,'تقرير المصروفات حسب الشهر'!$C$1016:$AD$1126,3,FALSE),0)</f>
        <v>1065.6600000000001</v>
      </c>
      <c r="M99" s="376">
        <f>IFERROR(VLOOKUP(C99,'تقرير المصروفات حسب الشهر'!$C$1143:$AD$1254,3,FALSE),0)</f>
        <v>1065.6600000000001</v>
      </c>
      <c r="N99" s="557">
        <f>IFERROR(VLOOKUP(C99,'تقرير المصروفات حسب الشهر'!$C$1270:$AD$1381,3,FALSE),0)</f>
        <v>1065.6600000000001</v>
      </c>
      <c r="O99" s="376">
        <f>IFERROR(VLOOKUP(C99,'تقرير المصروفات حسب الشهر'!$C$1397:$AI$1512,3,FALSE),0)</f>
        <v>0.12</v>
      </c>
      <c r="P99" s="364">
        <f t="shared" si="9"/>
        <v>11722.380000000001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الشهر'!$C$10:$AD$119,3,FALSE),0)</f>
        <v>851.66</v>
      </c>
      <c r="E100" s="362">
        <f>IFERROR(VLOOKUP(C100,'تقرير المصروفات حسب الشهر'!$C$135:$AD$244,3,FALSE),0)</f>
        <v>782.95</v>
      </c>
      <c r="F100" s="362">
        <v>809.83</v>
      </c>
      <c r="G100" s="362">
        <f>IFERROR(VLOOKUP(C100,'تقرير المصروفات حسب الشهر'!$C$387:$AD$495,3,FALSE),0)</f>
        <v>809.83</v>
      </c>
      <c r="H100" s="362">
        <f>IFERROR(VLOOKUP(C100,'تقرير المصروفات حسب الشهر'!$C$512:$AD$620,3,FALSE),0)</f>
        <v>791.93</v>
      </c>
      <c r="I100" s="362">
        <f>IFERROR(VLOOKUP(C100,'تقرير المصروفات حسب الشهر'!$C$637:$AD$746,3,FALSE),0)</f>
        <v>759.2</v>
      </c>
      <c r="J100" s="362">
        <f>IFERROR(VLOOKUP(C100,'تقرير المصروفات حسب الشهر'!$C$763:$AD$872,3,FALSE),0)</f>
        <v>759.2</v>
      </c>
      <c r="K100" s="362">
        <f>IFERROR(VLOOKUP(C100,'تقرير المصروفات حسب الشهر'!$C$890:$AD$999,3,FALSE),0)</f>
        <v>759.2</v>
      </c>
      <c r="L100" s="362">
        <f>IFERROR(VLOOKUP(C100,'تقرير المصروفات حسب الشهر'!$C$1016:$AD$1126,3,FALSE),0)</f>
        <v>779.2</v>
      </c>
      <c r="M100" s="376">
        <f>IFERROR(VLOOKUP(C100,'تقرير المصروفات حسب الشهر'!$C$1143:$AD$1254,3,FALSE),0)</f>
        <v>1185.6400000000001</v>
      </c>
      <c r="N100" s="557">
        <f>IFERROR(VLOOKUP(C100,'تقرير المصروفات حسب الشهر'!$C$1270:$AD$1381,3,FALSE),0)</f>
        <v>1185.49</v>
      </c>
      <c r="O100" s="376">
        <f>IFERROR(VLOOKUP(C100,'تقرير المصروفات حسب الشهر'!$C$1397:$AI$1512,3,FALSE),0)</f>
        <v>920.26</v>
      </c>
      <c r="P100" s="364">
        <f t="shared" si="9"/>
        <v>10394.39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الشهر'!$C$10:$AD$119,3,FALSE),0)</f>
        <v>98.57</v>
      </c>
      <c r="E101" s="362">
        <f>IFERROR(VLOOKUP(C101,'تقرير المصروفات حسب الشهر'!$C$135:$AD$244,3,FALSE),0)</f>
        <v>98.57</v>
      </c>
      <c r="F101" s="362">
        <v>98.57</v>
      </c>
      <c r="G101" s="362">
        <f>IFERROR(VLOOKUP(C101,'تقرير المصروفات حسب الشهر'!$C$387:$AD$495,3,FALSE),0)</f>
        <v>98.57</v>
      </c>
      <c r="H101" s="362">
        <f>IFERROR(VLOOKUP(C101,'تقرير المصروفات حسب الشهر'!$C$512:$AD$620,3,FALSE),0)</f>
        <v>98.57</v>
      </c>
      <c r="I101" s="362">
        <f>IFERROR(VLOOKUP(C101,'تقرير المصروفات حسب الشهر'!$C$637:$AD$746,3,FALSE),0)</f>
        <v>98.57</v>
      </c>
      <c r="J101" s="362">
        <f>IFERROR(VLOOKUP(C101,'تقرير المصروفات حسب الشهر'!$C$763:$AD$872,3,FALSE),0)</f>
        <v>98.57</v>
      </c>
      <c r="K101" s="362">
        <f>IFERROR(VLOOKUP(C101,'تقرير المصروفات حسب الشهر'!$C$890:$AD$999,3,FALSE),0)</f>
        <v>83.3</v>
      </c>
      <c r="L101" s="362">
        <f>IFERROR(VLOOKUP(C101,'تقرير المصروفات حسب الشهر'!$C$1016:$AD$1126,3,FALSE),0)</f>
        <v>45.13</v>
      </c>
      <c r="M101" s="376">
        <f>IFERROR(VLOOKUP(C101,'تقرير المصروفات حسب الشهر'!$C$1143:$AD$1254,3,FALSE),0)</f>
        <v>45.13</v>
      </c>
      <c r="N101" s="557">
        <f>IFERROR(VLOOKUP(C101,'تقرير المصروفات حسب الشهر'!$C$1270:$AD$1381,3,FALSE),0)</f>
        <v>45.07</v>
      </c>
      <c r="O101" s="376">
        <f>IFERROR(VLOOKUP(C101,'تقرير المصروفات حسب الشهر'!$C$1397:$AI$1512,3,FALSE),0)</f>
        <v>0</v>
      </c>
      <c r="P101" s="364">
        <f t="shared" si="9"/>
        <v>908.62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الشهر'!$C$10:$AD$119,3,FALSE),0)</f>
        <v>426.97</v>
      </c>
      <c r="E102" s="362">
        <f>IFERROR(VLOOKUP(C102,'تقرير المصروفات حسب الشهر'!$C$135:$AD$244,3,FALSE),0)</f>
        <v>398.44</v>
      </c>
      <c r="F102" s="362">
        <v>395</v>
      </c>
      <c r="G102" s="362">
        <f>IFERROR(VLOOKUP(C102,'تقرير المصروفات حسب الشهر'!$C$387:$AD$495,3,FALSE),0)</f>
        <v>395</v>
      </c>
      <c r="H102" s="362">
        <f>IFERROR(VLOOKUP(C102,'تقرير المصروفات حسب الشهر'!$C$512:$AD$620,3,FALSE),0)</f>
        <v>395</v>
      </c>
      <c r="I102" s="362">
        <f>IFERROR(VLOOKUP(C102,'تقرير المصروفات حسب الشهر'!$C$637:$AD$746,3,FALSE),0)</f>
        <v>395</v>
      </c>
      <c r="J102" s="362">
        <f>IFERROR(VLOOKUP(C102,'تقرير المصروفات حسب الشهر'!$C$763:$AD$872,3,FALSE),0)</f>
        <v>395</v>
      </c>
      <c r="K102" s="362">
        <f>IFERROR(VLOOKUP(C102,'تقرير المصروفات حسب الشهر'!$C$890:$AD$999,3,FALSE),0)</f>
        <v>395</v>
      </c>
      <c r="L102" s="362">
        <f>IFERROR(VLOOKUP(C102,'تقرير المصروفات حسب الشهر'!$C$1016:$AD$1126,3,FALSE),0)</f>
        <v>394.98</v>
      </c>
      <c r="M102" s="376">
        <f>IFERROR(VLOOKUP(C102,'تقرير المصروفات حسب الشهر'!$C$1143:$AD$1254,3,FALSE),0)</f>
        <v>683.34</v>
      </c>
      <c r="N102" s="557">
        <f>IFERROR(VLOOKUP(C102,'تقرير المصروفات حسب الشهر'!$C$1270:$AD$1381,3,FALSE),0)</f>
        <v>683.11</v>
      </c>
      <c r="O102" s="376">
        <f>IFERROR(VLOOKUP(C102,'تقرير المصروفات حسب الشهر'!$C$1397:$AI$1512,3,FALSE),0)</f>
        <v>302.18</v>
      </c>
      <c r="P102" s="364">
        <f t="shared" si="9"/>
        <v>5259.0199999999995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الشهر'!$C$10:$AD$119,3,FALSE),0)</f>
        <v>8907.91</v>
      </c>
      <c r="E103" s="362">
        <f>IFERROR(VLOOKUP(C103,'تقرير المصروفات حسب الشهر'!$C$135:$AD$244,3,FALSE),0)</f>
        <v>8907.91</v>
      </c>
      <c r="F103" s="362">
        <v>8891.7800000000007</v>
      </c>
      <c r="G103" s="362">
        <f>IFERROR(VLOOKUP(C103,'تقرير المصروفات حسب الشهر'!$C$387:$AD$495,3,FALSE),0)</f>
        <v>8875.65</v>
      </c>
      <c r="H103" s="362">
        <f>IFERROR(VLOOKUP(C103,'تقرير المصروفات حسب الشهر'!$C$512:$AD$620,3,FALSE),0)</f>
        <v>8875.65</v>
      </c>
      <c r="I103" s="362">
        <f>IFERROR(VLOOKUP(C103,'تقرير المصروفات حسب الشهر'!$C$637:$AD$746,3,FALSE),0)</f>
        <v>8875.65</v>
      </c>
      <c r="J103" s="362">
        <f>IFERROR(VLOOKUP(C103,'تقرير المصروفات حسب الشهر'!$C$763:$AD$872,3,FALSE),0)</f>
        <v>9026.67</v>
      </c>
      <c r="K103" s="362">
        <f>IFERROR(VLOOKUP(C103,'تقرير المصروفات حسب الشهر'!$C$890:$AD$999,3,FALSE),0)</f>
        <v>9106.27</v>
      </c>
      <c r="L103" s="362">
        <f>IFERROR(VLOOKUP(C103,'تقرير المصروفات حسب الشهر'!$C$1016:$AD$1126,3,FALSE),0)</f>
        <v>9106.27</v>
      </c>
      <c r="M103" s="376">
        <f>IFERROR(VLOOKUP(C103,'تقرير المصروفات حسب الشهر'!$C$1143:$AD$1254,3,FALSE),0)</f>
        <v>9106.27</v>
      </c>
      <c r="N103" s="557">
        <f>IFERROR(VLOOKUP(C103,'تقرير المصروفات حسب الشهر'!$C$1270:$AD$1381,3,FALSE),0)</f>
        <v>9106.11</v>
      </c>
      <c r="O103" s="376">
        <f>IFERROR(VLOOKUP(C103,'تقرير المصروفات حسب الشهر'!$C$1397:$AI$1512,3,FALSE),0)</f>
        <v>246.87</v>
      </c>
      <c r="P103" s="364">
        <f t="shared" si="9"/>
        <v>99033.010000000009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الشهر'!$C$10:$AD$119,3,FALSE),0)</f>
        <v>0</v>
      </c>
      <c r="E104" s="362">
        <f>IFERROR(VLOOKUP(C104,'تقرير المصروفات حسب الشهر'!$C$135:$AD$244,3,FALSE),0)</f>
        <v>0</v>
      </c>
      <c r="F104" s="362">
        <v>0</v>
      </c>
      <c r="G104" s="362">
        <f>IFERROR(VLOOKUP(C104,'تقرير المصروفات حسب الشهر'!$C$387:$AD$495,3,FALSE),0)</f>
        <v>0</v>
      </c>
      <c r="H104" s="362">
        <f>IFERROR(VLOOKUP(C104,'تقرير المصروفات حسب الشهر'!$C$512:$AD$620,3,FALSE),0)</f>
        <v>0</v>
      </c>
      <c r="I104" s="362">
        <f>IFERROR(VLOOKUP(C104,'تقرير المصروفات حسب الشهر'!$C$637:$AD$746,3,FALSE),0)</f>
        <v>0</v>
      </c>
      <c r="J104" s="362">
        <f>IFERROR(VLOOKUP(C104,'تقرير المصروفات حسب الشهر'!$C$763:$AD$872,3,FALSE),0)</f>
        <v>0</v>
      </c>
      <c r="K104" s="362">
        <f>IFERROR(VLOOKUP(C104,'تقرير المصروفات حسب الشهر'!$C$890:$AD$999,3,FALSE),0)</f>
        <v>0</v>
      </c>
      <c r="L104" s="362">
        <f>IFERROR(VLOOKUP(C104,'تقرير المصروفات حسب الشهر'!$C$1016:$AD$1126,3,FALSE),0)</f>
        <v>0</v>
      </c>
      <c r="M104" s="376">
        <f>IFERROR(VLOOKUP(C104,'تقرير المصروفات حسب الشهر'!$C$1143:$AD$1254,3,FALSE),0)</f>
        <v>0</v>
      </c>
      <c r="N104" s="376">
        <f>IFERROR(VLOOKUP(C104,'تقرير المصروفات حسب الشهر'!$C$1270:$AD$1381,3,FALSE),0)</f>
        <v>0</v>
      </c>
      <c r="O104" s="376">
        <f>IFERROR(VLOOKUP(C104,'تقرير المصروفات حسب الشهر'!$C$1397:$AI$1512,3,FALSE),0)</f>
        <v>0</v>
      </c>
      <c r="P104" s="364">
        <f t="shared" si="9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الشهر'!$C$10:$AD$119,3,FALSE),0)</f>
        <v>0</v>
      </c>
      <c r="E105" s="362">
        <f>IFERROR(VLOOKUP(C105,'تقرير المصروفات حسب الشهر'!$C$135:$AD$244,3,FALSE),0)</f>
        <v>0</v>
      </c>
      <c r="F105" s="362">
        <v>0</v>
      </c>
      <c r="G105" s="362">
        <f>IFERROR(VLOOKUP(C105,'تقرير المصروفات حسب الشهر'!$C$387:$AD$495,3,FALSE),0)</f>
        <v>0</v>
      </c>
      <c r="H105" s="362">
        <f>IFERROR(VLOOKUP(C105,'تقرير المصروفات حسب الشهر'!$C$512:$AD$620,3,FALSE),0)</f>
        <v>0</v>
      </c>
      <c r="I105" s="362">
        <f>IFERROR(VLOOKUP(C105,'تقرير المصروفات حسب الشهر'!$C$637:$AD$746,3,FALSE),0)</f>
        <v>0</v>
      </c>
      <c r="J105" s="362">
        <f>IFERROR(VLOOKUP(C105,'تقرير المصروفات حسب الشهر'!$C$763:$AD$872,3,FALSE),0)</f>
        <v>0</v>
      </c>
      <c r="K105" s="362">
        <f>IFERROR(VLOOKUP(C105,'تقرير المصروفات حسب الشهر'!$C$890:$AD$999,3,FALSE),0)</f>
        <v>0</v>
      </c>
      <c r="L105" s="362">
        <f>IFERROR(VLOOKUP(C105,'تقرير المصروفات حسب الشهر'!$C$1016:$AD$1126,3,FALSE),0)</f>
        <v>0</v>
      </c>
      <c r="M105" s="376">
        <f>IFERROR(VLOOKUP(C105,'تقرير المصروفات حسب الشهر'!$C$1143:$AD$1254,3,FALSE),0)</f>
        <v>0</v>
      </c>
      <c r="N105" s="376">
        <f>IFERROR(VLOOKUP(C105,'تقرير المصروفات حسب الشهر'!$C$1270:$AD$1381,3,FALSE),0)</f>
        <v>0</v>
      </c>
      <c r="O105" s="376">
        <f>IFERROR(VLOOKUP(C105,'تقرير المصروفات حسب الشهر'!$C$1397:$AI$1512,3,FALSE),0)</f>
        <v>0</v>
      </c>
      <c r="P105" s="364">
        <f t="shared" si="9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الشهر'!$C$10:$AD$119,3,FALSE),0)</f>
        <v>19130.5</v>
      </c>
      <c r="E106" s="362">
        <f>IFERROR(VLOOKUP(C106,'تقرير المصروفات حسب الشهر'!$C$135:$AD$244,3,FALSE),0)</f>
        <v>19331.73</v>
      </c>
      <c r="F106" s="362">
        <v>18087.84</v>
      </c>
      <c r="G106" s="362">
        <f>IFERROR(VLOOKUP(C106,'تقرير المصروفات حسب الشهر'!$C$387:$AD$495,3,FALSE),0)</f>
        <v>23739.83</v>
      </c>
      <c r="H106" s="362">
        <f>IFERROR(VLOOKUP(C106,'تقرير المصروفات حسب الشهر'!$C$512:$AD$620,3,FALSE),0)</f>
        <v>21708.46</v>
      </c>
      <c r="I106" s="362">
        <f>IFERROR(VLOOKUP(C106,'تقرير المصروفات حسب الشهر'!$C$637:$AD$746,3,FALSE),0)</f>
        <v>19851.41</v>
      </c>
      <c r="J106" s="362">
        <f>IFERROR(VLOOKUP(C106,'تقرير المصروفات حسب الشهر'!$C$763:$AD$872,3,FALSE),0)</f>
        <v>21467.759999999998</v>
      </c>
      <c r="K106" s="362">
        <f>IFERROR(VLOOKUP(C106,'تقرير المصروفات حسب الشهر'!$C$890:$AD$999,3,FALSE),0)</f>
        <v>19234.48</v>
      </c>
      <c r="L106" s="362">
        <f>IFERROR(VLOOKUP(C106,'تقرير المصروفات حسب الشهر'!$C$1016:$AD$1126,3,FALSE),0)</f>
        <v>21484.86</v>
      </c>
      <c r="M106" s="376">
        <f>IFERROR(VLOOKUP(C106,'تقرير المصروفات حسب الشهر'!$C$1143:$AD$1254,3,FALSE),0)</f>
        <v>23348.05</v>
      </c>
      <c r="N106" s="557">
        <f>IFERROR(VLOOKUP(C106,'تقرير المصروفات حسب الشهر'!$C$1270:$AD$1381,3,FALSE),0)</f>
        <v>19477.03</v>
      </c>
      <c r="O106" s="376">
        <f>IFERROR(VLOOKUP(C106,'تقرير المصروفات حسب الشهر'!$C$1397:$AI$1512,3,FALSE),0)</f>
        <v>24271.809999999998</v>
      </c>
      <c r="P106" s="364">
        <f t="shared" si="9"/>
        <v>251133.75999999998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الشهر'!$C$10:$AD$119,3,FALSE),0)</f>
        <v>0</v>
      </c>
      <c r="E107" s="362">
        <f>IFERROR(VLOOKUP(C107,'تقرير المصروفات حسب الشهر'!$C$135:$AD$244,3,FALSE),0)</f>
        <v>0</v>
      </c>
      <c r="F107" s="362">
        <v>0</v>
      </c>
      <c r="G107" s="362">
        <f>IFERROR(VLOOKUP(C107,'تقرير المصروفات حسب الشهر'!$C$387:$AD$495,3,FALSE),0)</f>
        <v>0</v>
      </c>
      <c r="H107" s="362">
        <f>IFERROR(VLOOKUP(C107,'تقرير المصروفات حسب الشهر'!$C$512:$AD$620,3,FALSE),0)</f>
        <v>0</v>
      </c>
      <c r="I107" s="362">
        <f>IFERROR(VLOOKUP(C107,'تقرير المصروفات حسب الشهر'!$C$637:$AD$746,3,FALSE),0)</f>
        <v>0</v>
      </c>
      <c r="J107" s="362">
        <f>IFERROR(VLOOKUP(C107,'تقرير المصروفات حسب الشهر'!$C$763:$AD$872,3,FALSE),0)</f>
        <v>0</v>
      </c>
      <c r="K107" s="362">
        <f>IFERROR(VLOOKUP(C107,'تقرير المصروفات حسب الشهر'!$C$890:$AD$999,3,FALSE),0)</f>
        <v>0</v>
      </c>
      <c r="L107" s="362">
        <f>IFERROR(VLOOKUP(C107,'تقرير المصروفات حسب الشهر'!$C$1016:$AD$1126,3,FALSE),0)</f>
        <v>0</v>
      </c>
      <c r="M107" s="376">
        <f>IFERROR(VLOOKUP(C107,'تقرير المصروفات حسب الشهر'!$C$1143:$AD$1254,3,FALSE),0)</f>
        <v>0</v>
      </c>
      <c r="N107" s="376">
        <f>IFERROR(VLOOKUP(C107,'تقرير المصروفات حسب الشهر'!$C$1270:$AD$1381,3,FALSE),0)</f>
        <v>0</v>
      </c>
      <c r="O107" s="376">
        <f>IFERROR(VLOOKUP(C107,'تقرير المصروفات حسب الشهر'!$C$1397:$AI$1512,3,FALSE),0)</f>
        <v>0</v>
      </c>
      <c r="P107" s="364">
        <f t="shared" si="9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الشهر'!$C$10:$AD$119,3,FALSE),0)</f>
        <v>0</v>
      </c>
      <c r="E108" s="362">
        <f>IFERROR(VLOOKUP(C108,'تقرير المصروفات حسب الشهر'!$C$135:$AD$244,3,FALSE),0)</f>
        <v>0</v>
      </c>
      <c r="F108" s="362">
        <v>0</v>
      </c>
      <c r="G108" s="362">
        <f>IFERROR(VLOOKUP(C108,'تقرير المصروفات حسب الشهر'!$C$387:$AD$495,3,FALSE),0)</f>
        <v>0</v>
      </c>
      <c r="H108" s="362">
        <f>IFERROR(VLOOKUP(C108,'تقرير المصروفات حسب الشهر'!$C$512:$AD$620,3,FALSE),0)</f>
        <v>0</v>
      </c>
      <c r="I108" s="362">
        <f>IFERROR(VLOOKUP(C108,'تقرير المصروفات حسب الشهر'!$C$637:$AD$746,3,FALSE),0)</f>
        <v>0</v>
      </c>
      <c r="J108" s="362">
        <f>IFERROR(VLOOKUP(C108,'تقرير المصروفات حسب الشهر'!$C$763:$AD$872,3,FALSE),0)</f>
        <v>0</v>
      </c>
      <c r="K108" s="362">
        <f>IFERROR(VLOOKUP(C108,'تقرير المصروفات حسب الشهر'!$C$890:$AD$999,3,FALSE),0)</f>
        <v>0</v>
      </c>
      <c r="L108" s="362">
        <f>IFERROR(VLOOKUP(C108,'تقرير المصروفات حسب الشهر'!$C$1016:$AD$1126,3,FALSE),0)</f>
        <v>0</v>
      </c>
      <c r="M108" s="376">
        <f>IFERROR(VLOOKUP(C108,'تقرير المصروفات حسب الشهر'!$C$1143:$AD$1254,3,FALSE),0)</f>
        <v>0</v>
      </c>
      <c r="N108" s="376">
        <f>IFERROR(VLOOKUP(C108,'تقرير المصروفات حسب الشهر'!$C$1270:$AD$1381,3,FALSE),0)</f>
        <v>0</v>
      </c>
      <c r="O108" s="376">
        <f>IFERROR(VLOOKUP(C108,'تقرير المصروفات حسب الشهر'!$C$1397:$AI$1512,3,FALSE),0)</f>
        <v>0</v>
      </c>
      <c r="P108" s="364">
        <f t="shared" si="9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الشهر'!$C$10:$AD$119,3,FALSE),0)</f>
        <v>0</v>
      </c>
      <c r="E109" s="362">
        <f>IFERROR(VLOOKUP(C109,'تقرير المصروفات حسب الشهر'!$C$135:$AD$244,3,FALSE),0)</f>
        <v>2454.2399999999998</v>
      </c>
      <c r="F109" s="362">
        <v>0</v>
      </c>
      <c r="G109" s="362">
        <f>IFERROR(VLOOKUP(C109,'تقرير المصروفات حسب الشهر'!$C$387:$AD$495,3,FALSE),0)</f>
        <v>1600</v>
      </c>
      <c r="H109" s="362">
        <f>IFERROR(VLOOKUP(C109,'تقرير المصروفات حسب الشهر'!$C$512:$AD$620,3,FALSE),0)</f>
        <v>0</v>
      </c>
      <c r="I109" s="362">
        <f>IFERROR(VLOOKUP(C109,'تقرير المصروفات حسب الشهر'!$C$637:$AD$746,3,FALSE),0)</f>
        <v>1500</v>
      </c>
      <c r="J109" s="362">
        <f>IFERROR(VLOOKUP(C109,'تقرير المصروفات حسب الشهر'!$C$763:$AD$872,3,FALSE),0)</f>
        <v>0</v>
      </c>
      <c r="K109" s="362">
        <f>IFERROR(VLOOKUP(C109,'تقرير المصروفات حسب الشهر'!$C$890:$AD$999,3,FALSE),0)</f>
        <v>0</v>
      </c>
      <c r="L109" s="362">
        <f>IFERROR(VLOOKUP(C109,'تقرير المصروفات حسب الشهر'!$C$1016:$AD$1126,3,FALSE),0)</f>
        <v>0</v>
      </c>
      <c r="M109" s="376">
        <f>IFERROR(VLOOKUP(C109,'تقرير المصروفات حسب الشهر'!$C$1143:$AD$1254,3,FALSE),0)</f>
        <v>0</v>
      </c>
      <c r="N109" s="376">
        <f>IFERROR(VLOOKUP(C109,'تقرير المصروفات حسب الشهر'!$C$1270:$AD$1381,3,FALSE),0)</f>
        <v>0</v>
      </c>
      <c r="O109" s="376">
        <f>IFERROR(VLOOKUP(C109,'تقرير المصروفات حسب الشهر'!$C$1397:$AI$1512,3,FALSE),0)</f>
        <v>13241.24</v>
      </c>
      <c r="P109" s="364">
        <f t="shared" si="9"/>
        <v>18795.48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الشهر'!$C$10:$AD$119,3,FALSE),0)</f>
        <v>15.82</v>
      </c>
      <c r="E110" s="362">
        <f>IFERROR(VLOOKUP(C110,'تقرير المصروفات حسب الشهر'!$C$135:$AD$244,3,FALSE),0)</f>
        <v>0</v>
      </c>
      <c r="F110" s="362">
        <v>0</v>
      </c>
      <c r="G110" s="362">
        <f>IFERROR(VLOOKUP(C110,'تقرير المصروفات حسب الشهر'!$C$387:$AD$495,3,FALSE),0)</f>
        <v>0</v>
      </c>
      <c r="H110" s="362">
        <f>IFERROR(VLOOKUP(C110,'تقرير المصروفات حسب الشهر'!$C$512:$AD$620,3,FALSE),0)</f>
        <v>5701.11</v>
      </c>
      <c r="I110" s="362">
        <f>IFERROR(VLOOKUP(C110,'تقرير المصروفات حسب الشهر'!$C$637:$AD$746,3,FALSE),0)</f>
        <v>0</v>
      </c>
      <c r="J110" s="362">
        <f>IFERROR(VLOOKUP(C110,'تقرير المصروفات حسب الشهر'!$C$763:$AD$872,3,FALSE),0)</f>
        <v>41741.129999999997</v>
      </c>
      <c r="K110" s="362">
        <f>IFERROR(VLOOKUP(C110,'تقرير المصروفات حسب الشهر'!$C$890:$AD$999,3,FALSE),0)</f>
        <v>0</v>
      </c>
      <c r="L110" s="362">
        <f>IFERROR(VLOOKUP(C110,'تقرير المصروفات حسب الشهر'!$C$1016:$AD$1126,3,FALSE),0)</f>
        <v>0</v>
      </c>
      <c r="M110" s="376">
        <f>IFERROR(VLOOKUP(C110,'تقرير المصروفات حسب الشهر'!$C$1143:$AD$1254,3,FALSE),0)</f>
        <v>0</v>
      </c>
      <c r="N110" s="376">
        <f>IFERROR(VLOOKUP(C110,'تقرير المصروفات حسب الشهر'!$C$1270:$AD$1381,3,FALSE),0)</f>
        <v>0</v>
      </c>
      <c r="O110" s="376">
        <f>IFERROR(VLOOKUP(C110,'تقرير المصروفات حسب الشهر'!$C$1397:$AI$1512,3,FALSE),0)</f>
        <v>6729.83</v>
      </c>
      <c r="P110" s="364">
        <f t="shared" si="9"/>
        <v>54187.89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الشهر'!$C$10:$AD$119,3,FALSE),0)</f>
        <v>0</v>
      </c>
      <c r="E111" s="362">
        <f>IFERROR(VLOOKUP(C111,'تقرير المصروفات حسب الشهر'!$C$135:$AD$244,3,FALSE),0)</f>
        <v>0</v>
      </c>
      <c r="F111" s="362">
        <v>0</v>
      </c>
      <c r="G111" s="362">
        <f>IFERROR(VLOOKUP(C111,'تقرير المصروفات حسب الشهر'!$C$387:$AD$495,3,FALSE),0)</f>
        <v>0</v>
      </c>
      <c r="H111" s="362">
        <f>IFERROR(VLOOKUP(C111,'تقرير المصروفات حسب الشهر'!$C$512:$AD$620,3,FALSE),0)</f>
        <v>0</v>
      </c>
      <c r="I111" s="362">
        <f>IFERROR(VLOOKUP(C111,'تقرير المصروفات حسب الشهر'!$C$637:$AD$746,3,FALSE),0)</f>
        <v>0</v>
      </c>
      <c r="J111" s="362">
        <f>IFERROR(VLOOKUP(C111,'تقرير المصروفات حسب الشهر'!$C$763:$AD$872,3,FALSE),0)</f>
        <v>0</v>
      </c>
      <c r="K111" s="362">
        <f>IFERROR(VLOOKUP(C111,'تقرير المصروفات حسب الشهر'!$C$890:$AD$999,3,FALSE),0)</f>
        <v>0</v>
      </c>
      <c r="L111" s="362">
        <f>IFERROR(VLOOKUP(C111,'تقرير المصروفات حسب الشهر'!$C$1016:$AD$1126,3,FALSE),0)</f>
        <v>0</v>
      </c>
      <c r="M111" s="376">
        <f>IFERROR(VLOOKUP(C111,'تقرير المصروفات حسب الشهر'!$C$1143:$AD$1254,3,FALSE),0)</f>
        <v>0</v>
      </c>
      <c r="N111" s="376">
        <f>IFERROR(VLOOKUP(C111,'تقرير المصروفات حسب الشهر'!$C$1270:$AD$1381,3,FALSE),0)</f>
        <v>0</v>
      </c>
      <c r="O111" s="376">
        <f>IFERROR(VLOOKUP(C111,'تقرير المصروفات حسب الشهر'!$C$1397:$AI$1512,3,FALSE),0)</f>
        <v>0</v>
      </c>
      <c r="P111" s="364">
        <f t="shared" si="9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الشهر'!$C$10:$AD$119,3,FALSE),0)</f>
        <v>1799</v>
      </c>
      <c r="E112" s="362">
        <f>IFERROR(VLOOKUP(C112,'تقرير المصروفات حسب الشهر'!$C$135:$AD$244,3,FALSE),0)</f>
        <v>0</v>
      </c>
      <c r="F112" s="362">
        <v>651</v>
      </c>
      <c r="G112" s="362">
        <f>IFERROR(VLOOKUP(C112,'تقرير المصروفات حسب الشهر'!$C$387:$AD$495,3,FALSE),0)</f>
        <v>0</v>
      </c>
      <c r="H112" s="362">
        <f>IFERROR(VLOOKUP(C112,'تقرير المصروفات حسب الشهر'!$C$512:$AD$620,3,FALSE),0)</f>
        <v>0</v>
      </c>
      <c r="I112" s="362">
        <f>IFERROR(VLOOKUP(C112,'تقرير المصروفات حسب الشهر'!$C$637:$AD$746,3,FALSE),0)</f>
        <v>0</v>
      </c>
      <c r="J112" s="362">
        <f>IFERROR(VLOOKUP(C112,'تقرير المصروفات حسب الشهر'!$C$763:$AD$872,3,FALSE),0)</f>
        <v>0</v>
      </c>
      <c r="K112" s="362">
        <f>IFERROR(VLOOKUP(C112,'تقرير المصروفات حسب الشهر'!$C$890:$AD$999,3,FALSE),0)</f>
        <v>0</v>
      </c>
      <c r="L112" s="362">
        <f>IFERROR(VLOOKUP(C112,'تقرير المصروفات حسب الشهر'!$C$1016:$AD$1126,3,FALSE),0)</f>
        <v>0</v>
      </c>
      <c r="M112" s="376">
        <f>IFERROR(VLOOKUP(C112,'تقرير المصروفات حسب الشهر'!$C$1143:$AD$1254,3,FALSE),0)</f>
        <v>0</v>
      </c>
      <c r="N112" s="376">
        <f>IFERROR(VLOOKUP(C112,'تقرير المصروفات حسب الشهر'!$C$1270:$AD$1381,3,FALSE),0)</f>
        <v>0</v>
      </c>
      <c r="O112" s="376">
        <f>IFERROR(VLOOKUP(C112,'تقرير المصروفات حسب الشهر'!$C$1397:$AI$1512,3,FALSE),0)</f>
        <v>0</v>
      </c>
      <c r="P112" s="364">
        <f t="shared" si="9"/>
        <v>2450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الشهر'!$C$10:$AD$119,3,FALSE),0)</f>
        <v>0</v>
      </c>
      <c r="E113" s="362">
        <f>IFERROR(VLOOKUP(C113,'تقرير المصروفات حسب الشهر'!$C$135:$AD$244,3,FALSE),0)</f>
        <v>0</v>
      </c>
      <c r="F113" s="362">
        <v>0</v>
      </c>
      <c r="G113" s="362">
        <f>IFERROR(VLOOKUP(C113,'تقرير المصروفات حسب الشهر'!$C$387:$AD$495,3,FALSE),0)</f>
        <v>0</v>
      </c>
      <c r="H113" s="362">
        <f>IFERROR(VLOOKUP(C113,'تقرير المصروفات حسب الشهر'!$C$512:$AD$620,3,FALSE),0)</f>
        <v>0</v>
      </c>
      <c r="I113" s="362">
        <f>IFERROR(VLOOKUP(C113,'تقرير المصروفات حسب الشهر'!$C$637:$AD$746,3,FALSE),0)</f>
        <v>0</v>
      </c>
      <c r="J113" s="362">
        <f>IFERROR(VLOOKUP(C113,'تقرير المصروفات حسب الشهر'!$C$763:$AD$872,3,FALSE),0)</f>
        <v>0</v>
      </c>
      <c r="K113" s="362">
        <f>IFERROR(VLOOKUP(C113,'تقرير المصروفات حسب الشهر'!$C$890:$AD$999,3,FALSE),0)</f>
        <v>0</v>
      </c>
      <c r="L113" s="362">
        <f>IFERROR(VLOOKUP(C113,'تقرير المصروفات حسب الشهر'!$C$1016:$AD$1126,3,FALSE),0)</f>
        <v>0</v>
      </c>
      <c r="M113" s="376">
        <f>IFERROR(VLOOKUP(C113,'تقرير المصروفات حسب الشهر'!$C$1143:$AD$1254,3,FALSE),0)</f>
        <v>0</v>
      </c>
      <c r="N113" s="376">
        <f>IFERROR(VLOOKUP(C113,'تقرير المصروفات حسب الشهر'!$C$1270:$AD$1381,3,FALSE),0)</f>
        <v>0</v>
      </c>
      <c r="O113" s="376">
        <f>IFERROR(VLOOKUP(C113,'تقرير المصروفات حسب الشهر'!$C$1397:$AI$1512,3,FALSE),0)</f>
        <v>0</v>
      </c>
      <c r="P113" s="364">
        <f t="shared" si="9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الشهر'!$C$10:$AD$119,3,FALSE),0)</f>
        <v>0</v>
      </c>
      <c r="E114" s="362">
        <f>IFERROR(VLOOKUP(C114,'تقرير المصروفات حسب الشهر'!$C$135:$AD$244,3,FALSE),0)</f>
        <v>0</v>
      </c>
      <c r="F114" s="362">
        <v>0</v>
      </c>
      <c r="G114" s="362">
        <f>IFERROR(VLOOKUP(C114,'تقرير المصروفات حسب الشهر'!$C$387:$AD$495,3,FALSE),0)</f>
        <v>12435</v>
      </c>
      <c r="H114" s="362">
        <f>IFERROR(VLOOKUP(C114,'تقرير المصروفات حسب الشهر'!$C$512:$AD$620,3,FALSE),0)</f>
        <v>6435</v>
      </c>
      <c r="I114" s="362">
        <f>IFERROR(VLOOKUP(C114,'تقرير المصروفات حسب الشهر'!$C$637:$AD$746,3,FALSE),0)</f>
        <v>4560</v>
      </c>
      <c r="J114" s="362">
        <f>IFERROR(VLOOKUP(C114,'تقرير المصروفات حسب الشهر'!$C$763:$AD$872,3,FALSE),0)</f>
        <v>0</v>
      </c>
      <c r="K114" s="362">
        <f>IFERROR(VLOOKUP(C114,'تقرير المصروفات حسب الشهر'!$C$890:$AD$999,3,FALSE),0)</f>
        <v>500</v>
      </c>
      <c r="L114" s="362">
        <f>IFERROR(VLOOKUP(C114,'تقرير المصروفات حسب الشهر'!$C$1016:$AD$1126,3,FALSE),0)</f>
        <v>1800</v>
      </c>
      <c r="M114" s="376">
        <f>IFERROR(VLOOKUP(C114,'تقرير المصروفات حسب الشهر'!$C$1143:$AD$1254,3,FALSE),0)</f>
        <v>6360</v>
      </c>
      <c r="N114" s="557">
        <f>IFERROR(VLOOKUP(C114,'تقرير المصروفات حسب الشهر'!$C$1270:$AD$1381,3,FALSE),0)</f>
        <v>6160</v>
      </c>
      <c r="O114" s="376">
        <f>IFERROR(VLOOKUP(C114,'تقرير المصروفات حسب الشهر'!$C$1397:$AI$1512,3,FALSE),0)</f>
        <v>0</v>
      </c>
      <c r="P114" s="364">
        <f t="shared" si="9"/>
        <v>38250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الشهر'!$C$10:$AD$119,3,FALSE),0)</f>
        <v>0</v>
      </c>
      <c r="E115" s="362">
        <f>IFERROR(VLOOKUP(C115,'تقرير المصروفات حسب الشهر'!$C$135:$AD$244,3,FALSE),0)</f>
        <v>0</v>
      </c>
      <c r="F115" s="362">
        <v>0</v>
      </c>
      <c r="G115" s="362">
        <f>IFERROR(VLOOKUP(C115,'تقرير المصروفات حسب الشهر'!$C$387:$AD$495,3,FALSE),0)</f>
        <v>0</v>
      </c>
      <c r="H115" s="362">
        <f>IFERROR(VLOOKUP(C115,'تقرير المصروفات حسب الشهر'!$C$512:$AD$620,3,FALSE),0)</f>
        <v>0</v>
      </c>
      <c r="I115" s="362">
        <f>IFERROR(VLOOKUP(C115,'تقرير المصروفات حسب الشهر'!$C$637:$AD$746,3,FALSE),0)</f>
        <v>0</v>
      </c>
      <c r="J115" s="362">
        <f>IFERROR(VLOOKUP(C115,'تقرير المصروفات حسب الشهر'!$C$763:$AD$872,3,FALSE),0)</f>
        <v>0</v>
      </c>
      <c r="K115" s="362">
        <f>IFERROR(VLOOKUP(C115,'تقرير المصروفات حسب الشهر'!$C$890:$AD$999,3,FALSE),0)</f>
        <v>0</v>
      </c>
      <c r="L115" s="362">
        <f>IFERROR(VLOOKUP(C115,'تقرير المصروفات حسب الشهر'!$C$1016:$AD$1126,3,FALSE),0)</f>
        <v>0</v>
      </c>
      <c r="M115" s="376">
        <f>IFERROR(VLOOKUP(C115,'تقرير المصروفات حسب الشهر'!$C$1143:$AD$1254,3,FALSE),0)</f>
        <v>0</v>
      </c>
      <c r="N115" s="376">
        <f>IFERROR(VLOOKUP(C115,'تقرير المصروفات حسب الشهر'!$C$1270:$AD$1381,3,FALSE),0)</f>
        <v>0</v>
      </c>
      <c r="O115" s="376">
        <f>IFERROR(VLOOKUP(C115,'تقرير المصروفات حسب الشهر'!$C$1397:$AI$1512,3,FALSE),0)</f>
        <v>0</v>
      </c>
      <c r="P115" s="364">
        <f t="shared" si="9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الشهر'!$C$10:$AD$119,3,FALSE),0)</f>
        <v>0</v>
      </c>
      <c r="E116" s="362">
        <f>IFERROR(VLOOKUP(C116,'تقرير المصروفات حسب الشهر'!$C$135:$AD$244,3,FALSE),0)</f>
        <v>0</v>
      </c>
      <c r="F116" s="362">
        <v>0</v>
      </c>
      <c r="G116" s="362">
        <f>IFERROR(VLOOKUP(C116,'تقرير المصروفات حسب الشهر'!$C$387:$AD$495,3,FALSE),0)</f>
        <v>0</v>
      </c>
      <c r="H116" s="362">
        <f>IFERROR(VLOOKUP(C116,'تقرير المصروفات حسب الشهر'!$C$512:$AD$620,3,FALSE),0)</f>
        <v>0</v>
      </c>
      <c r="I116" s="362">
        <f>IFERROR(VLOOKUP(C116,'تقرير المصروفات حسب الشهر'!$C$637:$AD$746,3,FALSE),0)</f>
        <v>0</v>
      </c>
      <c r="J116" s="362">
        <f>IFERROR(VLOOKUP(C116,'تقرير المصروفات حسب الشهر'!$C$763:$AD$872,3,FALSE),0)</f>
        <v>0</v>
      </c>
      <c r="K116" s="362">
        <f>IFERROR(VLOOKUP(C116,'تقرير المصروفات حسب الشهر'!$C$890:$AD$999,3,FALSE),0)</f>
        <v>0</v>
      </c>
      <c r="L116" s="362">
        <f>IFERROR(VLOOKUP(C116,'تقرير المصروفات حسب الشهر'!$C$1016:$AD$1126,3,FALSE),0)</f>
        <v>0</v>
      </c>
      <c r="M116" s="376">
        <f>IFERROR(VLOOKUP(C116,'تقرير المصروفات حسب الشهر'!$C$1143:$AD$1254,3,FALSE),0)</f>
        <v>0</v>
      </c>
      <c r="N116" s="376">
        <f>IFERROR(VLOOKUP(C116,'تقرير المصروفات حسب الشهر'!$C$1270:$AD$1381,3,FALSE),0)</f>
        <v>0</v>
      </c>
      <c r="O116" s="376">
        <f>IFERROR(VLOOKUP(C116,'تقرير المصروفات حسب الشهر'!$C$1397:$AI$1512,3,FALSE),0)</f>
        <v>0</v>
      </c>
      <c r="P116" s="364">
        <f t="shared" si="9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الشهر'!$C$10:$AD$119,3,FALSE),0)</f>
        <v>0</v>
      </c>
      <c r="E117" s="362">
        <f>IFERROR(VLOOKUP(C117,'تقرير المصروفات حسب الشهر'!$C$135:$AD$244,3,FALSE),0)</f>
        <v>0</v>
      </c>
      <c r="F117" s="362">
        <v>0</v>
      </c>
      <c r="G117" s="362">
        <f>IFERROR(VLOOKUP(C117,'تقرير المصروفات حسب الشهر'!$C$387:$AD$495,3,FALSE),0)</f>
        <v>0</v>
      </c>
      <c r="H117" s="362">
        <f>IFERROR(VLOOKUP(C117,'تقرير المصروفات حسب الشهر'!$C$512:$AD$620,3,FALSE),0)</f>
        <v>0</v>
      </c>
      <c r="I117" s="362">
        <f>IFERROR(VLOOKUP(C117,'تقرير المصروفات حسب الشهر'!$C$637:$AD$746,3,FALSE),0)</f>
        <v>0</v>
      </c>
      <c r="J117" s="362">
        <f>IFERROR(VLOOKUP(C117,'تقرير المصروفات حسب الشهر'!$C$763:$AD$872,3,FALSE),0)</f>
        <v>0</v>
      </c>
      <c r="K117" s="362">
        <f>IFERROR(VLOOKUP(C117,'تقرير المصروفات حسب الشهر'!$C$890:$AD$999,3,FALSE),0)</f>
        <v>0</v>
      </c>
      <c r="L117" s="362">
        <f>IFERROR(VLOOKUP(C117,'تقرير المصروفات حسب الشهر'!$C$1016:$AD$1126,3,FALSE),0)</f>
        <v>0</v>
      </c>
      <c r="M117" s="376">
        <f>IFERROR(VLOOKUP(C117,'تقرير المصروفات حسب الشهر'!$C$1143:$AD$1254,3,FALSE),0)</f>
        <v>0</v>
      </c>
      <c r="N117" s="376">
        <f>IFERROR(VLOOKUP(C117,'تقرير المصروفات حسب الشهر'!$C$1270:$AD$1381,3,FALSE),0)</f>
        <v>0</v>
      </c>
      <c r="O117" s="376">
        <f>IFERROR(VLOOKUP(C117,'تقرير المصروفات حسب الشهر'!$C$1397:$AI$1512,3,FALSE),0)</f>
        <v>0</v>
      </c>
      <c r="P117" s="364">
        <f t="shared" si="9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الشهر'!$C$10:$AD$119,3,FALSE),0)</f>
        <v>0</v>
      </c>
      <c r="E118" s="362">
        <f>IFERROR(VLOOKUP(C118,'تقرير المصروفات حسب الشهر'!$C$135:$AD$244,3,FALSE),0)</f>
        <v>0</v>
      </c>
      <c r="F118" s="362">
        <v>0</v>
      </c>
      <c r="G118" s="362">
        <f>IFERROR(VLOOKUP(C118,'تقرير المصروفات حسب الشهر'!$C$387:$AD$495,3,FALSE),0)</f>
        <v>0</v>
      </c>
      <c r="H118" s="362">
        <f>IFERROR(VLOOKUP(C118,'تقرير المصروفات حسب الشهر'!$C$512:$AD$620,3,FALSE),0)</f>
        <v>0</v>
      </c>
      <c r="I118" s="362">
        <f>IFERROR(VLOOKUP(C118,'تقرير المصروفات حسب الشهر'!$C$637:$AD$746,3,FALSE),0)</f>
        <v>0</v>
      </c>
      <c r="J118" s="362">
        <f>IFERROR(VLOOKUP(C118,'تقرير المصروفات حسب الشهر'!$C$763:$AD$872,3,FALSE),0)</f>
        <v>0</v>
      </c>
      <c r="K118" s="362">
        <f>IFERROR(VLOOKUP(C118,'تقرير المصروفات حسب الشهر'!$C$890:$AD$999,3,FALSE),0)</f>
        <v>0</v>
      </c>
      <c r="L118" s="362">
        <f>IFERROR(VLOOKUP(C118,'تقرير المصروفات حسب الشهر'!$C$1016:$AD$1126,3,FALSE),0)</f>
        <v>0</v>
      </c>
      <c r="M118" s="376">
        <f>IFERROR(VLOOKUP(C118,'تقرير المصروفات حسب الشهر'!$C$1143:$AD$1254,3,FALSE),0)</f>
        <v>0</v>
      </c>
      <c r="N118" s="376">
        <f>IFERROR(VLOOKUP(C118,'تقرير المصروفات حسب الشهر'!$C$1270:$AD$1381,3,FALSE),0)</f>
        <v>0</v>
      </c>
      <c r="O118" s="376">
        <f>IFERROR(VLOOKUP(C118,'تقرير المصروفات حسب الشهر'!$C$1397:$AI$1512,3,FALSE),0)</f>
        <v>0</v>
      </c>
      <c r="P118" s="364">
        <f t="shared" si="9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الشهر'!$C$10:$AD$119,3,FALSE),0)</f>
        <v>0</v>
      </c>
      <c r="E119" s="362">
        <f>IFERROR(VLOOKUP(C119,'تقرير المصروفات حسب الشهر'!$C$135:$AD$244,3,FALSE),0)</f>
        <v>10154</v>
      </c>
      <c r="F119" s="362">
        <v>0</v>
      </c>
      <c r="G119" s="362">
        <f>IFERROR(VLOOKUP(C119,'تقرير المصروفات حسب الشهر'!$C$387:$AD$495,3,FALSE),0)</f>
        <v>0</v>
      </c>
      <c r="H119" s="362">
        <f>IFERROR(VLOOKUP(C119,'تقرير المصروفات حسب الشهر'!$C$512:$AD$620,3,FALSE),0)</f>
        <v>8758</v>
      </c>
      <c r="I119" s="362">
        <f>IFERROR(VLOOKUP(C119,'تقرير المصروفات حسب الشهر'!$C$637:$AD$746,3,FALSE),0)</f>
        <v>9849.19</v>
      </c>
      <c r="J119" s="362">
        <f>IFERROR(VLOOKUP(C119,'تقرير المصروفات حسب الشهر'!$C$763:$AD$872,3,FALSE),0)</f>
        <v>2970</v>
      </c>
      <c r="K119" s="362">
        <f>IFERROR(VLOOKUP(C119,'تقرير المصروفات حسب الشهر'!$C$890:$AD$999,3,FALSE),0)</f>
        <v>1640</v>
      </c>
      <c r="L119" s="362">
        <f>IFERROR(VLOOKUP(C119,'تقرير المصروفات حسب الشهر'!$C$1016:$AD$1126,3,FALSE),0)</f>
        <v>0</v>
      </c>
      <c r="M119" s="376">
        <f>IFERROR(VLOOKUP(C119,'تقرير المصروفات حسب الشهر'!$C$1143:$AD$1254,3,FALSE),0)</f>
        <v>0</v>
      </c>
      <c r="N119" s="376">
        <f>IFERROR(VLOOKUP(C119,'تقرير المصروفات حسب الشهر'!$C$1270:$AD$1381,3,FALSE),0)</f>
        <v>0</v>
      </c>
      <c r="O119" s="376">
        <f>IFERROR(VLOOKUP(C119,'تقرير المصروفات حسب الشهر'!$C$1397:$AI$1512,3,FALSE),0)</f>
        <v>13538.66</v>
      </c>
      <c r="P119" s="364">
        <f t="shared" si="9"/>
        <v>46909.850000000006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الشهر'!$C$10:$AD$119,3,FALSE),0)</f>
        <v>0</v>
      </c>
      <c r="E120" s="362">
        <f>IFERROR(VLOOKUP(C120,'تقرير المصروفات حسب الشهر'!$C$135:$AD$244,3,FALSE),0)</f>
        <v>0</v>
      </c>
      <c r="F120" s="362">
        <v>0</v>
      </c>
      <c r="G120" s="362">
        <f>IFERROR(VLOOKUP(C120,'تقرير المصروفات حسب الشهر'!$C$387:$AD$495,3,FALSE),0)</f>
        <v>0</v>
      </c>
      <c r="H120" s="362">
        <f>IFERROR(VLOOKUP(C120,'تقرير المصروفات حسب الشهر'!$C$512:$AD$620,3,FALSE),0)</f>
        <v>0</v>
      </c>
      <c r="I120" s="362">
        <f>IFERROR(VLOOKUP(C120,'تقرير المصروفات حسب الشهر'!$C$637:$AD$746,3,FALSE),0)</f>
        <v>0</v>
      </c>
      <c r="J120" s="362">
        <f>IFERROR(VLOOKUP(C120,'تقرير المصروفات حسب الشهر'!$C$763:$AD$872,3,FALSE),0)</f>
        <v>0</v>
      </c>
      <c r="K120" s="362">
        <f>IFERROR(VLOOKUP(C120,'تقرير المصروفات حسب الشهر'!$C$890:$AD$999,3,FALSE),0)</f>
        <v>0</v>
      </c>
      <c r="L120" s="362">
        <f>IFERROR(VLOOKUP(C120,'تقرير المصروفات حسب الشهر'!$C$1016:$AD$1126,3,FALSE),0)</f>
        <v>0</v>
      </c>
      <c r="M120" s="376">
        <f>IFERROR(VLOOKUP(C120,'تقرير المصروفات حسب الشهر'!$C$1143:$AD$1254,3,FALSE),0)</f>
        <v>0</v>
      </c>
      <c r="N120" s="376">
        <f>IFERROR(VLOOKUP(C120,'تقرير المصروفات حسب الشهر'!$C$1270:$AD$1381,3,FALSE),0)</f>
        <v>0</v>
      </c>
      <c r="O120" s="376">
        <f>IFERROR(VLOOKUP(C120,'تقرير المصروفات حسب الشهر'!$C$1397:$AI$1512,3,FALSE),0)</f>
        <v>0</v>
      </c>
      <c r="P120" s="364">
        <f t="shared" si="9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الشهر'!$C$10:$AD$119,3,FALSE),0)</f>
        <v>0</v>
      </c>
      <c r="E121" s="362">
        <f>IFERROR(VLOOKUP(C121,'تقرير المصروفات حسب الشهر'!$C$135:$AD$244,3,FALSE),0)</f>
        <v>0</v>
      </c>
      <c r="F121" s="362">
        <v>0</v>
      </c>
      <c r="G121" s="362">
        <f>IFERROR(VLOOKUP(C121,'تقرير المصروفات حسب الشهر'!$C$387:$AD$495,3,FALSE),0)</f>
        <v>0</v>
      </c>
      <c r="H121" s="362">
        <f>IFERROR(VLOOKUP(C121,'تقرير المصروفات حسب الشهر'!$C$512:$AD$620,3,FALSE),0)</f>
        <v>0</v>
      </c>
      <c r="I121" s="362">
        <f>IFERROR(VLOOKUP(C121,'تقرير المصروفات حسب الشهر'!$C$637:$AD$746,3,FALSE),0)</f>
        <v>0</v>
      </c>
      <c r="J121" s="362">
        <f>IFERROR(VLOOKUP(C121,'تقرير المصروفات حسب الشهر'!$C$763:$AD$872,3,FALSE),0)</f>
        <v>0</v>
      </c>
      <c r="K121" s="362">
        <f>IFERROR(VLOOKUP(C121,'تقرير المصروفات حسب الشهر'!$C$890:$AD$999,3,FALSE),0)</f>
        <v>0</v>
      </c>
      <c r="L121" s="362">
        <f>IFERROR(VLOOKUP(C121,'تقرير المصروفات حسب الشهر'!$C$1016:$AD$1126,3,FALSE),0)</f>
        <v>0</v>
      </c>
      <c r="M121" s="376">
        <f>IFERROR(VLOOKUP(C121,'تقرير المصروفات حسب الشهر'!$C$1143:$AD$1254,3,FALSE),0)</f>
        <v>0</v>
      </c>
      <c r="N121" s="376">
        <f>IFERROR(VLOOKUP(C121,'تقرير المصروفات حسب الشهر'!$C$1270:$AD$1381,3,FALSE),0)</f>
        <v>0</v>
      </c>
      <c r="O121" s="376">
        <f>IFERROR(VLOOKUP(C121,'تقرير المصروفات حسب الشهر'!$C$1397:$AI$1512,3,FALSE),0)</f>
        <v>0</v>
      </c>
      <c r="P121" s="364">
        <f t="shared" si="9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الشهر'!$C$10:$AD$119,3,FALSE),0)</f>
        <v>0</v>
      </c>
      <c r="E122" s="362">
        <f>IFERROR(VLOOKUP(C122,'تقرير المصروفات حسب الشهر'!$C$135:$AD$244,3,FALSE),0)</f>
        <v>0</v>
      </c>
      <c r="F122" s="362">
        <v>0</v>
      </c>
      <c r="G122" s="362">
        <f>IFERROR(VLOOKUP(C122,'تقرير المصروفات حسب الشهر'!$C$387:$AD$495,3,FALSE),0)</f>
        <v>0</v>
      </c>
      <c r="H122" s="362">
        <f>IFERROR(VLOOKUP(C122,'تقرير المصروفات حسب الشهر'!$C$512:$AD$620,3,FALSE),0)</f>
        <v>0</v>
      </c>
      <c r="I122" s="362">
        <f>IFERROR(VLOOKUP(C122,'تقرير المصروفات حسب الشهر'!$C$637:$AD$746,3,FALSE),0)</f>
        <v>0</v>
      </c>
      <c r="J122" s="362">
        <f>IFERROR(VLOOKUP(C122,'تقرير المصروفات حسب الشهر'!$C$763:$AD$872,3,FALSE),0)</f>
        <v>0</v>
      </c>
      <c r="K122" s="362">
        <f>IFERROR(VLOOKUP(C122,'تقرير المصروفات حسب الشهر'!$C$890:$AD$999,3,FALSE),0)</f>
        <v>0</v>
      </c>
      <c r="L122" s="362">
        <f>IFERROR(VLOOKUP(C122,'تقرير المصروفات حسب الشهر'!$C$1016:$AD$1126,3,FALSE),0)</f>
        <v>0</v>
      </c>
      <c r="M122" s="376">
        <f>IFERROR(VLOOKUP(C122,'تقرير المصروفات حسب الشهر'!$C$1143:$AD$1254,3,FALSE),0)</f>
        <v>0</v>
      </c>
      <c r="N122" s="376">
        <f>IFERROR(VLOOKUP(C122,'تقرير المصروفات حسب الشهر'!$C$1270:$AD$1381,3,FALSE),0)</f>
        <v>0</v>
      </c>
      <c r="O122" s="376">
        <f>IFERROR(VLOOKUP(C122,'تقرير المصروفات حسب الشهر'!$C$1397:$AI$1512,3,FALSE),0)</f>
        <v>0</v>
      </c>
      <c r="P122" s="364">
        <f t="shared" si="9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الشهر'!$C$10:$AD$119,3,FALSE),0)</f>
        <v>0</v>
      </c>
      <c r="E123" s="362">
        <f>IFERROR(VLOOKUP(C123,'تقرير المصروفات حسب الشهر'!$C$135:$AD$244,3,FALSE),0)</f>
        <v>0</v>
      </c>
      <c r="F123" s="362">
        <v>0</v>
      </c>
      <c r="G123" s="362">
        <f>IFERROR(VLOOKUP(C123,'تقرير المصروفات حسب الشهر'!$C$387:$AD$495,3,FALSE),0)</f>
        <v>0</v>
      </c>
      <c r="H123" s="362">
        <f>IFERROR(VLOOKUP(C123,'تقرير المصروفات حسب الشهر'!$C$512:$AD$620,3,FALSE),0)</f>
        <v>0</v>
      </c>
      <c r="I123" s="362">
        <f>IFERROR(VLOOKUP(C123,'تقرير المصروفات حسب الشهر'!$C$637:$AD$746,3,FALSE),0)</f>
        <v>0</v>
      </c>
      <c r="J123" s="362">
        <f>IFERROR(VLOOKUP(C123,'تقرير المصروفات حسب الشهر'!$C$763:$AD$872,3,FALSE),0)</f>
        <v>0</v>
      </c>
      <c r="K123" s="362">
        <f>IFERROR(VLOOKUP(C123,'تقرير المصروفات حسب الشهر'!$C$890:$AD$999,3,FALSE),0)</f>
        <v>0</v>
      </c>
      <c r="L123" s="362">
        <f>IFERROR(VLOOKUP(C123,'تقرير المصروفات حسب الشهر'!$C$1016:$AD$1126,3,FALSE),0)</f>
        <v>0</v>
      </c>
      <c r="M123" s="376">
        <f>IFERROR(VLOOKUP(C123,'تقرير المصروفات حسب الشهر'!$C$1143:$AD$1254,3,FALSE),0)</f>
        <v>0</v>
      </c>
      <c r="N123" s="376">
        <f>IFERROR(VLOOKUP(C123,'تقرير المصروفات حسب الشهر'!$C$1270:$AD$1381,3,FALSE),0)</f>
        <v>0</v>
      </c>
      <c r="O123" s="376">
        <f>IFERROR(VLOOKUP(C123,'تقرير المصروفات حسب الشهر'!$C$1397:$AI$1512,3,FALSE),0)</f>
        <v>0</v>
      </c>
      <c r="P123" s="364">
        <f t="shared" si="9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الشهر'!$C$10:$AD$119,3,FALSE),0)</f>
        <v>0</v>
      </c>
      <c r="E124" s="362">
        <f>IFERROR(VLOOKUP(C124,'تقرير المصروفات حسب الشهر'!$C$135:$AD$244,3,FALSE),0)</f>
        <v>0</v>
      </c>
      <c r="F124" s="362">
        <v>0</v>
      </c>
      <c r="G124" s="362">
        <f>IFERROR(VLOOKUP(C124,'تقرير المصروفات حسب الشهر'!$C$387:$AD$495,3,FALSE),0)</f>
        <v>0</v>
      </c>
      <c r="H124" s="362">
        <f>IFERROR(VLOOKUP(C124,'تقرير المصروفات حسب الشهر'!$C$512:$AD$620,3,FALSE),0)</f>
        <v>0</v>
      </c>
      <c r="I124" s="362">
        <f>IFERROR(VLOOKUP(C124,'تقرير المصروفات حسب الشهر'!$C$637:$AD$746,3,FALSE),0)</f>
        <v>0</v>
      </c>
      <c r="J124" s="362">
        <f>IFERROR(VLOOKUP(C124,'تقرير المصروفات حسب الشهر'!$C$763:$AD$872,3,FALSE),0)</f>
        <v>0</v>
      </c>
      <c r="K124" s="362">
        <f>IFERROR(VLOOKUP(C124,'تقرير المصروفات حسب الشهر'!$C$890:$AD$999,3,FALSE),0)</f>
        <v>0</v>
      </c>
      <c r="L124" s="362">
        <f>IFERROR(VLOOKUP(C124,'تقرير المصروفات حسب الشهر'!$C$1016:$AD$1126,3,FALSE),0)</f>
        <v>0</v>
      </c>
      <c r="M124" s="376">
        <f>IFERROR(VLOOKUP(C124,'تقرير المصروفات حسب الشهر'!$C$1143:$AD$1254,3,FALSE),0)</f>
        <v>0</v>
      </c>
      <c r="N124" s="376">
        <f>IFERROR(VLOOKUP(C124,'تقرير المصروفات حسب الشهر'!$C$1270:$AD$1381,3,FALSE),0)</f>
        <v>0</v>
      </c>
      <c r="O124" s="376">
        <f>IFERROR(VLOOKUP(C124,'تقرير المصروفات حسب الشهر'!$C$1397:$AI$1512,3,FALSE),0)</f>
        <v>0</v>
      </c>
      <c r="P124" s="364">
        <f t="shared" si="9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الشهر'!$C$10:$AD$119,3,FALSE),0)</f>
        <v>0</v>
      </c>
      <c r="E125" s="362">
        <f>IFERROR(VLOOKUP(C125,'تقرير المصروفات حسب الشهر'!$C$135:$AD$244,3,FALSE),0)</f>
        <v>0</v>
      </c>
      <c r="F125" s="362">
        <v>0</v>
      </c>
      <c r="G125" s="362">
        <f>IFERROR(VLOOKUP(C125,'تقرير المصروفات حسب الشهر'!$C$387:$AD$495,3,FALSE),0)</f>
        <v>0</v>
      </c>
      <c r="H125" s="362">
        <f>IFERROR(VLOOKUP(C125,'تقرير المصروفات حسب الشهر'!$C$512:$AD$620,3,FALSE),0)</f>
        <v>0</v>
      </c>
      <c r="I125" s="362">
        <f>IFERROR(VLOOKUP(C125,'تقرير المصروفات حسب الشهر'!$C$637:$AD$746,3,FALSE),0)</f>
        <v>0</v>
      </c>
      <c r="J125" s="362">
        <f>IFERROR(VLOOKUP(C125,'تقرير المصروفات حسب الشهر'!$C$763:$AD$872,3,FALSE),0)</f>
        <v>0</v>
      </c>
      <c r="K125" s="362">
        <f>IFERROR(VLOOKUP(C125,'تقرير المصروفات حسب الشهر'!$C$890:$AD$999,3,FALSE),0)</f>
        <v>0</v>
      </c>
      <c r="L125" s="362">
        <f>IFERROR(VLOOKUP(C125,'تقرير المصروفات حسب الشهر'!$C$1016:$AD$1126,3,FALSE),0)</f>
        <v>0</v>
      </c>
      <c r="M125" s="376">
        <f>IFERROR(VLOOKUP(C125,'تقرير المصروفات حسب الشهر'!$C$1143:$AD$1254,3,FALSE),0)</f>
        <v>0</v>
      </c>
      <c r="N125" s="376">
        <f>IFERROR(VLOOKUP(C125,'تقرير المصروفات حسب الشهر'!$C$1270:$AD$1381,3,FALSE),0)</f>
        <v>0</v>
      </c>
      <c r="O125" s="376">
        <f>IFERROR(VLOOKUP(C125,'تقرير المصروفات حسب الشهر'!$C$1397:$AI$1512,3,FALSE),0)</f>
        <v>0</v>
      </c>
      <c r="P125" s="364">
        <f t="shared" si="9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الشهر'!$C$10:$AD$119,3,FALSE),0)</f>
        <v>0</v>
      </c>
      <c r="E126" s="362">
        <f>IFERROR(VLOOKUP(C126,'تقرير المصروفات حسب الشهر'!$C$135:$AD$244,3,FALSE),0)</f>
        <v>0</v>
      </c>
      <c r="F126" s="362">
        <v>0</v>
      </c>
      <c r="G126" s="362">
        <f>IFERROR(VLOOKUP(C126,'تقرير المصروفات حسب الشهر'!$C$387:$AD$495,3,FALSE),0)</f>
        <v>0</v>
      </c>
      <c r="H126" s="362">
        <f>IFERROR(VLOOKUP(C126,'تقرير المصروفات حسب الشهر'!$C$512:$AD$620,3,FALSE),0)</f>
        <v>0</v>
      </c>
      <c r="I126" s="362">
        <f>IFERROR(VLOOKUP(C126,'تقرير المصروفات حسب الشهر'!$C$637:$AD$746,3,FALSE),0)</f>
        <v>0</v>
      </c>
      <c r="J126" s="362">
        <f>IFERROR(VLOOKUP(C126,'تقرير المصروفات حسب الشهر'!$C$763:$AD$872,3,FALSE),0)</f>
        <v>0</v>
      </c>
      <c r="K126" s="362">
        <f>IFERROR(VLOOKUP(C126,'تقرير المصروفات حسب الشهر'!$C$890:$AD$999,3,FALSE),0)</f>
        <v>0</v>
      </c>
      <c r="L126" s="362">
        <f>IFERROR(VLOOKUP(C126,'تقرير المصروفات حسب الشهر'!$C$1016:$AD$1126,3,FALSE),0)</f>
        <v>0</v>
      </c>
      <c r="M126" s="376">
        <f>IFERROR(VLOOKUP(C126,'تقرير المصروفات حسب الشهر'!$C$1143:$AD$1254,3,FALSE),0)</f>
        <v>0</v>
      </c>
      <c r="N126" s="376">
        <f>IFERROR(VLOOKUP(C126,'تقرير المصروفات حسب الشهر'!$C$1270:$AD$1381,3,FALSE),0)</f>
        <v>0</v>
      </c>
      <c r="O126" s="376">
        <f>IFERROR(VLOOKUP(C126,'تقرير المصروفات حسب الشهر'!$C$1397:$AI$1512,3,FALSE),0)</f>
        <v>0</v>
      </c>
      <c r="P126" s="364">
        <f t="shared" si="9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الشهر'!$C$10:$AD$119,3,FALSE),0)</f>
        <v>0</v>
      </c>
      <c r="E127" s="362">
        <f>IFERROR(VLOOKUP(C127,'تقرير المصروفات حسب الشهر'!$C$135:$AD$244,3,FALSE),0)</f>
        <v>0</v>
      </c>
      <c r="F127" s="362">
        <v>0</v>
      </c>
      <c r="G127" s="362">
        <f>IFERROR(VLOOKUP(C127,'تقرير المصروفات حسب الشهر'!$C$387:$AD$495,3,FALSE),0)</f>
        <v>0</v>
      </c>
      <c r="H127" s="362">
        <f>IFERROR(VLOOKUP(C127,'تقرير المصروفات حسب الشهر'!$C$512:$AD$620,3,FALSE),0)</f>
        <v>0</v>
      </c>
      <c r="I127" s="362">
        <f>IFERROR(VLOOKUP(C127,'تقرير المصروفات حسب الشهر'!$C$637:$AD$746,3,FALSE),0)</f>
        <v>0</v>
      </c>
      <c r="J127" s="362">
        <f>IFERROR(VLOOKUP(C127,'تقرير المصروفات حسب الشهر'!$C$763:$AD$872,3,FALSE),0)</f>
        <v>0</v>
      </c>
      <c r="K127" s="362">
        <f>IFERROR(VLOOKUP(C127,'تقرير المصروفات حسب الشهر'!$C$890:$AD$999,3,FALSE),0)</f>
        <v>0</v>
      </c>
      <c r="L127" s="362">
        <f>IFERROR(VLOOKUP(C127,'تقرير المصروفات حسب الشهر'!$C$1016:$AD$1126,3,FALSE),0)</f>
        <v>0</v>
      </c>
      <c r="M127" s="376">
        <f>IFERROR(VLOOKUP(C127,'تقرير المصروفات حسب الشهر'!$C$1143:$AD$1254,3,FALSE),0)</f>
        <v>0</v>
      </c>
      <c r="N127" s="376">
        <f>IFERROR(VLOOKUP(C127,'تقرير المصروفات حسب الشهر'!$C$1270:$AD$1381,3,FALSE),0)</f>
        <v>0</v>
      </c>
      <c r="O127" s="376">
        <f>IFERROR(VLOOKUP(C127,'تقرير المصروفات حسب الشهر'!$C$1397:$AI$1512,3,FALSE),0)</f>
        <v>0</v>
      </c>
      <c r="P127" s="364">
        <f t="shared" si="9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الشهر'!$C$10:$AD$119,3,FALSE),0)</f>
        <v>0</v>
      </c>
      <c r="E128" s="362">
        <f>IFERROR(VLOOKUP(C128,'تقرير المصروفات حسب الشهر'!$C$135:$AD$244,3,FALSE),0)</f>
        <v>0</v>
      </c>
      <c r="F128" s="362">
        <v>0</v>
      </c>
      <c r="G128" s="362">
        <f>IFERROR(VLOOKUP(C128,'تقرير المصروفات حسب الشهر'!$C$387:$AD$495,3,FALSE),0)</f>
        <v>0</v>
      </c>
      <c r="H128" s="362">
        <f>IFERROR(VLOOKUP(C128,'تقرير المصروفات حسب الشهر'!$C$512:$AD$620,3,FALSE),0)</f>
        <v>0</v>
      </c>
      <c r="I128" s="362">
        <f>IFERROR(VLOOKUP(C128,'تقرير المصروفات حسب الشهر'!$C$637:$AD$746,3,FALSE),0)</f>
        <v>0</v>
      </c>
      <c r="J128" s="362">
        <f>IFERROR(VLOOKUP(C128,'تقرير المصروفات حسب الشهر'!$C$763:$AD$872,3,FALSE),0)</f>
        <v>0</v>
      </c>
      <c r="K128" s="362">
        <f>IFERROR(VLOOKUP(C128,'تقرير المصروفات حسب الشهر'!$C$890:$AD$999,3,FALSE),0)</f>
        <v>0</v>
      </c>
      <c r="L128" s="362">
        <f>IFERROR(VLOOKUP(C128,'تقرير المصروفات حسب الشهر'!$C$1016:$AD$1126,3,FALSE),0)</f>
        <v>0</v>
      </c>
      <c r="M128" s="376">
        <f>IFERROR(VLOOKUP(C128,'تقرير المصروفات حسب الشهر'!$C$1143:$AD$1254,3,FALSE),0)</f>
        <v>0</v>
      </c>
      <c r="N128" s="376">
        <f>IFERROR(VLOOKUP(C128,'تقرير المصروفات حسب الشهر'!$C$1270:$AD$1381,3,FALSE),0)</f>
        <v>0</v>
      </c>
      <c r="O128" s="376">
        <f>IFERROR(VLOOKUP(C128,'تقرير المصروفات حسب الشهر'!$C$1397:$AI$1512,3,FALSE),0)</f>
        <v>0</v>
      </c>
      <c r="P128" s="364">
        <f t="shared" si="9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الشهر'!$C$10:$AD$119,3,FALSE),0)</f>
        <v>3018.75</v>
      </c>
      <c r="E129" s="362">
        <f>IFERROR(VLOOKUP(C129,'تقرير المصروفات حسب الشهر'!$C$135:$AD$244,3,FALSE),0)</f>
        <v>3018.75</v>
      </c>
      <c r="F129" s="362">
        <v>3018.75</v>
      </c>
      <c r="G129" s="362">
        <f>IFERROR(VLOOKUP(C129,'تقرير المصروفات حسب الشهر'!$C$387:$AD$495,3,FALSE),0)</f>
        <v>3018.75</v>
      </c>
      <c r="H129" s="362">
        <f>IFERROR(VLOOKUP(C129,'تقرير المصروفات حسب الشهر'!$C$512:$AD$620,3,FALSE),0)</f>
        <v>3450</v>
      </c>
      <c r="I129" s="362">
        <f>IFERROR(VLOOKUP(C129,'تقرير المصروفات حسب الشهر'!$C$637:$AD$746,3,FALSE),0)</f>
        <v>3450</v>
      </c>
      <c r="J129" s="362">
        <f>IFERROR(VLOOKUP(C129,'تقرير المصروفات حسب الشهر'!$C$763:$AD$872,3,FALSE),0)</f>
        <v>3881.25</v>
      </c>
      <c r="K129" s="362">
        <f>IFERROR(VLOOKUP(C129,'تقرير المصروفات حسب الشهر'!$C$890:$AD$999,3,FALSE),0)</f>
        <v>3881.25</v>
      </c>
      <c r="L129" s="362">
        <f>IFERROR(VLOOKUP(C129,'تقرير المصروفات حسب الشهر'!$C$1016:$AD$1126,3,FALSE),0)</f>
        <v>3881.25</v>
      </c>
      <c r="M129" s="376">
        <f>IFERROR(VLOOKUP(C129,'تقرير المصروفات حسب الشهر'!$C$1143:$AD$1254,3,FALSE),0)</f>
        <v>3881.25</v>
      </c>
      <c r="N129" s="557">
        <f>IFERROR(VLOOKUP(C129,'تقرير المصروفات حسب الشهر'!$C$1270:$AD$1381,3,FALSE),0)</f>
        <v>3450</v>
      </c>
      <c r="O129" s="376">
        <f>IFERROR(VLOOKUP(C129,'تقرير المصروفات حسب الشهر'!$C$1397:$AI$1512,3,FALSE),0)</f>
        <v>3450</v>
      </c>
      <c r="P129" s="364">
        <f t="shared" si="9"/>
        <v>41400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الشهر'!$C$10:$AD$119,3,FALSE),0)</f>
        <v>0</v>
      </c>
      <c r="E130" s="362">
        <f>IFERROR(VLOOKUP(C130,'تقرير المصروفات حسب الشهر'!$C$135:$AD$244,3,FALSE),0)</f>
        <v>0</v>
      </c>
      <c r="F130" s="362">
        <v>0</v>
      </c>
      <c r="G130" s="362">
        <f>IFERROR(VLOOKUP(C130,'تقرير المصروفات حسب الشهر'!$C$387:$AD$495,3,FALSE),0)</f>
        <v>0</v>
      </c>
      <c r="H130" s="362">
        <f>IFERROR(VLOOKUP(C130,'تقرير المصروفات حسب الشهر'!$C$512:$AD$620,3,FALSE),0)</f>
        <v>0</v>
      </c>
      <c r="I130" s="362">
        <f>IFERROR(VLOOKUP(C130,'تقرير المصروفات حسب الشهر'!$C$637:$AD$746,3,FALSE),0)</f>
        <v>0</v>
      </c>
      <c r="J130" s="362">
        <f>IFERROR(VLOOKUP(C130,'تقرير المصروفات حسب الشهر'!$C$763:$AD$872,3,FALSE),0)</f>
        <v>0</v>
      </c>
      <c r="K130" s="362">
        <f>IFERROR(VLOOKUP(C130,'تقرير المصروفات حسب الشهر'!$C$890:$AD$999,3,FALSE),0)</f>
        <v>0</v>
      </c>
      <c r="L130" s="362">
        <f>IFERROR(VLOOKUP(C130,'تقرير المصروفات حسب الشهر'!$C$1016:$AD$1126,3,FALSE),0)</f>
        <v>0</v>
      </c>
      <c r="M130" s="376">
        <f>IFERROR(VLOOKUP(C130,'تقرير المصروفات حسب الشهر'!$C$1143:$AD$1254,3,FALSE),0)</f>
        <v>0</v>
      </c>
      <c r="N130" s="376">
        <f>IFERROR(VLOOKUP(C130,'تقرير المصروفات حسب الشهر'!$C$1270:$AD$1381,3,FALSE),0)</f>
        <v>0</v>
      </c>
      <c r="O130" s="376">
        <f>IFERROR(VLOOKUP(C130,'تقرير المصروفات حسب الشهر'!$C$1397:$AI$1512,3,FALSE),0)</f>
        <v>0</v>
      </c>
      <c r="P130" s="364">
        <f t="shared" si="9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الشهر'!$C$10:$AD$119,3,FALSE),0)</f>
        <v>0</v>
      </c>
      <c r="E131" s="362">
        <f>IFERROR(VLOOKUP(C131,'تقرير المصروفات حسب الشهر'!$C$135:$AD$244,3,FALSE),0)</f>
        <v>0</v>
      </c>
      <c r="F131" s="362">
        <v>0</v>
      </c>
      <c r="G131" s="362">
        <f>IFERROR(VLOOKUP(C131,'تقرير المصروفات حسب الشهر'!$C$387:$AD$495,3,FALSE),0)</f>
        <v>0</v>
      </c>
      <c r="H131" s="362">
        <f>IFERROR(VLOOKUP(C131,'تقرير المصروفات حسب الشهر'!$C$512:$AD$620,3,FALSE),0)</f>
        <v>0</v>
      </c>
      <c r="I131" s="362">
        <f>IFERROR(VLOOKUP(C131,'تقرير المصروفات حسب الشهر'!$C$637:$AD$746,3,FALSE),0)</f>
        <v>0</v>
      </c>
      <c r="J131" s="362">
        <f>IFERROR(VLOOKUP(C131,'تقرير المصروفات حسب الشهر'!$C$763:$AD$872,3,FALSE),0)</f>
        <v>0</v>
      </c>
      <c r="K131" s="362">
        <f>IFERROR(VLOOKUP(C131,'تقرير المصروفات حسب الشهر'!$C$890:$AD$999,3,FALSE),0)</f>
        <v>0</v>
      </c>
      <c r="L131" s="362">
        <f>IFERROR(VLOOKUP(C131,'تقرير المصروفات حسب الشهر'!$C$1016:$AI$1128,3,FALSE),0)</f>
        <v>0</v>
      </c>
      <c r="M131" s="376">
        <f>IFERROR(VLOOKUP(C131,'تقرير المصروفات حسب الشهر'!$C$1143:$AD$1254,3,FALSE),0)</f>
        <v>0</v>
      </c>
      <c r="N131" s="376">
        <f>IFERROR(VLOOKUP(C131,'تقرير المصروفات حسب الشهر'!$C$1270:$AD$1381,3,FALSE),0)</f>
        <v>0</v>
      </c>
      <c r="O131" s="376">
        <f>IFERROR(VLOOKUP(C131,'تقرير المصروفات حسب الشهر'!$C$1397:$AI$1512,3,FALSE),0)</f>
        <v>0</v>
      </c>
      <c r="P131" s="364">
        <f t="shared" si="9"/>
        <v>0</v>
      </c>
    </row>
    <row r="132" spans="1:17" ht="18" customHeight="1">
      <c r="B132" s="124"/>
      <c r="C132" s="150" t="s">
        <v>360</v>
      </c>
      <c r="D132" s="362">
        <f>IFERROR(VLOOKUP(C132,'تقرير المصروفات حسب الشهر'!$C$10:$AD$123,3,FALSE),0)</f>
        <v>184724.06</v>
      </c>
      <c r="E132" s="362">
        <f>IFERROR(VLOOKUP(C132,'تقرير المصروفات حسب الشهر'!$C$135:$AD$252,3,FALSE),0)</f>
        <v>227298.83000000002</v>
      </c>
      <c r="F132" s="362">
        <v>258410.07</v>
      </c>
      <c r="G132" s="362">
        <f>IFERROR(VLOOKUP(C132,'تقرير المصروفات حسب الشهر'!$C$387:$AD$503,3,FALSE),0)</f>
        <v>329423.45</v>
      </c>
      <c r="H132" s="362">
        <f>IFERROR(VLOOKUP(C132,'تقرير المصروفات حسب الشهر'!$C$512:$AD$622,3,FALSE),0)</f>
        <v>368487.11</v>
      </c>
      <c r="I132" s="362">
        <f>IFERROR(VLOOKUP(C132,'تقرير المصروفات حسب الشهر'!$C$637:$AD$750,3,FALSE),0)</f>
        <v>470060.39</v>
      </c>
      <c r="J132" s="362">
        <f>IFERROR(VLOOKUP(C132,'تقرير المصروفات حسب الشهر'!$C$763:$AD$877,3,FALSE),0)</f>
        <v>393717.5</v>
      </c>
      <c r="K132" s="362">
        <f>IFERROR(VLOOKUP(C132,'تقرير المصروفات حسب الشهر'!$C$890:$AD$1002,3,FALSE),0)</f>
        <v>318750.67</v>
      </c>
      <c r="L132" s="362">
        <f>IFERROR(VLOOKUP(C132,'تقرير المصروفات حسب الشهر'!$C$1016:$AI$1128,3,FALSE),0)</f>
        <v>416728.62</v>
      </c>
      <c r="M132" s="376">
        <f>IFERROR(VLOOKUP(C132,'تقرير المصروفات حسب الشهر'!$C$1143:$AD$1254,3,FALSE),0)</f>
        <v>370162.41</v>
      </c>
      <c r="N132" s="557">
        <f>IFERROR(VLOOKUP(C132,'تقرير المصروفات حسب الشهر'!$C$1270:$AD$1382,3,FALSE),0)</f>
        <v>409886.17</v>
      </c>
      <c r="O132" s="376">
        <f>IFERROR(VLOOKUP(C132,'تقرير المصروفات حسب الشهر'!$C$1397:$AI$1512,3,FALSE),0)</f>
        <v>452349.88</v>
      </c>
      <c r="P132" s="364">
        <f>SUM(D132:O132)</f>
        <v>4199999.16</v>
      </c>
    </row>
    <row r="133" spans="1:17" ht="18" customHeight="1">
      <c r="B133" s="124"/>
      <c r="C133" s="341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الشهر'!$C$763:$AD$877,3,FALSE),0)</f>
        <v>62211.040000000001</v>
      </c>
      <c r="K133" s="362">
        <f>IFERROR(VLOOKUP(C133,'تقرير المصروفات حسب الشهر'!$C$890:$AD$1002,3,FALSE),0)</f>
        <v>113523.11</v>
      </c>
      <c r="L133" s="362">
        <f>IFERROR(VLOOKUP(C133,'تقرير المصروفات حسب الشهر'!$C$1016:$AI$1131,3,FALSE),0)</f>
        <v>164357.20000000001</v>
      </c>
      <c r="M133" s="376">
        <f>IFERROR(VLOOKUP(C133,'تقرير المصروفات حسب الشهر'!$C$1143:$AD$1258,3,FALSE),0)</f>
        <v>138156.89000000001</v>
      </c>
      <c r="N133" s="557">
        <f>IFERROR(VLOOKUP(C133,'تقرير المصروفات حسب الشهر'!$C$1270:$AD$1383,3,FALSE),0)</f>
        <v>74428.11</v>
      </c>
      <c r="O133" s="376">
        <f>IFERROR(VLOOKUP(C133,'تقرير المصروفات حسب الشهر'!$C$1397:$AI$1512,3,FALSE),0)</f>
        <v>102674.67</v>
      </c>
      <c r="P133" s="436"/>
    </row>
    <row r="134" spans="1:17" ht="18" customHeight="1">
      <c r="B134" s="124"/>
      <c r="C134" s="149" t="s">
        <v>270</v>
      </c>
      <c r="D134" s="146">
        <f t="shared" ref="D134:I134" si="10">SUM(D22:D132)</f>
        <v>702776.08999999985</v>
      </c>
      <c r="E134" s="146">
        <f t="shared" si="10"/>
        <v>682847.5199999999</v>
      </c>
      <c r="F134" s="146">
        <f t="shared" si="10"/>
        <v>756739.52</v>
      </c>
      <c r="G134" s="146">
        <f t="shared" si="10"/>
        <v>838969.20000000019</v>
      </c>
      <c r="H134" s="146">
        <f t="shared" si="10"/>
        <v>864941.69</v>
      </c>
      <c r="I134" s="146">
        <f t="shared" si="10"/>
        <v>1006657.37</v>
      </c>
      <c r="J134" s="146">
        <f t="shared" ref="J134:O134" si="11">SUM(J22:J133)</f>
        <v>1023718.5599999999</v>
      </c>
      <c r="K134" s="146">
        <f t="shared" si="11"/>
        <v>959275.17999999982</v>
      </c>
      <c r="L134" s="146">
        <f t="shared" si="11"/>
        <v>1174300.3</v>
      </c>
      <c r="M134" s="146">
        <f t="shared" si="11"/>
        <v>1105408.8700000001</v>
      </c>
      <c r="N134" s="146">
        <f t="shared" si="11"/>
        <v>1134451.42</v>
      </c>
      <c r="O134" s="146">
        <f t="shared" si="11"/>
        <v>1311621.5899999999</v>
      </c>
      <c r="P134" s="388">
        <f t="shared" si="9"/>
        <v>11561707.309999999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12">D19</f>
        <v>1006457.4599999995</v>
      </c>
      <c r="E136" s="392">
        <f t="shared" si="12"/>
        <v>937168.40000000119</v>
      </c>
      <c r="F136" s="392">
        <f t="shared" si="12"/>
        <v>1012104.5800000001</v>
      </c>
      <c r="G136" s="392">
        <f t="shared" si="12"/>
        <v>1113227.8899999997</v>
      </c>
      <c r="H136" s="392">
        <f t="shared" si="12"/>
        <v>1186553.5499999998</v>
      </c>
      <c r="I136" s="392">
        <f t="shared" si="12"/>
        <v>1245915.8399999999</v>
      </c>
      <c r="J136" s="392">
        <f t="shared" si="12"/>
        <v>1238782.2299999995</v>
      </c>
      <c r="K136" s="392">
        <f t="shared" si="12"/>
        <v>1351044.1700000002</v>
      </c>
      <c r="L136" s="392">
        <f t="shared" si="12"/>
        <v>1377150.3399999992</v>
      </c>
      <c r="M136" s="392">
        <f t="shared" si="12"/>
        <v>1537913.29</v>
      </c>
      <c r="N136" s="392">
        <f t="shared" si="12"/>
        <v>1431154.0899999996</v>
      </c>
      <c r="O136" s="392">
        <f t="shared" si="12"/>
        <v>1658679.4900000002</v>
      </c>
      <c r="P136" s="388">
        <f t="shared" si="9"/>
        <v>15096151.33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303681.36999999965</v>
      </c>
      <c r="E139" s="383">
        <f t="shared" ref="E139:O139" si="13">E136-E134</f>
        <v>254320.88000000129</v>
      </c>
      <c r="F139" s="383">
        <f t="shared" si="13"/>
        <v>255365.06000000006</v>
      </c>
      <c r="G139" s="383">
        <f t="shared" si="13"/>
        <v>274258.68999999948</v>
      </c>
      <c r="H139" s="383">
        <f t="shared" si="13"/>
        <v>321611.85999999987</v>
      </c>
      <c r="I139" s="383">
        <f t="shared" si="13"/>
        <v>239258.46999999986</v>
      </c>
      <c r="J139" s="383">
        <f t="shared" si="13"/>
        <v>215063.66999999958</v>
      </c>
      <c r="K139" s="383">
        <f t="shared" si="13"/>
        <v>391768.99000000034</v>
      </c>
      <c r="L139" s="383">
        <f t="shared" si="13"/>
        <v>202850.03999999911</v>
      </c>
      <c r="M139" s="383">
        <f t="shared" si="13"/>
        <v>432504.41999999993</v>
      </c>
      <c r="N139" s="383">
        <f t="shared" si="13"/>
        <v>296702.66999999969</v>
      </c>
      <c r="O139" s="383">
        <f t="shared" si="13"/>
        <v>347057.90000000037</v>
      </c>
      <c r="P139" s="387">
        <f>SUM(D139:O139)</f>
        <v>3534444.0199999986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D143" s="113">
        <v>292132.08</v>
      </c>
      <c r="G143" s="233">
        <f>274258.69-G139</f>
        <v>5.2386894822120667E-10</v>
      </c>
      <c r="I143" s="233">
        <v>527137.47</v>
      </c>
      <c r="M143" s="415">
        <f>+M139-432504.42</f>
        <v>0</v>
      </c>
    </row>
    <row r="144" spans="1:17">
      <c r="D144" s="415">
        <f>D139-D143</f>
        <v>11549.28999999963</v>
      </c>
      <c r="E144" s="415"/>
      <c r="I144" s="233">
        <f>I139-I143</f>
        <v>-287879.00000000012</v>
      </c>
      <c r="J144" s="415"/>
      <c r="N144" s="238">
        <v>289188.62</v>
      </c>
    </row>
    <row r="145" spans="9:14">
      <c r="I145" s="233"/>
      <c r="N145" s="238">
        <f>N139-N144</f>
        <v>7514.0499999996973</v>
      </c>
    </row>
    <row r="146" spans="9:14">
      <c r="N146" s="238"/>
    </row>
  </sheetData>
  <mergeCells count="1">
    <mergeCell ref="F3:J3"/>
  </mergeCells>
  <phoneticPr fontId="8" type="noConversion"/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ignoredErrors>
    <ignoredError sqref="D8 E8:N8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>
    <tabColor rgb="FFFFC000"/>
  </sheetPr>
  <dimension ref="A1:T145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9" width="13" style="113" customWidth="1"/>
    <col min="10" max="10" width="17.33203125" style="113" customWidth="1"/>
    <col min="11" max="11" width="13" style="113" customWidth="1"/>
    <col min="12" max="12" width="12.44140625" style="113" customWidth="1"/>
    <col min="13" max="13" width="18.44140625" style="113" customWidth="1"/>
    <col min="14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332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9</v>
      </c>
      <c r="B8" s="390"/>
      <c r="C8" s="369" t="s">
        <v>114</v>
      </c>
      <c r="D8" s="364">
        <f>D9+D10+D11</f>
        <v>4051065.89</v>
      </c>
      <c r="E8" s="364">
        <f t="shared" ref="E8:O8" si="0">E9+E10+E11</f>
        <v>3643908.52</v>
      </c>
      <c r="F8" s="364">
        <f t="shared" si="0"/>
        <v>4234876.34</v>
      </c>
      <c r="G8" s="364">
        <f t="shared" si="0"/>
        <v>4617458.58</v>
      </c>
      <c r="H8" s="364">
        <f t="shared" si="0"/>
        <v>4985846.74</v>
      </c>
      <c r="I8" s="364">
        <f t="shared" si="0"/>
        <v>5075626.0600000005</v>
      </c>
      <c r="J8" s="364">
        <f t="shared" si="0"/>
        <v>5177065.12</v>
      </c>
      <c r="K8" s="364">
        <f t="shared" si="0"/>
        <v>5402221.2599999998</v>
      </c>
      <c r="L8" s="364">
        <f t="shared" si="0"/>
        <v>5084800.1499999994</v>
      </c>
      <c r="M8" s="364">
        <f t="shared" si="0"/>
        <v>5705201.7000000002</v>
      </c>
      <c r="N8" s="364">
        <f t="shared" si="0"/>
        <v>6058487.1099999994</v>
      </c>
      <c r="O8" s="364">
        <f t="shared" si="0"/>
        <v>6476487.8100000005</v>
      </c>
      <c r="P8" s="364">
        <f>SUM(D8:O8)</f>
        <v>60513045.280000009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2376097.8600000003</v>
      </c>
      <c r="E9" s="365">
        <f>VLOOKUP($A$8,'تقرير إحصائية بحجم المبيعات'!$B$42:$G$73,2,FALSE)</f>
        <v>2119720.5299999998</v>
      </c>
      <c r="F9" s="365">
        <f>VLOOKUP($A$8,'تقرير إحصائية بحجم المبيعات'!$B$78:$E$103,2,FALSE)</f>
        <v>2517859.1300000004</v>
      </c>
      <c r="G9" s="365">
        <f>VLOOKUP($A$8,'تقرير إحصائية بحجم المبيعات'!$B$112:$G$137,2,FALSE)</f>
        <v>2823613.1399999997</v>
      </c>
      <c r="H9" s="365">
        <f>VLOOKUP($A$8,'تقرير إحصائية بحجم المبيعات'!$B$147:$G$177,2,FALSE)</f>
        <v>3074623.8000000003</v>
      </c>
      <c r="I9" s="365">
        <f>VLOOKUP($A$8,'تقرير إحصائية بحجم المبيعات'!$B$182:$G$212,2,FALSE)</f>
        <v>3240915.04</v>
      </c>
      <c r="J9" s="365">
        <f>VLOOKUP($A$8,'تقرير إحصائية بحجم المبيعات'!$B$217:$L$243,2,FALSE)</f>
        <v>3082150.6100000003</v>
      </c>
      <c r="K9" s="365">
        <f>VLOOKUP($A$8,'تقرير إحصائية بحجم المبيعات'!$B$252:$L$278,2,FALSE)</f>
        <v>3467970.7899999996</v>
      </c>
      <c r="L9" s="365">
        <f>VLOOKUP($A$8,'تقرير إحصائية بحجم المبيعات'!$B$287:$L$313,2,FALSE)</f>
        <v>3066311.4999999995</v>
      </c>
      <c r="M9" s="365">
        <f>VLOOKUP($A$8,'تقرير إحصائية بحجم المبيعات'!$B$322:$L$347,2,FALSE)</f>
        <v>3659880.54</v>
      </c>
      <c r="N9" s="365">
        <f>VLOOKUP($A$8,'تقرير إحصائية بحجم المبيعات'!$B$357:$L$383,2,FALSE)</f>
        <v>3840488.1999999993</v>
      </c>
      <c r="O9" s="365">
        <f>VLOOKUP($A$8,'تقرير إحصائية بحجم المبيعات'!$B$391:$L$420,2,FALSE)</f>
        <v>4120623.2700000005</v>
      </c>
      <c r="P9" s="364">
        <f t="shared" ref="P9:P18" si="1">SUM(D9:O9)</f>
        <v>37390254.409999996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1229205.71</v>
      </c>
      <c r="E10" s="365">
        <f>VLOOKUP($A$8,'تقرير إحصائية بحجم المبيعات'!$B$42:$G$73,3,FALSE)</f>
        <v>1203639.72</v>
      </c>
      <c r="F10" s="365">
        <f>VLOOKUP($A$8,'تقرير إحصائية بحجم المبيعات'!$B$78:$E$103,3,FALSE)</f>
        <v>1324102.6100000001</v>
      </c>
      <c r="G10" s="365">
        <f>VLOOKUP($A$8,'تقرير إحصائية بحجم المبيعات'!$B$112:$G$137,3,FALSE)</f>
        <v>1377184.41</v>
      </c>
      <c r="H10" s="365">
        <f>VLOOKUP($A$8,'تقرير إحصائية بحجم المبيعات'!$B$147:$G$177,3,FALSE)</f>
        <v>1414347.51</v>
      </c>
      <c r="I10" s="365">
        <f>VLOOKUP($A$8,'تقرير إحصائية بحجم المبيعات'!$B$182:$G$212,3,FALSE)</f>
        <v>1381272.57</v>
      </c>
      <c r="J10" s="365">
        <f>VLOOKUP($A$8,'تقرير إحصائية بحجم المبيعات'!$B$217:$L$243,3,FALSE)</f>
        <v>1527866.39</v>
      </c>
      <c r="K10" s="365">
        <f>VLOOKUP($A$8,'تقرير إحصائية بحجم المبيعات'!$B$252:$L$278,3,FALSE)</f>
        <v>1482569.79</v>
      </c>
      <c r="L10" s="365">
        <f>VLOOKUP($A$8,'تقرير إحصائية بحجم المبيعات'!$B$287:$L$313,3,FALSE)</f>
        <v>1553561.46</v>
      </c>
      <c r="M10" s="365">
        <f>VLOOKUP($A$8,'تقرير إحصائية بحجم المبيعات'!$B$322:$L$347,3,FALSE)</f>
        <v>1633411.42</v>
      </c>
      <c r="N10" s="365">
        <f>VLOOKUP($A$8,'تقرير إحصائية بحجم المبيعات'!$B$357:$L$383,3,FALSE)</f>
        <v>1775363.91</v>
      </c>
      <c r="O10" s="365">
        <f>VLOOKUP($A$8,'تقرير إحصائية بحجم المبيعات'!$B$391:$L$420,3,FALSE)</f>
        <v>1862674.99</v>
      </c>
      <c r="P10" s="364">
        <f t="shared" si="1"/>
        <v>17765200.490000002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445762.32</v>
      </c>
      <c r="E11" s="365">
        <f>VLOOKUP($A$8,'تقرير إحصائية بحجم المبيعات'!$B$42:$G$73,4,FALSE)</f>
        <v>320548.27</v>
      </c>
      <c r="F11" s="365">
        <f>VLOOKUP($A$8,'تقرير إحصائية بحجم المبيعات'!$B$78:$E$103,4,FALSE)</f>
        <v>392914.6</v>
      </c>
      <c r="G11" s="365">
        <f>VLOOKUP($A$8,'تقرير إحصائية بحجم المبيعات'!$B$112:$G$137,4,FALSE)</f>
        <v>416661.03</v>
      </c>
      <c r="H11" s="365">
        <f>VLOOKUP($A$8,'تقرير إحصائية بحجم المبيعات'!$B$147:$G$177,4,FALSE)</f>
        <v>496875.43</v>
      </c>
      <c r="I11" s="365">
        <f>VLOOKUP($A$8,'تقرير إحصائية بحجم المبيعات'!$B$182:$G$212,4,FALSE)</f>
        <v>453438.45</v>
      </c>
      <c r="J11" s="365">
        <f>VLOOKUP($A$8,'تقرير إحصائية بحجم المبيعات'!$B$217:$L$243,4,FALSE)</f>
        <v>567048.12</v>
      </c>
      <c r="K11" s="365">
        <f>VLOOKUP($A$8,'تقرير إحصائية بحجم المبيعات'!$B$252:$L$278,4,FALSE)</f>
        <v>451680.68</v>
      </c>
      <c r="L11" s="365">
        <f>VLOOKUP($A$8,'تقرير إحصائية بحجم المبيعات'!$B$287:$L$313,4,FALSE)</f>
        <v>464927.19</v>
      </c>
      <c r="M11" s="365">
        <f>VLOOKUP($A$8,'تقرير إحصائية بحجم المبيعات'!$B$322:$L$347,4,FALSE)</f>
        <v>411909.74</v>
      </c>
      <c r="N11" s="365">
        <f>VLOOKUP($A$8,'تقرير إحصائية بحجم المبيعات'!$B$357:$L$383,4,FALSE)</f>
        <v>442635</v>
      </c>
      <c r="O11" s="365">
        <f>VLOOKUP($A$8,'تقرير إحصائية بحجم المبيعات'!$B$391:$L$420,4,FALSE)</f>
        <v>493189.55</v>
      </c>
      <c r="P11" s="364">
        <f t="shared" si="1"/>
        <v>5357590.38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3164590.35</v>
      </c>
      <c r="E12" s="364">
        <f>VLOOKUP($A$8,'تقرير إحصائية بحجم المبيعات'!$B$42:$L$73,11,FALSE)</f>
        <v>2887679.77</v>
      </c>
      <c r="F12" s="364">
        <f>VLOOKUP($A$8,'تقرير إحصائية بحجم المبيعات'!$B$78:$L$103,11,FALSE)</f>
        <v>3356743.41</v>
      </c>
      <c r="G12" s="364">
        <f>VLOOKUP($A$8,'تقرير إحصائية بحجم المبيعات'!$B$112:$L$137,11,FALSE)</f>
        <v>3675493.33</v>
      </c>
      <c r="H12" s="364">
        <f>VLOOKUP($A$8,'تقرير إحصائية بحجم المبيعات'!$B$147:$L$177,11,FALSE)</f>
        <v>3994105.97</v>
      </c>
      <c r="I12" s="364">
        <f>VLOOKUP($A$8,'تقرير إحصائية بحجم المبيعات'!$B$182:$L$212,11,FALSE)</f>
        <v>4024289.24</v>
      </c>
      <c r="J12" s="365">
        <f>VLOOKUP($A$8,'تقرير إحصائية بحجم المبيعات'!$B$217:$L$243,11,FALSE)</f>
        <v>4122722.99</v>
      </c>
      <c r="K12" s="364">
        <f>VLOOKUP($A$8,'تقرير إحصائية بحجم المبيعات'!$B$252:$L$278,11,FALSE)</f>
        <v>4294453.5599999996</v>
      </c>
      <c r="L12" s="364">
        <f>VLOOKUP($A$8,'تقرير إحصائية بحجم المبيعات'!$B$287:$L$313,11,FALSE)</f>
        <v>4034129.21</v>
      </c>
      <c r="M12" s="365">
        <f>VLOOKUP($A$8,'تقرير إحصائية بحجم المبيعات'!$B$322:$L$347,11,FALSE)</f>
        <v>4525279.4000000004</v>
      </c>
      <c r="N12" s="365">
        <f>VLOOKUP($A$8,'تقرير إحصائية بحجم المبيعات'!$B$357:$L$383,11,FALSE)</f>
        <v>4775535.6900000004</v>
      </c>
      <c r="O12" s="365">
        <f>VLOOKUP($A$8,'تقرير إحصائية بحجم المبيعات'!$B$391:$L$420,11,FALSE)</f>
        <v>5105721.21</v>
      </c>
      <c r="P12" s="364">
        <f t="shared" si="1"/>
        <v>47960744.130000003</v>
      </c>
    </row>
    <row r="13" spans="1:20" ht="18" customHeight="1">
      <c r="B13" s="124"/>
      <c r="C13" s="371" t="s">
        <v>14</v>
      </c>
      <c r="D13" s="366">
        <f t="shared" ref="D13:O13" si="2">D8-D12</f>
        <v>886475.54</v>
      </c>
      <c r="E13" s="366">
        <f t="shared" si="2"/>
        <v>756228.75</v>
      </c>
      <c r="F13" s="366">
        <f t="shared" si="2"/>
        <v>878132.9299999997</v>
      </c>
      <c r="G13" s="366">
        <f t="shared" si="2"/>
        <v>941965.25</v>
      </c>
      <c r="H13" s="366">
        <f t="shared" si="2"/>
        <v>991740.77</v>
      </c>
      <c r="I13" s="366">
        <f t="shared" si="2"/>
        <v>1051336.8200000003</v>
      </c>
      <c r="J13" s="366">
        <f t="shared" si="2"/>
        <v>1054342.1299999999</v>
      </c>
      <c r="K13" s="366">
        <f t="shared" si="2"/>
        <v>1107767.7000000002</v>
      </c>
      <c r="L13" s="366">
        <f t="shared" si="2"/>
        <v>1050670.9399999995</v>
      </c>
      <c r="M13" s="366">
        <f t="shared" si="2"/>
        <v>1179922.2999999998</v>
      </c>
      <c r="N13" s="366">
        <f t="shared" si="2"/>
        <v>1282951.419999999</v>
      </c>
      <c r="O13" s="366">
        <f t="shared" si="2"/>
        <v>1370766.6000000006</v>
      </c>
      <c r="P13" s="366">
        <f t="shared" si="1"/>
        <v>12552301.149999999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337.87</v>
      </c>
      <c r="E16" s="367">
        <f>107.02+2.57</f>
        <v>109.58999999999999</v>
      </c>
      <c r="F16" s="367">
        <v>2.19</v>
      </c>
      <c r="G16" s="367"/>
      <c r="H16" s="367">
        <v>21927.939999999995</v>
      </c>
      <c r="I16" s="367"/>
      <c r="J16" s="367"/>
      <c r="K16" s="367">
        <v>462.23000000001048</v>
      </c>
      <c r="L16" s="367">
        <v>472.19000000000005</v>
      </c>
      <c r="M16" s="367">
        <v>1548.6299999999997</v>
      </c>
      <c r="N16" s="367">
        <v>9608.6099999999715</v>
      </c>
      <c r="O16" s="367"/>
      <c r="P16" s="364">
        <f t="shared" si="1"/>
        <v>34469.249999999978</v>
      </c>
    </row>
    <row r="17" spans="2:16" ht="18" customHeight="1">
      <c r="B17" s="124"/>
      <c r="C17" s="369" t="s">
        <v>119</v>
      </c>
      <c r="D17" s="367">
        <v>0.11</v>
      </c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0.11</v>
      </c>
    </row>
    <row r="18" spans="2:16" ht="18" customHeight="1">
      <c r="B18" s="124"/>
      <c r="C18" s="372" t="s">
        <v>269</v>
      </c>
      <c r="D18" s="363">
        <f>SUM(D14:D17)</f>
        <v>337.98</v>
      </c>
      <c r="E18" s="363">
        <f t="shared" ref="E18:O18" si="3">SUM(E14:E17)</f>
        <v>109.58999999999999</v>
      </c>
      <c r="F18" s="363">
        <f t="shared" si="3"/>
        <v>2.19</v>
      </c>
      <c r="G18" s="363">
        <f t="shared" si="3"/>
        <v>0</v>
      </c>
      <c r="H18" s="363">
        <f t="shared" si="3"/>
        <v>21927.939999999995</v>
      </c>
      <c r="I18" s="363">
        <f t="shared" si="3"/>
        <v>0</v>
      </c>
      <c r="J18" s="363">
        <f t="shared" si="3"/>
        <v>0</v>
      </c>
      <c r="K18" s="363">
        <f t="shared" si="3"/>
        <v>462.23000000001048</v>
      </c>
      <c r="L18" s="363">
        <f t="shared" si="3"/>
        <v>472.19000000000005</v>
      </c>
      <c r="M18" s="368">
        <f t="shared" si="3"/>
        <v>1548.6299999999997</v>
      </c>
      <c r="N18" s="368">
        <f t="shared" si="3"/>
        <v>9608.6099999999715</v>
      </c>
      <c r="O18" s="368">
        <f t="shared" si="3"/>
        <v>0</v>
      </c>
      <c r="P18" s="364">
        <f t="shared" si="1"/>
        <v>34469.359999999971</v>
      </c>
    </row>
    <row r="19" spans="2:16" ht="18" customHeight="1">
      <c r="B19" s="124"/>
      <c r="C19" s="386" t="s">
        <v>14</v>
      </c>
      <c r="D19" s="374">
        <f t="shared" ref="D19:O19" si="4">D13+D18</f>
        <v>886813.52</v>
      </c>
      <c r="E19" s="374">
        <f t="shared" si="4"/>
        <v>756338.34</v>
      </c>
      <c r="F19" s="374">
        <f t="shared" si="4"/>
        <v>878135.11999999965</v>
      </c>
      <c r="G19" s="374">
        <f t="shared" si="4"/>
        <v>941965.25</v>
      </c>
      <c r="H19" s="374">
        <f t="shared" si="4"/>
        <v>1013668.71</v>
      </c>
      <c r="I19" s="374">
        <f t="shared" si="4"/>
        <v>1051336.8200000003</v>
      </c>
      <c r="J19" s="374">
        <f t="shared" si="4"/>
        <v>1054342.1299999999</v>
      </c>
      <c r="K19" s="374">
        <f t="shared" si="4"/>
        <v>1108229.9300000002</v>
      </c>
      <c r="L19" s="374">
        <f t="shared" si="4"/>
        <v>1051143.1299999994</v>
      </c>
      <c r="M19" s="374">
        <f t="shared" si="4"/>
        <v>1181470.9299999997</v>
      </c>
      <c r="N19" s="374">
        <f t="shared" si="4"/>
        <v>1292560.0299999989</v>
      </c>
      <c r="O19" s="374">
        <f t="shared" si="4"/>
        <v>1370766.6000000006</v>
      </c>
      <c r="P19" s="382">
        <f>SUM(D19:O19)</f>
        <v>12586770.509999998</v>
      </c>
    </row>
    <row r="20" spans="2:16" ht="18" customHeight="1">
      <c r="B20" s="124"/>
      <c r="C20" s="131"/>
      <c r="D20" s="418">
        <f>D19/D12</f>
        <v>0.28023011572414103</v>
      </c>
      <c r="E20" s="418">
        <f t="shared" ref="E20:N20" si="5">E19/E12</f>
        <v>0.26191904928571769</v>
      </c>
      <c r="F20" s="418">
        <f t="shared" si="5"/>
        <v>0.26160329007691402</v>
      </c>
      <c r="G20" s="418">
        <f t="shared" si="5"/>
        <v>0.25628267158357215</v>
      </c>
      <c r="H20" s="418">
        <f t="shared" si="5"/>
        <v>0.25379114064918012</v>
      </c>
      <c r="I20" s="418">
        <f t="shared" si="5"/>
        <v>0.26124782720637652</v>
      </c>
      <c r="J20" s="418">
        <f t="shared" si="5"/>
        <v>0.2557392608131549</v>
      </c>
      <c r="K20" s="418">
        <f t="shared" si="5"/>
        <v>0.25806075546431112</v>
      </c>
      <c r="L20" s="418">
        <f t="shared" si="5"/>
        <v>0.26056258371555713</v>
      </c>
      <c r="M20" s="418">
        <f t="shared" si="5"/>
        <v>0.26108242730824521</v>
      </c>
      <c r="N20" s="418">
        <f t="shared" si="5"/>
        <v>0.27066283531429303</v>
      </c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الشهر'!$C$10:$AD$119,4,FALSE),0)</f>
        <v>0</v>
      </c>
      <c r="E22" s="362">
        <f>IFERROR(VLOOKUP(C22,'تقرير المصروفات حسب الشهر'!$C$135:$AD$244,4,FALSE),0)</f>
        <v>0</v>
      </c>
      <c r="F22" s="362">
        <v>0</v>
      </c>
      <c r="G22" s="362">
        <f>IFERROR(VLOOKUP(C22,'تقرير المصروفات حسب الشهر'!$C$387:$AD$495,4,FALSE),0)</f>
        <v>0</v>
      </c>
      <c r="H22" s="362">
        <f>IFERROR(VLOOKUP(C22,'تقرير المصروفات حسب الشهر'!$C$512:$AD$620,4,FALSE),0)</f>
        <v>0</v>
      </c>
      <c r="I22" s="362">
        <f>IFERROR(VLOOKUP(C22,'تقرير المصروفات حسب الشهر'!$C$637:$AD$746,4,FALSE),0)</f>
        <v>0</v>
      </c>
      <c r="J22" s="362">
        <f>IFERROR(VLOOKUP(C22,'تقرير المصروفات حسب الشهر'!$C$763:$AD$872,4,FALSE),0)</f>
        <v>0</v>
      </c>
      <c r="K22" s="362">
        <f>IFERROR(VLOOKUP(C22,'تقرير المصروفات حسب الشهر'!$C$890:$AD$999,4,FALSE),0)</f>
        <v>0</v>
      </c>
      <c r="L22" s="362">
        <f>IFERROR(VLOOKUP(C22,'تقرير المصروفات حسب الشهر'!$C$1016:$AD$1126,4,FALSE),0)</f>
        <v>0</v>
      </c>
      <c r="M22" s="376">
        <f>IFERROR(VLOOKUP(C22,'تقرير المصروفات حسب الشهر'!$C$1143:$AD$1254,4,FALSE),0)</f>
        <v>0</v>
      </c>
      <c r="N22" s="376">
        <f>IFERROR(VLOOKUP(C22,'تقرير المصروفات حسب الشهر'!$C$1270:$AD$1381,4,FALSE),0)</f>
        <v>0</v>
      </c>
      <c r="O22" s="376">
        <f>IFERROR(VLOOKUP(C22,'تقرير المصروفات حسب الشهر'!$C$1397:$AI$1512,4,FALSE),0)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الشهر'!$C$10:$AD$119,4,FALSE),0)</f>
        <v>227919.15000000002</v>
      </c>
      <c r="E23" s="362">
        <f>IFERROR(VLOOKUP(C23,'تقرير المصروفات حسب الشهر'!$C$135:$AD$244,4,FALSE),0)</f>
        <v>374699.83</v>
      </c>
      <c r="F23" s="362">
        <v>306375.26</v>
      </c>
      <c r="G23" s="362">
        <f>IFERROR(VLOOKUP(C23,'تقرير المصروفات حسب الشهر'!$C$387:$AD$495,4,FALSE),0)</f>
        <v>336340.38</v>
      </c>
      <c r="H23" s="362">
        <f>IFERROR(VLOOKUP(C23,'تقرير المصروفات حسب الشهر'!$C$512:$AD$620,4,FALSE),0)</f>
        <v>337529.11</v>
      </c>
      <c r="I23" s="362">
        <f>IFERROR(VLOOKUP(C23,'تقرير المصروفات حسب الشهر'!$C$637:$AD$746,4,FALSE),0)</f>
        <v>373904.85</v>
      </c>
      <c r="J23" s="362">
        <f>IFERROR(VLOOKUP(C23,'تقرير المصروفات حسب الشهر'!$C$763:$AD$872,4,FALSE),0)</f>
        <v>349136.14</v>
      </c>
      <c r="K23" s="362">
        <f>IFERROR(VLOOKUP(C23,'تقرير المصروفات حسب الشهر'!$C$890:$AD$999,4,FALSE),0)</f>
        <v>353162.63999999996</v>
      </c>
      <c r="L23" s="362">
        <f>IFERROR(VLOOKUP(C23,'تقرير المصروفات حسب الشهر'!$C$1016:$AD$1126,4,FALSE),0)</f>
        <v>354970.67</v>
      </c>
      <c r="M23" s="376">
        <f>IFERROR(VLOOKUP(C23,'تقرير المصروفات حسب الشهر'!$C$1143:$AD$1254,4,FALSE),0)</f>
        <v>359949.02</v>
      </c>
      <c r="N23" s="376">
        <f>IFERROR(VLOOKUP(C23,'تقرير المصروفات حسب الشهر'!$C$1270:$AD$1381,4,FALSE),0)</f>
        <v>389446.5</v>
      </c>
      <c r="O23" s="376">
        <f>IFERROR(VLOOKUP(C23,'تقرير المصروفات حسب الشهر'!$C$1397:$AI$1512,4,FALSE),0)</f>
        <v>368775.89</v>
      </c>
      <c r="P23" s="364">
        <f t="shared" ref="P23:P86" si="6">SUM(D23:O23)</f>
        <v>4132209.4400000004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الشهر'!$C$10:$AD$119,4,FALSE),0)</f>
        <v>3150</v>
      </c>
      <c r="E24" s="362">
        <f>IFERROR(VLOOKUP(C24,'تقرير المصروفات حسب الشهر'!$C$135:$AD$244,4,FALSE),0)</f>
        <v>1855</v>
      </c>
      <c r="F24" s="362">
        <v>2001</v>
      </c>
      <c r="G24" s="362">
        <f>IFERROR(VLOOKUP(C24,'تقرير المصروفات حسب الشهر'!$C$387:$AD$495,4,FALSE),0)</f>
        <v>3075</v>
      </c>
      <c r="H24" s="362">
        <f>IFERROR(VLOOKUP(C24,'تقرير المصروفات حسب الشهر'!$C$512:$AD$620,4,FALSE),0)</f>
        <v>5300</v>
      </c>
      <c r="I24" s="362">
        <f>IFERROR(VLOOKUP(C24,'تقرير المصروفات حسب الشهر'!$C$637:$AD$746,4,FALSE),0)</f>
        <v>6110</v>
      </c>
      <c r="J24" s="517">
        <f>IFERROR(VLOOKUP(C24,'تقرير المصروفات حسب الشهر'!$C$763:$AD$872,4,FALSE),0)</f>
        <v>8115</v>
      </c>
      <c r="K24" s="362">
        <f>IFERROR(VLOOKUP(C24,'تقرير المصروفات حسب الشهر'!$C$890:$AD$999,4,FALSE),0)</f>
        <v>8000</v>
      </c>
      <c r="L24" s="362">
        <f>IFERROR(VLOOKUP(C24,'تقرير المصروفات حسب الشهر'!$C$1016:$AD$1126,4,FALSE),0)</f>
        <v>7090</v>
      </c>
      <c r="M24" s="376">
        <f>IFERROR(VLOOKUP(C24,'تقرير المصروفات حسب الشهر'!$C$1143:$AD$1254,4,FALSE),0)</f>
        <v>5660</v>
      </c>
      <c r="N24" s="376">
        <f>IFERROR(VLOOKUP(C24,'تقرير المصروفات حسب الشهر'!$C$1270:$AD$1381,4,FALSE),0)</f>
        <v>3880</v>
      </c>
      <c r="O24" s="376">
        <f>IFERROR(VLOOKUP(C24,'تقرير المصروفات حسب الشهر'!$C$1397:$AI$1512,4,FALSE),0)</f>
        <v>3000</v>
      </c>
      <c r="P24" s="364">
        <f t="shared" si="6"/>
        <v>57236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الشهر'!$C$10:$AD$119,4,FALSE),0)</f>
        <v>0</v>
      </c>
      <c r="E25" s="362">
        <f>IFERROR(VLOOKUP(C25,'تقرير المصروفات حسب الشهر'!$C$135:$AD$244,4,FALSE),0)</f>
        <v>0</v>
      </c>
      <c r="F25" s="362">
        <v>0</v>
      </c>
      <c r="G25" s="362">
        <f>IFERROR(VLOOKUP(C25,'تقرير المصروفات حسب الشهر'!$C$387:$AD$495,4,FALSE),0)</f>
        <v>0</v>
      </c>
      <c r="H25" s="362">
        <f>IFERROR(VLOOKUP(C25,'تقرير المصروفات حسب الشهر'!$C$512:$AD$620,4,FALSE),0)</f>
        <v>0</v>
      </c>
      <c r="I25" s="362">
        <f>IFERROR(VLOOKUP(C25,'تقرير المصروفات حسب الشهر'!$C$637:$AD$746,4,FALSE),0)</f>
        <v>0</v>
      </c>
      <c r="J25" s="362">
        <f>IFERROR(VLOOKUP(C25,'تقرير المصروفات حسب الشهر'!$C$763:$AD$872,4,FALSE),0)</f>
        <v>0</v>
      </c>
      <c r="K25" s="362">
        <f>IFERROR(VLOOKUP(C25,'تقرير المصروفات حسب الشهر'!$C$890:$AD$999,4,FALSE),0)</f>
        <v>0</v>
      </c>
      <c r="L25" s="362">
        <f>IFERROR(VLOOKUP(C25,'تقرير المصروفات حسب الشهر'!$C$1016:$AD$1126,4,FALSE),0)</f>
        <v>0</v>
      </c>
      <c r="M25" s="376">
        <f>IFERROR(VLOOKUP(C25,'تقرير المصروفات حسب الشهر'!$C$1143:$AD$1254,4,FALSE),0)</f>
        <v>0</v>
      </c>
      <c r="N25" s="376">
        <f>IFERROR(VLOOKUP(C25,'تقرير المصروفات حسب الشهر'!$C$1270:$AD$1381,4,FALSE),0)</f>
        <v>0</v>
      </c>
      <c r="O25" s="376">
        <f>IFERROR(VLOOKUP(C25,'تقرير المصروفات حسب الشهر'!$C$1397:$AI$1512,4,FALSE),0)</f>
        <v>0</v>
      </c>
      <c r="P25" s="364">
        <f t="shared" si="6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الشهر'!$C$10:$AD$119,4,FALSE),0)</f>
        <v>150</v>
      </c>
      <c r="E26" s="362">
        <f>IFERROR(VLOOKUP(C26,'تقرير المصروفات حسب الشهر'!$C$135:$AD$244,4,FALSE),0)</f>
        <v>0</v>
      </c>
      <c r="F26" s="362">
        <v>600</v>
      </c>
      <c r="G26" s="362">
        <f>IFERROR(VLOOKUP(C26,'تقرير المصروفات حسب الشهر'!$C$387:$AD$495,4,FALSE),0)</f>
        <v>0</v>
      </c>
      <c r="H26" s="362">
        <f>IFERROR(VLOOKUP(C26,'تقرير المصروفات حسب الشهر'!$C$512:$AD$620,4,FALSE),0)</f>
        <v>0</v>
      </c>
      <c r="I26" s="362">
        <f>IFERROR(VLOOKUP(C26,'تقرير المصروفات حسب الشهر'!$C$637:$AD$746,4,FALSE),0)</f>
        <v>1445</v>
      </c>
      <c r="J26" s="362">
        <f>IFERROR(VLOOKUP(C26,'تقرير المصروفات حسب الشهر'!$C$763:$AD$872,4,FALSE),0)</f>
        <v>0</v>
      </c>
      <c r="K26" s="362">
        <f>IFERROR(VLOOKUP(C26,'تقرير المصروفات حسب الشهر'!$C$890:$AD$999,4,FALSE),0)</f>
        <v>0</v>
      </c>
      <c r="L26" s="362">
        <f>IFERROR(VLOOKUP(C26,'تقرير المصروفات حسب الشهر'!$C$1016:$AD$1126,4,FALSE),0)</f>
        <v>0</v>
      </c>
      <c r="M26" s="376">
        <f>IFERROR(VLOOKUP(C26,'تقرير المصروفات حسب الشهر'!$C$1143:$AD$1254,4,FALSE),0)</f>
        <v>0</v>
      </c>
      <c r="N26" s="376">
        <f>IFERROR(VLOOKUP(C26,'تقرير المصروفات حسب الشهر'!$C$1270:$AD$1381,4,FALSE),0)</f>
        <v>600</v>
      </c>
      <c r="O26" s="376">
        <f>IFERROR(VLOOKUP(C26,'تقرير المصروفات حسب الشهر'!$C$1397:$AI$1512,4,FALSE),0)</f>
        <v>0</v>
      </c>
      <c r="P26" s="364">
        <f t="shared" si="6"/>
        <v>2795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الشهر'!$C$10:$AD$119,4,FALSE),0)</f>
        <v>100000</v>
      </c>
      <c r="E27" s="362">
        <f>IFERROR(VLOOKUP(C27,'تقرير المصروفات حسب الشهر'!$C$135:$AD$244,4,FALSE),0)</f>
        <v>100000</v>
      </c>
      <c r="F27" s="362">
        <v>100000</v>
      </c>
      <c r="G27" s="362">
        <f>IFERROR(VLOOKUP(C27,'تقرير المصروفات حسب الشهر'!$C$387:$AD$495,4,FALSE),0)</f>
        <v>100000</v>
      </c>
      <c r="H27" s="362">
        <f>IFERROR(VLOOKUP(C27,'تقرير المصروفات حسب الشهر'!$C$512:$AD$620,4,FALSE),0)</f>
        <v>100000</v>
      </c>
      <c r="I27" s="362">
        <f>IFERROR(VLOOKUP(C27,'تقرير المصروفات حسب الشهر'!$C$637:$AD$746,4,FALSE),0)</f>
        <v>100000</v>
      </c>
      <c r="J27" s="517">
        <f>IFERROR(VLOOKUP(C27,'تقرير المصروفات حسب الشهر'!$C$763:$AD$872,4,FALSE),0)</f>
        <v>100000</v>
      </c>
      <c r="K27" s="362">
        <f>IFERROR(VLOOKUP(C27,'تقرير المصروفات حسب الشهر'!$C$890:$AD$999,4,FALSE),0)</f>
        <v>100000</v>
      </c>
      <c r="L27" s="362">
        <f>IFERROR(VLOOKUP(C27,'تقرير المصروفات حسب الشهر'!$C$1016:$AD$1126,4,FALSE),0)</f>
        <v>100000</v>
      </c>
      <c r="M27" s="376">
        <f>IFERROR(VLOOKUP(C27,'تقرير المصروفات حسب الشهر'!$C$1143:$AD$1254,4,FALSE),0)</f>
        <v>100000</v>
      </c>
      <c r="N27" s="376">
        <f>IFERROR(VLOOKUP(C27,'تقرير المصروفات حسب الشهر'!$C$1270:$AD$1381,4,FALSE),0)</f>
        <v>170000</v>
      </c>
      <c r="O27" s="376">
        <f>IFERROR(VLOOKUP(C27,'تقرير المصروفات حسب الشهر'!$C$1397:$AI$1512,4,FALSE),0)</f>
        <v>170000</v>
      </c>
      <c r="P27" s="364">
        <f t="shared" si="6"/>
        <v>1340000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الشهر'!$C$10:$AD$119,4,FALSE),0)</f>
        <v>0</v>
      </c>
      <c r="E28" s="362">
        <f>IFERROR(VLOOKUP(C28,'تقرير المصروفات حسب الشهر'!$C$135:$AD$244,4,FALSE),0)</f>
        <v>0</v>
      </c>
      <c r="F28" s="362">
        <v>0</v>
      </c>
      <c r="G28" s="362">
        <f>IFERROR(VLOOKUP(C28,'تقرير المصروفات حسب الشهر'!$C$387:$AD$495,4,FALSE),0)</f>
        <v>0</v>
      </c>
      <c r="H28" s="362">
        <f>IFERROR(VLOOKUP(C28,'تقرير المصروفات حسب الشهر'!$C$512:$AD$620,4,FALSE),0)</f>
        <v>0</v>
      </c>
      <c r="I28" s="362">
        <f>IFERROR(VLOOKUP(C28,'تقرير المصروفات حسب الشهر'!$C$637:$AD$746,4,FALSE),0)</f>
        <v>0</v>
      </c>
      <c r="J28" s="362">
        <f>IFERROR(VLOOKUP(C28,'تقرير المصروفات حسب الشهر'!$C$763:$AD$872,4,FALSE),0)</f>
        <v>0</v>
      </c>
      <c r="K28" s="362">
        <f>IFERROR(VLOOKUP(C28,'تقرير المصروفات حسب الشهر'!$C$890:$AD$999,4,FALSE),0)</f>
        <v>0</v>
      </c>
      <c r="L28" s="362">
        <f>IFERROR(VLOOKUP(C28,'تقرير المصروفات حسب الشهر'!$C$1016:$AD$1126,4,FALSE),0)</f>
        <v>0</v>
      </c>
      <c r="M28" s="376">
        <f>IFERROR(VLOOKUP(C28,'تقرير المصروفات حسب الشهر'!$C$1143:$AD$1254,4,FALSE),0)</f>
        <v>0</v>
      </c>
      <c r="N28" s="376">
        <f>IFERROR(VLOOKUP(C28,'تقرير المصروفات حسب الشهر'!$C$1270:$AD$1381,4,FALSE),0)</f>
        <v>0</v>
      </c>
      <c r="O28" s="376">
        <f>IFERROR(VLOOKUP(C28,'تقرير المصروفات حسب الشهر'!$C$1397:$AI$1512,4,FALSE),0)</f>
        <v>0</v>
      </c>
      <c r="P28" s="364">
        <f t="shared" si="6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الشهر'!$C$10:$AD$119,4,FALSE),0)</f>
        <v>26200</v>
      </c>
      <c r="E29" s="362">
        <f>IFERROR(VLOOKUP(C29,'تقرير المصروفات حسب الشهر'!$C$135:$AD$244,4,FALSE),0)</f>
        <v>26200</v>
      </c>
      <c r="F29" s="362">
        <v>26200</v>
      </c>
      <c r="G29" s="362">
        <f>IFERROR(VLOOKUP(C29,'تقرير المصروفات حسب الشهر'!$C$387:$AD$495,4,FALSE),0)</f>
        <v>26200</v>
      </c>
      <c r="H29" s="362">
        <f>IFERROR(VLOOKUP(C29,'تقرير المصروفات حسب الشهر'!$C$512:$AD$620,4,FALSE),0)</f>
        <v>26200</v>
      </c>
      <c r="I29" s="362">
        <f>IFERROR(VLOOKUP(C29,'تقرير المصروفات حسب الشهر'!$C$637:$AD$746,4,FALSE),0)</f>
        <v>26200</v>
      </c>
      <c r="J29" s="517">
        <f>IFERROR(VLOOKUP(C29,'تقرير المصروفات حسب الشهر'!$C$763:$AD$872,4,FALSE),0)</f>
        <v>26200</v>
      </c>
      <c r="K29" s="362">
        <f>IFERROR(VLOOKUP(C29,'تقرير المصروفات حسب الشهر'!$C$890:$AD$999,4,FALSE),0)</f>
        <v>26200</v>
      </c>
      <c r="L29" s="362">
        <f>IFERROR(VLOOKUP(C29,'تقرير المصروفات حسب الشهر'!$C$1016:$AD$1126,4,FALSE),0)</f>
        <v>26200</v>
      </c>
      <c r="M29" s="376">
        <f>IFERROR(VLOOKUP(C29,'تقرير المصروفات حسب الشهر'!$C$1143:$AD$1254,4,FALSE),0)</f>
        <v>26200</v>
      </c>
      <c r="N29" s="376">
        <f>IFERROR(VLOOKUP(C29,'تقرير المصروفات حسب الشهر'!$C$1270:$AD$1381,4,FALSE),0)</f>
        <v>27200</v>
      </c>
      <c r="O29" s="376">
        <f>IFERROR(VLOOKUP(C29,'تقرير المصروفات حسب الشهر'!$C$1397:$AI$1512,4,FALSE),0)</f>
        <v>23200</v>
      </c>
      <c r="P29" s="364">
        <f t="shared" si="6"/>
        <v>312400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الشهر'!$C$10:$AD$119,4,FALSE),0)</f>
        <v>0</v>
      </c>
      <c r="E30" s="362">
        <f>IFERROR(VLOOKUP(C30,'تقرير المصروفات حسب الشهر'!$C$135:$AD$244,4,FALSE),0)</f>
        <v>0</v>
      </c>
      <c r="F30" s="362">
        <v>996.5</v>
      </c>
      <c r="G30" s="362">
        <f>IFERROR(VLOOKUP(C30,'تقرير المصروفات حسب الشهر'!$C$387:$AD$495,4,FALSE),0)</f>
        <v>0</v>
      </c>
      <c r="H30" s="362">
        <f>IFERROR(VLOOKUP(C30,'تقرير المصروفات حسب الشهر'!$C$512:$AD$620,4,FALSE),0)</f>
        <v>0</v>
      </c>
      <c r="I30" s="362">
        <f>IFERROR(VLOOKUP(C30,'تقرير المصروفات حسب الشهر'!$C$637:$AD$746,4,FALSE),0)</f>
        <v>1200.25</v>
      </c>
      <c r="J30" s="517">
        <f>IFERROR(VLOOKUP(C30,'تقرير المصروفات حسب الشهر'!$C$763:$AD$872,4,FALSE),0)</f>
        <v>65</v>
      </c>
      <c r="K30" s="362">
        <f>IFERROR(VLOOKUP(C30,'تقرير المصروفات حسب الشهر'!$C$890:$AD$999,4,FALSE),0)</f>
        <v>0</v>
      </c>
      <c r="L30" s="362">
        <f>IFERROR(VLOOKUP(C30,'تقرير المصروفات حسب الشهر'!$C$1016:$AD$1126,4,FALSE),0)</f>
        <v>40</v>
      </c>
      <c r="M30" s="376">
        <f>IFERROR(VLOOKUP(C30,'تقرير المصروفات حسب الشهر'!$C$1143:$AD$1254,4,FALSE),0)</f>
        <v>1610.25</v>
      </c>
      <c r="N30" s="376">
        <f>IFERROR(VLOOKUP(C30,'تقرير المصروفات حسب الشهر'!$C$1270:$AD$1381,4,FALSE),0)</f>
        <v>0</v>
      </c>
      <c r="O30" s="376">
        <f>IFERROR(VLOOKUP(C30,'تقرير المصروفات حسب الشهر'!$C$1397:$AI$1512,4,FALSE),0)</f>
        <v>1450</v>
      </c>
      <c r="P30" s="364">
        <f t="shared" si="6"/>
        <v>5362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الشهر'!$C$10:$AD$119,4,FALSE),0)</f>
        <v>2006.17</v>
      </c>
      <c r="E31" s="362">
        <f>IFERROR(VLOOKUP(C31,'تقرير المصروفات حسب الشهر'!$C$135:$AD$244,4,FALSE),0)</f>
        <v>3052.17</v>
      </c>
      <c r="F31" s="362">
        <v>1715</v>
      </c>
      <c r="G31" s="362">
        <f>IFERROR(VLOOKUP(C31,'تقرير المصروفات حسب الشهر'!$C$387:$AD$495,4,FALSE),0)</f>
        <v>2010</v>
      </c>
      <c r="H31" s="362">
        <f>IFERROR(VLOOKUP(C31,'تقرير المصروفات حسب الشهر'!$C$512:$AD$620,4,FALSE),0)</f>
        <v>1810</v>
      </c>
      <c r="I31" s="362">
        <f>IFERROR(VLOOKUP(C31,'تقرير المصروفات حسب الشهر'!$C$637:$AD$746,4,FALSE),0)</f>
        <v>1200</v>
      </c>
      <c r="J31" s="517">
        <f>IFERROR(VLOOKUP(C31,'تقرير المصروفات حسب الشهر'!$C$763:$AD$872,4,FALSE),0)</f>
        <v>1900</v>
      </c>
      <c r="K31" s="362">
        <f>IFERROR(VLOOKUP(C31,'تقرير المصروفات حسب الشهر'!$C$890:$AD$999,4,FALSE),0)</f>
        <v>0</v>
      </c>
      <c r="L31" s="362">
        <f>IFERROR(VLOOKUP(C31,'تقرير المصروفات حسب الشهر'!$C$1016:$AD$1126,4,FALSE),0)</f>
        <v>160</v>
      </c>
      <c r="M31" s="376">
        <f>IFERROR(VLOOKUP(C31,'تقرير المصروفات حسب الشهر'!$C$1143:$AD$1254,4,FALSE),0)</f>
        <v>395</v>
      </c>
      <c r="N31" s="376">
        <f>IFERROR(VLOOKUP(C31,'تقرير المصروفات حسب الشهر'!$C$1270:$AD$1381,4,FALSE),0)</f>
        <v>670</v>
      </c>
      <c r="O31" s="376">
        <f>IFERROR(VLOOKUP(C31,'تقرير المصروفات حسب الشهر'!$C$1397:$AI$1512,4,FALSE),0)</f>
        <v>480</v>
      </c>
      <c r="P31" s="364">
        <f t="shared" si="6"/>
        <v>15398.34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الشهر'!$C$10:$AD$119,4,FALSE),0)</f>
        <v>0</v>
      </c>
      <c r="E32" s="362">
        <f>IFERROR(VLOOKUP(C32,'تقرير المصروفات حسب الشهر'!$C$135:$AD$244,4,FALSE),0)</f>
        <v>0</v>
      </c>
      <c r="F32" s="362">
        <v>0</v>
      </c>
      <c r="G32" s="362">
        <f>IFERROR(VLOOKUP(C32,'تقرير المصروفات حسب الشهر'!$C$387:$AD$495,4,FALSE),0)</f>
        <v>0</v>
      </c>
      <c r="H32" s="362">
        <f>IFERROR(VLOOKUP(C32,'تقرير المصروفات حسب الشهر'!$C$512:$AD$620,4,FALSE),0)</f>
        <v>0</v>
      </c>
      <c r="I32" s="362">
        <f>IFERROR(VLOOKUP(C32,'تقرير المصروفات حسب الشهر'!$C$637:$AD$746,4,FALSE),0)</f>
        <v>0</v>
      </c>
      <c r="J32" s="362">
        <f>IFERROR(VLOOKUP(C32,'تقرير المصروفات حسب الشهر'!$C$763:$AD$872,4,FALSE),0)</f>
        <v>0</v>
      </c>
      <c r="K32" s="362">
        <f>IFERROR(VLOOKUP(C32,'تقرير المصروفات حسب الشهر'!$C$890:$AD$999,4,FALSE),0)</f>
        <v>0</v>
      </c>
      <c r="L32" s="362">
        <f>IFERROR(VLOOKUP(C32,'تقرير المصروفات حسب الشهر'!$C$1016:$AD$1126,4,FALSE),0)</f>
        <v>0</v>
      </c>
      <c r="M32" s="376">
        <f>IFERROR(VLOOKUP(C32,'تقرير المصروفات حسب الشهر'!$C$1143:$AD$1254,4,FALSE),0)</f>
        <v>0</v>
      </c>
      <c r="N32" s="376">
        <f>IFERROR(VLOOKUP(C32,'تقرير المصروفات حسب الشهر'!$C$1270:$AD$1381,4,FALSE),0)</f>
        <v>0</v>
      </c>
      <c r="O32" s="376">
        <f>IFERROR(VLOOKUP(C32,'تقرير المصروفات حسب الشهر'!$C$1397:$AI$1512,4,FALSE),0)</f>
        <v>0</v>
      </c>
      <c r="P32" s="364">
        <f t="shared" si="6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الشهر'!$C$10:$AD$119,4,FALSE),0)</f>
        <v>500</v>
      </c>
      <c r="E33" s="362">
        <f>IFERROR(VLOOKUP(C33,'تقرير المصروفات حسب الشهر'!$C$135:$AD$244,4,FALSE),0)</f>
        <v>600</v>
      </c>
      <c r="F33" s="362">
        <v>500</v>
      </c>
      <c r="G33" s="362">
        <f>IFERROR(VLOOKUP(C33,'تقرير المصروفات حسب الشهر'!$C$387:$AD$495,4,FALSE),0)</f>
        <v>750</v>
      </c>
      <c r="H33" s="362">
        <f>IFERROR(VLOOKUP(C33,'تقرير المصروفات حسب الشهر'!$C$512:$AD$620,4,FALSE),0)</f>
        <v>750</v>
      </c>
      <c r="I33" s="362">
        <f>IFERROR(VLOOKUP(C33,'تقرير المصروفات حسب الشهر'!$C$637:$AD$746,4,FALSE),0)</f>
        <v>500</v>
      </c>
      <c r="J33" s="517">
        <f>IFERROR(VLOOKUP(C33,'تقرير المصروفات حسب الشهر'!$C$763:$AD$872,4,FALSE),0)</f>
        <v>750</v>
      </c>
      <c r="K33" s="362">
        <f>IFERROR(VLOOKUP(C33,'تقرير المصروفات حسب الشهر'!$C$890:$AD$999,4,FALSE),0)</f>
        <v>500</v>
      </c>
      <c r="L33" s="362">
        <f>IFERROR(VLOOKUP(C33,'تقرير المصروفات حسب الشهر'!$C$1016:$AD$1126,4,FALSE),0)</f>
        <v>500</v>
      </c>
      <c r="M33" s="376">
        <f>IFERROR(VLOOKUP(C33,'تقرير المصروفات حسب الشهر'!$C$1143:$AD$1254,4,FALSE),0)</f>
        <v>0</v>
      </c>
      <c r="N33" s="376">
        <f>IFERROR(VLOOKUP(C33,'تقرير المصروفات حسب الشهر'!$C$1270:$AD$1381,4,FALSE),0)</f>
        <v>900</v>
      </c>
      <c r="O33" s="376">
        <f>IFERROR(VLOOKUP(C33,'تقرير المصروفات حسب الشهر'!$C$1397:$AI$1512,4,FALSE),0)</f>
        <v>1800</v>
      </c>
      <c r="P33" s="364">
        <f t="shared" si="6"/>
        <v>8050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الشهر'!$C$10:$AD$119,4,FALSE),0)</f>
        <v>0</v>
      </c>
      <c r="E34" s="362">
        <f>IFERROR(VLOOKUP(C34,'تقرير المصروفات حسب الشهر'!$C$135:$AD$244,4,FALSE),0)</f>
        <v>0</v>
      </c>
      <c r="F34" s="362">
        <v>0</v>
      </c>
      <c r="G34" s="362">
        <f>IFERROR(VLOOKUP(C34,'تقرير المصروفات حسب الشهر'!$C$387:$AD$495,4,FALSE),0)</f>
        <v>0</v>
      </c>
      <c r="H34" s="362">
        <f>IFERROR(VLOOKUP(C34,'تقرير المصروفات حسب الشهر'!$C$512:$AD$620,4,FALSE),0)</f>
        <v>0</v>
      </c>
      <c r="I34" s="362">
        <f>IFERROR(VLOOKUP(C34,'تقرير المصروفات حسب الشهر'!$C$637:$AD$746,4,FALSE),0)</f>
        <v>0</v>
      </c>
      <c r="J34" s="362">
        <f>IFERROR(VLOOKUP(C34,'تقرير المصروفات حسب الشهر'!$C$763:$AD$872,4,FALSE),0)</f>
        <v>0</v>
      </c>
      <c r="K34" s="362">
        <f>IFERROR(VLOOKUP(C34,'تقرير المصروفات حسب الشهر'!$C$890:$AD$999,4,FALSE),0)</f>
        <v>0</v>
      </c>
      <c r="L34" s="362">
        <f>IFERROR(VLOOKUP(C34,'تقرير المصروفات حسب الشهر'!$C$1016:$AD$1126,4,FALSE),0)</f>
        <v>0</v>
      </c>
      <c r="M34" s="376">
        <f>IFERROR(VLOOKUP(C34,'تقرير المصروفات حسب الشهر'!$C$1143:$AD$1254,4,FALSE),0)</f>
        <v>0</v>
      </c>
      <c r="N34" s="376">
        <f>IFERROR(VLOOKUP(C34,'تقرير المصروفات حسب الشهر'!$C$1270:$AD$1381,4,FALSE),0)</f>
        <v>0</v>
      </c>
      <c r="O34" s="376">
        <f>IFERROR(VLOOKUP(C34,'تقرير المصروفات حسب الشهر'!$C$1397:$AI$1512,4,FALSE),0)</f>
        <v>0</v>
      </c>
      <c r="P34" s="364">
        <f t="shared" si="6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الشهر'!$C$10:$AD$119,4,FALSE),0)</f>
        <v>1030</v>
      </c>
      <c r="E35" s="362">
        <f>IFERROR(VLOOKUP(C35,'تقرير المصروفات حسب الشهر'!$C$135:$AD$244,4,FALSE),0)</f>
        <v>0</v>
      </c>
      <c r="F35" s="362">
        <v>0</v>
      </c>
      <c r="G35" s="362">
        <f>IFERROR(VLOOKUP(C35,'تقرير المصروفات حسب الشهر'!$C$387:$AD$495,4,FALSE),0)</f>
        <v>300</v>
      </c>
      <c r="H35" s="362">
        <f>IFERROR(VLOOKUP(C35,'تقرير المصروفات حسب الشهر'!$C$512:$AD$620,4,FALSE),0)</f>
        <v>0</v>
      </c>
      <c r="I35" s="362">
        <f>IFERROR(VLOOKUP(C35,'تقرير المصروفات حسب الشهر'!$C$637:$AD$746,4,FALSE),0)</f>
        <v>0</v>
      </c>
      <c r="J35" s="517">
        <f>IFERROR(VLOOKUP(C35,'تقرير المصروفات حسب الشهر'!$C$763:$AD$872,4,FALSE),0)</f>
        <v>1345</v>
      </c>
      <c r="K35" s="362">
        <f>IFERROR(VLOOKUP(C35,'تقرير المصروفات حسب الشهر'!$C$890:$AD$999,4,FALSE),0)</f>
        <v>330</v>
      </c>
      <c r="L35" s="362">
        <f>IFERROR(VLOOKUP(C35,'تقرير المصروفات حسب الشهر'!$C$1016:$AD$1126,4,FALSE),0)</f>
        <v>1150</v>
      </c>
      <c r="M35" s="376">
        <f>IFERROR(VLOOKUP(C35,'تقرير المصروفات حسب الشهر'!$C$1143:$AD$1254,4,FALSE),0)</f>
        <v>0</v>
      </c>
      <c r="N35" s="376">
        <f>IFERROR(VLOOKUP(C35,'تقرير المصروفات حسب الشهر'!$C$1270:$AD$1381,4,FALSE),0)</f>
        <v>4910</v>
      </c>
      <c r="O35" s="376">
        <f>IFERROR(VLOOKUP(C35,'تقرير المصروفات حسب الشهر'!$C$1397:$AI$1512,4,FALSE),0)</f>
        <v>0</v>
      </c>
      <c r="P35" s="364">
        <f t="shared" si="6"/>
        <v>9065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الشهر'!$C$10:$AD$119,4,FALSE),0)</f>
        <v>750</v>
      </c>
      <c r="E36" s="362">
        <f>IFERROR(VLOOKUP(C36,'تقرير المصروفات حسب الشهر'!$C$135:$AD$244,4,FALSE),0)</f>
        <v>0</v>
      </c>
      <c r="F36" s="362">
        <v>0</v>
      </c>
      <c r="G36" s="362">
        <f>IFERROR(VLOOKUP(C36,'تقرير المصروفات حسب الشهر'!$C$387:$AD$495,4,FALSE),0)</f>
        <v>1500</v>
      </c>
      <c r="H36" s="362">
        <f>IFERROR(VLOOKUP(C36,'تقرير المصروفات حسب الشهر'!$C$512:$AD$620,4,FALSE),0)</f>
        <v>0</v>
      </c>
      <c r="I36" s="362">
        <f>IFERROR(VLOOKUP(C36,'تقرير المصروفات حسب الشهر'!$C$637:$AD$746,4,FALSE),0)</f>
        <v>0</v>
      </c>
      <c r="J36" s="517">
        <f>IFERROR(VLOOKUP(C36,'تقرير المصروفات حسب الشهر'!$C$763:$AD$872,4,FALSE),0)</f>
        <v>185</v>
      </c>
      <c r="K36" s="362">
        <f>IFERROR(VLOOKUP(C36,'تقرير المصروفات حسب الشهر'!$C$890:$AD$999,4,FALSE),0)</f>
        <v>1540</v>
      </c>
      <c r="L36" s="362">
        <f>IFERROR(VLOOKUP(C36,'تقرير المصروفات حسب الشهر'!$C$1016:$AD$1126,4,FALSE),0)</f>
        <v>0</v>
      </c>
      <c r="M36" s="376">
        <f>IFERROR(VLOOKUP(C36,'تقرير المصروفات حسب الشهر'!$C$1143:$AD$1254,4,FALSE),0)</f>
        <v>1540</v>
      </c>
      <c r="N36" s="376">
        <f>IFERROR(VLOOKUP(C36,'تقرير المصروفات حسب الشهر'!$C$1270:$AD$1381,4,FALSE),0)</f>
        <v>0</v>
      </c>
      <c r="O36" s="376">
        <f>IFERROR(VLOOKUP(C36,'تقرير المصروفات حسب الشهر'!$C$1397:$AI$1512,4,FALSE),0)</f>
        <v>770</v>
      </c>
      <c r="P36" s="364">
        <f t="shared" si="6"/>
        <v>6285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الشهر'!$C$10:$AD$119,4,FALSE),0)</f>
        <v>2250</v>
      </c>
      <c r="E37" s="362">
        <f>IFERROR(VLOOKUP(C37,'تقرير المصروفات حسب الشهر'!$C$135:$AD$244,4,FALSE),0)</f>
        <v>0</v>
      </c>
      <c r="F37" s="362">
        <v>0</v>
      </c>
      <c r="G37" s="362">
        <f>IFERROR(VLOOKUP(C37,'تقرير المصروفات حسب الشهر'!$C$387:$AD$495,4,FALSE),0)</f>
        <v>2250</v>
      </c>
      <c r="H37" s="362">
        <f>IFERROR(VLOOKUP(C37,'تقرير المصروفات حسب الشهر'!$C$512:$AD$620,4,FALSE),0)</f>
        <v>0</v>
      </c>
      <c r="I37" s="362">
        <f>IFERROR(VLOOKUP(C37,'تقرير المصروفات حسب الشهر'!$C$637:$AD$746,4,FALSE),0)</f>
        <v>4500</v>
      </c>
      <c r="J37" s="362">
        <f>IFERROR(VLOOKUP(C37,'تقرير المصروفات حسب الشهر'!$C$763:$AD$872,4,FALSE),0)</f>
        <v>0</v>
      </c>
      <c r="K37" s="362">
        <f>IFERROR(VLOOKUP(C37,'تقرير المصروفات حسب الشهر'!$C$890:$AD$999,4,FALSE),0)</f>
        <v>6750</v>
      </c>
      <c r="L37" s="362">
        <f>IFERROR(VLOOKUP(C37,'تقرير المصروفات حسب الشهر'!$C$1016:$AD$1126,4,FALSE),0)</f>
        <v>0</v>
      </c>
      <c r="M37" s="376">
        <f>IFERROR(VLOOKUP(C37,'تقرير المصروفات حسب الشهر'!$C$1143:$AD$1254,4,FALSE),0)</f>
        <v>6750</v>
      </c>
      <c r="N37" s="376">
        <f>IFERROR(VLOOKUP(C37,'تقرير المصروفات حسب الشهر'!$C$1270:$AD$1381,4,FALSE),0)</f>
        <v>0</v>
      </c>
      <c r="O37" s="376">
        <f>IFERROR(VLOOKUP(C37,'تقرير المصروفات حسب الشهر'!$C$1397:$AI$1512,4,FALSE),0)</f>
        <v>9040</v>
      </c>
      <c r="P37" s="364">
        <f t="shared" si="6"/>
        <v>31540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الشهر'!$C$10:$AD$119,4,FALSE),0)</f>
        <v>0</v>
      </c>
      <c r="E38" s="362">
        <f>IFERROR(VLOOKUP(C38,'تقرير المصروفات حسب الشهر'!$C$135:$AD$244,4,FALSE),0)</f>
        <v>0</v>
      </c>
      <c r="F38" s="362">
        <v>0</v>
      </c>
      <c r="G38" s="362">
        <f>IFERROR(VLOOKUP(C38,'تقرير المصروفات حسب الشهر'!$C$387:$AD$495,4,FALSE),0)</f>
        <v>0</v>
      </c>
      <c r="H38" s="362">
        <f>IFERROR(VLOOKUP(C38,'تقرير المصروفات حسب الشهر'!$C$512:$AD$620,4,FALSE),0)</f>
        <v>0</v>
      </c>
      <c r="I38" s="362">
        <f>IFERROR(VLOOKUP(C38,'تقرير المصروفات حسب الشهر'!$C$637:$AD$746,4,FALSE),0)</f>
        <v>90</v>
      </c>
      <c r="J38" s="362">
        <f>IFERROR(VLOOKUP(C38,'تقرير المصروفات حسب الشهر'!$C$763:$AD$872,4,FALSE),0)</f>
        <v>0</v>
      </c>
      <c r="K38" s="362">
        <f>IFERROR(VLOOKUP(C38,'تقرير المصروفات حسب الشهر'!$C$890:$AD$999,4,FALSE),0)</f>
        <v>0</v>
      </c>
      <c r="L38" s="362">
        <f>IFERROR(VLOOKUP(C38,'تقرير المصروفات حسب الشهر'!$C$1016:$AD$1126,4,FALSE),0)</f>
        <v>0</v>
      </c>
      <c r="M38" s="376">
        <f>IFERROR(VLOOKUP(C38,'تقرير المصروفات حسب الشهر'!$C$1143:$AD$1254,4,FALSE),0)</f>
        <v>0</v>
      </c>
      <c r="N38" s="376">
        <f>IFERROR(VLOOKUP(C38,'تقرير المصروفات حسب الشهر'!$C$1270:$AD$1381,4,FALSE),0)</f>
        <v>0</v>
      </c>
      <c r="O38" s="376">
        <f>IFERROR(VLOOKUP(C38,'تقرير المصروفات حسب الشهر'!$C$1397:$AI$1512,4,FALSE),0)</f>
        <v>0</v>
      </c>
      <c r="P38" s="364">
        <f t="shared" si="6"/>
        <v>90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الشهر'!$C$10:$AD$119,4,FALSE),0)</f>
        <v>4422.5</v>
      </c>
      <c r="E39" s="362">
        <f>IFERROR(VLOOKUP(C39,'تقرير المصروفات حسب الشهر'!$C$135:$AD$244,4,FALSE),0)</f>
        <v>4442.1000000000004</v>
      </c>
      <c r="F39" s="362">
        <v>3952.5</v>
      </c>
      <c r="G39" s="362">
        <f>IFERROR(VLOOKUP(C39,'تقرير المصروفات حسب الشهر'!$C$387:$AD$495,4,FALSE),0)</f>
        <v>3436.9</v>
      </c>
      <c r="H39" s="362">
        <f>IFERROR(VLOOKUP(C39,'تقرير المصروفات حسب الشهر'!$C$512:$AD$620,4,FALSE),0)</f>
        <v>4803</v>
      </c>
      <c r="I39" s="362">
        <f>IFERROR(VLOOKUP(C39,'تقرير المصروفات حسب الشهر'!$C$637:$AD$746,4,FALSE),0)</f>
        <v>3787</v>
      </c>
      <c r="J39" s="517">
        <f>IFERROR(VLOOKUP(C39,'تقرير المصروفات حسب الشهر'!$C$763:$AD$872,4,FALSE),0)</f>
        <v>2478</v>
      </c>
      <c r="K39" s="362">
        <f>IFERROR(VLOOKUP(C39,'تقرير المصروفات حسب الشهر'!$C$890:$AD$999,4,FALSE),0)</f>
        <v>2070</v>
      </c>
      <c r="L39" s="362">
        <f>IFERROR(VLOOKUP(C39,'تقرير المصروفات حسب الشهر'!$C$1016:$AD$1126,4,FALSE),0)</f>
        <v>1866</v>
      </c>
      <c r="M39" s="376">
        <f>IFERROR(VLOOKUP(C39,'تقرير المصروفات حسب الشهر'!$C$1143:$AD$1254,4,FALSE),0)</f>
        <v>1382</v>
      </c>
      <c r="N39" s="376">
        <f>IFERROR(VLOOKUP(C39,'تقرير المصروفات حسب الشهر'!$C$1270:$AD$1381,4,FALSE),0)</f>
        <v>2906</v>
      </c>
      <c r="O39" s="376">
        <f>IFERROR(VLOOKUP(C39,'تقرير المصروفات حسب الشهر'!$C$1397:$AI$1512,4,FALSE),0)</f>
        <v>4605</v>
      </c>
      <c r="P39" s="364">
        <f t="shared" si="6"/>
        <v>40151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الشهر'!$C$10:$AD$119,4,FALSE),0)</f>
        <v>0</v>
      </c>
      <c r="E40" s="362">
        <f>IFERROR(VLOOKUP(C40,'تقرير المصروفات حسب الشهر'!$C$135:$AD$244,4,FALSE),0)</f>
        <v>0</v>
      </c>
      <c r="F40" s="362">
        <v>0</v>
      </c>
      <c r="G40" s="362">
        <f>IFERROR(VLOOKUP(C40,'تقرير المصروفات حسب الشهر'!$C$387:$AD$495,4,FALSE),0)</f>
        <v>200</v>
      </c>
      <c r="H40" s="362">
        <f>IFERROR(VLOOKUP(C40,'تقرير المصروفات حسب الشهر'!$C$512:$AD$620,4,FALSE),0)</f>
        <v>0</v>
      </c>
      <c r="I40" s="362">
        <f>IFERROR(VLOOKUP(C40,'تقرير المصروفات حسب الشهر'!$C$637:$AD$746,4,FALSE),0)</f>
        <v>0</v>
      </c>
      <c r="J40" s="362">
        <f>IFERROR(VLOOKUP(C40,'تقرير المصروفات حسب الشهر'!$C$763:$AD$872,4,FALSE),0)</f>
        <v>0</v>
      </c>
      <c r="K40" s="362">
        <f>IFERROR(VLOOKUP(C40,'تقرير المصروفات حسب الشهر'!$C$890:$AD$999,4,FALSE),0)</f>
        <v>0</v>
      </c>
      <c r="L40" s="362">
        <f>IFERROR(VLOOKUP(C40,'تقرير المصروفات حسب الشهر'!$C$1016:$AD$1126,4,FALSE),0)</f>
        <v>400</v>
      </c>
      <c r="M40" s="376">
        <f>IFERROR(VLOOKUP(C40,'تقرير المصروفات حسب الشهر'!$C$1143:$AD$1254,4,FALSE),0)</f>
        <v>0</v>
      </c>
      <c r="N40" s="376">
        <f>IFERROR(VLOOKUP(C40,'تقرير المصروفات حسب الشهر'!$C$1270:$AD$1381,4,FALSE),0)</f>
        <v>0</v>
      </c>
      <c r="O40" s="376">
        <f>IFERROR(VLOOKUP(C40,'تقرير المصروفات حسب الشهر'!$C$1397:$AI$1512,4,FALSE),0)</f>
        <v>200</v>
      </c>
      <c r="P40" s="364">
        <f t="shared" si="6"/>
        <v>800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الشهر'!$C$10:$AD$119,4,FALSE),0)</f>
        <v>1570.23</v>
      </c>
      <c r="E41" s="362">
        <f>IFERROR(VLOOKUP(C41,'تقرير المصروفات حسب الشهر'!$C$135:$AD$244,4,FALSE),0)</f>
        <v>1978.52</v>
      </c>
      <c r="F41" s="362">
        <v>640.94000000000005</v>
      </c>
      <c r="G41" s="362">
        <f>IFERROR(VLOOKUP(C41,'تقرير المصروفات حسب الشهر'!$C$387:$AD$495,4,FALSE),0)</f>
        <v>1562.57</v>
      </c>
      <c r="H41" s="362">
        <f>IFERROR(VLOOKUP(C41,'تقرير المصروفات حسب الشهر'!$C$512:$AD$620,4,FALSE),0)</f>
        <v>1565.03</v>
      </c>
      <c r="I41" s="362">
        <f>IFERROR(VLOOKUP(C41,'تقرير المصروفات حسب الشهر'!$C$637:$AD$746,4,FALSE),0)</f>
        <v>729.07</v>
      </c>
      <c r="J41" s="517">
        <f>IFERROR(VLOOKUP(C41,'تقرير المصروفات حسب الشهر'!$C$763:$AD$872,4,FALSE),0)</f>
        <v>1574.86</v>
      </c>
      <c r="K41" s="362">
        <f>IFERROR(VLOOKUP(C41,'تقرير المصروفات حسب الشهر'!$C$890:$AD$999,4,FALSE),0)</f>
        <v>699.41</v>
      </c>
      <c r="L41" s="362">
        <f>IFERROR(VLOOKUP(C41,'تقرير المصروفات حسب الشهر'!$C$1016:$AD$1126,4,FALSE),0)</f>
        <v>1911.4</v>
      </c>
      <c r="M41" s="376">
        <f>IFERROR(VLOOKUP(C41,'تقرير المصروفات حسب الشهر'!$C$1143:$AD$1254,4,FALSE),0)</f>
        <v>807.74</v>
      </c>
      <c r="N41" s="376">
        <f>IFERROR(VLOOKUP(C41,'تقرير المصروفات حسب الشهر'!$C$1270:$AD$1381,4,FALSE),0)</f>
        <v>986.79</v>
      </c>
      <c r="O41" s="376">
        <f>IFERROR(VLOOKUP(C41,'تقرير المصروفات حسب الشهر'!$C$1397:$AI$1512,4,FALSE),0)</f>
        <v>475.17</v>
      </c>
      <c r="P41" s="364">
        <f t="shared" si="6"/>
        <v>14501.729999999998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الشهر'!$C$10:$AD$119,4,FALSE),0)</f>
        <v>0</v>
      </c>
      <c r="E42" s="362">
        <f>IFERROR(VLOOKUP(C42,'تقرير المصروفات حسب الشهر'!$C$135:$AD$244,4,FALSE),0)</f>
        <v>0</v>
      </c>
      <c r="F42" s="362">
        <v>205</v>
      </c>
      <c r="G42" s="362">
        <f>IFERROR(VLOOKUP(C42,'تقرير المصروفات حسب الشهر'!$C$387:$AD$495,4,FALSE),0)</f>
        <v>110</v>
      </c>
      <c r="H42" s="362">
        <f>IFERROR(VLOOKUP(C42,'تقرير المصروفات حسب الشهر'!$C$512:$AD$620,4,FALSE),0)</f>
        <v>0</v>
      </c>
      <c r="I42" s="362">
        <f>IFERROR(VLOOKUP(C42,'تقرير المصروفات حسب الشهر'!$C$637:$AD$746,4,FALSE),0)</f>
        <v>85</v>
      </c>
      <c r="J42" s="517">
        <f>IFERROR(VLOOKUP(C42,'تقرير المصروفات حسب الشهر'!$C$763:$AD$872,4,FALSE),0)</f>
        <v>100</v>
      </c>
      <c r="K42" s="362">
        <f>IFERROR(VLOOKUP(C42,'تقرير المصروفات حسب الشهر'!$C$890:$AD$999,4,FALSE),0)</f>
        <v>0</v>
      </c>
      <c r="L42" s="362">
        <f>IFERROR(VLOOKUP(C42,'تقرير المصروفات حسب الشهر'!$C$1016:$AD$1126,4,FALSE),0)</f>
        <v>0</v>
      </c>
      <c r="M42" s="376">
        <f>IFERROR(VLOOKUP(C42,'تقرير المصروفات حسب الشهر'!$C$1143:$AD$1254,4,FALSE),0)</f>
        <v>85</v>
      </c>
      <c r="N42" s="376">
        <f>IFERROR(VLOOKUP(C42,'تقرير المصروفات حسب الشهر'!$C$1270:$AD$1381,4,FALSE),0)</f>
        <v>0</v>
      </c>
      <c r="O42" s="376">
        <f>IFERROR(VLOOKUP(C42,'تقرير المصروفات حسب الشهر'!$C$1397:$AI$1512,4,FALSE),0)</f>
        <v>80</v>
      </c>
      <c r="P42" s="364">
        <f t="shared" si="6"/>
        <v>665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الشهر'!$C$10:$AD$119,4,FALSE),0)</f>
        <v>0</v>
      </c>
      <c r="E43" s="362">
        <f>IFERROR(VLOOKUP(C43,'تقرير المصروفات حسب الشهر'!$C$135:$AD$244,4,FALSE),0)</f>
        <v>0</v>
      </c>
      <c r="F43" s="362">
        <v>0</v>
      </c>
      <c r="G43" s="362">
        <f>IFERROR(VLOOKUP(C43,'تقرير المصروفات حسب الشهر'!$C$387:$AD$495,4,FALSE),0)</f>
        <v>0</v>
      </c>
      <c r="H43" s="362">
        <f>IFERROR(VLOOKUP(C43,'تقرير المصروفات حسب الشهر'!$C$512:$AD$620,4,FALSE),0)</f>
        <v>0</v>
      </c>
      <c r="I43" s="362">
        <f>IFERROR(VLOOKUP(C43,'تقرير المصروفات حسب الشهر'!$C$637:$AD$746,4,FALSE),0)</f>
        <v>0</v>
      </c>
      <c r="J43" s="362">
        <f>IFERROR(VLOOKUP(C43,'تقرير المصروفات حسب الشهر'!$C$763:$AD$872,4,FALSE),0)</f>
        <v>0</v>
      </c>
      <c r="K43" s="362">
        <f>IFERROR(VLOOKUP(C43,'تقرير المصروفات حسب الشهر'!$C$890:$AD$999,4,FALSE),0)</f>
        <v>0</v>
      </c>
      <c r="L43" s="362">
        <f>IFERROR(VLOOKUP(C43,'تقرير المصروفات حسب الشهر'!$C$1016:$AD$1126,4,FALSE),0)</f>
        <v>0</v>
      </c>
      <c r="M43" s="376">
        <f>IFERROR(VLOOKUP(C43,'تقرير المصروفات حسب الشهر'!$C$1143:$AD$1254,4,FALSE),0)</f>
        <v>0</v>
      </c>
      <c r="N43" s="376">
        <f>IFERROR(VLOOKUP(C43,'تقرير المصروفات حسب الشهر'!$C$1270:$AD$1381,4,FALSE),0)</f>
        <v>0</v>
      </c>
      <c r="O43" s="376">
        <f>IFERROR(VLOOKUP(C43,'تقرير المصروفات حسب الشهر'!$C$1397:$AI$1512,4,FALSE),0)</f>
        <v>0</v>
      </c>
      <c r="P43" s="364">
        <f t="shared" si="6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الشهر'!$C$10:$AD$119,4,FALSE),0)</f>
        <v>320</v>
      </c>
      <c r="E44" s="362">
        <f>IFERROR(VLOOKUP(C44,'تقرير المصروفات حسب الشهر'!$C$135:$AD$244,4,FALSE),0)</f>
        <v>70</v>
      </c>
      <c r="F44" s="362">
        <v>60</v>
      </c>
      <c r="G44" s="362">
        <f>IFERROR(VLOOKUP(C44,'تقرير المصروفات حسب الشهر'!$C$387:$AD$495,4,FALSE),0)</f>
        <v>425</v>
      </c>
      <c r="H44" s="362">
        <f>IFERROR(VLOOKUP(C44,'تقرير المصروفات حسب الشهر'!$C$512:$AD$620,4,FALSE),0)</f>
        <v>235</v>
      </c>
      <c r="I44" s="362">
        <f>IFERROR(VLOOKUP(C44,'تقرير المصروفات حسب الشهر'!$C$637:$AD$746,4,FALSE),0)</f>
        <v>200</v>
      </c>
      <c r="J44" s="517">
        <f>IFERROR(VLOOKUP(C44,'تقرير المصروفات حسب الشهر'!$C$763:$AD$872,4,FALSE),0)</f>
        <v>212</v>
      </c>
      <c r="K44" s="362">
        <f>IFERROR(VLOOKUP(C44,'تقرير المصروفات حسب الشهر'!$C$890:$AD$999,4,FALSE),0)</f>
        <v>164</v>
      </c>
      <c r="L44" s="362">
        <f>IFERROR(VLOOKUP(C44,'تقرير المصروفات حسب الشهر'!$C$1016:$AD$1126,4,FALSE),0)</f>
        <v>70</v>
      </c>
      <c r="M44" s="376">
        <f>IFERROR(VLOOKUP(C44,'تقرير المصروفات حسب الشهر'!$C$1143:$AD$1254,4,FALSE),0)</f>
        <v>260</v>
      </c>
      <c r="N44" s="376">
        <f>IFERROR(VLOOKUP(C44,'تقرير المصروفات حسب الشهر'!$C$1270:$AD$1381,4,FALSE),0)</f>
        <v>337</v>
      </c>
      <c r="O44" s="376">
        <f>IFERROR(VLOOKUP(C44,'تقرير المصروفات حسب الشهر'!$C$1397:$AI$1512,4,FALSE),0)</f>
        <v>535</v>
      </c>
      <c r="P44" s="364">
        <f t="shared" si="6"/>
        <v>2888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الشهر'!$C$10:$AD$119,4,FALSE),0)</f>
        <v>0</v>
      </c>
      <c r="E45" s="362">
        <f>IFERROR(VLOOKUP(C45,'تقرير المصروفات حسب الشهر'!$C$135:$AD$244,4,FALSE),0)</f>
        <v>0</v>
      </c>
      <c r="F45" s="362">
        <v>0</v>
      </c>
      <c r="G45" s="362">
        <f>IFERROR(VLOOKUP(C45,'تقرير المصروفات حسب الشهر'!$C$387:$AD$495,4,FALSE),0)</f>
        <v>0</v>
      </c>
      <c r="H45" s="362">
        <f>IFERROR(VLOOKUP(C45,'تقرير المصروفات حسب الشهر'!$C$512:$AD$620,4,FALSE),0)</f>
        <v>0</v>
      </c>
      <c r="I45" s="362">
        <f>IFERROR(VLOOKUP(C45,'تقرير المصروفات حسب الشهر'!$C$637:$AD$746,4,FALSE),0)</f>
        <v>0</v>
      </c>
      <c r="J45" s="362">
        <f>IFERROR(VLOOKUP(C45,'تقرير المصروفات حسب الشهر'!$C$763:$AD$872,4,FALSE),0)</f>
        <v>0</v>
      </c>
      <c r="K45" s="362">
        <f>IFERROR(VLOOKUP(C45,'تقرير المصروفات حسب الشهر'!$C$890:$AD$999,4,FALSE),0)</f>
        <v>0</v>
      </c>
      <c r="L45" s="362">
        <f>IFERROR(VLOOKUP(C45,'تقرير المصروفات حسب الشهر'!$C$1016:$AD$1126,4,FALSE),0)</f>
        <v>0</v>
      </c>
      <c r="M45" s="376">
        <f>IFERROR(VLOOKUP(C45,'تقرير المصروفات حسب الشهر'!$C$1143:$AD$1254,4,FALSE),0)</f>
        <v>0</v>
      </c>
      <c r="N45" s="376">
        <f>IFERROR(VLOOKUP(C45,'تقرير المصروفات حسب الشهر'!$C$1270:$AD$1381,4,FALSE),0)</f>
        <v>0</v>
      </c>
      <c r="O45" s="376">
        <f>IFERROR(VLOOKUP(C45,'تقرير المصروفات حسب الشهر'!$C$1397:$AI$1512,4,FALSE),0)</f>
        <v>0</v>
      </c>
      <c r="P45" s="364">
        <f t="shared" si="6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الشهر'!$C$10:$AD$119,4,FALSE),0)</f>
        <v>217.24</v>
      </c>
      <c r="E46" s="362">
        <f>IFERROR(VLOOKUP(C46,'تقرير المصروفات حسب الشهر'!$C$135:$AD$244,4,FALSE),0)</f>
        <v>217.24</v>
      </c>
      <c r="F46" s="362">
        <v>217.24</v>
      </c>
      <c r="G46" s="362">
        <f>IFERROR(VLOOKUP(C46,'تقرير المصروفات حسب الشهر'!$C$387:$AD$495,4,FALSE),0)</f>
        <v>217.24</v>
      </c>
      <c r="H46" s="362">
        <f>IFERROR(VLOOKUP(C46,'تقرير المصروفات حسب الشهر'!$C$512:$AD$620,4,FALSE),0)</f>
        <v>217.24</v>
      </c>
      <c r="I46" s="362">
        <f>IFERROR(VLOOKUP(C46,'تقرير المصروفات حسب الشهر'!$C$637:$AD$746,4,FALSE),0)</f>
        <v>217.24</v>
      </c>
      <c r="J46" s="517">
        <f>IFERROR(VLOOKUP(C46,'تقرير المصروفات حسب الشهر'!$C$763:$AD$872,4,FALSE),0)</f>
        <v>217.24</v>
      </c>
      <c r="K46" s="362">
        <f>IFERROR(VLOOKUP(C46,'تقرير المصروفات حسب الشهر'!$C$890:$AD$999,4,FALSE),0)</f>
        <v>217.24</v>
      </c>
      <c r="L46" s="362">
        <f>IFERROR(VLOOKUP(C46,'تقرير المصروفات حسب الشهر'!$C$1016:$AD$1126,4,FALSE),0)</f>
        <v>217.24</v>
      </c>
      <c r="M46" s="376">
        <f>IFERROR(VLOOKUP(C46,'تقرير المصروفات حسب الشهر'!$C$1143:$AD$1254,4,FALSE),0)</f>
        <v>217.24</v>
      </c>
      <c r="N46" s="376">
        <f>IFERROR(VLOOKUP(C46,'تقرير المصروفات حسب الشهر'!$C$1270:$AD$1381,4,FALSE),0)</f>
        <v>217.24</v>
      </c>
      <c r="O46" s="376">
        <f>IFERROR(VLOOKUP(C46,'تقرير المصروفات حسب الشهر'!$C$1397:$AI$1512,4,FALSE),0)</f>
        <v>217.24</v>
      </c>
      <c r="P46" s="364">
        <f t="shared" si="6"/>
        <v>2606.88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الشهر'!$C$10:$AD$119,4,FALSE),0)</f>
        <v>0</v>
      </c>
      <c r="E47" s="362">
        <f>IFERROR(VLOOKUP(C47,'تقرير المصروفات حسب الشهر'!$C$135:$AD$244,4,FALSE),0)</f>
        <v>0</v>
      </c>
      <c r="F47" s="362">
        <v>0</v>
      </c>
      <c r="G47" s="362">
        <f>IFERROR(VLOOKUP(C47,'تقرير المصروفات حسب الشهر'!$C$387:$AD$495,4,FALSE),0)</f>
        <v>3300</v>
      </c>
      <c r="H47" s="362">
        <f>IFERROR(VLOOKUP(C47,'تقرير المصروفات حسب الشهر'!$C$512:$AD$620,4,FALSE),0)</f>
        <v>770</v>
      </c>
      <c r="I47" s="362">
        <f>IFERROR(VLOOKUP(C47,'تقرير المصروفات حسب الشهر'!$C$637:$AD$746,4,FALSE),0)</f>
        <v>600</v>
      </c>
      <c r="J47" s="517">
        <f>IFERROR(VLOOKUP(C47,'تقرير المصروفات حسب الشهر'!$C$763:$AD$872,4,FALSE),0)</f>
        <v>3600</v>
      </c>
      <c r="K47" s="362">
        <f>IFERROR(VLOOKUP(C47,'تقرير المصروفات حسب الشهر'!$C$890:$AD$999,4,FALSE),0)</f>
        <v>2800</v>
      </c>
      <c r="L47" s="362">
        <f>IFERROR(VLOOKUP(C47,'تقرير المصروفات حسب الشهر'!$C$1016:$AD$1126,4,FALSE),0)</f>
        <v>0</v>
      </c>
      <c r="M47" s="376">
        <f>IFERROR(VLOOKUP(C47,'تقرير المصروفات حسب الشهر'!$C$1143:$AD$1254,4,FALSE),0)</f>
        <v>1200</v>
      </c>
      <c r="N47" s="376">
        <f>IFERROR(VLOOKUP(C47,'تقرير المصروفات حسب الشهر'!$C$1270:$AD$1381,4,FALSE),0)</f>
        <v>600</v>
      </c>
      <c r="O47" s="376">
        <f>IFERROR(VLOOKUP(C47,'تقرير المصروفات حسب الشهر'!$C$1397:$AI$1512,4,FALSE),0)</f>
        <v>0</v>
      </c>
      <c r="P47" s="364">
        <f t="shared" si="6"/>
        <v>12870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الشهر'!$C$10:$AD$119,4,FALSE),0)</f>
        <v>0</v>
      </c>
      <c r="E48" s="362">
        <f>IFERROR(VLOOKUP(C48,'تقرير المصروفات حسب الشهر'!$C$135:$AD$244,4,FALSE),0)</f>
        <v>3850</v>
      </c>
      <c r="F48" s="362">
        <v>0</v>
      </c>
      <c r="G48" s="362">
        <f>IFERROR(VLOOKUP(C48,'تقرير المصروفات حسب الشهر'!$C$387:$AD$495,4,FALSE),0)</f>
        <v>0</v>
      </c>
      <c r="H48" s="362">
        <f>IFERROR(VLOOKUP(C48,'تقرير المصروفات حسب الشهر'!$C$512:$AD$620,4,FALSE),0)</f>
        <v>0</v>
      </c>
      <c r="I48" s="362">
        <f>IFERROR(VLOOKUP(C48,'تقرير المصروفات حسب الشهر'!$C$637:$AD$746,4,FALSE),0)</f>
        <v>70</v>
      </c>
      <c r="J48" s="362">
        <f>IFERROR(VLOOKUP(C48,'تقرير المصروفات حسب الشهر'!$C$763:$AD$872,4,FALSE),0)</f>
        <v>0</v>
      </c>
      <c r="K48" s="362">
        <f>IFERROR(VLOOKUP(C48,'تقرير المصروفات حسب الشهر'!$C$890:$AD$999,4,FALSE),0)</f>
        <v>0</v>
      </c>
      <c r="L48" s="362">
        <f>IFERROR(VLOOKUP(C48,'تقرير المصروفات حسب الشهر'!$C$1016:$AD$1126,4,FALSE),0)</f>
        <v>135</v>
      </c>
      <c r="M48" s="376">
        <f>IFERROR(VLOOKUP(C48,'تقرير المصروفات حسب الشهر'!$C$1143:$AD$1254,4,FALSE),0)</f>
        <v>6720</v>
      </c>
      <c r="N48" s="376">
        <f>IFERROR(VLOOKUP(C48,'تقرير المصروفات حسب الشهر'!$C$1270:$AD$1381,4,FALSE),0)</f>
        <v>350</v>
      </c>
      <c r="O48" s="376">
        <f>IFERROR(VLOOKUP(C48,'تقرير المصروفات حسب الشهر'!$C$1397:$AI$1512,4,FALSE),0)</f>
        <v>35</v>
      </c>
      <c r="P48" s="364">
        <f t="shared" si="6"/>
        <v>11160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الشهر'!$C$10:$AD$119,4,FALSE),0)</f>
        <v>0</v>
      </c>
      <c r="E49" s="362">
        <f>IFERROR(VLOOKUP(C49,'تقرير المصروفات حسب الشهر'!$C$135:$AD$244,4,FALSE),0)</f>
        <v>1050</v>
      </c>
      <c r="F49" s="362">
        <v>0</v>
      </c>
      <c r="G49" s="362">
        <f>IFERROR(VLOOKUP(C49,'تقرير المصروفات حسب الشهر'!$C$387:$AD$495,4,FALSE),0)</f>
        <v>0</v>
      </c>
      <c r="H49" s="362">
        <f>IFERROR(VLOOKUP(C49,'تقرير المصروفات حسب الشهر'!$C$512:$AD$620,4,FALSE),0)</f>
        <v>0</v>
      </c>
      <c r="I49" s="362">
        <f>IFERROR(VLOOKUP(C49,'تقرير المصروفات حسب الشهر'!$C$637:$AD$746,4,FALSE),0)</f>
        <v>0</v>
      </c>
      <c r="J49" s="362">
        <f>IFERROR(VLOOKUP(C49,'تقرير المصروفات حسب الشهر'!$C$763:$AD$872,4,FALSE),0)</f>
        <v>0</v>
      </c>
      <c r="K49" s="362">
        <f>IFERROR(VLOOKUP(C49,'تقرير المصروفات حسب الشهر'!$C$890:$AD$999,4,FALSE),0)</f>
        <v>0</v>
      </c>
      <c r="L49" s="362">
        <f>IFERROR(VLOOKUP(C49,'تقرير المصروفات حسب الشهر'!$C$1016:$AD$1126,4,FALSE),0)</f>
        <v>0</v>
      </c>
      <c r="M49" s="376">
        <f>IFERROR(VLOOKUP(C49,'تقرير المصروفات حسب الشهر'!$C$1143:$AD$1254,4,FALSE),0)</f>
        <v>0</v>
      </c>
      <c r="N49" s="376">
        <f>IFERROR(VLOOKUP(C49,'تقرير المصروفات حسب الشهر'!$C$1270:$AD$1381,4,FALSE),0)</f>
        <v>0</v>
      </c>
      <c r="O49" s="376">
        <f>IFERROR(VLOOKUP(C49,'تقرير المصروفات حسب الشهر'!$C$1397:$AI$1512,4,FALSE),0)</f>
        <v>0</v>
      </c>
      <c r="P49" s="364">
        <f t="shared" si="6"/>
        <v>1050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الشهر'!$C$10:$AD$119,4,FALSE),0)</f>
        <v>0</v>
      </c>
      <c r="E50" s="362">
        <f>IFERROR(VLOOKUP(C50,'تقرير المصروفات حسب الشهر'!$C$135:$AD$244,4,FALSE),0)</f>
        <v>0</v>
      </c>
      <c r="F50" s="362">
        <v>0</v>
      </c>
      <c r="G50" s="362">
        <f>IFERROR(VLOOKUP(C50,'تقرير المصروفات حسب الشهر'!$C$387:$AD$495,4,FALSE),0)</f>
        <v>0</v>
      </c>
      <c r="H50" s="362">
        <f>IFERROR(VLOOKUP(C50,'تقرير المصروفات حسب الشهر'!$C$512:$AD$620,4,FALSE),0)</f>
        <v>0</v>
      </c>
      <c r="I50" s="362">
        <f>IFERROR(VLOOKUP(C50,'تقرير المصروفات حسب الشهر'!$C$637:$AD$746,4,FALSE),0)</f>
        <v>0</v>
      </c>
      <c r="J50" s="362">
        <f>IFERROR(VLOOKUP(C50,'تقرير المصروفات حسب الشهر'!$C$763:$AD$872,4,FALSE),0)</f>
        <v>0</v>
      </c>
      <c r="K50" s="362">
        <f>IFERROR(VLOOKUP(C50,'تقرير المصروفات حسب الشهر'!$C$890:$AD$999,4,FALSE),0)</f>
        <v>0</v>
      </c>
      <c r="L50" s="362">
        <f>IFERROR(VLOOKUP(C50,'تقرير المصروفات حسب الشهر'!$C$1016:$AD$1126,4,FALSE),0)</f>
        <v>0</v>
      </c>
      <c r="M50" s="376">
        <f>IFERROR(VLOOKUP(C50,'تقرير المصروفات حسب الشهر'!$C$1143:$AD$1254,4,FALSE),0)</f>
        <v>0</v>
      </c>
      <c r="N50" s="376">
        <f>IFERROR(VLOOKUP(C50,'تقرير المصروفات حسب الشهر'!$C$1270:$AD$1381,4,FALSE),0)</f>
        <v>0</v>
      </c>
      <c r="O50" s="376">
        <f>IFERROR(VLOOKUP(C50,'تقرير المصروفات حسب الشهر'!$C$1397:$AI$1512,4,FALSE),0)</f>
        <v>0</v>
      </c>
      <c r="P50" s="364">
        <f t="shared" si="6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الشهر'!$C$10:$AD$119,4,FALSE),0)</f>
        <v>1200</v>
      </c>
      <c r="E51" s="362">
        <f>IFERROR(VLOOKUP(C51,'تقرير المصروفات حسب الشهر'!$C$135:$AD$244,4,FALSE),0)</f>
        <v>200</v>
      </c>
      <c r="F51" s="362">
        <v>200</v>
      </c>
      <c r="G51" s="362">
        <f>IFERROR(VLOOKUP(C51,'تقرير المصروفات حسب الشهر'!$C$387:$AD$495,4,FALSE),0)</f>
        <v>5810</v>
      </c>
      <c r="H51" s="362">
        <f>IFERROR(VLOOKUP(C51,'تقرير المصروفات حسب الشهر'!$C$512:$AD$620,4,FALSE),0)</f>
        <v>0</v>
      </c>
      <c r="I51" s="362">
        <f>IFERROR(VLOOKUP(C51,'تقرير المصروفات حسب الشهر'!$C$637:$AD$746,4,FALSE),0)</f>
        <v>0</v>
      </c>
      <c r="J51" s="517">
        <f>IFERROR(VLOOKUP(C51,'تقرير المصروفات حسب الشهر'!$C$763:$AD$872,4,FALSE),0)</f>
        <v>649.5</v>
      </c>
      <c r="K51" s="362">
        <f>IFERROR(VLOOKUP(C51,'تقرير المصروفات حسب الشهر'!$C$890:$AD$999,4,FALSE),0)</f>
        <v>385</v>
      </c>
      <c r="L51" s="362">
        <f>IFERROR(VLOOKUP(C51,'تقرير المصروفات حسب الشهر'!$C$1016:$AD$1126,4,FALSE),0)</f>
        <v>670</v>
      </c>
      <c r="M51" s="376">
        <f>IFERROR(VLOOKUP(C51,'تقرير المصروفات حسب الشهر'!$C$1143:$AD$1254,4,FALSE),0)</f>
        <v>200</v>
      </c>
      <c r="N51" s="376">
        <f>IFERROR(VLOOKUP(C51,'تقرير المصروفات حسب الشهر'!$C$1270:$AD$1381,4,FALSE),0)</f>
        <v>350</v>
      </c>
      <c r="O51" s="376">
        <f>IFERROR(VLOOKUP(C51,'تقرير المصروفات حسب الشهر'!$C$1397:$AI$1512,4,FALSE),0)</f>
        <v>24660</v>
      </c>
      <c r="P51" s="364">
        <f t="shared" si="6"/>
        <v>34324.5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الشهر'!$C$10:$AD$119,4,FALSE),0)</f>
        <v>0</v>
      </c>
      <c r="E52" s="362">
        <f>IFERROR(VLOOKUP(C52,'تقرير المصروفات حسب الشهر'!$C$135:$AD$244,4,FALSE),0)</f>
        <v>0</v>
      </c>
      <c r="F52" s="362">
        <v>0</v>
      </c>
      <c r="G52" s="362">
        <f>IFERROR(VLOOKUP(C52,'تقرير المصروفات حسب الشهر'!$C$387:$AD$495,4,FALSE),0)</f>
        <v>0</v>
      </c>
      <c r="H52" s="362">
        <f>IFERROR(VLOOKUP(C52,'تقرير المصروفات حسب الشهر'!$C$512:$AD$620,4,FALSE),0)</f>
        <v>0</v>
      </c>
      <c r="I52" s="362">
        <f>IFERROR(VLOOKUP(C52,'تقرير المصروفات حسب الشهر'!$C$637:$AD$746,4,FALSE),0)</f>
        <v>0</v>
      </c>
      <c r="J52" s="517">
        <f>IFERROR(VLOOKUP(C52,'تقرير المصروفات حسب الشهر'!$C$763:$AD$872,4,FALSE),0)</f>
        <v>500</v>
      </c>
      <c r="K52" s="362">
        <f>IFERROR(VLOOKUP(C52,'تقرير المصروفات حسب الشهر'!$C$890:$AD$999,4,FALSE),0)</f>
        <v>0</v>
      </c>
      <c r="L52" s="362">
        <f>IFERROR(VLOOKUP(C52,'تقرير المصروفات حسب الشهر'!$C$1016:$AD$1126,4,FALSE),0)</f>
        <v>1602</v>
      </c>
      <c r="M52" s="376">
        <f>IFERROR(VLOOKUP(C52,'تقرير المصروفات حسب الشهر'!$C$1143:$AD$1254,4,FALSE),0)</f>
        <v>0</v>
      </c>
      <c r="N52" s="376">
        <f>IFERROR(VLOOKUP(C52,'تقرير المصروفات حسب الشهر'!$C$1270:$AD$1381,4,FALSE),0)</f>
        <v>0</v>
      </c>
      <c r="O52" s="376">
        <f>IFERROR(VLOOKUP(C52,'تقرير المصروفات حسب الشهر'!$C$1397:$AI$1512,4,FALSE),0)</f>
        <v>1010</v>
      </c>
      <c r="P52" s="364">
        <f t="shared" si="6"/>
        <v>3112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الشهر'!$C$10:$AD$119,4,FALSE),0)</f>
        <v>0</v>
      </c>
      <c r="E53" s="362">
        <f>IFERROR(VLOOKUP(C53,'تقرير المصروفات حسب الشهر'!$C$135:$AD$244,4,FALSE),0)</f>
        <v>0</v>
      </c>
      <c r="F53" s="362">
        <v>0</v>
      </c>
      <c r="G53" s="362">
        <f>IFERROR(VLOOKUP(C53,'تقرير المصروفات حسب الشهر'!$C$387:$AD$495,4,FALSE),0)</f>
        <v>0</v>
      </c>
      <c r="H53" s="362">
        <f>IFERROR(VLOOKUP(C53,'تقرير المصروفات حسب الشهر'!$C$512:$AD$620,4,FALSE),0)</f>
        <v>0</v>
      </c>
      <c r="I53" s="362">
        <f>IFERROR(VLOOKUP(C53,'تقرير المصروفات حسب الشهر'!$C$637:$AD$746,4,FALSE),0)</f>
        <v>0</v>
      </c>
      <c r="J53" s="362">
        <f>IFERROR(VLOOKUP(C53,'تقرير المصروفات حسب الشهر'!$C$763:$AD$872,4,FALSE),0)</f>
        <v>0</v>
      </c>
      <c r="K53" s="362">
        <f>IFERROR(VLOOKUP(C53,'تقرير المصروفات حسب الشهر'!$C$890:$AD$999,4,FALSE),0)</f>
        <v>0</v>
      </c>
      <c r="L53" s="362">
        <f>IFERROR(VLOOKUP(C53,'تقرير المصروفات حسب الشهر'!$C$1016:$AD$1126,4,FALSE),0)</f>
        <v>0</v>
      </c>
      <c r="M53" s="376">
        <f>IFERROR(VLOOKUP(C53,'تقرير المصروفات حسب الشهر'!$C$1143:$AD$1254,4,FALSE),0)</f>
        <v>0</v>
      </c>
      <c r="N53" s="376">
        <f>IFERROR(VLOOKUP(C53,'تقرير المصروفات حسب الشهر'!$C$1270:$AD$1381,4,FALSE),0)</f>
        <v>0</v>
      </c>
      <c r="O53" s="376">
        <f>IFERROR(VLOOKUP(C53,'تقرير المصروفات حسب الشهر'!$C$1397:$AI$1512,4,FALSE),0)</f>
        <v>0</v>
      </c>
      <c r="P53" s="364">
        <f t="shared" si="6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الشهر'!$C$10:$AD$119,4,FALSE),0)</f>
        <v>11050</v>
      </c>
      <c r="E54" s="362">
        <f>IFERROR(VLOOKUP(C54,'تقرير المصروفات حسب الشهر'!$C$135:$AD$244,4,FALSE),0)</f>
        <v>0</v>
      </c>
      <c r="F54" s="362">
        <v>25100</v>
      </c>
      <c r="G54" s="362">
        <f>IFERROR(VLOOKUP(C54,'تقرير المصروفات حسب الشهر'!$C$387:$AD$495,4,FALSE),0)</f>
        <v>13200</v>
      </c>
      <c r="H54" s="362">
        <f>IFERROR(VLOOKUP(C54,'تقرير المصروفات حسب الشهر'!$C$512:$AD$620,4,FALSE),0)</f>
        <v>15000</v>
      </c>
      <c r="I54" s="362">
        <f>IFERROR(VLOOKUP(C54,'تقرير المصروفات حسب الشهر'!$C$637:$AD$746,4,FALSE),0)</f>
        <v>15500</v>
      </c>
      <c r="J54" s="517">
        <f>IFERROR(VLOOKUP(C54,'تقرير المصروفات حسب الشهر'!$C$763:$AD$872,4,FALSE),0)</f>
        <v>16400</v>
      </c>
      <c r="K54" s="362">
        <f>IFERROR(VLOOKUP(C54,'تقرير المصروفات حسب الشهر'!$C$890:$AD$999,4,FALSE),0)</f>
        <v>10000</v>
      </c>
      <c r="L54" s="362">
        <f>IFERROR(VLOOKUP(C54,'تقرير المصروفات حسب الشهر'!$C$1016:$AD$1126,4,FALSE),0)</f>
        <v>0</v>
      </c>
      <c r="M54" s="376">
        <f>IFERROR(VLOOKUP(C54,'تقرير المصروفات حسب الشهر'!$C$1143:$AD$1254,4,FALSE),0)</f>
        <v>10000</v>
      </c>
      <c r="N54" s="376">
        <f>IFERROR(VLOOKUP(C54,'تقرير المصروفات حسب الشهر'!$C$1270:$AD$1381,4,FALSE),0)</f>
        <v>0</v>
      </c>
      <c r="O54" s="376">
        <f>IFERROR(VLOOKUP(C54,'تقرير المصروفات حسب الشهر'!$C$1397:$AI$1512,4,FALSE),0)</f>
        <v>37700</v>
      </c>
      <c r="P54" s="364">
        <f t="shared" si="6"/>
        <v>153950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الشهر'!$C$10:$AD$119,4,FALSE),0)</f>
        <v>0</v>
      </c>
      <c r="E55" s="362">
        <f>IFERROR(VLOOKUP(C55,'تقرير المصروفات حسب الشهر'!$C$135:$AD$244,4,FALSE),0)</f>
        <v>0</v>
      </c>
      <c r="F55" s="362">
        <v>0</v>
      </c>
      <c r="G55" s="362">
        <f>IFERROR(VLOOKUP(C55,'تقرير المصروفات حسب الشهر'!$C$387:$AD$495,4,FALSE),0)</f>
        <v>0</v>
      </c>
      <c r="H55" s="362">
        <f>IFERROR(VLOOKUP(C55,'تقرير المصروفات حسب الشهر'!$C$512:$AD$620,4,FALSE),0)</f>
        <v>0</v>
      </c>
      <c r="I55" s="362">
        <f>IFERROR(VLOOKUP(C55,'تقرير المصروفات حسب الشهر'!$C$637:$AD$746,4,FALSE),0)</f>
        <v>0</v>
      </c>
      <c r="J55" s="362">
        <f>IFERROR(VLOOKUP(C55,'تقرير المصروفات حسب الشهر'!$C$763:$AD$872,4,FALSE),0)</f>
        <v>0</v>
      </c>
      <c r="K55" s="362">
        <f>IFERROR(VLOOKUP(C55,'تقرير المصروفات حسب الشهر'!$C$890:$AD$999,4,FALSE),0)</f>
        <v>0</v>
      </c>
      <c r="L55" s="362">
        <f>IFERROR(VLOOKUP(C55,'تقرير المصروفات حسب الشهر'!$C$1016:$AD$1126,4,FALSE),0)</f>
        <v>0</v>
      </c>
      <c r="M55" s="376">
        <f>IFERROR(VLOOKUP(C55,'تقرير المصروفات حسب الشهر'!$C$1143:$AD$1254,4,FALSE),0)</f>
        <v>0</v>
      </c>
      <c r="N55" s="376">
        <f>IFERROR(VLOOKUP(C55,'تقرير المصروفات حسب الشهر'!$C$1270:$AD$1381,4,FALSE),0)</f>
        <v>0</v>
      </c>
      <c r="O55" s="376">
        <f>IFERROR(VLOOKUP(C55,'تقرير المصروفات حسب الشهر'!$C$1397:$AI$1512,4,FALSE),0)</f>
        <v>0</v>
      </c>
      <c r="P55" s="364">
        <f t="shared" si="6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الشهر'!$C$10:$AD$119,4,FALSE),0)</f>
        <v>0</v>
      </c>
      <c r="E56" s="362">
        <f>IFERROR(VLOOKUP(C56,'تقرير المصروفات حسب الشهر'!$C$135:$AD$244,4,FALSE),0)</f>
        <v>533.04999999999995</v>
      </c>
      <c r="F56" s="362">
        <v>0</v>
      </c>
      <c r="G56" s="362">
        <f>IFERROR(VLOOKUP(C56,'تقرير المصروفات حسب الشهر'!$C$387:$AD$495,4,FALSE),0)</f>
        <v>0</v>
      </c>
      <c r="H56" s="362">
        <f>IFERROR(VLOOKUP(C56,'تقرير المصروفات حسب الشهر'!$C$512:$AD$620,4,FALSE),0)</f>
        <v>726.03</v>
      </c>
      <c r="I56" s="362">
        <f>IFERROR(VLOOKUP(C56,'تقرير المصروفات حسب الشهر'!$C$637:$AD$746,4,FALSE),0)</f>
        <v>887.86</v>
      </c>
      <c r="J56" s="362">
        <f>IFERROR(VLOOKUP(C56,'تقرير المصروفات حسب الشهر'!$C$763:$AD$872,4,FALSE),0)</f>
        <v>0</v>
      </c>
      <c r="K56" s="362">
        <f>IFERROR(VLOOKUP(C56,'تقرير المصروفات حسب الشهر'!$C$890:$AD$999,4,FALSE),0)</f>
        <v>725.56</v>
      </c>
      <c r="L56" s="362">
        <f>IFERROR(VLOOKUP(C56,'تقرير المصروفات حسب الشهر'!$C$1016:$AD$1126,4,FALSE),0)</f>
        <v>0</v>
      </c>
      <c r="M56" s="376">
        <f>IFERROR(VLOOKUP(C56,'تقرير المصروفات حسب الشهر'!$C$1143:$AD$1254,4,FALSE),0)</f>
        <v>207.64</v>
      </c>
      <c r="N56" s="376">
        <f>IFERROR(VLOOKUP(C56,'تقرير المصروفات حسب الشهر'!$C$1270:$AD$1381,4,FALSE),0)</f>
        <v>1446.34</v>
      </c>
      <c r="O56" s="376">
        <f>IFERROR(VLOOKUP(C56,'تقرير المصروفات حسب الشهر'!$C$1397:$AI$1512,4,FALSE),0)</f>
        <v>0</v>
      </c>
      <c r="P56" s="364">
        <f t="shared" si="6"/>
        <v>4526.4799999999996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الشهر'!$C$10:$AD$119,4,FALSE),0)</f>
        <v>0</v>
      </c>
      <c r="E57" s="362">
        <f>IFERROR(VLOOKUP(C57,'تقرير المصروفات حسب الشهر'!$C$135:$AD$244,4,FALSE),0)</f>
        <v>0</v>
      </c>
      <c r="F57" s="362">
        <v>0</v>
      </c>
      <c r="G57" s="362">
        <f>IFERROR(VLOOKUP(C57,'تقرير المصروفات حسب الشهر'!$C$387:$AD$495,4,FALSE),0)</f>
        <v>0</v>
      </c>
      <c r="H57" s="362">
        <f>IFERROR(VLOOKUP(C57,'تقرير المصروفات حسب الشهر'!$C$512:$AD$620,4,FALSE),0)</f>
        <v>0</v>
      </c>
      <c r="I57" s="362">
        <f>IFERROR(VLOOKUP(C57,'تقرير المصروفات حسب الشهر'!$C$637:$AD$746,4,FALSE),0)</f>
        <v>0</v>
      </c>
      <c r="J57" s="362">
        <f>IFERROR(VLOOKUP(C57,'تقرير المصروفات حسب الشهر'!$C$763:$AD$872,4,FALSE),0)</f>
        <v>0</v>
      </c>
      <c r="K57" s="362">
        <f>IFERROR(VLOOKUP(C57,'تقرير المصروفات حسب الشهر'!$C$890:$AD$999,4,FALSE),0)</f>
        <v>0</v>
      </c>
      <c r="L57" s="362">
        <f>IFERROR(VLOOKUP(C57,'تقرير المصروفات حسب الشهر'!$C$1016:$AD$1126,4,FALSE),0)</f>
        <v>0</v>
      </c>
      <c r="M57" s="376">
        <f>IFERROR(VLOOKUP(C57,'تقرير المصروفات حسب الشهر'!$C$1143:$AD$1254,4,FALSE),0)</f>
        <v>0</v>
      </c>
      <c r="N57" s="376">
        <f>IFERROR(VLOOKUP(C57,'تقرير المصروفات حسب الشهر'!$C$1270:$AD$1381,4,FALSE),0)</f>
        <v>0</v>
      </c>
      <c r="O57" s="376">
        <f>IFERROR(VLOOKUP(C57,'تقرير المصروفات حسب الشهر'!$C$1397:$AI$1512,4,FALSE),0)</f>
        <v>0</v>
      </c>
      <c r="P57" s="364">
        <f t="shared" si="6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الشهر'!$C$10:$AD$119,4,FALSE),0)</f>
        <v>0</v>
      </c>
      <c r="E58" s="362">
        <f>IFERROR(VLOOKUP(C58,'تقرير المصروفات حسب الشهر'!$C$135:$AD$244,4,FALSE),0)</f>
        <v>0</v>
      </c>
      <c r="F58" s="362">
        <v>0</v>
      </c>
      <c r="G58" s="362">
        <f>IFERROR(VLOOKUP(C58,'تقرير المصروفات حسب الشهر'!$C$387:$AD$495,4,FALSE),0)</f>
        <v>0</v>
      </c>
      <c r="H58" s="362">
        <f>IFERROR(VLOOKUP(C58,'تقرير المصروفات حسب الشهر'!$C$512:$AD$620,4,FALSE),0)</f>
        <v>0</v>
      </c>
      <c r="I58" s="362">
        <f>IFERROR(VLOOKUP(C58,'تقرير المصروفات حسب الشهر'!$C$637:$AD$746,4,FALSE),0)</f>
        <v>0</v>
      </c>
      <c r="J58" s="362">
        <f>IFERROR(VLOOKUP(C58,'تقرير المصروفات حسب الشهر'!$C$763:$AD$872,4,FALSE),0)</f>
        <v>0</v>
      </c>
      <c r="K58" s="362">
        <f>IFERROR(VLOOKUP(C58,'تقرير المصروفات حسب الشهر'!$C$890:$AD$999,4,FALSE),0)</f>
        <v>0</v>
      </c>
      <c r="L58" s="362">
        <f>IFERROR(VLOOKUP(C58,'تقرير المصروفات حسب الشهر'!$C$1016:$AD$1126,4,FALSE),0)</f>
        <v>0</v>
      </c>
      <c r="M58" s="376">
        <f>IFERROR(VLOOKUP(C58,'تقرير المصروفات حسب الشهر'!$C$1143:$AD$1254,4,FALSE),0)</f>
        <v>0</v>
      </c>
      <c r="N58" s="376">
        <f>IFERROR(VLOOKUP(C58,'تقرير المصروفات حسب الشهر'!$C$1270:$AD$1381,4,FALSE),0)</f>
        <v>0</v>
      </c>
      <c r="O58" s="376">
        <f>IFERROR(VLOOKUP(C58,'تقرير المصروفات حسب الشهر'!$C$1397:$AI$1512,4,FALSE),0)</f>
        <v>0</v>
      </c>
      <c r="P58" s="364">
        <f t="shared" si="6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الشهر'!$C$10:$AD$119,4,FALSE),0)</f>
        <v>0</v>
      </c>
      <c r="E59" s="362">
        <f>IFERROR(VLOOKUP(C59,'تقرير المصروفات حسب الشهر'!$C$135:$AD$244,4,FALSE),0)</f>
        <v>14555.5</v>
      </c>
      <c r="F59" s="362">
        <v>8048.9</v>
      </c>
      <c r="G59" s="362">
        <f>IFERROR(VLOOKUP(C59,'تقرير المصروفات حسب الشهر'!$C$387:$AD$495,4,FALSE),0)</f>
        <v>8788.25</v>
      </c>
      <c r="H59" s="362">
        <f>IFERROR(VLOOKUP(C59,'تقرير المصروفات حسب الشهر'!$C$512:$AD$620,4,FALSE),0)</f>
        <v>0</v>
      </c>
      <c r="I59" s="362">
        <f>IFERROR(VLOOKUP(C59,'تقرير المصروفات حسب الشهر'!$C$637:$AD$746,4,FALSE),0)</f>
        <v>7777.5</v>
      </c>
      <c r="J59" s="517">
        <f>IFERROR(VLOOKUP(C59,'تقرير المصروفات حسب الشهر'!$C$763:$AD$872,4,FALSE),0)</f>
        <v>8877.25</v>
      </c>
      <c r="K59" s="362">
        <f>IFERROR(VLOOKUP(C59,'تقرير المصروفات حسب الشهر'!$C$890:$AD$999,4,FALSE),0)</f>
        <v>0</v>
      </c>
      <c r="L59" s="362">
        <f>IFERROR(VLOOKUP(C59,'تقرير المصروفات حسب الشهر'!$C$1016:$AD$1126,4,FALSE),0)</f>
        <v>18877.75</v>
      </c>
      <c r="M59" s="376">
        <f>IFERROR(VLOOKUP(C59,'تقرير المصروفات حسب الشهر'!$C$1143:$AD$1254,4,FALSE),0)</f>
        <v>8800.25</v>
      </c>
      <c r="N59" s="376">
        <f>IFERROR(VLOOKUP(C59,'تقرير المصروفات حسب الشهر'!$C$1270:$AD$1381,4,FALSE),0)</f>
        <v>13252.25</v>
      </c>
      <c r="O59" s="376">
        <f>IFERROR(VLOOKUP(C59,'تقرير المصروفات حسب الشهر'!$C$1397:$AI$1512,4,FALSE),0)</f>
        <v>11322.25</v>
      </c>
      <c r="P59" s="364">
        <f t="shared" si="6"/>
        <v>100299.9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الشهر'!$C$10:$AD$119,4,FALSE),0)</f>
        <v>7280</v>
      </c>
      <c r="E60" s="362">
        <f>IFERROR(VLOOKUP(C60,'تقرير المصروفات حسب الشهر'!$C$135:$AD$244,4,FALSE),0)</f>
        <v>0</v>
      </c>
      <c r="F60" s="362">
        <v>6450</v>
      </c>
      <c r="G60" s="362">
        <f>IFERROR(VLOOKUP(C60,'تقرير المصروفات حسب الشهر'!$C$387:$AD$495,4,FALSE),0)</f>
        <v>11470</v>
      </c>
      <c r="H60" s="362">
        <f>IFERROR(VLOOKUP(C60,'تقرير المصروفات حسب الشهر'!$C$512:$AD$620,4,FALSE),0)</f>
        <v>0</v>
      </c>
      <c r="I60" s="362">
        <f>IFERROR(VLOOKUP(C60,'تقرير المصروفات حسب الشهر'!$C$637:$AD$746,4,FALSE),0)</f>
        <v>10850</v>
      </c>
      <c r="J60" s="362">
        <f>IFERROR(VLOOKUP(C60,'تقرير المصروفات حسب الشهر'!$C$763:$AD$872,4,FALSE),0)</f>
        <v>0</v>
      </c>
      <c r="K60" s="362">
        <f>IFERROR(VLOOKUP(C60,'تقرير المصروفات حسب الشهر'!$C$890:$AD$999,4,FALSE),0)</f>
        <v>16500</v>
      </c>
      <c r="L60" s="362">
        <f>IFERROR(VLOOKUP(C60,'تقرير المصروفات حسب الشهر'!$C$1016:$AD$1126,4,FALSE),0)</f>
        <v>0</v>
      </c>
      <c r="M60" s="376">
        <f>IFERROR(VLOOKUP(C60,'تقرير المصروفات حسب الشهر'!$C$1143:$AD$1254,4,FALSE),0)</f>
        <v>15180</v>
      </c>
      <c r="N60" s="376">
        <f>IFERROR(VLOOKUP(C60,'تقرير المصروفات حسب الشهر'!$C$1270:$AD$1381,4,FALSE),0)</f>
        <v>0</v>
      </c>
      <c r="O60" s="376">
        <f>IFERROR(VLOOKUP(C60,'تقرير المصروفات حسب الشهر'!$C$1397:$AI$1512,4,FALSE),0)</f>
        <v>19800</v>
      </c>
      <c r="P60" s="364">
        <f t="shared" si="6"/>
        <v>87530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الشهر'!$C$10:$AD$119,4,FALSE),0)</f>
        <v>200</v>
      </c>
      <c r="E61" s="362">
        <f>IFERROR(VLOOKUP(C61,'تقرير المصروفات حسب الشهر'!$C$135:$AD$244,4,FALSE),0)</f>
        <v>1000</v>
      </c>
      <c r="F61" s="362">
        <v>900</v>
      </c>
      <c r="G61" s="362">
        <f>IFERROR(VLOOKUP(C61,'تقرير المصروفات حسب الشهر'!$C$387:$AD$495,4,FALSE),0)</f>
        <v>600</v>
      </c>
      <c r="H61" s="362">
        <f>IFERROR(VLOOKUP(C61,'تقرير المصروفات حسب الشهر'!$C$512:$AD$620,4,FALSE),0)</f>
        <v>500</v>
      </c>
      <c r="I61" s="362">
        <f>IFERROR(VLOOKUP(C61,'تقرير المصروفات حسب الشهر'!$C$637:$AD$746,4,FALSE),0)</f>
        <v>1000</v>
      </c>
      <c r="J61" s="517">
        <f>IFERROR(VLOOKUP(C61,'تقرير المصروفات حسب الشهر'!$C$763:$AD$872,4,FALSE),0)</f>
        <v>500</v>
      </c>
      <c r="K61" s="362">
        <f>IFERROR(VLOOKUP(C61,'تقرير المصروفات حسب الشهر'!$C$890:$AD$999,4,FALSE),0)</f>
        <v>1200</v>
      </c>
      <c r="L61" s="362">
        <f>IFERROR(VLOOKUP(C61,'تقرير المصروفات حسب الشهر'!$C$1016:$AD$1126,4,FALSE),0)</f>
        <v>550</v>
      </c>
      <c r="M61" s="376">
        <f>IFERROR(VLOOKUP(C61,'تقرير المصروفات حسب الشهر'!$C$1143:$AD$1254,4,FALSE),0)</f>
        <v>300</v>
      </c>
      <c r="N61" s="376">
        <f>IFERROR(VLOOKUP(C61,'تقرير المصروفات حسب الشهر'!$C$1270:$AD$1381,4,FALSE),0)</f>
        <v>900</v>
      </c>
      <c r="O61" s="376">
        <f>IFERROR(VLOOKUP(C61,'تقرير المصروفات حسب الشهر'!$C$1397:$AI$1512,4,FALSE),0)</f>
        <v>300</v>
      </c>
      <c r="P61" s="364">
        <f t="shared" si="6"/>
        <v>7950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الشهر'!$C$10:$AD$119,4,FALSE),0)</f>
        <v>0</v>
      </c>
      <c r="E62" s="362">
        <f>IFERROR(VLOOKUP(C62,'تقرير المصروفات حسب الشهر'!$C$135:$AD$244,4,FALSE),0)</f>
        <v>0</v>
      </c>
      <c r="F62" s="362">
        <v>3420</v>
      </c>
      <c r="G62" s="362">
        <f>IFERROR(VLOOKUP(C62,'تقرير المصروفات حسب الشهر'!$C$387:$AD$495,4,FALSE),0)</f>
        <v>0</v>
      </c>
      <c r="H62" s="362">
        <f>IFERROR(VLOOKUP(C62,'تقرير المصروفات حسب الشهر'!$C$512:$AD$620,4,FALSE),0)</f>
        <v>3110</v>
      </c>
      <c r="I62" s="362">
        <f>IFERROR(VLOOKUP(C62,'تقرير المصروفات حسب الشهر'!$C$637:$AD$746,4,FALSE),0)</f>
        <v>0</v>
      </c>
      <c r="J62" s="362">
        <f>IFERROR(VLOOKUP(C62,'تقرير المصروفات حسب الشهر'!$C$763:$AD$872,4,FALSE),0)</f>
        <v>0</v>
      </c>
      <c r="K62" s="362">
        <f>IFERROR(VLOOKUP(C62,'تقرير المصروفات حسب الشهر'!$C$890:$AD$999,4,FALSE),0)</f>
        <v>0</v>
      </c>
      <c r="L62" s="362">
        <f>IFERROR(VLOOKUP(C62,'تقرير المصروفات حسب الشهر'!$C$1016:$AD$1126,4,FALSE),0)</f>
        <v>3608</v>
      </c>
      <c r="M62" s="376">
        <f>IFERROR(VLOOKUP(C62,'تقرير المصروفات حسب الشهر'!$C$1143:$AD$1254,4,FALSE),0)</f>
        <v>0</v>
      </c>
      <c r="N62" s="376">
        <f>IFERROR(VLOOKUP(C62,'تقرير المصروفات حسب الشهر'!$C$1270:$AD$1381,4,FALSE),0)</f>
        <v>0</v>
      </c>
      <c r="O62" s="376">
        <f>IFERROR(VLOOKUP(C62,'تقرير المصروفات حسب الشهر'!$C$1397:$AI$1512,4,FALSE),0)</f>
        <v>0</v>
      </c>
      <c r="P62" s="364">
        <f t="shared" si="6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الشهر'!$C$10:$AD$119,4,FALSE),0)</f>
        <v>2400</v>
      </c>
      <c r="E63" s="362">
        <f>IFERROR(VLOOKUP(C63,'تقرير المصروفات حسب الشهر'!$C$135:$AD$244,4,FALSE),0)</f>
        <v>0</v>
      </c>
      <c r="F63" s="362">
        <v>0</v>
      </c>
      <c r="G63" s="362">
        <f>IFERROR(VLOOKUP(C63,'تقرير المصروفات حسب الشهر'!$C$387:$AD$495,4,FALSE),0)</f>
        <v>0</v>
      </c>
      <c r="H63" s="362">
        <f>IFERROR(VLOOKUP(C63,'تقرير المصروفات حسب الشهر'!$C$512:$AD$620,4,FALSE),0)</f>
        <v>0</v>
      </c>
      <c r="I63" s="362">
        <f>IFERROR(VLOOKUP(C63,'تقرير المصروفات حسب الشهر'!$C$637:$AD$746,4,FALSE),0)</f>
        <v>0</v>
      </c>
      <c r="J63" s="517">
        <f>IFERROR(VLOOKUP(C63,'تقرير المصروفات حسب الشهر'!$C$763:$AD$872,4,FALSE),0)</f>
        <v>400</v>
      </c>
      <c r="K63" s="362">
        <f>IFERROR(VLOOKUP(C63,'تقرير المصروفات حسب الشهر'!$C$890:$AD$999,4,FALSE),0)</f>
        <v>0</v>
      </c>
      <c r="L63" s="362">
        <f>IFERROR(VLOOKUP(C63,'تقرير المصروفات حسب الشهر'!$C$1016:$AD$1126,4,FALSE),0)</f>
        <v>0</v>
      </c>
      <c r="M63" s="376">
        <f>IFERROR(VLOOKUP(C63,'تقرير المصروفات حسب الشهر'!$C$1143:$AD$1254,4,FALSE),0)</f>
        <v>0</v>
      </c>
      <c r="N63" s="376">
        <f>IFERROR(VLOOKUP(C63,'تقرير المصروفات حسب الشهر'!$C$1270:$AD$1381,4,FALSE),0)</f>
        <v>700</v>
      </c>
      <c r="O63" s="376">
        <f>IFERROR(VLOOKUP(C63,'تقرير المصروفات حسب الشهر'!$C$1397:$AI$1512,4,FALSE),0)</f>
        <v>0</v>
      </c>
      <c r="P63" s="364">
        <f t="shared" si="6"/>
        <v>3500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الشهر'!$C$10:$AD$119,4,FALSE),0)</f>
        <v>0</v>
      </c>
      <c r="E64" s="362">
        <f>IFERROR(VLOOKUP(C64,'تقرير المصروفات حسب الشهر'!$C$135:$AD$244,4,FALSE),0)</f>
        <v>0</v>
      </c>
      <c r="F64" s="362">
        <v>12000</v>
      </c>
      <c r="G64" s="362">
        <f>IFERROR(VLOOKUP(C64,'تقرير المصروفات حسب الشهر'!$C$387:$AD$495,4,FALSE),0)</f>
        <v>2400</v>
      </c>
      <c r="H64" s="362">
        <f>IFERROR(VLOOKUP(C64,'تقرير المصروفات حسب الشهر'!$C$512:$AD$620,4,FALSE),0)</f>
        <v>0</v>
      </c>
      <c r="I64" s="362">
        <f>IFERROR(VLOOKUP(C64,'تقرير المصروفات حسب الشهر'!$C$637:$AD$746,4,FALSE),0)</f>
        <v>0</v>
      </c>
      <c r="J64" s="362">
        <f>IFERROR(VLOOKUP(C64,'تقرير المصروفات حسب الشهر'!$C$763:$AD$872,4,FALSE),0)</f>
        <v>0</v>
      </c>
      <c r="K64" s="362">
        <f>IFERROR(VLOOKUP(C64,'تقرير المصروفات حسب الشهر'!$C$890:$AD$999,4,FALSE),0)</f>
        <v>0</v>
      </c>
      <c r="L64" s="362">
        <f>IFERROR(VLOOKUP(C64,'تقرير المصروفات حسب الشهر'!$C$1016:$AD$1126,4,FALSE),0)</f>
        <v>1350</v>
      </c>
      <c r="M64" s="376">
        <f>IFERROR(VLOOKUP(C64,'تقرير المصروفات حسب الشهر'!$C$1143:$AD$1254,4,FALSE),0)</f>
        <v>0</v>
      </c>
      <c r="N64" s="376">
        <f>IFERROR(VLOOKUP(C64,'تقرير المصروفات حسب الشهر'!$C$1270:$AD$1381,4,FALSE),0)</f>
        <v>0</v>
      </c>
      <c r="O64" s="376">
        <f>IFERROR(VLOOKUP(C64,'تقرير المصروفات حسب الشهر'!$C$1397:$AI$1512,4,FALSE),0)</f>
        <v>0</v>
      </c>
      <c r="P64" s="364">
        <f t="shared" si="6"/>
        <v>15750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الشهر'!$C$10:$AD$119,4,FALSE),0)</f>
        <v>0</v>
      </c>
      <c r="E65" s="362">
        <f>IFERROR(VLOOKUP(C65,'تقرير المصروفات حسب الشهر'!$C$135:$AD$244,4,FALSE),0)</f>
        <v>0</v>
      </c>
      <c r="F65" s="362">
        <v>0</v>
      </c>
      <c r="G65" s="362">
        <f>IFERROR(VLOOKUP(C65,'تقرير المصروفات حسب الشهر'!$C$387:$AD$495,4,FALSE),0)</f>
        <v>0</v>
      </c>
      <c r="H65" s="362">
        <f>IFERROR(VLOOKUP(C65,'تقرير المصروفات حسب الشهر'!$C$512:$AD$620,4,FALSE),0)</f>
        <v>0</v>
      </c>
      <c r="I65" s="362">
        <f>IFERROR(VLOOKUP(C65,'تقرير المصروفات حسب الشهر'!$C$637:$AD$746,4,FALSE),0)</f>
        <v>0</v>
      </c>
      <c r="J65" s="362">
        <f>IFERROR(VLOOKUP(C65,'تقرير المصروفات حسب الشهر'!$C$763:$AD$872,4,FALSE),0)</f>
        <v>0</v>
      </c>
      <c r="K65" s="362">
        <f>IFERROR(VLOOKUP(C65,'تقرير المصروفات حسب الشهر'!$C$890:$AD$999,4,FALSE),0)</f>
        <v>0</v>
      </c>
      <c r="L65" s="362">
        <f>IFERROR(VLOOKUP(C65,'تقرير المصروفات حسب الشهر'!$C$1016:$AD$1126,4,FALSE),0)</f>
        <v>0</v>
      </c>
      <c r="M65" s="376">
        <f>IFERROR(VLOOKUP(C65,'تقرير المصروفات حسب الشهر'!$C$1143:$AD$1254,4,FALSE),0)</f>
        <v>0</v>
      </c>
      <c r="N65" s="376">
        <f>IFERROR(VLOOKUP(C65,'تقرير المصروفات حسب الشهر'!$C$1270:$AD$1381,4,FALSE),0)</f>
        <v>0</v>
      </c>
      <c r="O65" s="376">
        <f>IFERROR(VLOOKUP(C65,'تقرير المصروفات حسب الشهر'!$C$1397:$AI$1512,4,FALSE),0)</f>
        <v>0</v>
      </c>
      <c r="P65" s="364">
        <f t="shared" si="6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الشهر'!$C$10:$AD$119,4,FALSE),0)</f>
        <v>0</v>
      </c>
      <c r="E66" s="362">
        <f>IFERROR(VLOOKUP(C66,'تقرير المصروفات حسب الشهر'!$C$135:$AD$244,4,FALSE),0)</f>
        <v>0</v>
      </c>
      <c r="F66" s="362">
        <v>0</v>
      </c>
      <c r="G66" s="362">
        <f>IFERROR(VLOOKUP(C66,'تقرير المصروفات حسب الشهر'!$C$387:$AD$495,4,FALSE),0)</f>
        <v>0</v>
      </c>
      <c r="H66" s="362">
        <f>IFERROR(VLOOKUP(C66,'تقرير المصروفات حسب الشهر'!$C$512:$AD$620,4,FALSE),0)</f>
        <v>0</v>
      </c>
      <c r="I66" s="362">
        <f>IFERROR(VLOOKUP(C66,'تقرير المصروفات حسب الشهر'!$C$637:$AD$746,4,FALSE),0)</f>
        <v>0</v>
      </c>
      <c r="J66" s="362">
        <f>IFERROR(VLOOKUP(C66,'تقرير المصروفات حسب الشهر'!$C$763:$AD$872,4,FALSE),0)</f>
        <v>0</v>
      </c>
      <c r="K66" s="362">
        <f>IFERROR(VLOOKUP(C66,'تقرير المصروفات حسب الشهر'!$C$890:$AD$999,4,FALSE),0)</f>
        <v>0</v>
      </c>
      <c r="L66" s="362">
        <f>IFERROR(VLOOKUP(C66,'تقرير المصروفات حسب الشهر'!$C$1016:$AD$1126,4,FALSE),0)</f>
        <v>0</v>
      </c>
      <c r="M66" s="376">
        <f>IFERROR(VLOOKUP(C66,'تقرير المصروفات حسب الشهر'!$C$1143:$AD$1254,4,FALSE),0)</f>
        <v>0</v>
      </c>
      <c r="N66" s="376">
        <f>IFERROR(VLOOKUP(C66,'تقرير المصروفات حسب الشهر'!$C$1270:$AD$1381,4,FALSE),0)</f>
        <v>0</v>
      </c>
      <c r="O66" s="376">
        <f>IFERROR(VLOOKUP(C66,'تقرير المصروفات حسب الشهر'!$C$1397:$AI$1512,4,FALSE),0)</f>
        <v>0</v>
      </c>
      <c r="P66" s="364">
        <f t="shared" si="6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الشهر'!$C$10:$AD$119,4,FALSE),0)</f>
        <v>0</v>
      </c>
      <c r="E67" s="362">
        <f>IFERROR(VLOOKUP(C67,'تقرير المصروفات حسب الشهر'!$C$135:$AD$244,4,FALSE),0)</f>
        <v>0</v>
      </c>
      <c r="F67" s="362">
        <v>0</v>
      </c>
      <c r="G67" s="362">
        <f>IFERROR(VLOOKUP(C67,'تقرير المصروفات حسب الشهر'!$C$387:$AD$495,4,FALSE),0)</f>
        <v>0</v>
      </c>
      <c r="H67" s="362">
        <f>IFERROR(VLOOKUP(C67,'تقرير المصروفات حسب الشهر'!$C$512:$AD$620,4,FALSE),0)</f>
        <v>0</v>
      </c>
      <c r="I67" s="362">
        <f>IFERROR(VLOOKUP(C67,'تقرير المصروفات حسب الشهر'!$C$637:$AD$746,4,FALSE),0)</f>
        <v>0</v>
      </c>
      <c r="J67" s="362">
        <f>IFERROR(VLOOKUP(C67,'تقرير المصروفات حسب الشهر'!$C$763:$AD$872,4,FALSE),0)</f>
        <v>0</v>
      </c>
      <c r="K67" s="362">
        <f>IFERROR(VLOOKUP(C67,'تقرير المصروفات حسب الشهر'!$C$890:$AD$999,4,FALSE),0)</f>
        <v>0</v>
      </c>
      <c r="L67" s="362">
        <f>IFERROR(VLOOKUP(C67,'تقرير المصروفات حسب الشهر'!$C$1016:$AD$1126,4,FALSE),0)</f>
        <v>0</v>
      </c>
      <c r="M67" s="376">
        <f>IFERROR(VLOOKUP(C67,'تقرير المصروفات حسب الشهر'!$C$1143:$AD$1254,4,FALSE),0)</f>
        <v>0</v>
      </c>
      <c r="N67" s="376">
        <f>IFERROR(VLOOKUP(C67,'تقرير المصروفات حسب الشهر'!$C$1270:$AD$1381,4,FALSE),0)</f>
        <v>0</v>
      </c>
      <c r="O67" s="376">
        <f>IFERROR(VLOOKUP(C67,'تقرير المصروفات حسب الشهر'!$C$1397:$AI$1512,4,FALSE),0)</f>
        <v>0</v>
      </c>
      <c r="P67" s="364">
        <f t="shared" si="6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الشهر'!$C$10:$AD$119,4,FALSE),0)</f>
        <v>0</v>
      </c>
      <c r="E68" s="362">
        <f>IFERROR(VLOOKUP(C68,'تقرير المصروفات حسب الشهر'!$C$135:$AD$244,4,FALSE),0)</f>
        <v>0</v>
      </c>
      <c r="F68" s="362">
        <v>0</v>
      </c>
      <c r="G68" s="362">
        <f>IFERROR(VLOOKUP(C68,'تقرير المصروفات حسب الشهر'!$C$387:$AD$495,4,FALSE),0)</f>
        <v>0</v>
      </c>
      <c r="H68" s="362">
        <f>IFERROR(VLOOKUP(C68,'تقرير المصروفات حسب الشهر'!$C$512:$AD$620,4,FALSE),0)</f>
        <v>0</v>
      </c>
      <c r="I68" s="362">
        <f>IFERROR(VLOOKUP(C68,'تقرير المصروفات حسب الشهر'!$C$637:$AD$746,4,FALSE),0)</f>
        <v>0</v>
      </c>
      <c r="J68" s="362">
        <f>IFERROR(VLOOKUP(C68,'تقرير المصروفات حسب الشهر'!$C$763:$AD$872,4,FALSE),0)</f>
        <v>0</v>
      </c>
      <c r="K68" s="362">
        <f>IFERROR(VLOOKUP(C68,'تقرير المصروفات حسب الشهر'!$C$890:$AD$999,4,FALSE),0)</f>
        <v>0</v>
      </c>
      <c r="L68" s="362">
        <f>IFERROR(VLOOKUP(C68,'تقرير المصروفات حسب الشهر'!$C$1016:$AD$1126,4,FALSE),0)</f>
        <v>0</v>
      </c>
      <c r="M68" s="376">
        <f>IFERROR(VLOOKUP(C68,'تقرير المصروفات حسب الشهر'!$C$1143:$AD$1254,4,FALSE),0)</f>
        <v>0</v>
      </c>
      <c r="N68" s="376">
        <f>IFERROR(VLOOKUP(C68,'تقرير المصروفات حسب الشهر'!$C$1270:$AD$1381,4,FALSE),0)</f>
        <v>0</v>
      </c>
      <c r="O68" s="376">
        <f>IFERROR(VLOOKUP(C68,'تقرير المصروفات حسب الشهر'!$C$1397:$AI$1512,4,FALSE),0)</f>
        <v>0</v>
      </c>
      <c r="P68" s="364">
        <f t="shared" si="6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الشهر'!$C$10:$AD$119,4,FALSE),0)</f>
        <v>0</v>
      </c>
      <c r="E69" s="362">
        <f>IFERROR(VLOOKUP(C69,'تقرير المصروفات حسب الشهر'!$C$135:$AD$244,4,FALSE),0)</f>
        <v>0</v>
      </c>
      <c r="F69" s="362">
        <v>0</v>
      </c>
      <c r="G69" s="362">
        <f>IFERROR(VLOOKUP(C69,'تقرير المصروفات حسب الشهر'!$C$387:$AD$495,4,FALSE),0)</f>
        <v>0</v>
      </c>
      <c r="H69" s="362">
        <f>IFERROR(VLOOKUP(C69,'تقرير المصروفات حسب الشهر'!$C$512:$AD$620,4,FALSE),0)</f>
        <v>0</v>
      </c>
      <c r="I69" s="362">
        <f>IFERROR(VLOOKUP(C69,'تقرير المصروفات حسب الشهر'!$C$637:$AD$746,4,FALSE),0)</f>
        <v>0</v>
      </c>
      <c r="J69" s="362">
        <f>IFERROR(VLOOKUP(C69,'تقرير المصروفات حسب الشهر'!$C$763:$AD$872,4,FALSE),0)</f>
        <v>0</v>
      </c>
      <c r="K69" s="362">
        <f>IFERROR(VLOOKUP(C69,'تقرير المصروفات حسب الشهر'!$C$890:$AD$999,4,FALSE),0)</f>
        <v>0</v>
      </c>
      <c r="L69" s="362">
        <f>IFERROR(VLOOKUP(C69,'تقرير المصروفات حسب الشهر'!$C$1016:$AD$1126,4,FALSE),0)</f>
        <v>0</v>
      </c>
      <c r="M69" s="376">
        <f>IFERROR(VLOOKUP(C69,'تقرير المصروفات حسب الشهر'!$C$1143:$AD$1254,4,FALSE),0)</f>
        <v>0</v>
      </c>
      <c r="N69" s="376">
        <f>IFERROR(VLOOKUP(C69,'تقرير المصروفات حسب الشهر'!$C$1270:$AD$1381,4,FALSE),0)</f>
        <v>0</v>
      </c>
      <c r="O69" s="376">
        <f>IFERROR(VLOOKUP(C69,'تقرير المصروفات حسب الشهر'!$C$1397:$AI$1512,4,FALSE),0)</f>
        <v>0</v>
      </c>
      <c r="P69" s="364">
        <f t="shared" si="6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الشهر'!$C$10:$AD$119,4,FALSE),0)</f>
        <v>0</v>
      </c>
      <c r="E70" s="362">
        <f>IFERROR(VLOOKUP(C70,'تقرير المصروفات حسب الشهر'!$C$135:$AD$244,4,FALSE),0)</f>
        <v>0</v>
      </c>
      <c r="F70" s="362">
        <v>0</v>
      </c>
      <c r="G70" s="362">
        <f>IFERROR(VLOOKUP(C70,'تقرير المصروفات حسب الشهر'!$C$387:$AD$495,4,FALSE),0)</f>
        <v>0</v>
      </c>
      <c r="H70" s="362">
        <f>IFERROR(VLOOKUP(C70,'تقرير المصروفات حسب الشهر'!$C$512:$AD$620,4,FALSE),0)</f>
        <v>0</v>
      </c>
      <c r="I70" s="362">
        <f>IFERROR(VLOOKUP(C70,'تقرير المصروفات حسب الشهر'!$C$637:$AD$746,4,FALSE),0)</f>
        <v>0</v>
      </c>
      <c r="J70" s="362">
        <f>IFERROR(VLOOKUP(C70,'تقرير المصروفات حسب الشهر'!$C$763:$AD$872,4,FALSE),0)</f>
        <v>0</v>
      </c>
      <c r="K70" s="362">
        <f>IFERROR(VLOOKUP(C70,'تقرير المصروفات حسب الشهر'!$C$890:$AD$999,4,FALSE),0)</f>
        <v>0</v>
      </c>
      <c r="L70" s="362">
        <f>IFERROR(VLOOKUP(C70,'تقرير المصروفات حسب الشهر'!$C$1016:$AD$1126,4,FALSE),0)</f>
        <v>0</v>
      </c>
      <c r="M70" s="376">
        <f>IFERROR(VLOOKUP(C70,'تقرير المصروفات حسب الشهر'!$C$1143:$AD$1254,4,FALSE),0)</f>
        <v>0</v>
      </c>
      <c r="N70" s="376">
        <f>IFERROR(VLOOKUP(C70,'تقرير المصروفات حسب الشهر'!$C$1270:$AD$1381,4,FALSE),0)</f>
        <v>0</v>
      </c>
      <c r="O70" s="376">
        <f>IFERROR(VLOOKUP(C70,'تقرير المصروفات حسب الشهر'!$C$1397:$AI$1512,4,FALSE),0)</f>
        <v>0</v>
      </c>
      <c r="P70" s="364">
        <f t="shared" si="6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الشهر'!$C$10:$AD$119,4,FALSE),0)</f>
        <v>0</v>
      </c>
      <c r="E71" s="362">
        <f>IFERROR(VLOOKUP(C71,'تقرير المصروفات حسب الشهر'!$C$135:$AD$244,4,FALSE),0)</f>
        <v>0</v>
      </c>
      <c r="F71" s="362">
        <v>0</v>
      </c>
      <c r="G71" s="362">
        <f>IFERROR(VLOOKUP(C71,'تقرير المصروفات حسب الشهر'!$C$387:$AD$495,4,FALSE),0)</f>
        <v>0</v>
      </c>
      <c r="H71" s="362">
        <f>IFERROR(VLOOKUP(C71,'تقرير المصروفات حسب الشهر'!$C$512:$AD$620,4,FALSE),0)</f>
        <v>0</v>
      </c>
      <c r="I71" s="362">
        <f>IFERROR(VLOOKUP(C71,'تقرير المصروفات حسب الشهر'!$C$637:$AD$746,4,FALSE),0)</f>
        <v>0</v>
      </c>
      <c r="J71" s="362">
        <f>IFERROR(VLOOKUP(C71,'تقرير المصروفات حسب الشهر'!$C$763:$AD$872,4,FALSE),0)</f>
        <v>0</v>
      </c>
      <c r="K71" s="362">
        <f>IFERROR(VLOOKUP(C71,'تقرير المصروفات حسب الشهر'!$C$890:$AD$999,4,FALSE),0)</f>
        <v>0</v>
      </c>
      <c r="L71" s="362">
        <f>IFERROR(VLOOKUP(C71,'تقرير المصروفات حسب الشهر'!$C$1016:$AD$1126,4,FALSE),0)</f>
        <v>0</v>
      </c>
      <c r="M71" s="376">
        <f>IFERROR(VLOOKUP(C71,'تقرير المصروفات حسب الشهر'!$C$1143:$AD$1254,4,FALSE),0)</f>
        <v>0</v>
      </c>
      <c r="N71" s="376">
        <f>IFERROR(VLOOKUP(C71,'تقرير المصروفات حسب الشهر'!$C$1270:$AD$1381,4,FALSE),0)</f>
        <v>0</v>
      </c>
      <c r="O71" s="376">
        <f>IFERROR(VLOOKUP(C71,'تقرير المصروفات حسب الشهر'!$C$1397:$AI$1512,4,FALSE),0)</f>
        <v>0</v>
      </c>
      <c r="P71" s="364">
        <f t="shared" si="6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الشهر'!$C$10:$AD$119,4,FALSE),0)</f>
        <v>0</v>
      </c>
      <c r="E72" s="362">
        <f>IFERROR(VLOOKUP(C72,'تقرير المصروفات حسب الشهر'!$C$135:$AD$244,4,FALSE),0)</f>
        <v>0</v>
      </c>
      <c r="F72" s="362">
        <v>0</v>
      </c>
      <c r="G72" s="362">
        <f>IFERROR(VLOOKUP(C72,'تقرير المصروفات حسب الشهر'!$C$387:$AD$495,4,FALSE),0)</f>
        <v>0</v>
      </c>
      <c r="H72" s="362">
        <f>IFERROR(VLOOKUP(C72,'تقرير المصروفات حسب الشهر'!$C$512:$AD$620,4,FALSE),0)</f>
        <v>0</v>
      </c>
      <c r="I72" s="362">
        <f>IFERROR(VLOOKUP(C72,'تقرير المصروفات حسب الشهر'!$C$637:$AD$746,4,FALSE),0)</f>
        <v>0</v>
      </c>
      <c r="J72" s="362">
        <f>IFERROR(VLOOKUP(C72,'تقرير المصروفات حسب الشهر'!$C$763:$AD$872,4,FALSE),0)</f>
        <v>0</v>
      </c>
      <c r="K72" s="362">
        <f>IFERROR(VLOOKUP(C72,'تقرير المصروفات حسب الشهر'!$C$890:$AD$999,4,FALSE),0)</f>
        <v>0</v>
      </c>
      <c r="L72" s="362">
        <f>IFERROR(VLOOKUP(C72,'تقرير المصروفات حسب الشهر'!$C$1016:$AD$1126,4,FALSE),0)</f>
        <v>0</v>
      </c>
      <c r="M72" s="376">
        <f>IFERROR(VLOOKUP(C72,'تقرير المصروفات حسب الشهر'!$C$1143:$AD$1254,4,FALSE),0)</f>
        <v>0</v>
      </c>
      <c r="N72" s="376">
        <f>IFERROR(VLOOKUP(C72,'تقرير المصروفات حسب الشهر'!$C$1270:$AD$1381,4,FALSE),0)</f>
        <v>0</v>
      </c>
      <c r="O72" s="376">
        <f>IFERROR(VLOOKUP(C72,'تقرير المصروفات حسب الشهر'!$C$1397:$AI$1512,4,FALSE),0)</f>
        <v>0</v>
      </c>
      <c r="P72" s="364">
        <f t="shared" si="6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الشهر'!$C$10:$AD$119,4,FALSE),0)</f>
        <v>0</v>
      </c>
      <c r="E73" s="362">
        <f>IFERROR(VLOOKUP(C73,'تقرير المصروفات حسب الشهر'!$C$135:$AD$244,4,FALSE),0)</f>
        <v>0</v>
      </c>
      <c r="F73" s="362">
        <v>0</v>
      </c>
      <c r="G73" s="362">
        <f>IFERROR(VLOOKUP(C73,'تقرير المصروفات حسب الشهر'!$C$387:$AD$495,4,FALSE),0)</f>
        <v>0</v>
      </c>
      <c r="H73" s="362">
        <f>IFERROR(VLOOKUP(C73,'تقرير المصروفات حسب الشهر'!$C$512:$AD$620,4,FALSE),0)</f>
        <v>0</v>
      </c>
      <c r="I73" s="362">
        <f>IFERROR(VLOOKUP(C73,'تقرير المصروفات حسب الشهر'!$C$637:$AD$746,4,FALSE),0)</f>
        <v>0</v>
      </c>
      <c r="J73" s="362">
        <f>IFERROR(VLOOKUP(C73,'تقرير المصروفات حسب الشهر'!$C$763:$AD$872,4,FALSE),0)</f>
        <v>0</v>
      </c>
      <c r="K73" s="362">
        <f>IFERROR(VLOOKUP(C73,'تقرير المصروفات حسب الشهر'!$C$890:$AD$999,4,FALSE),0)</f>
        <v>0</v>
      </c>
      <c r="L73" s="362">
        <f>IFERROR(VLOOKUP(C73,'تقرير المصروفات حسب الشهر'!$C$1016:$AD$1126,4,FALSE),0)</f>
        <v>0</v>
      </c>
      <c r="M73" s="376">
        <f>IFERROR(VLOOKUP(C73,'تقرير المصروفات حسب الشهر'!$C$1143:$AD$1254,4,FALSE),0)</f>
        <v>0</v>
      </c>
      <c r="N73" s="376">
        <f>IFERROR(VLOOKUP(C73,'تقرير المصروفات حسب الشهر'!$C$1270:$AD$1381,4,FALSE),0)</f>
        <v>0</v>
      </c>
      <c r="O73" s="376">
        <f>IFERROR(VLOOKUP(C73,'تقرير المصروفات حسب الشهر'!$C$1397:$AI$1512,4,FALSE),0)</f>
        <v>0</v>
      </c>
      <c r="P73" s="364">
        <f t="shared" si="6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الشهر'!$C$10:$AD$119,4,FALSE),0)</f>
        <v>0</v>
      </c>
      <c r="E74" s="362">
        <f>IFERROR(VLOOKUP(C74,'تقرير المصروفات حسب الشهر'!$C$135:$AD$244,4,FALSE),0)</f>
        <v>0</v>
      </c>
      <c r="F74" s="362">
        <v>0</v>
      </c>
      <c r="G74" s="362">
        <f>IFERROR(VLOOKUP(C74,'تقرير المصروفات حسب الشهر'!$C$387:$AD$495,4,FALSE),0)</f>
        <v>0</v>
      </c>
      <c r="H74" s="362">
        <f>IFERROR(VLOOKUP(C74,'تقرير المصروفات حسب الشهر'!$C$512:$AD$620,4,FALSE),0)</f>
        <v>0</v>
      </c>
      <c r="I74" s="362">
        <f>IFERROR(VLOOKUP(C74,'تقرير المصروفات حسب الشهر'!$C$637:$AD$746,4,FALSE),0)</f>
        <v>0</v>
      </c>
      <c r="J74" s="362">
        <f>IFERROR(VLOOKUP(C74,'تقرير المصروفات حسب الشهر'!$C$763:$AD$872,4,FALSE),0)</f>
        <v>0</v>
      </c>
      <c r="K74" s="362">
        <f>IFERROR(VLOOKUP(C74,'تقرير المصروفات حسب الشهر'!$C$890:$AD$999,4,FALSE),0)</f>
        <v>0</v>
      </c>
      <c r="L74" s="362">
        <f>IFERROR(VLOOKUP(C74,'تقرير المصروفات حسب الشهر'!$C$1016:$AD$1126,4,FALSE),0)</f>
        <v>0</v>
      </c>
      <c r="M74" s="376">
        <f>IFERROR(VLOOKUP(C74,'تقرير المصروفات حسب الشهر'!$C$1143:$AD$1254,4,FALSE),0)</f>
        <v>0</v>
      </c>
      <c r="N74" s="376">
        <f>IFERROR(VLOOKUP(C74,'تقرير المصروفات حسب الشهر'!$C$1270:$AD$1381,4,FALSE),0)</f>
        <v>0</v>
      </c>
      <c r="O74" s="376">
        <f>IFERROR(VLOOKUP(C74,'تقرير المصروفات حسب الشهر'!$C$1397:$AI$1512,4,FALSE),0)</f>
        <v>0</v>
      </c>
      <c r="P74" s="364">
        <f t="shared" si="6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الشهر'!$C$10:$AD$119,4,FALSE),0)</f>
        <v>0</v>
      </c>
      <c r="E75" s="362">
        <f>IFERROR(VLOOKUP(C75,'تقرير المصروفات حسب الشهر'!$C$135:$AD$244,4,FALSE),0)</f>
        <v>0</v>
      </c>
      <c r="F75" s="362">
        <v>0</v>
      </c>
      <c r="G75" s="362">
        <f>IFERROR(VLOOKUP(C75,'تقرير المصروفات حسب الشهر'!$C$387:$AD$495,4,FALSE),0)</f>
        <v>0</v>
      </c>
      <c r="H75" s="362">
        <f>IFERROR(VLOOKUP(C75,'تقرير المصروفات حسب الشهر'!$C$512:$AD$620,4,FALSE),0)</f>
        <v>0</v>
      </c>
      <c r="I75" s="362">
        <f>IFERROR(VLOOKUP(C75,'تقرير المصروفات حسب الشهر'!$C$637:$AD$746,4,FALSE),0)</f>
        <v>0</v>
      </c>
      <c r="J75" s="362">
        <f>IFERROR(VLOOKUP(C75,'تقرير المصروفات حسب الشهر'!$C$763:$AD$872,4,FALSE),0)</f>
        <v>0</v>
      </c>
      <c r="K75" s="362">
        <f>IFERROR(VLOOKUP(C75,'تقرير المصروفات حسب الشهر'!$C$890:$AD$999,4,FALSE),0)</f>
        <v>0</v>
      </c>
      <c r="L75" s="362">
        <f>IFERROR(VLOOKUP(C75,'تقرير المصروفات حسب الشهر'!$C$1016:$AD$1126,4,FALSE),0)</f>
        <v>0</v>
      </c>
      <c r="M75" s="376">
        <f>IFERROR(VLOOKUP(C75,'تقرير المصروفات حسب الشهر'!$C$1143:$AD$1254,4,FALSE),0)</f>
        <v>0</v>
      </c>
      <c r="N75" s="376">
        <f>IFERROR(VLOOKUP(C75,'تقرير المصروفات حسب الشهر'!$C$1270:$AD$1381,4,FALSE),0)</f>
        <v>0</v>
      </c>
      <c r="O75" s="376">
        <f>IFERROR(VLOOKUP(C75,'تقرير المصروفات حسب الشهر'!$C$1397:$AI$1512,4,FALSE),0)</f>
        <v>0</v>
      </c>
      <c r="P75" s="364">
        <f t="shared" si="6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الشهر'!$C$10:$AD$119,4,FALSE),0)</f>
        <v>0</v>
      </c>
      <c r="E76" s="362">
        <f>IFERROR(VLOOKUP(C76,'تقرير المصروفات حسب الشهر'!$C$135:$AD$244,4,FALSE),0)</f>
        <v>0</v>
      </c>
      <c r="F76" s="362">
        <v>0</v>
      </c>
      <c r="G76" s="362">
        <f>IFERROR(VLOOKUP(C76,'تقرير المصروفات حسب الشهر'!$C$387:$AD$495,4,FALSE),0)</f>
        <v>0</v>
      </c>
      <c r="H76" s="362">
        <f>IFERROR(VLOOKUP(C76,'تقرير المصروفات حسب الشهر'!$C$512:$AD$620,4,FALSE),0)</f>
        <v>0</v>
      </c>
      <c r="I76" s="362">
        <f>IFERROR(VLOOKUP(C76,'تقرير المصروفات حسب الشهر'!$C$637:$AD$746,4,FALSE),0)</f>
        <v>0</v>
      </c>
      <c r="J76" s="362">
        <f>IFERROR(VLOOKUP(C76,'تقرير المصروفات حسب الشهر'!$C$763:$AD$872,4,FALSE),0)</f>
        <v>0</v>
      </c>
      <c r="K76" s="362">
        <f>IFERROR(VLOOKUP(C76,'تقرير المصروفات حسب الشهر'!$C$890:$AD$999,4,FALSE),0)</f>
        <v>0</v>
      </c>
      <c r="L76" s="362">
        <f>IFERROR(VLOOKUP(C76,'تقرير المصروفات حسب الشهر'!$C$1016:$AD$1126,4,FALSE),0)</f>
        <v>0</v>
      </c>
      <c r="M76" s="376">
        <f>IFERROR(VLOOKUP(C76,'تقرير المصروفات حسب الشهر'!$C$1143:$AD$1254,4,FALSE),0)</f>
        <v>0</v>
      </c>
      <c r="N76" s="376">
        <f>IFERROR(VLOOKUP(C76,'تقرير المصروفات حسب الشهر'!$C$1270:$AD$1381,4,FALSE),0)</f>
        <v>0</v>
      </c>
      <c r="O76" s="376">
        <f>IFERROR(VLOOKUP(C76,'تقرير المصروفات حسب الشهر'!$C$1397:$AI$1512,4,FALSE),0)</f>
        <v>0</v>
      </c>
      <c r="P76" s="364">
        <f t="shared" si="6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الشهر'!$C$10:$AD$119,4,FALSE),0)</f>
        <v>0</v>
      </c>
      <c r="E77" s="362">
        <f>IFERROR(VLOOKUP(C77,'تقرير المصروفات حسب الشهر'!$C$135:$AD$244,4,FALSE),0)</f>
        <v>0</v>
      </c>
      <c r="F77" s="362">
        <v>0</v>
      </c>
      <c r="G77" s="362">
        <f>IFERROR(VLOOKUP(C77,'تقرير المصروفات حسب الشهر'!$C$387:$AD$495,4,FALSE),0)</f>
        <v>0</v>
      </c>
      <c r="H77" s="362">
        <f>IFERROR(VLOOKUP(C77,'تقرير المصروفات حسب الشهر'!$C$512:$AD$620,4,FALSE),0)</f>
        <v>0</v>
      </c>
      <c r="I77" s="362">
        <f>IFERROR(VLOOKUP(C77,'تقرير المصروفات حسب الشهر'!$C$637:$AD$746,4,FALSE),0)</f>
        <v>0</v>
      </c>
      <c r="J77" s="362">
        <f>IFERROR(VLOOKUP(C77,'تقرير المصروفات حسب الشهر'!$C$763:$AD$872,4,FALSE),0)</f>
        <v>0</v>
      </c>
      <c r="K77" s="362">
        <f>IFERROR(VLOOKUP(C77,'تقرير المصروفات حسب الشهر'!$C$890:$AD$999,4,FALSE),0)</f>
        <v>0</v>
      </c>
      <c r="L77" s="362">
        <f>IFERROR(VLOOKUP(C77,'تقرير المصروفات حسب الشهر'!$C$1016:$AD$1126,4,FALSE),0)</f>
        <v>0</v>
      </c>
      <c r="M77" s="376">
        <f>IFERROR(VLOOKUP(C77,'تقرير المصروفات حسب الشهر'!$C$1143:$AD$1254,4,FALSE),0)</f>
        <v>0</v>
      </c>
      <c r="N77" s="376">
        <f>IFERROR(VLOOKUP(C77,'تقرير المصروفات حسب الشهر'!$C$1270:$AD$1381,4,FALSE),0)</f>
        <v>0</v>
      </c>
      <c r="O77" s="376">
        <f>IFERROR(VLOOKUP(C77,'تقرير المصروفات حسب الشهر'!$C$1397:$AI$1512,4,FALSE),0)</f>
        <v>0</v>
      </c>
      <c r="P77" s="364">
        <f t="shared" si="6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الشهر'!$C$10:$AD$119,4,FALSE),0)</f>
        <v>0</v>
      </c>
      <c r="E78" s="362">
        <f>IFERROR(VLOOKUP(C78,'تقرير المصروفات حسب الشهر'!$C$135:$AD$244,4,FALSE),0)</f>
        <v>0</v>
      </c>
      <c r="F78" s="362">
        <v>0</v>
      </c>
      <c r="G78" s="362">
        <f>IFERROR(VLOOKUP(C78,'تقرير المصروفات حسب الشهر'!$C$387:$AD$495,4,FALSE),0)</f>
        <v>0</v>
      </c>
      <c r="H78" s="362">
        <f>IFERROR(VLOOKUP(C78,'تقرير المصروفات حسب الشهر'!$C$512:$AD$620,4,FALSE),0)</f>
        <v>0</v>
      </c>
      <c r="I78" s="362">
        <f>IFERROR(VLOOKUP(C78,'تقرير المصروفات حسب الشهر'!$C$637:$AD$746,4,FALSE),0)</f>
        <v>0</v>
      </c>
      <c r="J78" s="362">
        <f>IFERROR(VLOOKUP(C78,'تقرير المصروفات حسب الشهر'!$C$763:$AD$872,4,FALSE),0)</f>
        <v>0</v>
      </c>
      <c r="K78" s="362">
        <f>IFERROR(VLOOKUP(C78,'تقرير المصروفات حسب الشهر'!$C$890:$AD$999,4,FALSE),0)</f>
        <v>0</v>
      </c>
      <c r="L78" s="362">
        <f>IFERROR(VLOOKUP(C78,'تقرير المصروفات حسب الشهر'!$C$1016:$AD$1126,4,FALSE),0)</f>
        <v>0</v>
      </c>
      <c r="M78" s="376">
        <f>IFERROR(VLOOKUP(C78,'تقرير المصروفات حسب الشهر'!$C$1143:$AD$1254,4,FALSE),0)</f>
        <v>0</v>
      </c>
      <c r="N78" s="376">
        <f>IFERROR(VLOOKUP(C78,'تقرير المصروفات حسب الشهر'!$C$1270:$AD$1381,4,FALSE),0)</f>
        <v>0</v>
      </c>
      <c r="O78" s="376">
        <f>IFERROR(VLOOKUP(C78,'تقرير المصروفات حسب الشهر'!$C$1397:$AI$1512,4,FALSE),0)</f>
        <v>0</v>
      </c>
      <c r="P78" s="364">
        <f t="shared" si="6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الشهر'!$C$10:$AD$119,4,FALSE),0)</f>
        <v>0</v>
      </c>
      <c r="E79" s="362">
        <f>IFERROR(VLOOKUP(C79,'تقرير المصروفات حسب الشهر'!$C$135:$AD$244,4,FALSE),0)</f>
        <v>0</v>
      </c>
      <c r="F79" s="362">
        <v>0</v>
      </c>
      <c r="G79" s="362">
        <f>IFERROR(VLOOKUP(C79,'تقرير المصروفات حسب الشهر'!$C$387:$AD$495,4,FALSE),0)</f>
        <v>0</v>
      </c>
      <c r="H79" s="362">
        <f>IFERROR(VLOOKUP(C79,'تقرير المصروفات حسب الشهر'!$C$512:$AD$620,4,FALSE),0)</f>
        <v>0</v>
      </c>
      <c r="I79" s="362">
        <f>IFERROR(VLOOKUP(C79,'تقرير المصروفات حسب الشهر'!$C$637:$AD$746,4,FALSE),0)</f>
        <v>0</v>
      </c>
      <c r="J79" s="362">
        <f>IFERROR(VLOOKUP(C79,'تقرير المصروفات حسب الشهر'!$C$763:$AD$872,4,FALSE),0)</f>
        <v>0</v>
      </c>
      <c r="K79" s="362">
        <f>IFERROR(VLOOKUP(C79,'تقرير المصروفات حسب الشهر'!$C$890:$AD$999,4,FALSE),0)</f>
        <v>0</v>
      </c>
      <c r="L79" s="362">
        <f>IFERROR(VLOOKUP(C79,'تقرير المصروفات حسب الشهر'!$C$1016:$AD$1126,4,FALSE),0)</f>
        <v>0</v>
      </c>
      <c r="M79" s="376">
        <f>IFERROR(VLOOKUP(C79,'تقرير المصروفات حسب الشهر'!$C$1143:$AD$1254,4,FALSE),0)</f>
        <v>0</v>
      </c>
      <c r="N79" s="376">
        <f>IFERROR(VLOOKUP(C79,'تقرير المصروفات حسب الشهر'!$C$1270:$AD$1381,4,FALSE),0)</f>
        <v>0</v>
      </c>
      <c r="O79" s="376">
        <f>IFERROR(VLOOKUP(C79,'تقرير المصروفات حسب الشهر'!$C$1397:$AI$1512,4,FALSE),0)</f>
        <v>0</v>
      </c>
      <c r="P79" s="364">
        <f t="shared" si="6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الشهر'!$C$10:$AD$119,4,FALSE),0)</f>
        <v>0</v>
      </c>
      <c r="E80" s="362">
        <f>IFERROR(VLOOKUP(C80,'تقرير المصروفات حسب الشهر'!$C$135:$AD$244,4,FALSE),0)</f>
        <v>0</v>
      </c>
      <c r="F80" s="362">
        <v>0</v>
      </c>
      <c r="G80" s="362">
        <f>IFERROR(VLOOKUP(C80,'تقرير المصروفات حسب الشهر'!$C$387:$AD$495,4,FALSE),0)</f>
        <v>0</v>
      </c>
      <c r="H80" s="362">
        <f>IFERROR(VLOOKUP(C80,'تقرير المصروفات حسب الشهر'!$C$512:$AD$620,4,FALSE),0)</f>
        <v>0</v>
      </c>
      <c r="I80" s="362">
        <f>IFERROR(VLOOKUP(C80,'تقرير المصروفات حسب الشهر'!$C$637:$AD$746,4,FALSE),0)</f>
        <v>0</v>
      </c>
      <c r="J80" s="362">
        <f>IFERROR(VLOOKUP(C80,'تقرير المصروفات حسب الشهر'!$C$763:$AD$872,4,FALSE),0)</f>
        <v>0</v>
      </c>
      <c r="K80" s="362">
        <f>IFERROR(VLOOKUP(C80,'تقرير المصروفات حسب الشهر'!$C$890:$AD$999,4,FALSE),0)</f>
        <v>0</v>
      </c>
      <c r="L80" s="362">
        <f>IFERROR(VLOOKUP(C80,'تقرير المصروفات حسب الشهر'!$C$1016:$AD$1126,4,FALSE),0)</f>
        <v>0</v>
      </c>
      <c r="M80" s="376">
        <f>IFERROR(VLOOKUP(C80,'تقرير المصروفات حسب الشهر'!$C$1143:$AD$1254,4,FALSE),0)</f>
        <v>0</v>
      </c>
      <c r="N80" s="376">
        <f>IFERROR(VLOOKUP(C80,'تقرير المصروفات حسب الشهر'!$C$1270:$AD$1381,4,FALSE),0)</f>
        <v>0</v>
      </c>
      <c r="O80" s="376">
        <f>IFERROR(VLOOKUP(C80,'تقرير المصروفات حسب الشهر'!$C$1397:$AI$1512,4,FALSE),0)</f>
        <v>0</v>
      </c>
      <c r="P80" s="364">
        <f t="shared" si="6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الشهر'!$C$10:$AD$119,4,FALSE),0)</f>
        <v>316</v>
      </c>
      <c r="E81" s="362">
        <f>IFERROR(VLOOKUP(C81,'تقرير المصروفات حسب الشهر'!$C$135:$AD$244,4,FALSE),0)</f>
        <v>100</v>
      </c>
      <c r="F81" s="362">
        <v>100</v>
      </c>
      <c r="G81" s="362">
        <f>IFERROR(VLOOKUP(C81,'تقرير المصروفات حسب الشهر'!$C$387:$AD$495,4,FALSE),0)</f>
        <v>100</v>
      </c>
      <c r="H81" s="362">
        <f>IFERROR(VLOOKUP(C81,'تقرير المصروفات حسب الشهر'!$C$512:$AD$620,4,FALSE),0)</f>
        <v>100</v>
      </c>
      <c r="I81" s="362">
        <f>IFERROR(VLOOKUP(C81,'تقرير المصروفات حسب الشهر'!$C$637:$AD$746,4,FALSE),0)</f>
        <v>100</v>
      </c>
      <c r="J81" s="362">
        <f>IFERROR(VLOOKUP(C81,'تقرير المصروفات حسب الشهر'!$C$763:$AD$872,4,FALSE),0)</f>
        <v>0</v>
      </c>
      <c r="K81" s="362">
        <f>IFERROR(VLOOKUP(C81,'تقرير المصروفات حسب الشهر'!$C$890:$AD$999,4,FALSE),0)</f>
        <v>300</v>
      </c>
      <c r="L81" s="362">
        <f>IFERROR(VLOOKUP(C81,'تقرير المصروفات حسب الشهر'!$C$1016:$AD$1126,4,FALSE),0)</f>
        <v>200</v>
      </c>
      <c r="M81" s="376">
        <f>IFERROR(VLOOKUP(C81,'تقرير المصروفات حسب الشهر'!$C$1143:$AD$1254,4,FALSE),0)</f>
        <v>200</v>
      </c>
      <c r="N81" s="376">
        <f>IFERROR(VLOOKUP(C81,'تقرير المصروفات حسب الشهر'!$C$1270:$AD$1381,4,FALSE),0)</f>
        <v>200</v>
      </c>
      <c r="O81" s="376">
        <f>IFERROR(VLOOKUP(C81,'تقرير المصروفات حسب الشهر'!$C$1397:$AI$1512,4,FALSE),0)</f>
        <v>200</v>
      </c>
      <c r="P81" s="364">
        <f t="shared" si="6"/>
        <v>1916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الشهر'!$C$10:$AD$119,4,FALSE),0)</f>
        <v>0</v>
      </c>
      <c r="E82" s="362">
        <f>IFERROR(VLOOKUP(C82,'تقرير المصروفات حسب الشهر'!$C$135:$AD$244,4,FALSE),0)</f>
        <v>0</v>
      </c>
      <c r="F82" s="362">
        <v>0</v>
      </c>
      <c r="G82" s="362">
        <f>IFERROR(VLOOKUP(C82,'تقرير المصروفات حسب الشهر'!$C$387:$AD$495,4,FALSE),0)</f>
        <v>0</v>
      </c>
      <c r="H82" s="362">
        <f>IFERROR(VLOOKUP(C82,'تقرير المصروفات حسب الشهر'!$C$512:$AD$620,4,FALSE),0)</f>
        <v>0</v>
      </c>
      <c r="I82" s="362">
        <f>IFERROR(VLOOKUP(C82,'تقرير المصروفات حسب الشهر'!$C$637:$AD$746,4,FALSE),0)</f>
        <v>0</v>
      </c>
      <c r="J82" s="362">
        <f>IFERROR(VLOOKUP(C82,'تقرير المصروفات حسب الشهر'!$C$763:$AD$872,4,FALSE),0)</f>
        <v>0</v>
      </c>
      <c r="K82" s="362">
        <f>IFERROR(VLOOKUP(C82,'تقرير المصروفات حسب الشهر'!$C$890:$AD$999,4,FALSE),0)</f>
        <v>0</v>
      </c>
      <c r="L82" s="362">
        <f>IFERROR(VLOOKUP(C82,'تقرير المصروفات حسب الشهر'!$C$1016:$AD$1126,4,FALSE),0)</f>
        <v>0</v>
      </c>
      <c r="M82" s="376">
        <f>IFERROR(VLOOKUP(C82,'تقرير المصروفات حسب الشهر'!$C$1143:$AD$1254,4,FALSE),0)</f>
        <v>0</v>
      </c>
      <c r="N82" s="376">
        <f>IFERROR(VLOOKUP(C82,'تقرير المصروفات حسب الشهر'!$C$1270:$AD$1381,4,FALSE),0)</f>
        <v>0</v>
      </c>
      <c r="O82" s="376">
        <f>IFERROR(VLOOKUP(C82,'تقرير المصروفات حسب الشهر'!$C$1397:$AI$1512,4,FALSE),0)</f>
        <v>0</v>
      </c>
      <c r="P82" s="364">
        <f t="shared" si="6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الشهر'!$C$10:$AD$119,4,FALSE),0)</f>
        <v>0</v>
      </c>
      <c r="E83" s="362">
        <f>IFERROR(VLOOKUP(C83,'تقرير المصروفات حسب الشهر'!$C$135:$AD$244,4,FALSE),0)</f>
        <v>0</v>
      </c>
      <c r="F83" s="362">
        <v>0</v>
      </c>
      <c r="G83" s="362">
        <f>IFERROR(VLOOKUP(C83,'تقرير المصروفات حسب الشهر'!$C$387:$AD$495,4,FALSE),0)</f>
        <v>0</v>
      </c>
      <c r="H83" s="362">
        <f>IFERROR(VLOOKUP(C83,'تقرير المصروفات حسب الشهر'!$C$512:$AD$620,4,FALSE),0)</f>
        <v>0</v>
      </c>
      <c r="I83" s="362">
        <f>IFERROR(VLOOKUP(C83,'تقرير المصروفات حسب الشهر'!$C$637:$AD$746,4,FALSE),0)</f>
        <v>0</v>
      </c>
      <c r="J83" s="362">
        <f>IFERROR(VLOOKUP(C83,'تقرير المصروفات حسب الشهر'!$C$763:$AD$872,4,FALSE),0)</f>
        <v>0</v>
      </c>
      <c r="K83" s="362">
        <f>IFERROR(VLOOKUP(C83,'تقرير المصروفات حسب الشهر'!$C$890:$AD$999,4,FALSE),0)</f>
        <v>0</v>
      </c>
      <c r="L83" s="362">
        <f>IFERROR(VLOOKUP(C83,'تقرير المصروفات حسب الشهر'!$C$1016:$AD$1126,4,FALSE),0)</f>
        <v>0</v>
      </c>
      <c r="M83" s="376">
        <f>IFERROR(VLOOKUP(C83,'تقرير المصروفات حسب الشهر'!$C$1143:$AD$1254,4,FALSE),0)</f>
        <v>0</v>
      </c>
      <c r="N83" s="376">
        <f>IFERROR(VLOOKUP(C83,'تقرير المصروفات حسب الشهر'!$C$1270:$AD$1381,4,FALSE),0)</f>
        <v>0</v>
      </c>
      <c r="O83" s="376">
        <f>IFERROR(VLOOKUP(C83,'تقرير المصروفات حسب الشهر'!$C$1397:$AI$1512,4,FALSE),0)</f>
        <v>0</v>
      </c>
      <c r="P83" s="364">
        <f t="shared" si="6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الشهر'!$C$10:$AD$119,4,FALSE),0)</f>
        <v>0</v>
      </c>
      <c r="E84" s="362">
        <f>IFERROR(VLOOKUP(C84,'تقرير المصروفات حسب الشهر'!$C$135:$AD$244,4,FALSE),0)</f>
        <v>0</v>
      </c>
      <c r="F84" s="362">
        <v>0</v>
      </c>
      <c r="G84" s="362">
        <f>IFERROR(VLOOKUP(C84,'تقرير المصروفات حسب الشهر'!$C$387:$AD$495,4,FALSE),0)</f>
        <v>0</v>
      </c>
      <c r="H84" s="362">
        <f>IFERROR(VLOOKUP(C84,'تقرير المصروفات حسب الشهر'!$C$512:$AD$620,4,FALSE),0)</f>
        <v>0</v>
      </c>
      <c r="I84" s="362">
        <f>IFERROR(VLOOKUP(C84,'تقرير المصروفات حسب الشهر'!$C$637:$AD$746,4,FALSE),0)</f>
        <v>0</v>
      </c>
      <c r="J84" s="362">
        <f>IFERROR(VLOOKUP(C84,'تقرير المصروفات حسب الشهر'!$C$763:$AD$872,4,FALSE),0)</f>
        <v>0</v>
      </c>
      <c r="K84" s="362">
        <f>IFERROR(VLOOKUP(C84,'تقرير المصروفات حسب الشهر'!$C$890:$AD$999,4,FALSE),0)</f>
        <v>0</v>
      </c>
      <c r="L84" s="362">
        <f>IFERROR(VLOOKUP(C84,'تقرير المصروفات حسب الشهر'!$C$1016:$AD$1126,4,FALSE),0)</f>
        <v>0</v>
      </c>
      <c r="M84" s="376">
        <f>IFERROR(VLOOKUP(C84,'تقرير المصروفات حسب الشهر'!$C$1143:$AD$1254,4,FALSE),0)</f>
        <v>0</v>
      </c>
      <c r="N84" s="376">
        <f>IFERROR(VLOOKUP(C84,'تقرير المصروفات حسب الشهر'!$C$1270:$AD$1381,4,FALSE),0)</f>
        <v>0</v>
      </c>
      <c r="O84" s="376">
        <f>IFERROR(VLOOKUP(C84,'تقرير المصروفات حسب الشهر'!$C$1397:$AI$1512,4,FALSE),0)</f>
        <v>0</v>
      </c>
      <c r="P84" s="364">
        <f t="shared" si="6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الشهر'!$C$10:$AD$119,4,FALSE),0)</f>
        <v>0</v>
      </c>
      <c r="E85" s="362">
        <f>IFERROR(VLOOKUP(C85,'تقرير المصروفات حسب الشهر'!$C$135:$AD$244,4,FALSE),0)</f>
        <v>0</v>
      </c>
      <c r="F85" s="362">
        <v>0</v>
      </c>
      <c r="G85" s="362">
        <f>IFERROR(VLOOKUP(C85,'تقرير المصروفات حسب الشهر'!$C$387:$AD$495,4,FALSE),0)</f>
        <v>0</v>
      </c>
      <c r="H85" s="362">
        <f>IFERROR(VLOOKUP(C85,'تقرير المصروفات حسب الشهر'!$C$512:$AD$620,4,FALSE),0)</f>
        <v>0</v>
      </c>
      <c r="I85" s="362">
        <f>IFERROR(VLOOKUP(C85,'تقرير المصروفات حسب الشهر'!$C$637:$AD$746,4,FALSE),0)</f>
        <v>0</v>
      </c>
      <c r="J85" s="362">
        <f>IFERROR(VLOOKUP(C85,'تقرير المصروفات حسب الشهر'!$C$763:$AD$872,4,FALSE),0)</f>
        <v>0</v>
      </c>
      <c r="K85" s="362">
        <f>IFERROR(VLOOKUP(C85,'تقرير المصروفات حسب الشهر'!$C$890:$AD$999,4,FALSE),0)</f>
        <v>0</v>
      </c>
      <c r="L85" s="362">
        <f>IFERROR(VLOOKUP(C85,'تقرير المصروفات حسب الشهر'!$C$1016:$AD$1126,4,FALSE),0)</f>
        <v>0</v>
      </c>
      <c r="M85" s="376">
        <f>IFERROR(VLOOKUP(C85,'تقرير المصروفات حسب الشهر'!$C$1143:$AD$1254,4,FALSE),0)</f>
        <v>0</v>
      </c>
      <c r="N85" s="376">
        <f>IFERROR(VLOOKUP(C85,'تقرير المصروفات حسب الشهر'!$C$1270:$AD$1381,4,FALSE),0)</f>
        <v>0</v>
      </c>
      <c r="O85" s="376">
        <f>IFERROR(VLOOKUP(C85,'تقرير المصروفات حسب الشهر'!$C$1397:$AI$1512,4,FALSE),0)</f>
        <v>0</v>
      </c>
      <c r="P85" s="364">
        <f t="shared" si="6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الشهر'!$C$10:$AD$119,4,FALSE),0)</f>
        <v>1735</v>
      </c>
      <c r="E86" s="362">
        <f>IFERROR(VLOOKUP(C86,'تقرير المصروفات حسب الشهر'!$C$135:$AD$244,4,FALSE),0)</f>
        <v>1959.65</v>
      </c>
      <c r="F86" s="362">
        <v>1281.5</v>
      </c>
      <c r="G86" s="362">
        <f>IFERROR(VLOOKUP(C86,'تقرير المصروفات حسب الشهر'!$C$387:$AD$495,4,FALSE),0)</f>
        <v>2525.6999999999998</v>
      </c>
      <c r="H86" s="362">
        <f>IFERROR(VLOOKUP(C86,'تقرير المصروفات حسب الشهر'!$C$512:$AD$620,4,FALSE),0)</f>
        <v>2197</v>
      </c>
      <c r="I86" s="362">
        <f>IFERROR(VLOOKUP(C86,'تقرير المصروفات حسب الشهر'!$C$637:$AD$746,4,FALSE),0)</f>
        <v>6271.5</v>
      </c>
      <c r="J86" s="517">
        <f>IFERROR(VLOOKUP(C86,'تقرير المصروفات حسب الشهر'!$C$763:$AD$872,4,FALSE),0)</f>
        <v>979</v>
      </c>
      <c r="K86" s="362">
        <f>IFERROR(VLOOKUP(C86,'تقرير المصروفات حسب الشهر'!$C$890:$AD$999,4,FALSE),0)</f>
        <v>4439.3999999999996</v>
      </c>
      <c r="L86" s="362">
        <f>IFERROR(VLOOKUP(C86,'تقرير المصروفات حسب الشهر'!$C$1016:$AD$1126,4,FALSE),0)</f>
        <v>0</v>
      </c>
      <c r="M86" s="376">
        <f>IFERROR(VLOOKUP(C86,'تقرير المصروفات حسب الشهر'!$C$1143:$AD$1254,4,FALSE),0)</f>
        <v>1335.76</v>
      </c>
      <c r="N86" s="376">
        <f>IFERROR(VLOOKUP(C86,'تقرير المصروفات حسب الشهر'!$C$1270:$AD$1381,4,FALSE),0)</f>
        <v>3252.82</v>
      </c>
      <c r="O86" s="376">
        <f>IFERROR(VLOOKUP(C86,'تقرير المصروفات حسب الشهر'!$C$1397:$AI$1512,4,FALSE),0)</f>
        <v>1220.4000000000001</v>
      </c>
      <c r="P86" s="364">
        <f t="shared" si="6"/>
        <v>27197.73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الشهر'!$C$10:$AD$119,4,FALSE),0)</f>
        <v>0</v>
      </c>
      <c r="E87" s="362">
        <f>IFERROR(VLOOKUP(C87,'تقرير المصروفات حسب الشهر'!$C$135:$AD$244,4,FALSE),0)</f>
        <v>0</v>
      </c>
      <c r="F87" s="362">
        <v>0</v>
      </c>
      <c r="G87" s="362">
        <f>IFERROR(VLOOKUP(C87,'تقرير المصروفات حسب الشهر'!$C$387:$AD$495,4,FALSE),0)</f>
        <v>0</v>
      </c>
      <c r="H87" s="362">
        <f>IFERROR(VLOOKUP(C87,'تقرير المصروفات حسب الشهر'!$C$512:$AD$620,4,FALSE),0)</f>
        <v>0</v>
      </c>
      <c r="I87" s="362">
        <f>IFERROR(VLOOKUP(C87,'تقرير المصروفات حسب الشهر'!$C$637:$AD$746,4,FALSE),0)</f>
        <v>0</v>
      </c>
      <c r="J87" s="362">
        <f>IFERROR(VLOOKUP(C87,'تقرير المصروفات حسب الشهر'!$C$763:$AD$872,4,FALSE),0)</f>
        <v>0</v>
      </c>
      <c r="K87" s="362">
        <f>IFERROR(VLOOKUP(C87,'تقرير المصروفات حسب الشهر'!$C$890:$AD$999,4,FALSE),0)</f>
        <v>0</v>
      </c>
      <c r="L87" s="362">
        <f>IFERROR(VLOOKUP(C87,'تقرير المصروفات حسب الشهر'!$C$1016:$AD$1126,4,FALSE),0)</f>
        <v>0</v>
      </c>
      <c r="M87" s="376">
        <f>IFERROR(VLOOKUP(C87,'تقرير المصروفات حسب الشهر'!$C$1143:$AD$1254,4,FALSE),0)</f>
        <v>0</v>
      </c>
      <c r="N87" s="376">
        <f>IFERROR(VLOOKUP(C87,'تقرير المصروفات حسب الشهر'!$C$1270:$AD$1381,4,FALSE),0)</f>
        <v>0</v>
      </c>
      <c r="O87" s="376">
        <f>IFERROR(VLOOKUP(C87,'تقرير المصروفات حسب الشهر'!$C$1397:$AI$1512,4,FALSE),0)</f>
        <v>4372</v>
      </c>
      <c r="P87" s="364">
        <f t="shared" ref="P87:P136" si="7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الشهر'!$C$10:$AD$119,4,FALSE),0)</f>
        <v>0</v>
      </c>
      <c r="E88" s="362">
        <f>IFERROR(VLOOKUP(C88,'تقرير المصروفات حسب الشهر'!$C$135:$AD$244,4,FALSE),0)</f>
        <v>0</v>
      </c>
      <c r="F88" s="362">
        <v>400</v>
      </c>
      <c r="G88" s="362">
        <f>IFERROR(VLOOKUP(C88,'تقرير المصروفات حسب الشهر'!$C$387:$AD$495,4,FALSE),0)</f>
        <v>0</v>
      </c>
      <c r="H88" s="362">
        <f>IFERROR(VLOOKUP(C88,'تقرير المصروفات حسب الشهر'!$C$512:$AD$620,4,FALSE),0)</f>
        <v>333</v>
      </c>
      <c r="I88" s="362">
        <f>IFERROR(VLOOKUP(C88,'تقرير المصروفات حسب الشهر'!$C$637:$AD$746,4,FALSE),0)</f>
        <v>240</v>
      </c>
      <c r="J88" s="362">
        <f>IFERROR(VLOOKUP(C88,'تقرير المصروفات حسب الشهر'!$C$763:$AD$872,4,FALSE),0)</f>
        <v>0</v>
      </c>
      <c r="K88" s="362">
        <f>IFERROR(VLOOKUP(C88,'تقرير المصروفات حسب الشهر'!$C$890:$AD$999,4,FALSE),0)</f>
        <v>0</v>
      </c>
      <c r="L88" s="362">
        <f>IFERROR(VLOOKUP(C88,'تقرير المصروفات حسب الشهر'!$C$1016:$AD$1126,4,FALSE),0)</f>
        <v>0</v>
      </c>
      <c r="M88" s="376">
        <f>IFERROR(VLOOKUP(C88,'تقرير المصروفات حسب الشهر'!$C$1143:$AD$1254,4,FALSE),0)</f>
        <v>0</v>
      </c>
      <c r="N88" s="376">
        <f>IFERROR(VLOOKUP(C88,'تقرير المصروفات حسب الشهر'!$C$1270:$AD$1381,4,FALSE),0)</f>
        <v>0</v>
      </c>
      <c r="O88" s="376">
        <f>IFERROR(VLOOKUP(C88,'تقرير المصروفات حسب الشهر'!$C$1397:$AI$1512,4,FALSE),0)</f>
        <v>0</v>
      </c>
      <c r="P88" s="364">
        <f t="shared" si="7"/>
        <v>973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الشهر'!$C$10:$AD$119,4,FALSE),0)</f>
        <v>0</v>
      </c>
      <c r="E89" s="362">
        <f>IFERROR(VLOOKUP(C89,'تقرير المصروفات حسب الشهر'!$C$135:$AD$244,4,FALSE),0)</f>
        <v>0</v>
      </c>
      <c r="F89" s="362">
        <v>0</v>
      </c>
      <c r="G89" s="362">
        <f>IFERROR(VLOOKUP(C89,'تقرير المصروفات حسب الشهر'!$C$387:$AD$495,4,FALSE),0)</f>
        <v>0</v>
      </c>
      <c r="H89" s="362">
        <f>IFERROR(VLOOKUP(C89,'تقرير المصروفات حسب الشهر'!$C$512:$AD$620,4,FALSE),0)</f>
        <v>0</v>
      </c>
      <c r="I89" s="362">
        <f>IFERROR(VLOOKUP(C89,'تقرير المصروفات حسب الشهر'!$C$637:$AD$746,4,FALSE),0)</f>
        <v>0</v>
      </c>
      <c r="J89" s="362">
        <f>IFERROR(VLOOKUP(C89,'تقرير المصروفات حسب الشهر'!$C$763:$AD$872,4,FALSE),0)</f>
        <v>0</v>
      </c>
      <c r="K89" s="362">
        <f>IFERROR(VLOOKUP(C89,'تقرير المصروفات حسب الشهر'!$C$890:$AD$999,4,FALSE),0)</f>
        <v>0</v>
      </c>
      <c r="L89" s="362">
        <f>IFERROR(VLOOKUP(C89,'تقرير المصروفات حسب الشهر'!$C$1016:$AD$1126,4,FALSE),0)</f>
        <v>0</v>
      </c>
      <c r="M89" s="376">
        <f>IFERROR(VLOOKUP(C89,'تقرير المصروفات حسب الشهر'!$C$1143:$AD$1254,4,FALSE),0)</f>
        <v>0</v>
      </c>
      <c r="N89" s="376">
        <f>IFERROR(VLOOKUP(C89,'تقرير المصروفات حسب الشهر'!$C$1270:$AD$1381,4,FALSE),0)</f>
        <v>0</v>
      </c>
      <c r="O89" s="376">
        <f>IFERROR(VLOOKUP(C89,'تقرير المصروفات حسب الشهر'!$C$1397:$AI$1512,4,FALSE),0)</f>
        <v>0</v>
      </c>
      <c r="P89" s="364">
        <f t="shared" si="7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الشهر'!$C$10:$AD$119,4,FALSE),0)</f>
        <v>0</v>
      </c>
      <c r="E90" s="362">
        <f>IFERROR(VLOOKUP(C90,'تقرير المصروفات حسب الشهر'!$C$135:$AD$244,4,FALSE),0)</f>
        <v>0</v>
      </c>
      <c r="F90" s="362">
        <v>0</v>
      </c>
      <c r="G90" s="362">
        <f>IFERROR(VLOOKUP(C90,'تقرير المصروفات حسب الشهر'!$C$387:$AD$495,4,FALSE),0)</f>
        <v>0</v>
      </c>
      <c r="H90" s="362">
        <f>IFERROR(VLOOKUP(C90,'تقرير المصروفات حسب الشهر'!$C$512:$AD$620,4,FALSE),0)</f>
        <v>0</v>
      </c>
      <c r="I90" s="362">
        <f>IFERROR(VLOOKUP(C90,'تقرير المصروفات حسب الشهر'!$C$637:$AD$746,4,FALSE),0)</f>
        <v>0</v>
      </c>
      <c r="J90" s="362">
        <f>IFERROR(VLOOKUP(C90,'تقرير المصروفات حسب الشهر'!$C$763:$AD$872,4,FALSE),0)</f>
        <v>0</v>
      </c>
      <c r="K90" s="362">
        <f>IFERROR(VLOOKUP(C90,'تقرير المصروفات حسب الشهر'!$C$890:$AD$999,4,FALSE),0)</f>
        <v>0</v>
      </c>
      <c r="L90" s="362">
        <f>IFERROR(VLOOKUP(C90,'تقرير المصروفات حسب الشهر'!$C$1016:$AD$1126,4,FALSE),0)</f>
        <v>0</v>
      </c>
      <c r="M90" s="376">
        <f>IFERROR(VLOOKUP(C90,'تقرير المصروفات حسب الشهر'!$C$1143:$AD$1254,4,FALSE),0)</f>
        <v>0</v>
      </c>
      <c r="N90" s="376">
        <f>IFERROR(VLOOKUP(C90,'تقرير المصروفات حسب الشهر'!$C$1270:$AD$1381,4,FALSE),0)</f>
        <v>0</v>
      </c>
      <c r="O90" s="376">
        <f>IFERROR(VLOOKUP(C90,'تقرير المصروفات حسب الشهر'!$C$1397:$AI$1512,4,FALSE),0)</f>
        <v>0</v>
      </c>
      <c r="P90" s="364">
        <f t="shared" si="7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الشهر'!$C$10:$AD$119,4,FALSE),0)</f>
        <v>41675</v>
      </c>
      <c r="E91" s="362">
        <f>IFERROR(VLOOKUP(C91,'تقرير المصروفات حسب الشهر'!$C$135:$AD$244,4,FALSE),0)</f>
        <v>5500</v>
      </c>
      <c r="F91" s="362">
        <v>5600</v>
      </c>
      <c r="G91" s="362">
        <f>IFERROR(VLOOKUP(C91,'تقرير المصروفات حسب الشهر'!$C$387:$AD$495,4,FALSE),0)</f>
        <v>5500</v>
      </c>
      <c r="H91" s="362">
        <f>IFERROR(VLOOKUP(C91,'تقرير المصروفات حسب الشهر'!$C$512:$AD$620,4,FALSE),0)</f>
        <v>5500</v>
      </c>
      <c r="I91" s="362">
        <f>IFERROR(VLOOKUP(C91,'تقرير المصروفات حسب الشهر'!$C$637:$AD$746,4,FALSE),0)</f>
        <v>5500</v>
      </c>
      <c r="J91" s="517">
        <f>IFERROR(VLOOKUP(C91,'تقرير المصروفات حسب الشهر'!$C$763:$AD$872,4,FALSE),0)</f>
        <v>5500</v>
      </c>
      <c r="K91" s="362">
        <f>IFERROR(VLOOKUP(C91,'تقرير المصروفات حسب الشهر'!$C$890:$AD$999,4,FALSE),0)</f>
        <v>5560</v>
      </c>
      <c r="L91" s="362">
        <f>IFERROR(VLOOKUP(C91,'تقرير المصروفات حسب الشهر'!$C$1016:$AD$1126,4,FALSE),0)</f>
        <v>5950</v>
      </c>
      <c r="M91" s="376">
        <f>IFERROR(VLOOKUP(C91,'تقرير المصروفات حسب الشهر'!$C$1143:$AD$1254,4,FALSE),0)</f>
        <v>5500</v>
      </c>
      <c r="N91" s="376">
        <f>IFERROR(VLOOKUP(C91,'تقرير المصروفات حسب الشهر'!$C$1270:$AD$1381,4,FALSE),0)</f>
        <v>5500</v>
      </c>
      <c r="O91" s="376">
        <f>IFERROR(VLOOKUP(C91,'تقرير المصروفات حسب الشهر'!$C$1397:$AI$1512,4,FALSE),0)</f>
        <v>5500</v>
      </c>
      <c r="P91" s="364">
        <f t="shared" si="7"/>
        <v>102785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الشهر'!$C$10:$AD$119,4,FALSE),0)</f>
        <v>0</v>
      </c>
      <c r="E92" s="362">
        <f>IFERROR(VLOOKUP(C92,'تقرير المصروفات حسب الشهر'!$C$135:$AD$244,4,FALSE),0)</f>
        <v>0</v>
      </c>
      <c r="F92" s="362">
        <v>0</v>
      </c>
      <c r="G92" s="362">
        <f>IFERROR(VLOOKUP(C92,'تقرير المصروفات حسب الشهر'!$C$387:$AD$495,4,FALSE),0)</f>
        <v>1750</v>
      </c>
      <c r="H92" s="362">
        <f>IFERROR(VLOOKUP(C92,'تقرير المصروفات حسب الشهر'!$C$512:$AD$620,4,FALSE),0)</f>
        <v>0</v>
      </c>
      <c r="I92" s="362">
        <f>IFERROR(VLOOKUP(C92,'تقرير المصروفات حسب الشهر'!$C$637:$AD$746,4,FALSE),0)</f>
        <v>0</v>
      </c>
      <c r="J92" s="362">
        <f>IFERROR(VLOOKUP(C92,'تقرير المصروفات حسب الشهر'!$C$763:$AD$872,4,FALSE),0)</f>
        <v>0</v>
      </c>
      <c r="K92" s="362">
        <f>IFERROR(VLOOKUP(C92,'تقرير المصروفات حسب الشهر'!$C$890:$AD$999,4,FALSE),0)</f>
        <v>0</v>
      </c>
      <c r="L92" s="362">
        <f>IFERROR(VLOOKUP(C92,'تقرير المصروفات حسب الشهر'!$C$1016:$AD$1126,4,FALSE),0)</f>
        <v>0</v>
      </c>
      <c r="M92" s="376">
        <f>IFERROR(VLOOKUP(C92,'تقرير المصروفات حسب الشهر'!$C$1143:$AD$1254,4,FALSE),0)</f>
        <v>0</v>
      </c>
      <c r="N92" s="376">
        <f>IFERROR(VLOOKUP(C92,'تقرير المصروفات حسب الشهر'!$C$1270:$AD$1381,4,FALSE),0)</f>
        <v>0</v>
      </c>
      <c r="O92" s="376">
        <f>IFERROR(VLOOKUP(C92,'تقرير المصروفات حسب الشهر'!$C$1397:$AI$1512,4,FALSE),0)</f>
        <v>3800</v>
      </c>
      <c r="P92" s="364">
        <f t="shared" si="7"/>
        <v>5550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الشهر'!$C$10:$AD$119,4,FALSE),0)</f>
        <v>0</v>
      </c>
      <c r="E93" s="362">
        <f>IFERROR(VLOOKUP(C93,'تقرير المصروفات حسب الشهر'!$C$135:$AD$244,4,FALSE),0)</f>
        <v>706</v>
      </c>
      <c r="F93" s="362">
        <v>0</v>
      </c>
      <c r="G93" s="362">
        <f>IFERROR(VLOOKUP(C93,'تقرير المصروفات حسب الشهر'!$C$387:$AD$495,4,FALSE),0)</f>
        <v>0</v>
      </c>
      <c r="H93" s="362">
        <f>IFERROR(VLOOKUP(C93,'تقرير المصروفات حسب الشهر'!$C$512:$AD$620,4,FALSE),0)</f>
        <v>1865</v>
      </c>
      <c r="I93" s="362">
        <f>IFERROR(VLOOKUP(C93,'تقرير المصروفات حسب الشهر'!$C$637:$AD$746,4,FALSE),0)</f>
        <v>0</v>
      </c>
      <c r="J93" s="517">
        <f>IFERROR(VLOOKUP(C93,'تقرير المصروفات حسب الشهر'!$C$763:$AD$872,4,FALSE),0)</f>
        <v>668</v>
      </c>
      <c r="K93" s="362">
        <f>IFERROR(VLOOKUP(C93,'تقرير المصروفات حسب الشهر'!$C$890:$AD$999,4,FALSE),0)</f>
        <v>1331.8</v>
      </c>
      <c r="L93" s="362">
        <f>IFERROR(VLOOKUP(C93,'تقرير المصروفات حسب الشهر'!$C$1016:$AD$1126,4,FALSE),0)</f>
        <v>0</v>
      </c>
      <c r="M93" s="376">
        <f>IFERROR(VLOOKUP(C93,'تقرير المصروفات حسب الشهر'!$C$1143:$AD$1254,4,FALSE),0)</f>
        <v>0</v>
      </c>
      <c r="N93" s="376">
        <f>IFERROR(VLOOKUP(C93,'تقرير المصروفات حسب الشهر'!$C$1270:$AD$1381,4,FALSE),0)</f>
        <v>0</v>
      </c>
      <c r="O93" s="376">
        <f>IFERROR(VLOOKUP(C93,'تقرير المصروفات حسب الشهر'!$C$1397:$AI$1512,4,FALSE),0)</f>
        <v>0</v>
      </c>
      <c r="P93" s="364">
        <f t="shared" si="7"/>
        <v>4570.8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الشهر'!$C$10:$AD$119,4,FALSE),0)</f>
        <v>2348.4</v>
      </c>
      <c r="E94" s="362">
        <f>IFERROR(VLOOKUP(C94,'تقرير المصروفات حسب الشهر'!$C$135:$AD$244,4,FALSE),0)</f>
        <v>0</v>
      </c>
      <c r="F94" s="362">
        <v>130</v>
      </c>
      <c r="G94" s="362">
        <f>IFERROR(VLOOKUP(C94,'تقرير المصروفات حسب الشهر'!$C$387:$AD$495,4,FALSE),0)</f>
        <v>88</v>
      </c>
      <c r="H94" s="362">
        <f>IFERROR(VLOOKUP(C94,'تقرير المصروفات حسب الشهر'!$C$512:$AD$620,4,FALSE),0)</f>
        <v>100</v>
      </c>
      <c r="I94" s="362">
        <f>IFERROR(VLOOKUP(C94,'تقرير المصروفات حسب الشهر'!$C$637:$AD$746,4,FALSE),0)</f>
        <v>0</v>
      </c>
      <c r="J94" s="362">
        <f>IFERROR(VLOOKUP(C94,'تقرير المصروفات حسب الشهر'!$C$763:$AD$872,4,FALSE),0)</f>
        <v>0</v>
      </c>
      <c r="K94" s="362">
        <f>IFERROR(VLOOKUP(C94,'تقرير المصروفات حسب الشهر'!$C$890:$AD$999,4,FALSE),0)</f>
        <v>0</v>
      </c>
      <c r="L94" s="362">
        <f>IFERROR(VLOOKUP(C94,'تقرير المصروفات حسب الشهر'!$C$1016:$AD$1126,4,FALSE),0)</f>
        <v>0</v>
      </c>
      <c r="M94" s="376">
        <f>IFERROR(VLOOKUP(C94,'تقرير المصروفات حسب الشهر'!$C$1143:$AD$1254,4,FALSE),0)</f>
        <v>70</v>
      </c>
      <c r="N94" s="376">
        <f>IFERROR(VLOOKUP(C94,'تقرير المصروفات حسب الشهر'!$C$1270:$AD$1381,4,FALSE),0)</f>
        <v>12289.55</v>
      </c>
      <c r="O94" s="376">
        <f>IFERROR(VLOOKUP(C94,'تقرير المصروفات حسب الشهر'!$C$1397:$AI$1512,4,FALSE),0)</f>
        <v>0</v>
      </c>
      <c r="P94" s="364">
        <f t="shared" si="7"/>
        <v>15025.949999999999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الشهر'!$C$10:$AD$119,4,FALSE),0)</f>
        <v>0</v>
      </c>
      <c r="E95" s="362">
        <f>IFERROR(VLOOKUP(C95,'تقرير المصروفات حسب الشهر'!$C$135:$AD$244,4,FALSE),0)</f>
        <v>0</v>
      </c>
      <c r="F95" s="362">
        <v>0</v>
      </c>
      <c r="G95" s="362">
        <f>IFERROR(VLOOKUP(C95,'تقرير المصروفات حسب الشهر'!$C$387:$AD$495,4,FALSE),0)</f>
        <v>0</v>
      </c>
      <c r="H95" s="362">
        <f>IFERROR(VLOOKUP(C95,'تقرير المصروفات حسب الشهر'!$C$512:$AD$620,4,FALSE),0)</f>
        <v>0</v>
      </c>
      <c r="I95" s="362">
        <f>IFERROR(VLOOKUP(C95,'تقرير المصروفات حسب الشهر'!$C$637:$AD$746,4,FALSE),0)</f>
        <v>0</v>
      </c>
      <c r="J95" s="362">
        <f>IFERROR(VLOOKUP(C95,'تقرير المصروفات حسب الشهر'!$C$763:$AD$872,4,FALSE),0)</f>
        <v>0</v>
      </c>
      <c r="K95" s="362">
        <f>IFERROR(VLOOKUP(C95,'تقرير المصروفات حسب الشهر'!$C$890:$AD$999,4,FALSE),0)</f>
        <v>0</v>
      </c>
      <c r="L95" s="362">
        <f>IFERROR(VLOOKUP(C95,'تقرير المصروفات حسب الشهر'!$C$1016:$AD$1126,4,FALSE),0)</f>
        <v>2130</v>
      </c>
      <c r="M95" s="376">
        <f>IFERROR(VLOOKUP(C95,'تقرير المصروفات حسب الشهر'!$C$1143:$AD$1254,4,FALSE),0)</f>
        <v>1065</v>
      </c>
      <c r="N95" s="376">
        <f>IFERROR(VLOOKUP(C95,'تقرير المصروفات حسب الشهر'!$C$1270:$AD$1381,4,FALSE),0)</f>
        <v>1065</v>
      </c>
      <c r="O95" s="376">
        <f>IFERROR(VLOOKUP(C95,'تقرير المصروفات حسب الشهر'!$C$1397:$AI$1512,4,FALSE),0)</f>
        <v>15759</v>
      </c>
      <c r="P95" s="364">
        <f t="shared" si="7"/>
        <v>20019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الشهر'!$C$10:$AD$119,4,FALSE),0)</f>
        <v>0</v>
      </c>
      <c r="E96" s="362">
        <f>IFERROR(VLOOKUP(C96,'تقرير المصروفات حسب الشهر'!$C$135:$AD$244,4,FALSE),0)</f>
        <v>0</v>
      </c>
      <c r="F96" s="362">
        <v>0</v>
      </c>
      <c r="G96" s="362">
        <f>IFERROR(VLOOKUP(C96,'تقرير المصروفات حسب الشهر'!$C$387:$AD$495,4,FALSE),0)</f>
        <v>0</v>
      </c>
      <c r="H96" s="362">
        <f>IFERROR(VLOOKUP(C96,'تقرير المصروفات حسب الشهر'!$C$512:$AD$620,4,FALSE),0)</f>
        <v>0</v>
      </c>
      <c r="I96" s="362">
        <f>IFERROR(VLOOKUP(C96,'تقرير المصروفات حسب الشهر'!$C$637:$AD$746,4,FALSE),0)</f>
        <v>0</v>
      </c>
      <c r="J96" s="362">
        <f>IFERROR(VLOOKUP(C96,'تقرير المصروفات حسب الشهر'!$C$763:$AD$872,4,FALSE),0)</f>
        <v>0</v>
      </c>
      <c r="K96" s="362">
        <f>IFERROR(VLOOKUP(C96,'تقرير المصروفات حسب الشهر'!$C$890:$AD$999,4,FALSE),0)</f>
        <v>0</v>
      </c>
      <c r="L96" s="362">
        <f>IFERROR(VLOOKUP(C96,'تقرير المصروفات حسب الشهر'!$C$1016:$AD$1126,4,FALSE),0)</f>
        <v>0</v>
      </c>
      <c r="M96" s="376">
        <f>IFERROR(VLOOKUP(C96,'تقرير المصروفات حسب الشهر'!$C$1143:$AD$1254,4,FALSE),0)</f>
        <v>0</v>
      </c>
      <c r="N96" s="376">
        <f>IFERROR(VLOOKUP(C96,'تقرير المصروفات حسب الشهر'!$C$1270:$AD$1381,4,FALSE),0)</f>
        <v>0</v>
      </c>
      <c r="O96" s="376">
        <f>IFERROR(VLOOKUP(C96,'تقرير المصروفات حسب الشهر'!$C$1397:$AI$1512,4,FALSE),0)</f>
        <v>0</v>
      </c>
      <c r="P96" s="364">
        <f t="shared" si="7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الشهر'!$C$10:$AD$119,4,FALSE),0)</f>
        <v>0</v>
      </c>
      <c r="E97" s="362">
        <f>IFERROR(VLOOKUP(C97,'تقرير المصروفات حسب الشهر'!$C$135:$AD$244,4,FALSE),0)</f>
        <v>0</v>
      </c>
      <c r="F97" s="362">
        <v>0</v>
      </c>
      <c r="G97" s="362">
        <f>IFERROR(VLOOKUP(C97,'تقرير المصروفات حسب الشهر'!$C$387:$AD$495,4,FALSE),0)</f>
        <v>0</v>
      </c>
      <c r="H97" s="362">
        <f>IFERROR(VLOOKUP(C97,'تقرير المصروفات حسب الشهر'!$C$512:$AD$620,4,FALSE),0)</f>
        <v>0</v>
      </c>
      <c r="I97" s="362">
        <f>IFERROR(VLOOKUP(C97,'تقرير المصروفات حسب الشهر'!$C$637:$AD$746,4,FALSE),0)</f>
        <v>0</v>
      </c>
      <c r="J97" s="362">
        <f>IFERROR(VLOOKUP(C97,'تقرير المصروفات حسب الشهر'!$C$763:$AD$872,4,FALSE),0)</f>
        <v>0</v>
      </c>
      <c r="K97" s="362">
        <f>IFERROR(VLOOKUP(C97,'تقرير المصروفات حسب الشهر'!$C$890:$AD$999,4,FALSE),0)</f>
        <v>0</v>
      </c>
      <c r="L97" s="362">
        <f>IFERROR(VLOOKUP(C97,'تقرير المصروفات حسب الشهر'!$C$1016:$AD$1126,4,FALSE),0)</f>
        <v>0</v>
      </c>
      <c r="M97" s="376">
        <f>IFERROR(VLOOKUP(C97,'تقرير المصروفات حسب الشهر'!$C$1143:$AD$1254,4,FALSE),0)</f>
        <v>0</v>
      </c>
      <c r="N97" s="376">
        <f>IFERROR(VLOOKUP(C97,'تقرير المصروفات حسب الشهر'!$C$1270:$AD$1381,4,FALSE),0)</f>
        <v>0</v>
      </c>
      <c r="O97" s="376">
        <f>IFERROR(VLOOKUP(C97,'تقرير المصروفات حسب الشهر'!$C$1397:$AI$1512,4,FALSE),0)</f>
        <v>0</v>
      </c>
      <c r="P97" s="364">
        <f t="shared" si="7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الشهر'!$C$10:$AD$119,4,FALSE),0)</f>
        <v>0</v>
      </c>
      <c r="E98" s="362">
        <f>IFERROR(VLOOKUP(C98,'تقرير المصروفات حسب الشهر'!$C$135:$AD$244,4,FALSE),0)</f>
        <v>0</v>
      </c>
      <c r="F98" s="362">
        <v>0</v>
      </c>
      <c r="G98" s="362">
        <f>IFERROR(VLOOKUP(C98,'تقرير المصروفات حسب الشهر'!$C$387:$AD$495,4,FALSE),0)</f>
        <v>0</v>
      </c>
      <c r="H98" s="362">
        <f>IFERROR(VLOOKUP(C98,'تقرير المصروفات حسب الشهر'!$C$512:$AD$620,4,FALSE),0)</f>
        <v>0</v>
      </c>
      <c r="I98" s="362">
        <f>IFERROR(VLOOKUP(C98,'تقرير المصروفات حسب الشهر'!$C$637:$AD$746,4,FALSE),0)</f>
        <v>0</v>
      </c>
      <c r="J98" s="362">
        <f>IFERROR(VLOOKUP(C98,'تقرير المصروفات حسب الشهر'!$C$763:$AD$872,4,FALSE),0)</f>
        <v>0</v>
      </c>
      <c r="K98" s="362">
        <f>IFERROR(VLOOKUP(C98,'تقرير المصروفات حسب الشهر'!$C$890:$AD$999,4,FALSE),0)</f>
        <v>0</v>
      </c>
      <c r="L98" s="362">
        <f>IFERROR(VLOOKUP(C98,'تقرير المصروفات حسب الشهر'!$C$1016:$AD$1126,4,FALSE),0)</f>
        <v>0</v>
      </c>
      <c r="M98" s="376">
        <f>IFERROR(VLOOKUP(C98,'تقرير المصروفات حسب الشهر'!$C$1143:$AD$1254,4,FALSE),0)</f>
        <v>0</v>
      </c>
      <c r="N98" s="376">
        <f>IFERROR(VLOOKUP(C98,'تقرير المصروفات حسب الشهر'!$C$1270:$AD$1381,4,FALSE),0)</f>
        <v>0</v>
      </c>
      <c r="O98" s="376">
        <f>IFERROR(VLOOKUP(C98,'تقرير المصروفات حسب الشهر'!$C$1397:$AI$1512,4,FALSE),0)</f>
        <v>0</v>
      </c>
      <c r="P98" s="364">
        <f t="shared" si="7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الشهر'!$C$10:$AD$119,4,FALSE),0)</f>
        <v>0</v>
      </c>
      <c r="E99" s="362">
        <f>IFERROR(VLOOKUP(C99,'تقرير المصروفات حسب الشهر'!$C$135:$AD$244,4,FALSE),0)</f>
        <v>0</v>
      </c>
      <c r="F99" s="362">
        <v>0</v>
      </c>
      <c r="G99" s="362">
        <f>IFERROR(VLOOKUP(C99,'تقرير المصروفات حسب الشهر'!$C$387:$AD$495,4,FALSE),0)</f>
        <v>0</v>
      </c>
      <c r="H99" s="362">
        <f>IFERROR(VLOOKUP(C99,'تقرير المصروفات حسب الشهر'!$C$512:$AD$620,4,FALSE),0)</f>
        <v>0</v>
      </c>
      <c r="I99" s="362">
        <f>IFERROR(VLOOKUP(C99,'تقرير المصروفات حسب الشهر'!$C$637:$AD$746,4,FALSE),0)</f>
        <v>172.18</v>
      </c>
      <c r="J99" s="517">
        <f>IFERROR(VLOOKUP(C99,'تقرير المصروفات حسب الشهر'!$C$763:$AD$872,4,FALSE),0)</f>
        <v>397.33</v>
      </c>
      <c r="K99" s="362">
        <f>IFERROR(VLOOKUP(C99,'تقرير المصروفات حسب الشهر'!$C$890:$AD$999,4,FALSE),0)</f>
        <v>397.33</v>
      </c>
      <c r="L99" s="362">
        <f>IFERROR(VLOOKUP(C99,'تقرير المصروفات حسب الشهر'!$C$1016:$AD$1126,4,FALSE),0)</f>
        <v>397.33</v>
      </c>
      <c r="M99" s="376">
        <f>IFERROR(VLOOKUP(C99,'تقرير المصروفات حسب الشهر'!$C$1143:$AD$1254,4,FALSE),0)</f>
        <v>397.33</v>
      </c>
      <c r="N99" s="376">
        <f>IFERROR(VLOOKUP(C99,'تقرير المصروفات حسب الشهر'!$C$1270:$AD$1381,4,FALSE),0)</f>
        <v>397.33</v>
      </c>
      <c r="O99" s="376">
        <f>IFERROR(VLOOKUP(C99,'تقرير المصروفات حسب الشهر'!$C$1397:$AI$1512,4,FALSE),0)</f>
        <v>399.05</v>
      </c>
      <c r="P99" s="364">
        <f t="shared" si="7"/>
        <v>2557.88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الشهر'!$C$10:$AD$119,4,FALSE),0)</f>
        <v>1139.1500000000001</v>
      </c>
      <c r="E100" s="362">
        <f>IFERROR(VLOOKUP(C100,'تقرير المصروفات حسب الشهر'!$C$135:$AD$244,4,FALSE),0)</f>
        <v>1176.3399999999999</v>
      </c>
      <c r="F100" s="362">
        <v>1176.3399999999999</v>
      </c>
      <c r="G100" s="362">
        <f>IFERROR(VLOOKUP(C100,'تقرير المصروفات حسب الشهر'!$C$387:$AD$495,4,FALSE),0)</f>
        <v>1202.8399999999999</v>
      </c>
      <c r="H100" s="362">
        <f>IFERROR(VLOOKUP(C100,'تقرير المصروفات حسب الشهر'!$C$512:$AD$620,4,FALSE),0)</f>
        <v>1361.93</v>
      </c>
      <c r="I100" s="362">
        <f>IFERROR(VLOOKUP(C100,'تقرير المصروفات حسب الشهر'!$C$637:$AD$746,4,FALSE),0)</f>
        <v>1740.65</v>
      </c>
      <c r="J100" s="517">
        <f>IFERROR(VLOOKUP(C100,'تقرير المصروفات حسب الشهر'!$C$763:$AD$872,4,FALSE),0)</f>
        <v>1714.88</v>
      </c>
      <c r="K100" s="362">
        <f>IFERROR(VLOOKUP(C100,'تقرير المصروفات حسب الشهر'!$C$890:$AD$999,4,FALSE),0)</f>
        <v>1714.88</v>
      </c>
      <c r="L100" s="362">
        <f>IFERROR(VLOOKUP(C100,'تقرير المصروفات حسب الشهر'!$C$1016:$AD$1126,4,FALSE),0)</f>
        <v>1619.36</v>
      </c>
      <c r="M100" s="376">
        <f>IFERROR(VLOOKUP(C100,'تقرير المصروفات حسب الشهر'!$C$1143:$AD$1254,4,FALSE),0)</f>
        <v>1573.23</v>
      </c>
      <c r="N100" s="376">
        <f>IFERROR(VLOOKUP(C100,'تقرير المصروفات حسب الشهر'!$C$1270:$AD$1381,4,FALSE),0)</f>
        <v>1616.37</v>
      </c>
      <c r="O100" s="376">
        <f>IFERROR(VLOOKUP(C100,'تقرير المصروفات حسب الشهر'!$C$1397:$AI$1512,4,FALSE),0)</f>
        <v>1136.6300000000001</v>
      </c>
      <c r="P100" s="364">
        <f t="shared" si="7"/>
        <v>17172.600000000002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الشهر'!$C$10:$AD$119,4,FALSE),0)</f>
        <v>106.41</v>
      </c>
      <c r="E101" s="362">
        <f>IFERROR(VLOOKUP(C101,'تقرير المصروفات حسب الشهر'!$C$135:$AD$244,4,FALSE),0)</f>
        <v>106.41</v>
      </c>
      <c r="F101" s="362">
        <v>106.41</v>
      </c>
      <c r="G101" s="362">
        <f>IFERROR(VLOOKUP(C101,'تقرير المصروفات حسب الشهر'!$C$387:$AD$495,4,FALSE),0)</f>
        <v>106.41</v>
      </c>
      <c r="H101" s="362">
        <f>IFERROR(VLOOKUP(C101,'تقرير المصروفات حسب الشهر'!$C$512:$AD$620,4,FALSE),0)</f>
        <v>106.41</v>
      </c>
      <c r="I101" s="362">
        <f>IFERROR(VLOOKUP(C101,'تقرير المصروفات حسب الشهر'!$C$637:$AD$746,4,FALSE),0)</f>
        <v>106.41</v>
      </c>
      <c r="J101" s="517">
        <f>IFERROR(VLOOKUP(C101,'تقرير المصروفات حسب الشهر'!$C$763:$AD$872,4,FALSE),0)</f>
        <v>106.41</v>
      </c>
      <c r="K101" s="362">
        <f>IFERROR(VLOOKUP(C101,'تقرير المصروفات حسب الشهر'!$C$890:$AD$999,4,FALSE),0)</f>
        <v>91.14</v>
      </c>
      <c r="L101" s="362">
        <f>IFERROR(VLOOKUP(C101,'تقرير المصروفات حسب الشهر'!$C$1016:$AD$1126,4,FALSE),0)</f>
        <v>52.97</v>
      </c>
      <c r="M101" s="376">
        <f>IFERROR(VLOOKUP(C101,'تقرير المصروفات حسب الشهر'!$C$1143:$AD$1254,4,FALSE),0)</f>
        <v>52.97</v>
      </c>
      <c r="N101" s="376">
        <f>IFERROR(VLOOKUP(C101,'تقرير المصروفات حسب الشهر'!$C$1270:$AD$1381,4,FALSE),0)</f>
        <v>52.96</v>
      </c>
      <c r="O101" s="376">
        <f>IFERROR(VLOOKUP(C101,'تقرير المصروفات حسب الشهر'!$C$1397:$AI$1512,4,FALSE),0)</f>
        <v>0</v>
      </c>
      <c r="P101" s="364">
        <f t="shared" si="7"/>
        <v>994.91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الشهر'!$C$10:$AD$119,4,FALSE),0)</f>
        <v>195.7</v>
      </c>
      <c r="E102" s="362">
        <f>IFERROR(VLOOKUP(C102,'تقرير المصروفات حسب الشهر'!$C$135:$AD$244,4,FALSE),0)</f>
        <v>195.7</v>
      </c>
      <c r="F102" s="362">
        <v>195.7</v>
      </c>
      <c r="G102" s="362">
        <f>IFERROR(VLOOKUP(C102,'تقرير المصروفات حسب الشهر'!$C$387:$AD$495,4,FALSE),0)</f>
        <v>195.7</v>
      </c>
      <c r="H102" s="362">
        <f>IFERROR(VLOOKUP(C102,'تقرير المصروفات حسب الشهر'!$C$512:$AD$620,4,FALSE),0)</f>
        <v>195.7</v>
      </c>
      <c r="I102" s="362">
        <f>IFERROR(VLOOKUP(C102,'تقرير المصروفات حسب الشهر'!$C$637:$AD$746,4,FALSE),0)</f>
        <v>216.99</v>
      </c>
      <c r="J102" s="517">
        <f>IFERROR(VLOOKUP(C102,'تقرير المصروفات حسب الشهر'!$C$763:$AD$872,4,FALSE),0)</f>
        <v>164.37</v>
      </c>
      <c r="K102" s="362">
        <f>IFERROR(VLOOKUP(C102,'تقرير المصروفات حسب الشهر'!$C$890:$AD$999,4,FALSE),0)</f>
        <v>164.37</v>
      </c>
      <c r="L102" s="362">
        <f>IFERROR(VLOOKUP(C102,'تقرير المصروفات حسب الشهر'!$C$1016:$AD$1126,4,FALSE),0)</f>
        <v>333.17</v>
      </c>
      <c r="M102" s="376">
        <f>IFERROR(VLOOKUP(C102,'تقرير المصروفات حسب الشهر'!$C$1143:$AD$1254,4,FALSE),0)</f>
        <v>345.22</v>
      </c>
      <c r="N102" s="376">
        <f>IFERROR(VLOOKUP(C102,'تقرير المصروفات حسب الشهر'!$C$1270:$AD$1381,4,FALSE),0)</f>
        <v>345.22</v>
      </c>
      <c r="O102" s="376">
        <f>IFERROR(VLOOKUP(C102,'تقرير المصروفات حسب الشهر'!$C$1397:$AI$1512,4,FALSE),0)</f>
        <v>181.4</v>
      </c>
      <c r="P102" s="364">
        <f t="shared" si="7"/>
        <v>2729.2400000000002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الشهر'!$C$10:$AD$119,4,FALSE),0)</f>
        <v>55.35</v>
      </c>
      <c r="E103" s="362">
        <f>IFERROR(VLOOKUP(C103,'تقرير المصروفات حسب الشهر'!$C$135:$AD$244,4,FALSE),0)</f>
        <v>0</v>
      </c>
      <c r="F103" s="362">
        <v>0</v>
      </c>
      <c r="G103" s="362">
        <f>IFERROR(VLOOKUP(C103,'تقرير المصروفات حسب الشهر'!$C$387:$AD$495,4,FALSE),0)</f>
        <v>0</v>
      </c>
      <c r="H103" s="362">
        <f>IFERROR(VLOOKUP(C103,'تقرير المصروفات حسب الشهر'!$C$512:$AD$620,4,FALSE),0)</f>
        <v>0</v>
      </c>
      <c r="I103" s="362">
        <f>IFERROR(VLOOKUP(C103,'تقرير المصروفات حسب الشهر'!$C$637:$AD$746,4,FALSE),0)</f>
        <v>0</v>
      </c>
      <c r="J103" s="362">
        <f>IFERROR(VLOOKUP(C103,'تقرير المصروفات حسب الشهر'!$C$763:$AD$872,4,FALSE),0)</f>
        <v>0</v>
      </c>
      <c r="K103" s="362">
        <f>IFERROR(VLOOKUP(C103,'تقرير المصروفات حسب الشهر'!$C$890:$AD$999,4,FALSE),0)</f>
        <v>0</v>
      </c>
      <c r="L103" s="362">
        <f>IFERROR(VLOOKUP(C103,'تقرير المصروفات حسب الشهر'!$C$1016:$AD$1126,4,FALSE),0)</f>
        <v>0</v>
      </c>
      <c r="M103" s="376">
        <f>IFERROR(VLOOKUP(C103,'تقرير المصروفات حسب الشهر'!$C$1143:$AD$1254,4,FALSE),0)</f>
        <v>0</v>
      </c>
      <c r="N103" s="376">
        <f>IFERROR(VLOOKUP(C103,'تقرير المصروفات حسب الشهر'!$C$1270:$AD$1381,4,FALSE),0)</f>
        <v>0</v>
      </c>
      <c r="O103" s="376">
        <f>IFERROR(VLOOKUP(C103,'تقرير المصروفات حسب الشهر'!$C$1397:$AI$1512,4,FALSE),0)</f>
        <v>0.28000000000000003</v>
      </c>
      <c r="P103" s="364">
        <f t="shared" si="7"/>
        <v>55.63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الشهر'!$C$10:$AD$119,4,FALSE),0)</f>
        <v>0</v>
      </c>
      <c r="E104" s="362">
        <f>IFERROR(VLOOKUP(C104,'تقرير المصروفات حسب الشهر'!$C$135:$AD$244,4,FALSE),0)</f>
        <v>0</v>
      </c>
      <c r="F104" s="362">
        <v>0</v>
      </c>
      <c r="G104" s="362">
        <f>IFERROR(VLOOKUP(C104,'تقرير المصروفات حسب الشهر'!$C$387:$AD$495,4,FALSE),0)</f>
        <v>0</v>
      </c>
      <c r="H104" s="362">
        <f>IFERROR(VLOOKUP(C104,'تقرير المصروفات حسب الشهر'!$C$512:$AD$620,4,FALSE),0)</f>
        <v>0</v>
      </c>
      <c r="I104" s="362">
        <f>IFERROR(VLOOKUP(C104,'تقرير المصروفات حسب الشهر'!$C$637:$AD$746,4,FALSE),0)</f>
        <v>0</v>
      </c>
      <c r="J104" s="362">
        <f>IFERROR(VLOOKUP(C104,'تقرير المصروفات حسب الشهر'!$C$763:$AD$872,4,FALSE),0)</f>
        <v>0</v>
      </c>
      <c r="K104" s="362">
        <f>IFERROR(VLOOKUP(C104,'تقرير المصروفات حسب الشهر'!$C$890:$AD$999,4,FALSE),0)</f>
        <v>0</v>
      </c>
      <c r="L104" s="362">
        <f>IFERROR(VLOOKUP(C104,'تقرير المصروفات حسب الشهر'!$C$1016:$AD$1126,4,FALSE),0)</f>
        <v>0</v>
      </c>
      <c r="M104" s="376">
        <f>IFERROR(VLOOKUP(C104,'تقرير المصروفات حسب الشهر'!$C$1143:$AD$1254,4,FALSE),0)</f>
        <v>0</v>
      </c>
      <c r="N104" s="376">
        <f>IFERROR(VLOOKUP(C104,'تقرير المصروفات حسب الشهر'!$C$1270:$AD$1381,4,FALSE),0)</f>
        <v>0</v>
      </c>
      <c r="O104" s="376">
        <f>IFERROR(VLOOKUP(C104,'تقرير المصروفات حسب الشهر'!$C$1397:$AI$1512,4,FALSE),0)</f>
        <v>0</v>
      </c>
      <c r="P104" s="364">
        <f t="shared" si="7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الشهر'!$C$10:$AD$119,4,FALSE),0)</f>
        <v>0</v>
      </c>
      <c r="E105" s="362">
        <f>IFERROR(VLOOKUP(C105,'تقرير المصروفات حسب الشهر'!$C$135:$AD$244,4,FALSE),0)</f>
        <v>0</v>
      </c>
      <c r="F105" s="362">
        <v>0</v>
      </c>
      <c r="G105" s="362">
        <f>IFERROR(VLOOKUP(C105,'تقرير المصروفات حسب الشهر'!$C$387:$AD$495,4,FALSE),0)</f>
        <v>0</v>
      </c>
      <c r="H105" s="362">
        <f>IFERROR(VLOOKUP(C105,'تقرير المصروفات حسب الشهر'!$C$512:$AD$620,4,FALSE),0)</f>
        <v>0</v>
      </c>
      <c r="I105" s="362">
        <f>IFERROR(VLOOKUP(C105,'تقرير المصروفات حسب الشهر'!$C$637:$AD$746,4,FALSE),0)</f>
        <v>0</v>
      </c>
      <c r="J105" s="362">
        <f>IFERROR(VLOOKUP(C105,'تقرير المصروفات حسب الشهر'!$C$763:$AD$872,4,FALSE),0)</f>
        <v>0</v>
      </c>
      <c r="K105" s="362">
        <f>IFERROR(VLOOKUP(C105,'تقرير المصروفات حسب الشهر'!$C$890:$AD$999,4,FALSE),0)</f>
        <v>0</v>
      </c>
      <c r="L105" s="362">
        <f>IFERROR(VLOOKUP(C105,'تقرير المصروفات حسب الشهر'!$C$1016:$AD$1126,4,FALSE),0)</f>
        <v>0</v>
      </c>
      <c r="M105" s="376">
        <f>IFERROR(VLOOKUP(C105,'تقرير المصروفات حسب الشهر'!$C$1143:$AD$1254,4,FALSE),0)</f>
        <v>18659</v>
      </c>
      <c r="N105" s="376">
        <f>IFERROR(VLOOKUP(C105,'تقرير المصروفات حسب الشهر'!$C$1270:$AD$1381,4,FALSE),0)</f>
        <v>0</v>
      </c>
      <c r="O105" s="376">
        <f>IFERROR(VLOOKUP(C105,'تقرير المصروفات حسب الشهر'!$C$1397:$AI$1512,4,FALSE),0)</f>
        <v>0</v>
      </c>
      <c r="P105" s="364">
        <f t="shared" si="7"/>
        <v>18659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الشهر'!$C$10:$AD$119,4,FALSE),0)</f>
        <v>32513.22</v>
      </c>
      <c r="E106" s="362">
        <f>IFERROR(VLOOKUP(C106,'تقرير المصروفات حسب الشهر'!$C$135:$AD$244,4,FALSE),0)</f>
        <v>32669.88</v>
      </c>
      <c r="F106" s="362">
        <v>36431.760000000002</v>
      </c>
      <c r="G106" s="362">
        <f>IFERROR(VLOOKUP(C106,'تقرير المصروفات حسب الشهر'!$C$387:$AD$495,4,FALSE),0)</f>
        <v>34752.26</v>
      </c>
      <c r="H106" s="362">
        <f>IFERROR(VLOOKUP(C106,'تقرير المصروفات حسب الشهر'!$C$512:$AD$620,4,FALSE),0)</f>
        <v>31794.82</v>
      </c>
      <c r="I106" s="362">
        <f>IFERROR(VLOOKUP(C106,'تقرير المصروفات حسب الشهر'!$C$637:$AD$746,4,FALSE),0)</f>
        <v>31033.989999999998</v>
      </c>
      <c r="J106" s="362">
        <f>IFERROR(VLOOKUP(C106,'تقرير المصروفات حسب الشهر'!$C$763:$AD$872,4,FALSE),0)</f>
        <v>37861.31</v>
      </c>
      <c r="K106" s="362">
        <f>IFERROR(VLOOKUP(C106,'تقرير المصروفات حسب الشهر'!$C$890:$AD$999,4,FALSE),0)</f>
        <v>41603.21</v>
      </c>
      <c r="L106" s="362">
        <f>IFERROR(VLOOKUP(C106,'تقرير المصروفات حسب الشهر'!$C$1016:$AD$1126,4,FALSE),0)</f>
        <v>36862.569999999992</v>
      </c>
      <c r="M106" s="376">
        <f>IFERROR(VLOOKUP(C106,'تقرير المصروفات حسب الشهر'!$C$1143:$AD$1254,4,FALSE),0)</f>
        <v>37249.58</v>
      </c>
      <c r="N106" s="376">
        <f>IFERROR(VLOOKUP(C106,'تقرير المصروفات حسب الشهر'!$C$1270:$AD$1381,4,FALSE),0)</f>
        <v>35109.269999999997</v>
      </c>
      <c r="O106" s="376">
        <f>IFERROR(VLOOKUP(C106,'تقرير المصروفات حسب الشهر'!$C$1397:$AI$1512,4,FALSE),0)</f>
        <v>38250.57</v>
      </c>
      <c r="P106" s="364">
        <f t="shared" si="7"/>
        <v>426132.44000000006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الشهر'!$C$10:$AD$119,4,FALSE),0)</f>
        <v>0</v>
      </c>
      <c r="E107" s="362">
        <f>IFERROR(VLOOKUP(C107,'تقرير المصروفات حسب الشهر'!$C$135:$AD$244,4,FALSE),0)</f>
        <v>0</v>
      </c>
      <c r="F107" s="362">
        <v>0</v>
      </c>
      <c r="G107" s="362">
        <f>IFERROR(VLOOKUP(C107,'تقرير المصروفات حسب الشهر'!$C$387:$AD$495,4,FALSE),0)</f>
        <v>0</v>
      </c>
      <c r="H107" s="362">
        <f>IFERROR(VLOOKUP(C107,'تقرير المصروفات حسب الشهر'!$C$512:$AD$620,4,FALSE),0)</f>
        <v>0</v>
      </c>
      <c r="I107" s="362">
        <f>IFERROR(VLOOKUP(C107,'تقرير المصروفات حسب الشهر'!$C$637:$AD$746,4,FALSE),0)</f>
        <v>0</v>
      </c>
      <c r="J107" s="362">
        <f>IFERROR(VLOOKUP(C107,'تقرير المصروفات حسب الشهر'!$C$763:$AD$872,4,FALSE),0)</f>
        <v>0</v>
      </c>
      <c r="K107" s="362">
        <f>IFERROR(VLOOKUP(C107,'تقرير المصروفات حسب الشهر'!$C$890:$AD$999,4,FALSE),0)</f>
        <v>0</v>
      </c>
      <c r="L107" s="362">
        <f>IFERROR(VLOOKUP(C107,'تقرير المصروفات حسب الشهر'!$C$1016:$AD$1126,4,FALSE),0)</f>
        <v>0</v>
      </c>
      <c r="M107" s="376">
        <f>IFERROR(VLOOKUP(C107,'تقرير المصروفات حسب الشهر'!$C$1143:$AD$1254,4,FALSE),0)</f>
        <v>0</v>
      </c>
      <c r="N107" s="376">
        <f>IFERROR(VLOOKUP(C107,'تقرير المصروفات حسب الشهر'!$C$1270:$AD$1381,4,FALSE),0)</f>
        <v>0</v>
      </c>
      <c r="O107" s="376">
        <f>IFERROR(VLOOKUP(C107,'تقرير المصروفات حسب الشهر'!$C$1397:$AI$1512,4,FALSE),0)</f>
        <v>0</v>
      </c>
      <c r="P107" s="364">
        <f t="shared" si="7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الشهر'!$C$10:$AD$119,4,FALSE),0)</f>
        <v>0</v>
      </c>
      <c r="E108" s="362">
        <f>IFERROR(VLOOKUP(C108,'تقرير المصروفات حسب الشهر'!$C$135:$AD$244,4,FALSE),0)</f>
        <v>0</v>
      </c>
      <c r="F108" s="362">
        <v>0</v>
      </c>
      <c r="G108" s="362">
        <f>IFERROR(VLOOKUP(C108,'تقرير المصروفات حسب الشهر'!$C$387:$AD$495,4,FALSE),0)</f>
        <v>0</v>
      </c>
      <c r="H108" s="362">
        <f>IFERROR(VLOOKUP(C108,'تقرير المصروفات حسب الشهر'!$C$512:$AD$620,4,FALSE),0)</f>
        <v>0</v>
      </c>
      <c r="I108" s="362">
        <f>IFERROR(VLOOKUP(C108,'تقرير المصروفات حسب الشهر'!$C$637:$AD$746,4,FALSE),0)</f>
        <v>0</v>
      </c>
      <c r="J108" s="362">
        <f>IFERROR(VLOOKUP(C108,'تقرير المصروفات حسب الشهر'!$C$763:$AD$872,4,FALSE),0)</f>
        <v>0</v>
      </c>
      <c r="K108" s="362">
        <f>IFERROR(VLOOKUP(C108,'تقرير المصروفات حسب الشهر'!$C$890:$AD$999,4,FALSE),0)</f>
        <v>0</v>
      </c>
      <c r="L108" s="362">
        <f>IFERROR(VLOOKUP(C108,'تقرير المصروفات حسب الشهر'!$C$1016:$AD$1126,4,FALSE),0)</f>
        <v>0</v>
      </c>
      <c r="M108" s="376">
        <f>IFERROR(VLOOKUP(C108,'تقرير المصروفات حسب الشهر'!$C$1143:$AD$1254,4,FALSE),0)</f>
        <v>0</v>
      </c>
      <c r="N108" s="376">
        <f>IFERROR(VLOOKUP(C108,'تقرير المصروفات حسب الشهر'!$C$1270:$AD$1381,4,FALSE),0)</f>
        <v>0</v>
      </c>
      <c r="O108" s="376">
        <f>IFERROR(VLOOKUP(C108,'تقرير المصروفات حسب الشهر'!$C$1397:$AI$1512,4,FALSE),0)</f>
        <v>0</v>
      </c>
      <c r="P108" s="364">
        <f t="shared" si="7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الشهر'!$C$10:$AD$119,4,FALSE),0)</f>
        <v>3674.97</v>
      </c>
      <c r="E109" s="362">
        <f>IFERROR(VLOOKUP(C109,'تقرير المصروفات حسب الشهر'!$C$135:$AD$244,4,FALSE),0)</f>
        <v>0</v>
      </c>
      <c r="F109" s="362">
        <v>0</v>
      </c>
      <c r="G109" s="362">
        <f>IFERROR(VLOOKUP(C109,'تقرير المصروفات حسب الشهر'!$C$387:$AD$495,4,FALSE),0)</f>
        <v>0</v>
      </c>
      <c r="H109" s="362">
        <f>IFERROR(VLOOKUP(C109,'تقرير المصروفات حسب الشهر'!$C$512:$AD$620,4,FALSE),0)</f>
        <v>0</v>
      </c>
      <c r="I109" s="362">
        <f>IFERROR(VLOOKUP(C109,'تقرير المصروفات حسب الشهر'!$C$637:$AD$746,4,FALSE),0)</f>
        <v>0</v>
      </c>
      <c r="J109" s="362">
        <f>IFERROR(VLOOKUP(C109,'تقرير المصروفات حسب الشهر'!$C$763:$AD$872,4,FALSE),0)</f>
        <v>0</v>
      </c>
      <c r="K109" s="362">
        <f>IFERROR(VLOOKUP(C109,'تقرير المصروفات حسب الشهر'!$C$890:$AD$999,4,FALSE),0)</f>
        <v>0</v>
      </c>
      <c r="L109" s="362">
        <f>IFERROR(VLOOKUP(C109,'تقرير المصروفات حسب الشهر'!$C$1016:$AD$1126,4,FALSE),0)</f>
        <v>0</v>
      </c>
      <c r="M109" s="376">
        <f>IFERROR(VLOOKUP(C109,'تقرير المصروفات حسب الشهر'!$C$1143:$AD$1254,4,FALSE),0)</f>
        <v>0</v>
      </c>
      <c r="N109" s="376">
        <f>IFERROR(VLOOKUP(C109,'تقرير المصروفات حسب الشهر'!$C$1270:$AD$1381,4,FALSE),0)</f>
        <v>0</v>
      </c>
      <c r="O109" s="376">
        <f>IFERROR(VLOOKUP(C109,'تقرير المصروفات حسب الشهر'!$C$1397:$AI$1512,4,FALSE),0)</f>
        <v>0</v>
      </c>
      <c r="P109" s="364">
        <f t="shared" si="7"/>
        <v>3674.97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الشهر'!$C$10:$AD$119,4,FALSE),0)</f>
        <v>0</v>
      </c>
      <c r="E110" s="362">
        <f>IFERROR(VLOOKUP(C110,'تقرير المصروفات حسب الشهر'!$C$135:$AD$244,4,FALSE),0)</f>
        <v>0</v>
      </c>
      <c r="F110" s="362">
        <v>0</v>
      </c>
      <c r="G110" s="362">
        <f>IFERROR(VLOOKUP(C110,'تقرير المصروفات حسب الشهر'!$C$387:$AD$495,4,FALSE),0)</f>
        <v>92</v>
      </c>
      <c r="H110" s="362">
        <f>IFERROR(VLOOKUP(C110,'تقرير المصروفات حسب الشهر'!$C$512:$AD$620,4,FALSE),0)</f>
        <v>0</v>
      </c>
      <c r="I110" s="362">
        <f>IFERROR(VLOOKUP(C110,'تقرير المصروفات حسب الشهر'!$C$637:$AD$746,4,FALSE),0)</f>
        <v>4464.5200000000004</v>
      </c>
      <c r="J110" s="362">
        <f>IFERROR(VLOOKUP(C110,'تقرير المصروفات حسب الشهر'!$C$763:$AD$872,4,FALSE),0)</f>
        <v>14561.83</v>
      </c>
      <c r="K110" s="362">
        <f>IFERROR(VLOOKUP(C110,'تقرير المصروفات حسب الشهر'!$C$890:$AD$999,4,FALSE),0)</f>
        <v>0</v>
      </c>
      <c r="L110" s="362">
        <f>IFERROR(VLOOKUP(C110,'تقرير المصروفات حسب الشهر'!$C$1016:$AD$1126,4,FALSE),0)</f>
        <v>0</v>
      </c>
      <c r="M110" s="376">
        <f>IFERROR(VLOOKUP(C110,'تقرير المصروفات حسب الشهر'!$C$1143:$AD$1254,4,FALSE),0)</f>
        <v>0</v>
      </c>
      <c r="N110" s="376">
        <f>IFERROR(VLOOKUP(C110,'تقرير المصروفات حسب الشهر'!$C$1270:$AD$1381,4,FALSE),0)</f>
        <v>0</v>
      </c>
      <c r="O110" s="376">
        <f>IFERROR(VLOOKUP(C110,'تقرير المصروفات حسب الشهر'!$C$1397:$AI$1512,4,FALSE),0)</f>
        <v>10784.76</v>
      </c>
      <c r="P110" s="364">
        <f t="shared" si="7"/>
        <v>29903.11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الشهر'!$C$10:$AD$119,4,FALSE),0)</f>
        <v>0</v>
      </c>
      <c r="E111" s="362">
        <f>IFERROR(VLOOKUP(C111,'تقرير المصروفات حسب الشهر'!$C$135:$AD$244,4,FALSE),0)</f>
        <v>0</v>
      </c>
      <c r="F111" s="362">
        <v>0</v>
      </c>
      <c r="G111" s="362">
        <f>IFERROR(VLOOKUP(C111,'تقرير المصروفات حسب الشهر'!$C$387:$AD$495,4,FALSE),0)</f>
        <v>0</v>
      </c>
      <c r="H111" s="362">
        <f>IFERROR(VLOOKUP(C111,'تقرير المصروفات حسب الشهر'!$C$512:$AD$620,4,FALSE),0)</f>
        <v>0</v>
      </c>
      <c r="I111" s="362">
        <f>IFERROR(VLOOKUP(C111,'تقرير المصروفات حسب الشهر'!$C$637:$AD$746,4,FALSE),0)</f>
        <v>0</v>
      </c>
      <c r="J111" s="362">
        <f>IFERROR(VLOOKUP(C111,'تقرير المصروفات حسب الشهر'!$C$763:$AD$872,4,FALSE),0)</f>
        <v>0</v>
      </c>
      <c r="K111" s="362">
        <f>IFERROR(VLOOKUP(C111,'تقرير المصروفات حسب الشهر'!$C$890:$AD$999,4,FALSE),0)</f>
        <v>0</v>
      </c>
      <c r="L111" s="362">
        <f>IFERROR(VLOOKUP(C111,'تقرير المصروفات حسب الشهر'!$C$1016:$AD$1126,4,FALSE),0)</f>
        <v>0</v>
      </c>
      <c r="M111" s="376">
        <f>IFERROR(VLOOKUP(C111,'تقرير المصروفات حسب الشهر'!$C$1143:$AD$1254,4,FALSE),0)</f>
        <v>0</v>
      </c>
      <c r="N111" s="376">
        <f>IFERROR(VLOOKUP(C111,'تقرير المصروفات حسب الشهر'!$C$1270:$AD$1381,4,FALSE),0)</f>
        <v>0</v>
      </c>
      <c r="O111" s="376">
        <f>IFERROR(VLOOKUP(C111,'تقرير المصروفات حسب الشهر'!$C$1397:$AI$1512,4,FALSE),0)</f>
        <v>0</v>
      </c>
      <c r="P111" s="364">
        <f t="shared" si="7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الشهر'!$C$10:$AD$119,4,FALSE),0)</f>
        <v>464</v>
      </c>
      <c r="E112" s="362">
        <f>IFERROR(VLOOKUP(C112,'تقرير المصروفات حسب الشهر'!$C$135:$AD$244,4,FALSE),0)</f>
        <v>144</v>
      </c>
      <c r="F112" s="362">
        <v>0</v>
      </c>
      <c r="G112" s="362">
        <f>IFERROR(VLOOKUP(C112,'تقرير المصروفات حسب الشهر'!$C$387:$AD$495,4,FALSE),0)</f>
        <v>0</v>
      </c>
      <c r="H112" s="362">
        <f>IFERROR(VLOOKUP(C112,'تقرير المصروفات حسب الشهر'!$C$512:$AD$620,4,FALSE),0)</f>
        <v>0</v>
      </c>
      <c r="I112" s="362">
        <f>IFERROR(VLOOKUP(C112,'تقرير المصروفات حسب الشهر'!$C$637:$AD$746,4,FALSE),0)</f>
        <v>500</v>
      </c>
      <c r="J112" s="362">
        <f>IFERROR(VLOOKUP(C112,'تقرير المصروفات حسب الشهر'!$C$763:$AD$872,4,FALSE),0)</f>
        <v>0</v>
      </c>
      <c r="K112" s="362">
        <f>IFERROR(VLOOKUP(C112,'تقرير المصروفات حسب الشهر'!$C$890:$AD$999,4,FALSE),0)</f>
        <v>0</v>
      </c>
      <c r="L112" s="362">
        <f>IFERROR(VLOOKUP(C112,'تقرير المصروفات حسب الشهر'!$C$1016:$AD$1126,4,FALSE),0)</f>
        <v>0</v>
      </c>
      <c r="M112" s="376">
        <f>IFERROR(VLOOKUP(C112,'تقرير المصروفات حسب الشهر'!$C$1143:$AD$1254,4,FALSE),0)</f>
        <v>0</v>
      </c>
      <c r="N112" s="376">
        <f>IFERROR(VLOOKUP(C112,'تقرير المصروفات حسب الشهر'!$C$1270:$AD$1381,4,FALSE),0)</f>
        <v>0</v>
      </c>
      <c r="O112" s="376">
        <f>IFERROR(VLOOKUP(C112,'تقرير المصروفات حسب الشهر'!$C$1397:$AI$1512,4,FALSE),0)</f>
        <v>0</v>
      </c>
      <c r="P112" s="364">
        <f t="shared" si="7"/>
        <v>1108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الشهر'!$C$10:$AD$119,4,FALSE),0)</f>
        <v>0</v>
      </c>
      <c r="E113" s="362">
        <f>IFERROR(VLOOKUP(C113,'تقرير المصروفات حسب الشهر'!$C$135:$AD$244,4,FALSE),0)</f>
        <v>0</v>
      </c>
      <c r="F113" s="362">
        <v>0</v>
      </c>
      <c r="G113" s="362">
        <f>IFERROR(VLOOKUP(C113,'تقرير المصروفات حسب الشهر'!$C$387:$AD$495,4,FALSE),0)</f>
        <v>0</v>
      </c>
      <c r="H113" s="362">
        <f>IFERROR(VLOOKUP(C113,'تقرير المصروفات حسب الشهر'!$C$512:$AD$620,4,FALSE),0)</f>
        <v>0</v>
      </c>
      <c r="I113" s="362">
        <f>IFERROR(VLOOKUP(C113,'تقرير المصروفات حسب الشهر'!$C$637:$AD$746,4,FALSE),0)</f>
        <v>0</v>
      </c>
      <c r="J113" s="362">
        <f>IFERROR(VLOOKUP(C113,'تقرير المصروفات حسب الشهر'!$C$763:$AD$872,4,FALSE),0)</f>
        <v>0</v>
      </c>
      <c r="K113" s="362">
        <f>IFERROR(VLOOKUP(C113,'تقرير المصروفات حسب الشهر'!$C$890:$AD$999,4,FALSE),0)</f>
        <v>0</v>
      </c>
      <c r="L113" s="362">
        <f>IFERROR(VLOOKUP(C113,'تقرير المصروفات حسب الشهر'!$C$1016:$AD$1126,4,FALSE),0)</f>
        <v>0</v>
      </c>
      <c r="M113" s="376">
        <f>IFERROR(VLOOKUP(C113,'تقرير المصروفات حسب الشهر'!$C$1143:$AD$1254,4,FALSE),0)</f>
        <v>0</v>
      </c>
      <c r="N113" s="376">
        <f>IFERROR(VLOOKUP(C113,'تقرير المصروفات حسب الشهر'!$C$1270:$AD$1381,4,FALSE),0)</f>
        <v>0</v>
      </c>
      <c r="O113" s="376">
        <f>IFERROR(VLOOKUP(C113,'تقرير المصروفات حسب الشهر'!$C$1397:$AI$1512,4,FALSE),0)</f>
        <v>0</v>
      </c>
      <c r="P113" s="364">
        <f t="shared" si="7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الشهر'!$C$10:$AD$119,4,FALSE),0)</f>
        <v>0</v>
      </c>
      <c r="E114" s="362">
        <f>IFERROR(VLOOKUP(C114,'تقرير المصروفات حسب الشهر'!$C$135:$AD$244,4,FALSE),0)</f>
        <v>0</v>
      </c>
      <c r="F114" s="362">
        <v>0</v>
      </c>
      <c r="G114" s="362">
        <f>IFERROR(VLOOKUP(C114,'تقرير المصروفات حسب الشهر'!$C$387:$AD$495,4,FALSE),0)</f>
        <v>0</v>
      </c>
      <c r="H114" s="362">
        <f>IFERROR(VLOOKUP(C114,'تقرير المصروفات حسب الشهر'!$C$512:$AD$620,4,FALSE),0)</f>
        <v>0</v>
      </c>
      <c r="I114" s="362">
        <f>IFERROR(VLOOKUP(C114,'تقرير المصروفات حسب الشهر'!$C$637:$AD$746,4,FALSE),0)</f>
        <v>0</v>
      </c>
      <c r="J114" s="362">
        <f>IFERROR(VLOOKUP(C114,'تقرير المصروفات حسب الشهر'!$C$763:$AD$872,4,FALSE),0)</f>
        <v>0</v>
      </c>
      <c r="K114" s="362">
        <f>IFERROR(VLOOKUP(C114,'تقرير المصروفات حسب الشهر'!$C$890:$AD$999,4,FALSE),0)</f>
        <v>500</v>
      </c>
      <c r="L114" s="362">
        <f>IFERROR(VLOOKUP(C114,'تقرير المصروفات حسب الشهر'!$C$1016:$AD$1126,4,FALSE),0)</f>
        <v>920</v>
      </c>
      <c r="M114" s="376">
        <f>IFERROR(VLOOKUP(C114,'تقرير المصروفات حسب الشهر'!$C$1143:$AD$1254,4,FALSE),0)</f>
        <v>0</v>
      </c>
      <c r="N114" s="376">
        <f>IFERROR(VLOOKUP(C114,'تقرير المصروفات حسب الشهر'!$C$1270:$AD$1381,4,FALSE),0)</f>
        <v>0</v>
      </c>
      <c r="O114" s="376">
        <f>IFERROR(VLOOKUP(C114,'تقرير المصروفات حسب الشهر'!$C$1397:$AI$1512,4,FALSE),0)</f>
        <v>0</v>
      </c>
      <c r="P114" s="364">
        <f t="shared" si="7"/>
        <v>1420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الشهر'!$C$10:$AD$119,4,FALSE),0)</f>
        <v>0</v>
      </c>
      <c r="E115" s="362">
        <f>IFERROR(VLOOKUP(C115,'تقرير المصروفات حسب الشهر'!$C$135:$AD$244,4,FALSE),0)</f>
        <v>0</v>
      </c>
      <c r="F115" s="362">
        <v>0</v>
      </c>
      <c r="G115" s="362">
        <f>IFERROR(VLOOKUP(C115,'تقرير المصروفات حسب الشهر'!$C$387:$AD$495,4,FALSE),0)</f>
        <v>0</v>
      </c>
      <c r="H115" s="362">
        <f>IFERROR(VLOOKUP(C115,'تقرير المصروفات حسب الشهر'!$C$512:$AD$620,4,FALSE),0)</f>
        <v>0</v>
      </c>
      <c r="I115" s="362">
        <f>IFERROR(VLOOKUP(C115,'تقرير المصروفات حسب الشهر'!$C$637:$AD$746,4,FALSE),0)</f>
        <v>0</v>
      </c>
      <c r="J115" s="362">
        <f>IFERROR(VLOOKUP(C115,'تقرير المصروفات حسب الشهر'!$C$763:$AD$872,4,FALSE),0)</f>
        <v>0</v>
      </c>
      <c r="K115" s="362">
        <f>IFERROR(VLOOKUP(C115,'تقرير المصروفات حسب الشهر'!$C$890:$AD$999,4,FALSE),0)</f>
        <v>0</v>
      </c>
      <c r="L115" s="362">
        <f>IFERROR(VLOOKUP(C115,'تقرير المصروفات حسب الشهر'!$C$1016:$AD$1126,4,FALSE),0)</f>
        <v>0</v>
      </c>
      <c r="M115" s="376">
        <f>IFERROR(VLOOKUP(C115,'تقرير المصروفات حسب الشهر'!$C$1143:$AD$1254,4,FALSE),0)</f>
        <v>0</v>
      </c>
      <c r="N115" s="376">
        <f>IFERROR(VLOOKUP(C115,'تقرير المصروفات حسب الشهر'!$C$1270:$AD$1381,4,FALSE),0)</f>
        <v>0</v>
      </c>
      <c r="O115" s="376">
        <f>IFERROR(VLOOKUP(C115,'تقرير المصروفات حسب الشهر'!$C$1397:$AI$1512,4,FALSE),0)</f>
        <v>0</v>
      </c>
      <c r="P115" s="364">
        <f t="shared" si="7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الشهر'!$C$10:$AD$119,4,FALSE),0)</f>
        <v>0</v>
      </c>
      <c r="E116" s="362">
        <f>IFERROR(VLOOKUP(C116,'تقرير المصروفات حسب الشهر'!$C$135:$AD$244,4,FALSE),0)</f>
        <v>0</v>
      </c>
      <c r="F116" s="362">
        <v>0</v>
      </c>
      <c r="G116" s="362">
        <f>IFERROR(VLOOKUP(C116,'تقرير المصروفات حسب الشهر'!$C$387:$AD$495,4,FALSE),0)</f>
        <v>0</v>
      </c>
      <c r="H116" s="362">
        <f>IFERROR(VLOOKUP(C116,'تقرير المصروفات حسب الشهر'!$C$512:$AD$620,4,FALSE),0)</f>
        <v>0</v>
      </c>
      <c r="I116" s="362">
        <f>IFERROR(VLOOKUP(C116,'تقرير المصروفات حسب الشهر'!$C$637:$AD$746,4,FALSE),0)</f>
        <v>0</v>
      </c>
      <c r="J116" s="362">
        <f>IFERROR(VLOOKUP(C116,'تقرير المصروفات حسب الشهر'!$C$763:$AD$872,4,FALSE),0)</f>
        <v>0</v>
      </c>
      <c r="K116" s="362">
        <f>IFERROR(VLOOKUP(C116,'تقرير المصروفات حسب الشهر'!$C$890:$AD$999,4,FALSE),0)</f>
        <v>0</v>
      </c>
      <c r="L116" s="362">
        <f>IFERROR(VLOOKUP(C116,'تقرير المصروفات حسب الشهر'!$C$1016:$AD$1126,4,FALSE),0)</f>
        <v>0</v>
      </c>
      <c r="M116" s="376">
        <f>IFERROR(VLOOKUP(C116,'تقرير المصروفات حسب الشهر'!$C$1143:$AD$1254,4,FALSE),0)</f>
        <v>0</v>
      </c>
      <c r="N116" s="376">
        <f>IFERROR(VLOOKUP(C116,'تقرير المصروفات حسب الشهر'!$C$1270:$AD$1381,4,FALSE),0)</f>
        <v>0</v>
      </c>
      <c r="O116" s="376">
        <f>IFERROR(VLOOKUP(C116,'تقرير المصروفات حسب الشهر'!$C$1397:$AI$1512,4,FALSE),0)</f>
        <v>0</v>
      </c>
      <c r="P116" s="364">
        <f t="shared" si="7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الشهر'!$C$10:$AD$119,4,FALSE),0)</f>
        <v>0</v>
      </c>
      <c r="E117" s="362">
        <f>IFERROR(VLOOKUP(C117,'تقرير المصروفات حسب الشهر'!$C$135:$AD$244,4,FALSE),0)</f>
        <v>0</v>
      </c>
      <c r="F117" s="362">
        <v>0</v>
      </c>
      <c r="G117" s="362">
        <f>IFERROR(VLOOKUP(C117,'تقرير المصروفات حسب الشهر'!$C$387:$AD$495,4,FALSE),0)</f>
        <v>0</v>
      </c>
      <c r="H117" s="362">
        <f>IFERROR(VLOOKUP(C117,'تقرير المصروفات حسب الشهر'!$C$512:$AD$620,4,FALSE),0)</f>
        <v>0</v>
      </c>
      <c r="I117" s="362">
        <f>IFERROR(VLOOKUP(C117,'تقرير المصروفات حسب الشهر'!$C$637:$AD$746,4,FALSE),0)</f>
        <v>0</v>
      </c>
      <c r="J117" s="362">
        <f>IFERROR(VLOOKUP(C117,'تقرير المصروفات حسب الشهر'!$C$763:$AD$872,4,FALSE),0)</f>
        <v>0</v>
      </c>
      <c r="K117" s="362">
        <f>IFERROR(VLOOKUP(C117,'تقرير المصروفات حسب الشهر'!$C$890:$AD$999,4,FALSE),0)</f>
        <v>0</v>
      </c>
      <c r="L117" s="362">
        <f>IFERROR(VLOOKUP(C117,'تقرير المصروفات حسب الشهر'!$C$1016:$AD$1126,4,FALSE),0)</f>
        <v>0</v>
      </c>
      <c r="M117" s="376">
        <f>IFERROR(VLOOKUP(C117,'تقرير المصروفات حسب الشهر'!$C$1143:$AD$1254,4,FALSE),0)</f>
        <v>0</v>
      </c>
      <c r="N117" s="376">
        <f>IFERROR(VLOOKUP(C117,'تقرير المصروفات حسب الشهر'!$C$1270:$AD$1381,4,FALSE),0)</f>
        <v>0</v>
      </c>
      <c r="O117" s="376">
        <f>IFERROR(VLOOKUP(C117,'تقرير المصروفات حسب الشهر'!$C$1397:$AI$1512,4,FALSE),0)</f>
        <v>0</v>
      </c>
      <c r="P117" s="364">
        <f t="shared" si="7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الشهر'!$C$10:$AD$119,4,FALSE),0)</f>
        <v>0</v>
      </c>
      <c r="E118" s="362">
        <f>IFERROR(VLOOKUP(C118,'تقرير المصروفات حسب الشهر'!$C$135:$AD$244,4,FALSE),0)</f>
        <v>0</v>
      </c>
      <c r="F118" s="362">
        <v>0</v>
      </c>
      <c r="G118" s="362">
        <f>IFERROR(VLOOKUP(C118,'تقرير المصروفات حسب الشهر'!$C$387:$AD$495,4,FALSE),0)</f>
        <v>0</v>
      </c>
      <c r="H118" s="362">
        <f>IFERROR(VLOOKUP(C118,'تقرير المصروفات حسب الشهر'!$C$512:$AD$620,4,FALSE),0)</f>
        <v>0</v>
      </c>
      <c r="I118" s="362">
        <f>IFERROR(VLOOKUP(C118,'تقرير المصروفات حسب الشهر'!$C$637:$AD$746,4,FALSE),0)</f>
        <v>0</v>
      </c>
      <c r="J118" s="362">
        <f>IFERROR(VLOOKUP(C118,'تقرير المصروفات حسب الشهر'!$C$763:$AD$872,4,FALSE),0)</f>
        <v>0</v>
      </c>
      <c r="K118" s="362">
        <f>IFERROR(VLOOKUP(C118,'تقرير المصروفات حسب الشهر'!$C$890:$AD$999,4,FALSE),0)</f>
        <v>0</v>
      </c>
      <c r="L118" s="362">
        <f>IFERROR(VLOOKUP(C118,'تقرير المصروفات حسب الشهر'!$C$1016:$AD$1126,4,FALSE),0)</f>
        <v>0</v>
      </c>
      <c r="M118" s="376">
        <f>IFERROR(VLOOKUP(C118,'تقرير المصروفات حسب الشهر'!$C$1143:$AD$1254,4,FALSE),0)</f>
        <v>0</v>
      </c>
      <c r="N118" s="376">
        <f>IFERROR(VLOOKUP(C118,'تقرير المصروفات حسب الشهر'!$C$1270:$AD$1381,4,FALSE),0)</f>
        <v>0</v>
      </c>
      <c r="O118" s="376">
        <f>IFERROR(VLOOKUP(C118,'تقرير المصروفات حسب الشهر'!$C$1397:$AI$1512,4,FALSE),0)</f>
        <v>0</v>
      </c>
      <c r="P118" s="364">
        <f t="shared" si="7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الشهر'!$C$10:$AD$119,4,FALSE),0)</f>
        <v>0</v>
      </c>
      <c r="E119" s="362">
        <f>IFERROR(VLOOKUP(C119,'تقرير المصروفات حسب الشهر'!$C$135:$AD$244,4,FALSE),0)</f>
        <v>1622</v>
      </c>
      <c r="F119" s="362">
        <v>0</v>
      </c>
      <c r="G119" s="362">
        <f>IFERROR(VLOOKUP(C119,'تقرير المصروفات حسب الشهر'!$C$387:$AD$495,4,FALSE),0)</f>
        <v>0</v>
      </c>
      <c r="H119" s="362">
        <f>IFERROR(VLOOKUP(C119,'تقرير المصروفات حسب الشهر'!$C$512:$AD$620,4,FALSE),0)</f>
        <v>1267</v>
      </c>
      <c r="I119" s="362">
        <f>IFERROR(VLOOKUP(C119,'تقرير المصروفات حسب الشهر'!$C$637:$AD$746,4,FALSE),0)</f>
        <v>1239.48</v>
      </c>
      <c r="J119" s="517">
        <f>IFERROR(VLOOKUP(C119,'تقرير المصروفات حسب الشهر'!$C$763:$AD$872,4,FALSE),0)</f>
        <v>438</v>
      </c>
      <c r="K119" s="362">
        <f>IFERROR(VLOOKUP(C119,'تقرير المصروفات حسب الشهر'!$C$890:$AD$999,4,FALSE),0)</f>
        <v>863</v>
      </c>
      <c r="L119" s="362">
        <f>IFERROR(VLOOKUP(C119,'تقرير المصروفات حسب الشهر'!$C$1016:$AD$1126,4,FALSE),0)</f>
        <v>0</v>
      </c>
      <c r="M119" s="376">
        <f>IFERROR(VLOOKUP(C119,'تقرير المصروفات حسب الشهر'!$C$1143:$AD$1254,4,FALSE),0)</f>
        <v>0</v>
      </c>
      <c r="N119" s="376">
        <f>IFERROR(VLOOKUP(C119,'تقرير المصروفات حسب الشهر'!$C$1270:$AD$1381,4,FALSE),0)</f>
        <v>0</v>
      </c>
      <c r="O119" s="376">
        <f>IFERROR(VLOOKUP(C119,'تقرير المصروفات حسب الشهر'!$C$1397:$AI$1512,4,FALSE),0)</f>
        <v>1702</v>
      </c>
      <c r="P119" s="364">
        <f t="shared" si="7"/>
        <v>7131.48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الشهر'!$C$10:$AD$119,4,FALSE),0)</f>
        <v>0</v>
      </c>
      <c r="E120" s="362">
        <f>IFERROR(VLOOKUP(C120,'تقرير المصروفات حسب الشهر'!$C$135:$AD$244,4,FALSE),0)</f>
        <v>0</v>
      </c>
      <c r="F120" s="362">
        <v>0</v>
      </c>
      <c r="G120" s="362">
        <f>IFERROR(VLOOKUP(C120,'تقرير المصروفات حسب الشهر'!$C$387:$AD$495,4,FALSE),0)</f>
        <v>0</v>
      </c>
      <c r="H120" s="362">
        <f>IFERROR(VLOOKUP(C120,'تقرير المصروفات حسب الشهر'!$C$512:$AD$620,4,FALSE),0)</f>
        <v>0</v>
      </c>
      <c r="I120" s="362">
        <f>IFERROR(VLOOKUP(C120,'تقرير المصروفات حسب الشهر'!$C$637:$AD$746,4,FALSE),0)</f>
        <v>0</v>
      </c>
      <c r="J120" s="362">
        <f>IFERROR(VLOOKUP(C120,'تقرير المصروفات حسب الشهر'!$C$763:$AD$872,4,FALSE),0)</f>
        <v>0</v>
      </c>
      <c r="K120" s="362">
        <f>IFERROR(VLOOKUP(C120,'تقرير المصروفات حسب الشهر'!$C$890:$AD$999,4,FALSE),0)</f>
        <v>0</v>
      </c>
      <c r="L120" s="362">
        <f>IFERROR(VLOOKUP(C120,'تقرير المصروفات حسب الشهر'!$C$1016:$AD$1126,4,FALSE),0)</f>
        <v>0</v>
      </c>
      <c r="M120" s="376">
        <f>IFERROR(VLOOKUP(C120,'تقرير المصروفات حسب الشهر'!$C$1143:$AD$1254,4,FALSE),0)</f>
        <v>0</v>
      </c>
      <c r="N120" s="376">
        <f>IFERROR(VLOOKUP(C120,'تقرير المصروفات حسب الشهر'!$C$1270:$AD$1381,4,FALSE),0)</f>
        <v>0</v>
      </c>
      <c r="O120" s="376">
        <f>IFERROR(VLOOKUP(C120,'تقرير المصروفات حسب الشهر'!$C$1397:$AI$1512,4,FALSE),0)</f>
        <v>0</v>
      </c>
      <c r="P120" s="364">
        <f t="shared" si="7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الشهر'!$C$10:$AD$119,4,FALSE),0)</f>
        <v>0</v>
      </c>
      <c r="E121" s="362">
        <f>IFERROR(VLOOKUP(C121,'تقرير المصروفات حسب الشهر'!$C$135:$AD$244,4,FALSE),0)</f>
        <v>0</v>
      </c>
      <c r="F121" s="362">
        <v>0</v>
      </c>
      <c r="G121" s="362">
        <f>IFERROR(VLOOKUP(C121,'تقرير المصروفات حسب الشهر'!$C$387:$AD$495,4,FALSE),0)</f>
        <v>0</v>
      </c>
      <c r="H121" s="362">
        <f>IFERROR(VLOOKUP(C121,'تقرير المصروفات حسب الشهر'!$C$512:$AD$620,4,FALSE),0)</f>
        <v>0</v>
      </c>
      <c r="I121" s="362">
        <f>IFERROR(VLOOKUP(C121,'تقرير المصروفات حسب الشهر'!$C$637:$AD$746,4,FALSE),0)</f>
        <v>0</v>
      </c>
      <c r="J121" s="362">
        <f>IFERROR(VLOOKUP(C121,'تقرير المصروفات حسب الشهر'!$C$763:$AD$872,4,FALSE),0)</f>
        <v>0</v>
      </c>
      <c r="K121" s="362">
        <f>IFERROR(VLOOKUP(C121,'تقرير المصروفات حسب الشهر'!$C$890:$AD$999,4,FALSE),0)</f>
        <v>0</v>
      </c>
      <c r="L121" s="362">
        <f>IFERROR(VLOOKUP(C121,'تقرير المصروفات حسب الشهر'!$C$1016:$AD$1126,4,FALSE),0)</f>
        <v>0</v>
      </c>
      <c r="M121" s="376">
        <f>IFERROR(VLOOKUP(C121,'تقرير المصروفات حسب الشهر'!$C$1143:$AD$1254,4,FALSE),0)</f>
        <v>0</v>
      </c>
      <c r="N121" s="376">
        <f>IFERROR(VLOOKUP(C121,'تقرير المصروفات حسب الشهر'!$C$1270:$AD$1381,4,FALSE),0)</f>
        <v>0</v>
      </c>
      <c r="O121" s="376">
        <f>IFERROR(VLOOKUP(C121,'تقرير المصروفات حسب الشهر'!$C$1397:$AI$1512,4,FALSE),0)</f>
        <v>0</v>
      </c>
      <c r="P121" s="364">
        <f t="shared" si="7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الشهر'!$C$10:$AD$119,4,FALSE),0)</f>
        <v>0</v>
      </c>
      <c r="E122" s="362">
        <f>IFERROR(VLOOKUP(C122,'تقرير المصروفات حسب الشهر'!$C$135:$AD$244,4,FALSE),0)</f>
        <v>0</v>
      </c>
      <c r="F122" s="362">
        <v>0</v>
      </c>
      <c r="G122" s="362">
        <f>IFERROR(VLOOKUP(C122,'تقرير المصروفات حسب الشهر'!$C$387:$AD$495,4,FALSE),0)</f>
        <v>0</v>
      </c>
      <c r="H122" s="362">
        <f>IFERROR(VLOOKUP(C122,'تقرير المصروفات حسب الشهر'!$C$512:$AD$620,4,FALSE),0)</f>
        <v>0</v>
      </c>
      <c r="I122" s="362">
        <f>IFERROR(VLOOKUP(C122,'تقرير المصروفات حسب الشهر'!$C$637:$AD$746,4,FALSE),0)</f>
        <v>0</v>
      </c>
      <c r="J122" s="362">
        <f>IFERROR(VLOOKUP(C122,'تقرير المصروفات حسب الشهر'!$C$763:$AD$872,4,FALSE),0)</f>
        <v>0</v>
      </c>
      <c r="K122" s="362">
        <f>IFERROR(VLOOKUP(C122,'تقرير المصروفات حسب الشهر'!$C$890:$AD$999,4,FALSE),0)</f>
        <v>0</v>
      </c>
      <c r="L122" s="362">
        <f>IFERROR(VLOOKUP(C122,'تقرير المصروفات حسب الشهر'!$C$1016:$AD$1126,4,FALSE),0)</f>
        <v>0</v>
      </c>
      <c r="M122" s="376">
        <f>IFERROR(VLOOKUP(C122,'تقرير المصروفات حسب الشهر'!$C$1143:$AD$1254,4,FALSE),0)</f>
        <v>0</v>
      </c>
      <c r="N122" s="376">
        <f>IFERROR(VLOOKUP(C122,'تقرير المصروفات حسب الشهر'!$C$1270:$AD$1381,4,FALSE),0)</f>
        <v>0</v>
      </c>
      <c r="O122" s="376">
        <f>IFERROR(VLOOKUP(C122,'تقرير المصروفات حسب الشهر'!$C$1397:$AI$1512,4,FALSE),0)</f>
        <v>0</v>
      </c>
      <c r="P122" s="364">
        <f t="shared" si="7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الشهر'!$C$10:$AD$119,4,FALSE),0)</f>
        <v>0</v>
      </c>
      <c r="E123" s="362">
        <f>IFERROR(VLOOKUP(C123,'تقرير المصروفات حسب الشهر'!$C$135:$AD$244,4,FALSE),0)</f>
        <v>0</v>
      </c>
      <c r="F123" s="362">
        <v>0</v>
      </c>
      <c r="G123" s="362">
        <f>IFERROR(VLOOKUP(C123,'تقرير المصروفات حسب الشهر'!$C$387:$AD$495,4,FALSE),0)</f>
        <v>0</v>
      </c>
      <c r="H123" s="362">
        <f>IFERROR(VLOOKUP(C123,'تقرير المصروفات حسب الشهر'!$C$512:$AD$620,4,FALSE),0)</f>
        <v>0</v>
      </c>
      <c r="I123" s="362">
        <f>IFERROR(VLOOKUP(C123,'تقرير المصروفات حسب الشهر'!$C$637:$AD$746,4,FALSE),0)</f>
        <v>0</v>
      </c>
      <c r="J123" s="362">
        <f>IFERROR(VLOOKUP(C123,'تقرير المصروفات حسب الشهر'!$C$763:$AD$872,4,FALSE),0)</f>
        <v>0</v>
      </c>
      <c r="K123" s="362">
        <f>IFERROR(VLOOKUP(C123,'تقرير المصروفات حسب الشهر'!$C$890:$AD$999,4,FALSE),0)</f>
        <v>0</v>
      </c>
      <c r="L123" s="362">
        <f>IFERROR(VLOOKUP(C123,'تقرير المصروفات حسب الشهر'!$C$1016:$AD$1126,4,FALSE),0)</f>
        <v>0</v>
      </c>
      <c r="M123" s="376">
        <f>IFERROR(VLOOKUP(C123,'تقرير المصروفات حسب الشهر'!$C$1143:$AD$1254,4,FALSE),0)</f>
        <v>0</v>
      </c>
      <c r="N123" s="376">
        <f>IFERROR(VLOOKUP(C123,'تقرير المصروفات حسب الشهر'!$C$1270:$AD$1381,4,FALSE),0)</f>
        <v>0</v>
      </c>
      <c r="O123" s="376">
        <f>IFERROR(VLOOKUP(C123,'تقرير المصروفات حسب الشهر'!$C$1397:$AI$1512,4,FALSE),0)</f>
        <v>0</v>
      </c>
      <c r="P123" s="364">
        <f t="shared" si="7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الشهر'!$C$10:$AD$119,4,FALSE),0)</f>
        <v>0</v>
      </c>
      <c r="E124" s="362">
        <f>IFERROR(VLOOKUP(C124,'تقرير المصروفات حسب الشهر'!$C$135:$AD$244,4,FALSE),0)</f>
        <v>0</v>
      </c>
      <c r="F124" s="362">
        <v>0</v>
      </c>
      <c r="G124" s="362">
        <f>IFERROR(VLOOKUP(C124,'تقرير المصروفات حسب الشهر'!$C$387:$AD$495,4,FALSE),0)</f>
        <v>0</v>
      </c>
      <c r="H124" s="362">
        <f>IFERROR(VLOOKUP(C124,'تقرير المصروفات حسب الشهر'!$C$512:$AD$620,4,FALSE),0)</f>
        <v>0</v>
      </c>
      <c r="I124" s="362">
        <f>IFERROR(VLOOKUP(C124,'تقرير المصروفات حسب الشهر'!$C$637:$AD$746,4,FALSE),0)</f>
        <v>0</v>
      </c>
      <c r="J124" s="362">
        <f>IFERROR(VLOOKUP(C124,'تقرير المصروفات حسب الشهر'!$C$763:$AD$872,4,FALSE),0)</f>
        <v>0</v>
      </c>
      <c r="K124" s="362">
        <f>IFERROR(VLOOKUP(C124,'تقرير المصروفات حسب الشهر'!$C$890:$AD$999,4,FALSE),0)</f>
        <v>0</v>
      </c>
      <c r="L124" s="362">
        <f>IFERROR(VLOOKUP(C124,'تقرير المصروفات حسب الشهر'!$C$1016:$AD$1126,4,FALSE),0)</f>
        <v>0</v>
      </c>
      <c r="M124" s="376">
        <f>IFERROR(VLOOKUP(C124,'تقرير المصروفات حسب الشهر'!$C$1143:$AD$1254,4,FALSE),0)</f>
        <v>0</v>
      </c>
      <c r="N124" s="376">
        <f>IFERROR(VLOOKUP(C124,'تقرير المصروفات حسب الشهر'!$C$1270:$AD$1381,4,FALSE),0)</f>
        <v>0</v>
      </c>
      <c r="O124" s="376">
        <f>IFERROR(VLOOKUP(C124,'تقرير المصروفات حسب الشهر'!$C$1397:$AI$1512,4,FALSE),0)</f>
        <v>0</v>
      </c>
      <c r="P124" s="364">
        <f t="shared" si="7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الشهر'!$C$10:$AD$119,4,FALSE),0)</f>
        <v>0</v>
      </c>
      <c r="E125" s="362">
        <f>IFERROR(VLOOKUP(C125,'تقرير المصروفات حسب الشهر'!$C$135:$AD$244,4,FALSE),0)</f>
        <v>0</v>
      </c>
      <c r="F125" s="362">
        <v>0</v>
      </c>
      <c r="G125" s="362">
        <f>IFERROR(VLOOKUP(C125,'تقرير المصروفات حسب الشهر'!$C$387:$AD$495,4,FALSE),0)</f>
        <v>0</v>
      </c>
      <c r="H125" s="362">
        <f>IFERROR(VLOOKUP(C125,'تقرير المصروفات حسب الشهر'!$C$512:$AD$620,4,FALSE),0)</f>
        <v>0</v>
      </c>
      <c r="I125" s="362">
        <f>IFERROR(VLOOKUP(C125,'تقرير المصروفات حسب الشهر'!$C$637:$AD$746,4,FALSE),0)</f>
        <v>0</v>
      </c>
      <c r="J125" s="362">
        <f>IFERROR(VLOOKUP(C125,'تقرير المصروفات حسب الشهر'!$C$763:$AD$872,4,FALSE),0)</f>
        <v>0</v>
      </c>
      <c r="K125" s="362">
        <f>IFERROR(VLOOKUP(C125,'تقرير المصروفات حسب الشهر'!$C$890:$AD$999,4,FALSE),0)</f>
        <v>0</v>
      </c>
      <c r="L125" s="362">
        <f>IFERROR(VLOOKUP(C125,'تقرير المصروفات حسب الشهر'!$C$1016:$AD$1126,4,FALSE),0)</f>
        <v>0</v>
      </c>
      <c r="M125" s="376">
        <f>IFERROR(VLOOKUP(C125,'تقرير المصروفات حسب الشهر'!$C$1143:$AD$1254,4,FALSE),0)</f>
        <v>0</v>
      </c>
      <c r="N125" s="376">
        <f>IFERROR(VLOOKUP(C125,'تقرير المصروفات حسب الشهر'!$C$1270:$AD$1381,4,FALSE),0)</f>
        <v>0</v>
      </c>
      <c r="O125" s="376">
        <f>IFERROR(VLOOKUP(C125,'تقرير المصروفات حسب الشهر'!$C$1397:$AI$1512,4,FALSE),0)</f>
        <v>0</v>
      </c>
      <c r="P125" s="364">
        <f t="shared" si="7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الشهر'!$C$10:$AD$119,4,FALSE),0)</f>
        <v>0</v>
      </c>
      <c r="E126" s="362">
        <f>IFERROR(VLOOKUP(C126,'تقرير المصروفات حسب الشهر'!$C$135:$AD$244,4,FALSE),0)</f>
        <v>0</v>
      </c>
      <c r="F126" s="362">
        <v>0</v>
      </c>
      <c r="G126" s="362">
        <f>IFERROR(VLOOKUP(C126,'تقرير المصروفات حسب الشهر'!$C$387:$AD$495,4,FALSE),0)</f>
        <v>0</v>
      </c>
      <c r="H126" s="362">
        <f>IFERROR(VLOOKUP(C126,'تقرير المصروفات حسب الشهر'!$C$512:$AD$620,4,FALSE),0)</f>
        <v>0</v>
      </c>
      <c r="I126" s="362">
        <f>IFERROR(VLOOKUP(C126,'تقرير المصروفات حسب الشهر'!$C$637:$AD$746,4,FALSE),0)</f>
        <v>0</v>
      </c>
      <c r="J126" s="362">
        <f>IFERROR(VLOOKUP(C126,'تقرير المصروفات حسب الشهر'!$C$763:$AD$872,4,FALSE),0)</f>
        <v>0</v>
      </c>
      <c r="K126" s="362">
        <f>IFERROR(VLOOKUP(C126,'تقرير المصروفات حسب الشهر'!$C$890:$AD$999,4,FALSE),0)</f>
        <v>0</v>
      </c>
      <c r="L126" s="362">
        <f>IFERROR(VLOOKUP(C126,'تقرير المصروفات حسب الشهر'!$C$1016:$AD$1126,4,FALSE),0)</f>
        <v>0</v>
      </c>
      <c r="M126" s="376">
        <f>IFERROR(VLOOKUP(C126,'تقرير المصروفات حسب الشهر'!$C$1143:$AD$1254,4,FALSE),0)</f>
        <v>0</v>
      </c>
      <c r="N126" s="376">
        <f>IFERROR(VLOOKUP(C126,'تقرير المصروفات حسب الشهر'!$C$1270:$AD$1381,4,FALSE),0)</f>
        <v>0</v>
      </c>
      <c r="O126" s="376">
        <f>IFERROR(VLOOKUP(C126,'تقرير المصروفات حسب الشهر'!$C$1397:$AI$1512,4,FALSE),0)</f>
        <v>0</v>
      </c>
      <c r="P126" s="364">
        <f t="shared" si="7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الشهر'!$C$10:$AD$119,4,FALSE),0)</f>
        <v>0</v>
      </c>
      <c r="E127" s="362">
        <f>IFERROR(VLOOKUP(C127,'تقرير المصروفات حسب الشهر'!$C$135:$AD$244,4,FALSE),0)</f>
        <v>0</v>
      </c>
      <c r="F127" s="362">
        <v>0</v>
      </c>
      <c r="G127" s="362">
        <f>IFERROR(VLOOKUP(C127,'تقرير المصروفات حسب الشهر'!$C$387:$AD$495,4,FALSE),0)</f>
        <v>0</v>
      </c>
      <c r="H127" s="362">
        <f>IFERROR(VLOOKUP(C127,'تقرير المصروفات حسب الشهر'!$C$512:$AD$620,4,FALSE),0)</f>
        <v>0</v>
      </c>
      <c r="I127" s="362">
        <f>IFERROR(VLOOKUP(C127,'تقرير المصروفات حسب الشهر'!$C$637:$AD$746,4,FALSE),0)</f>
        <v>0</v>
      </c>
      <c r="J127" s="362">
        <f>IFERROR(VLOOKUP(C127,'تقرير المصروفات حسب الشهر'!$C$763:$AD$872,4,FALSE),0)</f>
        <v>0</v>
      </c>
      <c r="K127" s="362">
        <f>IFERROR(VLOOKUP(C127,'تقرير المصروفات حسب الشهر'!$C$890:$AD$999,4,FALSE),0)</f>
        <v>0</v>
      </c>
      <c r="L127" s="362">
        <f>IFERROR(VLOOKUP(C127,'تقرير المصروفات حسب الشهر'!$C$1016:$AD$1126,4,FALSE),0)</f>
        <v>0</v>
      </c>
      <c r="M127" s="376">
        <f>IFERROR(VLOOKUP(C127,'تقرير المصروفات حسب الشهر'!$C$1143:$AD$1254,4,FALSE),0)</f>
        <v>0</v>
      </c>
      <c r="N127" s="376">
        <f>IFERROR(VLOOKUP(C127,'تقرير المصروفات حسب الشهر'!$C$1270:$AD$1381,4,FALSE),0)</f>
        <v>0</v>
      </c>
      <c r="O127" s="376">
        <f>IFERROR(VLOOKUP(C127,'تقرير المصروفات حسب الشهر'!$C$1397:$AI$1512,4,FALSE),0)</f>
        <v>0</v>
      </c>
      <c r="P127" s="364">
        <f t="shared" si="7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الشهر'!$C$10:$AD$119,4,FALSE),0)</f>
        <v>0</v>
      </c>
      <c r="E128" s="362">
        <f>IFERROR(VLOOKUP(C128,'تقرير المصروفات حسب الشهر'!$C$135:$AD$244,4,FALSE),0)</f>
        <v>0</v>
      </c>
      <c r="F128" s="362">
        <v>0</v>
      </c>
      <c r="G128" s="362">
        <f>IFERROR(VLOOKUP(C128,'تقرير المصروفات حسب الشهر'!$C$387:$AD$495,4,FALSE),0)</f>
        <v>0</v>
      </c>
      <c r="H128" s="362">
        <f>IFERROR(VLOOKUP(C128,'تقرير المصروفات حسب الشهر'!$C$512:$AD$620,4,FALSE),0)</f>
        <v>0</v>
      </c>
      <c r="I128" s="362">
        <f>IFERROR(VLOOKUP(C128,'تقرير المصروفات حسب الشهر'!$C$637:$AD$746,4,FALSE),0)</f>
        <v>0</v>
      </c>
      <c r="J128" s="362">
        <f>IFERROR(VLOOKUP(C128,'تقرير المصروفات حسب الشهر'!$C$763:$AD$872,4,FALSE),0)</f>
        <v>0</v>
      </c>
      <c r="K128" s="362">
        <f>IFERROR(VLOOKUP(C128,'تقرير المصروفات حسب الشهر'!$C$890:$AD$999,4,FALSE),0)</f>
        <v>0</v>
      </c>
      <c r="L128" s="362">
        <f>IFERROR(VLOOKUP(C128,'تقرير المصروفات حسب الشهر'!$C$1016:$AD$1126,4,FALSE),0)</f>
        <v>0</v>
      </c>
      <c r="M128" s="376">
        <f>IFERROR(VLOOKUP(C128,'تقرير المصروفات حسب الشهر'!$C$1143:$AD$1254,4,FALSE),0)</f>
        <v>0</v>
      </c>
      <c r="N128" s="376">
        <f>IFERROR(VLOOKUP(C128,'تقرير المصروفات حسب الشهر'!$C$1270:$AD$1381,4,FALSE),0)</f>
        <v>0</v>
      </c>
      <c r="O128" s="376">
        <f>IFERROR(VLOOKUP(C128,'تقرير المصروفات حسب الشهر'!$C$1397:$AI$1512,4,FALSE),0)</f>
        <v>0</v>
      </c>
      <c r="P128" s="364">
        <f t="shared" si="7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الشهر'!$C$10:$AD$119,4,FALSE),0)</f>
        <v>3450</v>
      </c>
      <c r="E129" s="362">
        <f>IFERROR(VLOOKUP(C129,'تقرير المصروفات حسب الشهر'!$C$135:$AD$244,4,FALSE),0)</f>
        <v>3450</v>
      </c>
      <c r="F129" s="362">
        <v>3450</v>
      </c>
      <c r="G129" s="362">
        <f>IFERROR(VLOOKUP(C129,'تقرير المصروفات حسب الشهر'!$C$387:$AD$495,4,FALSE),0)</f>
        <v>3450</v>
      </c>
      <c r="H129" s="362">
        <f>IFERROR(VLOOKUP(C129,'تقرير المصروفات حسب الشهر'!$C$512:$AD$620,4,FALSE),0)</f>
        <v>3450</v>
      </c>
      <c r="I129" s="362">
        <f>IFERROR(VLOOKUP(C129,'تقرير المصروفات حسب الشهر'!$C$637:$AD$746,4,FALSE),0)</f>
        <v>3450</v>
      </c>
      <c r="J129" s="362">
        <f>IFERROR(VLOOKUP(C129,'تقرير المصروفات حسب الشهر'!$C$763:$AD$872,4,FALSE),0)</f>
        <v>3450</v>
      </c>
      <c r="K129" s="362">
        <f>IFERROR(VLOOKUP(C129,'تقرير المصروفات حسب الشهر'!$C$890:$AD$999,4,FALSE),0)</f>
        <v>3450</v>
      </c>
      <c r="L129" s="362">
        <f>IFERROR(VLOOKUP(C129,'تقرير المصروفات حسب الشهر'!$C$1016:$AD$1126,4,FALSE),0)</f>
        <v>3450</v>
      </c>
      <c r="M129" s="376">
        <f>IFERROR(VLOOKUP(C129,'تقرير المصروفات حسب الشهر'!$C$1143:$AD$1254,4,FALSE),0)</f>
        <v>3450</v>
      </c>
      <c r="N129" s="376">
        <f>IFERROR(VLOOKUP(C129,'تقرير المصروفات حسب الشهر'!$C$1270:$AD$1381,4,FALSE),0)</f>
        <v>3450</v>
      </c>
      <c r="O129" s="376">
        <f>IFERROR(VLOOKUP(C129,'تقرير المصروفات حسب الشهر'!$C$1397:$AI$1512,4,FALSE),0)</f>
        <v>3450</v>
      </c>
      <c r="P129" s="364">
        <f t="shared" si="7"/>
        <v>41400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الشهر'!$C$10:$AD$119,4,FALSE),0)</f>
        <v>0</v>
      </c>
      <c r="E130" s="362">
        <f>IFERROR(VLOOKUP(C130,'تقرير المصروفات حسب الشهر'!$C$135:$AD$244,4,FALSE),0)</f>
        <v>0</v>
      </c>
      <c r="F130" s="362">
        <v>0</v>
      </c>
      <c r="G130" s="362">
        <f>IFERROR(VLOOKUP(C130,'تقرير المصروفات حسب الشهر'!$C$387:$AD$495,4,FALSE),0)</f>
        <v>0</v>
      </c>
      <c r="H130" s="362">
        <f>IFERROR(VLOOKUP(C130,'تقرير المصروفات حسب الشهر'!$C$512:$AD$620,4,FALSE),0)</f>
        <v>0</v>
      </c>
      <c r="I130" s="362">
        <f>IFERROR(VLOOKUP(C130,'تقرير المصروفات حسب الشهر'!$C$637:$AD$746,4,FALSE),0)</f>
        <v>0</v>
      </c>
      <c r="J130" s="362">
        <f>IFERROR(VLOOKUP(C130,'تقرير المصروفات حسب الشهر'!$C$763:$AD$872,4,FALSE),0)</f>
        <v>0</v>
      </c>
      <c r="K130" s="362">
        <f>IFERROR(VLOOKUP(C130,'تقرير المصروفات حسب الشهر'!$C$890:$AD$999,4,FALSE),0)</f>
        <v>0</v>
      </c>
      <c r="L130" s="362">
        <f>IFERROR(VLOOKUP(C130,'تقرير المصروفات حسب الشهر'!$C$1016:$AI$1128,4,FALSE),0)</f>
        <v>0</v>
      </c>
      <c r="M130" s="376">
        <f>IFERROR(VLOOKUP(C130,'تقرير المصروفات حسب الشهر'!$C$1143:$AD$1254,4,FALSE),0)</f>
        <v>0</v>
      </c>
      <c r="N130" s="376">
        <f>IFERROR(VLOOKUP(C130,'تقرير المصروفات حسب الشهر'!$C$1270:$AD$1381,4,FALSE),0)</f>
        <v>0</v>
      </c>
      <c r="O130" s="376">
        <f>IFERROR(VLOOKUP(C130,'تقرير المصروفات حسب الشهر'!$C$1397:$AI$1512,4,FALSE),0)</f>
        <v>0</v>
      </c>
      <c r="P130" s="364">
        <f t="shared" si="7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الشهر'!$C$10:$AD$119,4,FALSE),0)</f>
        <v>0</v>
      </c>
      <c r="E131" s="362">
        <f>IFERROR(VLOOKUP(C131,'تقرير المصروفات حسب الشهر'!$C$135:$AD$244,4,FALSE),0)</f>
        <v>0</v>
      </c>
      <c r="F131" s="362">
        <v>0</v>
      </c>
      <c r="G131" s="362">
        <f>IFERROR(VLOOKUP(C131,'تقرير المصروفات حسب الشهر'!$C$387:$AD$495,4,FALSE),0)</f>
        <v>0</v>
      </c>
      <c r="H131" s="362">
        <f>IFERROR(VLOOKUP(C131,'تقرير المصروفات حسب الشهر'!$C$512:$AD$620,4,FALSE),0)</f>
        <v>0</v>
      </c>
      <c r="I131" s="362">
        <f>IFERROR(VLOOKUP(C131,'تقرير المصروفات حسب الشهر'!$C$637:$AD$746,4,FALSE),0)</f>
        <v>0</v>
      </c>
      <c r="J131" s="362">
        <f>IFERROR(VLOOKUP(C131,'تقرير المصروفات حسب الشهر'!$C$763:$AD$872,4,FALSE),0)</f>
        <v>0</v>
      </c>
      <c r="K131" s="362">
        <f>IFERROR(VLOOKUP(C131,'تقرير المصروفات حسب الشهر'!$C$890:$AD$999,4,FALSE),0)</f>
        <v>0</v>
      </c>
      <c r="L131" s="362">
        <f>IFERROR(VLOOKUP(C131,'تقرير المصروفات حسب الشهر'!$C$1016:$AI$1128,4,FALSE),0)</f>
        <v>0</v>
      </c>
      <c r="M131" s="376">
        <f>IFERROR(VLOOKUP(C131,'تقرير المصروفات حسب الشهر'!$C$1143:$AD$1254,4,FALSE),0)</f>
        <v>0</v>
      </c>
      <c r="N131" s="376">
        <f>IFERROR(VLOOKUP(C131,'تقرير المصروفات حسب الشهر'!$C$1270:$AD$1381,4,FALSE),0)</f>
        <v>0</v>
      </c>
      <c r="O131" s="376">
        <f>IFERROR(VLOOKUP(C131,'تقرير المصروفات حسب الشهر'!$C$1397:$AI$1512,4,FALSE),0)</f>
        <v>0</v>
      </c>
      <c r="P131" s="364">
        <f t="shared" si="7"/>
        <v>0</v>
      </c>
    </row>
    <row r="132" spans="1:17" ht="18" customHeight="1">
      <c r="B132" s="124"/>
      <c r="C132" s="341" t="s">
        <v>360</v>
      </c>
      <c r="D132" s="362">
        <f>IFERROR(VLOOKUP(C132,'تقرير المصروفات حسب الشهر'!$C$10:$AD$123,4,FALSE),0)</f>
        <v>110901.2</v>
      </c>
      <c r="E132" s="362">
        <f>IFERROR(VLOOKUP(C132,'تقرير المصروفات حسب الشهر'!$C$135:$AD$252,4,FALSE),0)</f>
        <v>129654.15</v>
      </c>
      <c r="F132" s="362">
        <v>101674.29</v>
      </c>
      <c r="G132" s="362">
        <f>IFERROR(VLOOKUP(C132,'تقرير المصروفات حسب الشهر'!$C$387:$AD$503,4,FALSE),0)</f>
        <v>147006.87</v>
      </c>
      <c r="H132" s="362">
        <f>IFERROR(VLOOKUP(C132,'تقرير المصروفات حسب الشهر'!$C$512:$AD$622,4,FALSE),0)</f>
        <v>180829.58</v>
      </c>
      <c r="I132" s="362">
        <f>IFERROR(VLOOKUP(C132,'تقرير المصروفات حسب الشهر'!$C$637:$AD$750,4,FALSE),0)</f>
        <v>275649.23</v>
      </c>
      <c r="J132" s="362">
        <f>IFERROR(VLOOKUP(C132,'تقرير المصروفات حسب الشهر'!$C$763:$AD$877,4,FALSE),0)</f>
        <v>208160.84000000003</v>
      </c>
      <c r="K132" s="362">
        <f>IFERROR(VLOOKUP(C132,'تقرير المصروفات حسب الشهر'!$C$890:$AD$1002,4,FALSE),0)</f>
        <v>177236.6</v>
      </c>
      <c r="L132" s="362">
        <f>IFERROR(VLOOKUP(C132,'تقرير المصروفات حسب الشهر'!$C$1016:$AI$1128,4,FALSE),0)</f>
        <v>208850.26</v>
      </c>
      <c r="M132" s="376">
        <f>IFERROR(VLOOKUP(C132,'تقرير المصروفات حسب الشهر'!$C$1143:$AD$1254,4,FALSE),0)</f>
        <v>211409.81</v>
      </c>
      <c r="N132" s="376">
        <f>IFERROR(VLOOKUP(C132,'تقرير المصروفات حسب الشهر'!$C$1270:$AD$1382,4,FALSE),0)</f>
        <v>249888.56</v>
      </c>
      <c r="O132" s="376">
        <f>IFERROR(VLOOKUP(C132,'تقرير المصروفات حسب الشهر'!$C$1397:$AI$1512,4,FALSE),0)</f>
        <v>294103.39</v>
      </c>
      <c r="P132" s="364">
        <f>SUM(D132:O132)</f>
        <v>2295364.7800000003</v>
      </c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517">
        <f>IFERROR(VLOOKUP(C133,'تقرير المصروفات حسب الشهر'!$C$763:$AD$877,4,FALSE),0)</f>
        <v>44918.8</v>
      </c>
      <c r="K133" s="362">
        <f>IFERROR(VLOOKUP(C133,'تقرير المصروفات حسب الشهر'!$C$890:$AD$1002,4,FALSE),0)</f>
        <v>84811.02</v>
      </c>
      <c r="L133" s="362">
        <f>IFERROR(VLOOKUP(C133,'تقرير المصروفات حسب الشهر'!$C$1016:$AI$1131,4,FALSE),0)</f>
        <v>108196.81</v>
      </c>
      <c r="M133" s="376">
        <f>IFERROR(VLOOKUP(C133,'تقرير المصروفات حسب الشهر'!$C$1143:$AD$1258,4,FALSE),0)</f>
        <v>98112.92</v>
      </c>
      <c r="N133" s="376">
        <f>IFERROR(VLOOKUP(C133,'تقرير المصروفات حسب الشهر'!$C$1270:$AI$1388,4,FALSE),0)</f>
        <v>71683.78</v>
      </c>
      <c r="O133" s="376">
        <f>IFERROR(VLOOKUP(C133,'تقرير المصروفات حسب الشهر'!$C$1397:$AI$1512,4,FALSE),0)</f>
        <v>104369.14</v>
      </c>
      <c r="P133" s="436"/>
    </row>
    <row r="134" spans="1:17" ht="18" customHeight="1">
      <c r="B134" s="124"/>
      <c r="C134" s="149" t="s">
        <v>270</v>
      </c>
      <c r="D134" s="146">
        <f>SUM(D22:D133)</f>
        <v>591189.68999999994</v>
      </c>
      <c r="E134" s="146">
        <f t="shared" ref="E134:O134" si="8">SUM(E22:E133)</f>
        <v>711587.53999999992</v>
      </c>
      <c r="F134" s="146">
        <f t="shared" si="8"/>
        <v>650128.34000000008</v>
      </c>
      <c r="G134" s="146">
        <f t="shared" si="8"/>
        <v>720715.12</v>
      </c>
      <c r="H134" s="146">
        <f t="shared" si="8"/>
        <v>727615.85</v>
      </c>
      <c r="I134" s="146">
        <f t="shared" si="8"/>
        <v>887538.72</v>
      </c>
      <c r="J134" s="146">
        <f t="shared" si="8"/>
        <v>842125.76</v>
      </c>
      <c r="K134" s="146">
        <f>SUM(K22:K133)</f>
        <v>853706.59999999986</v>
      </c>
      <c r="L134" s="146">
        <f t="shared" si="8"/>
        <v>890330.53</v>
      </c>
      <c r="M134" s="146">
        <f t="shared" si="8"/>
        <v>926884.95999999985</v>
      </c>
      <c r="N134" s="146">
        <f t="shared" si="8"/>
        <v>1004502.98</v>
      </c>
      <c r="O134" s="146">
        <f t="shared" si="8"/>
        <v>1164684.1700000002</v>
      </c>
      <c r="P134" s="388">
        <f t="shared" si="7"/>
        <v>9971010.2599999998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886813.52</v>
      </c>
      <c r="E136" s="392">
        <f t="shared" si="9"/>
        <v>756338.34</v>
      </c>
      <c r="F136" s="392">
        <f t="shared" si="9"/>
        <v>878135.11999999965</v>
      </c>
      <c r="G136" s="392">
        <f t="shared" si="9"/>
        <v>941965.25</v>
      </c>
      <c r="H136" s="392">
        <f t="shared" si="9"/>
        <v>1013668.71</v>
      </c>
      <c r="I136" s="392">
        <f t="shared" si="9"/>
        <v>1051336.8200000003</v>
      </c>
      <c r="J136" s="392">
        <f t="shared" si="9"/>
        <v>1054342.1299999999</v>
      </c>
      <c r="K136" s="392">
        <f t="shared" si="9"/>
        <v>1108229.9300000002</v>
      </c>
      <c r="L136" s="392">
        <f t="shared" si="9"/>
        <v>1051143.1299999994</v>
      </c>
      <c r="M136" s="392">
        <f t="shared" si="9"/>
        <v>1181470.9299999997</v>
      </c>
      <c r="N136" s="392">
        <f t="shared" si="9"/>
        <v>1292560.0299999989</v>
      </c>
      <c r="O136" s="392">
        <f t="shared" si="9"/>
        <v>1370766.6000000006</v>
      </c>
      <c r="P136" s="388">
        <f t="shared" si="7"/>
        <v>12586770.509999998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295623.83000000007</v>
      </c>
      <c r="E139" s="383">
        <f t="shared" ref="E139:O139" si="10">E136-E134</f>
        <v>44750.800000000047</v>
      </c>
      <c r="F139" s="383">
        <f t="shared" si="10"/>
        <v>228006.77999999956</v>
      </c>
      <c r="G139" s="383">
        <f t="shared" si="10"/>
        <v>221250.13</v>
      </c>
      <c r="H139" s="383">
        <f t="shared" si="10"/>
        <v>286052.86</v>
      </c>
      <c r="I139" s="383">
        <f t="shared" si="10"/>
        <v>163798.10000000033</v>
      </c>
      <c r="J139" s="383">
        <f t="shared" si="10"/>
        <v>212216.36999999988</v>
      </c>
      <c r="K139" s="383">
        <f t="shared" si="10"/>
        <v>254523.33000000031</v>
      </c>
      <c r="L139" s="383">
        <f t="shared" si="10"/>
        <v>160812.59999999939</v>
      </c>
      <c r="M139" s="383">
        <f t="shared" si="10"/>
        <v>254585.96999999986</v>
      </c>
      <c r="N139" s="383">
        <f t="shared" si="10"/>
        <v>288057.04999999888</v>
      </c>
      <c r="O139" s="383">
        <f t="shared" si="10"/>
        <v>206082.4300000004</v>
      </c>
      <c r="P139" s="387">
        <f>SUM(D139:O139)</f>
        <v>2615760.2499999991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D143" s="113">
        <v>293913.83</v>
      </c>
      <c r="G143" s="238">
        <f>221250.3-G139</f>
        <v>0.16999999998370185</v>
      </c>
      <c r="J143" s="238"/>
      <c r="M143" s="544">
        <f>254585.97-M139</f>
        <v>0</v>
      </c>
    </row>
    <row r="144" spans="1:17">
      <c r="D144" s="415">
        <f>D139-D143</f>
        <v>1710.0000000000582</v>
      </c>
      <c r="J144" s="238"/>
      <c r="N144" s="238">
        <v>49420.98</v>
      </c>
    </row>
    <row r="145" spans="14:14">
      <c r="N145" s="238">
        <f>N139-N144</f>
        <v>238636.06999999887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ignoredErrors>
    <ignoredError sqref="D8:O8 D9:I12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>
    <tabColor rgb="FFFFC000"/>
  </sheetPr>
  <dimension ref="A1:T143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356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25</v>
      </c>
      <c r="B8" s="390"/>
      <c r="C8" s="369" t="s">
        <v>114</v>
      </c>
      <c r="D8" s="364">
        <f>D9+D10+D11</f>
        <v>3462717.15</v>
      </c>
      <c r="E8" s="364">
        <f t="shared" ref="E8:O8" si="0">E9+E10+E11</f>
        <v>3293941.33</v>
      </c>
      <c r="F8" s="364">
        <f t="shared" si="0"/>
        <v>3688163.2199999997</v>
      </c>
      <c r="G8" s="364">
        <f t="shared" si="0"/>
        <v>3240278.3400000003</v>
      </c>
      <c r="H8" s="364">
        <f t="shared" si="0"/>
        <v>4084133.64</v>
      </c>
      <c r="I8" s="364">
        <f t="shared" si="0"/>
        <v>3502389.2</v>
      </c>
      <c r="J8" s="364">
        <f t="shared" si="0"/>
        <v>3823251.38</v>
      </c>
      <c r="K8" s="364">
        <f t="shared" si="0"/>
        <v>3541414.86</v>
      </c>
      <c r="L8" s="364">
        <f t="shared" si="0"/>
        <v>9194.9500000000007</v>
      </c>
      <c r="M8" s="364">
        <f t="shared" si="0"/>
        <v>2797213.5700000003</v>
      </c>
      <c r="N8" s="364">
        <f t="shared" si="0"/>
        <v>3814286.2399999993</v>
      </c>
      <c r="O8" s="364">
        <f t="shared" si="0"/>
        <v>4155042.67</v>
      </c>
      <c r="P8" s="364">
        <f>SUM(D8:O8)</f>
        <v>39412026.549999997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1287434.93</v>
      </c>
      <c r="E9" s="365">
        <f>VLOOKUP($A$8,'تقرير إحصائية بحجم المبيعات'!$B$42:$G$73,2,FALSE)</f>
        <v>1349164.68</v>
      </c>
      <c r="F9" s="365">
        <f>VLOOKUP($A$8,'تقرير إحصائية بحجم المبيعات'!$B$78:$E$103,2,FALSE)</f>
        <v>979038.99999999953</v>
      </c>
      <c r="G9" s="365">
        <f>VLOOKUP($A$8,'تقرير إحصائية بحجم المبيعات'!$B$112:$G$137,2,FALSE)</f>
        <v>1265738.7600000002</v>
      </c>
      <c r="H9" s="365">
        <f>VLOOKUP($A$8,'تقرير إحصائية بحجم المبيعات'!$B$147:$G$177,2,FALSE)</f>
        <v>1387310.4</v>
      </c>
      <c r="I9" s="365">
        <f>VLOOKUP($A$8,'تقرير إحصائية بحجم المبيعات'!$B$182:$G$212,2,FALSE)</f>
        <v>1379010.5100000002</v>
      </c>
      <c r="J9" s="365">
        <f>VLOOKUP($A$8,'تقرير إحصائية بحجم المبيعات'!$B$217:$L$243,2,FALSE)</f>
        <v>1579307.7299999997</v>
      </c>
      <c r="K9" s="365">
        <f>VLOOKUP($A$8,'تقرير إحصائية بحجم المبيعات'!$B$252:$L$278,2,FALSE)</f>
        <v>1398602.4</v>
      </c>
      <c r="L9" s="365">
        <f>VLOOKUP($A$8,'تقرير إحصائية بحجم المبيعات'!$B$287:$L$313,2,FALSE)</f>
        <v>4800.59</v>
      </c>
      <c r="M9" s="365">
        <f>VLOOKUP($A$8,'تقرير إحصائية بحجم المبيعات'!$B$322:$L$347,2,FALSE)</f>
        <v>1396156.6500000001</v>
      </c>
      <c r="N9" s="365">
        <f>VLOOKUP($A$8,'تقرير إحصائية بحجم المبيعات'!$B$357:$L$383,2,FALSE)</f>
        <v>2076269.0799999996</v>
      </c>
      <c r="O9" s="365">
        <f>VLOOKUP($A$8,'تقرير إحصائية بحجم المبيعات'!$B$391:$L$420,2,FALSE)</f>
        <v>1904279.78</v>
      </c>
      <c r="P9" s="364">
        <f t="shared" ref="P9:P18" si="1">SUM(D9:O9)</f>
        <v>16007114.51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413419.76</v>
      </c>
      <c r="E10" s="365">
        <f>VLOOKUP($A$8,'تقرير إحصائية بحجم المبيعات'!$B$42:$G$73,3,FALSE)</f>
        <v>346016.26</v>
      </c>
      <c r="F10" s="365">
        <f>VLOOKUP($A$8,'تقرير إحصائية بحجم المبيعات'!$B$78:$E$103,3,FALSE)</f>
        <v>402991.56</v>
      </c>
      <c r="G10" s="365">
        <f>VLOOKUP($A$8,'تقرير إحصائية بحجم المبيعات'!$B$112:$G$137,3,FALSE)</f>
        <v>440049</v>
      </c>
      <c r="H10" s="365">
        <f>VLOOKUP($A$8,'تقرير إحصائية بحجم المبيعات'!$B$147:$G$177,3,FALSE)</f>
        <v>412398.89</v>
      </c>
      <c r="I10" s="365">
        <f>VLOOKUP($A$8,'تقرير إحصائية بحجم المبيعات'!$B$182:$G$212,3,FALSE)</f>
        <v>443322.54</v>
      </c>
      <c r="J10" s="365">
        <f>VLOOKUP($A$8,'تقرير إحصائية بحجم المبيعات'!$B$217:$L$243,3,FALSE)</f>
        <v>489333.06</v>
      </c>
      <c r="K10" s="365">
        <f>VLOOKUP($A$8,'تقرير إحصائية بحجم المبيعات'!$B$252:$L$278,3,FALSE)</f>
        <v>325156.46000000002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309976.28000000003</v>
      </c>
      <c r="N10" s="365">
        <f>VLOOKUP($A$8,'تقرير إحصائية بحجم المبيعات'!$B$357:$L$383,3,FALSE)</f>
        <v>367237.34</v>
      </c>
      <c r="O10" s="365">
        <f>VLOOKUP($A$8,'تقرير إحصائية بحجم المبيعات'!$B$391:$L$420,3,FALSE)</f>
        <v>574509.80000000005</v>
      </c>
      <c r="P10" s="364">
        <f t="shared" si="1"/>
        <v>4524410.95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1761862.46</v>
      </c>
      <c r="E11" s="365">
        <f>VLOOKUP($A$8,'تقرير إحصائية بحجم المبيعات'!$B$42:$G$73,4,FALSE)</f>
        <v>1598760.39</v>
      </c>
      <c r="F11" s="365">
        <f>VLOOKUP($A$8,'تقرير إحصائية بحجم المبيعات'!$B$78:$E$103,4,FALSE)</f>
        <v>2306132.66</v>
      </c>
      <c r="G11" s="365">
        <f>VLOOKUP($A$8,'تقرير إحصائية بحجم المبيعات'!$B$112:$G$137,4,FALSE)</f>
        <v>1534490.58</v>
      </c>
      <c r="H11" s="365">
        <f>VLOOKUP($A$8,'تقرير إحصائية بحجم المبيعات'!$B$147:$G$177,4,FALSE)</f>
        <v>2284424.35</v>
      </c>
      <c r="I11" s="365">
        <f>VLOOKUP($A$8,'تقرير إحصائية بحجم المبيعات'!$B$182:$G$212,4,FALSE)</f>
        <v>1680056.15</v>
      </c>
      <c r="J11" s="365">
        <f>VLOOKUP($A$8,'تقرير إحصائية بحجم المبيعات'!$B$217:$L$243,4,FALSE)</f>
        <v>1754610.59</v>
      </c>
      <c r="K11" s="365">
        <f>VLOOKUP($A$8,'تقرير إحصائية بحجم المبيعات'!$B$252:$L$278,4,FALSE)</f>
        <v>1817656</v>
      </c>
      <c r="L11" s="365">
        <f>VLOOKUP($A$8,'تقرير إحصائية بحجم المبيعات'!$B$287:$L$313,4,FALSE)</f>
        <v>4394.3599999999997</v>
      </c>
      <c r="M11" s="365">
        <f>VLOOKUP($A$8,'تقرير إحصائية بحجم المبيعات'!$B$322:$L$347,4,FALSE)</f>
        <v>1091080.6399999999</v>
      </c>
      <c r="N11" s="365">
        <f>VLOOKUP($A$8,'تقرير إحصائية بحجم المبيعات'!$B$357:$L$383,4,FALSE)</f>
        <v>1370779.82</v>
      </c>
      <c r="O11" s="365">
        <f>VLOOKUP($A$8,'تقرير إحصائية بحجم المبيعات'!$B$391:$L$420,4,FALSE)</f>
        <v>1676253.09</v>
      </c>
      <c r="P11" s="364">
        <f t="shared" si="1"/>
        <v>18880501.09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2792022.81</v>
      </c>
      <c r="E12" s="364">
        <f>VLOOKUP($A$8,'تقرير إحصائية بحجم المبيعات'!$B$42:$L$73,11,FALSE)</f>
        <v>2737775.84</v>
      </c>
      <c r="F12" s="364">
        <f>VLOOKUP($A$8,'تقرير إحصائية بحجم المبيعات'!$B$78:$L$103,11,FALSE)</f>
        <v>3060625.54</v>
      </c>
      <c r="G12" s="364">
        <f>VLOOKUP($A$8,'تقرير إحصائية بحجم المبيعات'!$B$112:$L$137,11,FALSE)</f>
        <v>2657008.21</v>
      </c>
      <c r="H12" s="364">
        <f>VLOOKUP($A$8,'تقرير إحصائية بحجم المبيعات'!$B$147:$L$177,11,FALSE)</f>
        <v>3372052.85</v>
      </c>
      <c r="I12" s="364">
        <f>VLOOKUP($A$8,'تقرير إحصائية بحجم المبيعات'!$B$182:$L$212,11,FALSE)</f>
        <v>2878932.45</v>
      </c>
      <c r="J12" s="365">
        <f>VLOOKUP($A$8,'تقرير إحصائية بحجم المبيعات'!$B$217:$L$243,11,FALSE)</f>
        <v>3136323.52</v>
      </c>
      <c r="K12" s="364">
        <f>VLOOKUP($A$8,'تقرير إحصائية بحجم المبيعات'!$B$252:$L$278,11,FALSE)</f>
        <v>2881267.68</v>
      </c>
      <c r="L12" s="364">
        <f>VLOOKUP($A$8,'تقرير إحصائية بحجم المبيعات'!$B$287:$L$313,11,FALSE)</f>
        <v>8201.6200000000008</v>
      </c>
      <c r="M12" s="365">
        <f>VLOOKUP($A$8,'تقرير إحصائية بحجم المبيعات'!$B$322:$L$347,11,FALSE)</f>
        <v>2232095.2400000002</v>
      </c>
      <c r="N12" s="365">
        <f>VLOOKUP($A$8,'تقرير إحصائية بحجم المبيعات'!$B$357:$L$383,11,FALSE)</f>
        <v>3064911</v>
      </c>
      <c r="O12" s="365">
        <f>VLOOKUP($A$8,'تقرير إحصائية بحجم المبيعات'!$B$391:$L$420,11,FALSE)</f>
        <v>3283960.49</v>
      </c>
      <c r="P12" s="364">
        <f t="shared" si="1"/>
        <v>32105177.250000007</v>
      </c>
    </row>
    <row r="13" spans="1:20" ht="18" customHeight="1">
      <c r="B13" s="124"/>
      <c r="C13" s="371" t="s">
        <v>14</v>
      </c>
      <c r="D13" s="366">
        <f t="shared" ref="D13:O13" si="2">D8-D12</f>
        <v>670694.33999999985</v>
      </c>
      <c r="E13" s="366">
        <f t="shared" si="2"/>
        <v>556165.49000000022</v>
      </c>
      <c r="F13" s="366">
        <f t="shared" si="2"/>
        <v>627537.6799999997</v>
      </c>
      <c r="G13" s="366">
        <f t="shared" si="2"/>
        <v>583270.13000000035</v>
      </c>
      <c r="H13" s="366">
        <f t="shared" si="2"/>
        <v>712080.79</v>
      </c>
      <c r="I13" s="366">
        <f t="shared" si="2"/>
        <v>623456.75</v>
      </c>
      <c r="J13" s="366">
        <f t="shared" si="2"/>
        <v>686927.85999999987</v>
      </c>
      <c r="K13" s="366">
        <f t="shared" si="2"/>
        <v>660147.1799999997</v>
      </c>
      <c r="L13" s="366">
        <f t="shared" si="2"/>
        <v>993.32999999999993</v>
      </c>
      <c r="M13" s="366">
        <f t="shared" si="2"/>
        <v>565118.33000000007</v>
      </c>
      <c r="N13" s="366">
        <f t="shared" si="2"/>
        <v>749375.23999999929</v>
      </c>
      <c r="O13" s="366">
        <f t="shared" si="2"/>
        <v>871082.1799999997</v>
      </c>
      <c r="P13" s="366">
        <f t="shared" si="1"/>
        <v>7306849.2999999989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44797.26</v>
      </c>
      <c r="E16" s="367">
        <v>57205.100000000006</v>
      </c>
      <c r="F16" s="367">
        <v>43626.530000000006</v>
      </c>
      <c r="G16" s="367">
        <v>36243.480000000003</v>
      </c>
      <c r="H16" s="367">
        <v>49333.270000000004</v>
      </c>
      <c r="I16" s="367">
        <v>31365.910000000003</v>
      </c>
      <c r="J16" s="367">
        <v>14604.589999999997</v>
      </c>
      <c r="K16" s="367">
        <v>64701.06</v>
      </c>
      <c r="L16" s="367">
        <v>155.92000000000007</v>
      </c>
      <c r="M16" s="367"/>
      <c r="N16" s="367">
        <v>3187.87</v>
      </c>
      <c r="O16" s="367"/>
      <c r="P16" s="364">
        <f t="shared" si="1"/>
        <v>345220.99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>
        <v>14000</v>
      </c>
      <c r="J17" s="367">
        <v>14600</v>
      </c>
      <c r="K17" s="367">
        <v>8700</v>
      </c>
      <c r="L17" s="367">
        <v>900</v>
      </c>
      <c r="M17" s="367">
        <v>11370</v>
      </c>
      <c r="N17" s="367">
        <v>4000</v>
      </c>
      <c r="O17" s="367"/>
      <c r="P17" s="364">
        <f t="shared" si="1"/>
        <v>53570</v>
      </c>
    </row>
    <row r="18" spans="2:16" ht="18" customHeight="1">
      <c r="B18" s="124"/>
      <c r="C18" s="372" t="s">
        <v>269</v>
      </c>
      <c r="D18" s="363">
        <f>SUM(D14:D17)</f>
        <v>44797.26</v>
      </c>
      <c r="E18" s="363">
        <f t="shared" ref="E18:O18" si="3">SUM(E14:E17)</f>
        <v>57205.100000000006</v>
      </c>
      <c r="F18" s="363">
        <f t="shared" si="3"/>
        <v>43626.530000000006</v>
      </c>
      <c r="G18" s="363">
        <f t="shared" si="3"/>
        <v>36243.480000000003</v>
      </c>
      <c r="H18" s="363">
        <f t="shared" si="3"/>
        <v>49333.270000000004</v>
      </c>
      <c r="I18" s="363">
        <f t="shared" si="3"/>
        <v>45365.91</v>
      </c>
      <c r="J18" s="363">
        <f t="shared" si="3"/>
        <v>29204.589999999997</v>
      </c>
      <c r="K18" s="363">
        <f t="shared" si="3"/>
        <v>73401.06</v>
      </c>
      <c r="L18" s="363">
        <f t="shared" si="3"/>
        <v>1055.92</v>
      </c>
      <c r="M18" s="368">
        <f t="shared" si="3"/>
        <v>11370</v>
      </c>
      <c r="N18" s="368">
        <f t="shared" si="3"/>
        <v>7187.87</v>
      </c>
      <c r="O18" s="368">
        <f t="shared" si="3"/>
        <v>0</v>
      </c>
      <c r="P18" s="364">
        <f t="shared" si="1"/>
        <v>398790.99</v>
      </c>
    </row>
    <row r="19" spans="2:16" ht="18" customHeight="1">
      <c r="B19" s="124"/>
      <c r="C19" s="386" t="s">
        <v>14</v>
      </c>
      <c r="D19" s="374">
        <f t="shared" ref="D19:O19" si="4">D13+D18</f>
        <v>715491.59999999986</v>
      </c>
      <c r="E19" s="374">
        <f t="shared" si="4"/>
        <v>613370.5900000002</v>
      </c>
      <c r="F19" s="374">
        <f t="shared" si="4"/>
        <v>671164.20999999973</v>
      </c>
      <c r="G19" s="374">
        <f t="shared" si="4"/>
        <v>619513.61000000034</v>
      </c>
      <c r="H19" s="374">
        <f t="shared" si="4"/>
        <v>761414.06</v>
      </c>
      <c r="I19" s="374">
        <f t="shared" si="4"/>
        <v>668822.66</v>
      </c>
      <c r="J19" s="374">
        <f t="shared" si="4"/>
        <v>716132.44999999984</v>
      </c>
      <c r="K19" s="374">
        <f t="shared" si="4"/>
        <v>733548.23999999976</v>
      </c>
      <c r="L19" s="374">
        <f t="shared" si="4"/>
        <v>2049.25</v>
      </c>
      <c r="M19" s="374">
        <f t="shared" si="4"/>
        <v>576488.33000000007</v>
      </c>
      <c r="N19" s="374">
        <f t="shared" si="4"/>
        <v>756563.10999999929</v>
      </c>
      <c r="O19" s="374">
        <f t="shared" si="4"/>
        <v>871082.1799999997</v>
      </c>
      <c r="P19" s="382">
        <f>SUM(D19:O19)</f>
        <v>7705640.2899999991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الشهر'!$C$10:$AD$119,5,FALSE),0)</f>
        <v>0</v>
      </c>
      <c r="E22" s="362">
        <f>IFERROR(VLOOKUP(C22,'تقرير المصروفات حسب الشهر'!$C$135:$AD$244,5,FALSE),0)</f>
        <v>0</v>
      </c>
      <c r="F22" s="362">
        <v>0</v>
      </c>
      <c r="G22" s="362">
        <f>IFERROR(VLOOKUP(C22,'تقرير المصروفات حسب الشهر'!$C$387:$AD$495,5,FALSE),0)</f>
        <v>0</v>
      </c>
      <c r="H22" s="362">
        <f>IFERROR(VLOOKUP(C22,'تقرير المصروفات حسب الشهر'!$C$512:$AD$620,5,FALSE),0)</f>
        <v>0</v>
      </c>
      <c r="I22" s="362">
        <f>IFERROR(VLOOKUP(C22,'تقرير المصروفات حسب الشهر'!$C$637:$AD$746,5,FALSE),0)</f>
        <v>0</v>
      </c>
      <c r="J22" s="362">
        <f>IFERROR(VLOOKUP(C22,'تقرير المصروفات حسب الشهر'!$C$763:$AD$872,5,FALSE),0)</f>
        <v>0</v>
      </c>
      <c r="K22" s="362">
        <f>IFERROR(VLOOKUP(C22,'تقرير المصروفات حسب الشهر'!$C$890:$AD$999,5,FALSE),0)</f>
        <v>0</v>
      </c>
      <c r="L22" s="362">
        <f>IFERROR(VLOOKUP(C22,'تقرير المصروفات حسب الشهر'!$C$1016:$AD$1126,5,FALSE),0)</f>
        <v>0</v>
      </c>
      <c r="M22" s="376">
        <f>IFERROR(VLOOKUP(C22,'تقرير المصروفات حسب الشهر'!$C$1143:$AD$1254,5,FALSE),0)</f>
        <v>0</v>
      </c>
      <c r="N22" s="376">
        <f>IFERROR(VLOOKUP(C22,'تقرير المصروفات حسب الشهر'!$C$1270:$AD$1381,5,FALSE),0)</f>
        <v>0</v>
      </c>
      <c r="O22" s="376">
        <f>IFERROR(VLOOKUP(C22,'تقرير المصروفات حسب الشهر'!$C$1397:$AD$1512,5,FALSE),0)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الشهر'!$C$10:$AD$119,5,FALSE),0)</f>
        <v>202939.78000000003</v>
      </c>
      <c r="E23" s="362">
        <f>IFERROR(VLOOKUP(C23,'تقرير المصروفات حسب الشهر'!$C$135:$AD$244,5,FALSE),0)</f>
        <v>243252.09999999998</v>
      </c>
      <c r="F23" s="362">
        <v>247282.90000000002</v>
      </c>
      <c r="G23" s="362">
        <f>IFERROR(VLOOKUP(C23,'تقرير المصروفات حسب الشهر'!$C$387:$AD$495,5,FALSE),0)</f>
        <v>241871.53</v>
      </c>
      <c r="H23" s="362">
        <f>IFERROR(VLOOKUP(C23,'تقرير المصروفات حسب الشهر'!$C$512:$AD$620,5,FALSE),0)</f>
        <v>266067.46000000002</v>
      </c>
      <c r="I23" s="362">
        <f>IFERROR(VLOOKUP(C23,'تقرير المصروفات حسب الشهر'!$C$637:$AD$746,5,FALSE),0)</f>
        <v>289893.95</v>
      </c>
      <c r="J23" s="362">
        <f>IFERROR(VLOOKUP(C23,'تقرير المصروفات حسب الشهر'!$C$763:$AD$872,5,FALSE),0)</f>
        <v>276046.19</v>
      </c>
      <c r="K23" s="362">
        <f>IFERROR(VLOOKUP(C23,'تقرير المصروفات حسب الشهر'!$C$890:$AD$999,5,FALSE),0)</f>
        <v>281311.24</v>
      </c>
      <c r="L23" s="362">
        <f>IFERROR(VLOOKUP(C23,'تقرير المصروفات حسب الشهر'!$C$1016:$AD$1126,5,FALSE),0)</f>
        <v>248712.66999999998</v>
      </c>
      <c r="M23" s="376">
        <f>IFERROR(VLOOKUP(C23,'تقرير المصروفات حسب الشهر'!$C$1143:$AD$1254,5,FALSE),0)</f>
        <v>250960.3</v>
      </c>
      <c r="N23" s="376">
        <f>IFERROR(VLOOKUP(C23,'تقرير المصروفات حسب الشهر'!$C$1270:$AD$1381,5,FALSE),0)</f>
        <v>242757.21</v>
      </c>
      <c r="O23" s="376">
        <f>IFERROR(VLOOKUP(C23,'تقرير المصروفات حسب الشهر'!$C$1397:$AD$1512,5,FALSE),0)</f>
        <v>244676.78</v>
      </c>
      <c r="P23" s="364">
        <f t="shared" ref="P23:P86" si="5">SUM(D23:O23)</f>
        <v>3035772.1099999994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الشهر'!$C$10:$AD$119,5,FALSE),0)</f>
        <v>3675</v>
      </c>
      <c r="E24" s="362">
        <f>IFERROR(VLOOKUP(C24,'تقرير المصروفات حسب الشهر'!$C$135:$AD$244,5,FALSE),0)</f>
        <v>3225</v>
      </c>
      <c r="F24" s="362">
        <v>3150</v>
      </c>
      <c r="G24" s="362">
        <f>IFERROR(VLOOKUP(C24,'تقرير المصروفات حسب الشهر'!$C$387:$AD$495,5,FALSE),0)</f>
        <v>3430</v>
      </c>
      <c r="H24" s="362">
        <f>IFERROR(VLOOKUP(C24,'تقرير المصروفات حسب الشهر'!$C$512:$AD$620,5,FALSE),0)</f>
        <v>4432</v>
      </c>
      <c r="I24" s="362">
        <f>IFERROR(VLOOKUP(C24,'تقرير المصروفات حسب الشهر'!$C$637:$AD$746,5,FALSE),0)</f>
        <v>5282</v>
      </c>
      <c r="J24" s="517">
        <f>IFERROR(VLOOKUP(C24,'تقرير المصروفات حسب الشهر'!$C$763:$AD$872,5,FALSE),0)</f>
        <v>6907</v>
      </c>
      <c r="K24" s="362">
        <f>IFERROR(VLOOKUP(C24,'تقرير المصروفات حسب الشهر'!$C$890:$AD$999,5,FALSE),0)</f>
        <v>8391</v>
      </c>
      <c r="L24" s="362">
        <f>IFERROR(VLOOKUP(C24,'تقرير المصروفات حسب الشهر'!$C$1016:$AD$1126,5,FALSE),0)</f>
        <v>10650</v>
      </c>
      <c r="M24" s="376">
        <f>IFERROR(VLOOKUP(C24,'تقرير المصروفات حسب الشهر'!$C$1143:$AD$1254,5,FALSE),0)</f>
        <v>6581</v>
      </c>
      <c r="N24" s="376">
        <f>IFERROR(VLOOKUP(C24,'تقرير المصروفات حسب الشهر'!$C$1270:$AD$1381,5,FALSE),0)</f>
        <v>5235</v>
      </c>
      <c r="O24" s="376">
        <f>IFERROR(VLOOKUP(C24,'تقرير المصروفات حسب الشهر'!$C$1397:$AD$1512,5,FALSE),0)</f>
        <v>7745</v>
      </c>
      <c r="P24" s="364">
        <f t="shared" si="5"/>
        <v>68703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الشهر'!$C$10:$AD$119,5,FALSE),0)</f>
        <v>0</v>
      </c>
      <c r="E25" s="362">
        <f>IFERROR(VLOOKUP(C25,'تقرير المصروفات حسب الشهر'!$C$135:$AD$244,5,FALSE),0)</f>
        <v>0</v>
      </c>
      <c r="F25" s="362">
        <v>0</v>
      </c>
      <c r="G25" s="362">
        <f>IFERROR(VLOOKUP(C25,'تقرير المصروفات حسب الشهر'!$C$387:$AD$495,5,FALSE),0)</f>
        <v>580</v>
      </c>
      <c r="H25" s="362">
        <f>IFERROR(VLOOKUP(C25,'تقرير المصروفات حسب الشهر'!$C$512:$AD$620,5,FALSE),0)</f>
        <v>0</v>
      </c>
      <c r="I25" s="362">
        <f>IFERROR(VLOOKUP(C25,'تقرير المصروفات حسب الشهر'!$C$637:$AD$746,5,FALSE),0)</f>
        <v>0</v>
      </c>
      <c r="J25" s="517">
        <f>IFERROR(VLOOKUP(C25,'تقرير المصروفات حسب الشهر'!$C$763:$AD$872,5,FALSE),0)</f>
        <v>320</v>
      </c>
      <c r="K25" s="362">
        <f>IFERROR(VLOOKUP(C25,'تقرير المصروفات حسب الشهر'!$C$890:$AD$999,5,FALSE),0)</f>
        <v>118</v>
      </c>
      <c r="L25" s="362">
        <f>IFERROR(VLOOKUP(C25,'تقرير المصروفات حسب الشهر'!$C$1016:$AD$1126,5,FALSE),0)</f>
        <v>0</v>
      </c>
      <c r="M25" s="376">
        <f>IFERROR(VLOOKUP(C25,'تقرير المصروفات حسب الشهر'!$C$1143:$AD$1254,5,FALSE),0)</f>
        <v>236</v>
      </c>
      <c r="N25" s="376">
        <f>IFERROR(VLOOKUP(C25,'تقرير المصروفات حسب الشهر'!$C$1270:$AD$1381,5,FALSE),0)</f>
        <v>137</v>
      </c>
      <c r="O25" s="376">
        <f>IFERROR(VLOOKUP(C25,'تقرير المصروفات حسب الشهر'!$C$1397:$AD$1512,5,FALSE),0)</f>
        <v>0</v>
      </c>
      <c r="P25" s="364">
        <f t="shared" si="5"/>
        <v>1391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الشهر'!$C$10:$AD$119,5,FALSE),0)</f>
        <v>600</v>
      </c>
      <c r="E26" s="362">
        <f>IFERROR(VLOOKUP(C26,'تقرير المصروفات حسب الشهر'!$C$135:$AD$244,5,FALSE),0)</f>
        <v>0</v>
      </c>
      <c r="F26" s="362">
        <v>350</v>
      </c>
      <c r="G26" s="362">
        <f>IFERROR(VLOOKUP(C26,'تقرير المصروفات حسب الشهر'!$C$387:$AD$495,5,FALSE),0)</f>
        <v>0</v>
      </c>
      <c r="H26" s="362">
        <f>IFERROR(VLOOKUP(C26,'تقرير المصروفات حسب الشهر'!$C$512:$AD$620,5,FALSE),0)</f>
        <v>0</v>
      </c>
      <c r="I26" s="362">
        <f>IFERROR(VLOOKUP(C26,'تقرير المصروفات حسب الشهر'!$C$637:$AD$746,5,FALSE),0)</f>
        <v>800</v>
      </c>
      <c r="J26" s="362">
        <f>IFERROR(VLOOKUP(C26,'تقرير المصروفات حسب الشهر'!$C$763:$AD$872,5,FALSE),0)</f>
        <v>0</v>
      </c>
      <c r="K26" s="362">
        <f>IFERROR(VLOOKUP(C26,'تقرير المصروفات حسب الشهر'!$C$890:$AD$999,5,FALSE),0)</f>
        <v>0</v>
      </c>
      <c r="L26" s="362">
        <f>IFERROR(VLOOKUP(C26,'تقرير المصروفات حسب الشهر'!$C$1016:$AD$1126,5,FALSE),0)</f>
        <v>0</v>
      </c>
      <c r="M26" s="376">
        <f>IFERROR(VLOOKUP(C26,'تقرير المصروفات حسب الشهر'!$C$1143:$AD$1254,5,FALSE),0)</f>
        <v>0</v>
      </c>
      <c r="N26" s="376">
        <f>IFERROR(VLOOKUP(C26,'تقرير المصروفات حسب الشهر'!$C$1270:$AD$1381,5,FALSE),0)</f>
        <v>400</v>
      </c>
      <c r="O26" s="376">
        <f>IFERROR(VLOOKUP(C26,'تقرير المصروفات حسب الشهر'!$C$1397:$AD$1512,5,FALSE),0)</f>
        <v>0</v>
      </c>
      <c r="P26" s="364">
        <f t="shared" si="5"/>
        <v>2150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الشهر'!$C$10:$AD$119,5,FALSE),0)</f>
        <v>100000</v>
      </c>
      <c r="E27" s="362">
        <f>IFERROR(VLOOKUP(C27,'تقرير المصروفات حسب الشهر'!$C$135:$AD$244,5,FALSE),0)</f>
        <v>100000</v>
      </c>
      <c r="F27" s="362">
        <v>100000</v>
      </c>
      <c r="G27" s="362">
        <f>IFERROR(VLOOKUP(C27,'تقرير المصروفات حسب الشهر'!$C$387:$AD$495,5,FALSE),0)</f>
        <v>100000</v>
      </c>
      <c r="H27" s="362">
        <f>IFERROR(VLOOKUP(C27,'تقرير المصروفات حسب الشهر'!$C$512:$AD$620,5,FALSE),0)</f>
        <v>100000</v>
      </c>
      <c r="I27" s="362">
        <f>IFERROR(VLOOKUP(C27,'تقرير المصروفات حسب الشهر'!$C$637:$AD$746,5,FALSE),0)</f>
        <v>100000</v>
      </c>
      <c r="J27" s="517">
        <f>IFERROR(VLOOKUP(C27,'تقرير المصروفات حسب الشهر'!$C$763:$AD$872,5,FALSE),0)</f>
        <v>100000</v>
      </c>
      <c r="K27" s="362">
        <f>IFERROR(VLOOKUP(C27,'تقرير المصروفات حسب الشهر'!$C$890:$AD$999,5,FALSE),0)</f>
        <v>100000</v>
      </c>
      <c r="L27" s="362">
        <f>IFERROR(VLOOKUP(C27,'تقرير المصروفات حسب الشهر'!$C$1016:$AD$1126,5,FALSE),0)</f>
        <v>100000</v>
      </c>
      <c r="M27" s="376">
        <f>IFERROR(VLOOKUP(C27,'تقرير المصروفات حسب الشهر'!$C$1143:$AD$1254,5,FALSE),0)</f>
        <v>100000</v>
      </c>
      <c r="N27" s="376">
        <f>IFERROR(VLOOKUP(C27,'تقرير المصروفات حسب الشهر'!$C$1270:$AD$1381,5,FALSE),0)</f>
        <v>170000</v>
      </c>
      <c r="O27" s="376">
        <f>IFERROR(VLOOKUP(C27,'تقرير المصروفات حسب الشهر'!$C$1397:$AD$1512,5,FALSE),0)</f>
        <v>170000</v>
      </c>
      <c r="P27" s="364">
        <f t="shared" si="5"/>
        <v>1340000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الشهر'!$C$10:$AD$119,5,FALSE),0)</f>
        <v>0</v>
      </c>
      <c r="E28" s="362">
        <f>IFERROR(VLOOKUP(C28,'تقرير المصروفات حسب الشهر'!$C$135:$AD$244,5,FALSE),0)</f>
        <v>0</v>
      </c>
      <c r="F28" s="362">
        <v>0</v>
      </c>
      <c r="G28" s="362">
        <f>IFERROR(VLOOKUP(C28,'تقرير المصروفات حسب الشهر'!$C$387:$AD$495,5,FALSE),0)</f>
        <v>0</v>
      </c>
      <c r="H28" s="362">
        <f>IFERROR(VLOOKUP(C28,'تقرير المصروفات حسب الشهر'!$C$512:$AD$620,5,FALSE),0)</f>
        <v>0</v>
      </c>
      <c r="I28" s="362">
        <f>IFERROR(VLOOKUP(C28,'تقرير المصروفات حسب الشهر'!$C$637:$AD$746,5,FALSE),0)</f>
        <v>0</v>
      </c>
      <c r="J28" s="362">
        <f>IFERROR(VLOOKUP(C28,'تقرير المصروفات حسب الشهر'!$C$763:$AD$872,5,FALSE),0)</f>
        <v>0</v>
      </c>
      <c r="K28" s="362">
        <f>IFERROR(VLOOKUP(C28,'تقرير المصروفات حسب الشهر'!$C$890:$AD$999,5,FALSE),0)</f>
        <v>0</v>
      </c>
      <c r="L28" s="362">
        <f>IFERROR(VLOOKUP(C28,'تقرير المصروفات حسب الشهر'!$C$1016:$AD$1126,5,FALSE),0)</f>
        <v>0</v>
      </c>
      <c r="M28" s="376">
        <f>IFERROR(VLOOKUP(C28,'تقرير المصروفات حسب الشهر'!$C$1143:$AD$1254,5,FALSE),0)</f>
        <v>0</v>
      </c>
      <c r="N28" s="376">
        <f>IFERROR(VLOOKUP(C28,'تقرير المصروفات حسب الشهر'!$C$1270:$AD$1381,5,FALSE),0)</f>
        <v>0</v>
      </c>
      <c r="O28" s="376">
        <f>IFERROR(VLOOKUP(C28,'تقرير المصروفات حسب الشهر'!$C$1397:$AD$1512,5,FALSE),0)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الشهر'!$C$10:$AD$119,5,FALSE),0)</f>
        <v>0</v>
      </c>
      <c r="E29" s="362">
        <f>IFERROR(VLOOKUP(C29,'تقرير المصروفات حسب الشهر'!$C$135:$AD$244,5,FALSE),0)</f>
        <v>0</v>
      </c>
      <c r="F29" s="362">
        <v>0</v>
      </c>
      <c r="G29" s="362">
        <f>IFERROR(VLOOKUP(C29,'تقرير المصروفات حسب الشهر'!$C$387:$AD$495,5,FALSE),0)</f>
        <v>0</v>
      </c>
      <c r="H29" s="362">
        <f>IFERROR(VLOOKUP(C29,'تقرير المصروفات حسب الشهر'!$C$512:$AD$620,5,FALSE),0)</f>
        <v>0</v>
      </c>
      <c r="I29" s="362">
        <f>IFERROR(VLOOKUP(C29,'تقرير المصروفات حسب الشهر'!$C$637:$AD$746,5,FALSE),0)</f>
        <v>0</v>
      </c>
      <c r="J29" s="362">
        <f>IFERROR(VLOOKUP(C29,'تقرير المصروفات حسب الشهر'!$C$763:$AD$872,5,FALSE),0)</f>
        <v>0</v>
      </c>
      <c r="K29" s="362">
        <f>IFERROR(VLOOKUP(C29,'تقرير المصروفات حسب الشهر'!$C$890:$AD$999,5,FALSE),0)</f>
        <v>12000</v>
      </c>
      <c r="L29" s="362">
        <f>IFERROR(VLOOKUP(C29,'تقرير المصروفات حسب الشهر'!$C$1016:$AD$1126,5,FALSE),0)</f>
        <v>0</v>
      </c>
      <c r="M29" s="376">
        <f>IFERROR(VLOOKUP(C29,'تقرير المصروفات حسب الشهر'!$C$1143:$AD$1254,5,FALSE),0)</f>
        <v>3000</v>
      </c>
      <c r="N29" s="376">
        <f>IFERROR(VLOOKUP(C29,'تقرير المصروفات حسب الشهر'!$C$1270:$AD$1381,5,FALSE),0)</f>
        <v>0</v>
      </c>
      <c r="O29" s="376">
        <f>IFERROR(VLOOKUP(C29,'تقرير المصروفات حسب الشهر'!$C$1397:$AD$1512,5,FALSE),0)</f>
        <v>0</v>
      </c>
      <c r="P29" s="364">
        <f t="shared" si="5"/>
        <v>15000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الشهر'!$C$10:$AD$119,5,FALSE),0)</f>
        <v>185</v>
      </c>
      <c r="E30" s="362">
        <f>IFERROR(VLOOKUP(C30,'تقرير المصروفات حسب الشهر'!$C$135:$AD$244,5,FALSE),0)</f>
        <v>180</v>
      </c>
      <c r="F30" s="362">
        <v>999.5</v>
      </c>
      <c r="G30" s="362">
        <f>IFERROR(VLOOKUP(C30,'تقرير المصروفات حسب الشهر'!$C$387:$AD$495,5,FALSE),0)</f>
        <v>0</v>
      </c>
      <c r="H30" s="362">
        <f>IFERROR(VLOOKUP(C30,'تقرير المصروفات حسب الشهر'!$C$512:$AD$620,5,FALSE),0)</f>
        <v>275</v>
      </c>
      <c r="I30" s="362">
        <f>IFERROR(VLOOKUP(C30,'تقرير المصروفات حسب الشهر'!$C$637:$AD$746,5,FALSE),0)</f>
        <v>25</v>
      </c>
      <c r="J30" s="517">
        <f>IFERROR(VLOOKUP(C30,'تقرير المصروفات حسب الشهر'!$C$763:$AD$872,5,FALSE),0)</f>
        <v>301</v>
      </c>
      <c r="K30" s="362">
        <f>IFERROR(VLOOKUP(C30,'تقرير المصروفات حسب الشهر'!$C$890:$AD$999,5,FALSE),0)</f>
        <v>290</v>
      </c>
      <c r="L30" s="362">
        <f>IFERROR(VLOOKUP(C30,'تقرير المصروفات حسب الشهر'!$C$1016:$AD$1126,5,FALSE),0)</f>
        <v>0</v>
      </c>
      <c r="M30" s="376">
        <f>IFERROR(VLOOKUP(C30,'تقرير المصروفات حسب الشهر'!$C$1143:$AD$1254,5,FALSE),0)</f>
        <v>785.5</v>
      </c>
      <c r="N30" s="376">
        <f>IFERROR(VLOOKUP(C30,'تقرير المصروفات حسب الشهر'!$C$1270:$AD$1381,5,FALSE),0)</f>
        <v>25</v>
      </c>
      <c r="O30" s="376">
        <f>IFERROR(VLOOKUP(C30,'تقرير المصروفات حسب الشهر'!$C$1397:$AD$1512,5,FALSE),0)</f>
        <v>1100</v>
      </c>
      <c r="P30" s="364">
        <f t="shared" si="5"/>
        <v>4166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الشهر'!$C$10:$AD$119,5,FALSE),0)</f>
        <v>464.47</v>
      </c>
      <c r="E31" s="362">
        <f>IFERROR(VLOOKUP(C31,'تقرير المصروفات حسب الشهر'!$C$135:$AD$244,5,FALSE),0)</f>
        <v>464.47</v>
      </c>
      <c r="F31" s="362">
        <v>489.46</v>
      </c>
      <c r="G31" s="362">
        <f>IFERROR(VLOOKUP(C31,'تقرير المصروفات حسب الشهر'!$C$387:$AD$495,5,FALSE),0)</f>
        <v>444.46</v>
      </c>
      <c r="H31" s="362">
        <f>IFERROR(VLOOKUP(C31,'تقرير المصروفات حسب الشهر'!$C$512:$AD$620,5,FALSE),0)</f>
        <v>444.46</v>
      </c>
      <c r="I31" s="362">
        <f>IFERROR(VLOOKUP(C31,'تقرير المصروفات حسب الشهر'!$C$637:$AD$746,5,FALSE),0)</f>
        <v>844.46</v>
      </c>
      <c r="J31" s="517">
        <f>IFERROR(VLOOKUP(C31,'تقرير المصروفات حسب الشهر'!$C$763:$AD$872,5,FALSE),0)</f>
        <v>444.46</v>
      </c>
      <c r="K31" s="362">
        <f>IFERROR(VLOOKUP(C31,'تقرير المصروفات حسب الشهر'!$C$890:$AD$999,5,FALSE),0)</f>
        <v>444.46</v>
      </c>
      <c r="L31" s="362">
        <f>IFERROR(VLOOKUP(C31,'تقرير المصروفات حسب الشهر'!$C$1016:$AD$1126,5,FALSE),0)</f>
        <v>444.46</v>
      </c>
      <c r="M31" s="376">
        <f>IFERROR(VLOOKUP(C31,'تقرير المصروفات حسب الشهر'!$C$1143:$AD$1254,5,FALSE),0)</f>
        <v>644.46</v>
      </c>
      <c r="N31" s="376">
        <f>IFERROR(VLOOKUP(C31,'تقرير المصروفات حسب الشهر'!$C$1270:$AD$1381,5,FALSE),0)</f>
        <v>444.46</v>
      </c>
      <c r="O31" s="376">
        <f>IFERROR(VLOOKUP(C31,'تقرير المصروفات حسب الشهر'!$C$1397:$AD$1512,5,FALSE),0)</f>
        <v>444.46</v>
      </c>
      <c r="P31" s="364">
        <f t="shared" si="5"/>
        <v>6018.54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الشهر'!$C$10:$AD$119,5,FALSE),0)</f>
        <v>0</v>
      </c>
      <c r="E32" s="362">
        <f>IFERROR(VLOOKUP(C32,'تقرير المصروفات حسب الشهر'!$C$135:$AD$244,5,FALSE),0)</f>
        <v>0</v>
      </c>
      <c r="F32" s="362">
        <v>0</v>
      </c>
      <c r="G32" s="362">
        <f>IFERROR(VLOOKUP(C32,'تقرير المصروفات حسب الشهر'!$C$387:$AD$495,5,FALSE),0)</f>
        <v>0</v>
      </c>
      <c r="H32" s="362">
        <f>IFERROR(VLOOKUP(C32,'تقرير المصروفات حسب الشهر'!$C$512:$AD$620,5,FALSE),0)</f>
        <v>0</v>
      </c>
      <c r="I32" s="362">
        <f>IFERROR(VLOOKUP(C32,'تقرير المصروفات حسب الشهر'!$C$637:$AD$746,5,FALSE),0)</f>
        <v>0</v>
      </c>
      <c r="J32" s="362">
        <f>IFERROR(VLOOKUP(C32,'تقرير المصروفات حسب الشهر'!$C$763:$AD$872,5,FALSE),0)</f>
        <v>0</v>
      </c>
      <c r="K32" s="362">
        <f>IFERROR(VLOOKUP(C32,'تقرير المصروفات حسب الشهر'!$C$890:$AD$999,5,FALSE),0)</f>
        <v>0</v>
      </c>
      <c r="L32" s="362">
        <f>IFERROR(VLOOKUP(C32,'تقرير المصروفات حسب الشهر'!$C$1016:$AD$1126,5,FALSE),0)</f>
        <v>0</v>
      </c>
      <c r="M32" s="376">
        <f>IFERROR(VLOOKUP(C32,'تقرير المصروفات حسب الشهر'!$C$1143:$AD$1254,5,FALSE),0)</f>
        <v>0</v>
      </c>
      <c r="N32" s="376">
        <f>IFERROR(VLOOKUP(C32,'تقرير المصروفات حسب الشهر'!$C$1270:$AD$1381,5,FALSE),0)</f>
        <v>0</v>
      </c>
      <c r="O32" s="376">
        <f>IFERROR(VLOOKUP(C32,'تقرير المصروفات حسب الشهر'!$C$1397:$AD$1512,5,FALSE),0)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الشهر'!$C$10:$AD$119,5,FALSE),0)</f>
        <v>0</v>
      </c>
      <c r="E33" s="362">
        <f>IFERROR(VLOOKUP(C33,'تقرير المصروفات حسب الشهر'!$C$135:$AD$244,5,FALSE),0)</f>
        <v>0</v>
      </c>
      <c r="F33" s="362">
        <v>0</v>
      </c>
      <c r="G33" s="362">
        <f>IFERROR(VLOOKUP(C33,'تقرير المصروفات حسب الشهر'!$C$387:$AD$495,5,FALSE),0)</f>
        <v>0</v>
      </c>
      <c r="H33" s="362">
        <f>IFERROR(VLOOKUP(C33,'تقرير المصروفات حسب الشهر'!$C$512:$AD$620,5,FALSE),0)</f>
        <v>0</v>
      </c>
      <c r="I33" s="362">
        <f>IFERROR(VLOOKUP(C33,'تقرير المصروفات حسب الشهر'!$C$637:$AD$746,5,FALSE),0)</f>
        <v>0</v>
      </c>
      <c r="J33" s="517">
        <f>IFERROR(VLOOKUP(C33,'تقرير المصروفات حسب الشهر'!$C$763:$AD$872,5,FALSE),0)</f>
        <v>750</v>
      </c>
      <c r="K33" s="362">
        <f>IFERROR(VLOOKUP(C33,'تقرير المصروفات حسب الشهر'!$C$890:$AD$999,5,FALSE),0)</f>
        <v>0</v>
      </c>
      <c r="L33" s="362">
        <f>IFERROR(VLOOKUP(C33,'تقرير المصروفات حسب الشهر'!$C$1016:$AD$1126,5,FALSE),0)</f>
        <v>0</v>
      </c>
      <c r="M33" s="376">
        <f>IFERROR(VLOOKUP(C33,'تقرير المصروفات حسب الشهر'!$C$1143:$AD$1254,5,FALSE),0)</f>
        <v>0</v>
      </c>
      <c r="N33" s="376">
        <f>IFERROR(VLOOKUP(C33,'تقرير المصروفات حسب الشهر'!$C$1270:$AD$1381,5,FALSE),0)</f>
        <v>250</v>
      </c>
      <c r="O33" s="376">
        <f>IFERROR(VLOOKUP(C33,'تقرير المصروفات حسب الشهر'!$C$1397:$AD$1512,5,FALSE),0)</f>
        <v>0</v>
      </c>
      <c r="P33" s="364">
        <f t="shared" si="5"/>
        <v>1000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الشهر'!$C$10:$AD$119,5,FALSE),0)</f>
        <v>0</v>
      </c>
      <c r="E34" s="362">
        <f>IFERROR(VLOOKUP(C34,'تقرير المصروفات حسب الشهر'!$C$135:$AD$244,5,FALSE),0)</f>
        <v>0</v>
      </c>
      <c r="F34" s="362">
        <v>0</v>
      </c>
      <c r="G34" s="362">
        <f>IFERROR(VLOOKUP(C34,'تقرير المصروفات حسب الشهر'!$C$387:$AD$495,5,FALSE),0)</f>
        <v>0</v>
      </c>
      <c r="H34" s="362">
        <f>IFERROR(VLOOKUP(C34,'تقرير المصروفات حسب الشهر'!$C$512:$AD$620,5,FALSE),0)</f>
        <v>0</v>
      </c>
      <c r="I34" s="362">
        <f>IFERROR(VLOOKUP(C34,'تقرير المصروفات حسب الشهر'!$C$637:$AD$746,5,FALSE),0)</f>
        <v>0</v>
      </c>
      <c r="J34" s="362">
        <f>IFERROR(VLOOKUP(C34,'تقرير المصروفات حسب الشهر'!$C$763:$AD$872,5,FALSE),0)</f>
        <v>0</v>
      </c>
      <c r="K34" s="362">
        <f>IFERROR(VLOOKUP(C34,'تقرير المصروفات حسب الشهر'!$C$890:$AD$999,5,FALSE),0)</f>
        <v>0</v>
      </c>
      <c r="L34" s="362">
        <f>IFERROR(VLOOKUP(C34,'تقرير المصروفات حسب الشهر'!$C$1016:$AD$1126,5,FALSE),0)</f>
        <v>0</v>
      </c>
      <c r="M34" s="376">
        <f>IFERROR(VLOOKUP(C34,'تقرير المصروفات حسب الشهر'!$C$1143:$AD$1254,5,FALSE),0)</f>
        <v>0</v>
      </c>
      <c r="N34" s="376">
        <f>IFERROR(VLOOKUP(C34,'تقرير المصروفات حسب الشهر'!$C$1270:$AD$1381,5,FALSE),0)</f>
        <v>0</v>
      </c>
      <c r="O34" s="376">
        <f>IFERROR(VLOOKUP(C34,'تقرير المصروفات حسب الشهر'!$C$1397:$AD$1512,5,FALSE),0)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الشهر'!$C$10:$AD$119,5,FALSE),0)</f>
        <v>330</v>
      </c>
      <c r="E35" s="362">
        <f>IFERROR(VLOOKUP(C35,'تقرير المصروفات حسب الشهر'!$C$135:$AD$244,5,FALSE),0)</f>
        <v>0</v>
      </c>
      <c r="F35" s="362">
        <v>0</v>
      </c>
      <c r="G35" s="362">
        <f>IFERROR(VLOOKUP(C35,'تقرير المصروفات حسب الشهر'!$C$387:$AD$495,5,FALSE),0)</f>
        <v>300</v>
      </c>
      <c r="H35" s="362">
        <f>IFERROR(VLOOKUP(C35,'تقرير المصروفات حسب الشهر'!$C$512:$AD$620,5,FALSE),0)</f>
        <v>1500</v>
      </c>
      <c r="I35" s="362">
        <f>IFERROR(VLOOKUP(C35,'تقرير المصروفات حسب الشهر'!$C$637:$AD$746,5,FALSE),0)</f>
        <v>1500</v>
      </c>
      <c r="J35" s="517">
        <f>IFERROR(VLOOKUP(C35,'تقرير المصروفات حسب الشهر'!$C$763:$AD$872,5,FALSE),0)</f>
        <v>8927</v>
      </c>
      <c r="K35" s="362">
        <f>IFERROR(VLOOKUP(C35,'تقرير المصروفات حسب الشهر'!$C$890:$AD$999,5,FALSE),0)</f>
        <v>1500</v>
      </c>
      <c r="L35" s="362">
        <f>IFERROR(VLOOKUP(C35,'تقرير المصروفات حسب الشهر'!$C$1016:$AD$1126,5,FALSE),0)</f>
        <v>2650</v>
      </c>
      <c r="M35" s="376">
        <f>IFERROR(VLOOKUP(C35,'تقرير المصروفات حسب الشهر'!$C$1143:$AD$1254,5,FALSE),0)</f>
        <v>21675</v>
      </c>
      <c r="N35" s="376">
        <f>IFERROR(VLOOKUP(C35,'تقرير المصروفات حسب الشهر'!$C$1270:$AD$1381,5,FALSE),0)</f>
        <v>1850</v>
      </c>
      <c r="O35" s="376">
        <f>IFERROR(VLOOKUP(C35,'تقرير المصروفات حسب الشهر'!$C$1397:$AD$1512,5,FALSE),0)</f>
        <v>4000</v>
      </c>
      <c r="P35" s="364">
        <f t="shared" si="5"/>
        <v>44232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الشهر'!$C$10:$AD$119,5,FALSE),0)</f>
        <v>750</v>
      </c>
      <c r="E36" s="362">
        <f>IFERROR(VLOOKUP(C36,'تقرير المصروفات حسب الشهر'!$C$135:$AD$244,5,FALSE),0)</f>
        <v>0</v>
      </c>
      <c r="F36" s="362">
        <v>1500</v>
      </c>
      <c r="G36" s="362">
        <f>IFERROR(VLOOKUP(C36,'تقرير المصروفات حسب الشهر'!$C$387:$AD$495,5,FALSE),0)</f>
        <v>1500</v>
      </c>
      <c r="H36" s="362">
        <f>IFERROR(VLOOKUP(C36,'تقرير المصروفات حسب الشهر'!$C$512:$AD$620,5,FALSE),0)</f>
        <v>0</v>
      </c>
      <c r="I36" s="362">
        <f>IFERROR(VLOOKUP(C36,'تقرير المصروفات حسب الشهر'!$C$637:$AD$746,5,FALSE),0)</f>
        <v>770</v>
      </c>
      <c r="J36" s="362">
        <f>IFERROR(VLOOKUP(C36,'تقرير المصروفات حسب الشهر'!$C$763:$AD$872,5,FALSE),0)</f>
        <v>0</v>
      </c>
      <c r="K36" s="362">
        <f>IFERROR(VLOOKUP(C36,'تقرير المصروفات حسب الشهر'!$C$890:$AD$999,5,FALSE),0)</f>
        <v>3180</v>
      </c>
      <c r="L36" s="362">
        <f>IFERROR(VLOOKUP(C36,'تقرير المصروفات حسب الشهر'!$C$1016:$AD$1126,5,FALSE),0)</f>
        <v>0</v>
      </c>
      <c r="M36" s="376">
        <f>IFERROR(VLOOKUP(C36,'تقرير المصروفات حسب الشهر'!$C$1143:$AD$1254,5,FALSE),0)</f>
        <v>1540</v>
      </c>
      <c r="N36" s="376">
        <f>IFERROR(VLOOKUP(C36,'تقرير المصروفات حسب الشهر'!$C$1270:$AD$1381,5,FALSE),0)</f>
        <v>0</v>
      </c>
      <c r="O36" s="376">
        <f>IFERROR(VLOOKUP(C36,'تقرير المصروفات حسب الشهر'!$C$1397:$AD$1512,5,FALSE),0)</f>
        <v>2310</v>
      </c>
      <c r="P36" s="364">
        <f t="shared" si="5"/>
        <v>11550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الشهر'!$C$10:$AD$119,5,FALSE),0)</f>
        <v>2250</v>
      </c>
      <c r="E37" s="362">
        <f>IFERROR(VLOOKUP(C37,'تقرير المصروفات حسب الشهر'!$C$135:$AD$244,5,FALSE),0)</f>
        <v>0</v>
      </c>
      <c r="F37" s="362">
        <v>4500</v>
      </c>
      <c r="G37" s="362">
        <f>IFERROR(VLOOKUP(C37,'تقرير المصروفات حسب الشهر'!$C$387:$AD$495,5,FALSE),0)</f>
        <v>2250</v>
      </c>
      <c r="H37" s="362">
        <f>IFERROR(VLOOKUP(C37,'تقرير المصروفات حسب الشهر'!$C$512:$AD$620,5,FALSE),0)</f>
        <v>0</v>
      </c>
      <c r="I37" s="362">
        <f>IFERROR(VLOOKUP(C37,'تقرير المصروفات حسب الشهر'!$C$637:$AD$746,5,FALSE),0)</f>
        <v>0</v>
      </c>
      <c r="J37" s="362">
        <f>IFERROR(VLOOKUP(C37,'تقرير المصروفات حسب الشهر'!$C$763:$AD$872,5,FALSE),0)</f>
        <v>0</v>
      </c>
      <c r="K37" s="362">
        <f>IFERROR(VLOOKUP(C37,'تقرير المصروفات حسب الشهر'!$C$890:$AD$999,5,FALSE),0)</f>
        <v>0</v>
      </c>
      <c r="L37" s="362">
        <f>IFERROR(VLOOKUP(C37,'تقرير المصروفات حسب الشهر'!$C$1016:$AD$1126,5,FALSE),0)</f>
        <v>0</v>
      </c>
      <c r="M37" s="376">
        <f>IFERROR(VLOOKUP(C37,'تقرير المصروفات حسب الشهر'!$C$1143:$AD$1254,5,FALSE),0)</f>
        <v>4500</v>
      </c>
      <c r="N37" s="376">
        <f>IFERROR(VLOOKUP(C37,'تقرير المصروفات حسب الشهر'!$C$1270:$AD$1381,5,FALSE),0)</f>
        <v>0</v>
      </c>
      <c r="O37" s="376">
        <f>IFERROR(VLOOKUP(C37,'تقرير المصروفات حسب الشهر'!$C$1397:$AD$1512,5,FALSE),0)</f>
        <v>4520</v>
      </c>
      <c r="P37" s="364">
        <f t="shared" si="5"/>
        <v>18020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الشهر'!$C$10:$AD$119,5,FALSE),0)</f>
        <v>0</v>
      </c>
      <c r="E38" s="362">
        <f>IFERROR(VLOOKUP(C38,'تقرير المصروفات حسب الشهر'!$C$135:$AD$244,5,FALSE),0)</f>
        <v>0</v>
      </c>
      <c r="F38" s="362">
        <v>0</v>
      </c>
      <c r="G38" s="362">
        <f>IFERROR(VLOOKUP(C38,'تقرير المصروفات حسب الشهر'!$C$387:$AD$495,5,FALSE),0)</f>
        <v>0</v>
      </c>
      <c r="H38" s="362">
        <f>IFERROR(VLOOKUP(C38,'تقرير المصروفات حسب الشهر'!$C$512:$AD$620,5,FALSE),0)</f>
        <v>0</v>
      </c>
      <c r="I38" s="362">
        <f>IFERROR(VLOOKUP(C38,'تقرير المصروفات حسب الشهر'!$C$637:$AD$746,5,FALSE),0)</f>
        <v>0</v>
      </c>
      <c r="J38" s="362">
        <f>IFERROR(VLOOKUP(C38,'تقرير المصروفات حسب الشهر'!$C$763:$AD$872,5,FALSE),0)</f>
        <v>0</v>
      </c>
      <c r="K38" s="362">
        <f>IFERROR(VLOOKUP(C38,'تقرير المصروفات حسب الشهر'!$C$890:$AD$999,5,FALSE),0)</f>
        <v>0</v>
      </c>
      <c r="L38" s="362">
        <f>IFERROR(VLOOKUP(C38,'تقرير المصروفات حسب الشهر'!$C$1016:$AD$1126,5,FALSE),0)</f>
        <v>0</v>
      </c>
      <c r="M38" s="376">
        <f>IFERROR(VLOOKUP(C38,'تقرير المصروفات حسب الشهر'!$C$1143:$AD$1254,5,FALSE),0)</f>
        <v>0</v>
      </c>
      <c r="N38" s="376">
        <f>IFERROR(VLOOKUP(C38,'تقرير المصروفات حسب الشهر'!$C$1270:$AD$1381,5,FALSE),0)</f>
        <v>0</v>
      </c>
      <c r="O38" s="376">
        <f>IFERROR(VLOOKUP(C38,'تقرير المصروفات حسب الشهر'!$C$1397:$AD$1512,5,FALSE),0)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الشهر'!$C$10:$AD$119,5,FALSE),0)</f>
        <v>4422.5</v>
      </c>
      <c r="E39" s="362">
        <f>IFERROR(VLOOKUP(C39,'تقرير المصروفات حسب الشهر'!$C$135:$AD$244,5,FALSE),0)</f>
        <v>4442.1000000000004</v>
      </c>
      <c r="F39" s="362">
        <v>3952.5</v>
      </c>
      <c r="G39" s="362">
        <f>IFERROR(VLOOKUP(C39,'تقرير المصروفات حسب الشهر'!$C$387:$AD$495,5,FALSE),0)</f>
        <v>3436.9</v>
      </c>
      <c r="H39" s="362">
        <f>IFERROR(VLOOKUP(C39,'تقرير المصروفات حسب الشهر'!$C$512:$AD$620,5,FALSE),0)</f>
        <v>4803</v>
      </c>
      <c r="I39" s="362">
        <f>IFERROR(VLOOKUP(C39,'تقرير المصروفات حسب الشهر'!$C$637:$AD$746,5,FALSE),0)</f>
        <v>3787</v>
      </c>
      <c r="J39" s="517">
        <f>IFERROR(VLOOKUP(C39,'تقرير المصروفات حسب الشهر'!$C$763:$AD$872,5,FALSE),0)</f>
        <v>2578</v>
      </c>
      <c r="K39" s="362">
        <f>IFERROR(VLOOKUP(C39,'تقرير المصروفات حسب الشهر'!$C$890:$AD$999,5,FALSE),0)</f>
        <v>2070</v>
      </c>
      <c r="L39" s="362">
        <f>IFERROR(VLOOKUP(C39,'تقرير المصروفات حسب الشهر'!$C$1016:$AD$1126,5,FALSE),0)</f>
        <v>1866</v>
      </c>
      <c r="M39" s="376">
        <f>IFERROR(VLOOKUP(C39,'تقرير المصروفات حسب الشهر'!$C$1143:$AD$1254,5,FALSE),0)</f>
        <v>16652</v>
      </c>
      <c r="N39" s="376">
        <f>IFERROR(VLOOKUP(C39,'تقرير المصروفات حسب الشهر'!$C$1270:$AD$1381,5,FALSE),0)</f>
        <v>17806</v>
      </c>
      <c r="O39" s="376">
        <f>IFERROR(VLOOKUP(C39,'تقرير المصروفات حسب الشهر'!$C$1397:$AD$1512,5,FALSE),0)</f>
        <v>3774</v>
      </c>
      <c r="P39" s="364">
        <f t="shared" si="5"/>
        <v>69590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الشهر'!$C$10:$AD$119,5,FALSE),0)</f>
        <v>33934</v>
      </c>
      <c r="E40" s="362">
        <f>IFERROR(VLOOKUP(C40,'تقرير المصروفات حسب الشهر'!$C$135:$AD$244,5,FALSE),0)</f>
        <v>38915.61</v>
      </c>
      <c r="F40" s="362">
        <v>43171.11</v>
      </c>
      <c r="G40" s="362">
        <f>IFERROR(VLOOKUP(C40,'تقرير المصروفات حسب الشهر'!$C$387:$AD$495,5,FALSE),0)</f>
        <v>34149.29</v>
      </c>
      <c r="H40" s="362">
        <f>IFERROR(VLOOKUP(C40,'تقرير المصروفات حسب الشهر'!$C$512:$AD$620,5,FALSE),0)</f>
        <v>48355</v>
      </c>
      <c r="I40" s="362">
        <f>IFERROR(VLOOKUP(C40,'تقرير المصروفات حسب الشهر'!$C$637:$AD$746,5,FALSE),0)</f>
        <v>34617</v>
      </c>
      <c r="J40" s="517">
        <f>IFERROR(VLOOKUP(C40,'تقرير المصروفات حسب الشهر'!$C$763:$AD$872,5,FALSE),0)</f>
        <v>33751</v>
      </c>
      <c r="K40" s="362">
        <f>IFERROR(VLOOKUP(C40,'تقرير المصروفات حسب الشهر'!$C$890:$AD$999,5,FALSE),0)</f>
        <v>29526</v>
      </c>
      <c r="L40" s="362">
        <f>IFERROR(VLOOKUP(C40,'تقرير المصروفات حسب الشهر'!$C$1016:$AD$1126,5,FALSE),0)</f>
        <v>0</v>
      </c>
      <c r="M40" s="376">
        <f>IFERROR(VLOOKUP(C40,'تقرير المصروفات حسب الشهر'!$C$1143:$AD$1254,5,FALSE),0)</f>
        <v>14620</v>
      </c>
      <c r="N40" s="376">
        <f>IFERROR(VLOOKUP(C40,'تقرير المصروفات حسب الشهر'!$C$1270:$AD$1381,5,FALSE),0)</f>
        <v>2800</v>
      </c>
      <c r="O40" s="376">
        <f>IFERROR(VLOOKUP(C40,'تقرير المصروفات حسب الشهر'!$C$1397:$AD$1512,5,FALSE),0)</f>
        <v>1180</v>
      </c>
      <c r="P40" s="364">
        <f t="shared" si="5"/>
        <v>315019.01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الشهر'!$C$10:$AD$119,5,FALSE),0)</f>
        <v>0</v>
      </c>
      <c r="E41" s="362">
        <f>IFERROR(VLOOKUP(C41,'تقرير المصروفات حسب الشهر'!$C$135:$AD$244,5,FALSE),0)</f>
        <v>0</v>
      </c>
      <c r="F41" s="362">
        <v>0</v>
      </c>
      <c r="G41" s="362">
        <f>IFERROR(VLOOKUP(C41,'تقرير المصروفات حسب الشهر'!$C$387:$AD$495,5,FALSE),0)</f>
        <v>0</v>
      </c>
      <c r="H41" s="362">
        <f>IFERROR(VLOOKUP(C41,'تقرير المصروفات حسب الشهر'!$C$512:$AD$620,5,FALSE),0)</f>
        <v>0</v>
      </c>
      <c r="I41" s="362">
        <f>IFERROR(VLOOKUP(C41,'تقرير المصروفات حسب الشهر'!$C$637:$AD$746,5,FALSE),0)</f>
        <v>0</v>
      </c>
      <c r="J41" s="362">
        <f>IFERROR(VLOOKUP(C41,'تقرير المصروفات حسب الشهر'!$C$763:$AD$872,5,FALSE),0)</f>
        <v>0</v>
      </c>
      <c r="K41" s="362">
        <f>IFERROR(VLOOKUP(C41,'تقرير المصروفات حسب الشهر'!$C$890:$AD$999,5,FALSE),0)</f>
        <v>0</v>
      </c>
      <c r="L41" s="362">
        <f>IFERROR(VLOOKUP(C41,'تقرير المصروفات حسب الشهر'!$C$1016:$AD$1126,5,FALSE),0)</f>
        <v>0</v>
      </c>
      <c r="M41" s="376">
        <f>IFERROR(VLOOKUP(C41,'تقرير المصروفات حسب الشهر'!$C$1143:$AD$1254,5,FALSE),0)</f>
        <v>0</v>
      </c>
      <c r="N41" s="376">
        <f>IFERROR(VLOOKUP(C41,'تقرير المصروفات حسب الشهر'!$C$1270:$AD$1381,5,FALSE),0)</f>
        <v>0</v>
      </c>
      <c r="O41" s="376">
        <f>IFERROR(VLOOKUP(C41,'تقرير المصروفات حسب الشهر'!$C$1397:$AD$1512,5,FALSE),0)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الشهر'!$C$10:$AD$119,5,FALSE),0)</f>
        <v>75</v>
      </c>
      <c r="E42" s="362">
        <f>IFERROR(VLOOKUP(C42,'تقرير المصروفات حسب الشهر'!$C$135:$AD$244,5,FALSE),0)</f>
        <v>0</v>
      </c>
      <c r="F42" s="362">
        <v>165</v>
      </c>
      <c r="G42" s="362">
        <f>IFERROR(VLOOKUP(C42,'تقرير المصروفات حسب الشهر'!$C$387:$AD$495,5,FALSE),0)</f>
        <v>0</v>
      </c>
      <c r="H42" s="362">
        <f>IFERROR(VLOOKUP(C42,'تقرير المصروفات حسب الشهر'!$C$512:$AD$620,5,FALSE),0)</f>
        <v>90</v>
      </c>
      <c r="I42" s="362">
        <f>IFERROR(VLOOKUP(C42,'تقرير المصروفات حسب الشهر'!$C$637:$AD$746,5,FALSE),0)</f>
        <v>100</v>
      </c>
      <c r="J42" s="362">
        <f>IFERROR(VLOOKUP(C42,'تقرير المصروفات حسب الشهر'!$C$763:$AD$872,5,FALSE),0)</f>
        <v>0</v>
      </c>
      <c r="K42" s="362">
        <f>IFERROR(VLOOKUP(C42,'تقرير المصروفات حسب الشهر'!$C$890:$AD$999,5,FALSE),0)</f>
        <v>200</v>
      </c>
      <c r="L42" s="362">
        <f>IFERROR(VLOOKUP(C42,'تقرير المصروفات حسب الشهر'!$C$1016:$AD$1126,5,FALSE),0)</f>
        <v>0</v>
      </c>
      <c r="M42" s="376">
        <f>IFERROR(VLOOKUP(C42,'تقرير المصروفات حسب الشهر'!$C$1143:$AD$1254,5,FALSE),0)</f>
        <v>145</v>
      </c>
      <c r="N42" s="376">
        <f>IFERROR(VLOOKUP(C42,'تقرير المصروفات حسب الشهر'!$C$1270:$AD$1381,5,FALSE),0)</f>
        <v>0</v>
      </c>
      <c r="O42" s="376">
        <f>IFERROR(VLOOKUP(C42,'تقرير المصروفات حسب الشهر'!$C$1397:$AD$1512,5,FALSE),0)</f>
        <v>105</v>
      </c>
      <c r="P42" s="364">
        <f t="shared" si="5"/>
        <v>880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الشهر'!$C$10:$AD$119,5,FALSE),0)</f>
        <v>0</v>
      </c>
      <c r="E43" s="362">
        <f>IFERROR(VLOOKUP(C43,'تقرير المصروفات حسب الشهر'!$C$135:$AD$244,5,FALSE),0)</f>
        <v>0</v>
      </c>
      <c r="F43" s="362">
        <v>0</v>
      </c>
      <c r="G43" s="362">
        <f>IFERROR(VLOOKUP(C43,'تقرير المصروفات حسب الشهر'!$C$387:$AD$495,5,FALSE),0)</f>
        <v>0</v>
      </c>
      <c r="H43" s="362">
        <f>IFERROR(VLOOKUP(C43,'تقرير المصروفات حسب الشهر'!$C$512:$AD$620,5,FALSE),0)</f>
        <v>0</v>
      </c>
      <c r="I43" s="362">
        <f>IFERROR(VLOOKUP(C43,'تقرير المصروفات حسب الشهر'!$C$637:$AD$746,5,FALSE),0)</f>
        <v>0</v>
      </c>
      <c r="J43" s="362">
        <f>IFERROR(VLOOKUP(C43,'تقرير المصروفات حسب الشهر'!$C$763:$AD$872,5,FALSE),0)</f>
        <v>0</v>
      </c>
      <c r="K43" s="362">
        <f>IFERROR(VLOOKUP(C43,'تقرير المصروفات حسب الشهر'!$C$890:$AD$999,5,FALSE),0)</f>
        <v>0</v>
      </c>
      <c r="L43" s="362">
        <f>IFERROR(VLOOKUP(C43,'تقرير المصروفات حسب الشهر'!$C$1016:$AD$1126,5,FALSE),0)</f>
        <v>0</v>
      </c>
      <c r="M43" s="376">
        <f>IFERROR(VLOOKUP(C43,'تقرير المصروفات حسب الشهر'!$C$1143:$AD$1254,5,FALSE),0)</f>
        <v>0</v>
      </c>
      <c r="N43" s="376">
        <f>IFERROR(VLOOKUP(C43,'تقرير المصروفات حسب الشهر'!$C$1270:$AD$1381,5,FALSE),0)</f>
        <v>0</v>
      </c>
      <c r="O43" s="376">
        <f>IFERROR(VLOOKUP(C43,'تقرير المصروفات حسب الشهر'!$C$1397:$AD$1512,5,FALSE),0)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الشهر'!$C$10:$AD$119,5,FALSE),0)</f>
        <v>0</v>
      </c>
      <c r="E44" s="362">
        <f>IFERROR(VLOOKUP(C44,'تقرير المصروفات حسب الشهر'!$C$135:$AD$244,5,FALSE),0)</f>
        <v>210</v>
      </c>
      <c r="F44" s="362">
        <v>80</v>
      </c>
      <c r="G44" s="362">
        <f>IFERROR(VLOOKUP(C44,'تقرير المصروفات حسب الشهر'!$C$387:$AD$495,5,FALSE),0)</f>
        <v>175</v>
      </c>
      <c r="H44" s="362">
        <f>IFERROR(VLOOKUP(C44,'تقرير المصروفات حسب الشهر'!$C$512:$AD$620,5,FALSE),0)</f>
        <v>200</v>
      </c>
      <c r="I44" s="362">
        <f>IFERROR(VLOOKUP(C44,'تقرير المصروفات حسب الشهر'!$C$637:$AD$746,5,FALSE),0)</f>
        <v>620</v>
      </c>
      <c r="J44" s="517">
        <f>IFERROR(VLOOKUP(C44,'تقرير المصروفات حسب الشهر'!$C$763:$AD$872,5,FALSE),0)</f>
        <v>300</v>
      </c>
      <c r="K44" s="362">
        <f>IFERROR(VLOOKUP(C44,'تقرير المصروفات حسب الشهر'!$C$890:$AD$999,5,FALSE),0)</f>
        <v>250</v>
      </c>
      <c r="L44" s="362">
        <f>IFERROR(VLOOKUP(C44,'تقرير المصروفات حسب الشهر'!$C$1016:$AD$1126,5,FALSE),0)</f>
        <v>0</v>
      </c>
      <c r="M44" s="376">
        <f>IFERROR(VLOOKUP(C44,'تقرير المصروفات حسب الشهر'!$C$1143:$AD$1254,5,FALSE),0)</f>
        <v>1418</v>
      </c>
      <c r="N44" s="376">
        <f>IFERROR(VLOOKUP(C44,'تقرير المصروفات حسب الشهر'!$C$1270:$AD$1381,5,FALSE),0)</f>
        <v>282.5</v>
      </c>
      <c r="O44" s="376">
        <f>IFERROR(VLOOKUP(C44,'تقرير المصروفات حسب الشهر'!$C$1397:$AD$1512,5,FALSE),0)</f>
        <v>390</v>
      </c>
      <c r="P44" s="364">
        <f t="shared" si="5"/>
        <v>3925.5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الشهر'!$C$10:$AD$119,5,FALSE),0)</f>
        <v>160</v>
      </c>
      <c r="E45" s="362">
        <f>IFERROR(VLOOKUP(C45,'تقرير المصروفات حسب الشهر'!$C$135:$AD$244,5,FALSE),0)</f>
        <v>80</v>
      </c>
      <c r="F45" s="362">
        <v>80</v>
      </c>
      <c r="G45" s="362">
        <f>IFERROR(VLOOKUP(C45,'تقرير المصروفات حسب الشهر'!$C$387:$AD$495,5,FALSE),0)</f>
        <v>80</v>
      </c>
      <c r="H45" s="362">
        <f>IFERROR(VLOOKUP(C45,'تقرير المصروفات حسب الشهر'!$C$512:$AD$620,5,FALSE),0)</f>
        <v>80</v>
      </c>
      <c r="I45" s="362">
        <f>IFERROR(VLOOKUP(C45,'تقرير المصروفات حسب الشهر'!$C$637:$AD$746,5,FALSE),0)</f>
        <v>80</v>
      </c>
      <c r="J45" s="517">
        <f>IFERROR(VLOOKUP(C45,'تقرير المصروفات حسب الشهر'!$C$763:$AD$872,5,FALSE),0)</f>
        <v>80</v>
      </c>
      <c r="K45" s="362">
        <f>IFERROR(VLOOKUP(C45,'تقرير المصروفات حسب الشهر'!$C$890:$AD$999,5,FALSE),0)</f>
        <v>80</v>
      </c>
      <c r="L45" s="362">
        <f>IFERROR(VLOOKUP(C45,'تقرير المصروفات حسب الشهر'!$C$1016:$AD$1126,5,FALSE),0)</f>
        <v>0</v>
      </c>
      <c r="M45" s="376">
        <f>IFERROR(VLOOKUP(C45,'تقرير المصروفات حسب الشهر'!$C$1143:$AD$1254,5,FALSE),0)</f>
        <v>0</v>
      </c>
      <c r="N45" s="376">
        <f>IFERROR(VLOOKUP(C45,'تقرير المصروفات حسب الشهر'!$C$1270:$AD$1381,5,FALSE),0)</f>
        <v>80</v>
      </c>
      <c r="O45" s="376">
        <f>IFERROR(VLOOKUP(C45,'تقرير المصروفات حسب الشهر'!$C$1397:$AD$1512,5,FALSE),0)</f>
        <v>0</v>
      </c>
      <c r="P45" s="364">
        <f t="shared" si="5"/>
        <v>800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الشهر'!$C$10:$AD$119,5,FALSE),0)</f>
        <v>139.91</v>
      </c>
      <c r="E46" s="362">
        <f>IFERROR(VLOOKUP(C46,'تقرير المصروفات حسب الشهر'!$C$135:$AD$244,5,FALSE),0)</f>
        <v>139.91</v>
      </c>
      <c r="F46" s="362">
        <v>139.91</v>
      </c>
      <c r="G46" s="362">
        <f>IFERROR(VLOOKUP(C46,'تقرير المصروفات حسب الشهر'!$C$387:$AD$495,5,FALSE),0)</f>
        <v>139.91</v>
      </c>
      <c r="H46" s="362">
        <f>IFERROR(VLOOKUP(C46,'تقرير المصروفات حسب الشهر'!$C$512:$AD$620,5,FALSE),0)</f>
        <v>139.91</v>
      </c>
      <c r="I46" s="362">
        <f>IFERROR(VLOOKUP(C46,'تقرير المصروفات حسب الشهر'!$C$637:$AD$746,5,FALSE),0)</f>
        <v>139.91</v>
      </c>
      <c r="J46" s="517">
        <f>IFERROR(VLOOKUP(C46,'تقرير المصروفات حسب الشهر'!$C$763:$AD$872,5,FALSE),0)</f>
        <v>139.91</v>
      </c>
      <c r="K46" s="362">
        <f>IFERROR(VLOOKUP(C46,'تقرير المصروفات حسب الشهر'!$C$890:$AD$999,5,FALSE),0)</f>
        <v>139.91</v>
      </c>
      <c r="L46" s="362">
        <f>IFERROR(VLOOKUP(C46,'تقرير المصروفات حسب الشهر'!$C$1016:$AD$1126,5,FALSE),0)</f>
        <v>139.91</v>
      </c>
      <c r="M46" s="376">
        <f>IFERROR(VLOOKUP(C46,'تقرير المصروفات حسب الشهر'!$C$1143:$AD$1254,5,FALSE),0)</f>
        <v>139.91</v>
      </c>
      <c r="N46" s="376">
        <f>IFERROR(VLOOKUP(C46,'تقرير المصروفات حسب الشهر'!$C$1270:$AD$1381,5,FALSE),0)</f>
        <v>139.91</v>
      </c>
      <c r="O46" s="376">
        <f>IFERROR(VLOOKUP(C46,'تقرير المصروفات حسب الشهر'!$C$1397:$AD$1512,5,FALSE),0)</f>
        <v>139.91</v>
      </c>
      <c r="P46" s="364">
        <f t="shared" si="5"/>
        <v>1678.9200000000003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الشهر'!$C$10:$AD$119,5,FALSE),0)</f>
        <v>0</v>
      </c>
      <c r="E47" s="362">
        <f>IFERROR(VLOOKUP(C47,'تقرير المصروفات حسب الشهر'!$C$135:$AD$244,5,FALSE),0)</f>
        <v>0</v>
      </c>
      <c r="F47" s="362">
        <v>2000</v>
      </c>
      <c r="G47" s="362">
        <f>IFERROR(VLOOKUP(C47,'تقرير المصروفات حسب الشهر'!$C$387:$AD$495,5,FALSE),0)</f>
        <v>2200</v>
      </c>
      <c r="H47" s="362">
        <f>IFERROR(VLOOKUP(C47,'تقرير المصروفات حسب الشهر'!$C$512:$AD$620,5,FALSE),0)</f>
        <v>0</v>
      </c>
      <c r="I47" s="362">
        <f>IFERROR(VLOOKUP(C47,'تقرير المصروفات حسب الشهر'!$C$637:$AD$746,5,FALSE),0)</f>
        <v>300</v>
      </c>
      <c r="J47" s="517">
        <f>IFERROR(VLOOKUP(C47,'تقرير المصروفات حسب الشهر'!$C$763:$AD$872,5,FALSE),0)</f>
        <v>625</v>
      </c>
      <c r="K47" s="362">
        <f>IFERROR(VLOOKUP(C47,'تقرير المصروفات حسب الشهر'!$C$890:$AD$999,5,FALSE),0)</f>
        <v>1300</v>
      </c>
      <c r="L47" s="362">
        <f>IFERROR(VLOOKUP(C47,'تقرير المصروفات حسب الشهر'!$C$1016:$AD$1126,5,FALSE),0)</f>
        <v>0</v>
      </c>
      <c r="M47" s="376">
        <f>IFERROR(VLOOKUP(C47,'تقرير المصروفات حسب الشهر'!$C$1143:$AD$1254,5,FALSE),0)</f>
        <v>5000</v>
      </c>
      <c r="N47" s="376">
        <f>IFERROR(VLOOKUP(C47,'تقرير المصروفات حسب الشهر'!$C$1270:$AD$1381,5,FALSE),0)</f>
        <v>0</v>
      </c>
      <c r="O47" s="376">
        <f>IFERROR(VLOOKUP(C47,'تقرير المصروفات حسب الشهر'!$C$1397:$AD$1512,5,FALSE),0)</f>
        <v>0</v>
      </c>
      <c r="P47" s="364">
        <f t="shared" si="5"/>
        <v>11425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الشهر'!$C$10:$AD$119,5,FALSE),0)</f>
        <v>0</v>
      </c>
      <c r="E48" s="362">
        <f>IFERROR(VLOOKUP(C48,'تقرير المصروفات حسب الشهر'!$C$135:$AD$244,5,FALSE),0)</f>
        <v>0</v>
      </c>
      <c r="F48" s="362">
        <v>0</v>
      </c>
      <c r="G48" s="362">
        <f>IFERROR(VLOOKUP(C48,'تقرير المصروفات حسب الشهر'!$C$387:$AD$495,5,FALSE),0)</f>
        <v>0</v>
      </c>
      <c r="H48" s="362">
        <f>IFERROR(VLOOKUP(C48,'تقرير المصروفات حسب الشهر'!$C$512:$AD$620,5,FALSE),0)</f>
        <v>0</v>
      </c>
      <c r="I48" s="362">
        <f>IFERROR(VLOOKUP(C48,'تقرير المصروفات حسب الشهر'!$C$637:$AD$746,5,FALSE),0)</f>
        <v>0</v>
      </c>
      <c r="J48" s="517">
        <f>IFERROR(VLOOKUP(C48,'تقرير المصروفات حسب الشهر'!$C$763:$AD$872,5,FALSE),0)</f>
        <v>35</v>
      </c>
      <c r="K48" s="362">
        <f>IFERROR(VLOOKUP(C48,'تقرير المصروفات حسب الشهر'!$C$890:$AD$999,5,FALSE),0)</f>
        <v>0</v>
      </c>
      <c r="L48" s="362">
        <f>IFERROR(VLOOKUP(C48,'تقرير المصروفات حسب الشهر'!$C$1016:$AD$1126,5,FALSE),0)</f>
        <v>0</v>
      </c>
      <c r="M48" s="376">
        <f>IFERROR(VLOOKUP(C48,'تقرير المصروفات حسب الشهر'!$C$1143:$AD$1254,5,FALSE),0)</f>
        <v>0</v>
      </c>
      <c r="N48" s="376">
        <f>IFERROR(VLOOKUP(C48,'تقرير المصروفات حسب الشهر'!$C$1270:$AD$1381,5,FALSE),0)</f>
        <v>0</v>
      </c>
      <c r="O48" s="376">
        <f>IFERROR(VLOOKUP(C48,'تقرير المصروفات حسب الشهر'!$C$1397:$AD$1512,5,FALSE),0)</f>
        <v>0</v>
      </c>
      <c r="P48" s="364">
        <f t="shared" si="5"/>
        <v>35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الشهر'!$C$10:$AD$119,5,FALSE),0)</f>
        <v>0</v>
      </c>
      <c r="E49" s="362">
        <f>IFERROR(VLOOKUP(C49,'تقرير المصروفات حسب الشهر'!$C$135:$AD$244,5,FALSE),0)</f>
        <v>0</v>
      </c>
      <c r="F49" s="362">
        <v>0</v>
      </c>
      <c r="G49" s="362">
        <f>IFERROR(VLOOKUP(C49,'تقرير المصروفات حسب الشهر'!$C$387:$AD$495,5,FALSE),0)</f>
        <v>0</v>
      </c>
      <c r="H49" s="362">
        <f>IFERROR(VLOOKUP(C49,'تقرير المصروفات حسب الشهر'!$C$512:$AD$620,5,FALSE),0)</f>
        <v>470</v>
      </c>
      <c r="I49" s="362">
        <f>IFERROR(VLOOKUP(C49,'تقرير المصروفات حسب الشهر'!$C$637:$AD$746,5,FALSE),0)</f>
        <v>0</v>
      </c>
      <c r="J49" s="517">
        <f>IFERROR(VLOOKUP(C49,'تقرير المصروفات حسب الشهر'!$C$763:$AD$872,5,FALSE),0)</f>
        <v>180</v>
      </c>
      <c r="K49" s="362">
        <f>IFERROR(VLOOKUP(C49,'تقرير المصروفات حسب الشهر'!$C$890:$AD$999,5,FALSE),0)</f>
        <v>0</v>
      </c>
      <c r="L49" s="362">
        <f>IFERROR(VLOOKUP(C49,'تقرير المصروفات حسب الشهر'!$C$1016:$AD$1126,5,FALSE),0)</f>
        <v>0</v>
      </c>
      <c r="M49" s="376">
        <f>IFERROR(VLOOKUP(C49,'تقرير المصروفات حسب الشهر'!$C$1143:$AD$1254,5,FALSE),0)</f>
        <v>100</v>
      </c>
      <c r="N49" s="376">
        <f>IFERROR(VLOOKUP(C49,'تقرير المصروفات حسب الشهر'!$C$1270:$AD$1381,5,FALSE),0)</f>
        <v>600</v>
      </c>
      <c r="O49" s="376">
        <f>IFERROR(VLOOKUP(C49,'تقرير المصروفات حسب الشهر'!$C$1397:$AD$1512,5,FALSE),0)</f>
        <v>0</v>
      </c>
      <c r="P49" s="364">
        <f t="shared" si="5"/>
        <v>1350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الشهر'!$C$10:$AD$119,5,FALSE),0)</f>
        <v>0</v>
      </c>
      <c r="E50" s="362">
        <f>IFERROR(VLOOKUP(C50,'تقرير المصروفات حسب الشهر'!$C$135:$AD$244,5,FALSE),0)</f>
        <v>0</v>
      </c>
      <c r="F50" s="362">
        <v>0</v>
      </c>
      <c r="G50" s="362">
        <f>IFERROR(VLOOKUP(C50,'تقرير المصروفات حسب الشهر'!$C$387:$AD$495,5,FALSE),0)</f>
        <v>0</v>
      </c>
      <c r="H50" s="362">
        <f>IFERROR(VLOOKUP(C50,'تقرير المصروفات حسب الشهر'!$C$512:$AD$620,5,FALSE),0)</f>
        <v>0</v>
      </c>
      <c r="I50" s="362">
        <f>IFERROR(VLOOKUP(C50,'تقرير المصروفات حسب الشهر'!$C$637:$AD$746,5,FALSE),0)</f>
        <v>0</v>
      </c>
      <c r="J50" s="362">
        <f>IFERROR(VLOOKUP(C50,'تقرير المصروفات حسب الشهر'!$C$763:$AD$872,5,FALSE),0)</f>
        <v>0</v>
      </c>
      <c r="K50" s="362">
        <f>IFERROR(VLOOKUP(C50,'تقرير المصروفات حسب الشهر'!$C$890:$AD$999,5,FALSE),0)</f>
        <v>0</v>
      </c>
      <c r="L50" s="362">
        <f>IFERROR(VLOOKUP(C50,'تقرير المصروفات حسب الشهر'!$C$1016:$AD$1126,5,FALSE),0)</f>
        <v>0</v>
      </c>
      <c r="M50" s="376">
        <f>IFERROR(VLOOKUP(C50,'تقرير المصروفات حسب الشهر'!$C$1143:$AD$1254,5,FALSE),0)</f>
        <v>0</v>
      </c>
      <c r="N50" s="376">
        <f>IFERROR(VLOOKUP(C50,'تقرير المصروفات حسب الشهر'!$C$1270:$AD$1381,5,FALSE),0)</f>
        <v>0</v>
      </c>
      <c r="O50" s="376">
        <f>IFERROR(VLOOKUP(C50,'تقرير المصروفات حسب الشهر'!$C$1397:$AD$1512,5,FALSE),0)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الشهر'!$C$10:$AD$119,5,FALSE),0)</f>
        <v>500</v>
      </c>
      <c r="E51" s="362">
        <f>IFERROR(VLOOKUP(C51,'تقرير المصروفات حسب الشهر'!$C$135:$AD$244,5,FALSE),0)</f>
        <v>60</v>
      </c>
      <c r="F51" s="362">
        <v>0</v>
      </c>
      <c r="G51" s="362">
        <f>IFERROR(VLOOKUP(C51,'تقرير المصروفات حسب الشهر'!$C$387:$AD$495,5,FALSE),0)</f>
        <v>5670</v>
      </c>
      <c r="H51" s="362">
        <f>IFERROR(VLOOKUP(C51,'تقرير المصروفات حسب الشهر'!$C$512:$AD$620,5,FALSE),0)</f>
        <v>0</v>
      </c>
      <c r="I51" s="362">
        <f>IFERROR(VLOOKUP(C51,'تقرير المصروفات حسب الشهر'!$C$637:$AD$746,5,FALSE),0)</f>
        <v>200</v>
      </c>
      <c r="J51" s="517">
        <f>IFERROR(VLOOKUP(C51,'تقرير المصروفات حسب الشهر'!$C$763:$AD$872,5,FALSE),0)</f>
        <v>1000</v>
      </c>
      <c r="K51" s="362">
        <f>IFERROR(VLOOKUP(C51,'تقرير المصروفات حسب الشهر'!$C$890:$AD$999,5,FALSE),0)</f>
        <v>70</v>
      </c>
      <c r="L51" s="362">
        <f>IFERROR(VLOOKUP(C51,'تقرير المصروفات حسب الشهر'!$C$1016:$AD$1126,5,FALSE),0)</f>
        <v>0</v>
      </c>
      <c r="M51" s="376">
        <f>IFERROR(VLOOKUP(C51,'تقرير المصروفات حسب الشهر'!$C$1143:$AD$1254,5,FALSE),0)</f>
        <v>575</v>
      </c>
      <c r="N51" s="376">
        <f>IFERROR(VLOOKUP(C51,'تقرير المصروفات حسب الشهر'!$C$1270:$AD$1381,5,FALSE),0)</f>
        <v>0</v>
      </c>
      <c r="O51" s="376">
        <f>IFERROR(VLOOKUP(C51,'تقرير المصروفات حسب الشهر'!$C$1397:$AD$1512,5,FALSE),0)</f>
        <v>0</v>
      </c>
      <c r="P51" s="364">
        <f t="shared" si="5"/>
        <v>8075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الشهر'!$C$10:$AD$119,5,FALSE),0)</f>
        <v>0</v>
      </c>
      <c r="E52" s="362">
        <f>IFERROR(VLOOKUP(C52,'تقرير المصروفات حسب الشهر'!$C$135:$AD$244,5,FALSE),0)</f>
        <v>0</v>
      </c>
      <c r="F52" s="362">
        <v>0</v>
      </c>
      <c r="G52" s="362">
        <f>IFERROR(VLOOKUP(C52,'تقرير المصروفات حسب الشهر'!$C$387:$AD$495,5,FALSE),0)</f>
        <v>0</v>
      </c>
      <c r="H52" s="362">
        <f>IFERROR(VLOOKUP(C52,'تقرير المصروفات حسب الشهر'!$C$512:$AD$620,5,FALSE),0)</f>
        <v>0</v>
      </c>
      <c r="I52" s="362">
        <f>IFERROR(VLOOKUP(C52,'تقرير المصروفات حسب الشهر'!$C$637:$AD$746,5,FALSE),0)</f>
        <v>0</v>
      </c>
      <c r="J52" s="362">
        <f>IFERROR(VLOOKUP(C52,'تقرير المصروفات حسب الشهر'!$C$763:$AD$872,5,FALSE),0)</f>
        <v>0</v>
      </c>
      <c r="K52" s="362">
        <f>IFERROR(VLOOKUP(C52,'تقرير المصروفات حسب الشهر'!$C$890:$AD$999,5,FALSE),0)</f>
        <v>0</v>
      </c>
      <c r="L52" s="362">
        <f>IFERROR(VLOOKUP(C52,'تقرير المصروفات حسب الشهر'!$C$1016:$AD$1126,5,FALSE),0)</f>
        <v>0</v>
      </c>
      <c r="M52" s="376">
        <f>IFERROR(VLOOKUP(C52,'تقرير المصروفات حسب الشهر'!$C$1143:$AD$1254,5,FALSE),0)</f>
        <v>75000</v>
      </c>
      <c r="N52" s="376">
        <f>IFERROR(VLOOKUP(C52,'تقرير المصروفات حسب الشهر'!$C$1270:$AD$1381,5,FALSE),0)</f>
        <v>10000</v>
      </c>
      <c r="O52" s="376">
        <f>IFERROR(VLOOKUP(C52,'تقرير المصروفات حسب الشهر'!$C$1397:$AD$1512,5,FALSE),0)</f>
        <v>0</v>
      </c>
      <c r="P52" s="364">
        <f t="shared" si="5"/>
        <v>85000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الشهر'!$C$10:$AD$119,5,FALSE),0)</f>
        <v>0</v>
      </c>
      <c r="E53" s="362">
        <f>IFERROR(VLOOKUP(C53,'تقرير المصروفات حسب الشهر'!$C$135:$AD$244,5,FALSE),0)</f>
        <v>0</v>
      </c>
      <c r="F53" s="362">
        <v>0</v>
      </c>
      <c r="G53" s="362">
        <f>IFERROR(VLOOKUP(C53,'تقرير المصروفات حسب الشهر'!$C$387:$AD$495,5,FALSE),0)</f>
        <v>0</v>
      </c>
      <c r="H53" s="362">
        <f>IFERROR(VLOOKUP(C53,'تقرير المصروفات حسب الشهر'!$C$512:$AD$620,5,FALSE),0)</f>
        <v>0</v>
      </c>
      <c r="I53" s="362">
        <f>IFERROR(VLOOKUP(C53,'تقرير المصروفات حسب الشهر'!$C$637:$AD$746,5,FALSE),0)</f>
        <v>0</v>
      </c>
      <c r="J53" s="362">
        <f>IFERROR(VLOOKUP(C53,'تقرير المصروفات حسب الشهر'!$C$763:$AD$872,5,FALSE),0)</f>
        <v>0</v>
      </c>
      <c r="K53" s="362">
        <f>IFERROR(VLOOKUP(C53,'تقرير المصروفات حسب الشهر'!$C$890:$AD$999,5,FALSE),0)</f>
        <v>0</v>
      </c>
      <c r="L53" s="362">
        <f>IFERROR(VLOOKUP(C53,'تقرير المصروفات حسب الشهر'!$C$1016:$AD$1126,5,FALSE),0)</f>
        <v>0</v>
      </c>
      <c r="M53" s="376">
        <f>IFERROR(VLOOKUP(C53,'تقرير المصروفات حسب الشهر'!$C$1143:$AD$1254,5,FALSE),0)</f>
        <v>0</v>
      </c>
      <c r="N53" s="376">
        <f>IFERROR(VLOOKUP(C53,'تقرير المصروفات حسب الشهر'!$C$1270:$AD$1381,5,FALSE),0)</f>
        <v>0</v>
      </c>
      <c r="O53" s="376">
        <f>IFERROR(VLOOKUP(C53,'تقرير المصروفات حسب الشهر'!$C$1397:$AD$1512,5,FALSE),0)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الشهر'!$C$10:$AD$119,5,FALSE),0)</f>
        <v>8050</v>
      </c>
      <c r="E54" s="362">
        <f>IFERROR(VLOOKUP(C54,'تقرير المصروفات حسب الشهر'!$C$135:$AD$244,5,FALSE),0)</f>
        <v>0</v>
      </c>
      <c r="F54" s="362">
        <v>17400</v>
      </c>
      <c r="G54" s="362">
        <f>IFERROR(VLOOKUP(C54,'تقرير المصروفات حسب الشهر'!$C$387:$AD$495,5,FALSE),0)</f>
        <v>8250</v>
      </c>
      <c r="H54" s="362">
        <f>IFERROR(VLOOKUP(C54,'تقرير المصروفات حسب الشهر'!$C$512:$AD$620,5,FALSE),0)</f>
        <v>8400</v>
      </c>
      <c r="I54" s="362">
        <f>IFERROR(VLOOKUP(C54,'تقرير المصروفات حسب الشهر'!$C$637:$AD$746,5,FALSE),0)</f>
        <v>9600</v>
      </c>
      <c r="J54" s="517">
        <f>IFERROR(VLOOKUP(C54,'تقرير المصروفات حسب الشهر'!$C$763:$AD$872,5,FALSE),0)</f>
        <v>9000</v>
      </c>
      <c r="K54" s="362">
        <f>IFERROR(VLOOKUP(C54,'تقرير المصروفات حسب الشهر'!$C$890:$AD$999,5,FALSE),0)</f>
        <v>9600</v>
      </c>
      <c r="L54" s="362">
        <f>IFERROR(VLOOKUP(C54,'تقرير المصروفات حسب الشهر'!$C$1016:$AD$1126,5,FALSE),0)</f>
        <v>0</v>
      </c>
      <c r="M54" s="376">
        <f>IFERROR(VLOOKUP(C54,'تقرير المصروفات حسب الشهر'!$C$1143:$AD$1254,5,FALSE),0)</f>
        <v>0</v>
      </c>
      <c r="N54" s="376">
        <f>IFERROR(VLOOKUP(C54,'تقرير المصروفات حسب الشهر'!$C$1270:$AD$1381,5,FALSE),0)</f>
        <v>0</v>
      </c>
      <c r="O54" s="376">
        <f>IFERROR(VLOOKUP(C54,'تقرير المصروفات حسب الشهر'!$C$1397:$AD$1512,5,FALSE),0)</f>
        <v>17800</v>
      </c>
      <c r="P54" s="364">
        <f t="shared" si="5"/>
        <v>88100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الشهر'!$C$10:$AD$119,5,FALSE),0)</f>
        <v>0</v>
      </c>
      <c r="E55" s="362">
        <f>IFERROR(VLOOKUP(C55,'تقرير المصروفات حسب الشهر'!$C$135:$AD$244,5,FALSE),0)</f>
        <v>0</v>
      </c>
      <c r="F55" s="362">
        <v>0</v>
      </c>
      <c r="G55" s="362">
        <f>IFERROR(VLOOKUP(C55,'تقرير المصروفات حسب الشهر'!$C$387:$AD$495,5,FALSE),0)</f>
        <v>0</v>
      </c>
      <c r="H55" s="362">
        <f>IFERROR(VLOOKUP(C55,'تقرير المصروفات حسب الشهر'!$C$512:$AD$620,5,FALSE),0)</f>
        <v>0</v>
      </c>
      <c r="I55" s="362">
        <f>IFERROR(VLOOKUP(C55,'تقرير المصروفات حسب الشهر'!$C$637:$AD$746,5,FALSE),0)</f>
        <v>0</v>
      </c>
      <c r="J55" s="362">
        <f>IFERROR(VLOOKUP(C55,'تقرير المصروفات حسب الشهر'!$C$763:$AD$872,5,FALSE),0)</f>
        <v>0</v>
      </c>
      <c r="K55" s="362">
        <f>IFERROR(VLOOKUP(C55,'تقرير المصروفات حسب الشهر'!$C$890:$AD$999,5,FALSE),0)</f>
        <v>0</v>
      </c>
      <c r="L55" s="362">
        <f>IFERROR(VLOOKUP(C55,'تقرير المصروفات حسب الشهر'!$C$1016:$AD$1126,5,FALSE),0)</f>
        <v>0</v>
      </c>
      <c r="M55" s="376">
        <f>IFERROR(VLOOKUP(C55,'تقرير المصروفات حسب الشهر'!$C$1143:$AD$1254,5,FALSE),0)</f>
        <v>7500</v>
      </c>
      <c r="N55" s="376">
        <f>IFERROR(VLOOKUP(C55,'تقرير المصروفات حسب الشهر'!$C$1270:$AD$1381,5,FALSE),0)</f>
        <v>0</v>
      </c>
      <c r="O55" s="376">
        <f>IFERROR(VLOOKUP(C55,'تقرير المصروفات حسب الشهر'!$C$1397:$AD$1512,5,FALSE),0)</f>
        <v>0</v>
      </c>
      <c r="P55" s="364">
        <f t="shared" si="5"/>
        <v>7500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الشهر'!$C$10:$AD$119,5,FALSE),0)</f>
        <v>301.64</v>
      </c>
      <c r="E56" s="362">
        <f>IFERROR(VLOOKUP(C56,'تقرير المصروفات حسب الشهر'!$C$135:$AD$244,5,FALSE),0)</f>
        <v>60.77</v>
      </c>
      <c r="F56" s="362">
        <v>0</v>
      </c>
      <c r="G56" s="362">
        <f>IFERROR(VLOOKUP(C56,'تقرير المصروفات حسب الشهر'!$C$387:$AD$495,5,FALSE),0)</f>
        <v>0</v>
      </c>
      <c r="H56" s="362">
        <f>IFERROR(VLOOKUP(C56,'تقرير المصروفات حسب الشهر'!$C$512:$AD$620,5,FALSE),0)</f>
        <v>0</v>
      </c>
      <c r="I56" s="362">
        <f>IFERROR(VLOOKUP(C56,'تقرير المصروفات حسب الشهر'!$C$637:$AD$746,5,FALSE),0)</f>
        <v>808.01</v>
      </c>
      <c r="J56" s="362">
        <f>IFERROR(VLOOKUP(C56,'تقرير المصروفات حسب الشهر'!$C$763:$AD$872,5,FALSE),0)</f>
        <v>0</v>
      </c>
      <c r="K56" s="362">
        <f>IFERROR(VLOOKUP(C56,'تقرير المصروفات حسب الشهر'!$C$890:$AD$999,5,FALSE),0)</f>
        <v>0</v>
      </c>
      <c r="L56" s="362">
        <f>IFERROR(VLOOKUP(C56,'تقرير المصروفات حسب الشهر'!$C$1016:$AD$1126,5,FALSE),0)</f>
        <v>0</v>
      </c>
      <c r="M56" s="376">
        <f>IFERROR(VLOOKUP(C56,'تقرير المصروفات حسب الشهر'!$C$1143:$AD$1254,5,FALSE),0)</f>
        <v>594.59</v>
      </c>
      <c r="N56" s="376">
        <f>IFERROR(VLOOKUP(C56,'تقرير المصروفات حسب الشهر'!$C$1270:$AD$1381,5,FALSE),0)</f>
        <v>1535.63</v>
      </c>
      <c r="O56" s="376">
        <f>IFERROR(VLOOKUP(C56,'تقرير المصروفات حسب الشهر'!$C$1397:$AD$1512,5,FALSE),0)</f>
        <v>468.15</v>
      </c>
      <c r="P56" s="364">
        <f t="shared" si="5"/>
        <v>3768.7900000000004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الشهر'!$C$10:$AD$119,5,FALSE),0)</f>
        <v>0</v>
      </c>
      <c r="E57" s="362">
        <f>IFERROR(VLOOKUP(C57,'تقرير المصروفات حسب الشهر'!$C$135:$AD$244,5,FALSE),0)</f>
        <v>0</v>
      </c>
      <c r="F57" s="362">
        <v>0</v>
      </c>
      <c r="G57" s="362">
        <f>IFERROR(VLOOKUP(C57,'تقرير المصروفات حسب الشهر'!$C$387:$AD$495,5,FALSE),0)</f>
        <v>0</v>
      </c>
      <c r="H57" s="362">
        <f>IFERROR(VLOOKUP(C57,'تقرير المصروفات حسب الشهر'!$C$512:$AD$620,5,FALSE),0)</f>
        <v>0</v>
      </c>
      <c r="I57" s="362">
        <f>IFERROR(VLOOKUP(C57,'تقرير المصروفات حسب الشهر'!$C$637:$AD$746,5,FALSE),0)</f>
        <v>0</v>
      </c>
      <c r="J57" s="362">
        <f>IFERROR(VLOOKUP(C57,'تقرير المصروفات حسب الشهر'!$C$763:$AD$872,5,FALSE),0)</f>
        <v>0</v>
      </c>
      <c r="K57" s="362">
        <f>IFERROR(VLOOKUP(C57,'تقرير المصروفات حسب الشهر'!$C$890:$AD$999,5,FALSE),0)</f>
        <v>0</v>
      </c>
      <c r="L57" s="362">
        <f>IFERROR(VLOOKUP(C57,'تقرير المصروفات حسب الشهر'!$C$1016:$AD$1126,5,FALSE),0)</f>
        <v>0</v>
      </c>
      <c r="M57" s="376">
        <f>IFERROR(VLOOKUP(C57,'تقرير المصروفات حسب الشهر'!$C$1143:$AD$1254,5,FALSE),0)</f>
        <v>0</v>
      </c>
      <c r="N57" s="376">
        <f>IFERROR(VLOOKUP(C57,'تقرير المصروفات حسب الشهر'!$C$1270:$AD$1381,5,FALSE),0)</f>
        <v>0</v>
      </c>
      <c r="O57" s="376">
        <f>IFERROR(VLOOKUP(C57,'تقرير المصروفات حسب الشهر'!$C$1397:$AD$1512,5,FALSE),0)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الشهر'!$C$10:$AD$119,5,FALSE),0)</f>
        <v>0</v>
      </c>
      <c r="E58" s="362">
        <f>IFERROR(VLOOKUP(C58,'تقرير المصروفات حسب الشهر'!$C$135:$AD$244,5,FALSE),0)</f>
        <v>0</v>
      </c>
      <c r="F58" s="362">
        <v>0</v>
      </c>
      <c r="G58" s="362">
        <f>IFERROR(VLOOKUP(C58,'تقرير المصروفات حسب الشهر'!$C$387:$AD$495,5,FALSE),0)</f>
        <v>0</v>
      </c>
      <c r="H58" s="362">
        <f>IFERROR(VLOOKUP(C58,'تقرير المصروفات حسب الشهر'!$C$512:$AD$620,5,FALSE),0)</f>
        <v>0</v>
      </c>
      <c r="I58" s="362">
        <f>IFERROR(VLOOKUP(C58,'تقرير المصروفات حسب الشهر'!$C$637:$AD$746,5,FALSE),0)</f>
        <v>0</v>
      </c>
      <c r="J58" s="362">
        <f>IFERROR(VLOOKUP(C58,'تقرير المصروفات حسب الشهر'!$C$763:$AD$872,5,FALSE),0)</f>
        <v>0</v>
      </c>
      <c r="K58" s="362">
        <f>IFERROR(VLOOKUP(C58,'تقرير المصروفات حسب الشهر'!$C$890:$AD$999,5,FALSE),0)</f>
        <v>0</v>
      </c>
      <c r="L58" s="362">
        <f>IFERROR(VLOOKUP(C58,'تقرير المصروفات حسب الشهر'!$C$1016:$AD$1126,5,FALSE),0)</f>
        <v>0</v>
      </c>
      <c r="M58" s="376">
        <f>IFERROR(VLOOKUP(C58,'تقرير المصروفات حسب الشهر'!$C$1143:$AD$1254,5,FALSE),0)</f>
        <v>0</v>
      </c>
      <c r="N58" s="376">
        <f>IFERROR(VLOOKUP(C58,'تقرير المصروفات حسب الشهر'!$C$1270:$AD$1381,5,FALSE),0)</f>
        <v>0</v>
      </c>
      <c r="O58" s="376">
        <f>IFERROR(VLOOKUP(C58,'تقرير المصروفات حسب الشهر'!$C$1397:$AD$1512,5,FALSE),0)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الشهر'!$C$10:$AD$119,5,FALSE),0)</f>
        <v>0</v>
      </c>
      <c r="E59" s="362">
        <f>IFERROR(VLOOKUP(C59,'تقرير المصروفات حسب الشهر'!$C$135:$AD$244,5,FALSE),0)</f>
        <v>8999.5</v>
      </c>
      <c r="F59" s="362">
        <v>4665.5</v>
      </c>
      <c r="G59" s="362">
        <f>IFERROR(VLOOKUP(C59,'تقرير المصروفات حسب الشهر'!$C$387:$AD$495,5,FALSE),0)</f>
        <v>6990.5</v>
      </c>
      <c r="H59" s="362">
        <f>IFERROR(VLOOKUP(C59,'تقرير المصروفات حسب الشهر'!$C$512:$AD$620,5,FALSE),0)</f>
        <v>0</v>
      </c>
      <c r="I59" s="362">
        <f>IFERROR(VLOOKUP(C59,'تقرير المصروفات حسب الشهر'!$C$637:$AD$746,5,FALSE),0)</f>
        <v>5115.0600000000004</v>
      </c>
      <c r="J59" s="517">
        <f>IFERROR(VLOOKUP(C59,'تقرير المصروفات حسب الشهر'!$C$763:$AD$872,5,FALSE),0)</f>
        <v>6666.25</v>
      </c>
      <c r="K59" s="362">
        <f>IFERROR(VLOOKUP(C59,'تقرير المصروفات حسب الشهر'!$C$890:$AD$999,5,FALSE),0)</f>
        <v>0</v>
      </c>
      <c r="L59" s="362">
        <f>IFERROR(VLOOKUP(C59,'تقرير المصروفات حسب الشهر'!$C$1016:$AD$1126,5,FALSE),0)</f>
        <v>9077.5</v>
      </c>
      <c r="M59" s="376">
        <f>IFERROR(VLOOKUP(C59,'تقرير المصروفات حسب الشهر'!$C$1143:$AD$1254,5,FALSE),0)</f>
        <v>4500.25</v>
      </c>
      <c r="N59" s="376">
        <f>IFERROR(VLOOKUP(C59,'تقرير المصروفات حسب الشهر'!$C$1270:$AD$1381,5,FALSE),0)</f>
        <v>7888.25</v>
      </c>
      <c r="O59" s="376">
        <f>IFERROR(VLOOKUP(C59,'تقرير المصروفات حسب الشهر'!$C$1397:$AD$1512,5,FALSE),0)</f>
        <v>8700.58</v>
      </c>
      <c r="P59" s="364">
        <f t="shared" si="5"/>
        <v>62603.39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الشهر'!$C$10:$AD$119,5,FALSE),0)</f>
        <v>4160</v>
      </c>
      <c r="E60" s="362">
        <f>IFERROR(VLOOKUP(C60,'تقرير المصروفات حسب الشهر'!$C$135:$AD$244,5,FALSE),0)</f>
        <v>100</v>
      </c>
      <c r="F60" s="362">
        <v>12050</v>
      </c>
      <c r="G60" s="362">
        <f>IFERROR(VLOOKUP(C60,'تقرير المصروفات حسب الشهر'!$C$387:$AD$495,5,FALSE),0)</f>
        <v>2170</v>
      </c>
      <c r="H60" s="362">
        <f>IFERROR(VLOOKUP(C60,'تقرير المصروفات حسب الشهر'!$C$512:$AD$620,5,FALSE),0)</f>
        <v>0</v>
      </c>
      <c r="I60" s="362">
        <f>IFERROR(VLOOKUP(C60,'تقرير المصروفات حسب الشهر'!$C$637:$AD$746,5,FALSE),0)</f>
        <v>13020</v>
      </c>
      <c r="J60" s="362">
        <f>IFERROR(VLOOKUP(C60,'تقرير المصروفات حسب الشهر'!$C$763:$AD$872,5,FALSE),0)</f>
        <v>0</v>
      </c>
      <c r="K60" s="362">
        <f>IFERROR(VLOOKUP(C60,'تقرير المصروفات حسب الشهر'!$C$890:$AD$999,5,FALSE),0)</f>
        <v>8580</v>
      </c>
      <c r="L60" s="362">
        <f>IFERROR(VLOOKUP(C60,'تقرير المصروفات حسب الشهر'!$C$1016:$AD$1126,5,FALSE),0)</f>
        <v>0</v>
      </c>
      <c r="M60" s="376">
        <f>IFERROR(VLOOKUP(C60,'تقرير المصروفات حسب الشهر'!$C$1143:$AD$1254,5,FALSE),0)</f>
        <v>9240</v>
      </c>
      <c r="N60" s="376">
        <f>IFERROR(VLOOKUP(C60,'تقرير المصروفات حسب الشهر'!$C$1270:$AD$1381,5,FALSE),0)</f>
        <v>0</v>
      </c>
      <c r="O60" s="376">
        <f>IFERROR(VLOOKUP(C60,'تقرير المصروفات حسب الشهر'!$C$1397:$AD$1512,5,FALSE),0)</f>
        <v>4950</v>
      </c>
      <c r="P60" s="364">
        <f t="shared" si="5"/>
        <v>54270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الشهر'!$C$10:$AD$119,5,FALSE),0)</f>
        <v>300</v>
      </c>
      <c r="E61" s="362">
        <f>IFERROR(VLOOKUP(C61,'تقرير المصروفات حسب الشهر'!$C$135:$AD$244,5,FALSE),0)</f>
        <v>500</v>
      </c>
      <c r="F61" s="362">
        <v>0</v>
      </c>
      <c r="G61" s="362">
        <f>IFERROR(VLOOKUP(C61,'تقرير المصروفات حسب الشهر'!$C$387:$AD$495,5,FALSE),0)</f>
        <v>300</v>
      </c>
      <c r="H61" s="362">
        <f>IFERROR(VLOOKUP(C61,'تقرير المصروفات حسب الشهر'!$C$512:$AD$620,5,FALSE),0)</f>
        <v>0</v>
      </c>
      <c r="I61" s="362">
        <f>IFERROR(VLOOKUP(C61,'تقرير المصروفات حسب الشهر'!$C$637:$AD$746,5,FALSE),0)</f>
        <v>100</v>
      </c>
      <c r="J61" s="517">
        <f>IFERROR(VLOOKUP(C61,'تقرير المصروفات حسب الشهر'!$C$763:$AD$872,5,FALSE),0)</f>
        <v>100</v>
      </c>
      <c r="K61" s="362">
        <f>IFERROR(VLOOKUP(C61,'تقرير المصروفات حسب الشهر'!$C$890:$AD$999,5,FALSE),0)</f>
        <v>0</v>
      </c>
      <c r="L61" s="362">
        <f>IFERROR(VLOOKUP(C61,'تقرير المصروفات حسب الشهر'!$C$1016:$AD$1126,5,FALSE),0)</f>
        <v>350</v>
      </c>
      <c r="M61" s="376">
        <f>IFERROR(VLOOKUP(C61,'تقرير المصروفات حسب الشهر'!$C$1143:$AD$1254,5,FALSE),0)</f>
        <v>0</v>
      </c>
      <c r="N61" s="376">
        <f>IFERROR(VLOOKUP(C61,'تقرير المصروفات حسب الشهر'!$C$1270:$AD$1381,5,FALSE),0)</f>
        <v>0</v>
      </c>
      <c r="O61" s="376">
        <f>IFERROR(VLOOKUP(C61,'تقرير المصروفات حسب الشهر'!$C$1397:$AD$1512,5,FALSE),0)</f>
        <v>500</v>
      </c>
      <c r="P61" s="364">
        <f t="shared" si="5"/>
        <v>2150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الشهر'!$C$10:$AD$119,5,FALSE),0)</f>
        <v>0</v>
      </c>
      <c r="E62" s="362">
        <f>IFERROR(VLOOKUP(C62,'تقرير المصروفات حسب الشهر'!$C$135:$AD$244,5,FALSE),0)</f>
        <v>0</v>
      </c>
      <c r="F62" s="362">
        <v>3420</v>
      </c>
      <c r="G62" s="362">
        <f>IFERROR(VLOOKUP(C62,'تقرير المصروفات حسب الشهر'!$C$387:$AD$495,5,FALSE),0)</f>
        <v>0</v>
      </c>
      <c r="H62" s="362">
        <f>IFERROR(VLOOKUP(C62,'تقرير المصروفات حسب الشهر'!$C$512:$AD$620,5,FALSE),0)</f>
        <v>3110</v>
      </c>
      <c r="I62" s="362">
        <f>IFERROR(VLOOKUP(C62,'تقرير المصروفات حسب الشهر'!$C$637:$AD$746,5,FALSE),0)</f>
        <v>0</v>
      </c>
      <c r="J62" s="362">
        <f>IFERROR(VLOOKUP(C62,'تقرير المصروفات حسب الشهر'!$C$763:$AD$872,5,FALSE),0)</f>
        <v>0</v>
      </c>
      <c r="K62" s="362">
        <f>IFERROR(VLOOKUP(C62,'تقرير المصروفات حسب الشهر'!$C$890:$AD$999,5,FALSE),0)</f>
        <v>0</v>
      </c>
      <c r="L62" s="362">
        <f>IFERROR(VLOOKUP(C62,'تقرير المصروفات حسب الشهر'!$C$1016:$AD$1126,5,FALSE),0)</f>
        <v>3608</v>
      </c>
      <c r="M62" s="376">
        <f>IFERROR(VLOOKUP(C62,'تقرير المصروفات حسب الشهر'!$C$1143:$AD$1254,5,FALSE),0)</f>
        <v>0</v>
      </c>
      <c r="N62" s="376">
        <f>IFERROR(VLOOKUP(C62,'تقرير المصروفات حسب الشهر'!$C$1270:$AD$1381,5,FALSE),0)</f>
        <v>0</v>
      </c>
      <c r="O62" s="376">
        <f>IFERROR(VLOOKUP(C62,'تقرير المصروفات حسب الشهر'!$C$1397:$AD$1512,5,FALSE),0)</f>
        <v>0</v>
      </c>
      <c r="P62" s="364">
        <f t="shared" si="5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الشهر'!$C$10:$AD$119,5,FALSE),0)</f>
        <v>2800</v>
      </c>
      <c r="E63" s="362">
        <f>IFERROR(VLOOKUP(C63,'تقرير المصروفات حسب الشهر'!$C$135:$AD$244,5,FALSE),0)</f>
        <v>800</v>
      </c>
      <c r="F63" s="362">
        <v>0</v>
      </c>
      <c r="G63" s="362">
        <f>IFERROR(VLOOKUP(C63,'تقرير المصروفات حسب الشهر'!$C$387:$AD$495,5,FALSE),0)</f>
        <v>0</v>
      </c>
      <c r="H63" s="362">
        <f>IFERROR(VLOOKUP(C63,'تقرير المصروفات حسب الشهر'!$C$512:$AD$620,5,FALSE),0)</f>
        <v>0</v>
      </c>
      <c r="I63" s="362">
        <f>IFERROR(VLOOKUP(C63,'تقرير المصروفات حسب الشهر'!$C$637:$AD$746,5,FALSE),0)</f>
        <v>0</v>
      </c>
      <c r="J63" s="362">
        <f>IFERROR(VLOOKUP(C63,'تقرير المصروفات حسب الشهر'!$C$763:$AD$872,5,FALSE),0)</f>
        <v>0</v>
      </c>
      <c r="K63" s="362">
        <f>IFERROR(VLOOKUP(C63,'تقرير المصروفات حسب الشهر'!$C$890:$AD$999,5,FALSE),0)</f>
        <v>0</v>
      </c>
      <c r="L63" s="362">
        <f>IFERROR(VLOOKUP(C63,'تقرير المصروفات حسب الشهر'!$C$1016:$AD$1126,5,FALSE),0)</f>
        <v>0</v>
      </c>
      <c r="M63" s="376">
        <f>IFERROR(VLOOKUP(C63,'تقرير المصروفات حسب الشهر'!$C$1143:$AD$1254,5,FALSE),0)</f>
        <v>0</v>
      </c>
      <c r="N63" s="376">
        <f>IFERROR(VLOOKUP(C63,'تقرير المصروفات حسب الشهر'!$C$1270:$AD$1381,5,FALSE),0)</f>
        <v>700</v>
      </c>
      <c r="O63" s="376">
        <f>IFERROR(VLOOKUP(C63,'تقرير المصروفات حسب الشهر'!$C$1397:$AD$1512,5,FALSE),0)</f>
        <v>0</v>
      </c>
      <c r="P63" s="364">
        <f t="shared" si="5"/>
        <v>4300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الشهر'!$C$10:$AD$119,5,FALSE),0)</f>
        <v>0</v>
      </c>
      <c r="E64" s="362">
        <f>IFERROR(VLOOKUP(C64,'تقرير المصروفات حسب الشهر'!$C$135:$AD$244,5,FALSE),0)</f>
        <v>0</v>
      </c>
      <c r="F64" s="362">
        <v>14140</v>
      </c>
      <c r="G64" s="362">
        <f>IFERROR(VLOOKUP(C64,'تقرير المصروفات حسب الشهر'!$C$387:$AD$495,5,FALSE),0)</f>
        <v>480</v>
      </c>
      <c r="H64" s="362">
        <f>IFERROR(VLOOKUP(C64,'تقرير المصروفات حسب الشهر'!$C$512:$AD$620,5,FALSE),0)</f>
        <v>0</v>
      </c>
      <c r="I64" s="362">
        <f>IFERROR(VLOOKUP(C64,'تقرير المصروفات حسب الشهر'!$C$637:$AD$746,5,FALSE),0)</f>
        <v>0</v>
      </c>
      <c r="J64" s="362">
        <f>IFERROR(VLOOKUP(C64,'تقرير المصروفات حسب الشهر'!$C$763:$AD$872,5,FALSE),0)</f>
        <v>0</v>
      </c>
      <c r="K64" s="362">
        <f>IFERROR(VLOOKUP(C64,'تقرير المصروفات حسب الشهر'!$C$890:$AD$999,5,FALSE),0)</f>
        <v>0</v>
      </c>
      <c r="L64" s="362">
        <f>IFERROR(VLOOKUP(C64,'تقرير المصروفات حسب الشهر'!$C$1016:$AD$1126,5,FALSE),0)</f>
        <v>5400</v>
      </c>
      <c r="M64" s="376">
        <f>IFERROR(VLOOKUP(C64,'تقرير المصروفات حسب الشهر'!$C$1143:$AD$1254,5,FALSE),0)</f>
        <v>4090</v>
      </c>
      <c r="N64" s="376">
        <f>IFERROR(VLOOKUP(C64,'تقرير المصروفات حسب الشهر'!$C$1270:$AD$1381,5,FALSE),0)</f>
        <v>0</v>
      </c>
      <c r="O64" s="376">
        <f>IFERROR(VLOOKUP(C64,'تقرير المصروفات حسب الشهر'!$C$1397:$AD$1512,5,FALSE),0)</f>
        <v>0</v>
      </c>
      <c r="P64" s="364">
        <f t="shared" si="5"/>
        <v>24110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الشهر'!$C$10:$AD$119,5,FALSE),0)</f>
        <v>0</v>
      </c>
      <c r="E65" s="362">
        <f>IFERROR(VLOOKUP(C65,'تقرير المصروفات حسب الشهر'!$C$135:$AD$244,5,FALSE),0)</f>
        <v>0</v>
      </c>
      <c r="F65" s="362">
        <v>0</v>
      </c>
      <c r="G65" s="362">
        <f>IFERROR(VLOOKUP(C65,'تقرير المصروفات حسب الشهر'!$C$387:$AD$495,5,FALSE),0)</f>
        <v>0</v>
      </c>
      <c r="H65" s="362">
        <f>IFERROR(VLOOKUP(C65,'تقرير المصروفات حسب الشهر'!$C$512:$AD$620,5,FALSE),0)</f>
        <v>0</v>
      </c>
      <c r="I65" s="362">
        <f>IFERROR(VLOOKUP(C65,'تقرير المصروفات حسب الشهر'!$C$637:$AD$746,5,FALSE),0)</f>
        <v>0</v>
      </c>
      <c r="J65" s="362">
        <f>IFERROR(VLOOKUP(C65,'تقرير المصروفات حسب الشهر'!$C$763:$AD$872,5,FALSE),0)</f>
        <v>0</v>
      </c>
      <c r="K65" s="362">
        <f>IFERROR(VLOOKUP(C65,'تقرير المصروفات حسب الشهر'!$C$890:$AD$999,5,FALSE),0)</f>
        <v>0</v>
      </c>
      <c r="L65" s="362">
        <f>IFERROR(VLOOKUP(C65,'تقرير المصروفات حسب الشهر'!$C$1016:$AD$1126,5,FALSE),0)</f>
        <v>0</v>
      </c>
      <c r="M65" s="376">
        <f>IFERROR(VLOOKUP(C65,'تقرير المصروفات حسب الشهر'!$C$1143:$AD$1254,5,FALSE),0)</f>
        <v>0</v>
      </c>
      <c r="N65" s="376">
        <f>IFERROR(VLOOKUP(C65,'تقرير المصروفات حسب الشهر'!$C$1270:$AD$1381,5,FALSE),0)</f>
        <v>0</v>
      </c>
      <c r="O65" s="376">
        <f>IFERROR(VLOOKUP(C65,'تقرير المصروفات حسب الشهر'!$C$1397:$AD$1512,5,FALSE),0)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الشهر'!$C$10:$AD$119,5,FALSE),0)</f>
        <v>0</v>
      </c>
      <c r="E66" s="362">
        <f>IFERROR(VLOOKUP(C66,'تقرير المصروفات حسب الشهر'!$C$135:$AD$244,5,FALSE),0)</f>
        <v>0</v>
      </c>
      <c r="F66" s="362">
        <v>0</v>
      </c>
      <c r="G66" s="362">
        <f>IFERROR(VLOOKUP(C66,'تقرير المصروفات حسب الشهر'!$C$387:$AD$495,5,FALSE),0)</f>
        <v>0</v>
      </c>
      <c r="H66" s="362">
        <f>IFERROR(VLOOKUP(C66,'تقرير المصروفات حسب الشهر'!$C$512:$AD$620,5,FALSE),0)</f>
        <v>0</v>
      </c>
      <c r="I66" s="362">
        <f>IFERROR(VLOOKUP(C66,'تقرير المصروفات حسب الشهر'!$C$637:$AD$746,5,FALSE),0)</f>
        <v>0</v>
      </c>
      <c r="J66" s="362">
        <f>IFERROR(VLOOKUP(C66,'تقرير المصروفات حسب الشهر'!$C$763:$AD$872,5,FALSE),0)</f>
        <v>0</v>
      </c>
      <c r="K66" s="362">
        <f>IFERROR(VLOOKUP(C66,'تقرير المصروفات حسب الشهر'!$C$890:$AD$999,5,FALSE),0)</f>
        <v>0</v>
      </c>
      <c r="L66" s="362">
        <f>IFERROR(VLOOKUP(C66,'تقرير المصروفات حسب الشهر'!$C$1016:$AD$1126,5,FALSE),0)</f>
        <v>0</v>
      </c>
      <c r="M66" s="376">
        <f>IFERROR(VLOOKUP(C66,'تقرير المصروفات حسب الشهر'!$C$1143:$AD$1254,5,FALSE),0)</f>
        <v>0</v>
      </c>
      <c r="N66" s="376">
        <f>IFERROR(VLOOKUP(C66,'تقرير المصروفات حسب الشهر'!$C$1270:$AD$1381,5,FALSE),0)</f>
        <v>0</v>
      </c>
      <c r="O66" s="376">
        <f>IFERROR(VLOOKUP(C66,'تقرير المصروفات حسب الشهر'!$C$1397:$AD$1512,5,FALSE),0)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الشهر'!$C$10:$AD$119,5,FALSE),0)</f>
        <v>0</v>
      </c>
      <c r="E67" s="362">
        <f>IFERROR(VLOOKUP(C67,'تقرير المصروفات حسب الشهر'!$C$135:$AD$244,5,FALSE),0)</f>
        <v>0</v>
      </c>
      <c r="F67" s="362">
        <v>0</v>
      </c>
      <c r="G67" s="362">
        <f>IFERROR(VLOOKUP(C67,'تقرير المصروفات حسب الشهر'!$C$387:$AD$495,5,FALSE),0)</f>
        <v>0</v>
      </c>
      <c r="H67" s="362">
        <f>IFERROR(VLOOKUP(C67,'تقرير المصروفات حسب الشهر'!$C$512:$AD$620,5,FALSE),0)</f>
        <v>0</v>
      </c>
      <c r="I67" s="362">
        <f>IFERROR(VLOOKUP(C67,'تقرير المصروفات حسب الشهر'!$C$637:$AD$746,5,FALSE),0)</f>
        <v>0</v>
      </c>
      <c r="J67" s="362">
        <f>IFERROR(VLOOKUP(C67,'تقرير المصروفات حسب الشهر'!$C$763:$AD$872,5,FALSE),0)</f>
        <v>0</v>
      </c>
      <c r="K67" s="362">
        <f>IFERROR(VLOOKUP(C67,'تقرير المصروفات حسب الشهر'!$C$890:$AD$999,5,FALSE),0)</f>
        <v>0</v>
      </c>
      <c r="L67" s="362">
        <f>IFERROR(VLOOKUP(C67,'تقرير المصروفات حسب الشهر'!$C$1016:$AD$1126,5,FALSE),0)</f>
        <v>0</v>
      </c>
      <c r="M67" s="376">
        <f>IFERROR(VLOOKUP(C67,'تقرير المصروفات حسب الشهر'!$C$1143:$AD$1254,5,FALSE),0)</f>
        <v>0</v>
      </c>
      <c r="N67" s="376">
        <f>IFERROR(VLOOKUP(C67,'تقرير المصروفات حسب الشهر'!$C$1270:$AD$1381,5,FALSE),0)</f>
        <v>0</v>
      </c>
      <c r="O67" s="376">
        <f>IFERROR(VLOOKUP(C67,'تقرير المصروفات حسب الشهر'!$C$1397:$AD$1512,5,FALSE),0)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الشهر'!$C$10:$AD$119,5,FALSE),0)</f>
        <v>0</v>
      </c>
      <c r="E68" s="362">
        <f>IFERROR(VLOOKUP(C68,'تقرير المصروفات حسب الشهر'!$C$135:$AD$244,5,FALSE),0)</f>
        <v>0</v>
      </c>
      <c r="F68" s="362">
        <v>0</v>
      </c>
      <c r="G68" s="362">
        <f>IFERROR(VLOOKUP(C68,'تقرير المصروفات حسب الشهر'!$C$387:$AD$495,5,FALSE),0)</f>
        <v>0</v>
      </c>
      <c r="H68" s="362">
        <f>IFERROR(VLOOKUP(C68,'تقرير المصروفات حسب الشهر'!$C$512:$AD$620,5,FALSE),0)</f>
        <v>0</v>
      </c>
      <c r="I68" s="362">
        <f>IFERROR(VLOOKUP(C68,'تقرير المصروفات حسب الشهر'!$C$637:$AD$746,5,FALSE),0)</f>
        <v>0</v>
      </c>
      <c r="J68" s="362">
        <f>IFERROR(VLOOKUP(C68,'تقرير المصروفات حسب الشهر'!$C$763:$AD$872,5,FALSE),0)</f>
        <v>0</v>
      </c>
      <c r="K68" s="362">
        <f>IFERROR(VLOOKUP(C68,'تقرير المصروفات حسب الشهر'!$C$890:$AD$999,5,FALSE),0)</f>
        <v>0</v>
      </c>
      <c r="L68" s="362">
        <f>IFERROR(VLOOKUP(C68,'تقرير المصروفات حسب الشهر'!$C$1016:$AD$1126,5,FALSE),0)</f>
        <v>0</v>
      </c>
      <c r="M68" s="376">
        <f>IFERROR(VLOOKUP(C68,'تقرير المصروفات حسب الشهر'!$C$1143:$AD$1254,5,FALSE),0)</f>
        <v>0</v>
      </c>
      <c r="N68" s="376">
        <f>IFERROR(VLOOKUP(C68,'تقرير المصروفات حسب الشهر'!$C$1270:$AD$1381,5,FALSE),0)</f>
        <v>0</v>
      </c>
      <c r="O68" s="376">
        <f>IFERROR(VLOOKUP(C68,'تقرير المصروفات حسب الشهر'!$C$1397:$AD$1512,5,FALSE),0)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الشهر'!$C$10:$AD$119,5,FALSE),0)</f>
        <v>0</v>
      </c>
      <c r="E69" s="362">
        <f>IFERROR(VLOOKUP(C69,'تقرير المصروفات حسب الشهر'!$C$135:$AD$244,5,FALSE),0)</f>
        <v>0</v>
      </c>
      <c r="F69" s="362">
        <v>0</v>
      </c>
      <c r="G69" s="362">
        <f>IFERROR(VLOOKUP(C69,'تقرير المصروفات حسب الشهر'!$C$387:$AD$495,5,FALSE),0)</f>
        <v>0</v>
      </c>
      <c r="H69" s="362">
        <f>IFERROR(VLOOKUP(C69,'تقرير المصروفات حسب الشهر'!$C$512:$AD$620,5,FALSE),0)</f>
        <v>0</v>
      </c>
      <c r="I69" s="362">
        <f>IFERROR(VLOOKUP(C69,'تقرير المصروفات حسب الشهر'!$C$637:$AD$746,5,FALSE),0)</f>
        <v>0</v>
      </c>
      <c r="J69" s="362">
        <f>IFERROR(VLOOKUP(C69,'تقرير المصروفات حسب الشهر'!$C$763:$AD$872,5,FALSE),0)</f>
        <v>0</v>
      </c>
      <c r="K69" s="362">
        <f>IFERROR(VLOOKUP(C69,'تقرير المصروفات حسب الشهر'!$C$890:$AD$999,5,FALSE),0)</f>
        <v>0</v>
      </c>
      <c r="L69" s="362">
        <f>IFERROR(VLOOKUP(C69,'تقرير المصروفات حسب الشهر'!$C$1016:$AD$1126,5,FALSE),0)</f>
        <v>0</v>
      </c>
      <c r="M69" s="376">
        <f>IFERROR(VLOOKUP(C69,'تقرير المصروفات حسب الشهر'!$C$1143:$AD$1254,5,FALSE),0)</f>
        <v>0</v>
      </c>
      <c r="N69" s="376">
        <f>IFERROR(VLOOKUP(C69,'تقرير المصروفات حسب الشهر'!$C$1270:$AD$1381,5,FALSE),0)</f>
        <v>0</v>
      </c>
      <c r="O69" s="376">
        <f>IFERROR(VLOOKUP(C69,'تقرير المصروفات حسب الشهر'!$C$1397:$AD$1512,5,FALSE),0)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الشهر'!$C$10:$AD$119,5,FALSE),0)</f>
        <v>0</v>
      </c>
      <c r="E70" s="362">
        <f>IFERROR(VLOOKUP(C70,'تقرير المصروفات حسب الشهر'!$C$135:$AD$244,5,FALSE),0)</f>
        <v>0</v>
      </c>
      <c r="F70" s="362">
        <v>0</v>
      </c>
      <c r="G70" s="362">
        <f>IFERROR(VLOOKUP(C70,'تقرير المصروفات حسب الشهر'!$C$387:$AD$495,5,FALSE),0)</f>
        <v>0</v>
      </c>
      <c r="H70" s="362">
        <f>IFERROR(VLOOKUP(C70,'تقرير المصروفات حسب الشهر'!$C$512:$AD$620,5,FALSE),0)</f>
        <v>0</v>
      </c>
      <c r="I70" s="362">
        <f>IFERROR(VLOOKUP(C70,'تقرير المصروفات حسب الشهر'!$C$637:$AD$746,5,FALSE),0)</f>
        <v>0</v>
      </c>
      <c r="J70" s="362">
        <f>IFERROR(VLOOKUP(C70,'تقرير المصروفات حسب الشهر'!$C$763:$AD$872,5,FALSE),0)</f>
        <v>0</v>
      </c>
      <c r="K70" s="362">
        <f>IFERROR(VLOOKUP(C70,'تقرير المصروفات حسب الشهر'!$C$890:$AD$999,5,FALSE),0)</f>
        <v>0</v>
      </c>
      <c r="L70" s="362">
        <f>IFERROR(VLOOKUP(C70,'تقرير المصروفات حسب الشهر'!$C$1016:$AD$1126,5,FALSE),0)</f>
        <v>0</v>
      </c>
      <c r="M70" s="376">
        <f>IFERROR(VLOOKUP(C70,'تقرير المصروفات حسب الشهر'!$C$1143:$AD$1254,5,FALSE),0)</f>
        <v>0</v>
      </c>
      <c r="N70" s="376">
        <f>IFERROR(VLOOKUP(C70,'تقرير المصروفات حسب الشهر'!$C$1270:$AD$1381,5,FALSE),0)</f>
        <v>0</v>
      </c>
      <c r="O70" s="376">
        <f>IFERROR(VLOOKUP(C70,'تقرير المصروفات حسب الشهر'!$C$1397:$AD$1512,5,FALSE),0)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الشهر'!$C$10:$AD$119,5,FALSE),0)</f>
        <v>0</v>
      </c>
      <c r="E71" s="362">
        <f>IFERROR(VLOOKUP(C71,'تقرير المصروفات حسب الشهر'!$C$135:$AD$244,5,FALSE),0)</f>
        <v>0</v>
      </c>
      <c r="F71" s="362">
        <v>0</v>
      </c>
      <c r="G71" s="362">
        <f>IFERROR(VLOOKUP(C71,'تقرير المصروفات حسب الشهر'!$C$387:$AD$495,5,FALSE),0)</f>
        <v>0</v>
      </c>
      <c r="H71" s="362">
        <f>IFERROR(VLOOKUP(C71,'تقرير المصروفات حسب الشهر'!$C$512:$AD$620,5,FALSE),0)</f>
        <v>0</v>
      </c>
      <c r="I71" s="362">
        <f>IFERROR(VLOOKUP(C71,'تقرير المصروفات حسب الشهر'!$C$637:$AD$746,5,FALSE),0)</f>
        <v>0</v>
      </c>
      <c r="J71" s="362">
        <f>IFERROR(VLOOKUP(C71,'تقرير المصروفات حسب الشهر'!$C$763:$AD$872,5,FALSE),0)</f>
        <v>0</v>
      </c>
      <c r="K71" s="362">
        <f>IFERROR(VLOOKUP(C71,'تقرير المصروفات حسب الشهر'!$C$890:$AD$999,5,FALSE),0)</f>
        <v>0</v>
      </c>
      <c r="L71" s="362">
        <f>IFERROR(VLOOKUP(C71,'تقرير المصروفات حسب الشهر'!$C$1016:$AD$1126,5,FALSE),0)</f>
        <v>0</v>
      </c>
      <c r="M71" s="376">
        <f>IFERROR(VLOOKUP(C71,'تقرير المصروفات حسب الشهر'!$C$1143:$AD$1254,5,FALSE),0)</f>
        <v>0</v>
      </c>
      <c r="N71" s="376">
        <f>IFERROR(VLOOKUP(C71,'تقرير المصروفات حسب الشهر'!$C$1270:$AD$1381,5,FALSE),0)</f>
        <v>0</v>
      </c>
      <c r="O71" s="376">
        <f>IFERROR(VLOOKUP(C71,'تقرير المصروفات حسب الشهر'!$C$1397:$AD$1512,5,FALSE),0)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الشهر'!$C$10:$AD$119,5,FALSE),0)</f>
        <v>0</v>
      </c>
      <c r="E72" s="362">
        <f>IFERROR(VLOOKUP(C72,'تقرير المصروفات حسب الشهر'!$C$135:$AD$244,5,FALSE),0)</f>
        <v>0</v>
      </c>
      <c r="F72" s="362">
        <v>0</v>
      </c>
      <c r="G72" s="362">
        <f>IFERROR(VLOOKUP(C72,'تقرير المصروفات حسب الشهر'!$C$387:$AD$495,5,FALSE),0)</f>
        <v>0</v>
      </c>
      <c r="H72" s="362">
        <f>IFERROR(VLOOKUP(C72,'تقرير المصروفات حسب الشهر'!$C$512:$AD$620,5,FALSE),0)</f>
        <v>0</v>
      </c>
      <c r="I72" s="362">
        <f>IFERROR(VLOOKUP(C72,'تقرير المصروفات حسب الشهر'!$C$637:$AD$746,5,FALSE),0)</f>
        <v>0</v>
      </c>
      <c r="J72" s="362">
        <f>IFERROR(VLOOKUP(C72,'تقرير المصروفات حسب الشهر'!$C$763:$AD$872,5,FALSE),0)</f>
        <v>0</v>
      </c>
      <c r="K72" s="362">
        <f>IFERROR(VLOOKUP(C72,'تقرير المصروفات حسب الشهر'!$C$890:$AD$999,5,FALSE),0)</f>
        <v>0</v>
      </c>
      <c r="L72" s="362">
        <f>IFERROR(VLOOKUP(C72,'تقرير المصروفات حسب الشهر'!$C$1016:$AD$1126,5,FALSE),0)</f>
        <v>0</v>
      </c>
      <c r="M72" s="376">
        <f>IFERROR(VLOOKUP(C72,'تقرير المصروفات حسب الشهر'!$C$1143:$AD$1254,5,FALSE),0)</f>
        <v>0</v>
      </c>
      <c r="N72" s="376">
        <f>IFERROR(VLOOKUP(C72,'تقرير المصروفات حسب الشهر'!$C$1270:$AD$1381,5,FALSE),0)</f>
        <v>0</v>
      </c>
      <c r="O72" s="376">
        <f>IFERROR(VLOOKUP(C72,'تقرير المصروفات حسب الشهر'!$C$1397:$AD$1512,5,FALSE),0)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الشهر'!$C$10:$AD$119,5,FALSE),0)</f>
        <v>0</v>
      </c>
      <c r="E73" s="362">
        <f>IFERROR(VLOOKUP(C73,'تقرير المصروفات حسب الشهر'!$C$135:$AD$244,5,FALSE),0)</f>
        <v>0</v>
      </c>
      <c r="F73" s="362">
        <v>0</v>
      </c>
      <c r="G73" s="362">
        <f>IFERROR(VLOOKUP(C73,'تقرير المصروفات حسب الشهر'!$C$387:$AD$495,5,FALSE),0)</f>
        <v>0</v>
      </c>
      <c r="H73" s="362">
        <f>IFERROR(VLOOKUP(C73,'تقرير المصروفات حسب الشهر'!$C$512:$AD$620,5,FALSE),0)</f>
        <v>0</v>
      </c>
      <c r="I73" s="362">
        <f>IFERROR(VLOOKUP(C73,'تقرير المصروفات حسب الشهر'!$C$637:$AD$746,5,FALSE),0)</f>
        <v>0</v>
      </c>
      <c r="J73" s="362">
        <f>IFERROR(VLOOKUP(C73,'تقرير المصروفات حسب الشهر'!$C$763:$AD$872,5,FALSE),0)</f>
        <v>0</v>
      </c>
      <c r="K73" s="362">
        <f>IFERROR(VLOOKUP(C73,'تقرير المصروفات حسب الشهر'!$C$890:$AD$999,5,FALSE),0)</f>
        <v>0</v>
      </c>
      <c r="L73" s="362">
        <f>IFERROR(VLOOKUP(C73,'تقرير المصروفات حسب الشهر'!$C$1016:$AD$1126,5,FALSE),0)</f>
        <v>0</v>
      </c>
      <c r="M73" s="376">
        <f>IFERROR(VLOOKUP(C73,'تقرير المصروفات حسب الشهر'!$C$1143:$AD$1254,5,FALSE),0)</f>
        <v>0</v>
      </c>
      <c r="N73" s="376">
        <f>IFERROR(VLOOKUP(C73,'تقرير المصروفات حسب الشهر'!$C$1270:$AD$1381,5,FALSE),0)</f>
        <v>0</v>
      </c>
      <c r="O73" s="376">
        <f>IFERROR(VLOOKUP(C73,'تقرير المصروفات حسب الشهر'!$C$1397:$AD$1512,5,FALSE),0)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الشهر'!$C$10:$AD$119,5,FALSE),0)</f>
        <v>0</v>
      </c>
      <c r="E74" s="362">
        <f>IFERROR(VLOOKUP(C74,'تقرير المصروفات حسب الشهر'!$C$135:$AD$244,5,FALSE),0)</f>
        <v>0</v>
      </c>
      <c r="F74" s="362">
        <v>0</v>
      </c>
      <c r="G74" s="362">
        <f>IFERROR(VLOOKUP(C74,'تقرير المصروفات حسب الشهر'!$C$387:$AD$495,5,FALSE),0)</f>
        <v>0</v>
      </c>
      <c r="H74" s="362">
        <f>IFERROR(VLOOKUP(C74,'تقرير المصروفات حسب الشهر'!$C$512:$AD$620,5,FALSE),0)</f>
        <v>0</v>
      </c>
      <c r="I74" s="362">
        <f>IFERROR(VLOOKUP(C74,'تقرير المصروفات حسب الشهر'!$C$637:$AD$746,5,FALSE),0)</f>
        <v>0</v>
      </c>
      <c r="J74" s="362">
        <f>IFERROR(VLOOKUP(C74,'تقرير المصروفات حسب الشهر'!$C$763:$AD$872,5,FALSE),0)</f>
        <v>0</v>
      </c>
      <c r="K74" s="362">
        <f>IFERROR(VLOOKUP(C74,'تقرير المصروفات حسب الشهر'!$C$890:$AD$999,5,FALSE),0)</f>
        <v>0</v>
      </c>
      <c r="L74" s="362">
        <f>IFERROR(VLOOKUP(C74,'تقرير المصروفات حسب الشهر'!$C$1016:$AD$1126,5,FALSE),0)</f>
        <v>0</v>
      </c>
      <c r="M74" s="376">
        <f>IFERROR(VLOOKUP(C74,'تقرير المصروفات حسب الشهر'!$C$1143:$AD$1254,5,FALSE),0)</f>
        <v>0</v>
      </c>
      <c r="N74" s="376">
        <f>IFERROR(VLOOKUP(C74,'تقرير المصروفات حسب الشهر'!$C$1270:$AD$1381,5,FALSE),0)</f>
        <v>0</v>
      </c>
      <c r="O74" s="376">
        <f>IFERROR(VLOOKUP(C74,'تقرير المصروفات حسب الشهر'!$C$1397:$AD$1512,5,FALSE),0)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الشهر'!$C$10:$AD$119,5,FALSE),0)</f>
        <v>0</v>
      </c>
      <c r="E75" s="362">
        <f>IFERROR(VLOOKUP(C75,'تقرير المصروفات حسب الشهر'!$C$135:$AD$244,5,FALSE),0)</f>
        <v>0</v>
      </c>
      <c r="F75" s="362">
        <v>0</v>
      </c>
      <c r="G75" s="362">
        <f>IFERROR(VLOOKUP(C75,'تقرير المصروفات حسب الشهر'!$C$387:$AD$495,5,FALSE),0)</f>
        <v>0</v>
      </c>
      <c r="H75" s="362">
        <f>IFERROR(VLOOKUP(C75,'تقرير المصروفات حسب الشهر'!$C$512:$AD$620,5,FALSE),0)</f>
        <v>0</v>
      </c>
      <c r="I75" s="362">
        <f>IFERROR(VLOOKUP(C75,'تقرير المصروفات حسب الشهر'!$C$637:$AD$746,5,FALSE),0)</f>
        <v>0</v>
      </c>
      <c r="J75" s="362">
        <f>IFERROR(VLOOKUP(C75,'تقرير المصروفات حسب الشهر'!$C$763:$AD$872,5,FALSE),0)</f>
        <v>0</v>
      </c>
      <c r="K75" s="362">
        <f>IFERROR(VLOOKUP(C75,'تقرير المصروفات حسب الشهر'!$C$890:$AD$999,5,FALSE),0)</f>
        <v>0</v>
      </c>
      <c r="L75" s="362">
        <f>IFERROR(VLOOKUP(C75,'تقرير المصروفات حسب الشهر'!$C$1016:$AD$1126,5,FALSE),0)</f>
        <v>0</v>
      </c>
      <c r="M75" s="376">
        <f>IFERROR(VLOOKUP(C75,'تقرير المصروفات حسب الشهر'!$C$1143:$AD$1254,5,FALSE),0)</f>
        <v>0</v>
      </c>
      <c r="N75" s="376">
        <f>IFERROR(VLOOKUP(C75,'تقرير المصروفات حسب الشهر'!$C$1270:$AD$1381,5,FALSE),0)</f>
        <v>0</v>
      </c>
      <c r="O75" s="376">
        <f>IFERROR(VLOOKUP(C75,'تقرير المصروفات حسب الشهر'!$C$1397:$AD$1512,5,FALSE),0)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الشهر'!$C$10:$AD$119,5,FALSE),0)</f>
        <v>0</v>
      </c>
      <c r="E76" s="362">
        <f>IFERROR(VLOOKUP(C76,'تقرير المصروفات حسب الشهر'!$C$135:$AD$244,5,FALSE),0)</f>
        <v>0</v>
      </c>
      <c r="F76" s="362">
        <v>0</v>
      </c>
      <c r="G76" s="362">
        <f>IFERROR(VLOOKUP(C76,'تقرير المصروفات حسب الشهر'!$C$387:$AD$495,5,FALSE),0)</f>
        <v>0</v>
      </c>
      <c r="H76" s="362">
        <f>IFERROR(VLOOKUP(C76,'تقرير المصروفات حسب الشهر'!$C$512:$AD$620,5,FALSE),0)</f>
        <v>0</v>
      </c>
      <c r="I76" s="362">
        <f>IFERROR(VLOOKUP(C76,'تقرير المصروفات حسب الشهر'!$C$637:$AD$746,5,FALSE),0)</f>
        <v>0</v>
      </c>
      <c r="J76" s="362">
        <f>IFERROR(VLOOKUP(C76,'تقرير المصروفات حسب الشهر'!$C$763:$AD$872,5,FALSE),0)</f>
        <v>0</v>
      </c>
      <c r="K76" s="362">
        <f>IFERROR(VLOOKUP(C76,'تقرير المصروفات حسب الشهر'!$C$890:$AD$999,5,FALSE),0)</f>
        <v>0</v>
      </c>
      <c r="L76" s="362">
        <f>IFERROR(VLOOKUP(C76,'تقرير المصروفات حسب الشهر'!$C$1016:$AD$1126,5,FALSE),0)</f>
        <v>0</v>
      </c>
      <c r="M76" s="376">
        <f>IFERROR(VLOOKUP(C76,'تقرير المصروفات حسب الشهر'!$C$1143:$AD$1254,5,FALSE),0)</f>
        <v>0</v>
      </c>
      <c r="N76" s="376">
        <f>IFERROR(VLOOKUP(C76,'تقرير المصروفات حسب الشهر'!$C$1270:$AD$1381,5,FALSE),0)</f>
        <v>0</v>
      </c>
      <c r="O76" s="376">
        <f>IFERROR(VLOOKUP(C76,'تقرير المصروفات حسب الشهر'!$C$1397:$AD$1512,5,FALSE),0)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الشهر'!$C$10:$AD$119,5,FALSE),0)</f>
        <v>0</v>
      </c>
      <c r="E77" s="362">
        <f>IFERROR(VLOOKUP(C77,'تقرير المصروفات حسب الشهر'!$C$135:$AD$244,5,FALSE),0)</f>
        <v>0</v>
      </c>
      <c r="F77" s="362">
        <v>0</v>
      </c>
      <c r="G77" s="362">
        <f>IFERROR(VLOOKUP(C77,'تقرير المصروفات حسب الشهر'!$C$387:$AD$495,5,FALSE),0)</f>
        <v>0</v>
      </c>
      <c r="H77" s="362">
        <f>IFERROR(VLOOKUP(C77,'تقرير المصروفات حسب الشهر'!$C$512:$AD$620,5,FALSE),0)</f>
        <v>0</v>
      </c>
      <c r="I77" s="362">
        <f>IFERROR(VLOOKUP(C77,'تقرير المصروفات حسب الشهر'!$C$637:$AD$746,5,FALSE),0)</f>
        <v>0</v>
      </c>
      <c r="J77" s="362">
        <f>IFERROR(VLOOKUP(C77,'تقرير المصروفات حسب الشهر'!$C$763:$AD$872,5,FALSE),0)</f>
        <v>0</v>
      </c>
      <c r="K77" s="362">
        <f>IFERROR(VLOOKUP(C77,'تقرير المصروفات حسب الشهر'!$C$890:$AD$999,5,FALSE),0)</f>
        <v>0</v>
      </c>
      <c r="L77" s="362">
        <f>IFERROR(VLOOKUP(C77,'تقرير المصروفات حسب الشهر'!$C$1016:$AD$1126,5,FALSE),0)</f>
        <v>0</v>
      </c>
      <c r="M77" s="376">
        <f>IFERROR(VLOOKUP(C77,'تقرير المصروفات حسب الشهر'!$C$1143:$AD$1254,5,FALSE),0)</f>
        <v>0</v>
      </c>
      <c r="N77" s="376">
        <f>IFERROR(VLOOKUP(C77,'تقرير المصروفات حسب الشهر'!$C$1270:$AD$1381,5,FALSE),0)</f>
        <v>0</v>
      </c>
      <c r="O77" s="376">
        <f>IFERROR(VLOOKUP(C77,'تقرير المصروفات حسب الشهر'!$C$1397:$AD$1512,5,FALSE),0)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الشهر'!$C$10:$AD$119,5,FALSE),0)</f>
        <v>0</v>
      </c>
      <c r="E78" s="362">
        <f>IFERROR(VLOOKUP(C78,'تقرير المصروفات حسب الشهر'!$C$135:$AD$244,5,FALSE),0)</f>
        <v>0</v>
      </c>
      <c r="F78" s="362">
        <v>0</v>
      </c>
      <c r="G78" s="362">
        <f>IFERROR(VLOOKUP(C78,'تقرير المصروفات حسب الشهر'!$C$387:$AD$495,5,FALSE),0)</f>
        <v>0</v>
      </c>
      <c r="H78" s="362">
        <f>IFERROR(VLOOKUP(C78,'تقرير المصروفات حسب الشهر'!$C$512:$AD$620,5,FALSE),0)</f>
        <v>0</v>
      </c>
      <c r="I78" s="362">
        <f>IFERROR(VLOOKUP(C78,'تقرير المصروفات حسب الشهر'!$C$637:$AD$746,5,FALSE),0)</f>
        <v>0</v>
      </c>
      <c r="J78" s="362">
        <f>IFERROR(VLOOKUP(C78,'تقرير المصروفات حسب الشهر'!$C$763:$AD$872,5,FALSE),0)</f>
        <v>0</v>
      </c>
      <c r="K78" s="362">
        <f>IFERROR(VLOOKUP(C78,'تقرير المصروفات حسب الشهر'!$C$890:$AD$999,5,FALSE),0)</f>
        <v>0</v>
      </c>
      <c r="L78" s="362">
        <f>IFERROR(VLOOKUP(C78,'تقرير المصروفات حسب الشهر'!$C$1016:$AD$1126,5,FALSE),0)</f>
        <v>0</v>
      </c>
      <c r="M78" s="376">
        <f>IFERROR(VLOOKUP(C78,'تقرير المصروفات حسب الشهر'!$C$1143:$AD$1254,5,FALSE),0)</f>
        <v>0</v>
      </c>
      <c r="N78" s="376">
        <f>IFERROR(VLOOKUP(C78,'تقرير المصروفات حسب الشهر'!$C$1270:$AD$1381,5,FALSE),0)</f>
        <v>0</v>
      </c>
      <c r="O78" s="376">
        <f>IFERROR(VLOOKUP(C78,'تقرير المصروفات حسب الشهر'!$C$1397:$AD$1512,5,FALSE),0)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الشهر'!$C$10:$AD$119,5,FALSE),0)</f>
        <v>0</v>
      </c>
      <c r="E79" s="362">
        <f>IFERROR(VLOOKUP(C79,'تقرير المصروفات حسب الشهر'!$C$135:$AD$244,5,FALSE),0)</f>
        <v>0</v>
      </c>
      <c r="F79" s="362">
        <v>0</v>
      </c>
      <c r="G79" s="362">
        <f>IFERROR(VLOOKUP(C79,'تقرير المصروفات حسب الشهر'!$C$387:$AD$495,5,FALSE),0)</f>
        <v>0</v>
      </c>
      <c r="H79" s="362">
        <f>IFERROR(VLOOKUP(C79,'تقرير المصروفات حسب الشهر'!$C$512:$AD$620,5,FALSE),0)</f>
        <v>0</v>
      </c>
      <c r="I79" s="362">
        <f>IFERROR(VLOOKUP(C79,'تقرير المصروفات حسب الشهر'!$C$637:$AD$746,5,FALSE),0)</f>
        <v>0</v>
      </c>
      <c r="J79" s="362">
        <f>IFERROR(VLOOKUP(C79,'تقرير المصروفات حسب الشهر'!$C$763:$AD$872,5,FALSE),0)</f>
        <v>0</v>
      </c>
      <c r="K79" s="362">
        <f>IFERROR(VLOOKUP(C79,'تقرير المصروفات حسب الشهر'!$C$890:$AD$999,5,FALSE),0)</f>
        <v>0</v>
      </c>
      <c r="L79" s="362">
        <f>IFERROR(VLOOKUP(C79,'تقرير المصروفات حسب الشهر'!$C$1016:$AD$1126,5,FALSE),0)</f>
        <v>0</v>
      </c>
      <c r="M79" s="376">
        <f>IFERROR(VLOOKUP(C79,'تقرير المصروفات حسب الشهر'!$C$1143:$AD$1254,5,FALSE),0)</f>
        <v>0</v>
      </c>
      <c r="N79" s="376">
        <f>IFERROR(VLOOKUP(C79,'تقرير المصروفات حسب الشهر'!$C$1270:$AD$1381,5,FALSE),0)</f>
        <v>0</v>
      </c>
      <c r="O79" s="376">
        <f>IFERROR(VLOOKUP(C79,'تقرير المصروفات حسب الشهر'!$C$1397:$AD$1512,5,FALSE),0)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الشهر'!$C$10:$AD$119,5,FALSE),0)</f>
        <v>0</v>
      </c>
      <c r="E80" s="362">
        <f>IFERROR(VLOOKUP(C80,'تقرير المصروفات حسب الشهر'!$C$135:$AD$244,5,FALSE),0)</f>
        <v>0</v>
      </c>
      <c r="F80" s="362">
        <v>0</v>
      </c>
      <c r="G80" s="362">
        <f>IFERROR(VLOOKUP(C80,'تقرير المصروفات حسب الشهر'!$C$387:$AD$495,5,FALSE),0)</f>
        <v>0</v>
      </c>
      <c r="H80" s="362">
        <f>IFERROR(VLOOKUP(C80,'تقرير المصروفات حسب الشهر'!$C$512:$AD$620,5,FALSE),0)</f>
        <v>0</v>
      </c>
      <c r="I80" s="362">
        <f>IFERROR(VLOOKUP(C80,'تقرير المصروفات حسب الشهر'!$C$637:$AD$746,5,FALSE),0)</f>
        <v>0</v>
      </c>
      <c r="J80" s="362">
        <f>IFERROR(VLOOKUP(C80,'تقرير المصروفات حسب الشهر'!$C$763:$AD$872,5,FALSE),0)</f>
        <v>0</v>
      </c>
      <c r="K80" s="362">
        <f>IFERROR(VLOOKUP(C80,'تقرير المصروفات حسب الشهر'!$C$890:$AD$999,5,FALSE),0)</f>
        <v>0</v>
      </c>
      <c r="L80" s="362">
        <f>IFERROR(VLOOKUP(C80,'تقرير المصروفات حسب الشهر'!$C$1016:$AD$1126,5,FALSE),0)</f>
        <v>0</v>
      </c>
      <c r="M80" s="376">
        <f>IFERROR(VLOOKUP(C80,'تقرير المصروفات حسب الشهر'!$C$1143:$AD$1254,5,FALSE),0)</f>
        <v>0</v>
      </c>
      <c r="N80" s="376">
        <f>IFERROR(VLOOKUP(C80,'تقرير المصروفات حسب الشهر'!$C$1270:$AD$1381,5,FALSE),0)</f>
        <v>0</v>
      </c>
      <c r="O80" s="376">
        <f>IFERROR(VLOOKUP(C80,'تقرير المصروفات حسب الشهر'!$C$1397:$AD$1512,5,FALSE),0)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الشهر'!$C$10:$AD$119,5,FALSE),0)</f>
        <v>216</v>
      </c>
      <c r="E81" s="362">
        <f>IFERROR(VLOOKUP(C81,'تقرير المصروفات حسب الشهر'!$C$135:$AD$244,5,FALSE),0)</f>
        <v>0</v>
      </c>
      <c r="F81" s="362">
        <v>0</v>
      </c>
      <c r="G81" s="362">
        <f>IFERROR(VLOOKUP(C81,'تقرير المصروفات حسب الشهر'!$C$387:$AD$495,5,FALSE),0)</f>
        <v>0</v>
      </c>
      <c r="H81" s="362">
        <f>IFERROR(VLOOKUP(C81,'تقرير المصروفات حسب الشهر'!$C$512:$AD$620,5,FALSE),0)</f>
        <v>0</v>
      </c>
      <c r="I81" s="362">
        <f>IFERROR(VLOOKUP(C81,'تقرير المصروفات حسب الشهر'!$C$637:$AD$746,5,FALSE),0)</f>
        <v>0</v>
      </c>
      <c r="J81" s="362">
        <f>IFERROR(VLOOKUP(C81,'تقرير المصروفات حسب الشهر'!$C$763:$AD$872,5,FALSE),0)</f>
        <v>0</v>
      </c>
      <c r="K81" s="362">
        <f>IFERROR(VLOOKUP(C81,'تقرير المصروفات حسب الشهر'!$C$890:$AD$999,5,FALSE),0)</f>
        <v>300</v>
      </c>
      <c r="L81" s="362">
        <f>IFERROR(VLOOKUP(C81,'تقرير المصروفات حسب الشهر'!$C$1016:$AD$1126,5,FALSE),0)</f>
        <v>0</v>
      </c>
      <c r="M81" s="376">
        <f>IFERROR(VLOOKUP(C81,'تقرير المصروفات حسب الشهر'!$C$1143:$AD$1254,5,FALSE),0)</f>
        <v>10184</v>
      </c>
      <c r="N81" s="376">
        <f>IFERROR(VLOOKUP(C81,'تقرير المصروفات حسب الشهر'!$C$1270:$AD$1381,5,FALSE),0)</f>
        <v>0</v>
      </c>
      <c r="O81" s="376">
        <f>IFERROR(VLOOKUP(C81,'تقرير المصروفات حسب الشهر'!$C$1397:$AD$1512,5,FALSE),0)</f>
        <v>0</v>
      </c>
      <c r="P81" s="364">
        <f t="shared" si="5"/>
        <v>10700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الشهر'!$C$10:$AD$119,5,FALSE),0)</f>
        <v>0</v>
      </c>
      <c r="E82" s="362">
        <f>IFERROR(VLOOKUP(C82,'تقرير المصروفات حسب الشهر'!$C$135:$AD$244,5,FALSE),0)</f>
        <v>0</v>
      </c>
      <c r="F82" s="362">
        <v>0</v>
      </c>
      <c r="G82" s="362">
        <f>IFERROR(VLOOKUP(C82,'تقرير المصروفات حسب الشهر'!$C$387:$AD$495,5,FALSE),0)</f>
        <v>0</v>
      </c>
      <c r="H82" s="362">
        <f>IFERROR(VLOOKUP(C82,'تقرير المصروفات حسب الشهر'!$C$512:$AD$620,5,FALSE),0)</f>
        <v>0</v>
      </c>
      <c r="I82" s="362">
        <f>IFERROR(VLOOKUP(C82,'تقرير المصروفات حسب الشهر'!$C$637:$AD$746,5,FALSE),0)</f>
        <v>0</v>
      </c>
      <c r="J82" s="362">
        <f>IFERROR(VLOOKUP(C82,'تقرير المصروفات حسب الشهر'!$C$763:$AD$872,5,FALSE),0)</f>
        <v>0</v>
      </c>
      <c r="K82" s="362">
        <f>IFERROR(VLOOKUP(C82,'تقرير المصروفات حسب الشهر'!$C$890:$AD$999,5,FALSE),0)</f>
        <v>0</v>
      </c>
      <c r="L82" s="362">
        <f>IFERROR(VLOOKUP(C82,'تقرير المصروفات حسب الشهر'!$C$1016:$AD$1126,5,FALSE),0)</f>
        <v>0</v>
      </c>
      <c r="M82" s="376">
        <f>IFERROR(VLOOKUP(C82,'تقرير المصروفات حسب الشهر'!$C$1143:$AD$1254,5,FALSE),0)</f>
        <v>0</v>
      </c>
      <c r="N82" s="376">
        <f>IFERROR(VLOOKUP(C82,'تقرير المصروفات حسب الشهر'!$C$1270:$AD$1381,5,FALSE),0)</f>
        <v>0</v>
      </c>
      <c r="O82" s="376">
        <f>IFERROR(VLOOKUP(C82,'تقرير المصروفات حسب الشهر'!$C$1397:$AD$1512,5,FALSE),0)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الشهر'!$C$10:$AD$119,5,FALSE),0)</f>
        <v>0</v>
      </c>
      <c r="E83" s="362">
        <f>IFERROR(VLOOKUP(C83,'تقرير المصروفات حسب الشهر'!$C$135:$AD$244,5,FALSE),0)</f>
        <v>0</v>
      </c>
      <c r="F83" s="362">
        <v>0</v>
      </c>
      <c r="G83" s="362">
        <f>IFERROR(VLOOKUP(C83,'تقرير المصروفات حسب الشهر'!$C$387:$AD$495,5,FALSE),0)</f>
        <v>0</v>
      </c>
      <c r="H83" s="362">
        <f>IFERROR(VLOOKUP(C83,'تقرير المصروفات حسب الشهر'!$C$512:$AD$620,5,FALSE),0)</f>
        <v>0</v>
      </c>
      <c r="I83" s="362">
        <f>IFERROR(VLOOKUP(C83,'تقرير المصروفات حسب الشهر'!$C$637:$AD$746,5,FALSE),0)</f>
        <v>0</v>
      </c>
      <c r="J83" s="362">
        <f>IFERROR(VLOOKUP(C83,'تقرير المصروفات حسب الشهر'!$C$763:$AD$872,5,FALSE),0)</f>
        <v>0</v>
      </c>
      <c r="K83" s="362">
        <f>IFERROR(VLOOKUP(C83,'تقرير المصروفات حسب الشهر'!$C$890:$AD$999,5,FALSE),0)</f>
        <v>0</v>
      </c>
      <c r="L83" s="362">
        <f>IFERROR(VLOOKUP(C83,'تقرير المصروفات حسب الشهر'!$C$1016:$AD$1126,5,FALSE),0)</f>
        <v>0</v>
      </c>
      <c r="M83" s="376">
        <f>IFERROR(VLOOKUP(C83,'تقرير المصروفات حسب الشهر'!$C$1143:$AD$1254,5,FALSE),0)</f>
        <v>0</v>
      </c>
      <c r="N83" s="376">
        <f>IFERROR(VLOOKUP(C83,'تقرير المصروفات حسب الشهر'!$C$1270:$AD$1381,5,FALSE),0)</f>
        <v>0</v>
      </c>
      <c r="O83" s="376">
        <f>IFERROR(VLOOKUP(C83,'تقرير المصروفات حسب الشهر'!$C$1397:$AD$1512,5,FALSE),0)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الشهر'!$C$10:$AD$119,5,FALSE),0)</f>
        <v>0</v>
      </c>
      <c r="E84" s="362">
        <f>IFERROR(VLOOKUP(C84,'تقرير المصروفات حسب الشهر'!$C$135:$AD$244,5,FALSE),0)</f>
        <v>0</v>
      </c>
      <c r="F84" s="362">
        <v>0</v>
      </c>
      <c r="G84" s="362">
        <f>IFERROR(VLOOKUP(C84,'تقرير المصروفات حسب الشهر'!$C$387:$AD$495,5,FALSE),0)</f>
        <v>0</v>
      </c>
      <c r="H84" s="362">
        <f>IFERROR(VLOOKUP(C84,'تقرير المصروفات حسب الشهر'!$C$512:$AD$620,5,FALSE),0)</f>
        <v>0</v>
      </c>
      <c r="I84" s="362">
        <f>IFERROR(VLOOKUP(C84,'تقرير المصروفات حسب الشهر'!$C$637:$AD$746,5,FALSE),0)</f>
        <v>0</v>
      </c>
      <c r="J84" s="362">
        <f>IFERROR(VLOOKUP(C84,'تقرير المصروفات حسب الشهر'!$C$763:$AD$872,5,FALSE),0)</f>
        <v>0</v>
      </c>
      <c r="K84" s="362">
        <f>IFERROR(VLOOKUP(C84,'تقرير المصروفات حسب الشهر'!$C$890:$AD$999,5,FALSE),0)</f>
        <v>0</v>
      </c>
      <c r="L84" s="362">
        <f>IFERROR(VLOOKUP(C84,'تقرير المصروفات حسب الشهر'!$C$1016:$AD$1126,5,FALSE),0)</f>
        <v>0</v>
      </c>
      <c r="M84" s="376">
        <f>IFERROR(VLOOKUP(C84,'تقرير المصروفات حسب الشهر'!$C$1143:$AD$1254,5,FALSE),0)</f>
        <v>0</v>
      </c>
      <c r="N84" s="376">
        <f>IFERROR(VLOOKUP(C84,'تقرير المصروفات حسب الشهر'!$C$1270:$AD$1381,5,FALSE),0)</f>
        <v>0</v>
      </c>
      <c r="O84" s="376">
        <f>IFERROR(VLOOKUP(C84,'تقرير المصروفات حسب الشهر'!$C$1397:$AD$1512,5,FALSE),0)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الشهر'!$C$10:$AD$119,5,FALSE),0)</f>
        <v>0</v>
      </c>
      <c r="E85" s="362">
        <f>IFERROR(VLOOKUP(C85,'تقرير المصروفات حسب الشهر'!$C$135:$AD$244,5,FALSE),0)</f>
        <v>0</v>
      </c>
      <c r="F85" s="362">
        <v>0</v>
      </c>
      <c r="G85" s="362">
        <f>IFERROR(VLOOKUP(C85,'تقرير المصروفات حسب الشهر'!$C$387:$AD$495,5,FALSE),0)</f>
        <v>0</v>
      </c>
      <c r="H85" s="362">
        <f>IFERROR(VLOOKUP(C85,'تقرير المصروفات حسب الشهر'!$C$512:$AD$620,5,FALSE),0)</f>
        <v>0</v>
      </c>
      <c r="I85" s="362">
        <f>IFERROR(VLOOKUP(C85,'تقرير المصروفات حسب الشهر'!$C$637:$AD$746,5,FALSE),0)</f>
        <v>0</v>
      </c>
      <c r="J85" s="362">
        <f>IFERROR(VLOOKUP(C85,'تقرير المصروفات حسب الشهر'!$C$763:$AD$872,5,FALSE),0)</f>
        <v>0</v>
      </c>
      <c r="K85" s="362">
        <f>IFERROR(VLOOKUP(C85,'تقرير المصروفات حسب الشهر'!$C$890:$AD$999,5,FALSE),0)</f>
        <v>0</v>
      </c>
      <c r="L85" s="362">
        <f>IFERROR(VLOOKUP(C85,'تقرير المصروفات حسب الشهر'!$C$1016:$AD$1126,5,FALSE),0)</f>
        <v>0</v>
      </c>
      <c r="M85" s="376">
        <f>IFERROR(VLOOKUP(C85,'تقرير المصروفات حسب الشهر'!$C$1143:$AD$1254,5,FALSE),0)</f>
        <v>0</v>
      </c>
      <c r="N85" s="376">
        <f>IFERROR(VLOOKUP(C85,'تقرير المصروفات حسب الشهر'!$C$1270:$AD$1381,5,FALSE),0)</f>
        <v>0</v>
      </c>
      <c r="O85" s="376">
        <f>IFERROR(VLOOKUP(C85,'تقرير المصروفات حسب الشهر'!$C$1397:$AD$1512,5,FALSE),0)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الشهر'!$C$10:$AD$119,5,FALSE),0)</f>
        <v>1735</v>
      </c>
      <c r="E86" s="362">
        <f>IFERROR(VLOOKUP(C86,'تقرير المصروفات حسب الشهر'!$C$135:$AD$244,5,FALSE),0)</f>
        <v>1959.65</v>
      </c>
      <c r="F86" s="362">
        <v>1281.5</v>
      </c>
      <c r="G86" s="362">
        <f>IFERROR(VLOOKUP(C86,'تقرير المصروفات حسب الشهر'!$C$387:$AD$495,5,FALSE),0)</f>
        <v>2449</v>
      </c>
      <c r="H86" s="362">
        <f>IFERROR(VLOOKUP(C86,'تقرير المصروفات حسب الشهر'!$C$512:$AD$620,5,FALSE),0)</f>
        <v>0</v>
      </c>
      <c r="I86" s="362">
        <f>IFERROR(VLOOKUP(C86,'تقرير المصروفات حسب الشهر'!$C$637:$AD$746,5,FALSE),0)</f>
        <v>1469</v>
      </c>
      <c r="J86" s="517">
        <f>IFERROR(VLOOKUP(C86,'تقرير المصروفات حسب الشهر'!$C$763:$AD$872,5,FALSE),0)</f>
        <v>979</v>
      </c>
      <c r="K86" s="362">
        <f>IFERROR(VLOOKUP(C86,'تقرير المصروفات حسب الشهر'!$C$890:$AD$999,5,FALSE),0)</f>
        <v>2514</v>
      </c>
      <c r="L86" s="362">
        <f>IFERROR(VLOOKUP(C86,'تقرير المصروفات حسب الشهر'!$C$1016:$AD$1126,5,FALSE),0)</f>
        <v>1825</v>
      </c>
      <c r="M86" s="376">
        <f>IFERROR(VLOOKUP(C86,'تقرير المصروفات حسب الشهر'!$C$1143:$AD$1254,5,FALSE),0)</f>
        <v>1335.76</v>
      </c>
      <c r="N86" s="376">
        <f>IFERROR(VLOOKUP(C86,'تقرير المصروفات حسب الشهر'!$C$1270:$AD$1381,5,FALSE),0)</f>
        <v>1105.82</v>
      </c>
      <c r="O86" s="376">
        <f>IFERROR(VLOOKUP(C86,'تقرير المصروفات حسب الشهر'!$C$1397:$AD$1512,5,FALSE),0)</f>
        <v>1220.4000000000001</v>
      </c>
      <c r="P86" s="364">
        <f t="shared" si="5"/>
        <v>17874.13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الشهر'!$C$10:$AD$119,5,FALSE),0)</f>
        <v>0</v>
      </c>
      <c r="E87" s="362">
        <f>IFERROR(VLOOKUP(C87,'تقرير المصروفات حسب الشهر'!$C$135:$AD$244,5,FALSE),0)</f>
        <v>0</v>
      </c>
      <c r="F87" s="362">
        <v>0</v>
      </c>
      <c r="G87" s="362">
        <f>IFERROR(VLOOKUP(C87,'تقرير المصروفات حسب الشهر'!$C$387:$AD$495,5,FALSE),0)</f>
        <v>0</v>
      </c>
      <c r="H87" s="362">
        <f>IFERROR(VLOOKUP(C87,'تقرير المصروفات حسب الشهر'!$C$512:$AD$620,5,FALSE),0)</f>
        <v>0</v>
      </c>
      <c r="I87" s="362">
        <f>IFERROR(VLOOKUP(C87,'تقرير المصروفات حسب الشهر'!$C$637:$AD$746,5,FALSE),0)</f>
        <v>0</v>
      </c>
      <c r="J87" s="362">
        <f>IFERROR(VLOOKUP(C87,'تقرير المصروفات حسب الشهر'!$C$763:$AD$872,5,FALSE),0)</f>
        <v>0</v>
      </c>
      <c r="K87" s="362">
        <f>IFERROR(VLOOKUP(C87,'تقرير المصروفات حسب الشهر'!$C$890:$AD$999,5,FALSE),0)</f>
        <v>0</v>
      </c>
      <c r="L87" s="362">
        <f>IFERROR(VLOOKUP(C87,'تقرير المصروفات حسب الشهر'!$C$1016:$AD$1126,5,FALSE),0)</f>
        <v>0</v>
      </c>
      <c r="M87" s="376">
        <f>IFERROR(VLOOKUP(C87,'تقرير المصروفات حسب الشهر'!$C$1143:$AD$1254,5,FALSE),0)</f>
        <v>0</v>
      </c>
      <c r="N87" s="376">
        <f>IFERROR(VLOOKUP(C87,'تقرير المصروفات حسب الشهر'!$C$1270:$AD$1381,5,FALSE),0)</f>
        <v>0</v>
      </c>
      <c r="O87" s="376">
        <f>IFERROR(VLOOKUP(C87,'تقرير المصروفات حسب الشهر'!$C$1397:$AD$1512,5,FALSE),0)</f>
        <v>4372</v>
      </c>
      <c r="P87" s="364">
        <f t="shared" ref="P87:P135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الشهر'!$C$10:$AD$119,5,FALSE),0)</f>
        <v>650</v>
      </c>
      <c r="E88" s="362">
        <f>IFERROR(VLOOKUP(C88,'تقرير المصروفات حسب الشهر'!$C$135:$AD$244,5,FALSE),0)</f>
        <v>0</v>
      </c>
      <c r="F88" s="362">
        <v>0</v>
      </c>
      <c r="G88" s="362">
        <f>IFERROR(VLOOKUP(C88,'تقرير المصروفات حسب الشهر'!$C$387:$AD$495,5,FALSE),0)</f>
        <v>0</v>
      </c>
      <c r="H88" s="362">
        <f>IFERROR(VLOOKUP(C88,'تقرير المصروفات حسب الشهر'!$C$512:$AD$620,5,FALSE),0)</f>
        <v>333</v>
      </c>
      <c r="I88" s="362">
        <f>IFERROR(VLOOKUP(C88,'تقرير المصروفات حسب الشهر'!$C$637:$AD$746,5,FALSE),0)</f>
        <v>0</v>
      </c>
      <c r="J88" s="362">
        <f>IFERROR(VLOOKUP(C88,'تقرير المصروفات حسب الشهر'!$C$763:$AD$872,5,FALSE),0)</f>
        <v>0</v>
      </c>
      <c r="K88" s="362">
        <f>IFERROR(VLOOKUP(C88,'تقرير المصروفات حسب الشهر'!$C$890:$AD$999,5,FALSE),0)</f>
        <v>0</v>
      </c>
      <c r="L88" s="362">
        <f>IFERROR(VLOOKUP(C88,'تقرير المصروفات حسب الشهر'!$C$1016:$AD$1126,5,FALSE),0)</f>
        <v>0</v>
      </c>
      <c r="M88" s="376">
        <f>IFERROR(VLOOKUP(C88,'تقرير المصروفات حسب الشهر'!$C$1143:$AD$1254,5,FALSE),0)</f>
        <v>0</v>
      </c>
      <c r="N88" s="376">
        <f>IFERROR(VLOOKUP(C88,'تقرير المصروفات حسب الشهر'!$C$1270:$AD$1381,5,FALSE),0)</f>
        <v>0</v>
      </c>
      <c r="O88" s="376">
        <f>IFERROR(VLOOKUP(C88,'تقرير المصروفات حسب الشهر'!$C$1397:$AD$1512,5,FALSE),0)</f>
        <v>0</v>
      </c>
      <c r="P88" s="364">
        <f t="shared" si="6"/>
        <v>983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الشهر'!$C$10:$AD$119,5,FALSE),0)</f>
        <v>0</v>
      </c>
      <c r="E89" s="362">
        <f>IFERROR(VLOOKUP(C89,'تقرير المصروفات حسب الشهر'!$C$135:$AD$244,5,FALSE),0)</f>
        <v>0</v>
      </c>
      <c r="F89" s="362">
        <v>0</v>
      </c>
      <c r="G89" s="362">
        <f>IFERROR(VLOOKUP(C89,'تقرير المصروفات حسب الشهر'!$C$387:$AD$495,5,FALSE),0)</f>
        <v>0</v>
      </c>
      <c r="H89" s="362">
        <f>IFERROR(VLOOKUP(C89,'تقرير المصروفات حسب الشهر'!$C$512:$AD$620,5,FALSE),0)</f>
        <v>0</v>
      </c>
      <c r="I89" s="362">
        <f>IFERROR(VLOOKUP(C89,'تقرير المصروفات حسب الشهر'!$C$637:$AD$746,5,FALSE),0)</f>
        <v>0</v>
      </c>
      <c r="J89" s="362">
        <f>IFERROR(VLOOKUP(C89,'تقرير المصروفات حسب الشهر'!$C$763:$AD$872,5,FALSE),0)</f>
        <v>0</v>
      </c>
      <c r="K89" s="362">
        <f>IFERROR(VLOOKUP(C89,'تقرير المصروفات حسب الشهر'!$C$890:$AD$999,5,FALSE),0)</f>
        <v>0</v>
      </c>
      <c r="L89" s="362">
        <f>IFERROR(VLOOKUP(C89,'تقرير المصروفات حسب الشهر'!$C$1016:$AD$1126,5,FALSE),0)</f>
        <v>0</v>
      </c>
      <c r="M89" s="376">
        <f>IFERROR(VLOOKUP(C89,'تقرير المصروفات حسب الشهر'!$C$1143:$AD$1254,5,FALSE),0)</f>
        <v>0</v>
      </c>
      <c r="N89" s="376">
        <f>IFERROR(VLOOKUP(C89,'تقرير المصروفات حسب الشهر'!$C$1270:$AD$1381,5,FALSE),0)</f>
        <v>0</v>
      </c>
      <c r="O89" s="376">
        <f>IFERROR(VLOOKUP(C89,'تقرير المصروفات حسب الشهر'!$C$1397:$AD$1512,5,FALSE),0)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الشهر'!$C$10:$AD$119,5,FALSE),0)</f>
        <v>0</v>
      </c>
      <c r="E90" s="362">
        <f>IFERROR(VLOOKUP(C90,'تقرير المصروفات حسب الشهر'!$C$135:$AD$244,5,FALSE),0)</f>
        <v>0</v>
      </c>
      <c r="F90" s="362">
        <v>0</v>
      </c>
      <c r="G90" s="362">
        <f>IFERROR(VLOOKUP(C90,'تقرير المصروفات حسب الشهر'!$C$387:$AD$495,5,FALSE),0)</f>
        <v>0</v>
      </c>
      <c r="H90" s="362">
        <f>IFERROR(VLOOKUP(C90,'تقرير المصروفات حسب الشهر'!$C$512:$AD$620,5,FALSE),0)</f>
        <v>0</v>
      </c>
      <c r="I90" s="362">
        <f>IFERROR(VLOOKUP(C90,'تقرير المصروفات حسب الشهر'!$C$637:$AD$746,5,FALSE),0)</f>
        <v>0</v>
      </c>
      <c r="J90" s="362">
        <f>IFERROR(VLOOKUP(C90,'تقرير المصروفات حسب الشهر'!$C$763:$AD$872,5,FALSE),0)</f>
        <v>0</v>
      </c>
      <c r="K90" s="362">
        <f>IFERROR(VLOOKUP(C90,'تقرير المصروفات حسب الشهر'!$C$890:$AD$999,5,FALSE),0)</f>
        <v>0</v>
      </c>
      <c r="L90" s="362">
        <f>IFERROR(VLOOKUP(C90,'تقرير المصروفات حسب الشهر'!$C$1016:$AD$1126,5,FALSE),0)</f>
        <v>0</v>
      </c>
      <c r="M90" s="376">
        <f>IFERROR(VLOOKUP(C90,'تقرير المصروفات حسب الشهر'!$C$1143:$AD$1254,5,FALSE),0)</f>
        <v>0</v>
      </c>
      <c r="N90" s="376">
        <f>IFERROR(VLOOKUP(C90,'تقرير المصروفات حسب الشهر'!$C$1270:$AD$1381,5,FALSE),0)</f>
        <v>0</v>
      </c>
      <c r="O90" s="376">
        <f>IFERROR(VLOOKUP(C90,'تقرير المصروفات حسب الشهر'!$C$1397:$AD$1512,5,FALSE),0)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الشهر'!$C$10:$AD$119,5,FALSE),0)</f>
        <v>42000</v>
      </c>
      <c r="E91" s="362">
        <f>IFERROR(VLOOKUP(C91,'تقرير المصروفات حسب الشهر'!$C$135:$AD$244,5,FALSE),0)</f>
        <v>6000</v>
      </c>
      <c r="F91" s="362">
        <v>6220</v>
      </c>
      <c r="G91" s="362">
        <f>IFERROR(VLOOKUP(C91,'تقرير المصروفات حسب الشهر'!$C$387:$AD$495,5,FALSE),0)</f>
        <v>6070</v>
      </c>
      <c r="H91" s="362">
        <f>IFERROR(VLOOKUP(C91,'تقرير المصروفات حسب الشهر'!$C$512:$AD$620,5,FALSE),0)</f>
        <v>6500</v>
      </c>
      <c r="I91" s="362">
        <f>IFERROR(VLOOKUP(C91,'تقرير المصروفات حسب الشهر'!$C$637:$AD$746,5,FALSE),0)</f>
        <v>6070</v>
      </c>
      <c r="J91" s="517">
        <f>IFERROR(VLOOKUP(C91,'تقرير المصروفات حسب الشهر'!$C$763:$AD$872,5,FALSE),0)</f>
        <v>6000</v>
      </c>
      <c r="K91" s="362">
        <f>IFERROR(VLOOKUP(C91,'تقرير المصروفات حسب الشهر'!$C$890:$AD$999,5,FALSE),0)</f>
        <v>6120</v>
      </c>
      <c r="L91" s="362">
        <f>IFERROR(VLOOKUP(C91,'تقرير المصروفات حسب الشهر'!$C$1016:$AD$1126,5,FALSE),0)</f>
        <v>6500</v>
      </c>
      <c r="M91" s="376">
        <f>IFERROR(VLOOKUP(C91,'تقرير المصروفات حسب الشهر'!$C$1143:$AD$1254,5,FALSE),0)</f>
        <v>19465</v>
      </c>
      <c r="N91" s="376">
        <f>IFERROR(VLOOKUP(C91,'تقرير المصروفات حسب الشهر'!$C$1270:$AD$1381,5,FALSE),0)</f>
        <v>6600</v>
      </c>
      <c r="O91" s="376">
        <f>IFERROR(VLOOKUP(C91,'تقرير المصروفات حسب الشهر'!$C$1397:$AD$1512,5,FALSE),0)</f>
        <v>6670</v>
      </c>
      <c r="P91" s="364">
        <f t="shared" si="6"/>
        <v>124215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الشهر'!$C$10:$AD$119,5,FALSE),0)</f>
        <v>59.49</v>
      </c>
      <c r="E92" s="362">
        <f>IFERROR(VLOOKUP(C92,'تقرير المصروفات حسب الشهر'!$C$135:$AD$244,5,FALSE),0)</f>
        <v>0</v>
      </c>
      <c r="F92" s="362">
        <v>0</v>
      </c>
      <c r="G92" s="362">
        <f>IFERROR(VLOOKUP(C92,'تقرير المصروفات حسب الشهر'!$C$387:$AD$495,5,FALSE),0)</f>
        <v>700</v>
      </c>
      <c r="H92" s="362">
        <f>IFERROR(VLOOKUP(C92,'تقرير المصروفات حسب الشهر'!$C$512:$AD$620,5,FALSE),0)</f>
        <v>0</v>
      </c>
      <c r="I92" s="362">
        <f>IFERROR(VLOOKUP(C92,'تقرير المصروفات حسب الشهر'!$C$637:$AD$746,5,FALSE),0)</f>
        <v>0</v>
      </c>
      <c r="J92" s="517">
        <f>IFERROR(VLOOKUP(C92,'تقرير المصروفات حسب الشهر'!$C$763:$AD$872,5,FALSE),0)</f>
        <v>1396</v>
      </c>
      <c r="K92" s="362">
        <f>IFERROR(VLOOKUP(C92,'تقرير المصروفات حسب الشهر'!$C$890:$AD$999,5,FALSE),0)</f>
        <v>0</v>
      </c>
      <c r="L92" s="362">
        <f>IFERROR(VLOOKUP(C92,'تقرير المصروفات حسب الشهر'!$C$1016:$AD$1126,5,FALSE),0)</f>
        <v>0</v>
      </c>
      <c r="M92" s="376">
        <f>IFERROR(VLOOKUP(C92,'تقرير المصروفات حسب الشهر'!$C$1143:$AD$1254,5,FALSE),0)</f>
        <v>1150</v>
      </c>
      <c r="N92" s="376">
        <f>IFERROR(VLOOKUP(C92,'تقرير المصروفات حسب الشهر'!$C$1270:$AD$1381,5,FALSE),0)</f>
        <v>0</v>
      </c>
      <c r="O92" s="376">
        <f>IFERROR(VLOOKUP(C92,'تقرير المصروفات حسب الشهر'!$C$1397:$AD$1512,5,FALSE),0)</f>
        <v>0</v>
      </c>
      <c r="P92" s="364">
        <f t="shared" si="6"/>
        <v>3305.49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الشهر'!$C$10:$AD$119,5,FALSE),0)</f>
        <v>0</v>
      </c>
      <c r="E93" s="362">
        <f>IFERROR(VLOOKUP(C93,'تقرير المصروفات حسب الشهر'!$C$135:$AD$244,5,FALSE),0)</f>
        <v>706</v>
      </c>
      <c r="F93" s="362">
        <v>0</v>
      </c>
      <c r="G93" s="362">
        <f>IFERROR(VLOOKUP(C93,'تقرير المصروفات حسب الشهر'!$C$387:$AD$495,5,FALSE),0)</f>
        <v>0</v>
      </c>
      <c r="H93" s="362">
        <f>IFERROR(VLOOKUP(C93,'تقرير المصروفات حسب الشهر'!$C$512:$AD$620,5,FALSE),0)</f>
        <v>0</v>
      </c>
      <c r="I93" s="362">
        <f>IFERROR(VLOOKUP(C93,'تقرير المصروفات حسب الشهر'!$C$637:$AD$746,5,FALSE),0)</f>
        <v>0</v>
      </c>
      <c r="J93" s="517">
        <f>IFERROR(VLOOKUP(C93,'تقرير المصروفات حسب الشهر'!$C$763:$AD$872,5,FALSE),0)</f>
        <v>668</v>
      </c>
      <c r="K93" s="362">
        <f>IFERROR(VLOOKUP(C93,'تقرير المصروفات حسب الشهر'!$C$890:$AD$999,5,FALSE),0)</f>
        <v>0</v>
      </c>
      <c r="L93" s="362">
        <f>IFERROR(VLOOKUP(C93,'تقرير المصروفات حسب الشهر'!$C$1016:$AD$1126,5,FALSE),0)</f>
        <v>0</v>
      </c>
      <c r="M93" s="376">
        <f>IFERROR(VLOOKUP(C93,'تقرير المصروفات حسب الشهر'!$C$1143:$AD$1254,5,FALSE),0)</f>
        <v>0</v>
      </c>
      <c r="N93" s="376">
        <f>IFERROR(VLOOKUP(C93,'تقرير المصروفات حسب الشهر'!$C$1270:$AD$1381,5,FALSE),0)</f>
        <v>0</v>
      </c>
      <c r="O93" s="376">
        <f>IFERROR(VLOOKUP(C93,'تقرير المصروفات حسب الشهر'!$C$1397:$AD$1512,5,FALSE),0)</f>
        <v>0</v>
      </c>
      <c r="P93" s="364">
        <f t="shared" si="6"/>
        <v>1374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الشهر'!$C$10:$AD$119,5,FALSE),0)</f>
        <v>1174.2</v>
      </c>
      <c r="E94" s="362">
        <f>IFERROR(VLOOKUP(C94,'تقرير المصروفات حسب الشهر'!$C$135:$AD$244,5,FALSE),0)</f>
        <v>0</v>
      </c>
      <c r="F94" s="362">
        <v>0</v>
      </c>
      <c r="G94" s="362">
        <f>IFERROR(VLOOKUP(C94,'تقرير المصروفات حسب الشهر'!$C$387:$AD$495,5,FALSE),0)</f>
        <v>0</v>
      </c>
      <c r="H94" s="362">
        <f>IFERROR(VLOOKUP(C94,'تقرير المصروفات حسب الشهر'!$C$512:$AD$620,5,FALSE),0)</f>
        <v>0</v>
      </c>
      <c r="I94" s="362">
        <f>IFERROR(VLOOKUP(C94,'تقرير المصروفات حسب الشهر'!$C$637:$AD$746,5,FALSE),0)</f>
        <v>0</v>
      </c>
      <c r="J94" s="362">
        <f>IFERROR(VLOOKUP(C94,'تقرير المصروفات حسب الشهر'!$C$763:$AD$872,5,FALSE),0)</f>
        <v>0</v>
      </c>
      <c r="K94" s="362">
        <f>IFERROR(VLOOKUP(C94,'تقرير المصروفات حسب الشهر'!$C$890:$AD$999,5,FALSE),0)</f>
        <v>0</v>
      </c>
      <c r="L94" s="362">
        <f>IFERROR(VLOOKUP(C94,'تقرير المصروفات حسب الشهر'!$C$1016:$AD$1126,5,FALSE),0)</f>
        <v>0</v>
      </c>
      <c r="M94" s="376">
        <f>IFERROR(VLOOKUP(C94,'تقرير المصروفات حسب الشهر'!$C$1143:$AD$1254,5,FALSE),0)</f>
        <v>101</v>
      </c>
      <c r="N94" s="376">
        <f>IFERROR(VLOOKUP(C94,'تقرير المصروفات حسب الشهر'!$C$1270:$AD$1381,5,FALSE),0)</f>
        <v>12633.39</v>
      </c>
      <c r="O94" s="376">
        <f>IFERROR(VLOOKUP(C94,'تقرير المصروفات حسب الشهر'!$C$1397:$AD$1512,5,FALSE),0)</f>
        <v>0</v>
      </c>
      <c r="P94" s="364">
        <f t="shared" si="6"/>
        <v>13908.59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الشهر'!$C$10:$AD$119,5,FALSE),0)</f>
        <v>0</v>
      </c>
      <c r="E95" s="362">
        <f>IFERROR(VLOOKUP(C95,'تقرير المصروفات حسب الشهر'!$C$135:$AD$244,5,FALSE),0)</f>
        <v>0</v>
      </c>
      <c r="F95" s="362">
        <v>0</v>
      </c>
      <c r="G95" s="362">
        <f>IFERROR(VLOOKUP(C95,'تقرير المصروفات حسب الشهر'!$C$387:$AD$495,5,FALSE),0)</f>
        <v>0</v>
      </c>
      <c r="H95" s="362">
        <f>IFERROR(VLOOKUP(C95,'تقرير المصروفات حسب الشهر'!$C$512:$AD$620,5,FALSE),0)</f>
        <v>0</v>
      </c>
      <c r="I95" s="362">
        <f>IFERROR(VLOOKUP(C95,'تقرير المصروفات حسب الشهر'!$C$637:$AD$746,5,FALSE),0)</f>
        <v>0</v>
      </c>
      <c r="J95" s="362">
        <f>IFERROR(VLOOKUP(C95,'تقرير المصروفات حسب الشهر'!$C$763:$AD$872,5,FALSE),0)</f>
        <v>0</v>
      </c>
      <c r="K95" s="362">
        <f>IFERROR(VLOOKUP(C95,'تقرير المصروفات حسب الشهر'!$C$890:$AD$999,5,FALSE),0)</f>
        <v>0</v>
      </c>
      <c r="L95" s="362">
        <f>IFERROR(VLOOKUP(C95,'تقرير المصروفات حسب الشهر'!$C$1016:$AD$1126,5,FALSE),0)</f>
        <v>2130</v>
      </c>
      <c r="M95" s="376">
        <f>IFERROR(VLOOKUP(C95,'تقرير المصروفات حسب الشهر'!$C$1143:$AD$1254,5,FALSE),0)</f>
        <v>1065</v>
      </c>
      <c r="N95" s="376">
        <f>IFERROR(VLOOKUP(C95,'تقرير المصروفات حسب الشهر'!$C$1270:$AD$1381,5,FALSE),0)</f>
        <v>1065</v>
      </c>
      <c r="O95" s="376">
        <f>IFERROR(VLOOKUP(C95,'تقرير المصروفات حسب الشهر'!$C$1397:$AD$1512,5,FALSE),0)</f>
        <v>15759</v>
      </c>
      <c r="P95" s="364">
        <f t="shared" si="6"/>
        <v>20019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الشهر'!$C$10:$AD$119,5,FALSE),0)</f>
        <v>0</v>
      </c>
      <c r="E96" s="362">
        <f>IFERROR(VLOOKUP(C96,'تقرير المصروفات حسب الشهر'!$C$135:$AD$244,5,FALSE),0)</f>
        <v>0</v>
      </c>
      <c r="F96" s="362">
        <v>0</v>
      </c>
      <c r="G96" s="362">
        <f>IFERROR(VLOOKUP(C96,'تقرير المصروفات حسب الشهر'!$C$387:$AD$495,5,FALSE),0)</f>
        <v>0</v>
      </c>
      <c r="H96" s="362">
        <f>IFERROR(VLOOKUP(C96,'تقرير المصروفات حسب الشهر'!$C$512:$AD$620,5,FALSE),0)</f>
        <v>0</v>
      </c>
      <c r="I96" s="362">
        <f>IFERROR(VLOOKUP(C96,'تقرير المصروفات حسب الشهر'!$C$637:$AD$746,5,FALSE),0)</f>
        <v>0</v>
      </c>
      <c r="J96" s="362">
        <f>IFERROR(VLOOKUP(C96,'تقرير المصروفات حسب الشهر'!$C$763:$AD$872,5,FALSE),0)</f>
        <v>0</v>
      </c>
      <c r="K96" s="362">
        <f>IFERROR(VLOOKUP(C96,'تقرير المصروفات حسب الشهر'!$C$890:$AD$999,5,FALSE),0)</f>
        <v>0</v>
      </c>
      <c r="L96" s="362">
        <f>IFERROR(VLOOKUP(C96,'تقرير المصروفات حسب الشهر'!$C$1016:$AD$1126,5,FALSE),0)</f>
        <v>0</v>
      </c>
      <c r="M96" s="376">
        <f>IFERROR(VLOOKUP(C96,'تقرير المصروفات حسب الشهر'!$C$1143:$AD$1254,5,FALSE),0)</f>
        <v>0</v>
      </c>
      <c r="N96" s="376">
        <f>IFERROR(VLOOKUP(C96,'تقرير المصروفات حسب الشهر'!$C$1270:$AD$1381,5,FALSE),0)</f>
        <v>0</v>
      </c>
      <c r="O96" s="376">
        <f>IFERROR(VLOOKUP(C96,'تقرير المصروفات حسب الشهر'!$C$1397:$AD$1512,5,FALSE),0)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الشهر'!$C$10:$AD$119,5,FALSE),0)</f>
        <v>0</v>
      </c>
      <c r="E97" s="362">
        <f>IFERROR(VLOOKUP(C97,'تقرير المصروفات حسب الشهر'!$C$135:$AD$244,5,FALSE),0)</f>
        <v>0</v>
      </c>
      <c r="F97" s="362">
        <v>0</v>
      </c>
      <c r="G97" s="362">
        <f>IFERROR(VLOOKUP(C97,'تقرير المصروفات حسب الشهر'!$C$387:$AD$495,5,FALSE),0)</f>
        <v>0</v>
      </c>
      <c r="H97" s="362">
        <f>IFERROR(VLOOKUP(C97,'تقرير المصروفات حسب الشهر'!$C$512:$AD$620,5,FALSE),0)</f>
        <v>0</v>
      </c>
      <c r="I97" s="362">
        <f>IFERROR(VLOOKUP(C97,'تقرير المصروفات حسب الشهر'!$C$637:$AD$746,5,FALSE),0)</f>
        <v>0</v>
      </c>
      <c r="J97" s="362">
        <f>IFERROR(VLOOKUP(C97,'تقرير المصروفات حسب الشهر'!$C$763:$AD$872,5,FALSE),0)</f>
        <v>0</v>
      </c>
      <c r="K97" s="362">
        <f>IFERROR(VLOOKUP(C97,'تقرير المصروفات حسب الشهر'!$C$890:$AD$999,5,FALSE),0)</f>
        <v>0</v>
      </c>
      <c r="L97" s="362">
        <f>IFERROR(VLOOKUP(C97,'تقرير المصروفات حسب الشهر'!$C$1016:$AD$1126,5,FALSE),0)</f>
        <v>0</v>
      </c>
      <c r="M97" s="376">
        <f>IFERROR(VLOOKUP(C97,'تقرير المصروفات حسب الشهر'!$C$1143:$AD$1254,5,FALSE),0)</f>
        <v>0</v>
      </c>
      <c r="N97" s="376">
        <f>IFERROR(VLOOKUP(C97,'تقرير المصروفات حسب الشهر'!$C$1270:$AD$1381,5,FALSE),0)</f>
        <v>0</v>
      </c>
      <c r="O97" s="376">
        <f>IFERROR(VLOOKUP(C97,'تقرير المصروفات حسب الشهر'!$C$1397:$AD$1512,5,FALSE),0)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الشهر'!$C$10:$AD$119,5,FALSE),0)</f>
        <v>11.91</v>
      </c>
      <c r="E98" s="362">
        <f>IFERROR(VLOOKUP(C98,'تقرير المصروفات حسب الشهر'!$C$135:$AD$244,5,FALSE),0)</f>
        <v>11.91</v>
      </c>
      <c r="F98" s="362">
        <v>11.91</v>
      </c>
      <c r="G98" s="362">
        <f>IFERROR(VLOOKUP(C98,'تقرير المصروفات حسب الشهر'!$C$387:$AD$495,5,FALSE),0)</f>
        <v>11.91</v>
      </c>
      <c r="H98" s="362">
        <f>IFERROR(VLOOKUP(C98,'تقرير المصروفات حسب الشهر'!$C$512:$AD$620,5,FALSE),0)</f>
        <v>11.91</v>
      </c>
      <c r="I98" s="362">
        <f>IFERROR(VLOOKUP(C98,'تقرير المصروفات حسب الشهر'!$C$637:$AD$746,5,FALSE),0)</f>
        <v>11.91</v>
      </c>
      <c r="J98" s="517">
        <f>IFERROR(VLOOKUP(C98,'تقرير المصروفات حسب الشهر'!$C$763:$AD$872,5,FALSE),0)</f>
        <v>11.91</v>
      </c>
      <c r="K98" s="362">
        <f>IFERROR(VLOOKUP(C98,'تقرير المصروفات حسب الشهر'!$C$890:$AD$999,5,FALSE),0)</f>
        <v>11.91</v>
      </c>
      <c r="L98" s="362">
        <f>IFERROR(VLOOKUP(C98,'تقرير المصروفات حسب الشهر'!$C$1016:$AD$1126,5,FALSE),0)</f>
        <v>0</v>
      </c>
      <c r="M98" s="376">
        <f>IFERROR(VLOOKUP(C98,'تقرير المصروفات حسب الشهر'!$C$1143:$AD$1254,5,FALSE),0)</f>
        <v>0</v>
      </c>
      <c r="N98" s="376">
        <f>IFERROR(VLOOKUP(C98,'تقرير المصروفات حسب الشهر'!$C$1270:$AD$1381,5,FALSE),0)</f>
        <v>0</v>
      </c>
      <c r="O98" s="376">
        <f>IFERROR(VLOOKUP(C98,'تقرير المصروفات حسب الشهر'!$C$1397:$AD$1512,5,FALSE),0)</f>
        <v>0</v>
      </c>
      <c r="P98" s="364">
        <f t="shared" si="6"/>
        <v>95.279999999999987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الشهر'!$C$10:$AD$119,5,FALSE),0)</f>
        <v>388.33</v>
      </c>
      <c r="E99" s="362">
        <f>IFERROR(VLOOKUP(C99,'تقرير المصروفات حسب الشهر'!$C$135:$AD$244,5,FALSE),0)</f>
        <v>388.33</v>
      </c>
      <c r="F99" s="362">
        <v>388.33</v>
      </c>
      <c r="G99" s="362">
        <f>IFERROR(VLOOKUP(C99,'تقرير المصروفات حسب الشهر'!$C$387:$AD$495,5,FALSE),0)</f>
        <v>388.33</v>
      </c>
      <c r="H99" s="362">
        <f>IFERROR(VLOOKUP(C99,'تقرير المصروفات حسب الشهر'!$C$512:$AD$620,5,FALSE),0)</f>
        <v>388.33</v>
      </c>
      <c r="I99" s="362">
        <f>IFERROR(VLOOKUP(C99,'تقرير المصروفات حسب الشهر'!$C$637:$AD$746,5,FALSE),0)</f>
        <v>337.26</v>
      </c>
      <c r="J99" s="517">
        <f>IFERROR(VLOOKUP(C99,'تقرير المصروفات حسب الشهر'!$C$763:$AD$872,5,FALSE),0)</f>
        <v>0</v>
      </c>
      <c r="K99" s="362">
        <f>IFERROR(VLOOKUP(C99,'تقرير المصروفات حسب الشهر'!$C$890:$AD$999,5,FALSE),0)</f>
        <v>0</v>
      </c>
      <c r="L99" s="362">
        <f>IFERROR(VLOOKUP(C99,'تقرير المصروفات حسب الشهر'!$C$1016:$AD$1126,5,FALSE),0)</f>
        <v>0</v>
      </c>
      <c r="M99" s="376">
        <f>IFERROR(VLOOKUP(C99,'تقرير المصروفات حسب الشهر'!$C$1143:$AD$1254,5,FALSE),0)</f>
        <v>0</v>
      </c>
      <c r="N99" s="376">
        <f>IFERROR(VLOOKUP(C99,'تقرير المصروفات حسب الشهر'!$C$1270:$AD$1381,5,FALSE),0)</f>
        <v>2306.25</v>
      </c>
      <c r="O99" s="376">
        <f>IFERROR(VLOOKUP(C99,'تقرير المصروفات حسب الشهر'!$C$1397:$AD$1512,5,FALSE),0)</f>
        <v>2562.5</v>
      </c>
      <c r="P99" s="364">
        <f t="shared" si="6"/>
        <v>7147.66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الشهر'!$C$10:$AD$119,5,FALSE),0)</f>
        <v>754.31</v>
      </c>
      <c r="E100" s="362">
        <f>IFERROR(VLOOKUP(C100,'تقرير المصروفات حسب الشهر'!$C$135:$AD$244,5,FALSE),0)</f>
        <v>754.31</v>
      </c>
      <c r="F100" s="362">
        <v>754.31</v>
      </c>
      <c r="G100" s="362">
        <f>IFERROR(VLOOKUP(C100,'تقرير المصروفات حسب الشهر'!$C$387:$AD$495,5,FALSE),0)</f>
        <v>700.08</v>
      </c>
      <c r="H100" s="362">
        <f>IFERROR(VLOOKUP(C100,'تقرير المصروفات حسب الشهر'!$C$512:$AD$620,5,FALSE),0)</f>
        <v>679.31</v>
      </c>
      <c r="I100" s="362">
        <f>IFERROR(VLOOKUP(C100,'تقرير المصروفات حسب الشهر'!$C$637:$AD$746,5,FALSE),0)</f>
        <v>679.31</v>
      </c>
      <c r="J100" s="517">
        <f>IFERROR(VLOOKUP(C100,'تقرير المصروفات حسب الشهر'!$C$763:$AD$872,5,FALSE),0)</f>
        <v>664.6</v>
      </c>
      <c r="K100" s="362">
        <f>IFERROR(VLOOKUP(C100,'تقرير المصروفات حسب الشهر'!$C$890:$AD$999,5,FALSE),0)</f>
        <v>654.30999999999995</v>
      </c>
      <c r="L100" s="362">
        <f>IFERROR(VLOOKUP(C100,'تقرير المصروفات حسب الشهر'!$C$1016:$AD$1126,5,FALSE),0)</f>
        <v>366.62</v>
      </c>
      <c r="M100" s="376">
        <f>IFERROR(VLOOKUP(C100,'تقرير المصروفات حسب الشهر'!$C$1143:$AD$1254,5,FALSE),0)</f>
        <v>2559.5100000000002</v>
      </c>
      <c r="N100" s="376">
        <f>IFERROR(VLOOKUP(C100,'تقرير المصروفات حسب الشهر'!$C$1270:$AD$1381,5,FALSE),0)</f>
        <v>2792.54</v>
      </c>
      <c r="O100" s="376">
        <f>IFERROR(VLOOKUP(C100,'تقرير المصروفات حسب الشهر'!$C$1397:$AD$1512,5,FALSE),0)</f>
        <v>2736.92</v>
      </c>
      <c r="P100" s="364">
        <f t="shared" si="6"/>
        <v>14096.13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الشهر'!$C$10:$AD$119,5,FALSE),0)</f>
        <v>85.22</v>
      </c>
      <c r="E101" s="362">
        <f>IFERROR(VLOOKUP(C101,'تقرير المصروفات حسب الشهر'!$C$135:$AD$244,5,FALSE),0)</f>
        <v>85.22</v>
      </c>
      <c r="F101" s="362">
        <v>85.22</v>
      </c>
      <c r="G101" s="362">
        <f>IFERROR(VLOOKUP(C101,'تقرير المصروفات حسب الشهر'!$C$387:$AD$495,5,FALSE),0)</f>
        <v>85.22</v>
      </c>
      <c r="H101" s="362">
        <f>IFERROR(VLOOKUP(C101,'تقرير المصروفات حسب الشهر'!$C$512:$AD$620,5,FALSE),0)</f>
        <v>85.22</v>
      </c>
      <c r="I101" s="362">
        <f>IFERROR(VLOOKUP(C101,'تقرير المصروفات حسب الشهر'!$C$637:$AD$746,5,FALSE),0)</f>
        <v>85.22</v>
      </c>
      <c r="J101" s="517">
        <f>IFERROR(VLOOKUP(C101,'تقرير المصروفات حسب الشهر'!$C$763:$AD$872,5,FALSE),0)</f>
        <v>85.22</v>
      </c>
      <c r="K101" s="362">
        <f>IFERROR(VLOOKUP(C101,'تقرير المصروفات حسب الشهر'!$C$890:$AD$999,5,FALSE),0)</f>
        <v>69.95</v>
      </c>
      <c r="L101" s="362">
        <f>IFERROR(VLOOKUP(C101,'تقرير المصروفات حسب الشهر'!$C$1016:$AD$1126,5,FALSE),0)</f>
        <v>31.78</v>
      </c>
      <c r="M101" s="376">
        <f>IFERROR(VLOOKUP(C101,'تقرير المصروفات حسب الشهر'!$C$1143:$AD$1254,5,FALSE),0)</f>
        <v>31.78</v>
      </c>
      <c r="N101" s="376">
        <f>IFERROR(VLOOKUP(C101,'تقرير المصروفات حسب الشهر'!$C$1270:$AD$1381,5,FALSE),0)</f>
        <v>31.78</v>
      </c>
      <c r="O101" s="376">
        <f>IFERROR(VLOOKUP(C101,'تقرير المصروفات حسب الشهر'!$C$1397:$AD$1512,5,FALSE),0)</f>
        <v>0.02</v>
      </c>
      <c r="P101" s="364">
        <f t="shared" si="6"/>
        <v>761.85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الشهر'!$C$10:$AD$119,5,FALSE),0)</f>
        <v>320.52999999999997</v>
      </c>
      <c r="E102" s="362">
        <f>IFERROR(VLOOKUP(C102,'تقرير المصروفات حسب الشهر'!$C$135:$AD$244,5,FALSE),0)</f>
        <v>320.52999999999997</v>
      </c>
      <c r="F102" s="362">
        <v>320.52999999999997</v>
      </c>
      <c r="G102" s="362">
        <f>IFERROR(VLOOKUP(C102,'تقرير المصروفات حسب الشهر'!$C$387:$AD$495,5,FALSE),0)</f>
        <v>320.52999999999997</v>
      </c>
      <c r="H102" s="362">
        <f>IFERROR(VLOOKUP(C102,'تقرير المصروفات حسب الشهر'!$C$512:$AD$620,5,FALSE),0)</f>
        <v>320.52999999999997</v>
      </c>
      <c r="I102" s="362">
        <f>IFERROR(VLOOKUP(C102,'تقرير المصروفات حسب الشهر'!$C$637:$AD$746,5,FALSE),0)</f>
        <v>320.52999999999997</v>
      </c>
      <c r="J102" s="517">
        <f>IFERROR(VLOOKUP(C102,'تقرير المصروفات حسب الشهر'!$C$763:$AD$872,5,FALSE),0)</f>
        <v>320.52999999999997</v>
      </c>
      <c r="K102" s="362">
        <f>IFERROR(VLOOKUP(C102,'تقرير المصروفات حسب الشهر'!$C$890:$AD$999,5,FALSE),0)</f>
        <v>320.52999999999997</v>
      </c>
      <c r="L102" s="362">
        <f>IFERROR(VLOOKUP(C102,'تقرير المصروفات حسب الشهر'!$C$1016:$AD$1126,5,FALSE),0)</f>
        <v>672.9</v>
      </c>
      <c r="M102" s="376">
        <f>IFERROR(VLOOKUP(C102,'تقرير المصروفات حسب الشهر'!$C$1143:$AD$1254,5,FALSE),0)</f>
        <v>1621.08</v>
      </c>
      <c r="N102" s="376">
        <f>IFERROR(VLOOKUP(C102,'تقرير المصروفات حسب الشهر'!$C$1270:$AD$1381,5,FALSE),0)</f>
        <v>1620.99</v>
      </c>
      <c r="O102" s="376">
        <f>IFERROR(VLOOKUP(C102,'تقرير المصروفات حسب الشهر'!$C$1397:$AD$1512,5,FALSE),0)</f>
        <v>1452.17</v>
      </c>
      <c r="P102" s="364">
        <f t="shared" si="6"/>
        <v>7931.3799999999992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الشهر'!$C$10:$AD$119,5,FALSE),0)</f>
        <v>106.92</v>
      </c>
      <c r="E103" s="362">
        <f>IFERROR(VLOOKUP(C103,'تقرير المصروفات حسب الشهر'!$C$135:$AD$244,5,FALSE),0)</f>
        <v>106.92</v>
      </c>
      <c r="F103" s="362">
        <v>106.92</v>
      </c>
      <c r="G103" s="362">
        <f>IFERROR(VLOOKUP(C103,'تقرير المصروفات حسب الشهر'!$C$387:$AD$495,5,FALSE),0)</f>
        <v>0</v>
      </c>
      <c r="H103" s="362">
        <f>IFERROR(VLOOKUP(C103,'تقرير المصروفات حسب الشهر'!$C$512:$AD$620,5,FALSE),0)</f>
        <v>0</v>
      </c>
      <c r="I103" s="362">
        <f>IFERROR(VLOOKUP(C103,'تقرير المصروفات حسب الشهر'!$C$637:$AD$746,5,FALSE),0)</f>
        <v>0</v>
      </c>
      <c r="J103" s="362">
        <f>IFERROR(VLOOKUP(C103,'تقرير المصروفات حسب الشهر'!$C$763:$AD$872,5,FALSE),0)</f>
        <v>0</v>
      </c>
      <c r="K103" s="362">
        <f>IFERROR(VLOOKUP(C103,'تقرير المصروفات حسب الشهر'!$C$890:$AD$999,5,FALSE),0)</f>
        <v>0</v>
      </c>
      <c r="L103" s="362">
        <f>IFERROR(VLOOKUP(C103,'تقرير المصروفات حسب الشهر'!$C$1016:$AD$1126,5,FALSE),0)</f>
        <v>-0.05</v>
      </c>
      <c r="M103" s="376">
        <f>IFERROR(VLOOKUP(C103,'تقرير المصروفات حسب الشهر'!$C$1143:$AD$1254,5,FALSE),0)</f>
        <v>3891.36</v>
      </c>
      <c r="N103" s="376">
        <f>IFERROR(VLOOKUP(C103,'تقرير المصروفات حسب الشهر'!$C$1270:$AD$1381,5,FALSE),0)</f>
        <v>10262.89</v>
      </c>
      <c r="O103" s="376">
        <f>IFERROR(VLOOKUP(C103,'تقرير المصروفات حسب الشهر'!$C$1397:$AD$1512,5,FALSE),0)</f>
        <v>14023.75</v>
      </c>
      <c r="P103" s="364">
        <f t="shared" si="6"/>
        <v>28498.71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الشهر'!$C$10:$AD$119,5,FALSE),0)</f>
        <v>0</v>
      </c>
      <c r="E104" s="362">
        <f>IFERROR(VLOOKUP(C104,'تقرير المصروفات حسب الشهر'!$C$135:$AD$244,5,FALSE),0)</f>
        <v>0</v>
      </c>
      <c r="F104" s="362">
        <v>0</v>
      </c>
      <c r="G104" s="362">
        <f>IFERROR(VLOOKUP(C104,'تقرير المصروفات حسب الشهر'!$C$387:$AD$495,5,FALSE),0)</f>
        <v>0</v>
      </c>
      <c r="H104" s="362">
        <f>IFERROR(VLOOKUP(C104,'تقرير المصروفات حسب الشهر'!$C$512:$AD$620,5,FALSE),0)</f>
        <v>0</v>
      </c>
      <c r="I104" s="362">
        <f>IFERROR(VLOOKUP(C104,'تقرير المصروفات حسب الشهر'!$C$637:$AD$746,5,FALSE),0)</f>
        <v>0</v>
      </c>
      <c r="J104" s="362">
        <f>IFERROR(VLOOKUP(C104,'تقرير المصروفات حسب الشهر'!$C$763:$AD$872,5,FALSE),0)</f>
        <v>0</v>
      </c>
      <c r="K104" s="362">
        <f>IFERROR(VLOOKUP(C104,'تقرير المصروفات حسب الشهر'!$C$890:$AD$999,5,FALSE),0)</f>
        <v>0</v>
      </c>
      <c r="L104" s="362">
        <f>IFERROR(VLOOKUP(C104,'تقرير المصروفات حسب الشهر'!$C$1016:$AD$1126,5,FALSE),0)</f>
        <v>0</v>
      </c>
      <c r="M104" s="376">
        <f>IFERROR(VLOOKUP(C104,'تقرير المصروفات حسب الشهر'!$C$1143:$AD$1254,5,FALSE),0)</f>
        <v>0</v>
      </c>
      <c r="N104" s="376">
        <f>IFERROR(VLOOKUP(C104,'تقرير المصروفات حسب الشهر'!$C$1270:$AD$1381,5,FALSE),0)</f>
        <v>0</v>
      </c>
      <c r="O104" s="376">
        <f>IFERROR(VLOOKUP(C104,'تقرير المصروفات حسب الشهر'!$C$1397:$AD$1512,5,FALSE),0)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الشهر'!$C$10:$AD$119,5,FALSE),0)</f>
        <v>0</v>
      </c>
      <c r="E105" s="362">
        <f>IFERROR(VLOOKUP(C105,'تقرير المصروفات حسب الشهر'!$C$135:$AD$244,5,FALSE),0)</f>
        <v>0</v>
      </c>
      <c r="F105" s="362">
        <v>0</v>
      </c>
      <c r="G105" s="362">
        <f>IFERROR(VLOOKUP(C105,'تقرير المصروفات حسب الشهر'!$C$387:$AD$495,5,FALSE),0)</f>
        <v>0</v>
      </c>
      <c r="H105" s="362">
        <f>IFERROR(VLOOKUP(C105,'تقرير المصروفات حسب الشهر'!$C$512:$AD$620,5,FALSE),0)</f>
        <v>0</v>
      </c>
      <c r="I105" s="362">
        <f>IFERROR(VLOOKUP(C105,'تقرير المصروفات حسب الشهر'!$C$637:$AD$746,5,FALSE),0)</f>
        <v>0</v>
      </c>
      <c r="J105" s="362">
        <f>IFERROR(VLOOKUP(C105,'تقرير المصروفات حسب الشهر'!$C$763:$AD$872,5,FALSE),0)</f>
        <v>0</v>
      </c>
      <c r="K105" s="362">
        <f>IFERROR(VLOOKUP(C105,'تقرير المصروفات حسب الشهر'!$C$890:$AD$999,5,FALSE),0)</f>
        <v>0</v>
      </c>
      <c r="L105" s="362">
        <f>IFERROR(VLOOKUP(C105,'تقرير المصروفات حسب الشهر'!$C$1016:$AD$1126,5,FALSE),0)</f>
        <v>0</v>
      </c>
      <c r="M105" s="376">
        <f>IFERROR(VLOOKUP(C105,'تقرير المصروفات حسب الشهر'!$C$1143:$AD$1254,5,FALSE),0)</f>
        <v>0</v>
      </c>
      <c r="N105" s="376">
        <f>IFERROR(VLOOKUP(C105,'تقرير المصروفات حسب الشهر'!$C$1270:$AD$1381,5,FALSE),0)</f>
        <v>0</v>
      </c>
      <c r="O105" s="376">
        <f>IFERROR(VLOOKUP(C105,'تقرير المصروفات حسب الشهر'!$C$1397:$AD$1512,5,FALSE),0)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الشهر'!$C$10:$AD$119,5,FALSE),0)</f>
        <v>23662.880000000001</v>
      </c>
      <c r="E106" s="362">
        <f>IFERROR(VLOOKUP(C106,'تقرير المصروفات حسب الشهر'!$C$135:$AD$244,5,FALSE),0)</f>
        <v>22712.66</v>
      </c>
      <c r="F106" s="362">
        <v>14865.68</v>
      </c>
      <c r="G106" s="362">
        <f>IFERROR(VLOOKUP(C106,'تقرير المصروفات حسب الشهر'!$C$387:$AD$495,5,FALSE),0)</f>
        <v>23104.68</v>
      </c>
      <c r="H106" s="362">
        <f>IFERROR(VLOOKUP(C106,'تقرير المصروفات حسب الشهر'!$C$512:$AD$620,5,FALSE),0)</f>
        <v>26690.84</v>
      </c>
      <c r="I106" s="362">
        <f>IFERROR(VLOOKUP(C106,'تقرير المصروفات حسب الشهر'!$C$637:$AD$746,5,FALSE),0)</f>
        <v>21836.73</v>
      </c>
      <c r="J106" s="517">
        <f>IFERROR(VLOOKUP(C106,'تقرير المصروفات حسب الشهر'!$C$763:$AD$872,5,FALSE),0)</f>
        <v>23581.58</v>
      </c>
      <c r="K106" s="362">
        <f>IFERROR(VLOOKUP(C106,'تقرير المصروفات حسب الشهر'!$C$890:$AD$999,5,FALSE),0)</f>
        <v>17107.439999999999</v>
      </c>
      <c r="L106" s="362">
        <f>IFERROR(VLOOKUP(C106,'تقرير المصروفات حسب الشهر'!$C$1016:$AD$1126,5,FALSE),0)</f>
        <v>140</v>
      </c>
      <c r="M106" s="376">
        <f>IFERROR(VLOOKUP(C106,'تقرير المصروفات حسب الشهر'!$C$1143:$AD$1254,5,FALSE),0)</f>
        <v>19744.689999999999</v>
      </c>
      <c r="N106" s="376">
        <f>IFERROR(VLOOKUP(C106,'تقرير المصروفات حسب الشهر'!$C$1270:$AD$1381,5,FALSE),0)</f>
        <v>32326.02</v>
      </c>
      <c r="O106" s="376">
        <f>IFERROR(VLOOKUP(C106,'تقرير المصروفات حسب الشهر'!$C$1397:$AD$1512,5,FALSE),0)</f>
        <v>31919.69</v>
      </c>
      <c r="P106" s="364">
        <f t="shared" si="6"/>
        <v>257692.88999999998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الشهر'!$C$10:$AD$119,5,FALSE),0)</f>
        <v>0</v>
      </c>
      <c r="E107" s="362">
        <f>IFERROR(VLOOKUP(C107,'تقرير المصروفات حسب الشهر'!$C$135:$AD$244,5,FALSE),0)</f>
        <v>0</v>
      </c>
      <c r="F107" s="362">
        <v>0</v>
      </c>
      <c r="G107" s="362">
        <f>IFERROR(VLOOKUP(C107,'تقرير المصروفات حسب الشهر'!$C$387:$AD$495,5,FALSE),0)</f>
        <v>0</v>
      </c>
      <c r="H107" s="362">
        <f>IFERROR(VLOOKUP(C107,'تقرير المصروفات حسب الشهر'!$C$512:$AD$620,5,FALSE),0)</f>
        <v>0</v>
      </c>
      <c r="I107" s="362">
        <f>IFERROR(VLOOKUP(C107,'تقرير المصروفات حسب الشهر'!$C$637:$AD$746,5,FALSE),0)</f>
        <v>0</v>
      </c>
      <c r="J107" s="362">
        <f>IFERROR(VLOOKUP(C107,'تقرير المصروفات حسب الشهر'!$C$763:$AD$872,5,FALSE),0)</f>
        <v>0</v>
      </c>
      <c r="K107" s="362">
        <f>IFERROR(VLOOKUP(C107,'تقرير المصروفات حسب الشهر'!$C$890:$AD$999,5,FALSE),0)</f>
        <v>0</v>
      </c>
      <c r="L107" s="362">
        <f>IFERROR(VLOOKUP(C107,'تقرير المصروفات حسب الشهر'!$C$1016:$AD$1126,5,FALSE),0)</f>
        <v>0</v>
      </c>
      <c r="M107" s="376">
        <f>IFERROR(VLOOKUP(C107,'تقرير المصروفات حسب الشهر'!$C$1143:$AD$1254,5,FALSE),0)</f>
        <v>0</v>
      </c>
      <c r="N107" s="376">
        <f>IFERROR(VLOOKUP(C107,'تقرير المصروفات حسب الشهر'!$C$1270:$AD$1381,5,FALSE),0)</f>
        <v>0</v>
      </c>
      <c r="O107" s="376">
        <f>IFERROR(VLOOKUP(C107,'تقرير المصروفات حسب الشهر'!$C$1397:$AD$1512,5,FALSE),0)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الشهر'!$C$10:$AD$119,5,FALSE),0)</f>
        <v>0</v>
      </c>
      <c r="E108" s="362">
        <f>IFERROR(VLOOKUP(C108,'تقرير المصروفات حسب الشهر'!$C$135:$AD$244,5,FALSE),0)</f>
        <v>0</v>
      </c>
      <c r="F108" s="362">
        <v>0</v>
      </c>
      <c r="G108" s="362">
        <f>IFERROR(VLOOKUP(C108,'تقرير المصروفات حسب الشهر'!$C$387:$AD$495,5,FALSE),0)</f>
        <v>0</v>
      </c>
      <c r="H108" s="362">
        <f>IFERROR(VLOOKUP(C108,'تقرير المصروفات حسب الشهر'!$C$512:$AD$620,5,FALSE),0)</f>
        <v>0</v>
      </c>
      <c r="I108" s="362">
        <f>IFERROR(VLOOKUP(C108,'تقرير المصروفات حسب الشهر'!$C$637:$AD$746,5,FALSE),0)</f>
        <v>0</v>
      </c>
      <c r="J108" s="362">
        <f>IFERROR(VLOOKUP(C108,'تقرير المصروفات حسب الشهر'!$C$763:$AD$872,5,FALSE),0)</f>
        <v>0</v>
      </c>
      <c r="K108" s="362">
        <f>IFERROR(VLOOKUP(C108,'تقرير المصروفات حسب الشهر'!$C$890:$AD$999,5,FALSE),0)</f>
        <v>0</v>
      </c>
      <c r="L108" s="362">
        <f>IFERROR(VLOOKUP(C108,'تقرير المصروفات حسب الشهر'!$C$1016:$AD$1126,5,FALSE),0)</f>
        <v>0</v>
      </c>
      <c r="M108" s="376">
        <f>IFERROR(VLOOKUP(C108,'تقرير المصروفات حسب الشهر'!$C$1143:$AD$1254,5,FALSE),0)</f>
        <v>0</v>
      </c>
      <c r="N108" s="376">
        <f>IFERROR(VLOOKUP(C108,'تقرير المصروفات حسب الشهر'!$C$1270:$AD$1381,5,FALSE),0)</f>
        <v>0</v>
      </c>
      <c r="O108" s="376">
        <f>IFERROR(VLOOKUP(C108,'تقرير المصروفات حسب الشهر'!$C$1397:$AD$1512,5,FALSE),0)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الشهر'!$C$10:$AD$119,5,FALSE),0)</f>
        <v>0</v>
      </c>
      <c r="E109" s="362">
        <f>IFERROR(VLOOKUP(C109,'تقرير المصروفات حسب الشهر'!$C$135:$AD$244,5,FALSE),0)</f>
        <v>0</v>
      </c>
      <c r="F109" s="362">
        <v>0</v>
      </c>
      <c r="G109" s="362">
        <f>IFERROR(VLOOKUP(C109,'تقرير المصروفات حسب الشهر'!$C$387:$AD$495,5,FALSE),0)</f>
        <v>0</v>
      </c>
      <c r="H109" s="362">
        <f>IFERROR(VLOOKUP(C109,'تقرير المصروفات حسب الشهر'!$C$512:$AD$620,5,FALSE),0)</f>
        <v>0</v>
      </c>
      <c r="I109" s="362">
        <f>IFERROR(VLOOKUP(C109,'تقرير المصروفات حسب الشهر'!$C$637:$AD$746,5,FALSE),0)</f>
        <v>0</v>
      </c>
      <c r="J109" s="362">
        <f>IFERROR(VLOOKUP(C109,'تقرير المصروفات حسب الشهر'!$C$763:$AD$872,5,FALSE),0)</f>
        <v>0</v>
      </c>
      <c r="K109" s="362">
        <f>IFERROR(VLOOKUP(C109,'تقرير المصروفات حسب الشهر'!$C$890:$AD$999,5,FALSE),0)</f>
        <v>0</v>
      </c>
      <c r="L109" s="362">
        <f>IFERROR(VLOOKUP(C109,'تقرير المصروفات حسب الشهر'!$C$1016:$AD$1126,5,FALSE),0)</f>
        <v>0</v>
      </c>
      <c r="M109" s="376">
        <f>IFERROR(VLOOKUP(C109,'تقرير المصروفات حسب الشهر'!$C$1143:$AD$1254,5,FALSE),0)</f>
        <v>0</v>
      </c>
      <c r="N109" s="376">
        <f>IFERROR(VLOOKUP(C109,'تقرير المصروفات حسب الشهر'!$C$1270:$AD$1381,5,FALSE),0)</f>
        <v>0</v>
      </c>
      <c r="O109" s="376">
        <f>IFERROR(VLOOKUP(C109,'تقرير المصروفات حسب الشهر'!$C$1397:$AD$1512,5,FALSE),0)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الشهر'!$C$10:$AD$119,5,FALSE),0)</f>
        <v>2.62</v>
      </c>
      <c r="E110" s="362">
        <f>IFERROR(VLOOKUP(C110,'تقرير المصروفات حسب الشهر'!$C$135:$AD$244,5,FALSE),0)</f>
        <v>0</v>
      </c>
      <c r="F110" s="362">
        <v>0</v>
      </c>
      <c r="G110" s="362">
        <f>IFERROR(VLOOKUP(C110,'تقرير المصروفات حسب الشهر'!$C$387:$AD$495,5,FALSE),0)</f>
        <v>0</v>
      </c>
      <c r="H110" s="362">
        <f>IFERROR(VLOOKUP(C110,'تقرير المصروفات حسب الشهر'!$C$512:$AD$620,5,FALSE),0)</f>
        <v>0</v>
      </c>
      <c r="I110" s="362">
        <f>IFERROR(VLOOKUP(C110,'تقرير المصروفات حسب الشهر'!$C$637:$AD$746,5,FALSE),0)</f>
        <v>0</v>
      </c>
      <c r="J110" s="362">
        <f>IFERROR(VLOOKUP(C110,'تقرير المصروفات حسب الشهر'!$C$763:$AD$872,5,FALSE),0)</f>
        <v>0</v>
      </c>
      <c r="K110" s="362">
        <f>IFERROR(VLOOKUP(C110,'تقرير المصروفات حسب الشهر'!$C$890:$AD$999,5,FALSE),0)</f>
        <v>0</v>
      </c>
      <c r="L110" s="362">
        <f>IFERROR(VLOOKUP(C110,'تقرير المصروفات حسب الشهر'!$C$1016:$AD$1126,5,FALSE),0)</f>
        <v>0</v>
      </c>
      <c r="M110" s="376">
        <f>IFERROR(VLOOKUP(C110,'تقرير المصروفات حسب الشهر'!$C$1143:$AD$1254,5,FALSE),0)</f>
        <v>37561.54</v>
      </c>
      <c r="N110" s="376">
        <f>IFERROR(VLOOKUP(C110,'تقرير المصروفات حسب الشهر'!$C$1270:$AD$1381,5,FALSE),0)</f>
        <v>0</v>
      </c>
      <c r="O110" s="376">
        <f>IFERROR(VLOOKUP(C110,'تقرير المصروفات حسب الشهر'!$C$1397:$AD$1512,5,FALSE),0)</f>
        <v>126.6</v>
      </c>
      <c r="P110" s="364">
        <f t="shared" si="6"/>
        <v>37690.76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الشهر'!$C$10:$AD$119,5,FALSE),0)</f>
        <v>0</v>
      </c>
      <c r="E111" s="362">
        <f>IFERROR(VLOOKUP(C111,'تقرير المصروفات حسب الشهر'!$C$135:$AD$244,5,FALSE),0)</f>
        <v>0</v>
      </c>
      <c r="F111" s="362">
        <v>0</v>
      </c>
      <c r="G111" s="362">
        <f>IFERROR(VLOOKUP(C111,'تقرير المصروفات حسب الشهر'!$C$387:$AD$495,5,FALSE),0)</f>
        <v>0</v>
      </c>
      <c r="H111" s="362">
        <f>IFERROR(VLOOKUP(C111,'تقرير المصروفات حسب الشهر'!$C$512:$AD$620,5,FALSE),0)</f>
        <v>0</v>
      </c>
      <c r="I111" s="362">
        <f>IFERROR(VLOOKUP(C111,'تقرير المصروفات حسب الشهر'!$C$637:$AD$746,5,FALSE),0)</f>
        <v>0</v>
      </c>
      <c r="J111" s="362">
        <f>IFERROR(VLOOKUP(C111,'تقرير المصروفات حسب الشهر'!$C$763:$AD$872,5,FALSE),0)</f>
        <v>0</v>
      </c>
      <c r="K111" s="362">
        <f>IFERROR(VLOOKUP(C111,'تقرير المصروفات حسب الشهر'!$C$890:$AD$999,5,FALSE),0)</f>
        <v>0</v>
      </c>
      <c r="L111" s="362">
        <f>IFERROR(VLOOKUP(C111,'تقرير المصروفات حسب الشهر'!$C$1016:$AD$1126,5,FALSE),0)</f>
        <v>0</v>
      </c>
      <c r="M111" s="376">
        <f>IFERROR(VLOOKUP(C111,'تقرير المصروفات حسب الشهر'!$C$1143:$AD$1254,5,FALSE),0)</f>
        <v>0</v>
      </c>
      <c r="N111" s="376">
        <f>IFERROR(VLOOKUP(C111,'تقرير المصروفات حسب الشهر'!$C$1270:$AD$1381,5,FALSE),0)</f>
        <v>0</v>
      </c>
      <c r="O111" s="376">
        <f>IFERROR(VLOOKUP(C111,'تقرير المصروفات حسب الشهر'!$C$1397:$AD$1512,5,FALSE),0)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الشهر'!$C$10:$AD$119,5,FALSE),0)</f>
        <v>1566</v>
      </c>
      <c r="E112" s="362">
        <f>IFERROR(VLOOKUP(C112,'تقرير المصروفات حسب الشهر'!$C$135:$AD$244,5,FALSE),0)</f>
        <v>1508</v>
      </c>
      <c r="F112" s="362">
        <v>512</v>
      </c>
      <c r="G112" s="362">
        <f>IFERROR(VLOOKUP(C112,'تقرير المصروفات حسب الشهر'!$C$387:$AD$495,5,FALSE),0)</f>
        <v>1718</v>
      </c>
      <c r="H112" s="362">
        <f>IFERROR(VLOOKUP(C112,'تقرير المصروفات حسب الشهر'!$C$512:$AD$620,5,FALSE),0)</f>
        <v>379</v>
      </c>
      <c r="I112" s="362">
        <f>IFERROR(VLOOKUP(C112,'تقرير المصروفات حسب الشهر'!$C$637:$AD$746,5,FALSE),0)</f>
        <v>871</v>
      </c>
      <c r="J112" s="517">
        <f>IFERROR(VLOOKUP(C112,'تقرير المصروفات حسب الشهر'!$C$763:$AD$872,5,FALSE),0)</f>
        <v>584</v>
      </c>
      <c r="K112" s="362">
        <f>IFERROR(VLOOKUP(C112,'تقرير المصروفات حسب الشهر'!$C$890:$AD$999,5,FALSE),0)</f>
        <v>50</v>
      </c>
      <c r="L112" s="362">
        <f>IFERROR(VLOOKUP(C112,'تقرير المصروفات حسب الشهر'!$C$1016:$AD$1126,5,FALSE),0)</f>
        <v>0</v>
      </c>
      <c r="M112" s="376">
        <f>IFERROR(VLOOKUP(C112,'تقرير المصروفات حسب الشهر'!$C$1143:$AD$1254,5,FALSE),0)</f>
        <v>56</v>
      </c>
      <c r="N112" s="376">
        <f>IFERROR(VLOOKUP(C112,'تقرير المصروفات حسب الشهر'!$C$1270:$AD$1381,5,FALSE),0)</f>
        <v>40</v>
      </c>
      <c r="O112" s="376">
        <f>IFERROR(VLOOKUP(C112,'تقرير المصروفات حسب الشهر'!$C$1397:$AD$1512,5,FALSE),0)</f>
        <v>0</v>
      </c>
      <c r="P112" s="364">
        <f t="shared" si="6"/>
        <v>7284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الشهر'!$C$10:$AD$119,5,FALSE),0)</f>
        <v>0</v>
      </c>
      <c r="E113" s="362">
        <f>IFERROR(VLOOKUP(C113,'تقرير المصروفات حسب الشهر'!$C$135:$AD$244,5,FALSE),0)</f>
        <v>0</v>
      </c>
      <c r="F113" s="362">
        <v>0</v>
      </c>
      <c r="G113" s="362">
        <f>IFERROR(VLOOKUP(C113,'تقرير المصروفات حسب الشهر'!$C$387:$AD$495,5,FALSE),0)</f>
        <v>0</v>
      </c>
      <c r="H113" s="362">
        <f>IFERROR(VLOOKUP(C113,'تقرير المصروفات حسب الشهر'!$C$512:$AD$620,5,FALSE),0)</f>
        <v>0</v>
      </c>
      <c r="I113" s="362">
        <f>IFERROR(VLOOKUP(C113,'تقرير المصروفات حسب الشهر'!$C$637:$AD$746,5,FALSE),0)</f>
        <v>0</v>
      </c>
      <c r="J113" s="362">
        <f>IFERROR(VLOOKUP(C113,'تقرير المصروفات حسب الشهر'!$C$763:$AD$872,5,FALSE),0)</f>
        <v>0</v>
      </c>
      <c r="K113" s="362">
        <f>IFERROR(VLOOKUP(C113,'تقرير المصروفات حسب الشهر'!$C$890:$AD$999,5,FALSE),0)</f>
        <v>0</v>
      </c>
      <c r="L113" s="362">
        <f>IFERROR(VLOOKUP(C113,'تقرير المصروفات حسب الشهر'!$C$1016:$AD$1126,5,FALSE),0)</f>
        <v>0</v>
      </c>
      <c r="M113" s="376">
        <f>IFERROR(VLOOKUP(C113,'تقرير المصروفات حسب الشهر'!$C$1143:$AD$1254,5,FALSE),0)</f>
        <v>0</v>
      </c>
      <c r="N113" s="376">
        <f>IFERROR(VLOOKUP(C113,'تقرير المصروفات حسب الشهر'!$C$1270:$AD$1381,5,FALSE),0)</f>
        <v>0</v>
      </c>
      <c r="O113" s="376">
        <f>IFERROR(VLOOKUP(C113,'تقرير المصروفات حسب الشهر'!$C$1397:$AD$1512,5,FALSE),0)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الشهر'!$C$10:$AD$119,5,FALSE),0)</f>
        <v>0</v>
      </c>
      <c r="E114" s="362">
        <f>IFERROR(VLOOKUP(C114,'تقرير المصروفات حسب الشهر'!$C$135:$AD$244,5,FALSE),0)</f>
        <v>0</v>
      </c>
      <c r="F114" s="362">
        <v>0</v>
      </c>
      <c r="G114" s="362">
        <f>IFERROR(VLOOKUP(C114,'تقرير المصروفات حسب الشهر'!$C$387:$AD$495,5,FALSE),0)</f>
        <v>0</v>
      </c>
      <c r="H114" s="362">
        <f>IFERROR(VLOOKUP(C114,'تقرير المصروفات حسب الشهر'!$C$512:$AD$620,5,FALSE),0)</f>
        <v>0</v>
      </c>
      <c r="I114" s="362">
        <f>IFERROR(VLOOKUP(C114,'تقرير المصروفات حسب الشهر'!$C$637:$AD$746,5,FALSE),0)</f>
        <v>0</v>
      </c>
      <c r="J114" s="362">
        <f>IFERROR(VLOOKUP(C114,'تقرير المصروفات حسب الشهر'!$C$763:$AD$872,5,FALSE),0)</f>
        <v>0</v>
      </c>
      <c r="K114" s="362">
        <f>IFERROR(VLOOKUP(C114,'تقرير المصروفات حسب الشهر'!$C$890:$AD$999,5,FALSE),0)</f>
        <v>0</v>
      </c>
      <c r="L114" s="362">
        <f>IFERROR(VLOOKUP(C114,'تقرير المصروفات حسب الشهر'!$C$1016:$AD$1126,5,FALSE),0)</f>
        <v>0</v>
      </c>
      <c r="M114" s="376">
        <f>IFERROR(VLOOKUP(C114,'تقرير المصروفات حسب الشهر'!$C$1143:$AD$1254,5,FALSE),0)</f>
        <v>0</v>
      </c>
      <c r="N114" s="376">
        <f>IFERROR(VLOOKUP(C114,'تقرير المصروفات حسب الشهر'!$C$1270:$AD$1381,5,FALSE),0)</f>
        <v>0</v>
      </c>
      <c r="O114" s="376">
        <f>IFERROR(VLOOKUP(C114,'تقرير المصروفات حسب الشهر'!$C$1397:$AD$1512,5,FALSE),0)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الشهر'!$C$10:$AD$119,5,FALSE),0)</f>
        <v>0</v>
      </c>
      <c r="E115" s="362">
        <f>IFERROR(VLOOKUP(C115,'تقرير المصروفات حسب الشهر'!$C$135:$AD$244,5,FALSE),0)</f>
        <v>0</v>
      </c>
      <c r="F115" s="362">
        <v>0</v>
      </c>
      <c r="G115" s="362">
        <f>IFERROR(VLOOKUP(C115,'تقرير المصروفات حسب الشهر'!$C$387:$AD$495,5,FALSE),0)</f>
        <v>0</v>
      </c>
      <c r="H115" s="362">
        <f>IFERROR(VLOOKUP(C115,'تقرير المصروفات حسب الشهر'!$C$512:$AD$620,5,FALSE),0)</f>
        <v>0</v>
      </c>
      <c r="I115" s="362">
        <f>IFERROR(VLOOKUP(C115,'تقرير المصروفات حسب الشهر'!$C$637:$AD$746,5,FALSE),0)</f>
        <v>0</v>
      </c>
      <c r="J115" s="362">
        <f>IFERROR(VLOOKUP(C115,'تقرير المصروفات حسب الشهر'!$C$763:$AD$872,5,FALSE),0)</f>
        <v>0</v>
      </c>
      <c r="K115" s="362">
        <f>IFERROR(VLOOKUP(C115,'تقرير المصروفات حسب الشهر'!$C$890:$AD$999,5,FALSE),0)</f>
        <v>0</v>
      </c>
      <c r="L115" s="362">
        <f>IFERROR(VLOOKUP(C115,'تقرير المصروفات حسب الشهر'!$C$1016:$AD$1126,5,FALSE),0)</f>
        <v>0</v>
      </c>
      <c r="M115" s="376">
        <f>IFERROR(VLOOKUP(C115,'تقرير المصروفات حسب الشهر'!$C$1143:$AD$1254,5,FALSE),0)</f>
        <v>0</v>
      </c>
      <c r="N115" s="376">
        <f>IFERROR(VLOOKUP(C115,'تقرير المصروفات حسب الشهر'!$C$1270:$AD$1381,5,FALSE),0)</f>
        <v>0</v>
      </c>
      <c r="O115" s="376">
        <f>IFERROR(VLOOKUP(C115,'تقرير المصروفات حسب الشهر'!$C$1397:$AD$1512,5,FALSE),0)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الشهر'!$C$10:$AD$119,5,FALSE),0)</f>
        <v>0</v>
      </c>
      <c r="E116" s="362">
        <f>IFERROR(VLOOKUP(C116,'تقرير المصروفات حسب الشهر'!$C$135:$AD$244,5,FALSE),0)</f>
        <v>0</v>
      </c>
      <c r="F116" s="362">
        <v>0</v>
      </c>
      <c r="G116" s="362">
        <f>IFERROR(VLOOKUP(C116,'تقرير المصروفات حسب الشهر'!$C$387:$AD$495,5,FALSE),0)</f>
        <v>0</v>
      </c>
      <c r="H116" s="362">
        <f>IFERROR(VLOOKUP(C116,'تقرير المصروفات حسب الشهر'!$C$512:$AD$620,5,FALSE),0)</f>
        <v>0</v>
      </c>
      <c r="I116" s="362">
        <f>IFERROR(VLOOKUP(C116,'تقرير المصروفات حسب الشهر'!$C$637:$AD$746,5,FALSE),0)</f>
        <v>0</v>
      </c>
      <c r="J116" s="362">
        <f>IFERROR(VLOOKUP(C116,'تقرير المصروفات حسب الشهر'!$C$763:$AD$872,5,FALSE),0)</f>
        <v>0</v>
      </c>
      <c r="K116" s="362">
        <f>IFERROR(VLOOKUP(C116,'تقرير المصروفات حسب الشهر'!$C$890:$AD$999,5,FALSE),0)</f>
        <v>0</v>
      </c>
      <c r="L116" s="362">
        <f>IFERROR(VLOOKUP(C116,'تقرير المصروفات حسب الشهر'!$C$1016:$AD$1126,5,FALSE),0)</f>
        <v>0</v>
      </c>
      <c r="M116" s="376">
        <f>IFERROR(VLOOKUP(C116,'تقرير المصروفات حسب الشهر'!$C$1143:$AD$1254,5,FALSE),0)</f>
        <v>0</v>
      </c>
      <c r="N116" s="376">
        <f>IFERROR(VLOOKUP(C116,'تقرير المصروفات حسب الشهر'!$C$1270:$AD$1381,5,FALSE),0)</f>
        <v>0</v>
      </c>
      <c r="O116" s="376">
        <f>IFERROR(VLOOKUP(C116,'تقرير المصروفات حسب الشهر'!$C$1397:$AD$1512,5,FALSE),0)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الشهر'!$C$10:$AD$119,5,FALSE),0)</f>
        <v>0</v>
      </c>
      <c r="E117" s="362">
        <f>IFERROR(VLOOKUP(C117,'تقرير المصروفات حسب الشهر'!$C$135:$AD$244,5,FALSE),0)</f>
        <v>0</v>
      </c>
      <c r="F117" s="362">
        <v>0</v>
      </c>
      <c r="G117" s="362">
        <f>IFERROR(VLOOKUP(C117,'تقرير المصروفات حسب الشهر'!$C$387:$AD$495,5,FALSE),0)</f>
        <v>0</v>
      </c>
      <c r="H117" s="362">
        <f>IFERROR(VLOOKUP(C117,'تقرير المصروفات حسب الشهر'!$C$512:$AD$620,5,FALSE),0)</f>
        <v>0</v>
      </c>
      <c r="I117" s="362">
        <f>IFERROR(VLOOKUP(C117,'تقرير المصروفات حسب الشهر'!$C$637:$AD$746,5,FALSE),0)</f>
        <v>0</v>
      </c>
      <c r="J117" s="362">
        <f>IFERROR(VLOOKUP(C117,'تقرير المصروفات حسب الشهر'!$C$763:$AD$872,5,FALSE),0)</f>
        <v>0</v>
      </c>
      <c r="K117" s="362">
        <f>IFERROR(VLOOKUP(C117,'تقرير المصروفات حسب الشهر'!$C$890:$AD$999,5,FALSE),0)</f>
        <v>0</v>
      </c>
      <c r="L117" s="362">
        <f>IFERROR(VLOOKUP(C117,'تقرير المصروفات حسب الشهر'!$C$1016:$AD$1126,5,FALSE),0)</f>
        <v>0</v>
      </c>
      <c r="M117" s="376">
        <f>IFERROR(VLOOKUP(C117,'تقرير المصروفات حسب الشهر'!$C$1143:$AD$1254,5,FALSE),0)</f>
        <v>0</v>
      </c>
      <c r="N117" s="376">
        <f>IFERROR(VLOOKUP(C117,'تقرير المصروفات حسب الشهر'!$C$1270:$AD$1381,5,FALSE),0)</f>
        <v>0</v>
      </c>
      <c r="O117" s="376">
        <f>IFERROR(VLOOKUP(C117,'تقرير المصروفات حسب الشهر'!$C$1397:$AD$1512,5,FALSE),0)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الشهر'!$C$10:$AD$119,5,FALSE),0)</f>
        <v>0</v>
      </c>
      <c r="E118" s="362">
        <f>IFERROR(VLOOKUP(C118,'تقرير المصروفات حسب الشهر'!$C$135:$AD$244,5,FALSE),0)</f>
        <v>0</v>
      </c>
      <c r="F118" s="362">
        <v>0</v>
      </c>
      <c r="G118" s="362">
        <f>IFERROR(VLOOKUP(C118,'تقرير المصروفات حسب الشهر'!$C$387:$AD$495,5,FALSE),0)</f>
        <v>0</v>
      </c>
      <c r="H118" s="362">
        <f>IFERROR(VLOOKUP(C118,'تقرير المصروفات حسب الشهر'!$C$512:$AD$620,5,FALSE),0)</f>
        <v>0</v>
      </c>
      <c r="I118" s="362">
        <f>IFERROR(VLOOKUP(C118,'تقرير المصروفات حسب الشهر'!$C$637:$AD$746,5,FALSE),0)</f>
        <v>0</v>
      </c>
      <c r="J118" s="362">
        <f>IFERROR(VLOOKUP(C118,'تقرير المصروفات حسب الشهر'!$C$763:$AD$872,5,FALSE),0)</f>
        <v>0</v>
      </c>
      <c r="K118" s="362">
        <f>IFERROR(VLOOKUP(C118,'تقرير المصروفات حسب الشهر'!$C$890:$AD$999,5,FALSE),0)</f>
        <v>0</v>
      </c>
      <c r="L118" s="362">
        <f>IFERROR(VLOOKUP(C118,'تقرير المصروفات حسب الشهر'!$C$1016:$AD$1126,5,FALSE),0)</f>
        <v>0</v>
      </c>
      <c r="M118" s="376">
        <f>IFERROR(VLOOKUP(C118,'تقرير المصروفات حسب الشهر'!$C$1143:$AD$1254,5,FALSE),0)</f>
        <v>0</v>
      </c>
      <c r="N118" s="376">
        <f>IFERROR(VLOOKUP(C118,'تقرير المصروفات حسب الشهر'!$C$1270:$AD$1381,5,FALSE),0)</f>
        <v>0</v>
      </c>
      <c r="O118" s="376">
        <f>IFERROR(VLOOKUP(C118,'تقرير المصروفات حسب الشهر'!$C$1397:$AD$1512,5,FALSE),0)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الشهر'!$C$10:$AD$119,5,FALSE),0)</f>
        <v>0</v>
      </c>
      <c r="E119" s="362">
        <f>IFERROR(VLOOKUP(C119,'تقرير المصروفات حسب الشهر'!$C$135:$AD$244,5,FALSE),0)</f>
        <v>3520</v>
      </c>
      <c r="F119" s="362">
        <v>0</v>
      </c>
      <c r="G119" s="362">
        <f>IFERROR(VLOOKUP(C119,'تقرير المصروفات حسب الشهر'!$C$387:$AD$495,5,FALSE),0)</f>
        <v>0</v>
      </c>
      <c r="H119" s="362">
        <f>IFERROR(VLOOKUP(C119,'تقرير المصروفات حسب الشهر'!$C$512:$AD$620,5,FALSE),0)</f>
        <v>5071</v>
      </c>
      <c r="I119" s="362">
        <f>IFERROR(VLOOKUP(C119,'تقرير المصروفات حسب الشهر'!$C$637:$AD$746,5,FALSE),0)</f>
        <v>2120.85</v>
      </c>
      <c r="J119" s="517">
        <f>IFERROR(VLOOKUP(C119,'تقرير المصروفات حسب الشهر'!$C$763:$AD$872,5,FALSE),0)</f>
        <v>3795.71</v>
      </c>
      <c r="K119" s="362">
        <f>IFERROR(VLOOKUP(C119,'تقرير المصروفات حسب الشهر'!$C$890:$AD$999,5,FALSE),0)</f>
        <v>1108</v>
      </c>
      <c r="L119" s="362">
        <f>IFERROR(VLOOKUP(C119,'تقرير المصروفات حسب الشهر'!$C$1016:$AD$1126,5,FALSE),0)</f>
        <v>0</v>
      </c>
      <c r="M119" s="376">
        <f>IFERROR(VLOOKUP(C119,'تقرير المصروفات حسب الشهر'!$C$1143:$AD$1254,5,FALSE),0)</f>
        <v>0</v>
      </c>
      <c r="N119" s="376">
        <f>IFERROR(VLOOKUP(C119,'تقرير المصروفات حسب الشهر'!$C$1270:$AD$1381,5,FALSE),0)</f>
        <v>0</v>
      </c>
      <c r="O119" s="376">
        <f>IFERROR(VLOOKUP(C119,'تقرير المصروفات حسب الشهر'!$C$1397:$AD$1512,5,FALSE),0)</f>
        <v>11047.4</v>
      </c>
      <c r="P119" s="364">
        <f t="shared" si="6"/>
        <v>26662.959999999999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الشهر'!$C$10:$AD$119,5,FALSE),0)</f>
        <v>0</v>
      </c>
      <c r="E120" s="362">
        <f>IFERROR(VLOOKUP(C120,'تقرير المصروفات حسب الشهر'!$C$135:$AD$244,5,FALSE),0)</f>
        <v>0</v>
      </c>
      <c r="F120" s="362">
        <v>0</v>
      </c>
      <c r="G120" s="362">
        <f>IFERROR(VLOOKUP(C120,'تقرير المصروفات حسب الشهر'!$C$387:$AD$495,5,FALSE),0)</f>
        <v>0</v>
      </c>
      <c r="H120" s="362">
        <f>IFERROR(VLOOKUP(C120,'تقرير المصروفات حسب الشهر'!$C$512:$AD$620,5,FALSE),0)</f>
        <v>0</v>
      </c>
      <c r="I120" s="362">
        <f>IFERROR(VLOOKUP(C120,'تقرير المصروفات حسب الشهر'!$C$637:$AD$746,5,FALSE),0)</f>
        <v>0</v>
      </c>
      <c r="J120" s="362">
        <f>IFERROR(VLOOKUP(C120,'تقرير المصروفات حسب الشهر'!$C$763:$AD$872,5,FALSE),0)</f>
        <v>0</v>
      </c>
      <c r="K120" s="362">
        <f>IFERROR(VLOOKUP(C120,'تقرير المصروفات حسب الشهر'!$C$890:$AD$999,5,FALSE),0)</f>
        <v>0</v>
      </c>
      <c r="L120" s="362">
        <f>IFERROR(VLOOKUP(C120,'تقرير المصروفات حسب الشهر'!$C$1016:$AD$1126,5,FALSE),0)</f>
        <v>0</v>
      </c>
      <c r="M120" s="376">
        <f>IFERROR(VLOOKUP(C120,'تقرير المصروفات حسب الشهر'!$C$1143:$AD$1254,5,FALSE),0)</f>
        <v>0</v>
      </c>
      <c r="N120" s="376">
        <f>IFERROR(VLOOKUP(C120,'تقرير المصروفات حسب الشهر'!$C$1270:$AD$1381,5,FALSE),0)</f>
        <v>0</v>
      </c>
      <c r="O120" s="376">
        <f>IFERROR(VLOOKUP(C120,'تقرير المصروفات حسب الشهر'!$C$1397:$AD$1512,5,FALSE),0)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الشهر'!$C$10:$AD$119,5,FALSE),0)</f>
        <v>0</v>
      </c>
      <c r="E121" s="362">
        <f>IFERROR(VLOOKUP(C121,'تقرير المصروفات حسب الشهر'!$C$135:$AD$244,5,FALSE),0)</f>
        <v>0</v>
      </c>
      <c r="F121" s="362">
        <v>0</v>
      </c>
      <c r="G121" s="362">
        <f>IFERROR(VLOOKUP(C121,'تقرير المصروفات حسب الشهر'!$C$387:$AD$495,5,FALSE),0)</f>
        <v>0</v>
      </c>
      <c r="H121" s="362">
        <f>IFERROR(VLOOKUP(C121,'تقرير المصروفات حسب الشهر'!$C$512:$AD$620,5,FALSE),0)</f>
        <v>0</v>
      </c>
      <c r="I121" s="362">
        <f>IFERROR(VLOOKUP(C121,'تقرير المصروفات حسب الشهر'!$C$637:$AD$746,5,FALSE),0)</f>
        <v>0</v>
      </c>
      <c r="J121" s="362">
        <f>IFERROR(VLOOKUP(C121,'تقرير المصروفات حسب الشهر'!$C$763:$AD$872,5,FALSE),0)</f>
        <v>0</v>
      </c>
      <c r="K121" s="362">
        <f>IFERROR(VLOOKUP(C121,'تقرير المصروفات حسب الشهر'!$C$890:$AD$999,5,FALSE),0)</f>
        <v>0</v>
      </c>
      <c r="L121" s="362">
        <f>IFERROR(VLOOKUP(C121,'تقرير المصروفات حسب الشهر'!$C$1016:$AD$1126,5,FALSE),0)</f>
        <v>0</v>
      </c>
      <c r="M121" s="376">
        <f>IFERROR(VLOOKUP(C121,'تقرير المصروفات حسب الشهر'!$C$1143:$AD$1254,5,FALSE),0)</f>
        <v>0</v>
      </c>
      <c r="N121" s="376">
        <f>IFERROR(VLOOKUP(C121,'تقرير المصروفات حسب الشهر'!$C$1270:$AD$1381,5,FALSE),0)</f>
        <v>0</v>
      </c>
      <c r="O121" s="376">
        <f>IFERROR(VLOOKUP(C121,'تقرير المصروفات حسب الشهر'!$C$1397:$AD$1512,5,FALSE),0)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الشهر'!$C$10:$AD$119,5,FALSE),0)</f>
        <v>0</v>
      </c>
      <c r="E122" s="362">
        <f>IFERROR(VLOOKUP(C122,'تقرير المصروفات حسب الشهر'!$C$135:$AD$244,5,FALSE),0)</f>
        <v>0</v>
      </c>
      <c r="F122" s="362">
        <v>0</v>
      </c>
      <c r="G122" s="362">
        <f>IFERROR(VLOOKUP(C122,'تقرير المصروفات حسب الشهر'!$C$387:$AD$495,5,FALSE),0)</f>
        <v>0</v>
      </c>
      <c r="H122" s="362">
        <f>IFERROR(VLOOKUP(C122,'تقرير المصروفات حسب الشهر'!$C$512:$AD$620,5,FALSE),0)</f>
        <v>0</v>
      </c>
      <c r="I122" s="362">
        <f>IFERROR(VLOOKUP(C122,'تقرير المصروفات حسب الشهر'!$C$637:$AD$746,5,FALSE),0)</f>
        <v>0</v>
      </c>
      <c r="J122" s="362">
        <f>IFERROR(VLOOKUP(C122,'تقرير المصروفات حسب الشهر'!$C$763:$AD$872,5,FALSE),0)</f>
        <v>0</v>
      </c>
      <c r="K122" s="362">
        <f>IFERROR(VLOOKUP(C122,'تقرير المصروفات حسب الشهر'!$C$890:$AD$999,5,FALSE),0)</f>
        <v>0</v>
      </c>
      <c r="L122" s="362">
        <f>IFERROR(VLOOKUP(C122,'تقرير المصروفات حسب الشهر'!$C$1016:$AD$1126,5,FALSE),0)</f>
        <v>0</v>
      </c>
      <c r="M122" s="376">
        <f>IFERROR(VLOOKUP(C122,'تقرير المصروفات حسب الشهر'!$C$1143:$AD$1254,5,FALSE),0)</f>
        <v>0</v>
      </c>
      <c r="N122" s="376">
        <f>IFERROR(VLOOKUP(C122,'تقرير المصروفات حسب الشهر'!$C$1270:$AD$1381,5,FALSE),0)</f>
        <v>0</v>
      </c>
      <c r="O122" s="376">
        <f>IFERROR(VLOOKUP(C122,'تقرير المصروفات حسب الشهر'!$C$1397:$AD$1512,5,FALSE),0)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الشهر'!$C$10:$AD$119,5,FALSE),0)</f>
        <v>0</v>
      </c>
      <c r="E123" s="362">
        <f>IFERROR(VLOOKUP(C123,'تقرير المصروفات حسب الشهر'!$C$135:$AD$244,5,FALSE),0)</f>
        <v>0</v>
      </c>
      <c r="F123" s="362">
        <v>0</v>
      </c>
      <c r="G123" s="362">
        <f>IFERROR(VLOOKUP(C123,'تقرير المصروفات حسب الشهر'!$C$387:$AD$495,5,FALSE),0)</f>
        <v>0</v>
      </c>
      <c r="H123" s="362">
        <f>IFERROR(VLOOKUP(C123,'تقرير المصروفات حسب الشهر'!$C$512:$AD$620,5,FALSE),0)</f>
        <v>0</v>
      </c>
      <c r="I123" s="362">
        <f>IFERROR(VLOOKUP(C123,'تقرير المصروفات حسب الشهر'!$C$637:$AD$746,5,FALSE),0)</f>
        <v>0</v>
      </c>
      <c r="J123" s="362">
        <f>IFERROR(VLOOKUP(C123,'تقرير المصروفات حسب الشهر'!$C$763:$AD$872,5,FALSE),0)</f>
        <v>0</v>
      </c>
      <c r="K123" s="362">
        <f>IFERROR(VLOOKUP(C123,'تقرير المصروفات حسب الشهر'!$C$890:$AD$999,5,FALSE),0)</f>
        <v>0</v>
      </c>
      <c r="L123" s="362">
        <f>IFERROR(VLOOKUP(C123,'تقرير المصروفات حسب الشهر'!$C$1016:$AD$1126,5,FALSE),0)</f>
        <v>0</v>
      </c>
      <c r="M123" s="376">
        <f>IFERROR(VLOOKUP(C123,'تقرير المصروفات حسب الشهر'!$C$1143:$AD$1254,5,FALSE),0)</f>
        <v>0</v>
      </c>
      <c r="N123" s="376">
        <f>IFERROR(VLOOKUP(C123,'تقرير المصروفات حسب الشهر'!$C$1270:$AD$1381,5,FALSE),0)</f>
        <v>0</v>
      </c>
      <c r="O123" s="376">
        <f>IFERROR(VLOOKUP(C123,'تقرير المصروفات حسب الشهر'!$C$1397:$AD$1512,5,FALSE),0)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الشهر'!$C$10:$AD$119,5,FALSE),0)</f>
        <v>0</v>
      </c>
      <c r="E124" s="362">
        <f>IFERROR(VLOOKUP(C124,'تقرير المصروفات حسب الشهر'!$C$135:$AD$244,5,FALSE),0)</f>
        <v>0</v>
      </c>
      <c r="F124" s="362">
        <v>0</v>
      </c>
      <c r="G124" s="362">
        <f>IFERROR(VLOOKUP(C124,'تقرير المصروفات حسب الشهر'!$C$387:$AD$495,5,FALSE),0)</f>
        <v>0</v>
      </c>
      <c r="H124" s="362">
        <f>IFERROR(VLOOKUP(C124,'تقرير المصروفات حسب الشهر'!$C$512:$AD$620,5,FALSE),0)</f>
        <v>0</v>
      </c>
      <c r="I124" s="362">
        <f>IFERROR(VLOOKUP(C124,'تقرير المصروفات حسب الشهر'!$C$637:$AD$746,5,FALSE),0)</f>
        <v>0</v>
      </c>
      <c r="J124" s="362">
        <f>IFERROR(VLOOKUP(C124,'تقرير المصروفات حسب الشهر'!$C$763:$AD$872,5,FALSE),0)</f>
        <v>0</v>
      </c>
      <c r="K124" s="362">
        <f>IFERROR(VLOOKUP(C124,'تقرير المصروفات حسب الشهر'!$C$890:$AD$999,5,FALSE),0)</f>
        <v>0</v>
      </c>
      <c r="L124" s="362">
        <f>IFERROR(VLOOKUP(C124,'تقرير المصروفات حسب الشهر'!$C$1016:$AD$1126,5,FALSE),0)</f>
        <v>0</v>
      </c>
      <c r="M124" s="376">
        <f>IFERROR(VLOOKUP(C124,'تقرير المصروفات حسب الشهر'!$C$1143:$AD$1254,5,FALSE),0)</f>
        <v>0</v>
      </c>
      <c r="N124" s="376">
        <f>IFERROR(VLOOKUP(C124,'تقرير المصروفات حسب الشهر'!$C$1270:$AD$1381,5,FALSE),0)</f>
        <v>0</v>
      </c>
      <c r="O124" s="376">
        <f>IFERROR(VLOOKUP(C124,'تقرير المصروفات حسب الشهر'!$C$1397:$AD$1512,5,FALSE),0)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الشهر'!$C$10:$AD$119,5,FALSE),0)</f>
        <v>0</v>
      </c>
      <c r="E125" s="362">
        <f>IFERROR(VLOOKUP(C125,'تقرير المصروفات حسب الشهر'!$C$135:$AD$244,5,FALSE),0)</f>
        <v>0</v>
      </c>
      <c r="F125" s="362">
        <v>0</v>
      </c>
      <c r="G125" s="362">
        <f>IFERROR(VLOOKUP(C125,'تقرير المصروفات حسب الشهر'!$C$387:$AD$495,5,FALSE),0)</f>
        <v>0</v>
      </c>
      <c r="H125" s="362">
        <f>IFERROR(VLOOKUP(C125,'تقرير المصروفات حسب الشهر'!$C$512:$AD$620,5,FALSE),0)</f>
        <v>0</v>
      </c>
      <c r="I125" s="362">
        <f>IFERROR(VLOOKUP(C125,'تقرير المصروفات حسب الشهر'!$C$637:$AD$746,5,FALSE),0)</f>
        <v>0</v>
      </c>
      <c r="J125" s="362">
        <f>IFERROR(VLOOKUP(C125,'تقرير المصروفات حسب الشهر'!$C$763:$AD$872,5,FALSE),0)</f>
        <v>0</v>
      </c>
      <c r="K125" s="362">
        <f>IFERROR(VLOOKUP(C125,'تقرير المصروفات حسب الشهر'!$C$890:$AD$999,5,FALSE),0)</f>
        <v>0</v>
      </c>
      <c r="L125" s="362">
        <f>IFERROR(VLOOKUP(C125,'تقرير المصروفات حسب الشهر'!$C$1016:$AD$1126,5,FALSE),0)</f>
        <v>0</v>
      </c>
      <c r="M125" s="376">
        <f>IFERROR(VLOOKUP(C125,'تقرير المصروفات حسب الشهر'!$C$1143:$AD$1254,5,FALSE),0)</f>
        <v>0</v>
      </c>
      <c r="N125" s="376">
        <f>IFERROR(VLOOKUP(C125,'تقرير المصروفات حسب الشهر'!$C$1270:$AD$1381,5,FALSE),0)</f>
        <v>0</v>
      </c>
      <c r="O125" s="376">
        <f>IFERROR(VLOOKUP(C125,'تقرير المصروفات حسب الشهر'!$C$1397:$AD$1512,5,FALSE),0)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الشهر'!$C$10:$AD$119,5,FALSE),0)</f>
        <v>0</v>
      </c>
      <c r="E126" s="362">
        <f>IFERROR(VLOOKUP(C126,'تقرير المصروفات حسب الشهر'!$C$135:$AD$244,5,FALSE),0)</f>
        <v>0</v>
      </c>
      <c r="F126" s="362">
        <v>0</v>
      </c>
      <c r="G126" s="362">
        <f>IFERROR(VLOOKUP(C126,'تقرير المصروفات حسب الشهر'!$C$387:$AD$495,5,FALSE),0)</f>
        <v>0</v>
      </c>
      <c r="H126" s="362">
        <f>IFERROR(VLOOKUP(C126,'تقرير المصروفات حسب الشهر'!$C$512:$AD$620,5,FALSE),0)</f>
        <v>0</v>
      </c>
      <c r="I126" s="362">
        <f>IFERROR(VLOOKUP(C126,'تقرير المصروفات حسب الشهر'!$C$637:$AD$746,5,FALSE),0)</f>
        <v>0</v>
      </c>
      <c r="J126" s="362">
        <f>IFERROR(VLOOKUP(C126,'تقرير المصروفات حسب الشهر'!$C$763:$AD$872,5,FALSE),0)</f>
        <v>0</v>
      </c>
      <c r="K126" s="362">
        <f>IFERROR(VLOOKUP(C126,'تقرير المصروفات حسب الشهر'!$C$890:$AD$999,5,FALSE),0)</f>
        <v>0</v>
      </c>
      <c r="L126" s="362">
        <f>IFERROR(VLOOKUP(C126,'تقرير المصروفات حسب الشهر'!$C$1016:$AD$1126,5,FALSE),0)</f>
        <v>0</v>
      </c>
      <c r="M126" s="376">
        <f>IFERROR(VLOOKUP(C126,'تقرير المصروفات حسب الشهر'!$C$1143:$AD$1254,5,FALSE),0)</f>
        <v>0</v>
      </c>
      <c r="N126" s="376">
        <f>IFERROR(VLOOKUP(C126,'تقرير المصروفات حسب الشهر'!$C$1270:$AD$1381,5,FALSE),0)</f>
        <v>0</v>
      </c>
      <c r="O126" s="376">
        <f>IFERROR(VLOOKUP(C126,'تقرير المصروفات حسب الشهر'!$C$1397:$AD$1512,5,FALSE),0)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الشهر'!$C$10:$AD$119,5,FALSE),0)</f>
        <v>0</v>
      </c>
      <c r="E127" s="362">
        <f>IFERROR(VLOOKUP(C127,'تقرير المصروفات حسب الشهر'!$C$135:$AD$244,5,FALSE),0)</f>
        <v>0</v>
      </c>
      <c r="F127" s="362">
        <v>0</v>
      </c>
      <c r="G127" s="362">
        <f>IFERROR(VLOOKUP(C127,'تقرير المصروفات حسب الشهر'!$C$387:$AD$495,5,FALSE),0)</f>
        <v>0</v>
      </c>
      <c r="H127" s="362">
        <f>IFERROR(VLOOKUP(C127,'تقرير المصروفات حسب الشهر'!$C$512:$AD$620,5,FALSE),0)</f>
        <v>0</v>
      </c>
      <c r="I127" s="362">
        <f>IFERROR(VLOOKUP(C127,'تقرير المصروفات حسب الشهر'!$C$637:$AD$746,5,FALSE),0)</f>
        <v>0</v>
      </c>
      <c r="J127" s="362">
        <f>IFERROR(VLOOKUP(C127,'تقرير المصروفات حسب الشهر'!$C$763:$AD$872,5,FALSE),0)</f>
        <v>0</v>
      </c>
      <c r="K127" s="362">
        <f>IFERROR(VLOOKUP(C127,'تقرير المصروفات حسب الشهر'!$C$890:$AD$999,5,FALSE),0)</f>
        <v>0</v>
      </c>
      <c r="L127" s="362">
        <f>IFERROR(VLOOKUP(C127,'تقرير المصروفات حسب الشهر'!$C$1016:$AD$1126,5,FALSE),0)</f>
        <v>0</v>
      </c>
      <c r="M127" s="376">
        <f>IFERROR(VLOOKUP(C127,'تقرير المصروفات حسب الشهر'!$C$1143:$AD$1254,5,FALSE),0)</f>
        <v>0</v>
      </c>
      <c r="N127" s="376">
        <f>IFERROR(VLOOKUP(C127,'تقرير المصروفات حسب الشهر'!$C$1270:$AD$1381,5,FALSE),0)</f>
        <v>0</v>
      </c>
      <c r="O127" s="376">
        <f>IFERROR(VLOOKUP(C127,'تقرير المصروفات حسب الشهر'!$C$1397:$AD$1512,5,FALSE),0)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الشهر'!$C$10:$AD$119,5,FALSE),0)</f>
        <v>0</v>
      </c>
      <c r="E128" s="362">
        <f>IFERROR(VLOOKUP(C128,'تقرير المصروفات حسب الشهر'!$C$135:$AD$244,5,FALSE),0)</f>
        <v>0</v>
      </c>
      <c r="F128" s="362">
        <v>0</v>
      </c>
      <c r="G128" s="362">
        <f>IFERROR(VLOOKUP(C128,'تقرير المصروفات حسب الشهر'!$C$387:$AD$495,5,FALSE),0)</f>
        <v>0</v>
      </c>
      <c r="H128" s="362">
        <f>IFERROR(VLOOKUP(C128,'تقرير المصروفات حسب الشهر'!$C$512:$AD$620,5,FALSE),0)</f>
        <v>0</v>
      </c>
      <c r="I128" s="362">
        <f>IFERROR(VLOOKUP(C128,'تقرير المصروفات حسب الشهر'!$C$637:$AD$746,5,FALSE),0)</f>
        <v>0</v>
      </c>
      <c r="J128" s="362">
        <f>IFERROR(VLOOKUP(C128,'تقرير المصروفات حسب الشهر'!$C$763:$AD$872,5,FALSE),0)</f>
        <v>0</v>
      </c>
      <c r="K128" s="362">
        <f>IFERROR(VLOOKUP(C128,'تقرير المصروفات حسب الشهر'!$C$890:$AD$999,5,FALSE),0)</f>
        <v>0</v>
      </c>
      <c r="L128" s="362">
        <f>IFERROR(VLOOKUP(C128,'تقرير المصروفات حسب الشهر'!$C$1016:$AD$1126,5,FALSE),0)</f>
        <v>0</v>
      </c>
      <c r="M128" s="376">
        <f>IFERROR(VLOOKUP(C128,'تقرير المصروفات حسب الشهر'!$C$1143:$AD$1254,5,FALSE),0)</f>
        <v>0</v>
      </c>
      <c r="N128" s="376">
        <f>IFERROR(VLOOKUP(C128,'تقرير المصروفات حسب الشهر'!$C$1270:$AD$1381,5,FALSE),0)</f>
        <v>0</v>
      </c>
      <c r="O128" s="376">
        <f>IFERROR(VLOOKUP(C128,'تقرير المصروفات حسب الشهر'!$C$1397:$AD$1512,5,FALSE),0)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الشهر'!$C$10:$AD$119,5,FALSE),0)</f>
        <v>3975</v>
      </c>
      <c r="E129" s="362">
        <f>IFERROR(VLOOKUP(C129,'تقرير المصروفات حسب الشهر'!$C$135:$AD$244,5,FALSE),0)</f>
        <v>3975</v>
      </c>
      <c r="F129" s="362">
        <v>3975</v>
      </c>
      <c r="G129" s="362">
        <f>IFERROR(VLOOKUP(C129,'تقرير المصروفات حسب الشهر'!$C$387:$AD$495,5,FALSE),0)</f>
        <v>3975</v>
      </c>
      <c r="H129" s="362">
        <f>IFERROR(VLOOKUP(C129,'تقرير المصروفات حسب الشهر'!$C$512:$AD$620,5,FALSE),0)</f>
        <v>3975</v>
      </c>
      <c r="I129" s="362">
        <f>IFERROR(VLOOKUP(C129,'تقرير المصروفات حسب الشهر'!$C$637:$AD$746,5,FALSE),0)</f>
        <v>3975</v>
      </c>
      <c r="J129" s="517">
        <f>IFERROR(VLOOKUP(C129,'تقرير المصروفات حسب الشهر'!$C$763:$AD$872,5,FALSE),0)</f>
        <v>3975</v>
      </c>
      <c r="K129" s="362">
        <f>IFERROR(VLOOKUP(C129,'تقرير المصروفات حسب الشهر'!$C$890:$AD$999,5,FALSE),0)</f>
        <v>3975</v>
      </c>
      <c r="L129" s="362">
        <f>IFERROR(VLOOKUP(C129,'تقرير المصروفات حسب الشهر'!$C$1016:$AD$1126,5,FALSE),0)</f>
        <v>3975</v>
      </c>
      <c r="M129" s="376">
        <f>IFERROR(VLOOKUP(C129,'تقرير المصروفات حسب الشهر'!$C$1143:$AD$1254,5,FALSE),0)</f>
        <v>3543.75</v>
      </c>
      <c r="N129" s="376">
        <f>IFERROR(VLOOKUP(C129,'تقرير المصروفات حسب الشهر'!$C$1270:$AD$1381,5,FALSE),0)</f>
        <v>3112</v>
      </c>
      <c r="O129" s="376">
        <f>IFERROR(VLOOKUP(C129,'تقرير المصروفات حسب الشهر'!$C$1397:$AD$1512,5,FALSE),0)</f>
        <v>3112.5</v>
      </c>
      <c r="P129" s="364">
        <f t="shared" si="6"/>
        <v>45543.25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الشهر'!$C$10:$AD$119,5,FALSE),0)</f>
        <v>0</v>
      </c>
      <c r="E130" s="362">
        <f>IFERROR(VLOOKUP(C130,'تقرير المصروفات حسب الشهر'!$C$135:$AD$244,5,FALSE),0)</f>
        <v>0</v>
      </c>
      <c r="F130" s="362">
        <v>0</v>
      </c>
      <c r="G130" s="362">
        <f>IFERROR(VLOOKUP(C130,'تقرير المصروفات حسب الشهر'!$C$387:$AD$495,5,FALSE),0)</f>
        <v>0</v>
      </c>
      <c r="H130" s="362">
        <f>IFERROR(VLOOKUP(C130,'تقرير المصروفات حسب الشهر'!$C$512:$AD$620,5,FALSE),0)</f>
        <v>0</v>
      </c>
      <c r="I130" s="362">
        <f>IFERROR(VLOOKUP(C130,'تقرير المصروفات حسب الشهر'!$C$637:$AD$746,5,FALSE),0)</f>
        <v>0</v>
      </c>
      <c r="J130" s="362">
        <f>IFERROR(VLOOKUP(C130,'تقرير المصروفات حسب الشهر'!$C$763:$AD$872,5,FALSE),0)</f>
        <v>0</v>
      </c>
      <c r="K130" s="362">
        <f>IFERROR(VLOOKUP(C130,'تقرير المصروفات حسب الشهر'!$C$890:$AD$999,5,FALSE),0)</f>
        <v>0</v>
      </c>
      <c r="L130" s="362">
        <f>IFERROR(VLOOKUP(C130,'تقرير المصروفات حسب الشهر'!$C$1016:$AD$1126,5,FALSE),0)</f>
        <v>0</v>
      </c>
      <c r="M130" s="376">
        <f>IFERROR(VLOOKUP(C130,'تقرير المصروفات حسب الشهر'!$C$1143:$AD$1254,5,FALSE),0)</f>
        <v>0</v>
      </c>
      <c r="N130" s="376">
        <f>IFERROR(VLOOKUP(C130,'تقرير المصروفات حسب الشهر'!$C$1270:$AD$1381,5,FALSE),0)</f>
        <v>0</v>
      </c>
      <c r="O130" s="376">
        <f>IFERROR(VLOOKUP(C130,'تقرير المصروفات حسب الشهر'!$C$1397:$AD$1512,5,FALSE),0)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الشهر'!$C$10:$AD$119,5,FALSE),0)</f>
        <v>0</v>
      </c>
      <c r="E131" s="362">
        <f>IFERROR(VLOOKUP(C131,'تقرير المصروفات حسب الشهر'!$C$135:$AD$244,5,FALSE),0)</f>
        <v>0</v>
      </c>
      <c r="F131" s="362">
        <v>0</v>
      </c>
      <c r="G131" s="362">
        <f>IFERROR(VLOOKUP(C131,'تقرير المصروفات حسب الشهر'!$C$387:$AD$495,5,FALSE),0)</f>
        <v>0</v>
      </c>
      <c r="H131" s="362">
        <f>IFERROR(VLOOKUP(C131,'تقرير المصروفات حسب الشهر'!$C$512:$AD$620,5,FALSE),0)</f>
        <v>0</v>
      </c>
      <c r="I131" s="362">
        <f>IFERROR(VLOOKUP(C131,'تقرير المصروفات حسب الشهر'!$C$637:$AD$746,5,FALSE),0)</f>
        <v>0</v>
      </c>
      <c r="J131" s="362">
        <f>IFERROR(VLOOKUP(C131,'تقرير المصروفات حسب الشهر'!$C$763:$AD$872,5,FALSE),0)</f>
        <v>0</v>
      </c>
      <c r="K131" s="362">
        <f>IFERROR(VLOOKUP(C131,'تقرير المصروفات حسب الشهر'!$C$890:$AD$999,5,FALSE),0)</f>
        <v>0</v>
      </c>
      <c r="L131" s="362">
        <f>IFERROR(VLOOKUP(C131,'تقرير المصروفات حسب الشهر'!$C$1016:$AD$1126,5,FALSE),0)</f>
        <v>0</v>
      </c>
      <c r="M131" s="376">
        <f>IFERROR(VLOOKUP(C131,'تقرير المصروفات حسب الشهر'!$C$1143:$AD$1254,5,FALSE),0)</f>
        <v>0</v>
      </c>
      <c r="N131" s="376">
        <f>IFERROR(VLOOKUP(C131,'تقرير المصروفات حسب الشهر'!$C$1270:$AD$1381,5,FALSE),0)</f>
        <v>0</v>
      </c>
      <c r="O131" s="376">
        <f>IFERROR(VLOOKUP(C131,'تقرير المصروفات حسب الشهر'!$C$1397:$AD$1512,5,FALSE),0)</f>
        <v>0</v>
      </c>
      <c r="P131" s="364">
        <f t="shared" si="6"/>
        <v>0</v>
      </c>
    </row>
    <row r="132" spans="1:17" ht="18" customHeight="1">
      <c r="B132" s="124"/>
      <c r="C132" s="341" t="s">
        <v>360</v>
      </c>
      <c r="D132" s="362">
        <f>IFERROR(VLOOKUP(C132,'تقرير المصروفات حسب الشهر'!$C$10:$AD$119,5,FALSE),0)</f>
        <v>0</v>
      </c>
      <c r="E132" s="362">
        <f>IFERROR(VLOOKUP(C132,'تقرير المصروفات حسب الشهر'!$C$135:$AD$252,5,FALSE),0)</f>
        <v>0</v>
      </c>
      <c r="F132" s="362">
        <v>38</v>
      </c>
      <c r="G132" s="362">
        <f>IFERROR(VLOOKUP(C132,'تقرير المصروفات حسب الشهر'!$C$387:$AD$503,5,FALSE),0)</f>
        <v>0</v>
      </c>
      <c r="H132" s="362">
        <f>IFERROR(VLOOKUP(C132,'تقرير المصروفات حسب الشهر'!$C$512:$AD$620,5,FALSE),0)</f>
        <v>0</v>
      </c>
      <c r="I132" s="362">
        <f>IFERROR(VLOOKUP(C132,'تقرير المصروفات حسب الشهر'!$C$637:$AD$746,5,FALSE),0)</f>
        <v>0</v>
      </c>
      <c r="J132" s="362">
        <f>IFERROR(VLOOKUP(C132,'تقرير المصروفات حسب الشهر'!$C$763:$AD$872,5,FALSE),0)</f>
        <v>0</v>
      </c>
      <c r="K132" s="362">
        <f>IFERROR(VLOOKUP(C132,'تقرير المصروفات حسب الشهر'!$C$890:$AD$999,5,FALSE),0)</f>
        <v>0</v>
      </c>
      <c r="L132" s="362">
        <f>IFERROR(VLOOKUP(C132,'تقرير المصروفات حسب الشهر'!$C$1016:$AD$1126,5,FALSE),0)</f>
        <v>0</v>
      </c>
      <c r="M132" s="376">
        <f>IFERROR(VLOOKUP(C132,'تقرير المصروفات حسب الشهر'!$C$1143:$AD$1254,5,FALSE),0)</f>
        <v>0</v>
      </c>
      <c r="N132" s="376">
        <f>IFERROR(VLOOKUP(C132,'تقرير المصروفات حسب الشهر'!$C$1270:$AD$1382,5,FALSE),0)</f>
        <v>0</v>
      </c>
      <c r="O132" s="376">
        <f>IFERROR(VLOOKUP(C132,'تقرير المصروفات حسب الشهر'!$C$1397:$AD$1512,5,FALSE),0)</f>
        <v>0</v>
      </c>
      <c r="P132" s="364">
        <f>SUM(D132:O132)</f>
        <v>38</v>
      </c>
    </row>
    <row r="133" spans="1:17" ht="18" customHeight="1">
      <c r="B133" s="124"/>
      <c r="C133" s="149" t="s">
        <v>270</v>
      </c>
      <c r="D133" s="146">
        <f>SUM(D22:D132)</f>
        <v>442745.70999999996</v>
      </c>
      <c r="E133" s="146">
        <f t="shared" ref="E133:O133" si="7">SUM(E22:E132)</f>
        <v>443477.98999999987</v>
      </c>
      <c r="F133" s="146">
        <f t="shared" si="7"/>
        <v>488095.27999999997</v>
      </c>
      <c r="G133" s="146">
        <f t="shared" si="7"/>
        <v>453940.34</v>
      </c>
      <c r="H133" s="146">
        <f t="shared" si="7"/>
        <v>482800.97000000003</v>
      </c>
      <c r="I133" s="146">
        <f t="shared" si="7"/>
        <v>505379.19999999995</v>
      </c>
      <c r="J133" s="146">
        <f t="shared" si="7"/>
        <v>490212.36</v>
      </c>
      <c r="K133" s="146">
        <f t="shared" si="7"/>
        <v>491281.75</v>
      </c>
      <c r="L133" s="146">
        <f t="shared" si="7"/>
        <v>398539.79000000004</v>
      </c>
      <c r="M133" s="146">
        <f t="shared" si="7"/>
        <v>631807.48</v>
      </c>
      <c r="N133" s="146">
        <f t="shared" si="7"/>
        <v>536827.64</v>
      </c>
      <c r="O133" s="146">
        <f t="shared" si="7"/>
        <v>567806.83000000007</v>
      </c>
      <c r="P133" s="388">
        <f t="shared" si="6"/>
        <v>5932915.3400000008</v>
      </c>
    </row>
    <row r="134" spans="1:17" ht="18" customHeight="1">
      <c r="B134" s="124"/>
      <c r="C134" s="134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28"/>
    </row>
    <row r="135" spans="1:17" ht="24.75" customHeight="1">
      <c r="B135" s="124"/>
      <c r="C135" s="148" t="s">
        <v>14</v>
      </c>
      <c r="D135" s="392">
        <f t="shared" ref="D135:O135" si="8">D19</f>
        <v>715491.59999999986</v>
      </c>
      <c r="E135" s="392">
        <f t="shared" si="8"/>
        <v>613370.5900000002</v>
      </c>
      <c r="F135" s="392">
        <f t="shared" si="8"/>
        <v>671164.20999999973</v>
      </c>
      <c r="G135" s="392">
        <f t="shared" si="8"/>
        <v>619513.61000000034</v>
      </c>
      <c r="H135" s="392">
        <f t="shared" si="8"/>
        <v>761414.06</v>
      </c>
      <c r="I135" s="392">
        <f t="shared" si="8"/>
        <v>668822.66</v>
      </c>
      <c r="J135" s="392">
        <f t="shared" si="8"/>
        <v>716132.44999999984</v>
      </c>
      <c r="K135" s="392">
        <f t="shared" si="8"/>
        <v>733548.23999999976</v>
      </c>
      <c r="L135" s="392">
        <f t="shared" si="8"/>
        <v>2049.25</v>
      </c>
      <c r="M135" s="392">
        <f t="shared" si="8"/>
        <v>576488.33000000007</v>
      </c>
      <c r="N135" s="392">
        <f t="shared" si="8"/>
        <v>756563.10999999929</v>
      </c>
      <c r="O135" s="392">
        <f t="shared" si="8"/>
        <v>871082.1799999997</v>
      </c>
      <c r="P135" s="388">
        <f t="shared" si="6"/>
        <v>7705640.2899999991</v>
      </c>
    </row>
    <row r="136" spans="1:17" ht="10.95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ht="18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s="139" customFormat="1" ht="22.5" customHeight="1">
      <c r="A138" s="113"/>
      <c r="B138" s="138"/>
      <c r="C138" s="147" t="s">
        <v>271</v>
      </c>
      <c r="D138" s="383">
        <f>D135-D133</f>
        <v>272745.8899999999</v>
      </c>
      <c r="E138" s="383">
        <f t="shared" ref="E138:O138" si="9">E135-E133</f>
        <v>169892.60000000033</v>
      </c>
      <c r="F138" s="383">
        <f t="shared" si="9"/>
        <v>183068.92999999976</v>
      </c>
      <c r="G138" s="383">
        <f t="shared" si="9"/>
        <v>165573.27000000031</v>
      </c>
      <c r="H138" s="383">
        <f t="shared" si="9"/>
        <v>278613.09000000003</v>
      </c>
      <c r="I138" s="383">
        <f t="shared" si="9"/>
        <v>163443.46000000008</v>
      </c>
      <c r="J138" s="383">
        <f t="shared" si="9"/>
        <v>225920.08999999985</v>
      </c>
      <c r="K138" s="383">
        <f t="shared" si="9"/>
        <v>242266.48999999976</v>
      </c>
      <c r="L138" s="383">
        <f t="shared" si="9"/>
        <v>-396490.54000000004</v>
      </c>
      <c r="M138" s="383">
        <f t="shared" si="9"/>
        <v>-55319.149999999907</v>
      </c>
      <c r="N138" s="383">
        <f t="shared" si="9"/>
        <v>219735.46999999927</v>
      </c>
      <c r="O138" s="383">
        <f t="shared" si="9"/>
        <v>303275.34999999963</v>
      </c>
      <c r="P138" s="387">
        <f>SUM(D138:O138)</f>
        <v>1772724.9499999988</v>
      </c>
      <c r="Q138" s="113"/>
    </row>
    <row r="139" spans="1:17" ht="7.5" customHeight="1">
      <c r="B139" s="140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28"/>
    </row>
    <row r="140" spans="1:17" ht="7.35" customHeight="1">
      <c r="B140" s="12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22"/>
    </row>
    <row r="141" spans="1:17" s="112" customFormat="1" ht="23.1" customHeight="1">
      <c r="A141" s="113"/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4"/>
      <c r="P141" s="144"/>
      <c r="Q141" s="145"/>
    </row>
    <row r="142" spans="1:17">
      <c r="D142" s="113">
        <v>271155.02</v>
      </c>
      <c r="G142" s="238">
        <f>165573.27-G138</f>
        <v>-3.2014213502407074E-10</v>
      </c>
      <c r="J142" s="233">
        <v>225920.09</v>
      </c>
    </row>
    <row r="143" spans="1:17">
      <c r="D143" s="415">
        <f>D138-D142</f>
        <v>1590.8699999998789</v>
      </c>
      <c r="J143" s="233">
        <f>J138-J142</f>
        <v>0</v>
      </c>
      <c r="N143" s="238">
        <f>N138-254796.36</f>
        <v>-35060.890000000712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>
    <tabColor rgb="FFFFC000"/>
  </sheetPr>
  <dimension ref="A1:T146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355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160</v>
      </c>
      <c r="B8" s="390"/>
      <c r="C8" s="369" t="s">
        <v>114</v>
      </c>
      <c r="D8" s="364">
        <f>D9+D10+D11</f>
        <v>6047113.2100000009</v>
      </c>
      <c r="E8" s="364">
        <f t="shared" ref="E8:O8" si="0">E9+E10+E11</f>
        <v>5751510.4300000006</v>
      </c>
      <c r="F8" s="364">
        <f t="shared" si="0"/>
        <v>7004459.6100000003</v>
      </c>
      <c r="G8" s="364">
        <f t="shared" si="0"/>
        <v>7366525.8499999996</v>
      </c>
      <c r="H8" s="364">
        <f t="shared" si="0"/>
        <v>7812104.290000001</v>
      </c>
      <c r="I8" s="364">
        <f t="shared" si="0"/>
        <v>7805089.0099999998</v>
      </c>
      <c r="J8" s="364">
        <f t="shared" si="0"/>
        <v>8137183.7199999997</v>
      </c>
      <c r="K8" s="364">
        <f t="shared" si="0"/>
        <v>8422039.0999999996</v>
      </c>
      <c r="L8" s="364">
        <f t="shared" si="0"/>
        <v>7659020.7399999993</v>
      </c>
      <c r="M8" s="364">
        <f t="shared" si="0"/>
        <v>8397638.0899999999</v>
      </c>
      <c r="N8" s="364">
        <f t="shared" si="0"/>
        <v>8470631.4900000002</v>
      </c>
      <c r="O8" s="364">
        <f t="shared" si="0"/>
        <v>8105649.6700000018</v>
      </c>
      <c r="P8" s="364">
        <f>SUM(D8:O8)</f>
        <v>90978965.209999993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2968127.5900000008</v>
      </c>
      <c r="E9" s="365">
        <f>VLOOKUP($A$8,'تقرير إحصائية بحجم المبيعات'!$B$42:$G$73,2,FALSE)</f>
        <v>2907073.9400000009</v>
      </c>
      <c r="F9" s="365">
        <f>VLOOKUP($A$8,'تقرير إحصائية بحجم المبيعات'!$B$78:$E$103,2,FALSE)</f>
        <v>3477752.72</v>
      </c>
      <c r="G9" s="365">
        <f>VLOOKUP($A$8,'تقرير إحصائية بحجم المبيعات'!$B$112:$G$137,2,FALSE)</f>
        <v>4202403.93</v>
      </c>
      <c r="H9" s="365">
        <f>VLOOKUP($A$8,'تقرير إحصائية بحجم المبيعات'!$B$147:$G$177,2,FALSE)</f>
        <v>4668777.2</v>
      </c>
      <c r="I9" s="365">
        <f>VLOOKUP($A$8,'تقرير إحصائية بحجم المبيعات'!$B$182:$G$212,2,FALSE)</f>
        <v>4777374.97</v>
      </c>
      <c r="J9" s="365">
        <f>VLOOKUP($A$8,'تقرير إحصائية بحجم المبيعات'!$B$217:$L$243,2,FALSE)</f>
        <v>5228586.7</v>
      </c>
      <c r="K9" s="365">
        <f>VLOOKUP($A$8,'تقرير إحصائية بحجم المبيعات'!$B$252:$L$278,2,FALSE)</f>
        <v>5856948.6899999995</v>
      </c>
      <c r="L9" s="365">
        <f>VLOOKUP($A$8,'تقرير إحصائية بحجم المبيعات'!$B$287:$L$313,2,FALSE)</f>
        <v>5083204.6199999992</v>
      </c>
      <c r="M9" s="365">
        <f>VLOOKUP($A$8,'تقرير إحصائية بحجم المبيعات'!$B$322:$L$347,2,FALSE)</f>
        <v>5763435.7699999996</v>
      </c>
      <c r="N9" s="365">
        <f>VLOOKUP($A$8,'تقرير إحصائية بحجم المبيعات'!$B$357:$L$383,2,FALSE)</f>
        <v>5941090.9199999999</v>
      </c>
      <c r="O9" s="365">
        <f>VLOOKUP($A$8,'تقرير إحصائية بحجم المبيعات'!$B$391:$L$420,2,FALSE)</f>
        <v>5251205.8200000012</v>
      </c>
      <c r="P9" s="364">
        <f t="shared" ref="P9:P18" si="1">SUM(D9:O9)</f>
        <v>56125982.869999997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26884.18</v>
      </c>
      <c r="E10" s="365">
        <f>VLOOKUP($A$8,'تقرير إحصائية بحجم المبيعات'!$B$42:$G$73,3,FALSE)</f>
        <v>22099.3</v>
      </c>
      <c r="F10" s="365">
        <f>VLOOKUP($A$8,'تقرير إحصائية بحجم المبيعات'!$B$78:$E$103,3,FALSE)</f>
        <v>25190.37</v>
      </c>
      <c r="G10" s="365">
        <f>VLOOKUP($A$8,'تقرير إحصائية بحجم المبيعات'!$B$112:$G$137,3,FALSE)</f>
        <v>25810.240000000002</v>
      </c>
      <c r="H10" s="365">
        <f>VLOOKUP($A$8,'تقرير إحصائية بحجم المبيعات'!$B$147:$G$177,3,FALSE)</f>
        <v>18535.16</v>
      </c>
      <c r="I10" s="365">
        <f>VLOOKUP($A$8,'تقرير إحصائية بحجم المبيعات'!$B$182:$G$212,3,FALSE)</f>
        <v>46263.74</v>
      </c>
      <c r="J10" s="365">
        <f>VLOOKUP($A$8,'تقرير إحصائية بحجم المبيعات'!$B$217:$L$243,3,FALSE)</f>
        <v>39259.01</v>
      </c>
      <c r="K10" s="365">
        <f>VLOOKUP($A$8,'تقرير إحصائية بحجم المبيعات'!$B$252:$L$278,3,FALSE)</f>
        <v>32827.839999999997</v>
      </c>
      <c r="L10" s="365">
        <f>VLOOKUP($A$8,'تقرير إحصائية بحجم المبيعات'!$B$287:$L$313,3,FALSE)</f>
        <v>33383.629999999997</v>
      </c>
      <c r="M10" s="365">
        <f>VLOOKUP($A$8,'تقرير إحصائية بحجم المبيعات'!$B$322:$L$347,3,FALSE)</f>
        <v>34164.99</v>
      </c>
      <c r="N10" s="365">
        <f>VLOOKUP($A$8,'تقرير إحصائية بحجم المبيعات'!$B$357:$L$383,3,FALSE)</f>
        <v>21738.74</v>
      </c>
      <c r="O10" s="365">
        <f>VLOOKUP($A$8,'تقرير إحصائية بحجم المبيعات'!$B$391:$L$420,3,FALSE)</f>
        <v>28080.61</v>
      </c>
      <c r="P10" s="364">
        <f t="shared" si="1"/>
        <v>354237.80999999994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3052101.44</v>
      </c>
      <c r="E11" s="365">
        <f>VLOOKUP($A$8,'تقرير إحصائية بحجم المبيعات'!$B$42:$G$73,4,FALSE)</f>
        <v>2822337.19</v>
      </c>
      <c r="F11" s="365">
        <f>VLOOKUP($A$8,'تقرير إحصائية بحجم المبيعات'!$B$78:$E$103,4,FALSE)</f>
        <v>3501516.52</v>
      </c>
      <c r="G11" s="365">
        <f>VLOOKUP($A$8,'تقرير إحصائية بحجم المبيعات'!$B$112:$G$137,4,FALSE)</f>
        <v>3138311.68</v>
      </c>
      <c r="H11" s="365">
        <f>VLOOKUP($A$8,'تقرير إحصائية بحجم المبيعات'!$B$147:$G$177,4,FALSE)</f>
        <v>3124791.93</v>
      </c>
      <c r="I11" s="365">
        <f>VLOOKUP($A$8,'تقرير إحصائية بحجم المبيعات'!$B$182:$G$212,4,FALSE)</f>
        <v>2981450.3</v>
      </c>
      <c r="J11" s="365">
        <f>VLOOKUP($A$8,'تقرير إحصائية بحجم المبيعات'!$B$217:$L$243,4,FALSE)</f>
        <v>2869338.01</v>
      </c>
      <c r="K11" s="365">
        <f>VLOOKUP($A$8,'تقرير إحصائية بحجم المبيعات'!$B$252:$L$278,4,FALSE)</f>
        <v>2532262.5699999998</v>
      </c>
      <c r="L11" s="365">
        <f>VLOOKUP($A$8,'تقرير إحصائية بحجم المبيعات'!$B$287:$L$313,4,FALSE)</f>
        <v>2542432.4900000002</v>
      </c>
      <c r="M11" s="365">
        <f>VLOOKUP($A$8,'تقرير إحصائية بحجم المبيعات'!$B$322:$L$347,4,FALSE)</f>
        <v>2600037.33</v>
      </c>
      <c r="N11" s="365">
        <f>VLOOKUP($A$8,'تقرير إحصائية بحجم المبيعات'!$B$357:$L$383,4,FALSE)</f>
        <v>2507801.83</v>
      </c>
      <c r="O11" s="365">
        <f>VLOOKUP($A$8,'تقرير إحصائية بحجم المبيعات'!$B$391:$L$420,4,FALSE)</f>
        <v>2826363.24</v>
      </c>
      <c r="P11" s="364">
        <f t="shared" si="1"/>
        <v>34498744.530000001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4964163.03</v>
      </c>
      <c r="E12" s="364">
        <f>VLOOKUP($A$8,'تقرير إحصائية بحجم المبيعات'!$B$42:$L$73,11,FALSE)</f>
        <v>4732710.17</v>
      </c>
      <c r="F12" s="364">
        <f>VLOOKUP($A$8,'تقرير إحصائية بحجم المبيعات'!$B$78:$L$103,11,FALSE)</f>
        <v>5757854.1900000004</v>
      </c>
      <c r="G12" s="364">
        <f>VLOOKUP($A$8,'تقرير إحصائية بحجم المبيعات'!$B$112:$L$137,11,FALSE)</f>
        <v>6053034.9900000002</v>
      </c>
      <c r="H12" s="364">
        <f>VLOOKUP($A$8,'تقرير إحصائية بحجم المبيعات'!$B$147:$L$177,11,FALSE)</f>
        <v>6422056.5800000001</v>
      </c>
      <c r="I12" s="364">
        <f>VLOOKUP($A$8,'تقرير إحصائية بحجم المبيعات'!$B$182:$L$212,11,FALSE)</f>
        <v>6404342.2599999998</v>
      </c>
      <c r="J12" s="365">
        <f>VLOOKUP($A$8,'تقرير إحصائية بحجم المبيعات'!$B$217:$L$243,11,FALSE)</f>
        <v>6600106.9900000002</v>
      </c>
      <c r="K12" s="364">
        <f>VLOOKUP($A$8,'تقرير إحصائية بحجم المبيعات'!$B$252:$L$278,11,FALSE)</f>
        <v>6854824.1399999997</v>
      </c>
      <c r="L12" s="364">
        <f>VLOOKUP($A$8,'تقرير إحصائية بحجم المبيعات'!$B$287:$L$313,11,FALSE)</f>
        <v>6242404.25</v>
      </c>
      <c r="M12" s="365">
        <f>VLOOKUP($A$8,'تقرير إحصائية بحجم المبيعات'!$B$322:$L$347,11,FALSE)</f>
        <v>6844885.0800000001</v>
      </c>
      <c r="N12" s="365">
        <f>VLOOKUP($A$8,'تقرير إحصائية بحجم المبيعات'!$B$357:$L$383,11,FALSE)</f>
        <v>6931653.1100000003</v>
      </c>
      <c r="O12" s="365">
        <f>VLOOKUP($A$8,'تقرير إحصائية بحجم المبيعات'!$B$391:$L$420,11,FALSE)</f>
        <v>6592423.1600000001</v>
      </c>
      <c r="P12" s="364">
        <f t="shared" si="1"/>
        <v>74400457.950000003</v>
      </c>
    </row>
    <row r="13" spans="1:20" ht="18" customHeight="1">
      <c r="B13" s="124"/>
      <c r="C13" s="371" t="s">
        <v>14</v>
      </c>
      <c r="D13" s="366">
        <f t="shared" ref="D13:O13" si="2">D8-D12</f>
        <v>1082950.1800000006</v>
      </c>
      <c r="E13" s="366">
        <f t="shared" si="2"/>
        <v>1018800.2600000007</v>
      </c>
      <c r="F13" s="366">
        <f t="shared" si="2"/>
        <v>1246605.42</v>
      </c>
      <c r="G13" s="366">
        <f t="shared" si="2"/>
        <v>1313490.8599999994</v>
      </c>
      <c r="H13" s="366">
        <f t="shared" si="2"/>
        <v>1390047.7100000009</v>
      </c>
      <c r="I13" s="366">
        <f t="shared" si="2"/>
        <v>1400746.75</v>
      </c>
      <c r="J13" s="366">
        <f t="shared" si="2"/>
        <v>1537076.7299999995</v>
      </c>
      <c r="K13" s="366">
        <f t="shared" si="2"/>
        <v>1567214.96</v>
      </c>
      <c r="L13" s="366">
        <f t="shared" si="2"/>
        <v>1416616.4899999993</v>
      </c>
      <c r="M13" s="366">
        <f t="shared" si="2"/>
        <v>1552753.0099999998</v>
      </c>
      <c r="N13" s="366">
        <f t="shared" si="2"/>
        <v>1538978.38</v>
      </c>
      <c r="O13" s="366">
        <f t="shared" si="2"/>
        <v>1513226.5100000016</v>
      </c>
      <c r="P13" s="366">
        <f t="shared" si="1"/>
        <v>16578507.260000002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>
        <v>109100.70000000001</v>
      </c>
      <c r="F16" s="367">
        <v>0.01</v>
      </c>
      <c r="G16" s="367"/>
      <c r="H16" s="367">
        <v>1154.2799999999997</v>
      </c>
      <c r="I16" s="367">
        <v>111686.53</v>
      </c>
      <c r="J16" s="367">
        <v>18912.770000000004</v>
      </c>
      <c r="K16" s="367"/>
      <c r="L16" s="367"/>
      <c r="M16" s="367"/>
      <c r="N16" s="367">
        <v>125017.45000000001</v>
      </c>
      <c r="O16" s="367"/>
      <c r="P16" s="364">
        <f t="shared" si="1"/>
        <v>365871.74000000005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109100.70000000001</v>
      </c>
      <c r="F18" s="363">
        <f t="shared" si="3"/>
        <v>0.01</v>
      </c>
      <c r="G18" s="363">
        <f t="shared" si="3"/>
        <v>0</v>
      </c>
      <c r="H18" s="363">
        <f t="shared" si="3"/>
        <v>1154.2799999999997</v>
      </c>
      <c r="I18" s="363">
        <f t="shared" si="3"/>
        <v>111686.53</v>
      </c>
      <c r="J18" s="363">
        <f t="shared" si="3"/>
        <v>18912.770000000004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 t="shared" si="3"/>
        <v>125017.45000000001</v>
      </c>
      <c r="O18" s="368">
        <f t="shared" si="3"/>
        <v>0</v>
      </c>
      <c r="P18" s="364">
        <f t="shared" si="1"/>
        <v>365871.74000000005</v>
      </c>
    </row>
    <row r="19" spans="2:16" ht="18" customHeight="1">
      <c r="B19" s="124"/>
      <c r="C19" s="386" t="s">
        <v>14</v>
      </c>
      <c r="D19" s="374">
        <f t="shared" ref="D19:O19" si="4">D13+D18</f>
        <v>1082950.1800000006</v>
      </c>
      <c r="E19" s="374">
        <f t="shared" si="4"/>
        <v>1127900.9600000007</v>
      </c>
      <c r="F19" s="374">
        <f t="shared" si="4"/>
        <v>1246605.43</v>
      </c>
      <c r="G19" s="374">
        <f t="shared" si="4"/>
        <v>1313490.8599999994</v>
      </c>
      <c r="H19" s="374">
        <f t="shared" si="4"/>
        <v>1391201.9900000009</v>
      </c>
      <c r="I19" s="374">
        <f t="shared" si="4"/>
        <v>1512433.28</v>
      </c>
      <c r="J19" s="374">
        <f t="shared" si="4"/>
        <v>1555989.4999999995</v>
      </c>
      <c r="K19" s="374">
        <f t="shared" si="4"/>
        <v>1567214.96</v>
      </c>
      <c r="L19" s="374">
        <f t="shared" si="4"/>
        <v>1416616.4899999993</v>
      </c>
      <c r="M19" s="374">
        <f t="shared" si="4"/>
        <v>1552753.0099999998</v>
      </c>
      <c r="N19" s="374">
        <f t="shared" si="4"/>
        <v>1663995.8299999998</v>
      </c>
      <c r="O19" s="374">
        <f t="shared" si="4"/>
        <v>1513226.5100000016</v>
      </c>
      <c r="P19" s="382">
        <f>SUM(D19:O19)</f>
        <v>16944379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الشهر'!$C$10:$AD$119,6,FALSE),0)</f>
        <v>0</v>
      </c>
      <c r="E22" s="362">
        <f>IFERROR(VLOOKUP(C22,'تقرير المصروفات حسب الشهر'!$C$135:$AD$244,6,FALSE),0)</f>
        <v>0</v>
      </c>
      <c r="F22" s="362">
        <v>0</v>
      </c>
      <c r="G22" s="362">
        <f>IFERROR(VLOOKUP(C22,'تقرير المصروفات حسب الشهر'!$C$387:$AD$495,6,FALSE),0)</f>
        <v>0</v>
      </c>
      <c r="H22" s="362">
        <f>IFERROR(VLOOKUP(C22,'تقرير المصروفات حسب الشهر'!$C$512:$AD$620,6,FALSE),0)</f>
        <v>0</v>
      </c>
      <c r="I22" s="362">
        <f>IFERROR(VLOOKUP(C22,'تقرير المصروفات حسب الشهر'!$C$637:$AD$746,6,FALSE),0)</f>
        <v>0</v>
      </c>
      <c r="J22" s="362">
        <f>IFERROR(VLOOKUP(C22,'تقرير المصروفات حسب الشهر'!$C$763:$AD$872,6,FALSE),0)</f>
        <v>0</v>
      </c>
      <c r="K22" s="362">
        <f>IFERROR(VLOOKUP(C22,'تقرير المصروفات حسب الشهر'!$C$890:$AD$999,6,FALSE),0)</f>
        <v>0</v>
      </c>
      <c r="L22" s="362">
        <f>IFERROR(VLOOKUP(C22,'تقرير المصروفات حسب الشهر'!$C$1016:$AD$1126,6,FALSE),0)</f>
        <v>0</v>
      </c>
      <c r="M22" s="376">
        <f>IFERROR(VLOOKUP(C22,'تقرير المصروفات حسب الشهر'!$C$1143:$AD$1254,6,FALSE),0)</f>
        <v>0</v>
      </c>
      <c r="N22" s="376">
        <f>IFERROR(VLOOKUP(C22,'تقرير المصروفات حسب الشهر'!$C$1270:$AD$1381,6,FALSE),0)</f>
        <v>0</v>
      </c>
      <c r="O22" s="376">
        <f>IFERROR(VLOOKUP(C22,'تقرير المصروفات حسب الشهر'!$C$1397:$AD$1512,6,FALSE),0)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الشهر'!$C$10:$AD$119,6,FALSE),0)</f>
        <v>225190.19</v>
      </c>
      <c r="E23" s="362">
        <f>IFERROR(VLOOKUP(C23,'تقرير المصروفات حسب الشهر'!$C$135:$AD$244,6,FALSE),0)</f>
        <v>394064.43</v>
      </c>
      <c r="F23" s="362">
        <v>335845.78</v>
      </c>
      <c r="G23" s="362">
        <f>IFERROR(VLOOKUP(C23,'تقرير المصروفات حسب الشهر'!$C$387:$AD$495,6,FALSE),0)</f>
        <v>351978.74</v>
      </c>
      <c r="H23" s="362">
        <f>IFERROR(VLOOKUP(C23,'تقرير المصروفات حسب الشهر'!$C$512:$AD$620,6,FALSE),0)</f>
        <v>410391.49</v>
      </c>
      <c r="I23" s="362">
        <f>IFERROR(VLOOKUP(C23,'تقرير المصروفات حسب الشهر'!$C$637:$AD$746,6,FALSE),0)</f>
        <v>450714.87</v>
      </c>
      <c r="J23" s="362">
        <f>IFERROR(VLOOKUP(C23,'تقرير المصروفات حسب الشهر'!$C$763:$AD$872,6,FALSE),0)</f>
        <v>412599.93000000005</v>
      </c>
      <c r="K23" s="362">
        <f>IFERROR(VLOOKUP(C23,'تقرير المصروفات حسب الشهر'!$C$890:$AD$999,6,FALSE),0)</f>
        <v>438049.72</v>
      </c>
      <c r="L23" s="362">
        <f>IFERROR(VLOOKUP(C23,'تقرير المصروفات حسب الشهر'!$C$1016:$AD$1126,6,FALSE),0)</f>
        <v>441099.77</v>
      </c>
      <c r="M23" s="376">
        <f>IFERROR(VLOOKUP(C23,'تقرير المصروفات حسب الشهر'!$C$1143:$AD$1254,6,FALSE),0)</f>
        <v>415936.45999999996</v>
      </c>
      <c r="N23" s="376">
        <f>IFERROR(VLOOKUP(C23,'تقرير المصروفات حسب الشهر'!$C$1270:$AD$1381,6,FALSE),0)</f>
        <v>439149.08999999997</v>
      </c>
      <c r="O23" s="376">
        <f>IFERROR(VLOOKUP(C23,'تقرير المصروفات حسب الشهر'!$C$1397:$AD$1512,6,FALSE),0)</f>
        <v>451068.75</v>
      </c>
      <c r="P23" s="364">
        <f t="shared" ref="P23:P86" si="5">SUM(D23:O23)</f>
        <v>4766089.2200000007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الشهر'!$C$10:$AD$119,6,FALSE),0)</f>
        <v>2670</v>
      </c>
      <c r="E24" s="362">
        <f>IFERROR(VLOOKUP(C24,'تقرير المصروفات حسب الشهر'!$C$135:$AD$244,6,FALSE),0)</f>
        <v>3480</v>
      </c>
      <c r="F24" s="362">
        <v>3553</v>
      </c>
      <c r="G24" s="362">
        <f>IFERROR(VLOOKUP(C24,'تقرير المصروفات حسب الشهر'!$C$387:$AD$495,6,FALSE),0)</f>
        <v>3813</v>
      </c>
      <c r="H24" s="362">
        <f>IFERROR(VLOOKUP(C24,'تقرير المصروفات حسب الشهر'!$C$512:$AD$620,6,FALSE),0)</f>
        <v>5030</v>
      </c>
      <c r="I24" s="362">
        <f>IFERROR(VLOOKUP(C24,'تقرير المصروفات حسب الشهر'!$C$637:$AD$746,6,FALSE),0)</f>
        <v>7051</v>
      </c>
      <c r="J24" s="362">
        <f>IFERROR(VLOOKUP(C24,'تقرير المصروفات حسب الشهر'!$C$763:$AD$872,6,FALSE),0)</f>
        <v>9619</v>
      </c>
      <c r="K24" s="362">
        <f>IFERROR(VLOOKUP(C24,'تقرير المصروفات حسب الشهر'!$C$890:$AD$999,6,FALSE),0)</f>
        <v>13041</v>
      </c>
      <c r="L24" s="362">
        <f>IFERROR(VLOOKUP(C24,'تقرير المصروفات حسب الشهر'!$C$1016:$AD$1126,6,FALSE),0)</f>
        <v>12116</v>
      </c>
      <c r="M24" s="376">
        <f>IFERROR(VLOOKUP(C24,'تقرير المصروفات حسب الشهر'!$C$1143:$AD$1254,6,FALSE),0)</f>
        <v>10860</v>
      </c>
      <c r="N24" s="376">
        <f>IFERROR(VLOOKUP(C24,'تقرير المصروفات حسب الشهر'!$C$1270:$AD$1381,6,FALSE),0)</f>
        <v>8362</v>
      </c>
      <c r="O24" s="376">
        <f>IFERROR(VLOOKUP(C24,'تقرير المصروفات حسب الشهر'!$C$1397:$AD$1512,6,FALSE),0)</f>
        <v>7523</v>
      </c>
      <c r="P24" s="364">
        <f t="shared" si="5"/>
        <v>87118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الشهر'!$C$10:$AD$119,6,FALSE),0)</f>
        <v>475</v>
      </c>
      <c r="E25" s="362">
        <f>IFERROR(VLOOKUP(C25,'تقرير المصروفات حسب الشهر'!$C$135:$AD$244,6,FALSE),0)</f>
        <v>0</v>
      </c>
      <c r="F25" s="362">
        <v>0</v>
      </c>
      <c r="G25" s="362">
        <f>IFERROR(VLOOKUP(C25,'تقرير المصروفات حسب الشهر'!$C$387:$AD$495,6,FALSE),0)</f>
        <v>2020</v>
      </c>
      <c r="H25" s="362">
        <f>IFERROR(VLOOKUP(C25,'تقرير المصروفات حسب الشهر'!$C$512:$AD$620,6,FALSE),0)</f>
        <v>1051</v>
      </c>
      <c r="I25" s="362">
        <f>IFERROR(VLOOKUP(C25,'تقرير المصروفات حسب الشهر'!$C$637:$AD$746,6,FALSE),0)</f>
        <v>0</v>
      </c>
      <c r="J25" s="362">
        <f>IFERROR(VLOOKUP(C25,'تقرير المصروفات حسب الشهر'!$C$763:$AD$872,6,FALSE),0)</f>
        <v>0</v>
      </c>
      <c r="K25" s="362">
        <f>IFERROR(VLOOKUP(C25,'تقرير المصروفات حسب الشهر'!$C$890:$AD$999,6,FALSE),0)</f>
        <v>0</v>
      </c>
      <c r="L25" s="362">
        <f>IFERROR(VLOOKUP(C25,'تقرير المصروفات حسب الشهر'!$C$1016:$AD$1126,6,FALSE),0)</f>
        <v>3245</v>
      </c>
      <c r="M25" s="376">
        <f>IFERROR(VLOOKUP(C25,'تقرير المصروفات حسب الشهر'!$C$1143:$AD$1254,6,FALSE),0)</f>
        <v>1062</v>
      </c>
      <c r="N25" s="376">
        <f>IFERROR(VLOOKUP(C25,'تقرير المصروفات حسب الشهر'!$C$1270:$AD$1381,6,FALSE),0)</f>
        <v>0</v>
      </c>
      <c r="O25" s="376">
        <f>IFERROR(VLOOKUP(C25,'تقرير المصروفات حسب الشهر'!$C$1397:$AD$1512,6,FALSE),0)</f>
        <v>5106</v>
      </c>
      <c r="P25" s="364">
        <f t="shared" si="5"/>
        <v>12959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الشهر'!$C$10:$AD$119,6,FALSE),0)</f>
        <v>350</v>
      </c>
      <c r="E26" s="362">
        <f>IFERROR(VLOOKUP(C26,'تقرير المصروفات حسب الشهر'!$C$135:$AD$244,6,FALSE),0)</f>
        <v>0</v>
      </c>
      <c r="F26" s="362">
        <v>200</v>
      </c>
      <c r="G26" s="362">
        <f>IFERROR(VLOOKUP(C26,'تقرير المصروفات حسب الشهر'!$C$387:$AD$495,6,FALSE),0)</f>
        <v>0</v>
      </c>
      <c r="H26" s="362">
        <f>IFERROR(VLOOKUP(C26,'تقرير المصروفات حسب الشهر'!$C$512:$AD$620,6,FALSE),0)</f>
        <v>0</v>
      </c>
      <c r="I26" s="362">
        <f>IFERROR(VLOOKUP(C26,'تقرير المصروفات حسب الشهر'!$C$637:$AD$746,6,FALSE),0)</f>
        <v>900</v>
      </c>
      <c r="J26" s="362">
        <f>IFERROR(VLOOKUP(C26,'تقرير المصروفات حسب الشهر'!$C$763:$AD$872,6,FALSE),0)</f>
        <v>0</v>
      </c>
      <c r="K26" s="362">
        <f>IFERROR(VLOOKUP(C26,'تقرير المصروفات حسب الشهر'!$C$890:$AD$999,6,FALSE),0)</f>
        <v>0</v>
      </c>
      <c r="L26" s="362">
        <f>IFERROR(VLOOKUP(C26,'تقرير المصروفات حسب الشهر'!$C$1016:$AD$1126,6,FALSE),0)</f>
        <v>0</v>
      </c>
      <c r="M26" s="376">
        <f>IFERROR(VLOOKUP(C26,'تقرير المصروفات حسب الشهر'!$C$1143:$AD$1254,6,FALSE),0)</f>
        <v>0</v>
      </c>
      <c r="N26" s="376">
        <f>IFERROR(VLOOKUP(C26,'تقرير المصروفات حسب الشهر'!$C$1270:$AD$1381,6,FALSE),0)</f>
        <v>400</v>
      </c>
      <c r="O26" s="376">
        <f>IFERROR(VLOOKUP(C26,'تقرير المصروفات حسب الشهر'!$C$1397:$AD$1512,6,FALSE),0)</f>
        <v>0</v>
      </c>
      <c r="P26" s="364">
        <f t="shared" si="5"/>
        <v>1850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الشهر'!$C$10:$AD$119,6,FALSE),0)</f>
        <v>0</v>
      </c>
      <c r="E27" s="362">
        <f>IFERROR(VLOOKUP(C27,'تقرير المصروفات حسب الشهر'!$C$135:$AD$244,6,FALSE),0)</f>
        <v>0</v>
      </c>
      <c r="F27" s="362">
        <v>0</v>
      </c>
      <c r="G27" s="362">
        <f>IFERROR(VLOOKUP(C27,'تقرير المصروفات حسب الشهر'!$C$387:$AD$495,6,FALSE),0)</f>
        <v>0</v>
      </c>
      <c r="H27" s="362">
        <f>IFERROR(VLOOKUP(C27,'تقرير المصروفات حسب الشهر'!$C$512:$AD$620,6,FALSE),0)</f>
        <v>0</v>
      </c>
      <c r="I27" s="362">
        <f>IFERROR(VLOOKUP(C27,'تقرير المصروفات حسب الشهر'!$C$637:$AD$746,6,FALSE),0)</f>
        <v>0</v>
      </c>
      <c r="J27" s="362">
        <f>IFERROR(VLOOKUP(C27,'تقرير المصروفات حسب الشهر'!$C$763:$AD$872,6,FALSE),0)</f>
        <v>0</v>
      </c>
      <c r="K27" s="362">
        <f>IFERROR(VLOOKUP(C27,'تقرير المصروفات حسب الشهر'!$C$890:$AD$999,6,FALSE),0)</f>
        <v>0</v>
      </c>
      <c r="L27" s="362">
        <f>IFERROR(VLOOKUP(C27,'تقرير المصروفات حسب الشهر'!$C$1016:$AD$1126,6,FALSE),0)</f>
        <v>0</v>
      </c>
      <c r="M27" s="376">
        <f>IFERROR(VLOOKUP(C27,'تقرير المصروفات حسب الشهر'!$C$1143:$AD$1254,6,FALSE),0)</f>
        <v>0</v>
      </c>
      <c r="N27" s="376">
        <f>IFERROR(VLOOKUP(C27,'تقرير المصروفات حسب الشهر'!$C$1270:$AD$1381,6,FALSE),0)</f>
        <v>0</v>
      </c>
      <c r="O27" s="376">
        <f>IFERROR(VLOOKUP(C27,'تقرير المصروفات حسب الشهر'!$C$1397:$AD$1512,6,FALSE),0)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الشهر'!$C$10:$AD$119,6,FALSE),0)</f>
        <v>0</v>
      </c>
      <c r="E28" s="362">
        <f>IFERROR(VLOOKUP(C28,'تقرير المصروفات حسب الشهر'!$C$135:$AD$244,6,FALSE),0)</f>
        <v>0</v>
      </c>
      <c r="F28" s="362">
        <v>0</v>
      </c>
      <c r="G28" s="362">
        <f>IFERROR(VLOOKUP(C28,'تقرير المصروفات حسب الشهر'!$C$387:$AD$495,6,FALSE),0)</f>
        <v>0</v>
      </c>
      <c r="H28" s="362">
        <f>IFERROR(VLOOKUP(C28,'تقرير المصروفات حسب الشهر'!$C$512:$AD$620,6,FALSE),0)</f>
        <v>0</v>
      </c>
      <c r="I28" s="362">
        <f>IFERROR(VLOOKUP(C28,'تقرير المصروفات حسب الشهر'!$C$637:$AD$746,6,FALSE),0)</f>
        <v>0</v>
      </c>
      <c r="J28" s="362">
        <f>IFERROR(VLOOKUP(C28,'تقرير المصروفات حسب الشهر'!$C$763:$AD$872,6,FALSE),0)</f>
        <v>0</v>
      </c>
      <c r="K28" s="362">
        <f>IFERROR(VLOOKUP(C28,'تقرير المصروفات حسب الشهر'!$C$890:$AD$999,6,FALSE),0)</f>
        <v>0</v>
      </c>
      <c r="L28" s="362">
        <f>IFERROR(VLOOKUP(C28,'تقرير المصروفات حسب الشهر'!$C$1016:$AD$1126,6,FALSE),0)</f>
        <v>0</v>
      </c>
      <c r="M28" s="376">
        <f>IFERROR(VLOOKUP(C28,'تقرير المصروفات حسب الشهر'!$C$1143:$AD$1254,6,FALSE),0)</f>
        <v>0</v>
      </c>
      <c r="N28" s="376">
        <f>IFERROR(VLOOKUP(C28,'تقرير المصروفات حسب الشهر'!$C$1270:$AD$1381,6,FALSE),0)</f>
        <v>0</v>
      </c>
      <c r="O28" s="376">
        <f>IFERROR(VLOOKUP(C28,'تقرير المصروفات حسب الشهر'!$C$1397:$AD$1512,6,FALSE),0)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الشهر'!$C$10:$AD$119,6,FALSE),0)</f>
        <v>35500</v>
      </c>
      <c r="E29" s="362">
        <f>IFERROR(VLOOKUP(C29,'تقرير المصروفات حسب الشهر'!$C$135:$AD$244,6,FALSE),0)</f>
        <v>35500</v>
      </c>
      <c r="F29" s="362">
        <v>35500</v>
      </c>
      <c r="G29" s="362">
        <f>IFERROR(VLOOKUP(C29,'تقرير المصروفات حسب الشهر'!$C$387:$AD$495,6,FALSE),0)</f>
        <v>35500</v>
      </c>
      <c r="H29" s="362">
        <f>IFERROR(VLOOKUP(C29,'تقرير المصروفات حسب الشهر'!$C$512:$AD$620,6,FALSE),0)</f>
        <v>35500</v>
      </c>
      <c r="I29" s="362">
        <f>IFERROR(VLOOKUP(C29,'تقرير المصروفات حسب الشهر'!$C$637:$AD$746,6,FALSE),0)</f>
        <v>35500</v>
      </c>
      <c r="J29" s="362">
        <f>IFERROR(VLOOKUP(C29,'تقرير المصروفات حسب الشهر'!$C$763:$AD$872,6,FALSE),0)</f>
        <v>35500</v>
      </c>
      <c r="K29" s="362">
        <f>IFERROR(VLOOKUP(C29,'تقرير المصروفات حسب الشهر'!$C$890:$AD$999,6,FALSE),0)</f>
        <v>35500</v>
      </c>
      <c r="L29" s="362">
        <f>IFERROR(VLOOKUP(C29,'تقرير المصروفات حسب الشهر'!$C$1016:$AD$1126,6,FALSE),0)</f>
        <v>35500</v>
      </c>
      <c r="M29" s="376">
        <f>IFERROR(VLOOKUP(C29,'تقرير المصروفات حسب الشهر'!$C$1143:$AD$1254,6,FALSE),0)</f>
        <v>35500</v>
      </c>
      <c r="N29" s="376">
        <f>IFERROR(VLOOKUP(C29,'تقرير المصروفات حسب الشهر'!$C$1270:$AD$1381,6,FALSE),0)</f>
        <v>35500</v>
      </c>
      <c r="O29" s="376">
        <f>IFERROR(VLOOKUP(C29,'تقرير المصروفات حسب الشهر'!$C$1397:$AD$1512,6,FALSE),0)</f>
        <v>35500</v>
      </c>
      <c r="P29" s="364">
        <f t="shared" si="5"/>
        <v>426000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الشهر'!$C$10:$AD$119,6,FALSE),0)</f>
        <v>0</v>
      </c>
      <c r="E30" s="362">
        <f>IFERROR(VLOOKUP(C30,'تقرير المصروفات حسب الشهر'!$C$135:$AD$244,6,FALSE),0)</f>
        <v>0</v>
      </c>
      <c r="F30" s="362">
        <v>995.5</v>
      </c>
      <c r="G30" s="362">
        <f>IFERROR(VLOOKUP(C30,'تقرير المصروفات حسب الشهر'!$C$387:$AD$495,6,FALSE),0)</f>
        <v>0</v>
      </c>
      <c r="H30" s="362">
        <f>IFERROR(VLOOKUP(C30,'تقرير المصروفات حسب الشهر'!$C$512:$AD$620,6,FALSE),0)</f>
        <v>0</v>
      </c>
      <c r="I30" s="362">
        <f>IFERROR(VLOOKUP(C30,'تقرير المصروفات حسب الشهر'!$C$637:$AD$746,6,FALSE),0)</f>
        <v>798.9</v>
      </c>
      <c r="J30" s="362">
        <f>IFERROR(VLOOKUP(C30,'تقرير المصروفات حسب الشهر'!$C$763:$AD$872,6,FALSE),0)</f>
        <v>0</v>
      </c>
      <c r="K30" s="362">
        <f>IFERROR(VLOOKUP(C30,'تقرير المصروفات حسب الشهر'!$C$890:$AD$999,6,FALSE),0)</f>
        <v>90</v>
      </c>
      <c r="L30" s="362">
        <f>IFERROR(VLOOKUP(C30,'تقرير المصروفات حسب الشهر'!$C$1016:$AD$1126,6,FALSE),0)</f>
        <v>0</v>
      </c>
      <c r="M30" s="376">
        <f>IFERROR(VLOOKUP(C30,'تقرير المصروفات حسب الشهر'!$C$1143:$AD$1254,6,FALSE),0)</f>
        <v>1300.25</v>
      </c>
      <c r="N30" s="376">
        <f>IFERROR(VLOOKUP(C30,'تقرير المصروفات حسب الشهر'!$C$1270:$AD$1381,6,FALSE),0)</f>
        <v>0</v>
      </c>
      <c r="O30" s="376">
        <f>IFERROR(VLOOKUP(C30,'تقرير المصروفات حسب الشهر'!$C$1397:$AD$1512,6,FALSE),0)</f>
        <v>1250</v>
      </c>
      <c r="P30" s="364">
        <f t="shared" si="5"/>
        <v>4434.6499999999996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الشهر'!$C$10:$AD$119,6,FALSE),0)</f>
        <v>147.13</v>
      </c>
      <c r="E31" s="362">
        <f>IFERROR(VLOOKUP(C31,'تقرير المصروفات حسب الشهر'!$C$135:$AD$244,6,FALSE),0)</f>
        <v>147.13</v>
      </c>
      <c r="F31" s="362">
        <v>147.13</v>
      </c>
      <c r="G31" s="362">
        <f>IFERROR(VLOOKUP(C31,'تقرير المصروفات حسب الشهر'!$C$387:$AD$495,6,FALSE),0)</f>
        <v>147.13</v>
      </c>
      <c r="H31" s="362">
        <f>IFERROR(VLOOKUP(C31,'تقرير المصروفات حسب الشهر'!$C$512:$AD$620,6,FALSE),0)</f>
        <v>147.13</v>
      </c>
      <c r="I31" s="362">
        <f>IFERROR(VLOOKUP(C31,'تقرير المصروفات حسب الشهر'!$C$637:$AD$746,6,FALSE),0)</f>
        <v>147.13</v>
      </c>
      <c r="J31" s="362">
        <f>IFERROR(VLOOKUP(C31,'تقرير المصروفات حسب الشهر'!$C$763:$AD$872,6,FALSE),0)</f>
        <v>147.13</v>
      </c>
      <c r="K31" s="362">
        <f>IFERROR(VLOOKUP(C31,'تقرير المصروفات حسب الشهر'!$C$890:$AD$999,6,FALSE),0)</f>
        <v>147.13</v>
      </c>
      <c r="L31" s="362">
        <f>IFERROR(VLOOKUP(C31,'تقرير المصروفات حسب الشهر'!$C$1016:$AD$1126,6,FALSE),0)</f>
        <v>147.13</v>
      </c>
      <c r="M31" s="376">
        <f>IFERROR(VLOOKUP(C31,'تقرير المصروفات حسب الشهر'!$C$1143:$AD$1254,6,FALSE),0)</f>
        <v>147.13</v>
      </c>
      <c r="N31" s="376">
        <f>IFERROR(VLOOKUP(C31,'تقرير المصروفات حسب الشهر'!$C$1270:$AD$1381,6,FALSE),0)</f>
        <v>198.1</v>
      </c>
      <c r="O31" s="376">
        <f>IFERROR(VLOOKUP(C31,'تقرير المصروفات حسب الشهر'!$C$1397:$AD$1512,6,FALSE),0)</f>
        <v>147.13</v>
      </c>
      <c r="P31" s="364">
        <f t="shared" si="5"/>
        <v>1816.5300000000002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الشهر'!$C$10:$AD$119,6,FALSE),0)</f>
        <v>0</v>
      </c>
      <c r="E32" s="362">
        <f>IFERROR(VLOOKUP(C32,'تقرير المصروفات حسب الشهر'!$C$135:$AD$244,6,FALSE),0)</f>
        <v>0</v>
      </c>
      <c r="F32" s="362">
        <v>0</v>
      </c>
      <c r="G32" s="362">
        <f>IFERROR(VLOOKUP(C32,'تقرير المصروفات حسب الشهر'!$C$387:$AD$495,6,FALSE),0)</f>
        <v>0</v>
      </c>
      <c r="H32" s="362">
        <f>IFERROR(VLOOKUP(C32,'تقرير المصروفات حسب الشهر'!$C$512:$AD$620,6,FALSE),0)</f>
        <v>0</v>
      </c>
      <c r="I32" s="362">
        <f>IFERROR(VLOOKUP(C32,'تقرير المصروفات حسب الشهر'!$C$637:$AD$746,6,FALSE),0)</f>
        <v>0</v>
      </c>
      <c r="J32" s="362">
        <f>IFERROR(VLOOKUP(C32,'تقرير المصروفات حسب الشهر'!$C$763:$AD$872,6,FALSE),0)</f>
        <v>0</v>
      </c>
      <c r="K32" s="362">
        <f>IFERROR(VLOOKUP(C32,'تقرير المصروفات حسب الشهر'!$C$890:$AD$999,6,FALSE),0)</f>
        <v>0</v>
      </c>
      <c r="L32" s="362">
        <f>IFERROR(VLOOKUP(C32,'تقرير المصروفات حسب الشهر'!$C$1016:$AD$1126,6,FALSE),0)</f>
        <v>0</v>
      </c>
      <c r="M32" s="376">
        <f>IFERROR(VLOOKUP(C32,'تقرير المصروفات حسب الشهر'!$C$1143:$AD$1254,6,FALSE),0)</f>
        <v>0</v>
      </c>
      <c r="N32" s="376">
        <f>IFERROR(VLOOKUP(C32,'تقرير المصروفات حسب الشهر'!$C$1270:$AD$1381,6,FALSE),0)</f>
        <v>0</v>
      </c>
      <c r="O32" s="376">
        <f>IFERROR(VLOOKUP(C32,'تقرير المصروفات حسب الشهر'!$C$1397:$AD$1512,6,FALSE),0)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الشهر'!$C$10:$AD$119,6,FALSE),0)</f>
        <v>0</v>
      </c>
      <c r="E33" s="362">
        <f>IFERROR(VLOOKUP(C33,'تقرير المصروفات حسب الشهر'!$C$135:$AD$244,6,FALSE),0)</f>
        <v>900</v>
      </c>
      <c r="F33" s="362">
        <v>650</v>
      </c>
      <c r="G33" s="362">
        <f>IFERROR(VLOOKUP(C33,'تقرير المصروفات حسب الشهر'!$C$387:$AD$495,6,FALSE),0)</f>
        <v>900</v>
      </c>
      <c r="H33" s="362">
        <f>IFERROR(VLOOKUP(C33,'تقرير المصروفات حسب الشهر'!$C$512:$AD$620,6,FALSE),0)</f>
        <v>500</v>
      </c>
      <c r="I33" s="362">
        <f>IFERROR(VLOOKUP(C33,'تقرير المصروفات حسب الشهر'!$C$637:$AD$746,6,FALSE),0)</f>
        <v>900</v>
      </c>
      <c r="J33" s="362">
        <f>IFERROR(VLOOKUP(C33,'تقرير المصروفات حسب الشهر'!$C$763:$AD$872,6,FALSE),0)</f>
        <v>650</v>
      </c>
      <c r="K33" s="362">
        <f>IFERROR(VLOOKUP(C33,'تقرير المصروفات حسب الشهر'!$C$890:$AD$999,6,FALSE),0)</f>
        <v>900</v>
      </c>
      <c r="L33" s="362">
        <f>IFERROR(VLOOKUP(C33,'تقرير المصروفات حسب الشهر'!$C$1016:$AD$1126,6,FALSE),0)</f>
        <v>0</v>
      </c>
      <c r="M33" s="376">
        <f>IFERROR(VLOOKUP(C33,'تقرير المصروفات حسب الشهر'!$C$1143:$AD$1254,6,FALSE),0)</f>
        <v>0</v>
      </c>
      <c r="N33" s="376">
        <f>IFERROR(VLOOKUP(C33,'تقرير المصروفات حسب الشهر'!$C$1270:$AD$1381,6,FALSE),0)</f>
        <v>750</v>
      </c>
      <c r="O33" s="376">
        <f>IFERROR(VLOOKUP(C33,'تقرير المصروفات حسب الشهر'!$C$1397:$AD$1512,6,FALSE),0)</f>
        <v>0</v>
      </c>
      <c r="P33" s="364">
        <f t="shared" si="5"/>
        <v>6150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الشهر'!$C$10:$AD$119,6,FALSE),0)</f>
        <v>0</v>
      </c>
      <c r="E34" s="362">
        <f>IFERROR(VLOOKUP(C34,'تقرير المصروفات حسب الشهر'!$C$135:$AD$244,6,FALSE),0)</f>
        <v>0</v>
      </c>
      <c r="F34" s="362">
        <v>0</v>
      </c>
      <c r="G34" s="362">
        <f>IFERROR(VLOOKUP(C34,'تقرير المصروفات حسب الشهر'!$C$387:$AD$495,6,FALSE),0)</f>
        <v>0</v>
      </c>
      <c r="H34" s="362">
        <f>IFERROR(VLOOKUP(C34,'تقرير المصروفات حسب الشهر'!$C$512:$AD$620,6,FALSE),0)</f>
        <v>0</v>
      </c>
      <c r="I34" s="362">
        <f>IFERROR(VLOOKUP(C34,'تقرير المصروفات حسب الشهر'!$C$637:$AD$746,6,FALSE),0)</f>
        <v>0</v>
      </c>
      <c r="J34" s="362">
        <f>IFERROR(VLOOKUP(C34,'تقرير المصروفات حسب الشهر'!$C$763:$AD$872,6,FALSE),0)</f>
        <v>0</v>
      </c>
      <c r="K34" s="362">
        <f>IFERROR(VLOOKUP(C34,'تقرير المصروفات حسب الشهر'!$C$890:$AD$999,6,FALSE),0)</f>
        <v>0</v>
      </c>
      <c r="L34" s="362">
        <f>IFERROR(VLOOKUP(C34,'تقرير المصروفات حسب الشهر'!$C$1016:$AD$1126,6,FALSE),0)</f>
        <v>0</v>
      </c>
      <c r="M34" s="376">
        <f>IFERROR(VLOOKUP(C34,'تقرير المصروفات حسب الشهر'!$C$1143:$AD$1254,6,FALSE),0)</f>
        <v>0</v>
      </c>
      <c r="N34" s="376">
        <f>IFERROR(VLOOKUP(C34,'تقرير المصروفات حسب الشهر'!$C$1270:$AD$1381,6,FALSE),0)</f>
        <v>0</v>
      </c>
      <c r="O34" s="376">
        <f>IFERROR(VLOOKUP(C34,'تقرير المصروفات حسب الشهر'!$C$1397:$AD$1512,6,FALSE),0)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الشهر'!$C$10:$AD$119,6,FALSE),0)</f>
        <v>800</v>
      </c>
      <c r="E35" s="362">
        <f>IFERROR(VLOOKUP(C35,'تقرير المصروفات حسب الشهر'!$C$135:$AD$244,6,FALSE),0)</f>
        <v>0</v>
      </c>
      <c r="F35" s="362">
        <v>0</v>
      </c>
      <c r="G35" s="362">
        <f>IFERROR(VLOOKUP(C35,'تقرير المصروفات حسب الشهر'!$C$387:$AD$495,6,FALSE),0)</f>
        <v>0</v>
      </c>
      <c r="H35" s="362">
        <f>IFERROR(VLOOKUP(C35,'تقرير المصروفات حسب الشهر'!$C$512:$AD$620,6,FALSE),0)</f>
        <v>0</v>
      </c>
      <c r="I35" s="362">
        <f>IFERROR(VLOOKUP(C35,'تقرير المصروفات حسب الشهر'!$C$637:$AD$746,6,FALSE),0)</f>
        <v>0</v>
      </c>
      <c r="J35" s="362">
        <f>IFERROR(VLOOKUP(C35,'تقرير المصروفات حسب الشهر'!$C$763:$AD$872,6,FALSE),0)</f>
        <v>155</v>
      </c>
      <c r="K35" s="362">
        <f>IFERROR(VLOOKUP(C35,'تقرير المصروفات حسب الشهر'!$C$890:$AD$999,6,FALSE),0)</f>
        <v>0</v>
      </c>
      <c r="L35" s="362">
        <f>IFERROR(VLOOKUP(C35,'تقرير المصروفات حسب الشهر'!$C$1016:$AD$1126,6,FALSE),0)</f>
        <v>0</v>
      </c>
      <c r="M35" s="376">
        <f>IFERROR(VLOOKUP(C35,'تقرير المصروفات حسب الشهر'!$C$1143:$AD$1254,6,FALSE),0)</f>
        <v>0</v>
      </c>
      <c r="N35" s="376">
        <f>IFERROR(VLOOKUP(C35,'تقرير المصروفات حسب الشهر'!$C$1270:$AD$1381,6,FALSE),0)</f>
        <v>0</v>
      </c>
      <c r="O35" s="376">
        <f>IFERROR(VLOOKUP(C35,'تقرير المصروفات حسب الشهر'!$C$1397:$AD$1512,6,FALSE),0)</f>
        <v>0</v>
      </c>
      <c r="P35" s="364">
        <f t="shared" si="5"/>
        <v>955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الشهر'!$C$10:$AD$119,6,FALSE),0)</f>
        <v>750</v>
      </c>
      <c r="E36" s="362">
        <f>IFERROR(VLOOKUP(C36,'تقرير المصروفات حسب الشهر'!$C$135:$AD$244,6,FALSE),0)</f>
        <v>0</v>
      </c>
      <c r="F36" s="362">
        <v>3750</v>
      </c>
      <c r="G36" s="362">
        <f>IFERROR(VLOOKUP(C36,'تقرير المصروفات حسب الشهر'!$C$387:$AD$495,6,FALSE),0)</f>
        <v>3000</v>
      </c>
      <c r="H36" s="362">
        <f>IFERROR(VLOOKUP(C36,'تقرير المصروفات حسب الشهر'!$C$512:$AD$620,6,FALSE),0)</f>
        <v>0</v>
      </c>
      <c r="I36" s="362">
        <f>IFERROR(VLOOKUP(C36,'تقرير المصروفات حسب الشهر'!$C$637:$AD$746,6,FALSE),0)</f>
        <v>6930</v>
      </c>
      <c r="J36" s="362">
        <f>IFERROR(VLOOKUP(C36,'تقرير المصروفات حسب الشهر'!$C$763:$AD$872,6,FALSE),0)</f>
        <v>0</v>
      </c>
      <c r="K36" s="362">
        <f>IFERROR(VLOOKUP(C36,'تقرير المصروفات حسب الشهر'!$C$890:$AD$999,6,FALSE),0)</f>
        <v>4050</v>
      </c>
      <c r="L36" s="362">
        <f>IFERROR(VLOOKUP(C36,'تقرير المصروفات حسب الشهر'!$C$1016:$AD$1126,6,FALSE),0)</f>
        <v>0</v>
      </c>
      <c r="M36" s="376">
        <f>IFERROR(VLOOKUP(C36,'تقرير المصروفات حسب الشهر'!$C$1143:$AD$1254,6,FALSE),0)</f>
        <v>5390</v>
      </c>
      <c r="N36" s="376">
        <f>IFERROR(VLOOKUP(C36,'تقرير المصروفات حسب الشهر'!$C$1270:$AD$1381,6,FALSE),0)</f>
        <v>0</v>
      </c>
      <c r="O36" s="376">
        <f>IFERROR(VLOOKUP(C36,'تقرير المصروفات حسب الشهر'!$C$1397:$AD$1512,6,FALSE),0)</f>
        <v>4620</v>
      </c>
      <c r="P36" s="364">
        <f t="shared" si="5"/>
        <v>28490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الشهر'!$C$10:$AD$119,6,FALSE),0)</f>
        <v>2250</v>
      </c>
      <c r="E37" s="362">
        <f>IFERROR(VLOOKUP(C37,'تقرير المصروفات حسب الشهر'!$C$135:$AD$244,6,FALSE),0)</f>
        <v>0</v>
      </c>
      <c r="F37" s="362">
        <v>2250</v>
      </c>
      <c r="G37" s="362">
        <f>IFERROR(VLOOKUP(C37,'تقرير المصروفات حسب الشهر'!$C$387:$AD$495,6,FALSE),0)</f>
        <v>2250</v>
      </c>
      <c r="H37" s="362">
        <f>IFERROR(VLOOKUP(C37,'تقرير المصروفات حسب الشهر'!$C$512:$AD$620,6,FALSE),0)</f>
        <v>0</v>
      </c>
      <c r="I37" s="362">
        <f>IFERROR(VLOOKUP(C37,'تقرير المصروفات حسب الشهر'!$C$637:$AD$746,6,FALSE),0)</f>
        <v>4500</v>
      </c>
      <c r="J37" s="362">
        <f>IFERROR(VLOOKUP(C37,'تقرير المصروفات حسب الشهر'!$C$763:$AD$872,6,FALSE),0)</f>
        <v>0</v>
      </c>
      <c r="K37" s="362">
        <f>IFERROR(VLOOKUP(C37,'تقرير المصروفات حسب الشهر'!$C$890:$AD$999,6,FALSE),0)</f>
        <v>4500</v>
      </c>
      <c r="L37" s="362">
        <f>IFERROR(VLOOKUP(C37,'تقرير المصروفات حسب الشهر'!$C$1016:$AD$1126,6,FALSE),0)</f>
        <v>0</v>
      </c>
      <c r="M37" s="376">
        <f>IFERROR(VLOOKUP(C37,'تقرير المصروفات حسب الشهر'!$C$1143:$AD$1254,6,FALSE),0)</f>
        <v>6750</v>
      </c>
      <c r="N37" s="376">
        <f>IFERROR(VLOOKUP(C37,'تقرير المصروفات حسب الشهر'!$C$1270:$AD$1381,6,FALSE),0)</f>
        <v>0</v>
      </c>
      <c r="O37" s="376">
        <f>IFERROR(VLOOKUP(C37,'تقرير المصروفات حسب الشهر'!$C$1397:$AD$1512,6,FALSE),0)</f>
        <v>6780</v>
      </c>
      <c r="P37" s="364">
        <f t="shared" si="5"/>
        <v>29280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الشهر'!$C$10:$AD$119,6,FALSE),0)</f>
        <v>0</v>
      </c>
      <c r="E38" s="362">
        <f>IFERROR(VLOOKUP(C38,'تقرير المصروفات حسب الشهر'!$C$135:$AD$244,6,FALSE),0)</f>
        <v>0</v>
      </c>
      <c r="F38" s="362">
        <v>0</v>
      </c>
      <c r="G38" s="362">
        <f>IFERROR(VLOOKUP(C38,'تقرير المصروفات حسب الشهر'!$C$387:$AD$495,6,FALSE),0)</f>
        <v>0</v>
      </c>
      <c r="H38" s="362">
        <f>IFERROR(VLOOKUP(C38,'تقرير المصروفات حسب الشهر'!$C$512:$AD$620,6,FALSE),0)</f>
        <v>0</v>
      </c>
      <c r="I38" s="362">
        <f>IFERROR(VLOOKUP(C38,'تقرير المصروفات حسب الشهر'!$C$637:$AD$746,6,FALSE),0)</f>
        <v>0</v>
      </c>
      <c r="J38" s="362">
        <f>IFERROR(VLOOKUP(C38,'تقرير المصروفات حسب الشهر'!$C$763:$AD$872,6,FALSE),0)</f>
        <v>0</v>
      </c>
      <c r="K38" s="362">
        <f>IFERROR(VLOOKUP(C38,'تقرير المصروفات حسب الشهر'!$C$890:$AD$999,6,FALSE),0)</f>
        <v>0</v>
      </c>
      <c r="L38" s="362">
        <f>IFERROR(VLOOKUP(C38,'تقرير المصروفات حسب الشهر'!$C$1016:$AD$1126,6,FALSE),0)</f>
        <v>0</v>
      </c>
      <c r="M38" s="376">
        <f>IFERROR(VLOOKUP(C38,'تقرير المصروفات حسب الشهر'!$C$1143:$AD$1254,6,FALSE),0)</f>
        <v>0</v>
      </c>
      <c r="N38" s="376">
        <f>IFERROR(VLOOKUP(C38,'تقرير المصروفات حسب الشهر'!$C$1270:$AD$1381,6,FALSE),0)</f>
        <v>0</v>
      </c>
      <c r="O38" s="376">
        <f>IFERROR(VLOOKUP(C38,'تقرير المصروفات حسب الشهر'!$C$1397:$AD$1512,6,FALSE),0)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الشهر'!$C$10:$AD$119,6,FALSE),0)</f>
        <v>4422.5</v>
      </c>
      <c r="E39" s="362">
        <f>IFERROR(VLOOKUP(C39,'تقرير المصروفات حسب الشهر'!$C$135:$AD$244,6,FALSE),0)</f>
        <v>4442.1000000000004</v>
      </c>
      <c r="F39" s="362">
        <v>3952.5</v>
      </c>
      <c r="G39" s="362">
        <f>IFERROR(VLOOKUP(C39,'تقرير المصروفات حسب الشهر'!$C$387:$AD$495,6,FALSE),0)</f>
        <v>3436.9</v>
      </c>
      <c r="H39" s="362">
        <f>IFERROR(VLOOKUP(C39,'تقرير المصروفات حسب الشهر'!$C$512:$AD$620,6,FALSE),0)</f>
        <v>4803</v>
      </c>
      <c r="I39" s="362">
        <f>IFERROR(VLOOKUP(C39,'تقرير المصروفات حسب الشهر'!$C$637:$AD$746,6,FALSE),0)</f>
        <v>3787</v>
      </c>
      <c r="J39" s="362">
        <f>IFERROR(VLOOKUP(C39,'تقرير المصروفات حسب الشهر'!$C$763:$AD$872,6,FALSE),0)</f>
        <v>2478</v>
      </c>
      <c r="K39" s="362">
        <f>IFERROR(VLOOKUP(C39,'تقرير المصروفات حسب الشهر'!$C$890:$AD$999,6,FALSE),0)</f>
        <v>2070</v>
      </c>
      <c r="L39" s="362">
        <f>IFERROR(VLOOKUP(C39,'تقرير المصروفات حسب الشهر'!$C$1016:$AD$1126,6,FALSE),0)</f>
        <v>1866</v>
      </c>
      <c r="M39" s="376">
        <f>IFERROR(VLOOKUP(C39,'تقرير المصروفات حسب الشهر'!$C$1143:$AD$1254,6,FALSE),0)</f>
        <v>1382</v>
      </c>
      <c r="N39" s="376">
        <f>IFERROR(VLOOKUP(C39,'تقرير المصروفات حسب الشهر'!$C$1270:$AD$1381,6,FALSE),0)</f>
        <v>2906</v>
      </c>
      <c r="O39" s="376">
        <f>IFERROR(VLOOKUP(C39,'تقرير المصروفات حسب الشهر'!$C$1397:$AD$1512,6,FALSE),0)</f>
        <v>5355</v>
      </c>
      <c r="P39" s="364">
        <f t="shared" si="5"/>
        <v>40901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الشهر'!$C$10:$AD$119,6,FALSE),0)</f>
        <v>0</v>
      </c>
      <c r="E40" s="362">
        <f>IFERROR(VLOOKUP(C40,'تقرير المصروفات حسب الشهر'!$C$135:$AD$244,6,FALSE),0)</f>
        <v>0</v>
      </c>
      <c r="F40" s="362">
        <v>0</v>
      </c>
      <c r="G40" s="362">
        <f>IFERROR(VLOOKUP(C40,'تقرير المصروفات حسب الشهر'!$C$387:$AD$495,6,FALSE),0)</f>
        <v>0</v>
      </c>
      <c r="H40" s="362">
        <f>IFERROR(VLOOKUP(C40,'تقرير المصروفات حسب الشهر'!$C$512:$AD$620,6,FALSE),0)</f>
        <v>0</v>
      </c>
      <c r="I40" s="362">
        <f>IFERROR(VLOOKUP(C40,'تقرير المصروفات حسب الشهر'!$C$637:$AD$746,6,FALSE),0)</f>
        <v>0</v>
      </c>
      <c r="J40" s="362">
        <f>IFERROR(VLOOKUP(C40,'تقرير المصروفات حسب الشهر'!$C$763:$AD$872,6,FALSE),0)</f>
        <v>100</v>
      </c>
      <c r="K40" s="362">
        <f>IFERROR(VLOOKUP(C40,'تقرير المصروفات حسب الشهر'!$C$890:$AD$999,6,FALSE),0)</f>
        <v>0</v>
      </c>
      <c r="L40" s="362">
        <f>IFERROR(VLOOKUP(C40,'تقرير المصروفات حسب الشهر'!$C$1016:$AD$1126,6,FALSE),0)</f>
        <v>0</v>
      </c>
      <c r="M40" s="376">
        <f>IFERROR(VLOOKUP(C40,'تقرير المصروفات حسب الشهر'!$C$1143:$AD$1254,6,FALSE),0)</f>
        <v>0</v>
      </c>
      <c r="N40" s="376">
        <f>IFERROR(VLOOKUP(C40,'تقرير المصروفات حسب الشهر'!$C$1270:$AD$1381,6,FALSE),0)</f>
        <v>0</v>
      </c>
      <c r="O40" s="376">
        <f>IFERROR(VLOOKUP(C40,'تقرير المصروفات حسب الشهر'!$C$1397:$AD$1512,6,FALSE),0)</f>
        <v>0</v>
      </c>
      <c r="P40" s="364">
        <f t="shared" si="5"/>
        <v>100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الشهر'!$C$10:$AD$119,6,FALSE),0)</f>
        <v>0</v>
      </c>
      <c r="E41" s="362">
        <f>IFERROR(VLOOKUP(C41,'تقرير المصروفات حسب الشهر'!$C$135:$AD$244,6,FALSE),0)</f>
        <v>0</v>
      </c>
      <c r="F41" s="362">
        <v>0</v>
      </c>
      <c r="G41" s="362">
        <f>IFERROR(VLOOKUP(C41,'تقرير المصروفات حسب الشهر'!$C$387:$AD$495,6,FALSE),0)</f>
        <v>0</v>
      </c>
      <c r="H41" s="362">
        <f>IFERROR(VLOOKUP(C41,'تقرير المصروفات حسب الشهر'!$C$512:$AD$620,6,FALSE),0)</f>
        <v>0</v>
      </c>
      <c r="I41" s="362">
        <f>IFERROR(VLOOKUP(C41,'تقرير المصروفات حسب الشهر'!$C$637:$AD$746,6,FALSE),0)</f>
        <v>0</v>
      </c>
      <c r="J41" s="362">
        <f>IFERROR(VLOOKUP(C41,'تقرير المصروفات حسب الشهر'!$C$763:$AD$872,6,FALSE),0)</f>
        <v>0</v>
      </c>
      <c r="K41" s="362">
        <f>IFERROR(VLOOKUP(C41,'تقرير المصروفات حسب الشهر'!$C$890:$AD$999,6,FALSE),0)</f>
        <v>0</v>
      </c>
      <c r="L41" s="362">
        <f>IFERROR(VLOOKUP(C41,'تقرير المصروفات حسب الشهر'!$C$1016:$AD$1126,6,FALSE),0)</f>
        <v>0</v>
      </c>
      <c r="M41" s="376">
        <f>IFERROR(VLOOKUP(C41,'تقرير المصروفات حسب الشهر'!$C$1143:$AD$1254,6,FALSE),0)</f>
        <v>0</v>
      </c>
      <c r="N41" s="376">
        <f>IFERROR(VLOOKUP(C41,'تقرير المصروفات حسب الشهر'!$C$1270:$AD$1381,6,FALSE),0)</f>
        <v>0</v>
      </c>
      <c r="O41" s="376">
        <f>IFERROR(VLOOKUP(C41,'تقرير المصروفات حسب الشهر'!$C$1397:$AD$1512,6,FALSE),0)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الشهر'!$C$10:$AD$119,6,FALSE),0)</f>
        <v>0</v>
      </c>
      <c r="E42" s="362">
        <f>IFERROR(VLOOKUP(C42,'تقرير المصروفات حسب الشهر'!$C$135:$AD$244,6,FALSE),0)</f>
        <v>0</v>
      </c>
      <c r="F42" s="362">
        <v>0</v>
      </c>
      <c r="G42" s="362">
        <f>IFERROR(VLOOKUP(C42,'تقرير المصروفات حسب الشهر'!$C$387:$AD$495,6,FALSE),0)</f>
        <v>0</v>
      </c>
      <c r="H42" s="362">
        <f>IFERROR(VLOOKUP(C42,'تقرير المصروفات حسب الشهر'!$C$512:$AD$620,6,FALSE),0)</f>
        <v>0</v>
      </c>
      <c r="I42" s="362">
        <f>IFERROR(VLOOKUP(C42,'تقرير المصروفات حسب الشهر'!$C$637:$AD$746,6,FALSE),0)</f>
        <v>0</v>
      </c>
      <c r="J42" s="362">
        <f>IFERROR(VLOOKUP(C42,'تقرير المصروفات حسب الشهر'!$C$763:$AD$872,6,FALSE),0)</f>
        <v>0</v>
      </c>
      <c r="K42" s="362">
        <f>IFERROR(VLOOKUP(C42,'تقرير المصروفات حسب الشهر'!$C$890:$AD$999,6,FALSE),0)</f>
        <v>0</v>
      </c>
      <c r="L42" s="362">
        <f>IFERROR(VLOOKUP(C42,'تقرير المصروفات حسب الشهر'!$C$1016:$AD$1126,6,FALSE),0)</f>
        <v>0</v>
      </c>
      <c r="M42" s="376">
        <f>IFERROR(VLOOKUP(C42,'تقرير المصروفات حسب الشهر'!$C$1143:$AD$1254,6,FALSE),0)</f>
        <v>0</v>
      </c>
      <c r="N42" s="376">
        <f>IFERROR(VLOOKUP(C42,'تقرير المصروفات حسب الشهر'!$C$1270:$AD$1381,6,FALSE),0)</f>
        <v>0</v>
      </c>
      <c r="O42" s="376">
        <f>IFERROR(VLOOKUP(C42,'تقرير المصروفات حسب الشهر'!$C$1397:$AD$1512,6,FALSE),0)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الشهر'!$C$10:$AD$119,6,FALSE),0)</f>
        <v>0</v>
      </c>
      <c r="E43" s="362">
        <f>IFERROR(VLOOKUP(C43,'تقرير المصروفات حسب الشهر'!$C$135:$AD$244,6,FALSE),0)</f>
        <v>0</v>
      </c>
      <c r="F43" s="362">
        <v>0</v>
      </c>
      <c r="G43" s="362">
        <f>IFERROR(VLOOKUP(C43,'تقرير المصروفات حسب الشهر'!$C$387:$AD$495,6,FALSE),0)</f>
        <v>0</v>
      </c>
      <c r="H43" s="362">
        <f>IFERROR(VLOOKUP(C43,'تقرير المصروفات حسب الشهر'!$C$512:$AD$620,6,FALSE),0)</f>
        <v>0</v>
      </c>
      <c r="I43" s="362">
        <f>IFERROR(VLOOKUP(C43,'تقرير المصروفات حسب الشهر'!$C$637:$AD$746,6,FALSE),0)</f>
        <v>0</v>
      </c>
      <c r="J43" s="362">
        <f>IFERROR(VLOOKUP(C43,'تقرير المصروفات حسب الشهر'!$C$763:$AD$872,6,FALSE),0)</f>
        <v>0</v>
      </c>
      <c r="K43" s="362">
        <f>IFERROR(VLOOKUP(C43,'تقرير المصروفات حسب الشهر'!$C$890:$AD$999,6,FALSE),0)</f>
        <v>0</v>
      </c>
      <c r="L43" s="362">
        <f>IFERROR(VLOOKUP(C43,'تقرير المصروفات حسب الشهر'!$C$1016:$AD$1126,6,FALSE),0)</f>
        <v>0</v>
      </c>
      <c r="M43" s="376">
        <f>IFERROR(VLOOKUP(C43,'تقرير المصروفات حسب الشهر'!$C$1143:$AD$1254,6,FALSE),0)</f>
        <v>0</v>
      </c>
      <c r="N43" s="376">
        <f>IFERROR(VLOOKUP(C43,'تقرير المصروفات حسب الشهر'!$C$1270:$AD$1381,6,FALSE),0)</f>
        <v>0</v>
      </c>
      <c r="O43" s="376">
        <f>IFERROR(VLOOKUP(C43,'تقرير المصروفات حسب الشهر'!$C$1397:$AD$1512,6,FALSE),0)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الشهر'!$C$10:$AD$119,6,FALSE),0)</f>
        <v>0</v>
      </c>
      <c r="E44" s="362">
        <f>IFERROR(VLOOKUP(C44,'تقرير المصروفات حسب الشهر'!$C$135:$AD$244,6,FALSE),0)</f>
        <v>0</v>
      </c>
      <c r="F44" s="362">
        <v>0</v>
      </c>
      <c r="G44" s="362">
        <f>IFERROR(VLOOKUP(C44,'تقرير المصروفات حسب الشهر'!$C$387:$AD$495,6,FALSE),0)</f>
        <v>0</v>
      </c>
      <c r="H44" s="362">
        <f>IFERROR(VLOOKUP(C44,'تقرير المصروفات حسب الشهر'!$C$512:$AD$620,6,FALSE),0)</f>
        <v>0</v>
      </c>
      <c r="I44" s="362">
        <f>IFERROR(VLOOKUP(C44,'تقرير المصروفات حسب الشهر'!$C$637:$AD$746,6,FALSE),0)</f>
        <v>330</v>
      </c>
      <c r="J44" s="362">
        <f>IFERROR(VLOOKUP(C44,'تقرير المصروفات حسب الشهر'!$C$763:$AD$872,6,FALSE),0)</f>
        <v>0</v>
      </c>
      <c r="K44" s="362">
        <f>IFERROR(VLOOKUP(C44,'تقرير المصروفات حسب الشهر'!$C$890:$AD$999,6,FALSE),0)</f>
        <v>360</v>
      </c>
      <c r="L44" s="362">
        <f>IFERROR(VLOOKUP(C44,'تقرير المصروفات حسب الشهر'!$C$1016:$AD$1126,6,FALSE),0)</f>
        <v>513</v>
      </c>
      <c r="M44" s="376">
        <f>IFERROR(VLOOKUP(C44,'تقرير المصروفات حسب الشهر'!$C$1143:$AD$1254,6,FALSE),0)</f>
        <v>240</v>
      </c>
      <c r="N44" s="376">
        <f>IFERROR(VLOOKUP(C44,'تقرير المصروفات حسب الشهر'!$C$1270:$AD$1381,6,FALSE),0)</f>
        <v>0</v>
      </c>
      <c r="O44" s="376">
        <f>IFERROR(VLOOKUP(C44,'تقرير المصروفات حسب الشهر'!$C$1397:$AD$1512,6,FALSE),0)</f>
        <v>209</v>
      </c>
      <c r="P44" s="364">
        <f t="shared" si="5"/>
        <v>1652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الشهر'!$C$10:$AD$119,6,FALSE),0)</f>
        <v>0</v>
      </c>
      <c r="E45" s="362">
        <f>IFERROR(VLOOKUP(C45,'تقرير المصروفات حسب الشهر'!$C$135:$AD$244,6,FALSE),0)</f>
        <v>0</v>
      </c>
      <c r="F45" s="362">
        <v>0</v>
      </c>
      <c r="G45" s="362">
        <f>IFERROR(VLOOKUP(C45,'تقرير المصروفات حسب الشهر'!$C$387:$AD$495,6,FALSE),0)</f>
        <v>0</v>
      </c>
      <c r="H45" s="362">
        <f>IFERROR(VLOOKUP(C45,'تقرير المصروفات حسب الشهر'!$C$512:$AD$620,6,FALSE),0)</f>
        <v>0</v>
      </c>
      <c r="I45" s="362">
        <f>IFERROR(VLOOKUP(C45,'تقرير المصروفات حسب الشهر'!$C$637:$AD$746,6,FALSE),0)</f>
        <v>0</v>
      </c>
      <c r="J45" s="362">
        <f>IFERROR(VLOOKUP(C45,'تقرير المصروفات حسب الشهر'!$C$763:$AD$872,6,FALSE),0)</f>
        <v>0</v>
      </c>
      <c r="K45" s="362">
        <f>IFERROR(VLOOKUP(C45,'تقرير المصروفات حسب الشهر'!$C$890:$AD$999,6,FALSE),0)</f>
        <v>0</v>
      </c>
      <c r="L45" s="362">
        <f>IFERROR(VLOOKUP(C45,'تقرير المصروفات حسب الشهر'!$C$1016:$AD$1126,6,FALSE),0)</f>
        <v>0</v>
      </c>
      <c r="M45" s="376">
        <f>IFERROR(VLOOKUP(C45,'تقرير المصروفات حسب الشهر'!$C$1143:$AD$1254,6,FALSE),0)</f>
        <v>0</v>
      </c>
      <c r="N45" s="376">
        <f>IFERROR(VLOOKUP(C45,'تقرير المصروفات حسب الشهر'!$C$1270:$AD$1381,6,FALSE),0)</f>
        <v>0</v>
      </c>
      <c r="O45" s="376">
        <f>IFERROR(VLOOKUP(C45,'تقرير المصروفات حسب الشهر'!$C$1397:$AD$1512,6,FALSE),0)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الشهر'!$C$10:$AD$119,6,FALSE),0)</f>
        <v>95.73</v>
      </c>
      <c r="E46" s="362">
        <f>IFERROR(VLOOKUP(C46,'تقرير المصروفات حسب الشهر'!$C$135:$AD$244,6,FALSE),0)</f>
        <v>95.73</v>
      </c>
      <c r="F46" s="362">
        <v>95.73</v>
      </c>
      <c r="G46" s="362">
        <f>IFERROR(VLOOKUP(C46,'تقرير المصروفات حسب الشهر'!$C$387:$AD$495,6,FALSE),0)</f>
        <v>95.73</v>
      </c>
      <c r="H46" s="362">
        <f>IFERROR(VLOOKUP(C46,'تقرير المصروفات حسب الشهر'!$C$512:$AD$620,6,FALSE),0)</f>
        <v>95.73</v>
      </c>
      <c r="I46" s="362">
        <f>IFERROR(VLOOKUP(C46,'تقرير المصروفات حسب الشهر'!$C$637:$AD$746,6,FALSE),0)</f>
        <v>95.73</v>
      </c>
      <c r="J46" s="362">
        <f>IFERROR(VLOOKUP(C46,'تقرير المصروفات حسب الشهر'!$C$763:$AD$872,6,FALSE),0)</f>
        <v>95.73</v>
      </c>
      <c r="K46" s="362">
        <f>IFERROR(VLOOKUP(C46,'تقرير المصروفات حسب الشهر'!$C$890:$AD$999,6,FALSE),0)</f>
        <v>95.73</v>
      </c>
      <c r="L46" s="362">
        <f>IFERROR(VLOOKUP(C46,'تقرير المصروفات حسب الشهر'!$C$1016:$AD$1126,6,FALSE),0)</f>
        <v>95.73</v>
      </c>
      <c r="M46" s="376">
        <f>IFERROR(VLOOKUP(C46,'تقرير المصروفات حسب الشهر'!$C$1143:$AD$1254,6,FALSE),0)</f>
        <v>95.73</v>
      </c>
      <c r="N46" s="376">
        <f>IFERROR(VLOOKUP(C46,'تقرير المصروفات حسب الشهر'!$C$1270:$AD$1381,6,FALSE),0)</f>
        <v>95.73</v>
      </c>
      <c r="O46" s="376">
        <f>IFERROR(VLOOKUP(C46,'تقرير المصروفات حسب الشهر'!$C$1397:$AD$1512,6,FALSE),0)</f>
        <v>95.73</v>
      </c>
      <c r="P46" s="364">
        <f t="shared" si="5"/>
        <v>1148.76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الشهر'!$C$10:$AD$119,6,FALSE),0)</f>
        <v>0</v>
      </c>
      <c r="E47" s="362">
        <f>IFERROR(VLOOKUP(C47,'تقرير المصروفات حسب الشهر'!$C$135:$AD$244,6,FALSE),0)</f>
        <v>0</v>
      </c>
      <c r="F47" s="362">
        <v>0</v>
      </c>
      <c r="G47" s="362">
        <f>IFERROR(VLOOKUP(C47,'تقرير المصروفات حسب الشهر'!$C$387:$AD$495,6,FALSE),0)</f>
        <v>1100</v>
      </c>
      <c r="H47" s="362">
        <f>IFERROR(VLOOKUP(C47,'تقرير المصروفات حسب الشهر'!$C$512:$AD$620,6,FALSE),0)</f>
        <v>0</v>
      </c>
      <c r="I47" s="362">
        <f>IFERROR(VLOOKUP(C47,'تقرير المصروفات حسب الشهر'!$C$637:$AD$746,6,FALSE),0)</f>
        <v>300</v>
      </c>
      <c r="J47" s="362">
        <f>IFERROR(VLOOKUP(C47,'تقرير المصروفات حسب الشهر'!$C$763:$AD$872,6,FALSE),0)</f>
        <v>300</v>
      </c>
      <c r="K47" s="362">
        <f>IFERROR(VLOOKUP(C47,'تقرير المصروفات حسب الشهر'!$C$890:$AD$999,6,FALSE),0)</f>
        <v>300</v>
      </c>
      <c r="L47" s="362">
        <f>IFERROR(VLOOKUP(C47,'تقرير المصروفات حسب الشهر'!$C$1016:$AD$1126,6,FALSE),0)</f>
        <v>0</v>
      </c>
      <c r="M47" s="376">
        <f>IFERROR(VLOOKUP(C47,'تقرير المصروفات حسب الشهر'!$C$1143:$AD$1254,6,FALSE),0)</f>
        <v>1500</v>
      </c>
      <c r="N47" s="376">
        <f>IFERROR(VLOOKUP(C47,'تقرير المصروفات حسب الشهر'!$C$1270:$AD$1381,6,FALSE),0)</f>
        <v>300</v>
      </c>
      <c r="O47" s="376">
        <f>IFERROR(VLOOKUP(C47,'تقرير المصروفات حسب الشهر'!$C$1397:$AD$1512,6,FALSE),0)</f>
        <v>0</v>
      </c>
      <c r="P47" s="364">
        <f t="shared" si="5"/>
        <v>3800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الشهر'!$C$10:$AD$119,6,FALSE),0)</f>
        <v>0</v>
      </c>
      <c r="E48" s="362">
        <f>IFERROR(VLOOKUP(C48,'تقرير المصروفات حسب الشهر'!$C$135:$AD$244,6,FALSE),0)</f>
        <v>0</v>
      </c>
      <c r="F48" s="362">
        <v>0</v>
      </c>
      <c r="G48" s="362">
        <f>IFERROR(VLOOKUP(C48,'تقرير المصروفات حسب الشهر'!$C$387:$AD$495,6,FALSE),0)</f>
        <v>0</v>
      </c>
      <c r="H48" s="362">
        <f>IFERROR(VLOOKUP(C48,'تقرير المصروفات حسب الشهر'!$C$512:$AD$620,6,FALSE),0)</f>
        <v>0</v>
      </c>
      <c r="I48" s="362">
        <f>IFERROR(VLOOKUP(C48,'تقرير المصروفات حسب الشهر'!$C$637:$AD$746,6,FALSE),0)</f>
        <v>0</v>
      </c>
      <c r="J48" s="362">
        <f>IFERROR(VLOOKUP(C48,'تقرير المصروفات حسب الشهر'!$C$763:$AD$872,6,FALSE),0)</f>
        <v>0</v>
      </c>
      <c r="K48" s="362">
        <f>IFERROR(VLOOKUP(C48,'تقرير المصروفات حسب الشهر'!$C$890:$AD$999,6,FALSE),0)</f>
        <v>0</v>
      </c>
      <c r="L48" s="362">
        <f>IFERROR(VLOOKUP(C48,'تقرير المصروفات حسب الشهر'!$C$1016:$AD$1126,6,FALSE),0)</f>
        <v>0</v>
      </c>
      <c r="M48" s="376">
        <f>IFERROR(VLOOKUP(C48,'تقرير المصروفات حسب الشهر'!$C$1143:$AD$1254,6,FALSE),0)</f>
        <v>0</v>
      </c>
      <c r="N48" s="376">
        <f>IFERROR(VLOOKUP(C48,'تقرير المصروفات حسب الشهر'!$C$1270:$AD$1381,6,FALSE),0)</f>
        <v>0</v>
      </c>
      <c r="O48" s="376">
        <f>IFERROR(VLOOKUP(C48,'تقرير المصروفات حسب الشهر'!$C$1397:$AD$1512,6,FALSE),0)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الشهر'!$C$10:$AD$119,6,FALSE),0)</f>
        <v>0</v>
      </c>
      <c r="E49" s="362">
        <f>IFERROR(VLOOKUP(C49,'تقرير المصروفات حسب الشهر'!$C$135:$AD$244,6,FALSE),0)</f>
        <v>0</v>
      </c>
      <c r="F49" s="362">
        <v>0</v>
      </c>
      <c r="G49" s="362">
        <f>IFERROR(VLOOKUP(C49,'تقرير المصروفات حسب الشهر'!$C$387:$AD$495,6,FALSE),0)</f>
        <v>0</v>
      </c>
      <c r="H49" s="362">
        <f>IFERROR(VLOOKUP(C49,'تقرير المصروفات حسب الشهر'!$C$512:$AD$620,6,FALSE),0)</f>
        <v>0</v>
      </c>
      <c r="I49" s="362">
        <f>IFERROR(VLOOKUP(C49,'تقرير المصروفات حسب الشهر'!$C$637:$AD$746,6,FALSE),0)</f>
        <v>0</v>
      </c>
      <c r="J49" s="362">
        <f>IFERROR(VLOOKUP(C49,'تقرير المصروفات حسب الشهر'!$C$763:$AD$872,6,FALSE),0)</f>
        <v>0</v>
      </c>
      <c r="K49" s="362">
        <f>IFERROR(VLOOKUP(C49,'تقرير المصروفات حسب الشهر'!$C$890:$AD$999,6,FALSE),0)</f>
        <v>0</v>
      </c>
      <c r="L49" s="362">
        <f>IFERROR(VLOOKUP(C49,'تقرير المصروفات حسب الشهر'!$C$1016:$AD$1126,6,FALSE),0)</f>
        <v>0</v>
      </c>
      <c r="M49" s="376">
        <f>IFERROR(VLOOKUP(C49,'تقرير المصروفات حسب الشهر'!$C$1143:$AD$1254,6,FALSE),0)</f>
        <v>0</v>
      </c>
      <c r="N49" s="376">
        <f>IFERROR(VLOOKUP(C49,'تقرير المصروفات حسب الشهر'!$C$1270:$AD$1381,6,FALSE),0)</f>
        <v>0</v>
      </c>
      <c r="O49" s="376">
        <f>IFERROR(VLOOKUP(C49,'تقرير المصروفات حسب الشهر'!$C$1397:$AD$1512,6,FALSE),0)</f>
        <v>550</v>
      </c>
      <c r="P49" s="364">
        <f t="shared" si="5"/>
        <v>550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الشهر'!$C$10:$AD$119,6,FALSE),0)</f>
        <v>0</v>
      </c>
      <c r="E50" s="362">
        <f>IFERROR(VLOOKUP(C50,'تقرير المصروفات حسب الشهر'!$C$135:$AD$244,6,FALSE),0)</f>
        <v>0</v>
      </c>
      <c r="F50" s="362">
        <v>0</v>
      </c>
      <c r="G50" s="362">
        <f>IFERROR(VLOOKUP(C50,'تقرير المصروفات حسب الشهر'!$C$387:$AD$495,6,FALSE),0)</f>
        <v>0</v>
      </c>
      <c r="H50" s="362">
        <f>IFERROR(VLOOKUP(C50,'تقرير المصروفات حسب الشهر'!$C$512:$AD$620,6,FALSE),0)</f>
        <v>0</v>
      </c>
      <c r="I50" s="362">
        <f>IFERROR(VLOOKUP(C50,'تقرير المصروفات حسب الشهر'!$C$637:$AD$746,6,FALSE),0)</f>
        <v>0</v>
      </c>
      <c r="J50" s="362">
        <f>IFERROR(VLOOKUP(C50,'تقرير المصروفات حسب الشهر'!$C$763:$AD$872,6,FALSE),0)</f>
        <v>0</v>
      </c>
      <c r="K50" s="362">
        <f>IFERROR(VLOOKUP(C50,'تقرير المصروفات حسب الشهر'!$C$890:$AD$999,6,FALSE),0)</f>
        <v>0</v>
      </c>
      <c r="L50" s="362">
        <f>IFERROR(VLOOKUP(C50,'تقرير المصروفات حسب الشهر'!$C$1016:$AD$1126,6,FALSE),0)</f>
        <v>0</v>
      </c>
      <c r="M50" s="376">
        <f>IFERROR(VLOOKUP(C50,'تقرير المصروفات حسب الشهر'!$C$1143:$AD$1254,6,FALSE),0)</f>
        <v>0</v>
      </c>
      <c r="N50" s="376">
        <f>IFERROR(VLOOKUP(C50,'تقرير المصروفات حسب الشهر'!$C$1270:$AD$1381,6,FALSE),0)</f>
        <v>0</v>
      </c>
      <c r="O50" s="376">
        <f>IFERROR(VLOOKUP(C50,'تقرير المصروفات حسب الشهر'!$C$1397:$AD$1512,6,FALSE),0)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الشهر'!$C$10:$AD$119,6,FALSE),0)</f>
        <v>225</v>
      </c>
      <c r="E51" s="362">
        <f>IFERROR(VLOOKUP(C51,'تقرير المصروفات حسب الشهر'!$C$135:$AD$244,6,FALSE),0)</f>
        <v>225</v>
      </c>
      <c r="F51" s="362">
        <v>9875</v>
      </c>
      <c r="G51" s="362">
        <f>IFERROR(VLOOKUP(C51,'تقرير المصروفات حسب الشهر'!$C$387:$AD$495,6,FALSE),0)</f>
        <v>7515</v>
      </c>
      <c r="H51" s="362">
        <f>IFERROR(VLOOKUP(C51,'تقرير المصروفات حسب الشهر'!$C$512:$AD$620,6,FALSE),0)</f>
        <v>225</v>
      </c>
      <c r="I51" s="362">
        <f>IFERROR(VLOOKUP(C51,'تقرير المصروفات حسب الشهر'!$C$637:$AD$746,6,FALSE),0)</f>
        <v>225</v>
      </c>
      <c r="J51" s="362">
        <f>IFERROR(VLOOKUP(C51,'تقرير المصروفات حسب الشهر'!$C$763:$AD$872,6,FALSE),0)</f>
        <v>974</v>
      </c>
      <c r="K51" s="362">
        <f>IFERROR(VLOOKUP(C51,'تقرير المصروفات حسب الشهر'!$C$890:$AD$999,6,FALSE),0)</f>
        <v>225</v>
      </c>
      <c r="L51" s="362">
        <f>IFERROR(VLOOKUP(C51,'تقرير المصروفات حسب الشهر'!$C$1016:$AD$1126,6,FALSE),0)</f>
        <v>225</v>
      </c>
      <c r="M51" s="376">
        <f>IFERROR(VLOOKUP(C51,'تقرير المصروفات حسب الشهر'!$C$1143:$AD$1254,6,FALSE),0)</f>
        <v>225</v>
      </c>
      <c r="N51" s="376">
        <f>IFERROR(VLOOKUP(C51,'تقرير المصروفات حسب الشهر'!$C$1270:$AD$1381,6,FALSE),0)</f>
        <v>225</v>
      </c>
      <c r="O51" s="376">
        <f>IFERROR(VLOOKUP(C51,'تقرير المصروفات حسب الشهر'!$C$1397:$AD$1512,6,FALSE),0)</f>
        <v>225</v>
      </c>
      <c r="P51" s="364">
        <f t="shared" si="5"/>
        <v>20389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الشهر'!$C$10:$AD$119,6,FALSE),0)</f>
        <v>0</v>
      </c>
      <c r="E52" s="362">
        <f>IFERROR(VLOOKUP(C52,'تقرير المصروفات حسب الشهر'!$C$135:$AD$244,6,FALSE),0)</f>
        <v>0</v>
      </c>
      <c r="F52" s="362">
        <v>0</v>
      </c>
      <c r="G52" s="362">
        <f>IFERROR(VLOOKUP(C52,'تقرير المصروفات حسب الشهر'!$C$387:$AD$495,6,FALSE),0)</f>
        <v>0</v>
      </c>
      <c r="H52" s="362">
        <f>IFERROR(VLOOKUP(C52,'تقرير المصروفات حسب الشهر'!$C$512:$AD$620,6,FALSE),0)</f>
        <v>450</v>
      </c>
      <c r="I52" s="362">
        <f>IFERROR(VLOOKUP(C52,'تقرير المصروفات حسب الشهر'!$C$637:$AD$746,6,FALSE),0)</f>
        <v>0</v>
      </c>
      <c r="J52" s="362">
        <f>IFERROR(VLOOKUP(C52,'تقرير المصروفات حسب الشهر'!$C$763:$AD$872,6,FALSE),0)</f>
        <v>23500</v>
      </c>
      <c r="K52" s="362">
        <f>IFERROR(VLOOKUP(C52,'تقرير المصروفات حسب الشهر'!$C$890:$AD$999,6,FALSE),0)</f>
        <v>0</v>
      </c>
      <c r="L52" s="362">
        <f>IFERROR(VLOOKUP(C52,'تقرير المصروفات حسب الشهر'!$C$1016:$AD$1126,6,FALSE),0)</f>
        <v>3500</v>
      </c>
      <c r="M52" s="376">
        <f>IFERROR(VLOOKUP(C52,'تقرير المصروفات حسب الشهر'!$C$1143:$AD$1254,6,FALSE),0)</f>
        <v>1000</v>
      </c>
      <c r="N52" s="376">
        <f>IFERROR(VLOOKUP(C52,'تقرير المصروفات حسب الشهر'!$C$1270:$AD$1381,6,FALSE),0)</f>
        <v>0</v>
      </c>
      <c r="O52" s="376">
        <f>IFERROR(VLOOKUP(C52,'تقرير المصروفات حسب الشهر'!$C$1397:$AD$1512,6,FALSE),0)</f>
        <v>0</v>
      </c>
      <c r="P52" s="364">
        <f t="shared" si="5"/>
        <v>28450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الشهر'!$C$10:$AD$119,6,FALSE),0)</f>
        <v>0</v>
      </c>
      <c r="E53" s="362">
        <f>IFERROR(VLOOKUP(C53,'تقرير المصروفات حسب الشهر'!$C$135:$AD$244,6,FALSE),0)</f>
        <v>0</v>
      </c>
      <c r="F53" s="362">
        <v>0</v>
      </c>
      <c r="G53" s="362">
        <f>IFERROR(VLOOKUP(C53,'تقرير المصروفات حسب الشهر'!$C$387:$AD$495,6,FALSE),0)</f>
        <v>0</v>
      </c>
      <c r="H53" s="362">
        <f>IFERROR(VLOOKUP(C53,'تقرير المصروفات حسب الشهر'!$C$512:$AD$620,6,FALSE),0)</f>
        <v>0</v>
      </c>
      <c r="I53" s="362">
        <f>IFERROR(VLOOKUP(C53,'تقرير المصروفات حسب الشهر'!$C$637:$AD$746,6,FALSE),0)</f>
        <v>0</v>
      </c>
      <c r="J53" s="362">
        <f>IFERROR(VLOOKUP(C53,'تقرير المصروفات حسب الشهر'!$C$763:$AD$872,6,FALSE),0)</f>
        <v>0</v>
      </c>
      <c r="K53" s="362">
        <f>IFERROR(VLOOKUP(C53,'تقرير المصروفات حسب الشهر'!$C$890:$AD$999,6,FALSE),0)</f>
        <v>0</v>
      </c>
      <c r="L53" s="362">
        <f>IFERROR(VLOOKUP(C53,'تقرير المصروفات حسب الشهر'!$C$1016:$AD$1126,6,FALSE),0)</f>
        <v>0</v>
      </c>
      <c r="M53" s="376">
        <f>IFERROR(VLOOKUP(C53,'تقرير المصروفات حسب الشهر'!$C$1143:$AD$1254,6,FALSE),0)</f>
        <v>0</v>
      </c>
      <c r="N53" s="376">
        <f>IFERROR(VLOOKUP(C53,'تقرير المصروفات حسب الشهر'!$C$1270:$AD$1381,6,FALSE),0)</f>
        <v>0</v>
      </c>
      <c r="O53" s="376">
        <f>IFERROR(VLOOKUP(C53,'تقرير المصروفات حسب الشهر'!$C$1397:$AD$1512,6,FALSE),0)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الشهر'!$C$10:$AD$119,6,FALSE),0)</f>
        <v>12700</v>
      </c>
      <c r="E54" s="362">
        <f>IFERROR(VLOOKUP(C54,'تقرير المصروفات حسب الشهر'!$C$135:$AD$244,6,FALSE),0)</f>
        <v>0</v>
      </c>
      <c r="F54" s="362">
        <v>30500</v>
      </c>
      <c r="G54" s="362">
        <f>IFERROR(VLOOKUP(C54,'تقرير المصروفات حسب الشهر'!$C$387:$AD$495,6,FALSE),0)</f>
        <v>17200</v>
      </c>
      <c r="H54" s="362">
        <f>IFERROR(VLOOKUP(C54,'تقرير المصروفات حسب الشهر'!$C$512:$AD$620,6,FALSE),0)</f>
        <v>19600</v>
      </c>
      <c r="I54" s="362">
        <f>IFERROR(VLOOKUP(C54,'تقرير المصروفات حسب الشهر'!$C$637:$AD$746,6,FALSE),0)</f>
        <v>20470</v>
      </c>
      <c r="J54" s="362">
        <f>IFERROR(VLOOKUP(C54,'تقرير المصروفات حسب الشهر'!$C$763:$AD$872,6,FALSE),0)</f>
        <v>21300</v>
      </c>
      <c r="K54" s="362">
        <f>IFERROR(VLOOKUP(C54,'تقرير المصروفات حسب الشهر'!$C$890:$AD$999,6,FALSE),0)</f>
        <v>21900</v>
      </c>
      <c r="L54" s="362">
        <f>IFERROR(VLOOKUP(C54,'تقرير المصروفات حسب الشهر'!$C$1016:$AD$1126,6,FALSE),0)</f>
        <v>25100</v>
      </c>
      <c r="M54" s="376">
        <f>IFERROR(VLOOKUP(C54,'تقرير المصروفات حسب الشهر'!$C$1143:$AD$1254,6,FALSE),0)</f>
        <v>0</v>
      </c>
      <c r="N54" s="376">
        <f>IFERROR(VLOOKUP(C54,'تقرير المصروفات حسب الشهر'!$C$1270:$AD$1381,6,FALSE),0)</f>
        <v>0</v>
      </c>
      <c r="O54" s="376">
        <f>IFERROR(VLOOKUP(C54,'تقرير المصروفات حسب الشهر'!$C$1397:$AD$1512,6,FALSE),0)</f>
        <v>47000</v>
      </c>
      <c r="P54" s="364">
        <f t="shared" si="5"/>
        <v>215770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الشهر'!$C$10:$AD$119,6,FALSE),0)</f>
        <v>0</v>
      </c>
      <c r="E55" s="362">
        <f>IFERROR(VLOOKUP(C55,'تقرير المصروفات حسب الشهر'!$C$135:$AD$244,6,FALSE),0)</f>
        <v>0</v>
      </c>
      <c r="F55" s="362">
        <v>0</v>
      </c>
      <c r="G55" s="362">
        <f>IFERROR(VLOOKUP(C55,'تقرير المصروفات حسب الشهر'!$C$387:$AD$495,6,FALSE),0)</f>
        <v>0</v>
      </c>
      <c r="H55" s="362">
        <f>IFERROR(VLOOKUP(C55,'تقرير المصروفات حسب الشهر'!$C$512:$AD$620,6,FALSE),0)</f>
        <v>0</v>
      </c>
      <c r="I55" s="362">
        <f>IFERROR(VLOOKUP(C55,'تقرير المصروفات حسب الشهر'!$C$637:$AD$746,6,FALSE),0)</f>
        <v>0</v>
      </c>
      <c r="J55" s="362">
        <f>IFERROR(VLOOKUP(C55,'تقرير المصروفات حسب الشهر'!$C$763:$AD$872,6,FALSE),0)</f>
        <v>0</v>
      </c>
      <c r="K55" s="362">
        <f>IFERROR(VLOOKUP(C55,'تقرير المصروفات حسب الشهر'!$C$890:$AD$999,6,FALSE),0)</f>
        <v>0</v>
      </c>
      <c r="L55" s="362">
        <f>IFERROR(VLOOKUP(C55,'تقرير المصروفات حسب الشهر'!$C$1016:$AD$1126,6,FALSE),0)</f>
        <v>0</v>
      </c>
      <c r="M55" s="376">
        <f>IFERROR(VLOOKUP(C55,'تقرير المصروفات حسب الشهر'!$C$1143:$AD$1254,6,FALSE),0)</f>
        <v>0</v>
      </c>
      <c r="N55" s="376">
        <f>IFERROR(VLOOKUP(C55,'تقرير المصروفات حسب الشهر'!$C$1270:$AD$1381,6,FALSE),0)</f>
        <v>0</v>
      </c>
      <c r="O55" s="376">
        <f>IFERROR(VLOOKUP(C55,'تقرير المصروفات حسب الشهر'!$C$1397:$AD$1512,6,FALSE),0)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الشهر'!$C$10:$AD$119,6,FALSE),0)</f>
        <v>0</v>
      </c>
      <c r="E56" s="362">
        <f>IFERROR(VLOOKUP(C56,'تقرير المصروفات حسب الشهر'!$C$135:$AD$244,6,FALSE),0)</f>
        <v>0</v>
      </c>
      <c r="F56" s="362">
        <v>0</v>
      </c>
      <c r="G56" s="362">
        <f>IFERROR(VLOOKUP(C56,'تقرير المصروفات حسب الشهر'!$C$387:$AD$495,6,FALSE),0)</f>
        <v>0</v>
      </c>
      <c r="H56" s="362">
        <f>IFERROR(VLOOKUP(C56,'تقرير المصروفات حسب الشهر'!$C$512:$AD$620,6,FALSE),0)</f>
        <v>0</v>
      </c>
      <c r="I56" s="362">
        <f>IFERROR(VLOOKUP(C56,'تقرير المصروفات حسب الشهر'!$C$637:$AD$746,6,FALSE),0)</f>
        <v>0</v>
      </c>
      <c r="J56" s="362">
        <f>IFERROR(VLOOKUP(C56,'تقرير المصروفات حسب الشهر'!$C$763:$AD$872,6,FALSE),0)</f>
        <v>0</v>
      </c>
      <c r="K56" s="362">
        <f>IFERROR(VLOOKUP(C56,'تقرير المصروفات حسب الشهر'!$C$890:$AD$999,6,FALSE),0)</f>
        <v>0</v>
      </c>
      <c r="L56" s="362">
        <f>IFERROR(VLOOKUP(C56,'تقرير المصروفات حسب الشهر'!$C$1016:$AD$1126,6,FALSE),0)</f>
        <v>42.67</v>
      </c>
      <c r="M56" s="376">
        <f>IFERROR(VLOOKUP(C56,'تقرير المصروفات حسب الشهر'!$C$1143:$AD$1254,6,FALSE),0)</f>
        <v>0</v>
      </c>
      <c r="N56" s="376">
        <f>IFERROR(VLOOKUP(C56,'تقرير المصروفات حسب الشهر'!$C$1270:$AD$1381,6,FALSE),0)</f>
        <v>0</v>
      </c>
      <c r="O56" s="376">
        <f>IFERROR(VLOOKUP(C56,'تقرير المصروفات حسب الشهر'!$C$1397:$AD$1512,6,FALSE),0)</f>
        <v>0</v>
      </c>
      <c r="P56" s="364">
        <f t="shared" si="5"/>
        <v>42.67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الشهر'!$C$10:$AD$119,6,FALSE),0)</f>
        <v>0</v>
      </c>
      <c r="E57" s="362">
        <f>IFERROR(VLOOKUP(C57,'تقرير المصروفات حسب الشهر'!$C$135:$AD$244,6,FALSE),0)</f>
        <v>0</v>
      </c>
      <c r="F57" s="362">
        <v>0</v>
      </c>
      <c r="G57" s="362">
        <f>IFERROR(VLOOKUP(C57,'تقرير المصروفات حسب الشهر'!$C$387:$AD$495,6,FALSE),0)</f>
        <v>0</v>
      </c>
      <c r="H57" s="362">
        <f>IFERROR(VLOOKUP(C57,'تقرير المصروفات حسب الشهر'!$C$512:$AD$620,6,FALSE),0)</f>
        <v>0</v>
      </c>
      <c r="I57" s="362">
        <f>IFERROR(VLOOKUP(C57,'تقرير المصروفات حسب الشهر'!$C$637:$AD$746,6,FALSE),0)</f>
        <v>0</v>
      </c>
      <c r="J57" s="362">
        <f>IFERROR(VLOOKUP(C57,'تقرير المصروفات حسب الشهر'!$C$763:$AD$872,6,FALSE),0)</f>
        <v>0</v>
      </c>
      <c r="K57" s="362">
        <f>IFERROR(VLOOKUP(C57,'تقرير المصروفات حسب الشهر'!$C$890:$AD$999,6,FALSE),0)</f>
        <v>0</v>
      </c>
      <c r="L57" s="362">
        <f>IFERROR(VLOOKUP(C57,'تقرير المصروفات حسب الشهر'!$C$1016:$AD$1126,6,FALSE),0)</f>
        <v>0</v>
      </c>
      <c r="M57" s="376">
        <f>IFERROR(VLOOKUP(C57,'تقرير المصروفات حسب الشهر'!$C$1143:$AD$1254,6,FALSE),0)</f>
        <v>0</v>
      </c>
      <c r="N57" s="376">
        <f>IFERROR(VLOOKUP(C57,'تقرير المصروفات حسب الشهر'!$C$1270:$AD$1381,6,FALSE),0)</f>
        <v>0</v>
      </c>
      <c r="O57" s="376">
        <f>IFERROR(VLOOKUP(C57,'تقرير المصروفات حسب الشهر'!$C$1397:$AD$1512,6,FALSE),0)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الشهر'!$C$10:$AD$119,6,FALSE),0)</f>
        <v>0</v>
      </c>
      <c r="E58" s="362">
        <f>IFERROR(VLOOKUP(C58,'تقرير المصروفات حسب الشهر'!$C$135:$AD$244,6,FALSE),0)</f>
        <v>0</v>
      </c>
      <c r="F58" s="362">
        <v>0</v>
      </c>
      <c r="G58" s="362">
        <f>IFERROR(VLOOKUP(C58,'تقرير المصروفات حسب الشهر'!$C$387:$AD$495,6,FALSE),0)</f>
        <v>0</v>
      </c>
      <c r="H58" s="362">
        <f>IFERROR(VLOOKUP(C58,'تقرير المصروفات حسب الشهر'!$C$512:$AD$620,6,FALSE),0)</f>
        <v>0</v>
      </c>
      <c r="I58" s="362">
        <f>IFERROR(VLOOKUP(C58,'تقرير المصروفات حسب الشهر'!$C$637:$AD$746,6,FALSE),0)</f>
        <v>0</v>
      </c>
      <c r="J58" s="362">
        <f>IFERROR(VLOOKUP(C58,'تقرير المصروفات حسب الشهر'!$C$763:$AD$872,6,FALSE),0)</f>
        <v>0</v>
      </c>
      <c r="K58" s="362">
        <f>IFERROR(VLOOKUP(C58,'تقرير المصروفات حسب الشهر'!$C$890:$AD$999,6,FALSE),0)</f>
        <v>0</v>
      </c>
      <c r="L58" s="362">
        <f>IFERROR(VLOOKUP(C58,'تقرير المصروفات حسب الشهر'!$C$1016:$AD$1126,6,FALSE),0)</f>
        <v>0</v>
      </c>
      <c r="M58" s="376">
        <f>IFERROR(VLOOKUP(C58,'تقرير المصروفات حسب الشهر'!$C$1143:$AD$1254,6,FALSE),0)</f>
        <v>0</v>
      </c>
      <c r="N58" s="376">
        <f>IFERROR(VLOOKUP(C58,'تقرير المصروفات حسب الشهر'!$C$1270:$AD$1381,6,FALSE),0)</f>
        <v>0</v>
      </c>
      <c r="O58" s="376">
        <f>IFERROR(VLOOKUP(C58,'تقرير المصروفات حسب الشهر'!$C$1397:$AD$1512,6,FALSE),0)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الشهر'!$C$10:$AD$119,6,FALSE),0)</f>
        <v>0</v>
      </c>
      <c r="E59" s="362">
        <f>IFERROR(VLOOKUP(C59,'تقرير المصروفات حسب الشهر'!$C$135:$AD$244,6,FALSE),0)</f>
        <v>3995.8</v>
      </c>
      <c r="F59" s="362">
        <v>5525.25</v>
      </c>
      <c r="G59" s="362">
        <f>IFERROR(VLOOKUP(C59,'تقرير المصروفات حسب الشهر'!$C$387:$AD$495,6,FALSE),0)</f>
        <v>6777.58</v>
      </c>
      <c r="H59" s="362">
        <f>IFERROR(VLOOKUP(C59,'تقرير المصروفات حسب الشهر'!$C$512:$AD$620,6,FALSE),0)</f>
        <v>0</v>
      </c>
      <c r="I59" s="362">
        <f>IFERROR(VLOOKUP(C59,'تقرير المصروفات حسب الشهر'!$C$637:$AD$746,6,FALSE),0)</f>
        <v>7555.58</v>
      </c>
      <c r="J59" s="362">
        <f>IFERROR(VLOOKUP(C59,'تقرير المصروفات حسب الشهر'!$C$763:$AD$872,6,FALSE),0)</f>
        <v>7555.25</v>
      </c>
      <c r="K59" s="362">
        <f>IFERROR(VLOOKUP(C59,'تقرير المصروفات حسب الشهر'!$C$890:$AD$999,6,FALSE),0)</f>
        <v>0</v>
      </c>
      <c r="L59" s="362">
        <f>IFERROR(VLOOKUP(C59,'تقرير المصروفات حسب الشهر'!$C$1016:$AD$1126,6,FALSE),0)</f>
        <v>17500.25</v>
      </c>
      <c r="M59" s="376">
        <f>IFERROR(VLOOKUP(C59,'تقرير المصروفات حسب الشهر'!$C$1143:$AD$1254,6,FALSE),0)</f>
        <v>7800</v>
      </c>
      <c r="N59" s="376">
        <f>IFERROR(VLOOKUP(C59,'تقرير المصروفات حسب الشهر'!$C$1270:$AD$1381,6,FALSE),0)</f>
        <v>12222.25</v>
      </c>
      <c r="O59" s="376">
        <f>IFERROR(VLOOKUP(C59,'تقرير المصروفات حسب الشهر'!$C$1397:$AD$1512,6,FALSE),0)</f>
        <v>9800.25</v>
      </c>
      <c r="P59" s="364">
        <f t="shared" si="5"/>
        <v>78732.209999999992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الشهر'!$C$10:$AD$119,6,FALSE),0)</f>
        <v>6240</v>
      </c>
      <c r="E60" s="362">
        <f>IFERROR(VLOOKUP(C60,'تقرير المصروفات حسب الشهر'!$C$135:$AD$244,6,FALSE),0)</f>
        <v>0</v>
      </c>
      <c r="F60" s="362">
        <v>16500</v>
      </c>
      <c r="G60" s="362">
        <f>IFERROR(VLOOKUP(C60,'تقرير المصروفات حسب الشهر'!$C$387:$AD$495,6,FALSE),0)</f>
        <v>4340</v>
      </c>
      <c r="H60" s="362">
        <f>IFERROR(VLOOKUP(C60,'تقرير المصروفات حسب الشهر'!$C$512:$AD$620,6,FALSE),0)</f>
        <v>0</v>
      </c>
      <c r="I60" s="362">
        <f>IFERROR(VLOOKUP(C60,'تقرير المصروفات حسب الشهر'!$C$637:$AD$746,6,FALSE),0)</f>
        <v>18600</v>
      </c>
      <c r="J60" s="362">
        <f>IFERROR(VLOOKUP(C60,'تقرير المصروفات حسب الشهر'!$C$763:$AD$872,6,FALSE),0)</f>
        <v>0</v>
      </c>
      <c r="K60" s="362">
        <f>IFERROR(VLOOKUP(C60,'تقرير المصروفات حسب الشهر'!$C$890:$AD$999,6,FALSE),0)</f>
        <v>23100</v>
      </c>
      <c r="L60" s="362">
        <f>IFERROR(VLOOKUP(C60,'تقرير المصروفات حسب الشهر'!$C$1016:$AD$1126,6,FALSE),0)</f>
        <v>0</v>
      </c>
      <c r="M60" s="376">
        <f>IFERROR(VLOOKUP(C60,'تقرير المصروفات حسب الشهر'!$C$1143:$AD$1254,6,FALSE),0)</f>
        <v>11022</v>
      </c>
      <c r="N60" s="376">
        <f>IFERROR(VLOOKUP(C60,'تقرير المصروفات حسب الشهر'!$C$1270:$AD$1381,6,FALSE),0)</f>
        <v>0</v>
      </c>
      <c r="O60" s="376">
        <f>IFERROR(VLOOKUP(C60,'تقرير المصروفات حسب الشهر'!$C$1397:$AD$1512,6,FALSE),0)</f>
        <v>10560</v>
      </c>
      <c r="P60" s="364">
        <f t="shared" si="5"/>
        <v>90362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الشهر'!$C$10:$AD$119,6,FALSE),0)</f>
        <v>300</v>
      </c>
      <c r="E61" s="362">
        <f>IFERROR(VLOOKUP(C61,'تقرير المصروفات حسب الشهر'!$C$135:$AD$244,6,FALSE),0)</f>
        <v>700</v>
      </c>
      <c r="F61" s="362">
        <v>1100</v>
      </c>
      <c r="G61" s="362">
        <f>IFERROR(VLOOKUP(C61,'تقرير المصروفات حسب الشهر'!$C$387:$AD$495,6,FALSE),0)</f>
        <v>200</v>
      </c>
      <c r="H61" s="362">
        <f>IFERROR(VLOOKUP(C61,'تقرير المصروفات حسب الشهر'!$C$512:$AD$620,6,FALSE),0)</f>
        <v>1100</v>
      </c>
      <c r="I61" s="362">
        <f>IFERROR(VLOOKUP(C61,'تقرير المصروفات حسب الشهر'!$C$637:$AD$746,6,FALSE),0)</f>
        <v>1300</v>
      </c>
      <c r="J61" s="362">
        <f>IFERROR(VLOOKUP(C61,'تقرير المصروفات حسب الشهر'!$C$763:$AD$872,6,FALSE),0)</f>
        <v>1300</v>
      </c>
      <c r="K61" s="362">
        <f>IFERROR(VLOOKUP(C61,'تقرير المصروفات حسب الشهر'!$C$890:$AD$999,6,FALSE),0)</f>
        <v>1600</v>
      </c>
      <c r="L61" s="362">
        <f>IFERROR(VLOOKUP(C61,'تقرير المصروفات حسب الشهر'!$C$1016:$AD$1126,6,FALSE),0)</f>
        <v>750</v>
      </c>
      <c r="M61" s="376">
        <f>IFERROR(VLOOKUP(C61,'تقرير المصروفات حسب الشهر'!$C$1143:$AD$1254,6,FALSE),0)</f>
        <v>300</v>
      </c>
      <c r="N61" s="376">
        <f>IFERROR(VLOOKUP(C61,'تقرير المصروفات حسب الشهر'!$C$1270:$AD$1381,6,FALSE),0)</f>
        <v>800</v>
      </c>
      <c r="O61" s="376">
        <f>IFERROR(VLOOKUP(C61,'تقرير المصروفات حسب الشهر'!$C$1397:$AD$1512,6,FALSE),0)</f>
        <v>1400</v>
      </c>
      <c r="P61" s="364">
        <f t="shared" si="5"/>
        <v>10850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الشهر'!$C$10:$AD$119,6,FALSE),0)</f>
        <v>0</v>
      </c>
      <c r="E62" s="362">
        <f>IFERROR(VLOOKUP(C62,'تقرير المصروفات حسب الشهر'!$C$135:$AD$244,6,FALSE),0)</f>
        <v>0</v>
      </c>
      <c r="F62" s="362">
        <v>3420</v>
      </c>
      <c r="G62" s="362">
        <f>IFERROR(VLOOKUP(C62,'تقرير المصروفات حسب الشهر'!$C$387:$AD$495,6,FALSE),0)</f>
        <v>0</v>
      </c>
      <c r="H62" s="362">
        <f>IFERROR(VLOOKUP(C62,'تقرير المصروفات حسب الشهر'!$C$512:$AD$620,6,FALSE),0)</f>
        <v>3110</v>
      </c>
      <c r="I62" s="362">
        <f>IFERROR(VLOOKUP(C62,'تقرير المصروفات حسب الشهر'!$C$637:$AD$746,6,FALSE),0)</f>
        <v>0</v>
      </c>
      <c r="J62" s="362">
        <f>IFERROR(VLOOKUP(C62,'تقرير المصروفات حسب الشهر'!$C$763:$AD$872,6,FALSE),0)</f>
        <v>0</v>
      </c>
      <c r="K62" s="362">
        <f>IFERROR(VLOOKUP(C62,'تقرير المصروفات حسب الشهر'!$C$890:$AD$999,6,FALSE),0)</f>
        <v>0</v>
      </c>
      <c r="L62" s="362">
        <f>IFERROR(VLOOKUP(C62,'تقرير المصروفات حسب الشهر'!$C$1016:$AD$1126,6,FALSE),0)</f>
        <v>3608</v>
      </c>
      <c r="M62" s="376">
        <f>IFERROR(VLOOKUP(C62,'تقرير المصروفات حسب الشهر'!$C$1143:$AD$1254,6,FALSE),0)</f>
        <v>0</v>
      </c>
      <c r="N62" s="376">
        <f>IFERROR(VLOOKUP(C62,'تقرير المصروفات حسب الشهر'!$C$1270:$AD$1381,6,FALSE),0)</f>
        <v>0</v>
      </c>
      <c r="O62" s="376">
        <f>IFERROR(VLOOKUP(C62,'تقرير المصروفات حسب الشهر'!$C$1397:$AD$1512,6,FALSE),0)</f>
        <v>0</v>
      </c>
      <c r="P62" s="364">
        <f t="shared" si="5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الشهر'!$C$10:$AD$119,6,FALSE),0)</f>
        <v>5600</v>
      </c>
      <c r="E63" s="362">
        <f>IFERROR(VLOOKUP(C63,'تقرير المصروفات حسب الشهر'!$C$135:$AD$244,6,FALSE),0)</f>
        <v>0</v>
      </c>
      <c r="F63" s="362">
        <v>0</v>
      </c>
      <c r="G63" s="362">
        <f>IFERROR(VLOOKUP(C63,'تقرير المصروفات حسب الشهر'!$C$387:$AD$495,6,FALSE),0)</f>
        <v>0</v>
      </c>
      <c r="H63" s="362">
        <f>IFERROR(VLOOKUP(C63,'تقرير المصروفات حسب الشهر'!$C$512:$AD$620,6,FALSE),0)</f>
        <v>0</v>
      </c>
      <c r="I63" s="362">
        <f>IFERROR(VLOOKUP(C63,'تقرير المصروفات حسب الشهر'!$C$637:$AD$746,6,FALSE),0)</f>
        <v>0</v>
      </c>
      <c r="J63" s="362">
        <f>IFERROR(VLOOKUP(C63,'تقرير المصروفات حسب الشهر'!$C$763:$AD$872,6,FALSE),0)</f>
        <v>0</v>
      </c>
      <c r="K63" s="362">
        <f>IFERROR(VLOOKUP(C63,'تقرير المصروفات حسب الشهر'!$C$890:$AD$999,6,FALSE),0)</f>
        <v>0</v>
      </c>
      <c r="L63" s="362">
        <f>IFERROR(VLOOKUP(C63,'تقرير المصروفات حسب الشهر'!$C$1016:$AD$1126,6,FALSE),0)</f>
        <v>0</v>
      </c>
      <c r="M63" s="376">
        <f>IFERROR(VLOOKUP(C63,'تقرير المصروفات حسب الشهر'!$C$1143:$AD$1254,6,FALSE),0)</f>
        <v>0</v>
      </c>
      <c r="N63" s="376">
        <f>IFERROR(VLOOKUP(C63,'تقرير المصروفات حسب الشهر'!$C$1270:$AD$1381,6,FALSE),0)</f>
        <v>0</v>
      </c>
      <c r="O63" s="376">
        <f>IFERROR(VLOOKUP(C63,'تقرير المصروفات حسب الشهر'!$C$1397:$AD$1512,6,FALSE),0)</f>
        <v>0</v>
      </c>
      <c r="P63" s="364">
        <f t="shared" si="5"/>
        <v>5600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الشهر'!$C$10:$AD$119,6,FALSE),0)</f>
        <v>0</v>
      </c>
      <c r="E64" s="362">
        <f>IFERROR(VLOOKUP(C64,'تقرير المصروفات حسب الشهر'!$C$135:$AD$244,6,FALSE),0)</f>
        <v>770</v>
      </c>
      <c r="F64" s="362">
        <v>14600</v>
      </c>
      <c r="G64" s="362">
        <f>IFERROR(VLOOKUP(C64,'تقرير المصروفات حسب الشهر'!$C$387:$AD$495,6,FALSE),0)</f>
        <v>0</v>
      </c>
      <c r="H64" s="362">
        <f>IFERROR(VLOOKUP(C64,'تقرير المصروفات حسب الشهر'!$C$512:$AD$620,6,FALSE),0)</f>
        <v>0</v>
      </c>
      <c r="I64" s="362">
        <f>IFERROR(VLOOKUP(C64,'تقرير المصروفات حسب الشهر'!$C$637:$AD$746,6,FALSE),0)</f>
        <v>0</v>
      </c>
      <c r="J64" s="362">
        <f>IFERROR(VLOOKUP(C64,'تقرير المصروفات حسب الشهر'!$C$763:$AD$872,6,FALSE),0)</f>
        <v>0</v>
      </c>
      <c r="K64" s="362">
        <f>IFERROR(VLOOKUP(C64,'تقرير المصروفات حسب الشهر'!$C$890:$AD$999,6,FALSE),0)</f>
        <v>0</v>
      </c>
      <c r="L64" s="362">
        <f>IFERROR(VLOOKUP(C64,'تقرير المصروفات حسب الشهر'!$C$1016:$AD$1126,6,FALSE),0)</f>
        <v>0</v>
      </c>
      <c r="M64" s="376">
        <f>IFERROR(VLOOKUP(C64,'تقرير المصروفات حسب الشهر'!$C$1143:$AD$1254,6,FALSE),0)</f>
        <v>0</v>
      </c>
      <c r="N64" s="376">
        <f>IFERROR(VLOOKUP(C64,'تقرير المصروفات حسب الشهر'!$C$1270:$AD$1381,6,FALSE),0)</f>
        <v>0</v>
      </c>
      <c r="O64" s="376">
        <f>IFERROR(VLOOKUP(C64,'تقرير المصروفات حسب الشهر'!$C$1397:$AD$1512,6,FALSE),0)</f>
        <v>0</v>
      </c>
      <c r="P64" s="364">
        <f t="shared" si="5"/>
        <v>15370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الشهر'!$C$10:$AD$119,6,FALSE),0)</f>
        <v>0</v>
      </c>
      <c r="E65" s="362">
        <f>IFERROR(VLOOKUP(C65,'تقرير المصروفات حسب الشهر'!$C$135:$AD$244,6,FALSE),0)</f>
        <v>0</v>
      </c>
      <c r="F65" s="362">
        <v>0</v>
      </c>
      <c r="G65" s="362">
        <f>IFERROR(VLOOKUP(C65,'تقرير المصروفات حسب الشهر'!$C$387:$AD$495,6,FALSE),0)</f>
        <v>0</v>
      </c>
      <c r="H65" s="362">
        <f>IFERROR(VLOOKUP(C65,'تقرير المصروفات حسب الشهر'!$C$512:$AD$620,6,FALSE),0)</f>
        <v>0</v>
      </c>
      <c r="I65" s="362">
        <f>IFERROR(VLOOKUP(C65,'تقرير المصروفات حسب الشهر'!$C$637:$AD$746,6,FALSE),0)</f>
        <v>0</v>
      </c>
      <c r="J65" s="362">
        <f>IFERROR(VLOOKUP(C65,'تقرير المصروفات حسب الشهر'!$C$763:$AD$872,6,FALSE),0)</f>
        <v>0</v>
      </c>
      <c r="K65" s="362">
        <f>IFERROR(VLOOKUP(C65,'تقرير المصروفات حسب الشهر'!$C$890:$AD$999,6,FALSE),0)</f>
        <v>0</v>
      </c>
      <c r="L65" s="362">
        <f>IFERROR(VLOOKUP(C65,'تقرير المصروفات حسب الشهر'!$C$1016:$AD$1126,6,FALSE),0)</f>
        <v>0</v>
      </c>
      <c r="M65" s="376">
        <f>IFERROR(VLOOKUP(C65,'تقرير المصروفات حسب الشهر'!$C$1143:$AD$1254,6,FALSE),0)</f>
        <v>0</v>
      </c>
      <c r="N65" s="376">
        <f>IFERROR(VLOOKUP(C65,'تقرير المصروفات حسب الشهر'!$C$1270:$AD$1381,6,FALSE),0)</f>
        <v>0</v>
      </c>
      <c r="O65" s="376">
        <f>IFERROR(VLOOKUP(C65,'تقرير المصروفات حسب الشهر'!$C$1397:$AD$1512,6,FALSE),0)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الشهر'!$C$10:$AD$119,6,FALSE),0)</f>
        <v>0</v>
      </c>
      <c r="E66" s="362">
        <f>IFERROR(VLOOKUP(C66,'تقرير المصروفات حسب الشهر'!$C$135:$AD$244,6,FALSE),0)</f>
        <v>0</v>
      </c>
      <c r="F66" s="362">
        <v>0</v>
      </c>
      <c r="G66" s="362">
        <f>IFERROR(VLOOKUP(C66,'تقرير المصروفات حسب الشهر'!$C$387:$AD$495,6,FALSE),0)</f>
        <v>0</v>
      </c>
      <c r="H66" s="362">
        <f>IFERROR(VLOOKUP(C66,'تقرير المصروفات حسب الشهر'!$C$512:$AD$620,6,FALSE),0)</f>
        <v>0</v>
      </c>
      <c r="I66" s="362">
        <f>IFERROR(VLOOKUP(C66,'تقرير المصروفات حسب الشهر'!$C$637:$AD$746,6,FALSE),0)</f>
        <v>0</v>
      </c>
      <c r="J66" s="362">
        <f>IFERROR(VLOOKUP(C66,'تقرير المصروفات حسب الشهر'!$C$763:$AD$872,6,FALSE),0)</f>
        <v>0</v>
      </c>
      <c r="K66" s="362">
        <f>IFERROR(VLOOKUP(C66,'تقرير المصروفات حسب الشهر'!$C$890:$AD$999,6,FALSE),0)</f>
        <v>0</v>
      </c>
      <c r="L66" s="362">
        <f>IFERROR(VLOOKUP(C66,'تقرير المصروفات حسب الشهر'!$C$1016:$AD$1126,6,FALSE),0)</f>
        <v>0</v>
      </c>
      <c r="M66" s="376">
        <f>IFERROR(VLOOKUP(C66,'تقرير المصروفات حسب الشهر'!$C$1143:$AD$1254,6,FALSE),0)</f>
        <v>0</v>
      </c>
      <c r="N66" s="376">
        <f>IFERROR(VLOOKUP(C66,'تقرير المصروفات حسب الشهر'!$C$1270:$AD$1381,6,FALSE),0)</f>
        <v>0</v>
      </c>
      <c r="O66" s="376">
        <f>IFERROR(VLOOKUP(C66,'تقرير المصروفات حسب الشهر'!$C$1397:$AD$1512,6,FALSE),0)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الشهر'!$C$10:$AD$119,6,FALSE),0)</f>
        <v>0</v>
      </c>
      <c r="E67" s="362">
        <f>IFERROR(VLOOKUP(C67,'تقرير المصروفات حسب الشهر'!$C$135:$AD$244,6,FALSE),0)</f>
        <v>0</v>
      </c>
      <c r="F67" s="362">
        <v>0</v>
      </c>
      <c r="G67" s="362">
        <f>IFERROR(VLOOKUP(C67,'تقرير المصروفات حسب الشهر'!$C$387:$AD$495,6,FALSE),0)</f>
        <v>0</v>
      </c>
      <c r="H67" s="362">
        <f>IFERROR(VLOOKUP(C67,'تقرير المصروفات حسب الشهر'!$C$512:$AD$620,6,FALSE),0)</f>
        <v>0</v>
      </c>
      <c r="I67" s="362">
        <f>IFERROR(VLOOKUP(C67,'تقرير المصروفات حسب الشهر'!$C$637:$AD$746,6,FALSE),0)</f>
        <v>0</v>
      </c>
      <c r="J67" s="362">
        <f>IFERROR(VLOOKUP(C67,'تقرير المصروفات حسب الشهر'!$C$763:$AD$872,6,FALSE),0)</f>
        <v>0</v>
      </c>
      <c r="K67" s="362">
        <f>IFERROR(VLOOKUP(C67,'تقرير المصروفات حسب الشهر'!$C$890:$AD$999,6,FALSE),0)</f>
        <v>0</v>
      </c>
      <c r="L67" s="362">
        <f>IFERROR(VLOOKUP(C67,'تقرير المصروفات حسب الشهر'!$C$1016:$AD$1126,6,FALSE),0)</f>
        <v>0</v>
      </c>
      <c r="M67" s="376">
        <f>IFERROR(VLOOKUP(C67,'تقرير المصروفات حسب الشهر'!$C$1143:$AD$1254,6,FALSE),0)</f>
        <v>0</v>
      </c>
      <c r="N67" s="376">
        <f>IFERROR(VLOOKUP(C67,'تقرير المصروفات حسب الشهر'!$C$1270:$AD$1381,6,FALSE),0)</f>
        <v>0</v>
      </c>
      <c r="O67" s="376">
        <f>IFERROR(VLOOKUP(C67,'تقرير المصروفات حسب الشهر'!$C$1397:$AD$1512,6,FALSE),0)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الشهر'!$C$10:$AD$119,6,FALSE),0)</f>
        <v>0</v>
      </c>
      <c r="E68" s="362">
        <f>IFERROR(VLOOKUP(C68,'تقرير المصروفات حسب الشهر'!$C$135:$AD$244,6,FALSE),0)</f>
        <v>0</v>
      </c>
      <c r="F68" s="362">
        <v>0</v>
      </c>
      <c r="G68" s="362">
        <f>IFERROR(VLOOKUP(C68,'تقرير المصروفات حسب الشهر'!$C$387:$AD$495,6,FALSE),0)</f>
        <v>0</v>
      </c>
      <c r="H68" s="362">
        <f>IFERROR(VLOOKUP(C68,'تقرير المصروفات حسب الشهر'!$C$512:$AD$620,6,FALSE),0)</f>
        <v>0</v>
      </c>
      <c r="I68" s="362">
        <f>IFERROR(VLOOKUP(C68,'تقرير المصروفات حسب الشهر'!$C$637:$AD$746,6,FALSE),0)</f>
        <v>0</v>
      </c>
      <c r="J68" s="362">
        <f>IFERROR(VLOOKUP(C68,'تقرير المصروفات حسب الشهر'!$C$763:$AD$872,6,FALSE),0)</f>
        <v>0</v>
      </c>
      <c r="K68" s="362">
        <f>IFERROR(VLOOKUP(C68,'تقرير المصروفات حسب الشهر'!$C$890:$AD$999,6,FALSE),0)</f>
        <v>0</v>
      </c>
      <c r="L68" s="362">
        <f>IFERROR(VLOOKUP(C68,'تقرير المصروفات حسب الشهر'!$C$1016:$AD$1126,6,FALSE),0)</f>
        <v>0</v>
      </c>
      <c r="M68" s="376">
        <f>IFERROR(VLOOKUP(C68,'تقرير المصروفات حسب الشهر'!$C$1143:$AD$1254,6,FALSE),0)</f>
        <v>0</v>
      </c>
      <c r="N68" s="376">
        <f>IFERROR(VLOOKUP(C68,'تقرير المصروفات حسب الشهر'!$C$1270:$AD$1381,6,FALSE),0)</f>
        <v>0</v>
      </c>
      <c r="O68" s="376">
        <f>IFERROR(VLOOKUP(C68,'تقرير المصروفات حسب الشهر'!$C$1397:$AD$1512,6,FALSE),0)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الشهر'!$C$10:$AD$119,6,FALSE),0)</f>
        <v>0</v>
      </c>
      <c r="E69" s="362">
        <f>IFERROR(VLOOKUP(C69,'تقرير المصروفات حسب الشهر'!$C$135:$AD$244,6,FALSE),0)</f>
        <v>0</v>
      </c>
      <c r="F69" s="362">
        <v>0</v>
      </c>
      <c r="G69" s="362">
        <f>IFERROR(VLOOKUP(C69,'تقرير المصروفات حسب الشهر'!$C$387:$AD$495,6,FALSE),0)</f>
        <v>0</v>
      </c>
      <c r="H69" s="362">
        <f>IFERROR(VLOOKUP(C69,'تقرير المصروفات حسب الشهر'!$C$512:$AD$620,6,FALSE),0)</f>
        <v>0</v>
      </c>
      <c r="I69" s="362">
        <f>IFERROR(VLOOKUP(C69,'تقرير المصروفات حسب الشهر'!$C$637:$AD$746,6,FALSE),0)</f>
        <v>0</v>
      </c>
      <c r="J69" s="362">
        <f>IFERROR(VLOOKUP(C69,'تقرير المصروفات حسب الشهر'!$C$763:$AD$872,6,FALSE),0)</f>
        <v>0</v>
      </c>
      <c r="K69" s="362">
        <f>IFERROR(VLOOKUP(C69,'تقرير المصروفات حسب الشهر'!$C$890:$AD$999,6,FALSE),0)</f>
        <v>0</v>
      </c>
      <c r="L69" s="362">
        <f>IFERROR(VLOOKUP(C69,'تقرير المصروفات حسب الشهر'!$C$1016:$AD$1126,6,FALSE),0)</f>
        <v>0</v>
      </c>
      <c r="M69" s="376">
        <f>IFERROR(VLOOKUP(C69,'تقرير المصروفات حسب الشهر'!$C$1143:$AD$1254,6,FALSE),0)</f>
        <v>0</v>
      </c>
      <c r="N69" s="376">
        <f>IFERROR(VLOOKUP(C69,'تقرير المصروفات حسب الشهر'!$C$1270:$AD$1381,6,FALSE),0)</f>
        <v>0</v>
      </c>
      <c r="O69" s="376">
        <f>IFERROR(VLOOKUP(C69,'تقرير المصروفات حسب الشهر'!$C$1397:$AD$1512,6,FALSE),0)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الشهر'!$C$10:$AD$119,6,FALSE),0)</f>
        <v>0</v>
      </c>
      <c r="E70" s="362">
        <f>IFERROR(VLOOKUP(C70,'تقرير المصروفات حسب الشهر'!$C$135:$AD$244,6,FALSE),0)</f>
        <v>0</v>
      </c>
      <c r="F70" s="362">
        <v>0</v>
      </c>
      <c r="G70" s="362">
        <f>IFERROR(VLOOKUP(C70,'تقرير المصروفات حسب الشهر'!$C$387:$AD$495,6,FALSE),0)</f>
        <v>0</v>
      </c>
      <c r="H70" s="362">
        <f>IFERROR(VLOOKUP(C70,'تقرير المصروفات حسب الشهر'!$C$512:$AD$620,6,FALSE),0)</f>
        <v>0</v>
      </c>
      <c r="I70" s="362">
        <f>IFERROR(VLOOKUP(C70,'تقرير المصروفات حسب الشهر'!$C$637:$AD$746,6,FALSE),0)</f>
        <v>0</v>
      </c>
      <c r="J70" s="362">
        <f>IFERROR(VLOOKUP(C70,'تقرير المصروفات حسب الشهر'!$C$763:$AD$872,6,FALSE),0)</f>
        <v>0</v>
      </c>
      <c r="K70" s="362">
        <f>IFERROR(VLOOKUP(C70,'تقرير المصروفات حسب الشهر'!$C$890:$AD$999,6,FALSE),0)</f>
        <v>0</v>
      </c>
      <c r="L70" s="362">
        <f>IFERROR(VLOOKUP(C70,'تقرير المصروفات حسب الشهر'!$C$1016:$AD$1126,6,FALSE),0)</f>
        <v>0</v>
      </c>
      <c r="M70" s="376">
        <f>IFERROR(VLOOKUP(C70,'تقرير المصروفات حسب الشهر'!$C$1143:$AD$1254,6,FALSE),0)</f>
        <v>0</v>
      </c>
      <c r="N70" s="376">
        <f>IFERROR(VLOOKUP(C70,'تقرير المصروفات حسب الشهر'!$C$1270:$AD$1381,6,FALSE),0)</f>
        <v>0</v>
      </c>
      <c r="O70" s="376">
        <f>IFERROR(VLOOKUP(C70,'تقرير المصروفات حسب الشهر'!$C$1397:$AD$1512,6,FALSE),0)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الشهر'!$C$10:$AD$119,6,FALSE),0)</f>
        <v>0</v>
      </c>
      <c r="E71" s="362">
        <f>IFERROR(VLOOKUP(C71,'تقرير المصروفات حسب الشهر'!$C$135:$AD$244,6,FALSE),0)</f>
        <v>0</v>
      </c>
      <c r="F71" s="362">
        <v>0</v>
      </c>
      <c r="G71" s="362">
        <f>IFERROR(VLOOKUP(C71,'تقرير المصروفات حسب الشهر'!$C$387:$AD$495,6,FALSE),0)</f>
        <v>0</v>
      </c>
      <c r="H71" s="362">
        <f>IFERROR(VLOOKUP(C71,'تقرير المصروفات حسب الشهر'!$C$512:$AD$620,6,FALSE),0)</f>
        <v>0</v>
      </c>
      <c r="I71" s="362">
        <f>IFERROR(VLOOKUP(C71,'تقرير المصروفات حسب الشهر'!$C$637:$AD$746,6,FALSE),0)</f>
        <v>0</v>
      </c>
      <c r="J71" s="362">
        <f>IFERROR(VLOOKUP(C71,'تقرير المصروفات حسب الشهر'!$C$763:$AD$872,6,FALSE),0)</f>
        <v>0</v>
      </c>
      <c r="K71" s="362">
        <f>IFERROR(VLOOKUP(C71,'تقرير المصروفات حسب الشهر'!$C$890:$AD$999,6,FALSE),0)</f>
        <v>0</v>
      </c>
      <c r="L71" s="362">
        <f>IFERROR(VLOOKUP(C71,'تقرير المصروفات حسب الشهر'!$C$1016:$AD$1126,6,FALSE),0)</f>
        <v>0</v>
      </c>
      <c r="M71" s="376">
        <f>IFERROR(VLOOKUP(C71,'تقرير المصروفات حسب الشهر'!$C$1143:$AD$1254,6,FALSE),0)</f>
        <v>0</v>
      </c>
      <c r="N71" s="376">
        <f>IFERROR(VLOOKUP(C71,'تقرير المصروفات حسب الشهر'!$C$1270:$AD$1381,6,FALSE),0)</f>
        <v>0</v>
      </c>
      <c r="O71" s="376">
        <f>IFERROR(VLOOKUP(C71,'تقرير المصروفات حسب الشهر'!$C$1397:$AD$1512,6,FALSE),0)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الشهر'!$C$10:$AD$119,6,FALSE),0)</f>
        <v>0</v>
      </c>
      <c r="E72" s="362">
        <f>IFERROR(VLOOKUP(C72,'تقرير المصروفات حسب الشهر'!$C$135:$AD$244,6,FALSE),0)</f>
        <v>0</v>
      </c>
      <c r="F72" s="362">
        <v>0</v>
      </c>
      <c r="G72" s="362">
        <f>IFERROR(VLOOKUP(C72,'تقرير المصروفات حسب الشهر'!$C$387:$AD$495,6,FALSE),0)</f>
        <v>0</v>
      </c>
      <c r="H72" s="362">
        <f>IFERROR(VLOOKUP(C72,'تقرير المصروفات حسب الشهر'!$C$512:$AD$620,6,FALSE),0)</f>
        <v>0</v>
      </c>
      <c r="I72" s="362">
        <f>IFERROR(VLOOKUP(C72,'تقرير المصروفات حسب الشهر'!$C$637:$AD$746,6,FALSE),0)</f>
        <v>0</v>
      </c>
      <c r="J72" s="362">
        <f>IFERROR(VLOOKUP(C72,'تقرير المصروفات حسب الشهر'!$C$763:$AD$872,6,FALSE),0)</f>
        <v>0</v>
      </c>
      <c r="K72" s="362">
        <f>IFERROR(VLOOKUP(C72,'تقرير المصروفات حسب الشهر'!$C$890:$AD$999,6,FALSE),0)</f>
        <v>0</v>
      </c>
      <c r="L72" s="362">
        <f>IFERROR(VLOOKUP(C72,'تقرير المصروفات حسب الشهر'!$C$1016:$AD$1126,6,FALSE),0)</f>
        <v>0</v>
      </c>
      <c r="M72" s="376">
        <f>IFERROR(VLOOKUP(C72,'تقرير المصروفات حسب الشهر'!$C$1143:$AD$1254,6,FALSE),0)</f>
        <v>0</v>
      </c>
      <c r="N72" s="376">
        <f>IFERROR(VLOOKUP(C72,'تقرير المصروفات حسب الشهر'!$C$1270:$AD$1381,6,FALSE),0)</f>
        <v>0</v>
      </c>
      <c r="O72" s="376">
        <f>IFERROR(VLOOKUP(C72,'تقرير المصروفات حسب الشهر'!$C$1397:$AD$1512,6,FALSE),0)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الشهر'!$C$10:$AD$119,6,FALSE),0)</f>
        <v>0</v>
      </c>
      <c r="E73" s="362">
        <f>IFERROR(VLOOKUP(C73,'تقرير المصروفات حسب الشهر'!$C$135:$AD$244,6,FALSE),0)</f>
        <v>0</v>
      </c>
      <c r="F73" s="362">
        <v>0</v>
      </c>
      <c r="G73" s="362">
        <f>IFERROR(VLOOKUP(C73,'تقرير المصروفات حسب الشهر'!$C$387:$AD$495,6,FALSE),0)</f>
        <v>0</v>
      </c>
      <c r="H73" s="362">
        <f>IFERROR(VLOOKUP(C73,'تقرير المصروفات حسب الشهر'!$C$512:$AD$620,6,FALSE),0)</f>
        <v>0</v>
      </c>
      <c r="I73" s="362">
        <f>IFERROR(VLOOKUP(C73,'تقرير المصروفات حسب الشهر'!$C$637:$AD$746,6,FALSE),0)</f>
        <v>0</v>
      </c>
      <c r="J73" s="362">
        <f>IFERROR(VLOOKUP(C73,'تقرير المصروفات حسب الشهر'!$C$763:$AD$872,6,FALSE),0)</f>
        <v>0</v>
      </c>
      <c r="K73" s="362">
        <f>IFERROR(VLOOKUP(C73,'تقرير المصروفات حسب الشهر'!$C$890:$AD$999,6,FALSE),0)</f>
        <v>0</v>
      </c>
      <c r="L73" s="362">
        <f>IFERROR(VLOOKUP(C73,'تقرير المصروفات حسب الشهر'!$C$1016:$AD$1126,6,FALSE),0)</f>
        <v>0</v>
      </c>
      <c r="M73" s="376">
        <f>IFERROR(VLOOKUP(C73,'تقرير المصروفات حسب الشهر'!$C$1143:$AD$1254,6,FALSE),0)</f>
        <v>0</v>
      </c>
      <c r="N73" s="376">
        <f>IFERROR(VLOOKUP(C73,'تقرير المصروفات حسب الشهر'!$C$1270:$AD$1381,6,FALSE),0)</f>
        <v>0</v>
      </c>
      <c r="O73" s="376">
        <f>IFERROR(VLOOKUP(C73,'تقرير المصروفات حسب الشهر'!$C$1397:$AD$1512,6,FALSE),0)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الشهر'!$C$10:$AD$119,6,FALSE),0)</f>
        <v>0</v>
      </c>
      <c r="E74" s="362">
        <f>IFERROR(VLOOKUP(C74,'تقرير المصروفات حسب الشهر'!$C$135:$AD$244,6,FALSE),0)</f>
        <v>0</v>
      </c>
      <c r="F74" s="362">
        <v>0</v>
      </c>
      <c r="G74" s="362">
        <f>IFERROR(VLOOKUP(C74,'تقرير المصروفات حسب الشهر'!$C$387:$AD$495,6,FALSE),0)</f>
        <v>0</v>
      </c>
      <c r="H74" s="362">
        <f>IFERROR(VLOOKUP(C74,'تقرير المصروفات حسب الشهر'!$C$512:$AD$620,6,FALSE),0)</f>
        <v>0</v>
      </c>
      <c r="I74" s="362">
        <f>IFERROR(VLOOKUP(C74,'تقرير المصروفات حسب الشهر'!$C$637:$AD$746,6,FALSE),0)</f>
        <v>0</v>
      </c>
      <c r="J74" s="362">
        <f>IFERROR(VLOOKUP(C74,'تقرير المصروفات حسب الشهر'!$C$763:$AD$872,6,FALSE),0)</f>
        <v>0</v>
      </c>
      <c r="K74" s="362">
        <f>IFERROR(VLOOKUP(C74,'تقرير المصروفات حسب الشهر'!$C$890:$AD$999,6,FALSE),0)</f>
        <v>0</v>
      </c>
      <c r="L74" s="362">
        <f>IFERROR(VLOOKUP(C74,'تقرير المصروفات حسب الشهر'!$C$1016:$AD$1126,6,FALSE),0)</f>
        <v>0</v>
      </c>
      <c r="M74" s="376">
        <f>IFERROR(VLOOKUP(C74,'تقرير المصروفات حسب الشهر'!$C$1143:$AD$1254,6,FALSE),0)</f>
        <v>0</v>
      </c>
      <c r="N74" s="376">
        <f>IFERROR(VLOOKUP(C74,'تقرير المصروفات حسب الشهر'!$C$1270:$AD$1381,6,FALSE),0)</f>
        <v>0</v>
      </c>
      <c r="O74" s="376">
        <f>IFERROR(VLOOKUP(C74,'تقرير المصروفات حسب الشهر'!$C$1397:$AD$1512,6,FALSE),0)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الشهر'!$C$10:$AD$119,6,FALSE),0)</f>
        <v>0</v>
      </c>
      <c r="E75" s="362">
        <f>IFERROR(VLOOKUP(C75,'تقرير المصروفات حسب الشهر'!$C$135:$AD$244,6,FALSE),0)</f>
        <v>0</v>
      </c>
      <c r="F75" s="362">
        <v>0</v>
      </c>
      <c r="G75" s="362">
        <f>IFERROR(VLOOKUP(C75,'تقرير المصروفات حسب الشهر'!$C$387:$AD$495,6,FALSE),0)</f>
        <v>0</v>
      </c>
      <c r="H75" s="362">
        <f>IFERROR(VLOOKUP(C75,'تقرير المصروفات حسب الشهر'!$C$512:$AD$620,6,FALSE),0)</f>
        <v>0</v>
      </c>
      <c r="I75" s="362">
        <f>IFERROR(VLOOKUP(C75,'تقرير المصروفات حسب الشهر'!$C$637:$AD$746,6,FALSE),0)</f>
        <v>0</v>
      </c>
      <c r="J75" s="362">
        <f>IFERROR(VLOOKUP(C75,'تقرير المصروفات حسب الشهر'!$C$763:$AD$872,6,FALSE),0)</f>
        <v>0</v>
      </c>
      <c r="K75" s="362">
        <f>IFERROR(VLOOKUP(C75,'تقرير المصروفات حسب الشهر'!$C$890:$AD$999,6,FALSE),0)</f>
        <v>0</v>
      </c>
      <c r="L75" s="362">
        <f>IFERROR(VLOOKUP(C75,'تقرير المصروفات حسب الشهر'!$C$1016:$AD$1126,6,FALSE),0)</f>
        <v>0</v>
      </c>
      <c r="M75" s="376">
        <f>IFERROR(VLOOKUP(C75,'تقرير المصروفات حسب الشهر'!$C$1143:$AD$1254,6,FALSE),0)</f>
        <v>0</v>
      </c>
      <c r="N75" s="376">
        <f>IFERROR(VLOOKUP(C75,'تقرير المصروفات حسب الشهر'!$C$1270:$AD$1381,6,FALSE),0)</f>
        <v>0</v>
      </c>
      <c r="O75" s="376">
        <f>IFERROR(VLOOKUP(C75,'تقرير المصروفات حسب الشهر'!$C$1397:$AD$1512,6,FALSE),0)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الشهر'!$C$10:$AD$119,6,FALSE),0)</f>
        <v>0</v>
      </c>
      <c r="E76" s="362">
        <f>IFERROR(VLOOKUP(C76,'تقرير المصروفات حسب الشهر'!$C$135:$AD$244,6,FALSE),0)</f>
        <v>0</v>
      </c>
      <c r="F76" s="362">
        <v>0</v>
      </c>
      <c r="G76" s="362">
        <f>IFERROR(VLOOKUP(C76,'تقرير المصروفات حسب الشهر'!$C$387:$AD$495,6,FALSE),0)</f>
        <v>0</v>
      </c>
      <c r="H76" s="362">
        <f>IFERROR(VLOOKUP(C76,'تقرير المصروفات حسب الشهر'!$C$512:$AD$620,6,FALSE),0)</f>
        <v>0</v>
      </c>
      <c r="I76" s="362">
        <f>IFERROR(VLOOKUP(C76,'تقرير المصروفات حسب الشهر'!$C$637:$AD$746,6,FALSE),0)</f>
        <v>0</v>
      </c>
      <c r="J76" s="362">
        <f>IFERROR(VLOOKUP(C76,'تقرير المصروفات حسب الشهر'!$C$763:$AD$872,6,FALSE),0)</f>
        <v>0</v>
      </c>
      <c r="K76" s="362">
        <f>IFERROR(VLOOKUP(C76,'تقرير المصروفات حسب الشهر'!$C$890:$AD$999,6,FALSE),0)</f>
        <v>0</v>
      </c>
      <c r="L76" s="362">
        <f>IFERROR(VLOOKUP(C76,'تقرير المصروفات حسب الشهر'!$C$1016:$AD$1126,6,FALSE),0)</f>
        <v>0</v>
      </c>
      <c r="M76" s="376">
        <f>IFERROR(VLOOKUP(C76,'تقرير المصروفات حسب الشهر'!$C$1143:$AD$1254,6,FALSE),0)</f>
        <v>0</v>
      </c>
      <c r="N76" s="376">
        <f>IFERROR(VLOOKUP(C76,'تقرير المصروفات حسب الشهر'!$C$1270:$AD$1381,6,FALSE),0)</f>
        <v>0</v>
      </c>
      <c r="O76" s="376">
        <f>IFERROR(VLOOKUP(C76,'تقرير المصروفات حسب الشهر'!$C$1397:$AD$1512,6,FALSE),0)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الشهر'!$C$10:$AD$119,6,FALSE),0)</f>
        <v>0</v>
      </c>
      <c r="E77" s="362">
        <f>IFERROR(VLOOKUP(C77,'تقرير المصروفات حسب الشهر'!$C$135:$AD$244,6,FALSE),0)</f>
        <v>0</v>
      </c>
      <c r="F77" s="362">
        <v>0</v>
      </c>
      <c r="G77" s="362">
        <f>IFERROR(VLOOKUP(C77,'تقرير المصروفات حسب الشهر'!$C$387:$AD$495,6,FALSE),0)</f>
        <v>0</v>
      </c>
      <c r="H77" s="362">
        <f>IFERROR(VLOOKUP(C77,'تقرير المصروفات حسب الشهر'!$C$512:$AD$620,6,FALSE),0)</f>
        <v>0</v>
      </c>
      <c r="I77" s="362">
        <f>IFERROR(VLOOKUP(C77,'تقرير المصروفات حسب الشهر'!$C$637:$AD$746,6,FALSE),0)</f>
        <v>0</v>
      </c>
      <c r="J77" s="362">
        <f>IFERROR(VLOOKUP(C77,'تقرير المصروفات حسب الشهر'!$C$763:$AD$872,6,FALSE),0)</f>
        <v>0</v>
      </c>
      <c r="K77" s="362">
        <f>IFERROR(VLOOKUP(C77,'تقرير المصروفات حسب الشهر'!$C$890:$AD$999,6,FALSE),0)</f>
        <v>0</v>
      </c>
      <c r="L77" s="362">
        <f>IFERROR(VLOOKUP(C77,'تقرير المصروفات حسب الشهر'!$C$1016:$AD$1126,6,FALSE),0)</f>
        <v>0</v>
      </c>
      <c r="M77" s="376">
        <f>IFERROR(VLOOKUP(C77,'تقرير المصروفات حسب الشهر'!$C$1143:$AD$1254,6,FALSE),0)</f>
        <v>0</v>
      </c>
      <c r="N77" s="376">
        <f>IFERROR(VLOOKUP(C77,'تقرير المصروفات حسب الشهر'!$C$1270:$AD$1381,6,FALSE),0)</f>
        <v>0</v>
      </c>
      <c r="O77" s="376">
        <f>IFERROR(VLOOKUP(C77,'تقرير المصروفات حسب الشهر'!$C$1397:$AD$1512,6,FALSE),0)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الشهر'!$C$10:$AD$119,6,FALSE),0)</f>
        <v>0</v>
      </c>
      <c r="E78" s="362">
        <f>IFERROR(VLOOKUP(C78,'تقرير المصروفات حسب الشهر'!$C$135:$AD$244,6,FALSE),0)</f>
        <v>0</v>
      </c>
      <c r="F78" s="362">
        <v>0</v>
      </c>
      <c r="G78" s="362">
        <f>IFERROR(VLOOKUP(C78,'تقرير المصروفات حسب الشهر'!$C$387:$AD$495,6,FALSE),0)</f>
        <v>0</v>
      </c>
      <c r="H78" s="362">
        <f>IFERROR(VLOOKUP(C78,'تقرير المصروفات حسب الشهر'!$C$512:$AD$620,6,FALSE),0)</f>
        <v>0</v>
      </c>
      <c r="I78" s="362">
        <f>IFERROR(VLOOKUP(C78,'تقرير المصروفات حسب الشهر'!$C$637:$AD$746,6,FALSE),0)</f>
        <v>0</v>
      </c>
      <c r="J78" s="362">
        <f>IFERROR(VLOOKUP(C78,'تقرير المصروفات حسب الشهر'!$C$763:$AD$872,6,FALSE),0)</f>
        <v>0</v>
      </c>
      <c r="K78" s="362">
        <f>IFERROR(VLOOKUP(C78,'تقرير المصروفات حسب الشهر'!$C$890:$AD$999,6,FALSE),0)</f>
        <v>0</v>
      </c>
      <c r="L78" s="362">
        <f>IFERROR(VLOOKUP(C78,'تقرير المصروفات حسب الشهر'!$C$1016:$AD$1126,6,FALSE),0)</f>
        <v>0</v>
      </c>
      <c r="M78" s="376">
        <f>IFERROR(VLOOKUP(C78,'تقرير المصروفات حسب الشهر'!$C$1143:$AD$1254,6,FALSE),0)</f>
        <v>0</v>
      </c>
      <c r="N78" s="376">
        <f>IFERROR(VLOOKUP(C78,'تقرير المصروفات حسب الشهر'!$C$1270:$AD$1381,6,FALSE),0)</f>
        <v>0</v>
      </c>
      <c r="O78" s="376">
        <f>IFERROR(VLOOKUP(C78,'تقرير المصروفات حسب الشهر'!$C$1397:$AD$1512,6,FALSE),0)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الشهر'!$C$10:$AD$119,6,FALSE),0)</f>
        <v>0</v>
      </c>
      <c r="E79" s="362">
        <f>IFERROR(VLOOKUP(C79,'تقرير المصروفات حسب الشهر'!$C$135:$AD$244,6,FALSE),0)</f>
        <v>0</v>
      </c>
      <c r="F79" s="362">
        <v>0</v>
      </c>
      <c r="G79" s="362">
        <f>IFERROR(VLOOKUP(C79,'تقرير المصروفات حسب الشهر'!$C$387:$AD$495,6,FALSE),0)</f>
        <v>0</v>
      </c>
      <c r="H79" s="362">
        <f>IFERROR(VLOOKUP(C79,'تقرير المصروفات حسب الشهر'!$C$512:$AD$620,6,FALSE),0)</f>
        <v>0</v>
      </c>
      <c r="I79" s="362">
        <f>IFERROR(VLOOKUP(C79,'تقرير المصروفات حسب الشهر'!$C$637:$AD$746,6,FALSE),0)</f>
        <v>0</v>
      </c>
      <c r="J79" s="362">
        <f>IFERROR(VLOOKUP(C79,'تقرير المصروفات حسب الشهر'!$C$763:$AD$872,6,FALSE),0)</f>
        <v>0</v>
      </c>
      <c r="K79" s="362">
        <f>IFERROR(VLOOKUP(C79,'تقرير المصروفات حسب الشهر'!$C$890:$AD$999,6,FALSE),0)</f>
        <v>0</v>
      </c>
      <c r="L79" s="362">
        <f>IFERROR(VLOOKUP(C79,'تقرير المصروفات حسب الشهر'!$C$1016:$AD$1126,6,FALSE),0)</f>
        <v>0</v>
      </c>
      <c r="M79" s="376">
        <f>IFERROR(VLOOKUP(C79,'تقرير المصروفات حسب الشهر'!$C$1143:$AD$1254,6,FALSE),0)</f>
        <v>0</v>
      </c>
      <c r="N79" s="376">
        <f>IFERROR(VLOOKUP(C79,'تقرير المصروفات حسب الشهر'!$C$1270:$AD$1381,6,FALSE),0)</f>
        <v>0</v>
      </c>
      <c r="O79" s="376">
        <f>IFERROR(VLOOKUP(C79,'تقرير المصروفات حسب الشهر'!$C$1397:$AD$1512,6,FALSE),0)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الشهر'!$C$10:$AD$119,6,FALSE),0)</f>
        <v>0</v>
      </c>
      <c r="E80" s="362">
        <f>IFERROR(VLOOKUP(C80,'تقرير المصروفات حسب الشهر'!$C$135:$AD$244,6,FALSE),0)</f>
        <v>0</v>
      </c>
      <c r="F80" s="362">
        <v>0</v>
      </c>
      <c r="G80" s="362">
        <f>IFERROR(VLOOKUP(C80,'تقرير المصروفات حسب الشهر'!$C$387:$AD$495,6,FALSE),0)</f>
        <v>0</v>
      </c>
      <c r="H80" s="362">
        <f>IFERROR(VLOOKUP(C80,'تقرير المصروفات حسب الشهر'!$C$512:$AD$620,6,FALSE),0)</f>
        <v>0</v>
      </c>
      <c r="I80" s="362">
        <f>IFERROR(VLOOKUP(C80,'تقرير المصروفات حسب الشهر'!$C$637:$AD$746,6,FALSE),0)</f>
        <v>0</v>
      </c>
      <c r="J80" s="362">
        <f>IFERROR(VLOOKUP(C80,'تقرير المصروفات حسب الشهر'!$C$763:$AD$872,6,FALSE),0)</f>
        <v>0</v>
      </c>
      <c r="K80" s="362">
        <f>IFERROR(VLOOKUP(C80,'تقرير المصروفات حسب الشهر'!$C$890:$AD$999,6,FALSE),0)</f>
        <v>0</v>
      </c>
      <c r="L80" s="362">
        <f>IFERROR(VLOOKUP(C80,'تقرير المصروفات حسب الشهر'!$C$1016:$AD$1126,6,FALSE),0)</f>
        <v>0</v>
      </c>
      <c r="M80" s="376">
        <f>IFERROR(VLOOKUP(C80,'تقرير المصروفات حسب الشهر'!$C$1143:$AD$1254,6,FALSE),0)</f>
        <v>0</v>
      </c>
      <c r="N80" s="376">
        <f>IFERROR(VLOOKUP(C80,'تقرير المصروفات حسب الشهر'!$C$1270:$AD$1381,6,FALSE),0)</f>
        <v>0</v>
      </c>
      <c r="O80" s="376">
        <f>IFERROR(VLOOKUP(C80,'تقرير المصروفات حسب الشهر'!$C$1397:$AD$1512,6,FALSE),0)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الشهر'!$C$10:$AD$119,6,FALSE),0)</f>
        <v>316</v>
      </c>
      <c r="E81" s="362">
        <f>IFERROR(VLOOKUP(C81,'تقرير المصروفات حسب الشهر'!$C$135:$AD$244,6,FALSE),0)</f>
        <v>100</v>
      </c>
      <c r="F81" s="362">
        <v>21468</v>
      </c>
      <c r="G81" s="362">
        <f>IFERROR(VLOOKUP(C81,'تقرير المصروفات حسب الشهر'!$C$387:$AD$495,6,FALSE),0)</f>
        <v>100</v>
      </c>
      <c r="H81" s="362">
        <f>IFERROR(VLOOKUP(C81,'تقرير المصروفات حسب الشهر'!$C$512:$AD$620,6,FALSE),0)</f>
        <v>430</v>
      </c>
      <c r="I81" s="362">
        <f>IFERROR(VLOOKUP(C81,'تقرير المصروفات حسب الشهر'!$C$637:$AD$746,6,FALSE),0)</f>
        <v>4363</v>
      </c>
      <c r="J81" s="362">
        <f>IFERROR(VLOOKUP(C81,'تقرير المصروفات حسب الشهر'!$C$763:$AD$872,6,FALSE),0)</f>
        <v>22841</v>
      </c>
      <c r="K81" s="362">
        <f>IFERROR(VLOOKUP(C81,'تقرير المصروفات حسب الشهر'!$C$890:$AD$999,6,FALSE),0)</f>
        <v>300</v>
      </c>
      <c r="L81" s="362">
        <f>IFERROR(VLOOKUP(C81,'تقرير المصروفات حسب الشهر'!$C$1016:$AD$1126,6,FALSE),0)</f>
        <v>200</v>
      </c>
      <c r="M81" s="376">
        <f>IFERROR(VLOOKUP(C81,'تقرير المصروفات حسب الشهر'!$C$1143:$AD$1254,6,FALSE),0)</f>
        <v>200</v>
      </c>
      <c r="N81" s="376">
        <f>IFERROR(VLOOKUP(C81,'تقرير المصروفات حسب الشهر'!$C$1270:$AD$1381,6,FALSE),0)</f>
        <v>0</v>
      </c>
      <c r="O81" s="376">
        <f>IFERROR(VLOOKUP(C81,'تقرير المصروفات حسب الشهر'!$C$1397:$AD$1512,6,FALSE),0)</f>
        <v>7466</v>
      </c>
      <c r="P81" s="364">
        <f t="shared" si="5"/>
        <v>57784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الشهر'!$C$10:$AD$119,6,FALSE),0)</f>
        <v>0</v>
      </c>
      <c r="E82" s="362">
        <f>IFERROR(VLOOKUP(C82,'تقرير المصروفات حسب الشهر'!$C$135:$AD$244,6,FALSE),0)</f>
        <v>0</v>
      </c>
      <c r="F82" s="362">
        <v>0</v>
      </c>
      <c r="G82" s="362">
        <f>IFERROR(VLOOKUP(C82,'تقرير المصروفات حسب الشهر'!$C$387:$AD$495,6,FALSE),0)</f>
        <v>0</v>
      </c>
      <c r="H82" s="362">
        <f>IFERROR(VLOOKUP(C82,'تقرير المصروفات حسب الشهر'!$C$512:$AD$620,6,FALSE),0)</f>
        <v>0</v>
      </c>
      <c r="I82" s="362">
        <f>IFERROR(VLOOKUP(C82,'تقرير المصروفات حسب الشهر'!$C$637:$AD$746,6,FALSE),0)</f>
        <v>0</v>
      </c>
      <c r="J82" s="362">
        <f>IFERROR(VLOOKUP(C82,'تقرير المصروفات حسب الشهر'!$C$763:$AD$872,6,FALSE),0)</f>
        <v>0</v>
      </c>
      <c r="K82" s="362">
        <f>IFERROR(VLOOKUP(C82,'تقرير المصروفات حسب الشهر'!$C$890:$AD$999,6,FALSE),0)</f>
        <v>0</v>
      </c>
      <c r="L82" s="362">
        <f>IFERROR(VLOOKUP(C82,'تقرير المصروفات حسب الشهر'!$C$1016:$AD$1126,6,FALSE),0)</f>
        <v>0</v>
      </c>
      <c r="M82" s="376">
        <f>IFERROR(VLOOKUP(C82,'تقرير المصروفات حسب الشهر'!$C$1143:$AD$1254,6,FALSE),0)</f>
        <v>0</v>
      </c>
      <c r="N82" s="376">
        <f>IFERROR(VLOOKUP(C82,'تقرير المصروفات حسب الشهر'!$C$1270:$AD$1381,6,FALSE),0)</f>
        <v>0</v>
      </c>
      <c r="O82" s="376">
        <f>IFERROR(VLOOKUP(C82,'تقرير المصروفات حسب الشهر'!$C$1397:$AD$1512,6,FALSE),0)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الشهر'!$C$10:$AD$119,6,FALSE),0)</f>
        <v>0</v>
      </c>
      <c r="E83" s="362">
        <f>IFERROR(VLOOKUP(C83,'تقرير المصروفات حسب الشهر'!$C$135:$AD$244,6,FALSE),0)</f>
        <v>0</v>
      </c>
      <c r="F83" s="362">
        <v>0</v>
      </c>
      <c r="G83" s="362">
        <f>IFERROR(VLOOKUP(C83,'تقرير المصروفات حسب الشهر'!$C$387:$AD$495,6,FALSE),0)</f>
        <v>0</v>
      </c>
      <c r="H83" s="362">
        <f>IFERROR(VLOOKUP(C83,'تقرير المصروفات حسب الشهر'!$C$512:$AD$620,6,FALSE),0)</f>
        <v>0</v>
      </c>
      <c r="I83" s="362">
        <f>IFERROR(VLOOKUP(C83,'تقرير المصروفات حسب الشهر'!$C$637:$AD$746,6,FALSE),0)</f>
        <v>1370</v>
      </c>
      <c r="J83" s="362">
        <f>IFERROR(VLOOKUP(C83,'تقرير المصروفات حسب الشهر'!$C$763:$AD$872,6,FALSE),0)</f>
        <v>2255</v>
      </c>
      <c r="K83" s="362">
        <f>IFERROR(VLOOKUP(C83,'تقرير المصروفات حسب الشهر'!$C$890:$AD$999,6,FALSE),0)</f>
        <v>0</v>
      </c>
      <c r="L83" s="362">
        <f>IFERROR(VLOOKUP(C83,'تقرير المصروفات حسب الشهر'!$C$1016:$AD$1126,6,FALSE),0)</f>
        <v>0</v>
      </c>
      <c r="M83" s="376">
        <f>IFERROR(VLOOKUP(C83,'تقرير المصروفات حسب الشهر'!$C$1143:$AD$1254,6,FALSE),0)</f>
        <v>0</v>
      </c>
      <c r="N83" s="376">
        <f>IFERROR(VLOOKUP(C83,'تقرير المصروفات حسب الشهر'!$C$1270:$AD$1381,6,FALSE),0)</f>
        <v>0</v>
      </c>
      <c r="O83" s="376">
        <f>IFERROR(VLOOKUP(C83,'تقرير المصروفات حسب الشهر'!$C$1397:$AD$1512,6,FALSE),0)</f>
        <v>790</v>
      </c>
      <c r="P83" s="364">
        <f t="shared" si="5"/>
        <v>4415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الشهر'!$C$10:$AD$119,6,FALSE),0)</f>
        <v>0</v>
      </c>
      <c r="E84" s="362">
        <f>IFERROR(VLOOKUP(C84,'تقرير المصروفات حسب الشهر'!$C$135:$AD$244,6,FALSE),0)</f>
        <v>0</v>
      </c>
      <c r="F84" s="362">
        <v>0</v>
      </c>
      <c r="G84" s="362">
        <f>IFERROR(VLOOKUP(C84,'تقرير المصروفات حسب الشهر'!$C$387:$AD$495,6,FALSE),0)</f>
        <v>0</v>
      </c>
      <c r="H84" s="362">
        <f>IFERROR(VLOOKUP(C84,'تقرير المصروفات حسب الشهر'!$C$512:$AD$620,6,FALSE),0)</f>
        <v>0</v>
      </c>
      <c r="I84" s="362">
        <f>IFERROR(VLOOKUP(C84,'تقرير المصروفات حسب الشهر'!$C$637:$AD$746,6,FALSE),0)</f>
        <v>0</v>
      </c>
      <c r="J84" s="362">
        <f>IFERROR(VLOOKUP(C84,'تقرير المصروفات حسب الشهر'!$C$763:$AD$872,6,FALSE),0)</f>
        <v>0</v>
      </c>
      <c r="K84" s="362">
        <f>IFERROR(VLOOKUP(C84,'تقرير المصروفات حسب الشهر'!$C$890:$AD$999,6,FALSE),0)</f>
        <v>0</v>
      </c>
      <c r="L84" s="362">
        <f>IFERROR(VLOOKUP(C84,'تقرير المصروفات حسب الشهر'!$C$1016:$AD$1126,6,FALSE),0)</f>
        <v>0</v>
      </c>
      <c r="M84" s="376">
        <f>IFERROR(VLOOKUP(C84,'تقرير المصروفات حسب الشهر'!$C$1143:$AD$1254,6,FALSE),0)</f>
        <v>0</v>
      </c>
      <c r="N84" s="376">
        <f>IFERROR(VLOOKUP(C84,'تقرير المصروفات حسب الشهر'!$C$1270:$AD$1381,6,FALSE),0)</f>
        <v>0</v>
      </c>
      <c r="O84" s="376">
        <f>IFERROR(VLOOKUP(C84,'تقرير المصروفات حسب الشهر'!$C$1397:$AD$1512,6,FALSE),0)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الشهر'!$C$10:$AD$119,6,FALSE),0)</f>
        <v>0</v>
      </c>
      <c r="E85" s="362">
        <f>IFERROR(VLOOKUP(C85,'تقرير المصروفات حسب الشهر'!$C$135:$AD$244,6,FALSE),0)</f>
        <v>0</v>
      </c>
      <c r="F85" s="362">
        <v>0</v>
      </c>
      <c r="G85" s="362">
        <f>IFERROR(VLOOKUP(C85,'تقرير المصروفات حسب الشهر'!$C$387:$AD$495,6,FALSE),0)</f>
        <v>0</v>
      </c>
      <c r="H85" s="362">
        <f>IFERROR(VLOOKUP(C85,'تقرير المصروفات حسب الشهر'!$C$512:$AD$620,6,FALSE),0)</f>
        <v>0</v>
      </c>
      <c r="I85" s="362">
        <f>IFERROR(VLOOKUP(C85,'تقرير المصروفات حسب الشهر'!$C$637:$AD$746,6,FALSE),0)</f>
        <v>0</v>
      </c>
      <c r="J85" s="362">
        <f>IFERROR(VLOOKUP(C85,'تقرير المصروفات حسب الشهر'!$C$763:$AD$872,6,FALSE),0)</f>
        <v>0</v>
      </c>
      <c r="K85" s="362">
        <f>IFERROR(VLOOKUP(C85,'تقرير المصروفات حسب الشهر'!$C$890:$AD$999,6,FALSE),0)</f>
        <v>0</v>
      </c>
      <c r="L85" s="362">
        <f>IFERROR(VLOOKUP(C85,'تقرير المصروفات حسب الشهر'!$C$1016:$AD$1126,6,FALSE),0)</f>
        <v>0</v>
      </c>
      <c r="M85" s="376">
        <f>IFERROR(VLOOKUP(C85,'تقرير المصروفات حسب الشهر'!$C$1143:$AD$1254,6,FALSE),0)</f>
        <v>0</v>
      </c>
      <c r="N85" s="376">
        <f>IFERROR(VLOOKUP(C85,'تقرير المصروفات حسب الشهر'!$C$1270:$AD$1381,6,FALSE),0)</f>
        <v>0</v>
      </c>
      <c r="O85" s="376">
        <f>IFERROR(VLOOKUP(C85,'تقرير المصروفات حسب الشهر'!$C$1397:$AD$1512,6,FALSE),0)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الشهر'!$C$10:$AD$119,6,FALSE),0)</f>
        <v>1735</v>
      </c>
      <c r="E86" s="362">
        <f>IFERROR(VLOOKUP(C86,'تقرير المصروفات حسب الشهر'!$C$135:$AD$244,6,FALSE),0)</f>
        <v>1959.65</v>
      </c>
      <c r="F86" s="362">
        <v>1281.5</v>
      </c>
      <c r="G86" s="362">
        <f>IFERROR(VLOOKUP(C86,'تقرير المصروفات حسب الشهر'!$C$387:$AD$495,6,FALSE),0)</f>
        <v>1633</v>
      </c>
      <c r="H86" s="362">
        <f>IFERROR(VLOOKUP(C86,'تقرير المصروفات حسب الشهر'!$C$512:$AD$620,6,FALSE),0)</f>
        <v>3315</v>
      </c>
      <c r="I86" s="362">
        <f>IFERROR(VLOOKUP(C86,'تقرير المصروفات حسب الشهر'!$C$637:$AD$746,6,FALSE),0)</f>
        <v>3145.17</v>
      </c>
      <c r="J86" s="362">
        <f>IFERROR(VLOOKUP(C86,'تقرير المصروفات حسب الشهر'!$C$763:$AD$872,6,FALSE),0)</f>
        <v>979</v>
      </c>
      <c r="K86" s="362">
        <f>IFERROR(VLOOKUP(C86,'تقرير المصروفات حسب الشهر'!$C$890:$AD$999,6,FALSE),0)</f>
        <v>1404.4</v>
      </c>
      <c r="L86" s="362">
        <f>IFERROR(VLOOKUP(C86,'تقرير المصروفات حسب الشهر'!$C$1016:$AD$1126,6,FALSE),0)</f>
        <v>0</v>
      </c>
      <c r="M86" s="376">
        <f>IFERROR(VLOOKUP(C86,'تقرير المصروفات حسب الشهر'!$C$1143:$AD$1254,6,FALSE),0)</f>
        <v>2335.7600000000002</v>
      </c>
      <c r="N86" s="376">
        <f>IFERROR(VLOOKUP(C86,'تقرير المصروفات حسب الشهر'!$C$1270:$AD$1381,6,FALSE),0)</f>
        <v>1105.82</v>
      </c>
      <c r="O86" s="376">
        <f>IFERROR(VLOOKUP(C86,'تقرير المصروفات حسب الشهر'!$C$1397:$AD$1512,6,FALSE),0)</f>
        <v>1220.4000000000001</v>
      </c>
      <c r="P86" s="364">
        <f t="shared" si="5"/>
        <v>20114.7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الشهر'!$C$10:$AD$119,6,FALSE),0)</f>
        <v>0</v>
      </c>
      <c r="E87" s="362">
        <f>IFERROR(VLOOKUP(C87,'تقرير المصروفات حسب الشهر'!$C$135:$AD$244,6,FALSE),0)</f>
        <v>0</v>
      </c>
      <c r="F87" s="362">
        <v>0</v>
      </c>
      <c r="G87" s="362">
        <f>IFERROR(VLOOKUP(C87,'تقرير المصروفات حسب الشهر'!$C$387:$AD$495,6,FALSE),0)</f>
        <v>0</v>
      </c>
      <c r="H87" s="362">
        <f>IFERROR(VLOOKUP(C87,'تقرير المصروفات حسب الشهر'!$C$512:$AD$620,6,FALSE),0)</f>
        <v>0</v>
      </c>
      <c r="I87" s="362">
        <f>IFERROR(VLOOKUP(C87,'تقرير المصروفات حسب الشهر'!$C$637:$AD$746,6,FALSE),0)</f>
        <v>0</v>
      </c>
      <c r="J87" s="362">
        <f>IFERROR(VLOOKUP(C87,'تقرير المصروفات حسب الشهر'!$C$763:$AD$872,6,FALSE),0)</f>
        <v>0</v>
      </c>
      <c r="K87" s="362">
        <f>IFERROR(VLOOKUP(C87,'تقرير المصروفات حسب الشهر'!$C$890:$AD$999,6,FALSE),0)</f>
        <v>0</v>
      </c>
      <c r="L87" s="362">
        <f>IFERROR(VLOOKUP(C87,'تقرير المصروفات حسب الشهر'!$C$1016:$AD$1126,6,FALSE),0)</f>
        <v>0</v>
      </c>
      <c r="M87" s="376">
        <f>IFERROR(VLOOKUP(C87,'تقرير المصروفات حسب الشهر'!$C$1143:$AD$1254,6,FALSE),0)</f>
        <v>0</v>
      </c>
      <c r="N87" s="376">
        <f>IFERROR(VLOOKUP(C87,'تقرير المصروفات حسب الشهر'!$C$1270:$AD$1381,6,FALSE),0)</f>
        <v>0</v>
      </c>
      <c r="O87" s="376">
        <f>IFERROR(VLOOKUP(C87,'تقرير المصروفات حسب الشهر'!$C$1397:$AD$1512,6,FALSE),0)</f>
        <v>4372</v>
      </c>
      <c r="P87" s="364">
        <f t="shared" ref="P87:P137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الشهر'!$C$10:$AD$119,6,FALSE),0)</f>
        <v>0</v>
      </c>
      <c r="E88" s="362">
        <f>IFERROR(VLOOKUP(C88,'تقرير المصروفات حسب الشهر'!$C$135:$AD$244,6,FALSE),0)</f>
        <v>0</v>
      </c>
      <c r="F88" s="362">
        <v>0</v>
      </c>
      <c r="G88" s="362">
        <f>IFERROR(VLOOKUP(C88,'تقرير المصروفات حسب الشهر'!$C$387:$AD$495,6,FALSE),0)</f>
        <v>0</v>
      </c>
      <c r="H88" s="362">
        <f>IFERROR(VLOOKUP(C88,'تقرير المصروفات حسب الشهر'!$C$512:$AD$620,6,FALSE),0)</f>
        <v>333</v>
      </c>
      <c r="I88" s="362">
        <f>IFERROR(VLOOKUP(C88,'تقرير المصروفات حسب الشهر'!$C$637:$AD$746,6,FALSE),0)</f>
        <v>240</v>
      </c>
      <c r="J88" s="362">
        <f>IFERROR(VLOOKUP(C88,'تقرير المصروفات حسب الشهر'!$C$763:$AD$872,6,FALSE),0)</f>
        <v>0</v>
      </c>
      <c r="K88" s="362">
        <f>IFERROR(VLOOKUP(C88,'تقرير المصروفات حسب الشهر'!$C$890:$AD$999,6,FALSE),0)</f>
        <v>0</v>
      </c>
      <c r="L88" s="362">
        <f>IFERROR(VLOOKUP(C88,'تقرير المصروفات حسب الشهر'!$C$1016:$AD$1126,6,FALSE),0)</f>
        <v>0</v>
      </c>
      <c r="M88" s="376">
        <f>IFERROR(VLOOKUP(C88,'تقرير المصروفات حسب الشهر'!$C$1143:$AD$1254,6,FALSE),0)</f>
        <v>0</v>
      </c>
      <c r="N88" s="376">
        <f>IFERROR(VLOOKUP(C88,'تقرير المصروفات حسب الشهر'!$C$1270:$AD$1381,6,FALSE),0)</f>
        <v>0</v>
      </c>
      <c r="O88" s="376">
        <f>IFERROR(VLOOKUP(C88,'تقرير المصروفات حسب الشهر'!$C$1397:$AD$1512,6,FALSE),0)</f>
        <v>0</v>
      </c>
      <c r="P88" s="364">
        <f t="shared" si="6"/>
        <v>573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الشهر'!$C$10:$AD$119,6,FALSE),0)</f>
        <v>0</v>
      </c>
      <c r="E89" s="362">
        <f>IFERROR(VLOOKUP(C89,'تقرير المصروفات حسب الشهر'!$C$135:$AD$244,6,FALSE),0)</f>
        <v>0</v>
      </c>
      <c r="F89" s="362">
        <v>0</v>
      </c>
      <c r="G89" s="362">
        <f>IFERROR(VLOOKUP(C89,'تقرير المصروفات حسب الشهر'!$C$387:$AD$495,6,FALSE),0)</f>
        <v>0</v>
      </c>
      <c r="H89" s="362">
        <f>IFERROR(VLOOKUP(C89,'تقرير المصروفات حسب الشهر'!$C$512:$AD$620,6,FALSE),0)</f>
        <v>0</v>
      </c>
      <c r="I89" s="362">
        <f>IFERROR(VLOOKUP(C89,'تقرير المصروفات حسب الشهر'!$C$637:$AD$746,6,FALSE),0)</f>
        <v>0</v>
      </c>
      <c r="J89" s="362">
        <f>IFERROR(VLOOKUP(C89,'تقرير المصروفات حسب الشهر'!$C$763:$AD$872,6,FALSE),0)</f>
        <v>0</v>
      </c>
      <c r="K89" s="362">
        <f>IFERROR(VLOOKUP(C89,'تقرير المصروفات حسب الشهر'!$C$890:$AD$999,6,FALSE),0)</f>
        <v>0</v>
      </c>
      <c r="L89" s="362">
        <f>IFERROR(VLOOKUP(C89,'تقرير المصروفات حسب الشهر'!$C$1016:$AD$1126,6,FALSE),0)</f>
        <v>0</v>
      </c>
      <c r="M89" s="376">
        <f>IFERROR(VLOOKUP(C89,'تقرير المصروفات حسب الشهر'!$C$1143:$AD$1254,6,FALSE),0)</f>
        <v>0</v>
      </c>
      <c r="N89" s="376">
        <f>IFERROR(VLOOKUP(C89,'تقرير المصروفات حسب الشهر'!$C$1270:$AD$1381,6,FALSE),0)</f>
        <v>0</v>
      </c>
      <c r="O89" s="376">
        <f>IFERROR(VLOOKUP(C89,'تقرير المصروفات حسب الشهر'!$C$1397:$AD$1512,6,FALSE),0)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الشهر'!$C$10:$AD$119,6,FALSE),0)</f>
        <v>0</v>
      </c>
      <c r="E90" s="362">
        <f>IFERROR(VLOOKUP(C90,'تقرير المصروفات حسب الشهر'!$C$135:$AD$244,6,FALSE),0)</f>
        <v>0</v>
      </c>
      <c r="F90" s="362">
        <v>0</v>
      </c>
      <c r="G90" s="362">
        <f>IFERROR(VLOOKUP(C90,'تقرير المصروفات حسب الشهر'!$C$387:$AD$495,6,FALSE),0)</f>
        <v>0</v>
      </c>
      <c r="H90" s="362">
        <f>IFERROR(VLOOKUP(C90,'تقرير المصروفات حسب الشهر'!$C$512:$AD$620,6,FALSE),0)</f>
        <v>0</v>
      </c>
      <c r="I90" s="362">
        <f>IFERROR(VLOOKUP(C90,'تقرير المصروفات حسب الشهر'!$C$637:$AD$746,6,FALSE),0)</f>
        <v>0</v>
      </c>
      <c r="J90" s="362">
        <f>IFERROR(VLOOKUP(C90,'تقرير المصروفات حسب الشهر'!$C$763:$AD$872,6,FALSE),0)</f>
        <v>0</v>
      </c>
      <c r="K90" s="362">
        <f>IFERROR(VLOOKUP(C90,'تقرير المصروفات حسب الشهر'!$C$890:$AD$999,6,FALSE),0)</f>
        <v>0</v>
      </c>
      <c r="L90" s="362">
        <f>IFERROR(VLOOKUP(C90,'تقرير المصروفات حسب الشهر'!$C$1016:$AD$1126,6,FALSE),0)</f>
        <v>0</v>
      </c>
      <c r="M90" s="376">
        <f>IFERROR(VLOOKUP(C90,'تقرير المصروفات حسب الشهر'!$C$1143:$AD$1254,6,FALSE),0)</f>
        <v>0</v>
      </c>
      <c r="N90" s="376">
        <f>IFERROR(VLOOKUP(C90,'تقرير المصروفات حسب الشهر'!$C$1270:$AD$1381,6,FALSE),0)</f>
        <v>0</v>
      </c>
      <c r="O90" s="376">
        <f>IFERROR(VLOOKUP(C90,'تقرير المصروفات حسب الشهر'!$C$1397:$AD$1512,6,FALSE),0)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الشهر'!$C$10:$AD$119,6,FALSE),0)</f>
        <v>2500</v>
      </c>
      <c r="E91" s="362">
        <f>IFERROR(VLOOKUP(C91,'تقرير المصروفات حسب الشهر'!$C$135:$AD$244,6,FALSE),0)</f>
        <v>2500</v>
      </c>
      <c r="F91" s="362">
        <v>2500</v>
      </c>
      <c r="G91" s="362">
        <f>IFERROR(VLOOKUP(C91,'تقرير المصروفات حسب الشهر'!$C$387:$AD$495,6,FALSE),0)</f>
        <v>2500</v>
      </c>
      <c r="H91" s="362">
        <f>IFERROR(VLOOKUP(C91,'تقرير المصروفات حسب الشهر'!$C$512:$AD$620,6,FALSE),0)</f>
        <v>2500</v>
      </c>
      <c r="I91" s="362">
        <f>IFERROR(VLOOKUP(C91,'تقرير المصروفات حسب الشهر'!$C$637:$AD$746,6,FALSE),0)</f>
        <v>2500</v>
      </c>
      <c r="J91" s="362">
        <f>IFERROR(VLOOKUP(C91,'تقرير المصروفات حسب الشهر'!$C$763:$AD$872,6,FALSE),0)</f>
        <v>2600</v>
      </c>
      <c r="K91" s="362">
        <f>IFERROR(VLOOKUP(C91,'تقرير المصروفات حسب الشهر'!$C$890:$AD$999,6,FALSE),0)</f>
        <v>2500</v>
      </c>
      <c r="L91" s="362">
        <f>IFERROR(VLOOKUP(C91,'تقرير المصروفات حسب الشهر'!$C$1016:$AD$1126,6,FALSE),0)</f>
        <v>2500</v>
      </c>
      <c r="M91" s="376">
        <f>IFERROR(VLOOKUP(C91,'تقرير المصروفات حسب الشهر'!$C$1143:$AD$1254,6,FALSE),0)</f>
        <v>2500</v>
      </c>
      <c r="N91" s="376">
        <f>IFERROR(VLOOKUP(C91,'تقرير المصروفات حسب الشهر'!$C$1270:$AD$1381,6,FALSE),0)</f>
        <v>4500</v>
      </c>
      <c r="O91" s="376">
        <f>IFERROR(VLOOKUP(C91,'تقرير المصروفات حسب الشهر'!$C$1397:$AD$1512,6,FALSE),0)</f>
        <v>2500</v>
      </c>
      <c r="P91" s="364">
        <f t="shared" si="6"/>
        <v>32100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الشهر'!$C$10:$AD$119,6,FALSE),0)</f>
        <v>0</v>
      </c>
      <c r="E92" s="362">
        <f>IFERROR(VLOOKUP(C92,'تقرير المصروفات حسب الشهر'!$C$135:$AD$244,6,FALSE),0)</f>
        <v>0</v>
      </c>
      <c r="F92" s="362">
        <v>0</v>
      </c>
      <c r="G92" s="362">
        <f>IFERROR(VLOOKUP(C92,'تقرير المصروفات حسب الشهر'!$C$387:$AD$495,6,FALSE),0)</f>
        <v>0</v>
      </c>
      <c r="H92" s="362">
        <f>IFERROR(VLOOKUP(C92,'تقرير المصروفات حسب الشهر'!$C$512:$AD$620,6,FALSE),0)</f>
        <v>0</v>
      </c>
      <c r="I92" s="362">
        <f>IFERROR(VLOOKUP(C92,'تقرير المصروفات حسب الشهر'!$C$637:$AD$746,6,FALSE),0)</f>
        <v>0</v>
      </c>
      <c r="J92" s="362">
        <f>IFERROR(VLOOKUP(C92,'تقرير المصروفات حسب الشهر'!$C$763:$AD$872,6,FALSE),0)</f>
        <v>5193</v>
      </c>
      <c r="K92" s="362">
        <f>IFERROR(VLOOKUP(C92,'تقرير المصروفات حسب الشهر'!$C$890:$AD$999,6,FALSE),0)</f>
        <v>0</v>
      </c>
      <c r="L92" s="362">
        <f>IFERROR(VLOOKUP(C92,'تقرير المصروفات حسب الشهر'!$C$1016:$AD$1126,6,FALSE),0)</f>
        <v>0</v>
      </c>
      <c r="M92" s="376">
        <f>IFERROR(VLOOKUP(C92,'تقرير المصروفات حسب الشهر'!$C$1143:$AD$1254,6,FALSE),0)</f>
        <v>0</v>
      </c>
      <c r="N92" s="376">
        <f>IFERROR(VLOOKUP(C92,'تقرير المصروفات حسب الشهر'!$C$1270:$AD$1381,6,FALSE),0)</f>
        <v>0</v>
      </c>
      <c r="O92" s="376">
        <f>IFERROR(VLOOKUP(C92,'تقرير المصروفات حسب الشهر'!$C$1397:$AD$1512,6,FALSE),0)</f>
        <v>0</v>
      </c>
      <c r="P92" s="364">
        <f t="shared" si="6"/>
        <v>5193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الشهر'!$C$10:$AD$119,6,FALSE),0)</f>
        <v>0</v>
      </c>
      <c r="E93" s="362">
        <f>IFERROR(VLOOKUP(C93,'تقرير المصروفات حسب الشهر'!$C$135:$AD$244,6,FALSE),0)</f>
        <v>1865</v>
      </c>
      <c r="F93" s="362">
        <v>0</v>
      </c>
      <c r="G93" s="362">
        <f>IFERROR(VLOOKUP(C93,'تقرير المصروفات حسب الشهر'!$C$387:$AD$495,6,FALSE),0)</f>
        <v>1243</v>
      </c>
      <c r="H93" s="362">
        <f>IFERROR(VLOOKUP(C93,'تقرير المصروفات حسب الشهر'!$C$512:$AD$620,6,FALSE),0)</f>
        <v>1865</v>
      </c>
      <c r="I93" s="362">
        <f>IFERROR(VLOOKUP(C93,'تقرير المصروفات حسب الشهر'!$C$637:$AD$746,6,FALSE),0)</f>
        <v>0</v>
      </c>
      <c r="J93" s="362">
        <f>IFERROR(VLOOKUP(C93,'تقرير المصروفات حسب الشهر'!$C$763:$AD$872,6,FALSE),0)</f>
        <v>668</v>
      </c>
      <c r="K93" s="362">
        <f>IFERROR(VLOOKUP(C93,'تقرير المصروفات حسب الشهر'!$C$890:$AD$999,6,FALSE),0)</f>
        <v>1331.8</v>
      </c>
      <c r="L93" s="362">
        <f>IFERROR(VLOOKUP(C93,'تقرير المصروفات حسب الشهر'!$C$1016:$AD$1126,6,FALSE),0)</f>
        <v>0</v>
      </c>
      <c r="M93" s="376">
        <f>IFERROR(VLOOKUP(C93,'تقرير المصروفات حسب الشهر'!$C$1143:$AD$1254,6,FALSE),0)</f>
        <v>0</v>
      </c>
      <c r="N93" s="376">
        <f>IFERROR(VLOOKUP(C93,'تقرير المصروفات حسب الشهر'!$C$1270:$AD$1381,6,FALSE),0)</f>
        <v>0</v>
      </c>
      <c r="O93" s="376">
        <f>IFERROR(VLOOKUP(C93,'تقرير المصروفات حسب الشهر'!$C$1397:$AD$1512,6,FALSE),0)</f>
        <v>0</v>
      </c>
      <c r="P93" s="364">
        <f t="shared" si="6"/>
        <v>6972.8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الشهر'!$C$10:$AD$119,6,FALSE),0)</f>
        <v>719.31</v>
      </c>
      <c r="E94" s="362">
        <f>IFERROR(VLOOKUP(C94,'تقرير المصروفات حسب الشهر'!$C$135:$AD$244,6,FALSE),0)</f>
        <v>719.31</v>
      </c>
      <c r="F94" s="362">
        <v>719.31</v>
      </c>
      <c r="G94" s="362">
        <f>IFERROR(VLOOKUP(C94,'تقرير المصروفات حسب الشهر'!$C$387:$AD$495,6,FALSE),0)</f>
        <v>1142.31</v>
      </c>
      <c r="H94" s="362">
        <f>IFERROR(VLOOKUP(C94,'تقرير المصروفات حسب الشهر'!$C$512:$AD$620,6,FALSE),0)</f>
        <v>296.31</v>
      </c>
      <c r="I94" s="362">
        <f>IFERROR(VLOOKUP(C94,'تقرير المصروفات حسب الشهر'!$C$637:$AD$746,6,FALSE),0)</f>
        <v>719.3</v>
      </c>
      <c r="J94" s="362">
        <f>IFERROR(VLOOKUP(C94,'تقرير المصروفات حسب الشهر'!$C$763:$AD$872,6,FALSE),0)</f>
        <v>823.96</v>
      </c>
      <c r="K94" s="362">
        <f>IFERROR(VLOOKUP(C94,'تقرير المصروفات حسب الشهر'!$C$890:$AD$999,6,FALSE),0)</f>
        <v>1108.96</v>
      </c>
      <c r="L94" s="362">
        <f>IFERROR(VLOOKUP(C94,'تقرير المصروفات حسب الشهر'!$C$1016:$AD$1126,6,FALSE),0)</f>
        <v>823.96</v>
      </c>
      <c r="M94" s="376">
        <f>IFERROR(VLOOKUP(C94,'تقرير المصروفات حسب الشهر'!$C$1143:$AD$1254,6,FALSE),0)</f>
        <v>823.96</v>
      </c>
      <c r="N94" s="376">
        <f>IFERROR(VLOOKUP(C94,'تقرير المصروفات حسب الشهر'!$C$1270:$AD$1381,6,FALSE),0)</f>
        <v>823.96</v>
      </c>
      <c r="O94" s="376">
        <f>IFERROR(VLOOKUP(C94,'تقرير المصروفات حسب الشهر'!$C$1397:$AD$1512,6,FALSE),0)</f>
        <v>833.96</v>
      </c>
      <c r="P94" s="364">
        <f t="shared" si="6"/>
        <v>9554.61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الشهر'!$C$10:$AD$119,6,FALSE),0)</f>
        <v>0</v>
      </c>
      <c r="E95" s="362">
        <f>IFERROR(VLOOKUP(C95,'تقرير المصروفات حسب الشهر'!$C$135:$AD$244,6,FALSE),0)</f>
        <v>0</v>
      </c>
      <c r="F95" s="362">
        <v>0</v>
      </c>
      <c r="G95" s="362">
        <f>IFERROR(VLOOKUP(C95,'تقرير المصروفات حسب الشهر'!$C$387:$AD$495,6,FALSE),0)</f>
        <v>0</v>
      </c>
      <c r="H95" s="362">
        <f>IFERROR(VLOOKUP(C95,'تقرير المصروفات حسب الشهر'!$C$512:$AD$620,6,FALSE),0)</f>
        <v>0</v>
      </c>
      <c r="I95" s="362">
        <f>IFERROR(VLOOKUP(C95,'تقرير المصروفات حسب الشهر'!$C$637:$AD$746,6,FALSE),0)</f>
        <v>0</v>
      </c>
      <c r="J95" s="362">
        <f>IFERROR(VLOOKUP(C95,'تقرير المصروفات حسب الشهر'!$C$763:$AD$872,6,FALSE),0)</f>
        <v>0</v>
      </c>
      <c r="K95" s="362">
        <f>IFERROR(VLOOKUP(C95,'تقرير المصروفات حسب الشهر'!$C$890:$AD$999,6,FALSE),0)</f>
        <v>0</v>
      </c>
      <c r="L95" s="362">
        <f>IFERROR(VLOOKUP(C95,'تقرير المصروفات حسب الشهر'!$C$1016:$AD$1126,6,FALSE),0)</f>
        <v>2130</v>
      </c>
      <c r="M95" s="376">
        <f>IFERROR(VLOOKUP(C95,'تقرير المصروفات حسب الشهر'!$C$1143:$AD$1254,6,FALSE),0)</f>
        <v>1065</v>
      </c>
      <c r="N95" s="376">
        <f>IFERROR(VLOOKUP(C95,'تقرير المصروفات حسب الشهر'!$C$1270:$AD$1381,6,FALSE),0)</f>
        <v>1065</v>
      </c>
      <c r="O95" s="376">
        <f>IFERROR(VLOOKUP(C95,'تقرير المصروفات حسب الشهر'!$C$1397:$AD$1512,6,FALSE),0)</f>
        <v>15759</v>
      </c>
      <c r="P95" s="364">
        <f t="shared" si="6"/>
        <v>20019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الشهر'!$C$10:$AD$119,6,FALSE),0)</f>
        <v>0</v>
      </c>
      <c r="E96" s="362">
        <f>IFERROR(VLOOKUP(C96,'تقرير المصروفات حسب الشهر'!$C$135:$AD$244,6,FALSE),0)</f>
        <v>0</v>
      </c>
      <c r="F96" s="362">
        <v>0</v>
      </c>
      <c r="G96" s="362">
        <f>IFERROR(VLOOKUP(C96,'تقرير المصروفات حسب الشهر'!$C$387:$AD$495,6,FALSE),0)</f>
        <v>0</v>
      </c>
      <c r="H96" s="362">
        <f>IFERROR(VLOOKUP(C96,'تقرير المصروفات حسب الشهر'!$C$512:$AD$620,6,FALSE),0)</f>
        <v>0</v>
      </c>
      <c r="I96" s="362">
        <f>IFERROR(VLOOKUP(C96,'تقرير المصروفات حسب الشهر'!$C$637:$AD$746,6,FALSE),0)</f>
        <v>0</v>
      </c>
      <c r="J96" s="362">
        <f>IFERROR(VLOOKUP(C96,'تقرير المصروفات حسب الشهر'!$C$763:$AD$872,6,FALSE),0)</f>
        <v>0</v>
      </c>
      <c r="K96" s="362">
        <f>IFERROR(VLOOKUP(C96,'تقرير المصروفات حسب الشهر'!$C$890:$AD$999,6,FALSE),0)</f>
        <v>0</v>
      </c>
      <c r="L96" s="362">
        <f>IFERROR(VLOOKUP(C96,'تقرير المصروفات حسب الشهر'!$C$1016:$AD$1126,6,FALSE),0)</f>
        <v>0</v>
      </c>
      <c r="M96" s="376">
        <f>IFERROR(VLOOKUP(C96,'تقرير المصروفات حسب الشهر'!$C$1143:$AD$1254,6,FALSE),0)</f>
        <v>0</v>
      </c>
      <c r="N96" s="376">
        <f>IFERROR(VLOOKUP(C96,'تقرير المصروفات حسب الشهر'!$C$1270:$AD$1381,6,FALSE),0)</f>
        <v>0</v>
      </c>
      <c r="O96" s="376">
        <f>IFERROR(VLOOKUP(C96,'تقرير المصروفات حسب الشهر'!$C$1397:$AD$1512,6,FALSE),0)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الشهر'!$C$10:$AD$119,6,FALSE),0)</f>
        <v>0</v>
      </c>
      <c r="E97" s="362">
        <f>IFERROR(VLOOKUP(C97,'تقرير المصروفات حسب الشهر'!$C$135:$AD$244,6,FALSE),0)</f>
        <v>0</v>
      </c>
      <c r="F97" s="362">
        <v>0</v>
      </c>
      <c r="G97" s="362">
        <f>IFERROR(VLOOKUP(C97,'تقرير المصروفات حسب الشهر'!$C$387:$AD$495,6,FALSE),0)</f>
        <v>0</v>
      </c>
      <c r="H97" s="362">
        <f>IFERROR(VLOOKUP(C97,'تقرير المصروفات حسب الشهر'!$C$512:$AD$620,6,FALSE),0)</f>
        <v>0</v>
      </c>
      <c r="I97" s="362">
        <f>IFERROR(VLOOKUP(C97,'تقرير المصروفات حسب الشهر'!$C$637:$AD$746,6,FALSE),0)</f>
        <v>0</v>
      </c>
      <c r="J97" s="362">
        <f>IFERROR(VLOOKUP(C97,'تقرير المصروفات حسب الشهر'!$C$763:$AD$872,6,FALSE),0)</f>
        <v>0</v>
      </c>
      <c r="K97" s="362">
        <f>IFERROR(VLOOKUP(C97,'تقرير المصروفات حسب الشهر'!$C$890:$AD$999,6,FALSE),0)</f>
        <v>0</v>
      </c>
      <c r="L97" s="362">
        <f>IFERROR(VLOOKUP(C97,'تقرير المصروفات حسب الشهر'!$C$1016:$AD$1126,6,FALSE),0)</f>
        <v>0</v>
      </c>
      <c r="M97" s="376">
        <f>IFERROR(VLOOKUP(C97,'تقرير المصروفات حسب الشهر'!$C$1143:$AD$1254,6,FALSE),0)</f>
        <v>0</v>
      </c>
      <c r="N97" s="376">
        <f>IFERROR(VLOOKUP(C97,'تقرير المصروفات حسب الشهر'!$C$1270:$AD$1381,6,FALSE),0)</f>
        <v>0</v>
      </c>
      <c r="O97" s="376">
        <f>IFERROR(VLOOKUP(C97,'تقرير المصروفات حسب الشهر'!$C$1397:$AD$1512,6,FALSE),0)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الشهر'!$C$10:$AD$119,6,FALSE),0)</f>
        <v>9.2899999999999991</v>
      </c>
      <c r="E98" s="362">
        <f>IFERROR(VLOOKUP(C98,'تقرير المصروفات حسب الشهر'!$C$135:$AD$244,6,FALSE),0)</f>
        <v>0</v>
      </c>
      <c r="F98" s="362">
        <v>0</v>
      </c>
      <c r="G98" s="362">
        <f>IFERROR(VLOOKUP(C98,'تقرير المصروفات حسب الشهر'!$C$387:$AD$495,6,FALSE),0)</f>
        <v>0</v>
      </c>
      <c r="H98" s="362">
        <f>IFERROR(VLOOKUP(C98,'تقرير المصروفات حسب الشهر'!$C$512:$AD$620,6,FALSE),0)</f>
        <v>0</v>
      </c>
      <c r="I98" s="362">
        <f>IFERROR(VLOOKUP(C98,'تقرير المصروفات حسب الشهر'!$C$637:$AD$746,6,FALSE),0)</f>
        <v>0</v>
      </c>
      <c r="J98" s="362">
        <f>IFERROR(VLOOKUP(C98,'تقرير المصروفات حسب الشهر'!$C$763:$AD$872,6,FALSE),0)</f>
        <v>0</v>
      </c>
      <c r="K98" s="362">
        <f>IFERROR(VLOOKUP(C98,'تقرير المصروفات حسب الشهر'!$C$890:$AD$999,6,FALSE),0)</f>
        <v>0</v>
      </c>
      <c r="L98" s="362">
        <f>IFERROR(VLOOKUP(C98,'تقرير المصروفات حسب الشهر'!$C$1016:$AD$1126,6,FALSE),0)</f>
        <v>0</v>
      </c>
      <c r="M98" s="376">
        <f>IFERROR(VLOOKUP(C98,'تقرير المصروفات حسب الشهر'!$C$1143:$AD$1254,6,FALSE),0)</f>
        <v>0</v>
      </c>
      <c r="N98" s="376">
        <f>IFERROR(VLOOKUP(C98,'تقرير المصروفات حسب الشهر'!$C$1270:$AD$1381,6,FALSE),0)</f>
        <v>0</v>
      </c>
      <c r="O98" s="376">
        <f>IFERROR(VLOOKUP(C98,'تقرير المصروفات حسب الشهر'!$C$1397:$AD$1512,6,FALSE),0)</f>
        <v>0</v>
      </c>
      <c r="P98" s="364">
        <f t="shared" si="6"/>
        <v>9.2899999999999991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الشهر'!$C$10:$AD$119,6,FALSE),0)</f>
        <v>457.42</v>
      </c>
      <c r="E99" s="362">
        <f>IFERROR(VLOOKUP(C99,'تقرير المصروفات حسب الشهر'!$C$135:$AD$244,6,FALSE),0)</f>
        <v>457.42</v>
      </c>
      <c r="F99" s="362">
        <v>457.42</v>
      </c>
      <c r="G99" s="362">
        <f>IFERROR(VLOOKUP(C99,'تقرير المصروفات حسب الشهر'!$C$387:$AD$495,6,FALSE),0)</f>
        <v>457.42</v>
      </c>
      <c r="H99" s="362">
        <f>IFERROR(VLOOKUP(C99,'تقرير المصروفات حسب الشهر'!$C$512:$AD$620,6,FALSE),0)</f>
        <v>457.42</v>
      </c>
      <c r="I99" s="362">
        <f>IFERROR(VLOOKUP(C99,'تقرير المصروفات حسب الشهر'!$C$637:$AD$746,6,FALSE),0)</f>
        <v>457.42</v>
      </c>
      <c r="J99" s="362">
        <f>IFERROR(VLOOKUP(C99,'تقرير المصروفات حسب الشهر'!$C$763:$AD$872,6,FALSE),0)</f>
        <v>457.42</v>
      </c>
      <c r="K99" s="362">
        <f>IFERROR(VLOOKUP(C99,'تقرير المصروفات حسب الشهر'!$C$890:$AD$999,6,FALSE),0)</f>
        <v>417.89</v>
      </c>
      <c r="L99" s="362">
        <f>IFERROR(VLOOKUP(C99,'تقرير المصروفات حسب الشهر'!$C$1016:$AD$1126,6,FALSE),0)</f>
        <v>385.17</v>
      </c>
      <c r="M99" s="376">
        <f>IFERROR(VLOOKUP(C99,'تقرير المصروفات حسب الشهر'!$C$1143:$AD$1254,6,FALSE),0)</f>
        <v>385.17</v>
      </c>
      <c r="N99" s="376">
        <f>IFERROR(VLOOKUP(C99,'تقرير المصروفات حسب الشهر'!$C$1270:$AD$1381,6,FALSE),0)</f>
        <v>385.13</v>
      </c>
      <c r="O99" s="376">
        <f>IFERROR(VLOOKUP(C99,'تقرير المصروفات حسب الشهر'!$C$1397:$AD$1512,6,FALSE),0)</f>
        <v>0</v>
      </c>
      <c r="P99" s="364">
        <f t="shared" si="6"/>
        <v>4775.3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الشهر'!$C$10:$AD$119,6,FALSE),0)</f>
        <v>1228.1500000000001</v>
      </c>
      <c r="E100" s="362">
        <f>IFERROR(VLOOKUP(C100,'تقرير المصروفات حسب الشهر'!$C$135:$AD$244,6,FALSE),0)</f>
        <v>1431.03</v>
      </c>
      <c r="F100" s="362">
        <v>1571.19</v>
      </c>
      <c r="G100" s="362">
        <f>IFERROR(VLOOKUP(C100,'تقرير المصروفات حسب الشهر'!$C$387:$AD$495,6,FALSE),0)</f>
        <v>1538.83</v>
      </c>
      <c r="H100" s="362">
        <f>IFERROR(VLOOKUP(C100,'تقرير المصروفات حسب الشهر'!$C$512:$AD$620,6,FALSE),0)</f>
        <v>1518.06</v>
      </c>
      <c r="I100" s="362">
        <f>IFERROR(VLOOKUP(C100,'تقرير المصروفات حسب الشهر'!$C$637:$AD$746,6,FALSE),0)</f>
        <v>1590.88</v>
      </c>
      <c r="J100" s="362">
        <f>IFERROR(VLOOKUP(C100,'تقرير المصروفات حسب الشهر'!$C$763:$AD$872,6,FALSE),0)</f>
        <v>1865.74</v>
      </c>
      <c r="K100" s="362">
        <f>IFERROR(VLOOKUP(C100,'تقرير المصروفات حسب الشهر'!$C$890:$AD$999,6,FALSE),0)</f>
        <v>1825.08</v>
      </c>
      <c r="L100" s="362">
        <f>IFERROR(VLOOKUP(C100,'تقرير المصروفات حسب الشهر'!$C$1016:$AD$1126,6,FALSE),0)</f>
        <v>1988.32</v>
      </c>
      <c r="M100" s="376">
        <f>IFERROR(VLOOKUP(C100,'تقرير المصروفات حسب الشهر'!$C$1143:$AD$1254,6,FALSE),0)</f>
        <v>2013.41</v>
      </c>
      <c r="N100" s="376">
        <f>IFERROR(VLOOKUP(C100,'تقرير المصروفات حسب الشهر'!$C$1270:$AD$1381,6,FALSE),0)</f>
        <v>2013.31</v>
      </c>
      <c r="O100" s="376">
        <f>IFERROR(VLOOKUP(C100,'تقرير المصروفات حسب الشهر'!$C$1397:$AD$1512,6,FALSE),0)</f>
        <v>1045.81</v>
      </c>
      <c r="P100" s="364">
        <f t="shared" si="6"/>
        <v>19629.810000000001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الشهر'!$C$10:$AD$119,6,FALSE),0)</f>
        <v>127.61</v>
      </c>
      <c r="E101" s="362">
        <f>IFERROR(VLOOKUP(C101,'تقرير المصروفات حسب الشهر'!$C$135:$AD$244,6,FALSE),0)</f>
        <v>127.61</v>
      </c>
      <c r="F101" s="362">
        <v>127.61</v>
      </c>
      <c r="G101" s="362">
        <f>IFERROR(VLOOKUP(C101,'تقرير المصروفات حسب الشهر'!$C$387:$AD$495,6,FALSE),0)</f>
        <v>127.61</v>
      </c>
      <c r="H101" s="362">
        <f>IFERROR(VLOOKUP(C101,'تقرير المصروفات حسب الشهر'!$C$512:$AD$620,6,FALSE),0)</f>
        <v>127.61</v>
      </c>
      <c r="I101" s="362">
        <f>IFERROR(VLOOKUP(C101,'تقرير المصروفات حسب الشهر'!$C$637:$AD$746,6,FALSE),0)</f>
        <v>127.55</v>
      </c>
      <c r="J101" s="362">
        <f>IFERROR(VLOOKUP(C101,'تقرير المصروفات حسب الشهر'!$C$763:$AD$872,6,FALSE),0)</f>
        <v>217.87</v>
      </c>
      <c r="K101" s="362">
        <f>IFERROR(VLOOKUP(C101,'تقرير المصروفات حسب الشهر'!$C$890:$AD$999,6,FALSE),0)</f>
        <v>202.6</v>
      </c>
      <c r="L101" s="362">
        <f>IFERROR(VLOOKUP(C101,'تقرير المصروفات حسب الشهر'!$C$1016:$AD$1126,6,FALSE),0)</f>
        <v>164.43</v>
      </c>
      <c r="M101" s="376">
        <f>IFERROR(VLOOKUP(C101,'تقرير المصروفات حسب الشهر'!$C$1143:$AD$1254,6,FALSE),0)</f>
        <v>164.43</v>
      </c>
      <c r="N101" s="376">
        <f>IFERROR(VLOOKUP(C101,'تقرير المصروفات حسب الشهر'!$C$1270:$AD$1381,6,FALSE),0)</f>
        <v>164.39</v>
      </c>
      <c r="O101" s="376">
        <f>IFERROR(VLOOKUP(C101,'تقرير المصروفات حسب الشهر'!$C$1397:$AD$1512,6,FALSE),0)</f>
        <v>90.26</v>
      </c>
      <c r="P101" s="364">
        <f t="shared" si="6"/>
        <v>1769.5800000000002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الشهر'!$C$10:$AD$119,6,FALSE),0)</f>
        <v>929.54</v>
      </c>
      <c r="E102" s="362">
        <f>IFERROR(VLOOKUP(C102,'تقرير المصروفات حسب الشهر'!$C$135:$AD$244,6,FALSE),0)</f>
        <v>888.82</v>
      </c>
      <c r="F102" s="362">
        <v>888.82</v>
      </c>
      <c r="G102" s="362">
        <f>IFERROR(VLOOKUP(C102,'تقرير المصروفات حسب الشهر'!$C$387:$AD$495,6,FALSE),0)</f>
        <v>888.82</v>
      </c>
      <c r="H102" s="362">
        <f>IFERROR(VLOOKUP(C102,'تقرير المصروفات حسب الشهر'!$C$512:$AD$620,6,FALSE),0)</f>
        <v>888.82</v>
      </c>
      <c r="I102" s="362">
        <f>IFERROR(VLOOKUP(C102,'تقرير المصروفات حسب الشهر'!$C$637:$AD$746,6,FALSE),0)</f>
        <v>888.82</v>
      </c>
      <c r="J102" s="362">
        <f>IFERROR(VLOOKUP(C102,'تقرير المصروفات حسب الشهر'!$C$763:$AD$872,6,FALSE),0)</f>
        <v>888.82</v>
      </c>
      <c r="K102" s="362">
        <f>IFERROR(VLOOKUP(C102,'تقرير المصروفات حسب الشهر'!$C$890:$AD$999,6,FALSE),0)</f>
        <v>888.82</v>
      </c>
      <c r="L102" s="362">
        <f>IFERROR(VLOOKUP(C102,'تقرير المصروفات حسب الشهر'!$C$1016:$AD$1126,6,FALSE),0)</f>
        <v>888.82</v>
      </c>
      <c r="M102" s="376">
        <f>IFERROR(VLOOKUP(C102,'تقرير المصروفات حسب الشهر'!$C$1143:$AD$1254,6,FALSE),0)</f>
        <v>888.82</v>
      </c>
      <c r="N102" s="376">
        <f>IFERROR(VLOOKUP(C102,'تقرير المصروفات حسب الشهر'!$C$1270:$AD$1381,6,FALSE),0)</f>
        <v>888.71</v>
      </c>
      <c r="O102" s="376">
        <f>IFERROR(VLOOKUP(C102,'تقرير المصروفات حسب الشهر'!$C$1397:$AD$1512,6,FALSE),0)</f>
        <v>13.88</v>
      </c>
      <c r="P102" s="364">
        <f t="shared" si="6"/>
        <v>9831.51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الشهر'!$C$10:$AD$119,6,FALSE),0)</f>
        <v>485.59</v>
      </c>
      <c r="E103" s="362">
        <f>IFERROR(VLOOKUP(C103,'تقرير المصروفات حسب الشهر'!$C$135:$AD$244,6,FALSE),0)</f>
        <v>415.11</v>
      </c>
      <c r="F103" s="362">
        <v>0</v>
      </c>
      <c r="G103" s="362">
        <f>IFERROR(VLOOKUP(C103,'تقرير المصروفات حسب الشهر'!$C$387:$AD$495,6,FALSE),0)</f>
        <v>0</v>
      </c>
      <c r="H103" s="362">
        <f>IFERROR(VLOOKUP(C103,'تقرير المصروفات حسب الشهر'!$C$512:$AD$620,6,FALSE),0)</f>
        <v>0</v>
      </c>
      <c r="I103" s="362">
        <f>IFERROR(VLOOKUP(C103,'تقرير المصروفات حسب الشهر'!$C$637:$AD$746,6,FALSE),0)</f>
        <v>0</v>
      </c>
      <c r="J103" s="362">
        <f>IFERROR(VLOOKUP(C103,'تقرير المصروفات حسب الشهر'!$C$763:$AD$872,6,FALSE),0)</f>
        <v>0</v>
      </c>
      <c r="K103" s="362">
        <f>IFERROR(VLOOKUP(C103,'تقرير المصروفات حسب الشهر'!$C$890:$AD$999,6,FALSE),0)</f>
        <v>0</v>
      </c>
      <c r="L103" s="362">
        <f>IFERROR(VLOOKUP(C103,'تقرير المصروفات حسب الشهر'!$C$1016:$AD$1126,6,FALSE),0)</f>
        <v>0</v>
      </c>
      <c r="M103" s="376">
        <f>IFERROR(VLOOKUP(C103,'تقرير المصروفات حسب الشهر'!$C$1143:$AD$1254,6,FALSE),0)</f>
        <v>0</v>
      </c>
      <c r="N103" s="376">
        <f>IFERROR(VLOOKUP(C103,'تقرير المصروفات حسب الشهر'!$C$1270:$AD$1381,6,FALSE),0)</f>
        <v>0</v>
      </c>
      <c r="O103" s="376">
        <f>IFERROR(VLOOKUP(C103,'تقرير المصروفات حسب الشهر'!$C$1397:$AD$1512,6,FALSE),0)</f>
        <v>0</v>
      </c>
      <c r="P103" s="364">
        <f t="shared" si="6"/>
        <v>900.7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الشهر'!$C$10:$AD$119,6,FALSE),0)</f>
        <v>0</v>
      </c>
      <c r="E104" s="362">
        <f>IFERROR(VLOOKUP(C104,'تقرير المصروفات حسب الشهر'!$C$135:$AD$244,6,FALSE),0)</f>
        <v>0</v>
      </c>
      <c r="F104" s="362">
        <v>0</v>
      </c>
      <c r="G104" s="362">
        <f>IFERROR(VLOOKUP(C104,'تقرير المصروفات حسب الشهر'!$C$387:$AD$495,6,FALSE),0)</f>
        <v>0</v>
      </c>
      <c r="H104" s="362">
        <f>IFERROR(VLOOKUP(C104,'تقرير المصروفات حسب الشهر'!$C$512:$AD$620,6,FALSE),0)</f>
        <v>0</v>
      </c>
      <c r="I104" s="362">
        <f>IFERROR(VLOOKUP(C104,'تقرير المصروفات حسب الشهر'!$C$637:$AD$746,6,FALSE),0)</f>
        <v>0</v>
      </c>
      <c r="J104" s="362">
        <f>IFERROR(VLOOKUP(C104,'تقرير المصروفات حسب الشهر'!$C$763:$AD$872,6,FALSE),0)</f>
        <v>0</v>
      </c>
      <c r="K104" s="362">
        <f>IFERROR(VLOOKUP(C104,'تقرير المصروفات حسب الشهر'!$C$890:$AD$999,6,FALSE),0)</f>
        <v>0</v>
      </c>
      <c r="L104" s="362">
        <f>IFERROR(VLOOKUP(C104,'تقرير المصروفات حسب الشهر'!$C$1016:$AD$1126,6,FALSE),0)</f>
        <v>0</v>
      </c>
      <c r="M104" s="376">
        <f>IFERROR(VLOOKUP(C104,'تقرير المصروفات حسب الشهر'!$C$1143:$AD$1254,6,FALSE),0)</f>
        <v>0</v>
      </c>
      <c r="N104" s="376">
        <f>IFERROR(VLOOKUP(C104,'تقرير المصروفات حسب الشهر'!$C$1270:$AD$1381,6,FALSE),0)</f>
        <v>0</v>
      </c>
      <c r="O104" s="376">
        <f>IFERROR(VLOOKUP(C104,'تقرير المصروفات حسب الشهر'!$C$1397:$AD$1512,6,FALSE),0)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الشهر'!$C$10:$AD$119,6,FALSE),0)</f>
        <v>0</v>
      </c>
      <c r="E105" s="362">
        <f>IFERROR(VLOOKUP(C105,'تقرير المصروفات حسب الشهر'!$C$135:$AD$244,6,FALSE),0)</f>
        <v>0</v>
      </c>
      <c r="F105" s="362">
        <v>0</v>
      </c>
      <c r="G105" s="362">
        <f>IFERROR(VLOOKUP(C105,'تقرير المصروفات حسب الشهر'!$C$387:$AD$495,6,FALSE),0)</f>
        <v>0</v>
      </c>
      <c r="H105" s="362">
        <f>IFERROR(VLOOKUP(C105,'تقرير المصروفات حسب الشهر'!$C$512:$AD$620,6,FALSE),0)</f>
        <v>0</v>
      </c>
      <c r="I105" s="362">
        <f>IFERROR(VLOOKUP(C105,'تقرير المصروفات حسب الشهر'!$C$637:$AD$746,6,FALSE),0)</f>
        <v>0</v>
      </c>
      <c r="J105" s="362">
        <f>IFERROR(VLOOKUP(C105,'تقرير المصروفات حسب الشهر'!$C$763:$AD$872,6,FALSE),0)</f>
        <v>0</v>
      </c>
      <c r="K105" s="362">
        <f>IFERROR(VLOOKUP(C105,'تقرير المصروفات حسب الشهر'!$C$890:$AD$999,6,FALSE),0)</f>
        <v>0</v>
      </c>
      <c r="L105" s="362">
        <f>IFERROR(VLOOKUP(C105,'تقرير المصروفات حسب الشهر'!$C$1016:$AD$1126,6,FALSE),0)</f>
        <v>0</v>
      </c>
      <c r="M105" s="376">
        <f>IFERROR(VLOOKUP(C105,'تقرير المصروفات حسب الشهر'!$C$1143:$AD$1254,6,FALSE),0)</f>
        <v>0</v>
      </c>
      <c r="N105" s="376">
        <f>IFERROR(VLOOKUP(C105,'تقرير المصروفات حسب الشهر'!$C$1270:$AD$1381,6,FALSE),0)</f>
        <v>0</v>
      </c>
      <c r="O105" s="376">
        <f>IFERROR(VLOOKUP(C105,'تقرير المصروفات حسب الشهر'!$C$1397:$AD$1512,6,FALSE),0)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الشهر'!$C$10:$AD$119,6,FALSE),0)</f>
        <v>5496.46</v>
      </c>
      <c r="E106" s="362">
        <f>IFERROR(VLOOKUP(C106,'تقرير المصروفات حسب الشهر'!$C$135:$AD$244,6,FALSE),0)</f>
        <v>4139.2</v>
      </c>
      <c r="F106" s="362">
        <v>4878.78</v>
      </c>
      <c r="G106" s="362">
        <f>IFERROR(VLOOKUP(C106,'تقرير المصروفات حسب الشهر'!$C$387:$AD$495,6,FALSE),0)</f>
        <v>4522.3</v>
      </c>
      <c r="H106" s="362">
        <f>IFERROR(VLOOKUP(C106,'تقرير المصروفات حسب الشهر'!$C$512:$AD$620,6,FALSE),0)</f>
        <v>3096.51</v>
      </c>
      <c r="I106" s="362">
        <f>IFERROR(VLOOKUP(C106,'تقرير المصروفات حسب الشهر'!$C$637:$AD$746,6,FALSE),0)</f>
        <v>3527.51</v>
      </c>
      <c r="J106" s="362">
        <f>IFERROR(VLOOKUP(C106,'تقرير المصروفات حسب الشهر'!$C$763:$AD$872,6,FALSE),0)</f>
        <v>4021.25</v>
      </c>
      <c r="K106" s="362">
        <f>IFERROR(VLOOKUP(C106,'تقرير المصروفات حسب الشهر'!$C$890:$AD$999,6,FALSE),0)</f>
        <v>4354.43</v>
      </c>
      <c r="L106" s="362">
        <f>IFERROR(VLOOKUP(C106,'تقرير المصروفات حسب الشهر'!$C$1016:$AD$1126,6,FALSE),0)</f>
        <v>5799.44</v>
      </c>
      <c r="M106" s="376">
        <f>IFERROR(VLOOKUP(C106,'تقرير المصروفات حسب الشهر'!$C$1143:$AD$1254,6,FALSE),0)</f>
        <v>4882.3099999999995</v>
      </c>
      <c r="N106" s="376">
        <f>IFERROR(VLOOKUP(C106,'تقرير المصروفات حسب الشهر'!$C$1270:$AD$1381,6,FALSE),0)</f>
        <v>4822.34</v>
      </c>
      <c r="O106" s="376">
        <f>IFERROR(VLOOKUP(C106,'تقرير المصروفات حسب الشهر'!$C$1397:$AD$1512,6,FALSE),0)</f>
        <v>4703.29</v>
      </c>
      <c r="P106" s="364">
        <f t="shared" si="6"/>
        <v>54243.82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الشهر'!$C$10:$AD$119,6,FALSE),0)</f>
        <v>0</v>
      </c>
      <c r="E107" s="362">
        <f>IFERROR(VLOOKUP(C107,'تقرير المصروفات حسب الشهر'!$C$135:$AD$244,6,FALSE),0)</f>
        <v>0</v>
      </c>
      <c r="F107" s="362">
        <v>0</v>
      </c>
      <c r="G107" s="362">
        <f>IFERROR(VLOOKUP(C107,'تقرير المصروفات حسب الشهر'!$C$387:$AD$495,6,FALSE),0)</f>
        <v>0</v>
      </c>
      <c r="H107" s="362">
        <f>IFERROR(VLOOKUP(C107,'تقرير المصروفات حسب الشهر'!$C$512:$AD$620,6,FALSE),0)</f>
        <v>0</v>
      </c>
      <c r="I107" s="362">
        <f>IFERROR(VLOOKUP(C107,'تقرير المصروفات حسب الشهر'!$C$637:$AD$746,6,FALSE),0)</f>
        <v>0</v>
      </c>
      <c r="J107" s="362">
        <f>IFERROR(VLOOKUP(C107,'تقرير المصروفات حسب الشهر'!$C$763:$AD$872,6,FALSE),0)</f>
        <v>0</v>
      </c>
      <c r="K107" s="362">
        <f>IFERROR(VLOOKUP(C107,'تقرير المصروفات حسب الشهر'!$C$890:$AD$999,6,FALSE),0)</f>
        <v>0</v>
      </c>
      <c r="L107" s="362">
        <f>IFERROR(VLOOKUP(C107,'تقرير المصروفات حسب الشهر'!$C$1016:$AD$1126,6,FALSE),0)</f>
        <v>0</v>
      </c>
      <c r="M107" s="376">
        <f>IFERROR(VLOOKUP(C107,'تقرير المصروفات حسب الشهر'!$C$1143:$AD$1254,6,FALSE),0)</f>
        <v>0</v>
      </c>
      <c r="N107" s="376">
        <f>IFERROR(VLOOKUP(C107,'تقرير المصروفات حسب الشهر'!$C$1270:$AD$1381,6,FALSE),0)</f>
        <v>0</v>
      </c>
      <c r="O107" s="376">
        <f>IFERROR(VLOOKUP(C107,'تقرير المصروفات حسب الشهر'!$C$1397:$AD$1512,6,FALSE),0)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الشهر'!$C$10:$AD$119,6,FALSE),0)</f>
        <v>0</v>
      </c>
      <c r="E108" s="362">
        <f>IFERROR(VLOOKUP(C108,'تقرير المصروفات حسب الشهر'!$C$135:$AD$244,6,FALSE),0)</f>
        <v>0</v>
      </c>
      <c r="F108" s="362">
        <v>0</v>
      </c>
      <c r="G108" s="362">
        <f>IFERROR(VLOOKUP(C108,'تقرير المصروفات حسب الشهر'!$C$387:$AD$495,6,FALSE),0)</f>
        <v>0</v>
      </c>
      <c r="H108" s="362">
        <f>IFERROR(VLOOKUP(C108,'تقرير المصروفات حسب الشهر'!$C$512:$AD$620,6,FALSE),0)</f>
        <v>0</v>
      </c>
      <c r="I108" s="362">
        <f>IFERROR(VLOOKUP(C108,'تقرير المصروفات حسب الشهر'!$C$637:$AD$746,6,FALSE),0)</f>
        <v>0</v>
      </c>
      <c r="J108" s="362">
        <f>IFERROR(VLOOKUP(C108,'تقرير المصروفات حسب الشهر'!$C$763:$AD$872,6,FALSE),0)</f>
        <v>0</v>
      </c>
      <c r="K108" s="362">
        <f>IFERROR(VLOOKUP(C108,'تقرير المصروفات حسب الشهر'!$C$890:$AD$999,6,FALSE),0)</f>
        <v>0</v>
      </c>
      <c r="L108" s="362">
        <f>IFERROR(VLOOKUP(C108,'تقرير المصروفات حسب الشهر'!$C$1016:$AD$1126,6,FALSE),0)</f>
        <v>0</v>
      </c>
      <c r="M108" s="376">
        <f>IFERROR(VLOOKUP(C108,'تقرير المصروفات حسب الشهر'!$C$1143:$AD$1254,6,FALSE),0)</f>
        <v>0</v>
      </c>
      <c r="N108" s="376">
        <f>IFERROR(VLOOKUP(C108,'تقرير المصروفات حسب الشهر'!$C$1270:$AD$1381,6,FALSE),0)</f>
        <v>0</v>
      </c>
      <c r="O108" s="376">
        <f>IFERROR(VLOOKUP(C108,'تقرير المصروفات حسب الشهر'!$C$1397:$AD$1512,6,FALSE),0)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الشهر'!$C$10:$AD$119,6,FALSE),0)</f>
        <v>0</v>
      </c>
      <c r="E109" s="362">
        <f>IFERROR(VLOOKUP(C109,'تقرير المصروفات حسب الشهر'!$C$135:$AD$244,6,FALSE),0)</f>
        <v>0</v>
      </c>
      <c r="F109" s="362">
        <v>0</v>
      </c>
      <c r="G109" s="362">
        <f>IFERROR(VLOOKUP(C109,'تقرير المصروفات حسب الشهر'!$C$387:$AD$495,6,FALSE),0)</f>
        <v>0</v>
      </c>
      <c r="H109" s="362">
        <f>IFERROR(VLOOKUP(C109,'تقرير المصروفات حسب الشهر'!$C$512:$AD$620,6,FALSE),0)</f>
        <v>0</v>
      </c>
      <c r="I109" s="362">
        <f>IFERROR(VLOOKUP(C109,'تقرير المصروفات حسب الشهر'!$C$637:$AD$746,6,FALSE),0)</f>
        <v>0</v>
      </c>
      <c r="J109" s="362">
        <f>IFERROR(VLOOKUP(C109,'تقرير المصروفات حسب الشهر'!$C$763:$AD$872,6,FALSE),0)</f>
        <v>0</v>
      </c>
      <c r="K109" s="362">
        <f>IFERROR(VLOOKUP(C109,'تقرير المصروفات حسب الشهر'!$C$890:$AD$999,6,FALSE),0)</f>
        <v>0</v>
      </c>
      <c r="L109" s="362">
        <f>IFERROR(VLOOKUP(C109,'تقرير المصروفات حسب الشهر'!$C$1016:$AD$1126,6,FALSE),0)</f>
        <v>0</v>
      </c>
      <c r="M109" s="376">
        <f>IFERROR(VLOOKUP(C109,'تقرير المصروفات حسب الشهر'!$C$1143:$AD$1254,6,FALSE),0)</f>
        <v>0</v>
      </c>
      <c r="N109" s="376">
        <f>IFERROR(VLOOKUP(C109,'تقرير المصروفات حسب الشهر'!$C$1270:$AD$1381,6,FALSE),0)</f>
        <v>0</v>
      </c>
      <c r="O109" s="376">
        <f>IFERROR(VLOOKUP(C109,'تقرير المصروفات حسب الشهر'!$C$1397:$AD$1512,6,FALSE),0)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الشهر'!$C$10:$AD$119,6,FALSE),0)</f>
        <v>0</v>
      </c>
      <c r="E110" s="362">
        <f>IFERROR(VLOOKUP(C110,'تقرير المصروفات حسب الشهر'!$C$135:$AD$244,6,FALSE),0)</f>
        <v>0</v>
      </c>
      <c r="F110" s="362">
        <v>0</v>
      </c>
      <c r="G110" s="362">
        <f>IFERROR(VLOOKUP(C110,'تقرير المصروفات حسب الشهر'!$C$387:$AD$495,6,FALSE),0)</f>
        <v>90</v>
      </c>
      <c r="H110" s="362">
        <f>IFERROR(VLOOKUP(C110,'تقرير المصروفات حسب الشهر'!$C$512:$AD$620,6,FALSE),0)</f>
        <v>0</v>
      </c>
      <c r="I110" s="362">
        <f>IFERROR(VLOOKUP(C110,'تقرير المصروفات حسب الشهر'!$C$637:$AD$746,6,FALSE),0)</f>
        <v>0</v>
      </c>
      <c r="J110" s="362">
        <f>IFERROR(VLOOKUP(C110,'تقرير المصروفات حسب الشهر'!$C$763:$AD$872,6,FALSE),0)</f>
        <v>0</v>
      </c>
      <c r="K110" s="362">
        <f>IFERROR(VLOOKUP(C110,'تقرير المصروفات حسب الشهر'!$C$890:$AD$999,6,FALSE),0)</f>
        <v>0</v>
      </c>
      <c r="L110" s="362">
        <f>IFERROR(VLOOKUP(C110,'تقرير المصروفات حسب الشهر'!$C$1016:$AD$1126,6,FALSE),0)</f>
        <v>0</v>
      </c>
      <c r="M110" s="376">
        <f>IFERROR(VLOOKUP(C110,'تقرير المصروفات حسب الشهر'!$C$1143:$AD$1254,6,FALSE),0)</f>
        <v>0</v>
      </c>
      <c r="N110" s="376">
        <f>IFERROR(VLOOKUP(C110,'تقرير المصروفات حسب الشهر'!$C$1270:$AD$1381,6,FALSE),0)</f>
        <v>0</v>
      </c>
      <c r="O110" s="376">
        <f>IFERROR(VLOOKUP(C110,'تقرير المصروفات حسب الشهر'!$C$1397:$AD$1512,6,FALSE),0)</f>
        <v>37988.1</v>
      </c>
      <c r="P110" s="364">
        <f t="shared" si="6"/>
        <v>38078.1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الشهر'!$C$10:$AD$119,6,FALSE),0)</f>
        <v>0</v>
      </c>
      <c r="E111" s="362">
        <f>IFERROR(VLOOKUP(C111,'تقرير المصروفات حسب الشهر'!$C$135:$AD$244,6,FALSE),0)</f>
        <v>0</v>
      </c>
      <c r="F111" s="362">
        <v>0</v>
      </c>
      <c r="G111" s="362">
        <f>IFERROR(VLOOKUP(C111,'تقرير المصروفات حسب الشهر'!$C$387:$AD$495,6,FALSE),0)</f>
        <v>0</v>
      </c>
      <c r="H111" s="362">
        <f>IFERROR(VLOOKUP(C111,'تقرير المصروفات حسب الشهر'!$C$512:$AD$620,6,FALSE),0)</f>
        <v>0</v>
      </c>
      <c r="I111" s="362">
        <f>IFERROR(VLOOKUP(C111,'تقرير المصروفات حسب الشهر'!$C$637:$AD$746,6,FALSE),0)</f>
        <v>0</v>
      </c>
      <c r="J111" s="362">
        <f>IFERROR(VLOOKUP(C111,'تقرير المصروفات حسب الشهر'!$C$763:$AD$872,6,FALSE),0)</f>
        <v>0</v>
      </c>
      <c r="K111" s="362">
        <f>IFERROR(VLOOKUP(C111,'تقرير المصروفات حسب الشهر'!$C$890:$AD$999,6,FALSE),0)</f>
        <v>0</v>
      </c>
      <c r="L111" s="362">
        <f>IFERROR(VLOOKUP(C111,'تقرير المصروفات حسب الشهر'!$C$1016:$AD$1126,6,FALSE),0)</f>
        <v>0</v>
      </c>
      <c r="M111" s="376">
        <f>IFERROR(VLOOKUP(C111,'تقرير المصروفات حسب الشهر'!$C$1143:$AD$1254,6,FALSE),0)</f>
        <v>0</v>
      </c>
      <c r="N111" s="376">
        <f>IFERROR(VLOOKUP(C111,'تقرير المصروفات حسب الشهر'!$C$1270:$AD$1381,6,FALSE),0)</f>
        <v>0</v>
      </c>
      <c r="O111" s="376">
        <f>IFERROR(VLOOKUP(C111,'تقرير المصروفات حسب الشهر'!$C$1397:$AD$1512,6,FALSE),0)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الشهر'!$C$10:$AD$119,6,FALSE),0)</f>
        <v>0</v>
      </c>
      <c r="E112" s="362">
        <f>IFERROR(VLOOKUP(C112,'تقرير المصروفات حسب الشهر'!$C$135:$AD$244,6,FALSE),0)</f>
        <v>1949.07</v>
      </c>
      <c r="F112" s="362">
        <v>0</v>
      </c>
      <c r="G112" s="362">
        <f>IFERROR(VLOOKUP(C112,'تقرير المصروفات حسب الشهر'!$C$387:$AD$495,6,FALSE),0)</f>
        <v>6129</v>
      </c>
      <c r="H112" s="362">
        <f>IFERROR(VLOOKUP(C112,'تقرير المصروفات حسب الشهر'!$C$512:$AD$620,6,FALSE),0)</f>
        <v>0</v>
      </c>
      <c r="I112" s="362">
        <f>IFERROR(VLOOKUP(C112,'تقرير المصروفات حسب الشهر'!$C$637:$AD$746,6,FALSE),0)</f>
        <v>4150.2299999999996</v>
      </c>
      <c r="J112" s="362">
        <f>IFERROR(VLOOKUP(C112,'تقرير المصروفات حسب الشهر'!$C$763:$AD$872,6,FALSE),0)</f>
        <v>2315</v>
      </c>
      <c r="K112" s="362">
        <f>IFERROR(VLOOKUP(C112,'تقرير المصروفات حسب الشهر'!$C$890:$AD$999,6,FALSE),0)</f>
        <v>905</v>
      </c>
      <c r="L112" s="362">
        <f>IFERROR(VLOOKUP(C112,'تقرير المصروفات حسب الشهر'!$C$1016:$AD$1126,6,FALSE),0)</f>
        <v>2696.85</v>
      </c>
      <c r="M112" s="376">
        <f>IFERROR(VLOOKUP(C112,'تقرير المصروفات حسب الشهر'!$C$1143:$AD$1254,6,FALSE),0)</f>
        <v>2607</v>
      </c>
      <c r="N112" s="376">
        <f>IFERROR(VLOOKUP(C112,'تقرير المصروفات حسب الشهر'!$C$1270:$AD$1381,6,FALSE),0)</f>
        <v>2401</v>
      </c>
      <c r="O112" s="376">
        <f>IFERROR(VLOOKUP(C112,'تقرير المصروفات حسب الشهر'!$C$1397:$AD$1512,6,FALSE),0)</f>
        <v>1558</v>
      </c>
      <c r="P112" s="364">
        <f t="shared" si="6"/>
        <v>24711.149999999998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الشهر'!$C$10:$AD$119,6,FALSE),0)</f>
        <v>0</v>
      </c>
      <c r="E113" s="362">
        <f>IFERROR(VLOOKUP(C113,'تقرير المصروفات حسب الشهر'!$C$135:$AD$244,6,FALSE),0)</f>
        <v>0</v>
      </c>
      <c r="F113" s="362">
        <v>0</v>
      </c>
      <c r="G113" s="362">
        <f>IFERROR(VLOOKUP(C113,'تقرير المصروفات حسب الشهر'!$C$387:$AD$495,6,FALSE),0)</f>
        <v>0</v>
      </c>
      <c r="H113" s="362">
        <f>IFERROR(VLOOKUP(C113,'تقرير المصروفات حسب الشهر'!$C$512:$AD$620,6,FALSE),0)</f>
        <v>0</v>
      </c>
      <c r="I113" s="362">
        <f>IFERROR(VLOOKUP(C113,'تقرير المصروفات حسب الشهر'!$C$637:$AD$746,6,FALSE),0)</f>
        <v>0</v>
      </c>
      <c r="J113" s="362">
        <f>IFERROR(VLOOKUP(C113,'تقرير المصروفات حسب الشهر'!$C$763:$AD$872,6,FALSE),0)</f>
        <v>0</v>
      </c>
      <c r="K113" s="362">
        <f>IFERROR(VLOOKUP(C113,'تقرير المصروفات حسب الشهر'!$C$890:$AD$999,6,FALSE),0)</f>
        <v>0</v>
      </c>
      <c r="L113" s="362">
        <f>IFERROR(VLOOKUP(C113,'تقرير المصروفات حسب الشهر'!$C$1016:$AD$1126,6,FALSE),0)</f>
        <v>0</v>
      </c>
      <c r="M113" s="376">
        <f>IFERROR(VLOOKUP(C113,'تقرير المصروفات حسب الشهر'!$C$1143:$AD$1254,6,FALSE),0)</f>
        <v>0</v>
      </c>
      <c r="N113" s="376">
        <f>IFERROR(VLOOKUP(C113,'تقرير المصروفات حسب الشهر'!$C$1270:$AD$1381,6,FALSE),0)</f>
        <v>0</v>
      </c>
      <c r="O113" s="376">
        <f>IFERROR(VLOOKUP(C113,'تقرير المصروفات حسب الشهر'!$C$1397:$AD$1512,6,FALSE),0)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الشهر'!$C$10:$AD$119,6,FALSE),0)</f>
        <v>0</v>
      </c>
      <c r="E114" s="362">
        <f>IFERROR(VLOOKUP(C114,'تقرير المصروفات حسب الشهر'!$C$135:$AD$244,6,FALSE),0)</f>
        <v>0</v>
      </c>
      <c r="F114" s="362">
        <v>0</v>
      </c>
      <c r="G114" s="362">
        <f>IFERROR(VLOOKUP(C114,'تقرير المصروفات حسب الشهر'!$C$387:$AD$495,6,FALSE),0)</f>
        <v>13750</v>
      </c>
      <c r="H114" s="362">
        <f>IFERROR(VLOOKUP(C114,'تقرير المصروفات حسب الشهر'!$C$512:$AD$620,6,FALSE),0)</f>
        <v>0</v>
      </c>
      <c r="I114" s="362">
        <f>IFERROR(VLOOKUP(C114,'تقرير المصروفات حسب الشهر'!$C$637:$AD$746,6,FALSE),0)</f>
        <v>0</v>
      </c>
      <c r="J114" s="362">
        <f>IFERROR(VLOOKUP(C114,'تقرير المصروفات حسب الشهر'!$C$763:$AD$872,6,FALSE),0)</f>
        <v>2700</v>
      </c>
      <c r="K114" s="362">
        <f>IFERROR(VLOOKUP(C114,'تقرير المصروفات حسب الشهر'!$C$890:$AD$999,6,FALSE),0)</f>
        <v>0</v>
      </c>
      <c r="L114" s="362">
        <f>IFERROR(VLOOKUP(C114,'تقرير المصروفات حسب الشهر'!$C$1016:$AD$1126,6,FALSE),0)</f>
        <v>0</v>
      </c>
      <c r="M114" s="376">
        <f>IFERROR(VLOOKUP(C114,'تقرير المصروفات حسب الشهر'!$C$1143:$AD$1254,6,FALSE),0)</f>
        <v>0</v>
      </c>
      <c r="N114" s="376">
        <f>IFERROR(VLOOKUP(C114,'تقرير المصروفات حسب الشهر'!$C$1270:$AD$1381,6,FALSE),0)</f>
        <v>0</v>
      </c>
      <c r="O114" s="376">
        <f>IFERROR(VLOOKUP(C114,'تقرير المصروفات حسب الشهر'!$C$1397:$AD$1512,6,FALSE),0)</f>
        <v>0</v>
      </c>
      <c r="P114" s="364">
        <f t="shared" si="6"/>
        <v>16450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الشهر'!$C$10:$AD$119,6,FALSE),0)</f>
        <v>0</v>
      </c>
      <c r="E115" s="362">
        <f>IFERROR(VLOOKUP(C115,'تقرير المصروفات حسب الشهر'!$C$135:$AD$244,6,FALSE),0)</f>
        <v>0</v>
      </c>
      <c r="F115" s="362">
        <v>0</v>
      </c>
      <c r="G115" s="362">
        <f>IFERROR(VLOOKUP(C115,'تقرير المصروفات حسب الشهر'!$C$387:$AD$495,6,FALSE),0)</f>
        <v>0</v>
      </c>
      <c r="H115" s="362">
        <f>IFERROR(VLOOKUP(C115,'تقرير المصروفات حسب الشهر'!$C$512:$AD$620,6,FALSE),0)</f>
        <v>0</v>
      </c>
      <c r="I115" s="362">
        <f>IFERROR(VLOOKUP(C115,'تقرير المصروفات حسب الشهر'!$C$637:$AD$746,6,FALSE),0)</f>
        <v>0</v>
      </c>
      <c r="J115" s="362">
        <f>IFERROR(VLOOKUP(C115,'تقرير المصروفات حسب الشهر'!$C$763:$AD$872,6,FALSE),0)</f>
        <v>0</v>
      </c>
      <c r="K115" s="362">
        <f>IFERROR(VLOOKUP(C115,'تقرير المصروفات حسب الشهر'!$C$890:$AD$999,6,FALSE),0)</f>
        <v>0</v>
      </c>
      <c r="L115" s="362">
        <f>IFERROR(VLOOKUP(C115,'تقرير المصروفات حسب الشهر'!$C$1016:$AD$1126,6,FALSE),0)</f>
        <v>0</v>
      </c>
      <c r="M115" s="376">
        <f>IFERROR(VLOOKUP(C115,'تقرير المصروفات حسب الشهر'!$C$1143:$AD$1254,6,FALSE),0)</f>
        <v>0</v>
      </c>
      <c r="N115" s="376">
        <f>IFERROR(VLOOKUP(C115,'تقرير المصروفات حسب الشهر'!$C$1270:$AD$1381,6,FALSE),0)</f>
        <v>0</v>
      </c>
      <c r="O115" s="376">
        <f>IFERROR(VLOOKUP(C115,'تقرير المصروفات حسب الشهر'!$C$1397:$AD$1512,6,FALSE),0)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الشهر'!$C$10:$AD$119,6,FALSE),0)</f>
        <v>0</v>
      </c>
      <c r="E116" s="362">
        <f>IFERROR(VLOOKUP(C116,'تقرير المصروفات حسب الشهر'!$C$135:$AD$244,6,FALSE),0)</f>
        <v>0</v>
      </c>
      <c r="F116" s="362">
        <v>0</v>
      </c>
      <c r="G116" s="362">
        <f>IFERROR(VLOOKUP(C116,'تقرير المصروفات حسب الشهر'!$C$387:$AD$495,6,FALSE),0)</f>
        <v>0</v>
      </c>
      <c r="H116" s="362">
        <f>IFERROR(VLOOKUP(C116,'تقرير المصروفات حسب الشهر'!$C$512:$AD$620,6,FALSE),0)</f>
        <v>0</v>
      </c>
      <c r="I116" s="362">
        <f>IFERROR(VLOOKUP(C116,'تقرير المصروفات حسب الشهر'!$C$637:$AD$746,6,FALSE),0)</f>
        <v>0</v>
      </c>
      <c r="J116" s="362">
        <f>IFERROR(VLOOKUP(C116,'تقرير المصروفات حسب الشهر'!$C$763:$AD$872,6,FALSE),0)</f>
        <v>0</v>
      </c>
      <c r="K116" s="362">
        <f>IFERROR(VLOOKUP(C116,'تقرير المصروفات حسب الشهر'!$C$890:$AD$999,6,FALSE),0)</f>
        <v>0</v>
      </c>
      <c r="L116" s="362">
        <f>IFERROR(VLOOKUP(C116,'تقرير المصروفات حسب الشهر'!$C$1016:$AD$1126,6,FALSE),0)</f>
        <v>0</v>
      </c>
      <c r="M116" s="376">
        <f>IFERROR(VLOOKUP(C116,'تقرير المصروفات حسب الشهر'!$C$1143:$AD$1254,6,FALSE),0)</f>
        <v>0</v>
      </c>
      <c r="N116" s="376">
        <f>IFERROR(VLOOKUP(C116,'تقرير المصروفات حسب الشهر'!$C$1270:$AD$1381,6,FALSE),0)</f>
        <v>0</v>
      </c>
      <c r="O116" s="376">
        <f>IFERROR(VLOOKUP(C116,'تقرير المصروفات حسب الشهر'!$C$1397:$AD$1512,6,FALSE),0)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الشهر'!$C$10:$AD$119,6,FALSE),0)</f>
        <v>0</v>
      </c>
      <c r="E117" s="362">
        <f>IFERROR(VLOOKUP(C117,'تقرير المصروفات حسب الشهر'!$C$135:$AD$244,6,FALSE),0)</f>
        <v>0</v>
      </c>
      <c r="F117" s="362">
        <v>0</v>
      </c>
      <c r="G117" s="362">
        <f>IFERROR(VLOOKUP(C117,'تقرير المصروفات حسب الشهر'!$C$387:$AD$495,6,FALSE),0)</f>
        <v>0</v>
      </c>
      <c r="H117" s="362">
        <f>IFERROR(VLOOKUP(C117,'تقرير المصروفات حسب الشهر'!$C$512:$AD$620,6,FALSE),0)</f>
        <v>0</v>
      </c>
      <c r="I117" s="362">
        <f>IFERROR(VLOOKUP(C117,'تقرير المصروفات حسب الشهر'!$C$637:$AD$746,6,FALSE),0)</f>
        <v>0</v>
      </c>
      <c r="J117" s="362">
        <f>IFERROR(VLOOKUP(C117,'تقرير المصروفات حسب الشهر'!$C$763:$AD$872,6,FALSE),0)</f>
        <v>0</v>
      </c>
      <c r="K117" s="362">
        <f>IFERROR(VLOOKUP(C117,'تقرير المصروفات حسب الشهر'!$C$890:$AD$999,6,FALSE),0)</f>
        <v>0</v>
      </c>
      <c r="L117" s="362">
        <f>IFERROR(VLOOKUP(C117,'تقرير المصروفات حسب الشهر'!$C$1016:$AD$1126,6,FALSE),0)</f>
        <v>0</v>
      </c>
      <c r="M117" s="376">
        <f>IFERROR(VLOOKUP(C117,'تقرير المصروفات حسب الشهر'!$C$1143:$AD$1254,6,FALSE),0)</f>
        <v>0</v>
      </c>
      <c r="N117" s="376">
        <f>IFERROR(VLOOKUP(C117,'تقرير المصروفات حسب الشهر'!$C$1270:$AD$1381,6,FALSE),0)</f>
        <v>0</v>
      </c>
      <c r="O117" s="376">
        <f>IFERROR(VLOOKUP(C117,'تقرير المصروفات حسب الشهر'!$C$1397:$AD$1512,6,FALSE),0)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الشهر'!$C$10:$AD$119,6,FALSE),0)</f>
        <v>0</v>
      </c>
      <c r="E118" s="362">
        <f>IFERROR(VLOOKUP(C118,'تقرير المصروفات حسب الشهر'!$C$135:$AD$244,6,FALSE),0)</f>
        <v>0</v>
      </c>
      <c r="F118" s="362">
        <v>0</v>
      </c>
      <c r="G118" s="362">
        <f>IFERROR(VLOOKUP(C118,'تقرير المصروفات حسب الشهر'!$C$387:$AD$495,6,FALSE),0)</f>
        <v>0</v>
      </c>
      <c r="H118" s="362">
        <f>IFERROR(VLOOKUP(C118,'تقرير المصروفات حسب الشهر'!$C$512:$AD$620,6,FALSE),0)</f>
        <v>0</v>
      </c>
      <c r="I118" s="362">
        <f>IFERROR(VLOOKUP(C118,'تقرير المصروفات حسب الشهر'!$C$637:$AD$746,6,FALSE),0)</f>
        <v>0</v>
      </c>
      <c r="J118" s="362">
        <f>IFERROR(VLOOKUP(C118,'تقرير المصروفات حسب الشهر'!$C$763:$AD$872,6,FALSE),0)</f>
        <v>0</v>
      </c>
      <c r="K118" s="362">
        <f>IFERROR(VLOOKUP(C118,'تقرير المصروفات حسب الشهر'!$C$890:$AD$999,6,FALSE),0)</f>
        <v>0</v>
      </c>
      <c r="L118" s="362">
        <f>IFERROR(VLOOKUP(C118,'تقرير المصروفات حسب الشهر'!$C$1016:$AD$1126,6,FALSE),0)</f>
        <v>0</v>
      </c>
      <c r="M118" s="376">
        <f>IFERROR(VLOOKUP(C118,'تقرير المصروفات حسب الشهر'!$C$1143:$AD$1254,6,FALSE),0)</f>
        <v>0</v>
      </c>
      <c r="N118" s="376">
        <f>IFERROR(VLOOKUP(C118,'تقرير المصروفات حسب الشهر'!$C$1270:$AD$1381,6,FALSE),0)</f>
        <v>0</v>
      </c>
      <c r="O118" s="376">
        <f>IFERROR(VLOOKUP(C118,'تقرير المصروفات حسب الشهر'!$C$1397:$AD$1512,6,FALSE),0)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الشهر'!$C$10:$AD$119,6,FALSE),0)</f>
        <v>0</v>
      </c>
      <c r="E119" s="362">
        <f>IFERROR(VLOOKUP(C119,'تقرير المصروفات حسب الشهر'!$C$135:$AD$244,6,FALSE),0)</f>
        <v>1940</v>
      </c>
      <c r="F119" s="362">
        <v>0</v>
      </c>
      <c r="G119" s="362">
        <f>IFERROR(VLOOKUP(C119,'تقرير المصروفات حسب الشهر'!$C$387:$AD$495,6,FALSE),0)</f>
        <v>0</v>
      </c>
      <c r="H119" s="362">
        <f>IFERROR(VLOOKUP(C119,'تقرير المصروفات حسب الشهر'!$C$512:$AD$620,6,FALSE),0)</f>
        <v>2650</v>
      </c>
      <c r="I119" s="362">
        <f>IFERROR(VLOOKUP(C119,'تقرير المصروفات حسب الشهر'!$C$637:$AD$746,6,FALSE),0)</f>
        <v>2493.02</v>
      </c>
      <c r="J119" s="362">
        <f>IFERROR(VLOOKUP(C119,'تقرير المصروفات حسب الشهر'!$C$763:$AD$872,6,FALSE),0)</f>
        <v>1560</v>
      </c>
      <c r="K119" s="362">
        <f>IFERROR(VLOOKUP(C119,'تقرير المصروفات حسب الشهر'!$C$890:$AD$999,6,FALSE),0)</f>
        <v>14012</v>
      </c>
      <c r="L119" s="362">
        <f>IFERROR(VLOOKUP(C119,'تقرير المصروفات حسب الشهر'!$C$1016:$AD$1126,6,FALSE),0)</f>
        <v>0</v>
      </c>
      <c r="M119" s="376">
        <f>IFERROR(VLOOKUP(C119,'تقرير المصروفات حسب الشهر'!$C$1143:$AD$1254,6,FALSE),0)</f>
        <v>0</v>
      </c>
      <c r="N119" s="376">
        <f>IFERROR(VLOOKUP(C119,'تقرير المصروفات حسب الشهر'!$C$1270:$AD$1381,6,FALSE),0)</f>
        <v>0</v>
      </c>
      <c r="O119" s="376">
        <f>IFERROR(VLOOKUP(C119,'تقرير المصروفات حسب الشهر'!$C$1397:$AD$1512,6,FALSE),0)</f>
        <v>7836.38</v>
      </c>
      <c r="P119" s="364">
        <f t="shared" si="6"/>
        <v>30491.4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الشهر'!$C$10:$AD$119,6,FALSE),0)</f>
        <v>0</v>
      </c>
      <c r="E120" s="362">
        <f>IFERROR(VLOOKUP(C120,'تقرير المصروفات حسب الشهر'!$C$135:$AD$244,6,FALSE),0)</f>
        <v>0</v>
      </c>
      <c r="F120" s="362">
        <v>0</v>
      </c>
      <c r="G120" s="362">
        <f>IFERROR(VLOOKUP(C120,'تقرير المصروفات حسب الشهر'!$C$387:$AD$495,6,FALSE),0)</f>
        <v>0</v>
      </c>
      <c r="H120" s="362">
        <f>IFERROR(VLOOKUP(C120,'تقرير المصروفات حسب الشهر'!$C$512:$AD$620,6,FALSE),0)</f>
        <v>0</v>
      </c>
      <c r="I120" s="362">
        <f>IFERROR(VLOOKUP(C120,'تقرير المصروفات حسب الشهر'!$C$637:$AD$746,6,FALSE),0)</f>
        <v>0</v>
      </c>
      <c r="J120" s="362">
        <f>IFERROR(VLOOKUP(C120,'تقرير المصروفات حسب الشهر'!$C$763:$AD$872,6,FALSE),0)</f>
        <v>0</v>
      </c>
      <c r="K120" s="362">
        <f>IFERROR(VLOOKUP(C120,'تقرير المصروفات حسب الشهر'!$C$890:$AD$999,6,FALSE),0)</f>
        <v>0</v>
      </c>
      <c r="L120" s="362">
        <f>IFERROR(VLOOKUP(C120,'تقرير المصروفات حسب الشهر'!$C$1016:$AD$1126,6,FALSE),0)</f>
        <v>0</v>
      </c>
      <c r="M120" s="376">
        <f>IFERROR(VLOOKUP(C120,'تقرير المصروفات حسب الشهر'!$C$1143:$AD$1254,6,FALSE),0)</f>
        <v>0</v>
      </c>
      <c r="N120" s="376">
        <f>IFERROR(VLOOKUP(C120,'تقرير المصروفات حسب الشهر'!$C$1270:$AD$1381,6,FALSE),0)</f>
        <v>0</v>
      </c>
      <c r="O120" s="376">
        <f>IFERROR(VLOOKUP(C120,'تقرير المصروفات حسب الشهر'!$C$1397:$AD$1512,6,FALSE),0)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الشهر'!$C$10:$AD$119,6,FALSE),0)</f>
        <v>0</v>
      </c>
      <c r="E121" s="362">
        <f>IFERROR(VLOOKUP(C121,'تقرير المصروفات حسب الشهر'!$C$135:$AD$244,6,FALSE),0)</f>
        <v>0</v>
      </c>
      <c r="F121" s="362">
        <v>0</v>
      </c>
      <c r="G121" s="362">
        <f>IFERROR(VLOOKUP(C121,'تقرير المصروفات حسب الشهر'!$C$387:$AD$495,6,FALSE),0)</f>
        <v>0</v>
      </c>
      <c r="H121" s="362">
        <f>IFERROR(VLOOKUP(C121,'تقرير المصروفات حسب الشهر'!$C$512:$AD$620,6,FALSE),0)</f>
        <v>0</v>
      </c>
      <c r="I121" s="362">
        <f>IFERROR(VLOOKUP(C121,'تقرير المصروفات حسب الشهر'!$C$637:$AD$746,6,FALSE),0)</f>
        <v>0</v>
      </c>
      <c r="J121" s="362">
        <f>IFERROR(VLOOKUP(C121,'تقرير المصروفات حسب الشهر'!$C$763:$AD$872,6,FALSE),0)</f>
        <v>0</v>
      </c>
      <c r="K121" s="362">
        <f>IFERROR(VLOOKUP(C121,'تقرير المصروفات حسب الشهر'!$C$890:$AD$999,6,FALSE),0)</f>
        <v>0</v>
      </c>
      <c r="L121" s="362">
        <f>IFERROR(VLOOKUP(C121,'تقرير المصروفات حسب الشهر'!$C$1016:$AD$1126,6,FALSE),0)</f>
        <v>0</v>
      </c>
      <c r="M121" s="376">
        <f>IFERROR(VLOOKUP(C121,'تقرير المصروفات حسب الشهر'!$C$1143:$AD$1254,6,FALSE),0)</f>
        <v>0</v>
      </c>
      <c r="N121" s="376">
        <f>IFERROR(VLOOKUP(C121,'تقرير المصروفات حسب الشهر'!$C$1270:$AD$1381,6,FALSE),0)</f>
        <v>0</v>
      </c>
      <c r="O121" s="376">
        <f>IFERROR(VLOOKUP(C121,'تقرير المصروفات حسب الشهر'!$C$1397:$AD$1512,6,FALSE),0)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الشهر'!$C$10:$AD$119,6,FALSE),0)</f>
        <v>0</v>
      </c>
      <c r="E122" s="362">
        <f>IFERROR(VLOOKUP(C122,'تقرير المصروفات حسب الشهر'!$C$135:$AD$244,6,FALSE),0)</f>
        <v>0</v>
      </c>
      <c r="F122" s="362">
        <v>0</v>
      </c>
      <c r="G122" s="362">
        <f>IFERROR(VLOOKUP(C122,'تقرير المصروفات حسب الشهر'!$C$387:$AD$495,6,FALSE),0)</f>
        <v>0</v>
      </c>
      <c r="H122" s="362">
        <f>IFERROR(VLOOKUP(C122,'تقرير المصروفات حسب الشهر'!$C$512:$AD$620,6,FALSE),0)</f>
        <v>0</v>
      </c>
      <c r="I122" s="362">
        <f>IFERROR(VLOOKUP(C122,'تقرير المصروفات حسب الشهر'!$C$637:$AD$746,6,FALSE),0)</f>
        <v>0</v>
      </c>
      <c r="J122" s="362">
        <f>IFERROR(VLOOKUP(C122,'تقرير المصروفات حسب الشهر'!$C$763:$AD$872,6,FALSE),0)</f>
        <v>0</v>
      </c>
      <c r="K122" s="362">
        <f>IFERROR(VLOOKUP(C122,'تقرير المصروفات حسب الشهر'!$C$890:$AD$999,6,FALSE),0)</f>
        <v>0</v>
      </c>
      <c r="L122" s="362">
        <f>IFERROR(VLOOKUP(C122,'تقرير المصروفات حسب الشهر'!$C$1016:$AD$1126,6,FALSE),0)</f>
        <v>0</v>
      </c>
      <c r="M122" s="376">
        <f>IFERROR(VLOOKUP(C122,'تقرير المصروفات حسب الشهر'!$C$1143:$AD$1254,6,FALSE),0)</f>
        <v>0</v>
      </c>
      <c r="N122" s="376">
        <f>IFERROR(VLOOKUP(C122,'تقرير المصروفات حسب الشهر'!$C$1270:$AD$1381,6,FALSE),0)</f>
        <v>0</v>
      </c>
      <c r="O122" s="376">
        <f>IFERROR(VLOOKUP(C122,'تقرير المصروفات حسب الشهر'!$C$1397:$AD$1512,6,FALSE),0)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الشهر'!$C$10:$AD$119,6,FALSE),0)</f>
        <v>0</v>
      </c>
      <c r="E123" s="362">
        <f>IFERROR(VLOOKUP(C123,'تقرير المصروفات حسب الشهر'!$C$135:$AD$244,6,FALSE),0)</f>
        <v>0</v>
      </c>
      <c r="F123" s="362">
        <v>0</v>
      </c>
      <c r="G123" s="362">
        <f>IFERROR(VLOOKUP(C123,'تقرير المصروفات حسب الشهر'!$C$387:$AD$495,6,FALSE),0)</f>
        <v>0</v>
      </c>
      <c r="H123" s="362">
        <f>IFERROR(VLOOKUP(C123,'تقرير المصروفات حسب الشهر'!$C$512:$AD$620,6,FALSE),0)</f>
        <v>0</v>
      </c>
      <c r="I123" s="362">
        <f>IFERROR(VLOOKUP(C123,'تقرير المصروفات حسب الشهر'!$C$637:$AD$746,6,FALSE),0)</f>
        <v>0</v>
      </c>
      <c r="J123" s="362">
        <f>IFERROR(VLOOKUP(C123,'تقرير المصروفات حسب الشهر'!$C$763:$AD$872,6,FALSE),0)</f>
        <v>0</v>
      </c>
      <c r="K123" s="362">
        <f>IFERROR(VLOOKUP(C123,'تقرير المصروفات حسب الشهر'!$C$890:$AD$999,6,FALSE),0)</f>
        <v>0</v>
      </c>
      <c r="L123" s="362">
        <f>IFERROR(VLOOKUP(C123,'تقرير المصروفات حسب الشهر'!$C$1016:$AD$1126,6,FALSE),0)</f>
        <v>0</v>
      </c>
      <c r="M123" s="376">
        <f>IFERROR(VLOOKUP(C123,'تقرير المصروفات حسب الشهر'!$C$1143:$AD$1254,6,FALSE),0)</f>
        <v>0</v>
      </c>
      <c r="N123" s="376">
        <f>IFERROR(VLOOKUP(C123,'تقرير المصروفات حسب الشهر'!$C$1270:$AD$1381,6,FALSE),0)</f>
        <v>0</v>
      </c>
      <c r="O123" s="376">
        <f>IFERROR(VLOOKUP(C123,'تقرير المصروفات حسب الشهر'!$C$1397:$AD$1512,6,FALSE),0)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الشهر'!$C$10:$AD$119,6,FALSE),0)</f>
        <v>0</v>
      </c>
      <c r="E124" s="362">
        <f>IFERROR(VLOOKUP(C124,'تقرير المصروفات حسب الشهر'!$C$135:$AD$244,6,FALSE),0)</f>
        <v>0</v>
      </c>
      <c r="F124" s="362">
        <v>0</v>
      </c>
      <c r="G124" s="362">
        <f>IFERROR(VLOOKUP(C124,'تقرير المصروفات حسب الشهر'!$C$387:$AD$495,6,FALSE),0)</f>
        <v>0</v>
      </c>
      <c r="H124" s="362">
        <f>IFERROR(VLOOKUP(C124,'تقرير المصروفات حسب الشهر'!$C$512:$AD$620,6,FALSE),0)</f>
        <v>0</v>
      </c>
      <c r="I124" s="362"/>
      <c r="J124" s="362">
        <f>IFERROR(VLOOKUP(C124,'تقرير المصروفات حسب الشهر'!$C$763:$AD$872,6,FALSE),0)</f>
        <v>0</v>
      </c>
      <c r="K124" s="362">
        <f>IFERROR(VLOOKUP(C124,'تقرير المصروفات حسب الشهر'!$C$890:$AD$999,6,FALSE),0)</f>
        <v>0</v>
      </c>
      <c r="L124" s="362">
        <f>IFERROR(VLOOKUP(C124,'تقرير المصروفات حسب الشهر'!$C$1016:$AD$1126,6,FALSE),0)</f>
        <v>0</v>
      </c>
      <c r="M124" s="376">
        <f>IFERROR(VLOOKUP(C124,'تقرير المصروفات حسب الشهر'!$C$1143:$AD$1254,6,FALSE),0)</f>
        <v>0</v>
      </c>
      <c r="N124" s="376">
        <f>IFERROR(VLOOKUP(C124,'تقرير المصروفات حسب الشهر'!$C$1270:$AD$1381,6,FALSE),0)</f>
        <v>0</v>
      </c>
      <c r="O124" s="376">
        <f>IFERROR(VLOOKUP(C124,'تقرير المصروفات حسب الشهر'!$C$1397:$AD$1512,6,FALSE),0)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الشهر'!$C$10:$AD$119,6,FALSE),0)</f>
        <v>0</v>
      </c>
      <c r="E125" s="362">
        <f>IFERROR(VLOOKUP(C125,'تقرير المصروفات حسب الشهر'!$C$135:$AD$244,6,FALSE),0)</f>
        <v>0</v>
      </c>
      <c r="F125" s="362">
        <v>0</v>
      </c>
      <c r="G125" s="362">
        <f>IFERROR(VLOOKUP(C125,'تقرير المصروفات حسب الشهر'!$C$387:$AD$495,6,FALSE),0)</f>
        <v>0</v>
      </c>
      <c r="H125" s="362">
        <f>IFERROR(VLOOKUP(C125,'تقرير المصروفات حسب الشهر'!$C$512:$AD$620,6,FALSE),0)</f>
        <v>0</v>
      </c>
      <c r="I125" s="362">
        <f>IFERROR(VLOOKUP(C125,'تقرير المصروفات حسب الشهر'!$C$637:$AD$746,6,FALSE),0)</f>
        <v>0</v>
      </c>
      <c r="J125" s="362">
        <f>IFERROR(VLOOKUP(C125,'تقرير المصروفات حسب الشهر'!$C$763:$AD$872,6,FALSE),0)</f>
        <v>0</v>
      </c>
      <c r="K125" s="362">
        <f>IFERROR(VLOOKUP(C125,'تقرير المصروفات حسب الشهر'!$C$890:$AD$999,6,FALSE),0)</f>
        <v>0</v>
      </c>
      <c r="L125" s="362">
        <f>IFERROR(VLOOKUP(C125,'تقرير المصروفات حسب الشهر'!$C$1016:$AD$1126,6,FALSE),0)</f>
        <v>0</v>
      </c>
      <c r="M125" s="376">
        <f>IFERROR(VLOOKUP(C125,'تقرير المصروفات حسب الشهر'!$C$1143:$AD$1254,6,FALSE),0)</f>
        <v>0</v>
      </c>
      <c r="N125" s="376">
        <f>IFERROR(VLOOKUP(C125,'تقرير المصروفات حسب الشهر'!$C$1270:$AD$1381,6,FALSE),0)</f>
        <v>0</v>
      </c>
      <c r="O125" s="376">
        <f>IFERROR(VLOOKUP(C125,'تقرير المصروفات حسب الشهر'!$C$1397:$AD$1512,6,FALSE),0)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الشهر'!$C$10:$AD$119,6,FALSE),0)</f>
        <v>0</v>
      </c>
      <c r="E126" s="362">
        <f>IFERROR(VLOOKUP(C126,'تقرير المصروفات حسب الشهر'!$C$135:$AD$244,6,FALSE),0)</f>
        <v>0</v>
      </c>
      <c r="F126" s="362">
        <v>0</v>
      </c>
      <c r="G126" s="362">
        <f>IFERROR(VLOOKUP(C126,'تقرير المصروفات حسب الشهر'!$C$387:$AD$495,6,FALSE),0)</f>
        <v>0</v>
      </c>
      <c r="H126" s="362">
        <f>IFERROR(VLOOKUP(C126,'تقرير المصروفات حسب الشهر'!$C$512:$AD$620,6,FALSE),0)</f>
        <v>0</v>
      </c>
      <c r="I126" s="362">
        <f>IFERROR(VLOOKUP(C126,'تقرير المصروفات حسب الشهر'!$C$637:$AD$746,6,FALSE),0)</f>
        <v>0</v>
      </c>
      <c r="J126" s="362">
        <f>IFERROR(VLOOKUP(C126,'تقرير المصروفات حسب الشهر'!$C$763:$AD$872,6,FALSE),0)</f>
        <v>0</v>
      </c>
      <c r="K126" s="362">
        <f>IFERROR(VLOOKUP(C126,'تقرير المصروفات حسب الشهر'!$C$890:$AD$999,6,FALSE),0)</f>
        <v>0</v>
      </c>
      <c r="L126" s="362">
        <f>IFERROR(VLOOKUP(C126,'تقرير المصروفات حسب الشهر'!$C$1016:$AD$1126,6,FALSE),0)</f>
        <v>0</v>
      </c>
      <c r="M126" s="376">
        <f>IFERROR(VLOOKUP(C126,'تقرير المصروفات حسب الشهر'!$C$1143:$AD$1254,6,FALSE),0)</f>
        <v>0</v>
      </c>
      <c r="N126" s="376">
        <f>IFERROR(VLOOKUP(C126,'تقرير المصروفات حسب الشهر'!$C$1270:$AD$1381,6,FALSE),0)</f>
        <v>0</v>
      </c>
      <c r="O126" s="376">
        <f>IFERROR(VLOOKUP(C126,'تقرير المصروفات حسب الشهر'!$C$1397:$AD$1512,6,FALSE),0)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الشهر'!$C$10:$AD$119,6,FALSE),0)</f>
        <v>0</v>
      </c>
      <c r="E127" s="362">
        <f>IFERROR(VLOOKUP(C127,'تقرير المصروفات حسب الشهر'!$C$135:$AD$244,6,FALSE),0)</f>
        <v>0</v>
      </c>
      <c r="F127" s="362">
        <v>0</v>
      </c>
      <c r="G127" s="362">
        <f>IFERROR(VLOOKUP(C127,'تقرير المصروفات حسب الشهر'!$C$387:$AD$495,6,FALSE),0)</f>
        <v>0</v>
      </c>
      <c r="H127" s="362">
        <f>IFERROR(VLOOKUP(C127,'تقرير المصروفات حسب الشهر'!$C$512:$AD$620,6,FALSE),0)</f>
        <v>0</v>
      </c>
      <c r="I127" s="362">
        <f>IFERROR(VLOOKUP(C127,'تقرير المصروفات حسب الشهر'!$C$637:$AD$746,6,FALSE),0)</f>
        <v>0</v>
      </c>
      <c r="J127" s="362">
        <f>IFERROR(VLOOKUP(C127,'تقرير المصروفات حسب الشهر'!$C$763:$AD$872,6,FALSE),0)</f>
        <v>0</v>
      </c>
      <c r="K127" s="362">
        <f>IFERROR(VLOOKUP(C127,'تقرير المصروفات حسب الشهر'!$C$890:$AD$999,6,FALSE),0)</f>
        <v>0</v>
      </c>
      <c r="L127" s="362">
        <f>IFERROR(VLOOKUP(C127,'تقرير المصروفات حسب الشهر'!$C$1016:$AD$1126,6,FALSE),0)</f>
        <v>0</v>
      </c>
      <c r="M127" s="376">
        <f>IFERROR(VLOOKUP(C127,'تقرير المصروفات حسب الشهر'!$C$1143:$AD$1254,6,FALSE),0)</f>
        <v>0</v>
      </c>
      <c r="N127" s="376">
        <f>IFERROR(VLOOKUP(C127,'تقرير المصروفات حسب الشهر'!$C$1270:$AD$1381,6,FALSE),0)</f>
        <v>0</v>
      </c>
      <c r="O127" s="376">
        <f>IFERROR(VLOOKUP(C127,'تقرير المصروفات حسب الشهر'!$C$1397:$AD$1512,6,FALSE),0)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الشهر'!$C$10:$AD$119,6,FALSE),0)</f>
        <v>0</v>
      </c>
      <c r="E128" s="362">
        <f>IFERROR(VLOOKUP(C128,'تقرير المصروفات حسب الشهر'!$C$135:$AD$244,6,FALSE),0)</f>
        <v>0</v>
      </c>
      <c r="F128" s="362">
        <v>0</v>
      </c>
      <c r="G128" s="362">
        <f>IFERROR(VLOOKUP(C128,'تقرير المصروفات حسب الشهر'!$C$387:$AD$495,6,FALSE),0)</f>
        <v>0</v>
      </c>
      <c r="H128" s="362">
        <f>IFERROR(VLOOKUP(C128,'تقرير المصروفات حسب الشهر'!$C$512:$AD$620,6,FALSE),0)</f>
        <v>0</v>
      </c>
      <c r="I128" s="362">
        <f>IFERROR(VLOOKUP(C128,'تقرير المصروفات حسب الشهر'!$C$637:$AD$746,6,FALSE),0)</f>
        <v>0</v>
      </c>
      <c r="J128" s="362">
        <f>IFERROR(VLOOKUP(C128,'تقرير المصروفات حسب الشهر'!$C$763:$AD$872,6,FALSE),0)</f>
        <v>0</v>
      </c>
      <c r="K128" s="362">
        <f>IFERROR(VLOOKUP(C128,'تقرير المصروفات حسب الشهر'!$C$890:$AD$999,6,FALSE),0)</f>
        <v>0</v>
      </c>
      <c r="L128" s="362">
        <f>IFERROR(VLOOKUP(C128,'تقرير المصروفات حسب الشهر'!$C$1016:$AD$1126,6,FALSE),0)</f>
        <v>0</v>
      </c>
      <c r="M128" s="376">
        <f>IFERROR(VLOOKUP(C128,'تقرير المصروفات حسب الشهر'!$C$1143:$AD$1254,6,FALSE),0)</f>
        <v>0</v>
      </c>
      <c r="N128" s="376">
        <f>IFERROR(VLOOKUP(C128,'تقرير المصروفات حسب الشهر'!$C$1270:$AD$1381,6,FALSE),0)</f>
        <v>0</v>
      </c>
      <c r="O128" s="376">
        <f>IFERROR(VLOOKUP(C128,'تقرير المصروفات حسب الشهر'!$C$1397:$AD$1512,6,FALSE),0)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الشهر'!$C$10:$AD$119,6,FALSE),0)</f>
        <v>431.25</v>
      </c>
      <c r="E129" s="362">
        <f>IFERROR(VLOOKUP(C129,'تقرير المصروفات حسب الشهر'!$C$135:$AD$244,6,FALSE),0)</f>
        <v>431.25</v>
      </c>
      <c r="F129" s="362">
        <v>431.25</v>
      </c>
      <c r="G129" s="362">
        <f>IFERROR(VLOOKUP(C129,'تقرير المصروفات حسب الشهر'!$C$387:$AD$495,6,FALSE),0)</f>
        <v>431.25</v>
      </c>
      <c r="H129" s="362">
        <f>IFERROR(VLOOKUP(C129,'تقرير المصروفات حسب الشهر'!$C$512:$AD$620,6,FALSE),0)</f>
        <v>862.5</v>
      </c>
      <c r="I129" s="362">
        <f>IFERROR(VLOOKUP(C129,'تقرير المصروفات حسب الشهر'!$C$637:$AD$746,6,FALSE),0)</f>
        <v>863</v>
      </c>
      <c r="J129" s="362">
        <f>IFERROR(VLOOKUP(C129,'تقرير المصروفات حسب الشهر'!$C$763:$AD$872,6,FALSE),0)</f>
        <v>862.5</v>
      </c>
      <c r="K129" s="362">
        <f>IFERROR(VLOOKUP(C129,'تقرير المصروفات حسب الشهر'!$C$890:$AD$999,6,FALSE),0)</f>
        <v>862.5</v>
      </c>
      <c r="L129" s="362">
        <f>IFERROR(VLOOKUP(C129,'تقرير المصروفات حسب الشهر'!$C$1016:$AD$1126,6,FALSE),0)</f>
        <v>862.5</v>
      </c>
      <c r="M129" s="376">
        <f>IFERROR(VLOOKUP(C129,'تقرير المصروفات حسب الشهر'!$C$1143:$AD$1254,6,FALSE),0)</f>
        <v>862.5</v>
      </c>
      <c r="N129" s="376">
        <f>IFERROR(VLOOKUP(C129,'تقرير المصروفات حسب الشهر'!$C$1270:$AD$1381,6,FALSE),0)</f>
        <v>862.5</v>
      </c>
      <c r="O129" s="376">
        <f>IFERROR(VLOOKUP(C129,'تقرير المصروفات حسب الشهر'!$C$1397:$AD$1512,6,FALSE),0)</f>
        <v>862.5</v>
      </c>
      <c r="P129" s="364">
        <f t="shared" si="6"/>
        <v>8625.5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الشهر'!$C$10:$AD$119,6,FALSE),0)</f>
        <v>0</v>
      </c>
      <c r="E130" s="362">
        <f>IFERROR(VLOOKUP(C130,'تقرير المصروفات حسب الشهر'!$C$135:$AD$244,6,FALSE),0)</f>
        <v>0</v>
      </c>
      <c r="F130" s="362">
        <v>0</v>
      </c>
      <c r="G130" s="362">
        <f>IFERROR(VLOOKUP(C130,'تقرير المصروفات حسب الشهر'!$C$387:$AD$495,6,FALSE),0)</f>
        <v>0</v>
      </c>
      <c r="H130" s="362">
        <f>IFERROR(VLOOKUP(C130,'تقرير المصروفات حسب الشهر'!$C$512:$AD$620,6,FALSE),0)</f>
        <v>0</v>
      </c>
      <c r="I130" s="362">
        <f>IFERROR(VLOOKUP(C130,'تقرير المصروفات حسب الشهر'!$C$637:$AD$746,6,FALSE),0)</f>
        <v>0</v>
      </c>
      <c r="J130" s="362">
        <f>IFERROR(VLOOKUP(C130,'تقرير المصروفات حسب الشهر'!$C$763:$AD$872,6,FALSE),0)</f>
        <v>0</v>
      </c>
      <c r="K130" s="362">
        <f>IFERROR(VLOOKUP(C130,'تقرير المصروفات حسب الشهر'!$C$890:$AD$999,6,FALSE),0)</f>
        <v>0</v>
      </c>
      <c r="L130" s="362">
        <f>IFERROR(VLOOKUP(C130,'تقرير المصروفات حسب الشهر'!$C$1016:$AI$1131,6,FALSE),0)</f>
        <v>0</v>
      </c>
      <c r="M130" s="376">
        <f>IFERROR(VLOOKUP(C130,'تقرير المصروفات حسب الشهر'!$C$1143:$AD$1254,6,FALSE),0)</f>
        <v>0</v>
      </c>
      <c r="N130" s="376">
        <f>IFERROR(VLOOKUP(C130,'تقرير المصروفات حسب الشهر'!$C$1270:$AD$1381,6,FALSE),0)</f>
        <v>0</v>
      </c>
      <c r="O130" s="376">
        <f>IFERROR(VLOOKUP(C130,'تقرير المصروفات حسب الشهر'!$C$1397:$AD$1512,6,FALSE),0)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الشهر'!$C$10:$AD$119,6,FALSE),0)</f>
        <v>0</v>
      </c>
      <c r="E131" s="362">
        <f>IFERROR(VLOOKUP(C131,'تقرير المصروفات حسب الشهر'!$C$135:$AD$244,6,FALSE),0)</f>
        <v>0</v>
      </c>
      <c r="F131" s="362">
        <v>0</v>
      </c>
      <c r="G131" s="362">
        <f>IFERROR(VLOOKUP(C131,'تقرير المصروفات حسب الشهر'!$C$387:$AD$495,6,FALSE),0)</f>
        <v>0</v>
      </c>
      <c r="H131" s="362">
        <f>IFERROR(VLOOKUP(C131,'تقرير المصروفات حسب الشهر'!$C$512:$AD$620,6,FALSE),0)</f>
        <v>0</v>
      </c>
      <c r="I131" s="362">
        <f>IFERROR(VLOOKUP(C131,'تقرير المصروفات حسب الشهر'!$C$637:$AD$746,6,FALSE),0)</f>
        <v>0</v>
      </c>
      <c r="J131" s="362">
        <f>IFERROR(VLOOKUP(C131,'تقرير المصروفات حسب الشهر'!$C$763:$AD$872,6,FALSE),0)</f>
        <v>0</v>
      </c>
      <c r="K131" s="362">
        <f>IFERROR(VLOOKUP(C131,'تقرير المصروفات حسب الشهر'!$C$890:$AD$999,6,FALSE),0)</f>
        <v>0</v>
      </c>
      <c r="L131" s="362">
        <f>IFERROR(VLOOKUP(C131,'تقرير المصروفات حسب الشهر'!$C$1016:$AI$1131,6,FALSE),0)</f>
        <v>0</v>
      </c>
      <c r="M131" s="376">
        <f>IFERROR(VLOOKUP(C131,'تقرير المصروفات حسب الشهر'!$C$1143:$AD$1254,6,FALSE),0)</f>
        <v>0</v>
      </c>
      <c r="N131" s="376">
        <f>IFERROR(VLOOKUP(C131,'تقرير المصروفات حسب الشهر'!$C$1270:$AD$1381,6,FALSE),0)</f>
        <v>0</v>
      </c>
      <c r="O131" s="376">
        <f>IFERROR(VLOOKUP(C131,'تقرير المصروفات حسب الشهر'!$C$1397:$AD$1512,6,FALSE),0)</f>
        <v>0</v>
      </c>
      <c r="P131" s="364">
        <f t="shared" si="6"/>
        <v>0</v>
      </c>
    </row>
    <row r="132" spans="1:17" ht="18" customHeight="1">
      <c r="B132" s="124"/>
      <c r="C132" s="240" t="s">
        <v>360</v>
      </c>
      <c r="D132" s="362">
        <f>IFERROR(VLOOKUP(C132,'تقرير المصروفات حسب الشهر'!$C$10:$AD$124,6,FALSE),0)</f>
        <v>199696.6</v>
      </c>
      <c r="E132" s="362">
        <f>IFERROR(VLOOKUP(C132,'تقرير المصروفات حسب الشهر'!$C$135:$AD$252,6,FALSE),0)</f>
        <v>252245.03</v>
      </c>
      <c r="F132" s="362">
        <v>265493.17000000004</v>
      </c>
      <c r="G132" s="362">
        <f>IFERROR(VLOOKUP(C132,'تقرير المصروفات حسب الشهر'!$C$387:$AD$503,6,FALSE),0)</f>
        <v>376968.67000000004</v>
      </c>
      <c r="H132" s="362">
        <f>IFERROR(VLOOKUP(C132,'تقرير المصروفات حسب الشهر'!$C$512:$AD$622,6,FALSE),0)</f>
        <v>459280.22</v>
      </c>
      <c r="I132" s="362">
        <f>IFERROR(VLOOKUP(C132,'تقرير المصروفات حسب الشهر'!$C$637:$AD$750,6,FALSE),0)</f>
        <v>637853.42999999993</v>
      </c>
      <c r="J132" s="362">
        <f>IFERROR(VLOOKUP(C132,'تقرير المصروفات حسب الشهر'!$C$763:$AD$877,6,FALSE),0)</f>
        <v>450649.55</v>
      </c>
      <c r="K132" s="362">
        <f>IFERROR(VLOOKUP(C132,'تقرير المصروفات حسب الشهر'!$C$890:$AD$1007,6,FALSE),0)</f>
        <v>420723.38</v>
      </c>
      <c r="L132" s="362">
        <f>IFERROR(VLOOKUP(C132,'تقرير المصروفات حسب الشهر'!$C$1016:$AI$1131,6,FALSE),0)</f>
        <v>554109.56999999995</v>
      </c>
      <c r="M132" s="376">
        <f>IFERROR(VLOOKUP(C132,'تقرير المصروفات حسب الشهر'!$C$1143:$AD$1254,6,FALSE),0)</f>
        <v>487006.42</v>
      </c>
      <c r="N132" s="376">
        <f>IFERROR(VLOOKUP(C132,'تقرير المصروفات حسب الشهر'!$C$1270:$AD$1382,6,FALSE),0)</f>
        <v>530750.67000000004</v>
      </c>
      <c r="O132" s="376">
        <f>IFERROR(VLOOKUP(C132,'تقرير المصروفات حسب الشهر'!$C$1397:$AD$1512,6,FALSE),0)</f>
        <v>574517.66</v>
      </c>
      <c r="P132" s="364">
        <f>SUM(D132:O132)</f>
        <v>5209294.37</v>
      </c>
    </row>
    <row r="133" spans="1:17" ht="18" customHeight="1">
      <c r="B133" s="124"/>
      <c r="C133" s="240" t="s">
        <v>390</v>
      </c>
      <c r="D133" s="499"/>
      <c r="E133" s="499"/>
      <c r="F133" s="499"/>
      <c r="G133" s="499"/>
      <c r="H133" s="499"/>
      <c r="I133" s="362">
        <f>IFERROR(VLOOKUP(C133,'تقرير المصروفات حسب الشهر'!$C$637:$AD$750,6,FALSE),0)</f>
        <v>2157.5</v>
      </c>
      <c r="J133" s="362">
        <f>IFERROR(VLOOKUP(C133,'تقرير المصروفات حسب الشهر'!$C$763:$AD$877,6,FALSE),0)</f>
        <v>0</v>
      </c>
      <c r="K133" s="362">
        <f>IFERROR(VLOOKUP(C133,'تقرير المصروفات حسب الشهر'!$C$890:$AD$1007,6,FALSE),0)</f>
        <v>0</v>
      </c>
      <c r="L133" s="362">
        <f>IFERROR(VLOOKUP(C133,'تقرير المصروفات حسب الشهر'!$C$1016:$AI$1131,6,FALSE),0)</f>
        <v>0</v>
      </c>
      <c r="M133" s="376">
        <f>IFERROR(VLOOKUP(C133,'تقرير المصروفات حسب الشهر'!$C$1143:$AD$1254,6,FALSE),0)</f>
        <v>0</v>
      </c>
      <c r="N133" s="376">
        <f>IFERROR(VLOOKUP(C133,'تقرير المصروفات حسب الشهر'!$C$1270:$AI$1384,6,FALSE),0)</f>
        <v>0</v>
      </c>
      <c r="O133" s="376">
        <f>IFERROR(VLOOKUP(C133,'تقرير المصروفات حسب الشهر'!$C$1397:$AD$1512,6,FALSE),0)</f>
        <v>0</v>
      </c>
      <c r="P133" s="436"/>
    </row>
    <row r="134" spans="1:17" ht="18" customHeight="1">
      <c r="B134" s="124"/>
      <c r="C134" s="516" t="s">
        <v>392</v>
      </c>
      <c r="D134" s="499"/>
      <c r="E134" s="499"/>
      <c r="F134" s="499"/>
      <c r="G134" s="499"/>
      <c r="H134" s="499"/>
      <c r="I134" s="499"/>
      <c r="J134" s="362">
        <f>IFERROR(VLOOKUP(C134,'تقرير المصروفات حسب الشهر'!$C$763:$AD$877,6,FALSE),0)</f>
        <v>79332.69</v>
      </c>
      <c r="K134" s="362">
        <f>IFERROR(VLOOKUP(C134,'تقرير المصروفات حسب الشهر'!$C$890:$AD$1007,6,FALSE),0)</f>
        <v>139532.66999999998</v>
      </c>
      <c r="L134" s="362">
        <f>IFERROR(VLOOKUP(C134,'تقرير المصروفات حسب الشهر'!$C$1016:$AI$1131,6,FALSE),0)</f>
        <v>213602.81</v>
      </c>
      <c r="M134" s="376">
        <f>IFERROR(VLOOKUP(C134,'تقرير المصروفات حسب الشهر'!$C$1143:$AD$1258,6,FALSE),0)</f>
        <v>172949.99</v>
      </c>
      <c r="N134" s="376">
        <f>IFERROR(VLOOKUP(C134,'تقرير المصروفات حسب الشهر'!$C$1270:$AI$1384,6,FALSE),0)</f>
        <v>80253.040000000008</v>
      </c>
      <c r="O134" s="376">
        <f>IFERROR(VLOOKUP(C134,'تقرير المصروفات حسب الشهر'!$C$1397:$AD$1512,6,FALSE),0)</f>
        <v>132161.91</v>
      </c>
      <c r="P134" s="436"/>
    </row>
    <row r="135" spans="1:17" ht="18" customHeight="1">
      <c r="B135" s="124"/>
      <c r="C135" s="149" t="s">
        <v>270</v>
      </c>
      <c r="D135" s="146">
        <f>SUM(D22:D132)</f>
        <v>511847.77</v>
      </c>
      <c r="E135" s="146">
        <f t="shared" ref="E135:H135" si="7">SUM(E22:E132)</f>
        <v>715488.69</v>
      </c>
      <c r="F135" s="146">
        <f t="shared" si="7"/>
        <v>768276.94000000006</v>
      </c>
      <c r="G135" s="146">
        <f t="shared" si="7"/>
        <v>851796.29</v>
      </c>
      <c r="H135" s="146">
        <f t="shared" si="7"/>
        <v>959623.79999999993</v>
      </c>
      <c r="I135" s="146">
        <f>SUM(I22:I133)</f>
        <v>1226552.04</v>
      </c>
      <c r="J135" s="146">
        <f t="shared" ref="J135:O135" si="8">SUM(J22:J134)</f>
        <v>1096504.8399999999</v>
      </c>
      <c r="K135" s="146">
        <f t="shared" si="8"/>
        <v>1136298.1099999999</v>
      </c>
      <c r="L135" s="146">
        <f t="shared" si="8"/>
        <v>1331460.42</v>
      </c>
      <c r="M135" s="146">
        <f t="shared" si="8"/>
        <v>1179195.3399999999</v>
      </c>
      <c r="N135" s="146">
        <f t="shared" si="8"/>
        <v>1130944.04</v>
      </c>
      <c r="O135" s="146">
        <f t="shared" si="8"/>
        <v>1380909.01</v>
      </c>
      <c r="P135" s="388">
        <f t="shared" si="6"/>
        <v>12288897.289999997</v>
      </c>
    </row>
    <row r="136" spans="1:17" ht="18" customHeight="1">
      <c r="B136" s="124"/>
      <c r="C136" s="134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28"/>
    </row>
    <row r="137" spans="1:17" ht="24.75" customHeight="1">
      <c r="B137" s="124"/>
      <c r="C137" s="148" t="s">
        <v>14</v>
      </c>
      <c r="D137" s="392">
        <f t="shared" ref="D137:O137" si="9">D19</f>
        <v>1082950.1800000006</v>
      </c>
      <c r="E137" s="392">
        <f t="shared" si="9"/>
        <v>1127900.9600000007</v>
      </c>
      <c r="F137" s="392">
        <f t="shared" si="9"/>
        <v>1246605.43</v>
      </c>
      <c r="G137" s="392">
        <f t="shared" si="9"/>
        <v>1313490.8599999994</v>
      </c>
      <c r="H137" s="392">
        <f t="shared" si="9"/>
        <v>1391201.9900000009</v>
      </c>
      <c r="I137" s="392">
        <f t="shared" si="9"/>
        <v>1512433.28</v>
      </c>
      <c r="J137" s="392">
        <f t="shared" si="9"/>
        <v>1555989.4999999995</v>
      </c>
      <c r="K137" s="392">
        <f t="shared" si="9"/>
        <v>1567214.96</v>
      </c>
      <c r="L137" s="392">
        <f t="shared" si="9"/>
        <v>1416616.4899999993</v>
      </c>
      <c r="M137" s="392">
        <f t="shared" si="9"/>
        <v>1552753.0099999998</v>
      </c>
      <c r="N137" s="392">
        <f t="shared" si="9"/>
        <v>1663995.8299999998</v>
      </c>
      <c r="O137" s="392">
        <f t="shared" si="9"/>
        <v>1513226.5100000016</v>
      </c>
      <c r="P137" s="388">
        <f t="shared" si="6"/>
        <v>16944379</v>
      </c>
    </row>
    <row r="138" spans="1:17" ht="10.95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ht="18" customHeight="1">
      <c r="B139" s="124"/>
      <c r="C139" s="136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28"/>
    </row>
    <row r="140" spans="1:17" s="139" customFormat="1" ht="22.5" customHeight="1">
      <c r="A140" s="113"/>
      <c r="B140" s="138"/>
      <c r="C140" s="147" t="s">
        <v>271</v>
      </c>
      <c r="D140" s="383">
        <f>D137-D135</f>
        <v>571102.41000000061</v>
      </c>
      <c r="E140" s="383">
        <f t="shared" ref="E140:O140" si="10">E137-E135</f>
        <v>412412.27000000072</v>
      </c>
      <c r="F140" s="383">
        <f t="shared" si="10"/>
        <v>478328.48999999987</v>
      </c>
      <c r="G140" s="383">
        <f t="shared" si="10"/>
        <v>461694.56999999937</v>
      </c>
      <c r="H140" s="383">
        <f t="shared" si="10"/>
        <v>431578.19000000099</v>
      </c>
      <c r="I140" s="383">
        <f t="shared" si="10"/>
        <v>285881.24</v>
      </c>
      <c r="J140" s="383">
        <f t="shared" si="10"/>
        <v>459484.65999999968</v>
      </c>
      <c r="K140" s="383">
        <f t="shared" si="10"/>
        <v>430916.85000000009</v>
      </c>
      <c r="L140" s="383">
        <f t="shared" si="10"/>
        <v>85156.069999999367</v>
      </c>
      <c r="M140" s="383">
        <f t="shared" si="10"/>
        <v>373557.66999999993</v>
      </c>
      <c r="N140" s="383">
        <f t="shared" si="10"/>
        <v>533051.7899999998</v>
      </c>
      <c r="O140" s="383">
        <f t="shared" si="10"/>
        <v>132317.50000000163</v>
      </c>
      <c r="P140" s="387">
        <f>SUM(D140:O140)</f>
        <v>4655481.7100000028</v>
      </c>
      <c r="Q140" s="113"/>
    </row>
    <row r="141" spans="1:17" ht="7.5" customHeight="1">
      <c r="B141" s="140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28"/>
    </row>
    <row r="142" spans="1:17" ht="7.35" customHeight="1">
      <c r="B142" s="12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22"/>
    </row>
    <row r="143" spans="1:17" s="112" customFormat="1" ht="23.1" customHeight="1">
      <c r="A143" s="113"/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4"/>
      <c r="P143" s="144"/>
      <c r="Q143" s="145"/>
    </row>
    <row r="144" spans="1:17">
      <c r="D144" s="113">
        <v>565819.11</v>
      </c>
      <c r="G144" s="238">
        <f>461694.23-G140</f>
        <v>-0.3399999993853271</v>
      </c>
      <c r="M144" s="459">
        <f>373557.67-M140</f>
        <v>0</v>
      </c>
    </row>
    <row r="145" spans="4:14">
      <c r="D145" s="415">
        <f>D140-D144</f>
        <v>5283.3000000006286</v>
      </c>
      <c r="N145" s="238">
        <v>424547.06</v>
      </c>
    </row>
    <row r="146" spans="4:14">
      <c r="N146" s="238">
        <f>N140-N145</f>
        <v>108504.72999999981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>
    <tabColor rgb="FFFFC000"/>
  </sheetPr>
  <dimension ref="A1:T141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354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139</v>
      </c>
      <c r="B8" s="390"/>
      <c r="C8" s="369" t="s">
        <v>114</v>
      </c>
      <c r="D8" s="364">
        <f>D9+D10+D11</f>
        <v>1947540.02</v>
      </c>
      <c r="E8" s="364">
        <f t="shared" ref="E8:O8" si="0">E9+E10+E11</f>
        <v>1775257.4300000002</v>
      </c>
      <c r="F8" s="364">
        <f t="shared" si="0"/>
        <v>1795573.65</v>
      </c>
      <c r="G8" s="364">
        <f t="shared" si="0"/>
        <v>1839263.98</v>
      </c>
      <c r="H8" s="364">
        <f t="shared" si="0"/>
        <v>1940738.9599999997</v>
      </c>
      <c r="I8" s="364">
        <f t="shared" si="0"/>
        <v>2032739.84</v>
      </c>
      <c r="J8" s="364">
        <f t="shared" si="0"/>
        <v>2077568.6700000002</v>
      </c>
      <c r="K8" s="364">
        <f t="shared" si="0"/>
        <v>2105653.7799999998</v>
      </c>
      <c r="L8" s="364">
        <f t="shared" si="0"/>
        <v>1890484.51</v>
      </c>
      <c r="M8" s="364">
        <f t="shared" si="0"/>
        <v>2234165.0499999998</v>
      </c>
      <c r="N8" s="364">
        <f t="shared" si="0"/>
        <v>2033355.07</v>
      </c>
      <c r="O8" s="364">
        <f t="shared" si="0"/>
        <v>2309122.98</v>
      </c>
      <c r="P8" s="364">
        <f>SUM(D8:O8)</f>
        <v>23981463.940000001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38601.799999999937</v>
      </c>
      <c r="E9" s="365">
        <f>VLOOKUP($A$8,'تقرير إحصائية بحجم المبيعات'!$B$42:$G$73,2,FALSE)</f>
        <v>10047.090000000084</v>
      </c>
      <c r="F9" s="365">
        <f>VLOOKUP($A$8,'تقرير إحصائية بحجم المبيعات'!$B$78:$E$103,2,FALSE)</f>
        <v>29421.010000000009</v>
      </c>
      <c r="G9" s="365">
        <f>VLOOKUP($A$8,'تقرير إحصائية بحجم المبيعات'!$B$112:$G$137,2,FALSE)</f>
        <v>36603.699999999997</v>
      </c>
      <c r="H9" s="365">
        <f>VLOOKUP($A$8,'تقرير إحصائية بحجم المبيعات'!$B$147:$G$177,2,FALSE)</f>
        <v>28323.279999999795</v>
      </c>
      <c r="I9" s="365">
        <f>VLOOKUP($A$8,'تقرير إحصائية بحجم المبيعات'!$B$182:$G$212,2,FALSE)</f>
        <v>-5878.6599999999162</v>
      </c>
      <c r="J9" s="365">
        <f>VLOOKUP($A$8,'تقرير إحصائية بحجم المبيعات'!$B$217:$L$243,2,FALSE)</f>
        <v>14657.340000000084</v>
      </c>
      <c r="K9" s="365">
        <f>VLOOKUP($A$8,'تقرير إحصائية بحجم المبيعات'!$B$252:$L$278,2,FALSE)</f>
        <v>21317.09999999974</v>
      </c>
      <c r="L9" s="365">
        <f>VLOOKUP($A$8,'تقرير إحصائية بحجم المبيعات'!$B$287:$L$313,2,FALSE)</f>
        <v>11360.969999999888</v>
      </c>
      <c r="M9" s="365">
        <f>VLOOKUP($A$8,'تقرير إحصائية بحجم المبيعات'!$B$322:$L$347,2,FALSE)</f>
        <v>22469.009999999776</v>
      </c>
      <c r="N9" s="365">
        <f>VLOOKUP($A$8,'تقرير إحصائية بحجم المبيعات'!$B$357:$L$383,2,FALSE)</f>
        <v>40387.690000000075</v>
      </c>
      <c r="O9" s="365">
        <f>VLOOKUP($A$8,'تقرير إحصائية بحجم المبيعات'!$B$391:$L$420,2,FALSE)</f>
        <v>7172.8800000000738</v>
      </c>
      <c r="P9" s="364">
        <f t="shared" ref="P9:P18" si="1">SUM(D9:O9)</f>
        <v>254483.20999999956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1908938.22</v>
      </c>
      <c r="E11" s="365">
        <f>VLOOKUP($A$8,'تقرير إحصائية بحجم المبيعات'!$B$42:$G$73,4,FALSE)</f>
        <v>1765210.34</v>
      </c>
      <c r="F11" s="365">
        <f>VLOOKUP($A$8,'تقرير إحصائية بحجم المبيعات'!$B$78:$E$103,4,FALSE)</f>
        <v>1766152.64</v>
      </c>
      <c r="G11" s="365">
        <f>VLOOKUP($A$8,'تقرير إحصائية بحجم المبيعات'!$B$112:$G$137,4,FALSE)</f>
        <v>1802660.28</v>
      </c>
      <c r="H11" s="365">
        <f>VLOOKUP($A$8,'تقرير إحصائية بحجم المبيعات'!$B$147:$G$177,4,FALSE)</f>
        <v>1912415.68</v>
      </c>
      <c r="I11" s="365">
        <f>VLOOKUP($A$8,'تقرير إحصائية بحجم المبيعات'!$B$182:$G$212,4,FALSE)</f>
        <v>2038618.5</v>
      </c>
      <c r="J11" s="365">
        <f>VLOOKUP($A$8,'تقرير إحصائية بحجم المبيعات'!$B$217:$L$243,4,FALSE)</f>
        <v>2062911.33</v>
      </c>
      <c r="K11" s="365">
        <f>VLOOKUP($A$8,'تقرير إحصائية بحجم المبيعات'!$B$252:$L$278,4,FALSE)</f>
        <v>2084336.68</v>
      </c>
      <c r="L11" s="365">
        <f>VLOOKUP($A$8,'تقرير إحصائية بحجم المبيعات'!$B$287:$L$313,4,FALSE)</f>
        <v>1879123.54</v>
      </c>
      <c r="M11" s="365">
        <f>VLOOKUP($A$8,'تقرير إحصائية بحجم المبيعات'!$B$322:$L$347,4,FALSE)</f>
        <v>2211696.04</v>
      </c>
      <c r="N11" s="365">
        <f>VLOOKUP($A$8,'تقرير إحصائية بحجم المبيعات'!$B$357:$L$383,4,FALSE)</f>
        <v>1992967.38</v>
      </c>
      <c r="O11" s="365">
        <f>VLOOKUP($A$8,'تقرير إحصائية بحجم المبيعات'!$B$391:$L$420,4,FALSE)</f>
        <v>2301950.1</v>
      </c>
      <c r="P11" s="364">
        <f t="shared" si="1"/>
        <v>23726980.73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1655785.68</v>
      </c>
      <c r="E12" s="364">
        <f>VLOOKUP($A$8,'تقرير إحصائية بحجم المبيعات'!$B$42:$L$73,11,FALSE)</f>
        <v>1524135.87</v>
      </c>
      <c r="F12" s="364">
        <f>VLOOKUP($A$8,'تقرير إحصائية بحجم المبيعات'!$B$78:$L$103,11,FALSE)</f>
        <v>1550681.32</v>
      </c>
      <c r="G12" s="364">
        <f>VLOOKUP($A$8,'تقرير إحصائية بحجم المبيعات'!$B$112:$L$137,11,FALSE)</f>
        <v>1605312.6</v>
      </c>
      <c r="H12" s="364">
        <f>VLOOKUP($A$8,'تقرير إحصائية بحجم المبيعات'!$B$147:$L$177,11,FALSE)</f>
        <v>1669227.75</v>
      </c>
      <c r="I12" s="364">
        <f>VLOOKUP($A$8,'تقرير إحصائية بحجم المبيعات'!$B$182:$L$212,11,FALSE)</f>
        <v>1704874.82</v>
      </c>
      <c r="J12" s="365">
        <f>VLOOKUP($A$8,'تقرير إحصائية بحجم المبيعات'!$B$217:$L$243,11,FALSE)</f>
        <v>1778614.12</v>
      </c>
      <c r="K12" s="364">
        <f>VLOOKUP($A$8,'تقرير إحصائية بحجم المبيعات'!$B$252:$L$278,11,FALSE)</f>
        <v>1787608.58</v>
      </c>
      <c r="L12" s="364">
        <f>VLOOKUP($A$8,'تقرير إحصائية بحجم المبيعات'!$B$287:$L$313,11,FALSE)</f>
        <v>1645964.36</v>
      </c>
      <c r="M12" s="365">
        <f>VLOOKUP($A$8,'تقرير إحصائية بحجم المبيعات'!$B$322:$L$347,11,FALSE)</f>
        <v>1893913.06</v>
      </c>
      <c r="N12" s="365">
        <f>VLOOKUP($A$8,'تقرير إحصائية بحجم المبيعات'!$B$357:$L$383,11,FALSE)</f>
        <v>1772017.34</v>
      </c>
      <c r="O12" s="365">
        <f>VLOOKUP($A$8,'تقرير إحصائية بحجم المبيعات'!$B$391:$L$420,11,FALSE)</f>
        <v>1984670.68</v>
      </c>
      <c r="P12" s="364">
        <f t="shared" si="1"/>
        <v>20572806.18</v>
      </c>
    </row>
    <row r="13" spans="1:20" ht="18" customHeight="1">
      <c r="B13" s="124"/>
      <c r="C13" s="371" t="s">
        <v>14</v>
      </c>
      <c r="D13" s="366">
        <f t="shared" ref="D13:O13" si="2">D8-D12</f>
        <v>291754.34000000008</v>
      </c>
      <c r="E13" s="366">
        <f t="shared" si="2"/>
        <v>251121.56000000006</v>
      </c>
      <c r="F13" s="366">
        <f t="shared" si="2"/>
        <v>244892.32999999984</v>
      </c>
      <c r="G13" s="366">
        <f t="shared" si="2"/>
        <v>233951.37999999989</v>
      </c>
      <c r="H13" s="366">
        <f t="shared" si="2"/>
        <v>271511.20999999973</v>
      </c>
      <c r="I13" s="366">
        <f t="shared" si="2"/>
        <v>327865.02</v>
      </c>
      <c r="J13" s="366">
        <f t="shared" si="2"/>
        <v>298954.55000000005</v>
      </c>
      <c r="K13" s="366">
        <f t="shared" si="2"/>
        <v>318045.19999999972</v>
      </c>
      <c r="L13" s="366">
        <f t="shared" si="2"/>
        <v>244520.14999999991</v>
      </c>
      <c r="M13" s="366">
        <f t="shared" si="2"/>
        <v>340251.98999999976</v>
      </c>
      <c r="N13" s="366">
        <f t="shared" si="2"/>
        <v>261337.72999999998</v>
      </c>
      <c r="O13" s="366">
        <f t="shared" si="2"/>
        <v>324452.30000000005</v>
      </c>
      <c r="P13" s="366">
        <f t="shared" si="1"/>
        <v>3408657.7599999988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83139.27</v>
      </c>
      <c r="E16" s="367">
        <v>167078.41999999998</v>
      </c>
      <c r="F16" s="367">
        <v>170152.52</v>
      </c>
      <c r="G16" s="367">
        <v>300664.49000000005</v>
      </c>
      <c r="H16" s="367">
        <v>120408.89000000001</v>
      </c>
      <c r="I16" s="367">
        <v>121612.49000000002</v>
      </c>
      <c r="J16" s="367">
        <v>173216.14</v>
      </c>
      <c r="K16" s="367">
        <v>170186.93999999994</v>
      </c>
      <c r="L16" s="367">
        <v>224186.09999999992</v>
      </c>
      <c r="M16" s="367">
        <v>234079.19</v>
      </c>
      <c r="N16" s="367">
        <v>147385.82</v>
      </c>
      <c r="O16" s="367">
        <v>140043.56</v>
      </c>
      <c r="P16" s="364">
        <f t="shared" si="1"/>
        <v>2052153.8299999998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83139.27</v>
      </c>
      <c r="E18" s="363">
        <f t="shared" ref="E18:O18" si="3">SUM(E14:E17)</f>
        <v>167078.41999999998</v>
      </c>
      <c r="F18" s="363">
        <f t="shared" si="3"/>
        <v>170152.52</v>
      </c>
      <c r="G18" s="363">
        <f t="shared" si="3"/>
        <v>300664.49000000005</v>
      </c>
      <c r="H18" s="363">
        <f t="shared" si="3"/>
        <v>120408.89000000001</v>
      </c>
      <c r="I18" s="363">
        <f t="shared" si="3"/>
        <v>121612.49000000002</v>
      </c>
      <c r="J18" s="363">
        <f t="shared" si="3"/>
        <v>173216.14</v>
      </c>
      <c r="K18" s="363">
        <f t="shared" si="3"/>
        <v>170186.93999999994</v>
      </c>
      <c r="L18" s="363">
        <f t="shared" si="3"/>
        <v>224186.09999999992</v>
      </c>
      <c r="M18" s="368">
        <f t="shared" si="3"/>
        <v>234079.19</v>
      </c>
      <c r="N18" s="368">
        <f t="shared" si="3"/>
        <v>147385.82</v>
      </c>
      <c r="O18" s="368">
        <f t="shared" si="3"/>
        <v>140043.56</v>
      </c>
      <c r="P18" s="364">
        <f t="shared" si="1"/>
        <v>2052153.8299999998</v>
      </c>
    </row>
    <row r="19" spans="2:16" ht="18" customHeight="1">
      <c r="B19" s="124"/>
      <c r="C19" s="386" t="s">
        <v>14</v>
      </c>
      <c r="D19" s="374">
        <f t="shared" ref="D19:O19" si="4">D13+D18</f>
        <v>374893.6100000001</v>
      </c>
      <c r="E19" s="374">
        <f t="shared" si="4"/>
        <v>418199.98000000004</v>
      </c>
      <c r="F19" s="374">
        <f t="shared" si="4"/>
        <v>415044.84999999986</v>
      </c>
      <c r="G19" s="374">
        <f t="shared" si="4"/>
        <v>534615.86999999988</v>
      </c>
      <c r="H19" s="374">
        <f t="shared" si="4"/>
        <v>391920.09999999974</v>
      </c>
      <c r="I19" s="374">
        <f t="shared" si="4"/>
        <v>449477.51</v>
      </c>
      <c r="J19" s="374">
        <f t="shared" si="4"/>
        <v>472170.69000000006</v>
      </c>
      <c r="K19" s="374">
        <f t="shared" si="4"/>
        <v>488232.13999999966</v>
      </c>
      <c r="L19" s="374">
        <f t="shared" si="4"/>
        <v>468706.24999999983</v>
      </c>
      <c r="M19" s="374">
        <f t="shared" si="4"/>
        <v>574331.1799999997</v>
      </c>
      <c r="N19" s="374">
        <f t="shared" si="4"/>
        <v>408723.55</v>
      </c>
      <c r="O19" s="374">
        <f t="shared" si="4"/>
        <v>464495.86000000004</v>
      </c>
      <c r="P19" s="382">
        <f>SUM(D19:O19)</f>
        <v>5460811.5899999999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الشهر'!$C$10:$AD$119,7,FALSE),0)</f>
        <v>0</v>
      </c>
      <c r="E22" s="362">
        <f>IFERROR(VLOOKUP(C22,'تقرير المصروفات حسب الشهر'!$C$135:$AD$244,7,FALSE),0)</f>
        <v>0</v>
      </c>
      <c r="F22" s="362">
        <v>0</v>
      </c>
      <c r="G22" s="362">
        <f>IFERROR(VLOOKUP(C22,'تقرير المصروفات حسب الشهر'!$C$387:$AD$495,7,FALSE),0)</f>
        <v>0</v>
      </c>
      <c r="H22" s="362">
        <f>IFERROR(VLOOKUP(C22,'تقرير المصروفات حسب الشهر'!$C$512:$AD$620,7,FALSE),0)</f>
        <v>0</v>
      </c>
      <c r="I22" s="362">
        <f>IFERROR(VLOOKUP(C22,'تقرير المصروفات حسب الشهر'!$C$637:$AD$746,7,FALSE),0)</f>
        <v>0</v>
      </c>
      <c r="J22" s="362">
        <f>IFERROR(VLOOKUP(C22,'تقرير المصروفات حسب الشهر'!$C$763:$AD$872,7,FALSE),0)</f>
        <v>0</v>
      </c>
      <c r="K22" s="362">
        <f>IFERROR(VLOOKUP(C22,'تقرير المصروفات حسب الشهر'!$C$890:$AD$999,7,FALSE),0)</f>
        <v>0</v>
      </c>
      <c r="L22" s="362">
        <f>IFERROR(VLOOKUP(C22,'تقرير المصروفات حسب الشهر'!$C$1016:$AD$1126,7,FALSE),0)</f>
        <v>0</v>
      </c>
      <c r="M22" s="376">
        <f>IFERROR(VLOOKUP(C22,'تقرير المصروفات حسب الشهر'!$C$1143:$AD$1254,7,FALSE),0)</f>
        <v>0</v>
      </c>
      <c r="N22" s="376" t="str">
        <f>IFERROR(VLOOKUP(C22,'تقرير المصروفات حسب الشهر'!$C$1270:$AD$1381,7,FALSE),0)</f>
        <v xml:space="preserve"> </v>
      </c>
      <c r="O22" s="376">
        <f>IFERROR(VLOOKUP(C22,'تقرير المصروفات حسب الشهر'!$C$1397:$AD$1512,7,FALSE),0)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الشهر'!$C$10:$AD$119,7,FALSE),0)</f>
        <v>37720.32</v>
      </c>
      <c r="E23" s="362">
        <f>IFERROR(VLOOKUP(C23,'تقرير المصروفات حسب الشهر'!$C$135:$AD$244,7,FALSE),0)</f>
        <v>37302.720000000001</v>
      </c>
      <c r="F23" s="362">
        <v>35815.870000000003</v>
      </c>
      <c r="G23" s="362">
        <f>IFERROR(VLOOKUP(C23,'تقرير المصروفات حسب الشهر'!$C$387:$AD$495,7,FALSE),0)</f>
        <v>35818.18</v>
      </c>
      <c r="H23" s="362">
        <f>IFERROR(VLOOKUP(C23,'تقرير المصروفات حسب الشهر'!$C$512:$AD$620,7,FALSE),0)</f>
        <v>40629.630000000005</v>
      </c>
      <c r="I23" s="362">
        <f>IFERROR(VLOOKUP(C23,'تقرير المصروفات حسب الشهر'!$C$637:$AD$746,7,FALSE),0)</f>
        <v>43698.58</v>
      </c>
      <c r="J23" s="362">
        <f>IFERROR(VLOOKUP(C23,'تقرير المصروفات حسب الشهر'!$C$763:$AD$872,7,FALSE),0)</f>
        <v>39426.625</v>
      </c>
      <c r="K23" s="362">
        <f>IFERROR(VLOOKUP(C23,'تقرير المصروفات حسب الشهر'!$C$890:$AD$999,7,FALSE),0)</f>
        <v>42282.119999999995</v>
      </c>
      <c r="L23" s="362">
        <f>IFERROR(VLOOKUP(C23,'تقرير المصروفات حسب الشهر'!$C$1016:$AD$1126,7,FALSE),0)</f>
        <v>36645.910000000003</v>
      </c>
      <c r="M23" s="376">
        <f>IFERROR(VLOOKUP(C23,'تقرير المصروفات حسب الشهر'!$C$1143:$AD$1254,7,FALSE),0)</f>
        <v>41130.9</v>
      </c>
      <c r="N23" s="376">
        <f>IFERROR(VLOOKUP(C23,'تقرير المصروفات حسب الشهر'!$C$1270:$AD$1381,7,FALSE),0)</f>
        <v>44025.24</v>
      </c>
      <c r="O23" s="376">
        <f>IFERROR(VLOOKUP(C23,'تقرير المصروفات حسب الشهر'!$C$1397:$AD$1512,7,FALSE),0)</f>
        <v>39293.99</v>
      </c>
      <c r="P23" s="364">
        <f t="shared" ref="P23:P86" si="5">SUM(D23:O23)</f>
        <v>473790.08499999996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الشهر'!$C$10:$AD$119,7,FALSE),0)</f>
        <v>0</v>
      </c>
      <c r="E24" s="362">
        <f>IFERROR(VLOOKUP(C24,'تقرير المصروفات حسب الشهر'!$C$135:$AD$244,7,FALSE),0)</f>
        <v>0</v>
      </c>
      <c r="F24" s="362">
        <v>0</v>
      </c>
      <c r="G24" s="362">
        <f>IFERROR(VLOOKUP(C24,'تقرير المصروفات حسب الشهر'!$C$387:$AD$495,7,FALSE),0)</f>
        <v>0</v>
      </c>
      <c r="H24" s="362">
        <f>IFERROR(VLOOKUP(C24,'تقرير المصروفات حسب الشهر'!$C$512:$AD$620,7,FALSE),0)</f>
        <v>0</v>
      </c>
      <c r="I24" s="362">
        <f>IFERROR(VLOOKUP(C24,'تقرير المصروفات حسب الشهر'!$C$637:$AD$746,7,FALSE),0)</f>
        <v>0</v>
      </c>
      <c r="J24" s="362">
        <f>IFERROR(VLOOKUP(C24,'تقرير المصروفات حسب الشهر'!$C$763:$AD$872,7,FALSE),0)</f>
        <v>0</v>
      </c>
      <c r="K24" s="362">
        <f>IFERROR(VLOOKUP(C24,'تقرير المصروفات حسب الشهر'!$C$890:$AD$999,7,FALSE),0)</f>
        <v>0</v>
      </c>
      <c r="L24" s="362">
        <f>IFERROR(VLOOKUP(C24,'تقرير المصروفات حسب الشهر'!$C$1016:$AD$1126,7,FALSE),0)</f>
        <v>0</v>
      </c>
      <c r="M24" s="376">
        <f>IFERROR(VLOOKUP(C24,'تقرير المصروفات حسب الشهر'!$C$1143:$AD$1254,7,FALSE),0)</f>
        <v>0</v>
      </c>
      <c r="N24" s="376">
        <f>IFERROR(VLOOKUP(C24,'تقرير المصروفات حسب الشهر'!$C$1270:$AD$1381,7,FALSE),0)</f>
        <v>0</v>
      </c>
      <c r="O24" s="376">
        <f>IFERROR(VLOOKUP(C24,'تقرير المصروفات حسب الشهر'!$C$1397:$AD$1512,7,FALSE),0)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الشهر'!$C$10:$AD$119,7,FALSE),0)</f>
        <v>0</v>
      </c>
      <c r="E25" s="362">
        <f>IFERROR(VLOOKUP(C25,'تقرير المصروفات حسب الشهر'!$C$135:$AD$244,7,FALSE),0)</f>
        <v>0</v>
      </c>
      <c r="F25" s="362">
        <v>0</v>
      </c>
      <c r="G25" s="362">
        <f>IFERROR(VLOOKUP(C25,'تقرير المصروفات حسب الشهر'!$C$387:$AD$495,7,FALSE),0)</f>
        <v>0</v>
      </c>
      <c r="H25" s="362">
        <f>IFERROR(VLOOKUP(C25,'تقرير المصروفات حسب الشهر'!$C$512:$AD$620,7,FALSE),0)</f>
        <v>0</v>
      </c>
      <c r="I25" s="362">
        <f>IFERROR(VLOOKUP(C25,'تقرير المصروفات حسب الشهر'!$C$637:$AD$746,7,FALSE),0)</f>
        <v>0</v>
      </c>
      <c r="J25" s="362">
        <f>IFERROR(VLOOKUP(C25,'تقرير المصروفات حسب الشهر'!$C$763:$AD$872,7,FALSE),0)</f>
        <v>0</v>
      </c>
      <c r="K25" s="362">
        <f>IFERROR(VLOOKUP(C25,'تقرير المصروفات حسب الشهر'!$C$890:$AD$999,7,FALSE),0)</f>
        <v>0</v>
      </c>
      <c r="L25" s="362">
        <f>IFERROR(VLOOKUP(C25,'تقرير المصروفات حسب الشهر'!$C$1016:$AD$1126,7,FALSE),0)</f>
        <v>0</v>
      </c>
      <c r="M25" s="376">
        <f>IFERROR(VLOOKUP(C25,'تقرير المصروفات حسب الشهر'!$C$1143:$AD$1254,7,FALSE),0)</f>
        <v>0</v>
      </c>
      <c r="N25" s="376">
        <f>IFERROR(VLOOKUP(C25,'تقرير المصروفات حسب الشهر'!$C$1270:$AD$1381,7,FALSE),0)</f>
        <v>0</v>
      </c>
      <c r="O25" s="376">
        <f>IFERROR(VLOOKUP(C25,'تقرير المصروفات حسب الشهر'!$C$1397:$AD$1512,7,FALSE),0)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الشهر'!$C$10:$AD$119,7,FALSE),0)</f>
        <v>0</v>
      </c>
      <c r="E26" s="362">
        <f>IFERROR(VLOOKUP(C26,'تقرير المصروفات حسب الشهر'!$C$135:$AD$244,7,FALSE),0)</f>
        <v>0</v>
      </c>
      <c r="F26" s="362">
        <v>0</v>
      </c>
      <c r="G26" s="362">
        <f>IFERROR(VLOOKUP(C26,'تقرير المصروفات حسب الشهر'!$C$387:$AD$495,7,FALSE),0)</f>
        <v>0</v>
      </c>
      <c r="H26" s="362">
        <f>IFERROR(VLOOKUP(C26,'تقرير المصروفات حسب الشهر'!$C$512:$AD$620,7,FALSE),0)</f>
        <v>0</v>
      </c>
      <c r="I26" s="362">
        <f>IFERROR(VLOOKUP(C26,'تقرير المصروفات حسب الشهر'!$C$637:$AD$746,7,FALSE),0)</f>
        <v>0</v>
      </c>
      <c r="J26" s="362">
        <f>IFERROR(VLOOKUP(C26,'تقرير المصروفات حسب الشهر'!$C$763:$AD$872,7,FALSE),0)</f>
        <v>0</v>
      </c>
      <c r="K26" s="362">
        <f>IFERROR(VLOOKUP(C26,'تقرير المصروفات حسب الشهر'!$C$890:$AD$999,7,FALSE),0)</f>
        <v>0</v>
      </c>
      <c r="L26" s="362">
        <f>IFERROR(VLOOKUP(C26,'تقرير المصروفات حسب الشهر'!$C$1016:$AD$1126,7,FALSE),0)</f>
        <v>0</v>
      </c>
      <c r="M26" s="376">
        <f>IFERROR(VLOOKUP(C26,'تقرير المصروفات حسب الشهر'!$C$1143:$AD$1254,7,FALSE),0)</f>
        <v>0</v>
      </c>
      <c r="N26" s="376">
        <f>IFERROR(VLOOKUP(C26,'تقرير المصروفات حسب الشهر'!$C$1270:$AD$1381,7,FALSE),0)</f>
        <v>0</v>
      </c>
      <c r="O26" s="376">
        <f>IFERROR(VLOOKUP(C26,'تقرير المصروفات حسب الشهر'!$C$1397:$AD$1512,7,FALSE),0)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الشهر'!$C$10:$AD$119,7,FALSE),0)</f>
        <v>0</v>
      </c>
      <c r="E27" s="362">
        <f>IFERROR(VLOOKUP(C27,'تقرير المصروفات حسب الشهر'!$C$135:$AD$244,7,FALSE),0)</f>
        <v>0</v>
      </c>
      <c r="F27" s="362">
        <v>0</v>
      </c>
      <c r="G27" s="362">
        <f>IFERROR(VLOOKUP(C27,'تقرير المصروفات حسب الشهر'!$C$387:$AD$495,7,FALSE),0)</f>
        <v>0</v>
      </c>
      <c r="H27" s="362">
        <f>IFERROR(VLOOKUP(C27,'تقرير المصروفات حسب الشهر'!$C$512:$AD$620,7,FALSE),0)</f>
        <v>0</v>
      </c>
      <c r="I27" s="362">
        <f>IFERROR(VLOOKUP(C27,'تقرير المصروفات حسب الشهر'!$C$637:$AD$746,7,FALSE),0)</f>
        <v>0</v>
      </c>
      <c r="J27" s="362">
        <f>IFERROR(VLOOKUP(C27,'تقرير المصروفات حسب الشهر'!$C$763:$AD$872,7,FALSE),0)</f>
        <v>0</v>
      </c>
      <c r="K27" s="362">
        <f>IFERROR(VLOOKUP(C27,'تقرير المصروفات حسب الشهر'!$C$890:$AD$999,7,FALSE),0)</f>
        <v>0</v>
      </c>
      <c r="L27" s="362">
        <f>IFERROR(VLOOKUP(C27,'تقرير المصروفات حسب الشهر'!$C$1016:$AD$1126,7,FALSE),0)</f>
        <v>0</v>
      </c>
      <c r="M27" s="376">
        <f>IFERROR(VLOOKUP(C27,'تقرير المصروفات حسب الشهر'!$C$1143:$AD$1254,7,FALSE),0)</f>
        <v>0</v>
      </c>
      <c r="N27" s="376">
        <f>IFERROR(VLOOKUP(C27,'تقرير المصروفات حسب الشهر'!$C$1270:$AD$1381,7,FALSE),0)</f>
        <v>0</v>
      </c>
      <c r="O27" s="376">
        <f>IFERROR(VLOOKUP(C27,'تقرير المصروفات حسب الشهر'!$C$1397:$AD$1512,7,FALSE),0)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الشهر'!$C$10:$AD$119,7,FALSE),0)</f>
        <v>0</v>
      </c>
      <c r="E28" s="362">
        <f>IFERROR(VLOOKUP(C28,'تقرير المصروفات حسب الشهر'!$C$135:$AD$244,7,FALSE),0)</f>
        <v>0</v>
      </c>
      <c r="F28" s="362">
        <v>0</v>
      </c>
      <c r="G28" s="362">
        <f>IFERROR(VLOOKUP(C28,'تقرير المصروفات حسب الشهر'!$C$387:$AD$495,7,FALSE),0)</f>
        <v>0</v>
      </c>
      <c r="H28" s="362">
        <f>IFERROR(VLOOKUP(C28,'تقرير المصروفات حسب الشهر'!$C$512:$AD$620,7,FALSE),0)</f>
        <v>0</v>
      </c>
      <c r="I28" s="362">
        <f>IFERROR(VLOOKUP(C28,'تقرير المصروفات حسب الشهر'!$C$637:$AD$746,7,FALSE),0)</f>
        <v>0</v>
      </c>
      <c r="J28" s="362">
        <f>IFERROR(VLOOKUP(C28,'تقرير المصروفات حسب الشهر'!$C$763:$AD$872,7,FALSE),0)</f>
        <v>0</v>
      </c>
      <c r="K28" s="362">
        <f>IFERROR(VLOOKUP(C28,'تقرير المصروفات حسب الشهر'!$C$890:$AD$999,7,FALSE),0)</f>
        <v>0</v>
      </c>
      <c r="L28" s="362">
        <f>IFERROR(VLOOKUP(C28,'تقرير المصروفات حسب الشهر'!$C$1016:$AD$1126,7,FALSE),0)</f>
        <v>0</v>
      </c>
      <c r="M28" s="376">
        <f>IFERROR(VLOOKUP(C28,'تقرير المصروفات حسب الشهر'!$C$1143:$AD$1254,7,FALSE),0)</f>
        <v>0</v>
      </c>
      <c r="N28" s="376">
        <f>IFERROR(VLOOKUP(C28,'تقرير المصروفات حسب الشهر'!$C$1270:$AD$1381,7,FALSE),0)</f>
        <v>0</v>
      </c>
      <c r="O28" s="376">
        <f>IFERROR(VLOOKUP(C28,'تقرير المصروفات حسب الشهر'!$C$1397:$AD$1512,7,FALSE),0)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الشهر'!$C$10:$AD$119,7,FALSE),0)</f>
        <v>0</v>
      </c>
      <c r="E29" s="362">
        <f>IFERROR(VLOOKUP(C29,'تقرير المصروفات حسب الشهر'!$C$135:$AD$244,7,FALSE),0)</f>
        <v>0</v>
      </c>
      <c r="F29" s="362">
        <v>0</v>
      </c>
      <c r="G29" s="362">
        <f>IFERROR(VLOOKUP(C29,'تقرير المصروفات حسب الشهر'!$C$387:$AD$495,7,FALSE),0)</f>
        <v>0</v>
      </c>
      <c r="H29" s="362">
        <f>IFERROR(VLOOKUP(C29,'تقرير المصروفات حسب الشهر'!$C$512:$AD$620,7,FALSE),0)</f>
        <v>0</v>
      </c>
      <c r="I29" s="362">
        <f>IFERROR(VLOOKUP(C29,'تقرير المصروفات حسب الشهر'!$C$637:$AD$746,7,FALSE),0)</f>
        <v>0</v>
      </c>
      <c r="J29" s="362">
        <f>IFERROR(VLOOKUP(C29,'تقرير المصروفات حسب الشهر'!$C$763:$AD$872,7,FALSE),0)</f>
        <v>0</v>
      </c>
      <c r="K29" s="362">
        <f>IFERROR(VLOOKUP(C29,'تقرير المصروفات حسب الشهر'!$C$890:$AD$999,7,FALSE),0)</f>
        <v>0</v>
      </c>
      <c r="L29" s="362">
        <f>IFERROR(VLOOKUP(C29,'تقرير المصروفات حسب الشهر'!$C$1016:$AD$1126,7,FALSE),0)</f>
        <v>0</v>
      </c>
      <c r="M29" s="376">
        <f>IFERROR(VLOOKUP(C29,'تقرير المصروفات حسب الشهر'!$C$1143:$AD$1254,7,FALSE),0)</f>
        <v>0</v>
      </c>
      <c r="N29" s="376">
        <f>IFERROR(VLOOKUP(C29,'تقرير المصروفات حسب الشهر'!$C$1270:$AD$1381,7,FALSE),0)</f>
        <v>0</v>
      </c>
      <c r="O29" s="376">
        <f>IFERROR(VLOOKUP(C29,'تقرير المصروفات حسب الشهر'!$C$1397:$AD$1512,7,FALSE),0)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الشهر'!$C$10:$AD$119,7,FALSE),0)</f>
        <v>0</v>
      </c>
      <c r="E30" s="362">
        <f>IFERROR(VLOOKUP(C30,'تقرير المصروفات حسب الشهر'!$C$135:$AD$244,7,FALSE),0)</f>
        <v>0</v>
      </c>
      <c r="F30" s="362">
        <v>0</v>
      </c>
      <c r="G30" s="362">
        <f>IFERROR(VLOOKUP(C30,'تقرير المصروفات حسب الشهر'!$C$387:$AD$495,7,FALSE),0)</f>
        <v>0</v>
      </c>
      <c r="H30" s="362">
        <f>IFERROR(VLOOKUP(C30,'تقرير المصروفات حسب الشهر'!$C$512:$AD$620,7,FALSE),0)</f>
        <v>0</v>
      </c>
      <c r="I30" s="362">
        <f>IFERROR(VLOOKUP(C30,'تقرير المصروفات حسب الشهر'!$C$637:$AD$746,7,FALSE),0)</f>
        <v>0</v>
      </c>
      <c r="J30" s="362">
        <f>IFERROR(VLOOKUP(C30,'تقرير المصروفات حسب الشهر'!$C$763:$AD$872,7,FALSE),0)</f>
        <v>0</v>
      </c>
      <c r="K30" s="362">
        <f>IFERROR(VLOOKUP(C30,'تقرير المصروفات حسب الشهر'!$C$890:$AD$999,7,FALSE),0)</f>
        <v>0</v>
      </c>
      <c r="L30" s="362">
        <f>IFERROR(VLOOKUP(C30,'تقرير المصروفات حسب الشهر'!$C$1016:$AD$1126,7,FALSE),0)</f>
        <v>0</v>
      </c>
      <c r="M30" s="376">
        <f>IFERROR(VLOOKUP(C30,'تقرير المصروفات حسب الشهر'!$C$1143:$AD$1254,7,FALSE),0)</f>
        <v>0</v>
      </c>
      <c r="N30" s="376">
        <f>IFERROR(VLOOKUP(C30,'تقرير المصروفات حسب الشهر'!$C$1270:$AD$1381,7,FALSE),0)</f>
        <v>0</v>
      </c>
      <c r="O30" s="376">
        <f>IFERROR(VLOOKUP(C30,'تقرير المصروفات حسب الشهر'!$C$1397:$AD$1512,7,FALSE),0)</f>
        <v>0</v>
      </c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الشهر'!$C$10:$AD$119,7,FALSE),0)</f>
        <v>84.95</v>
      </c>
      <c r="E31" s="362">
        <f>IFERROR(VLOOKUP(C31,'تقرير المصروفات حسب الشهر'!$C$135:$AD$244,7,FALSE),0)</f>
        <v>84.95</v>
      </c>
      <c r="F31" s="362">
        <v>84.95</v>
      </c>
      <c r="G31" s="362">
        <f>IFERROR(VLOOKUP(C31,'تقرير المصروفات حسب الشهر'!$C$387:$AD$495,7,FALSE),0)</f>
        <v>84.95</v>
      </c>
      <c r="H31" s="362">
        <f>IFERROR(VLOOKUP(C31,'تقرير المصروفات حسب الشهر'!$C$512:$AD$620,7,FALSE),0)</f>
        <v>84.95</v>
      </c>
      <c r="I31" s="362">
        <f>IFERROR(VLOOKUP(C31,'تقرير المصروفات حسب الشهر'!$C$637:$AD$746,7,FALSE),0)</f>
        <v>84.95</v>
      </c>
      <c r="J31" s="362">
        <f>IFERROR(VLOOKUP(C31,'تقرير المصروفات حسب الشهر'!$C$763:$AD$872,7,FALSE),0)</f>
        <v>84.95</v>
      </c>
      <c r="K31" s="362">
        <f>IFERROR(VLOOKUP(C31,'تقرير المصروفات حسب الشهر'!$C$890:$AD$999,7,FALSE),0)</f>
        <v>84.95</v>
      </c>
      <c r="L31" s="362">
        <f>IFERROR(VLOOKUP(C31,'تقرير المصروفات حسب الشهر'!$C$1016:$AD$1126,7,FALSE),0)</f>
        <v>84.95</v>
      </c>
      <c r="M31" s="376">
        <f>IFERROR(VLOOKUP(C31,'تقرير المصروفات حسب الشهر'!$C$1143:$AD$1254,7,FALSE),0)</f>
        <v>84.95</v>
      </c>
      <c r="N31" s="376">
        <f>IFERROR(VLOOKUP(C31,'تقرير المصروفات حسب الشهر'!$C$1270:$AD$1381,7,FALSE),0)</f>
        <v>84.95</v>
      </c>
      <c r="O31" s="376">
        <f>IFERROR(VLOOKUP(C31,'تقرير المصروفات حسب الشهر'!$C$1397:$AD$1512,7,FALSE),0)</f>
        <v>84.95</v>
      </c>
      <c r="P31" s="364">
        <f t="shared" si="5"/>
        <v>1019.4000000000002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الشهر'!$C$10:$AD$119,7,FALSE),0)</f>
        <v>0</v>
      </c>
      <c r="E32" s="362">
        <f>IFERROR(VLOOKUP(C32,'تقرير المصروفات حسب الشهر'!$C$135:$AD$244,7,FALSE),0)</f>
        <v>0</v>
      </c>
      <c r="F32" s="362">
        <v>0</v>
      </c>
      <c r="G32" s="362">
        <f>IFERROR(VLOOKUP(C32,'تقرير المصروفات حسب الشهر'!$C$387:$AD$495,7,FALSE),0)</f>
        <v>0</v>
      </c>
      <c r="H32" s="362">
        <f>IFERROR(VLOOKUP(C32,'تقرير المصروفات حسب الشهر'!$C$512:$AD$620,7,FALSE),0)</f>
        <v>0</v>
      </c>
      <c r="I32" s="362">
        <f>IFERROR(VLOOKUP(C32,'تقرير المصروفات حسب الشهر'!$C$637:$AD$746,7,FALSE),0)</f>
        <v>0</v>
      </c>
      <c r="J32" s="362">
        <f>IFERROR(VLOOKUP(C32,'تقرير المصروفات حسب الشهر'!$C$763:$AD$872,7,FALSE),0)</f>
        <v>0</v>
      </c>
      <c r="K32" s="362">
        <f>IFERROR(VLOOKUP(C32,'تقرير المصروفات حسب الشهر'!$C$890:$AD$999,7,FALSE),0)</f>
        <v>0</v>
      </c>
      <c r="L32" s="362">
        <f>IFERROR(VLOOKUP(C32,'تقرير المصروفات حسب الشهر'!$C$1016:$AD$1126,7,FALSE),0)</f>
        <v>0</v>
      </c>
      <c r="M32" s="376">
        <f>IFERROR(VLOOKUP(C32,'تقرير المصروفات حسب الشهر'!$C$1143:$AD$1254,7,FALSE),0)</f>
        <v>0</v>
      </c>
      <c r="N32" s="376">
        <f>IFERROR(VLOOKUP(C32,'تقرير المصروفات حسب الشهر'!$C$1270:$AD$1381,7,FALSE),0)</f>
        <v>0</v>
      </c>
      <c r="O32" s="376">
        <f>IFERROR(VLOOKUP(C32,'تقرير المصروفات حسب الشهر'!$C$1397:$AD$1512,7,FALSE),0)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الشهر'!$C$10:$AD$119,7,FALSE),0)</f>
        <v>0</v>
      </c>
      <c r="E33" s="362">
        <f>IFERROR(VLOOKUP(C33,'تقرير المصروفات حسب الشهر'!$C$135:$AD$244,7,FALSE),0)</f>
        <v>0</v>
      </c>
      <c r="F33" s="362">
        <v>0</v>
      </c>
      <c r="G33" s="362">
        <f>IFERROR(VLOOKUP(C33,'تقرير المصروفات حسب الشهر'!$C$387:$AD$495,7,FALSE),0)</f>
        <v>0</v>
      </c>
      <c r="H33" s="362">
        <f>IFERROR(VLOOKUP(C33,'تقرير المصروفات حسب الشهر'!$C$512:$AD$620,7,FALSE),0)</f>
        <v>0</v>
      </c>
      <c r="I33" s="362">
        <f>IFERROR(VLOOKUP(C33,'تقرير المصروفات حسب الشهر'!$C$637:$AD$746,7,FALSE),0)</f>
        <v>0</v>
      </c>
      <c r="J33" s="362">
        <f>IFERROR(VLOOKUP(C33,'تقرير المصروفات حسب الشهر'!$C$763:$AD$872,7,FALSE),0)</f>
        <v>0</v>
      </c>
      <c r="K33" s="362">
        <f>IFERROR(VLOOKUP(C33,'تقرير المصروفات حسب الشهر'!$C$890:$AD$999,7,FALSE),0)</f>
        <v>0</v>
      </c>
      <c r="L33" s="362">
        <f>IFERROR(VLOOKUP(C33,'تقرير المصروفات حسب الشهر'!$C$1016:$AD$1126,7,FALSE),0)</f>
        <v>0</v>
      </c>
      <c r="M33" s="376">
        <f>IFERROR(VLOOKUP(C33,'تقرير المصروفات حسب الشهر'!$C$1143:$AD$1254,7,FALSE),0)</f>
        <v>0</v>
      </c>
      <c r="N33" s="376">
        <f>IFERROR(VLOOKUP(C33,'تقرير المصروفات حسب الشهر'!$C$1270:$AD$1381,7,FALSE),0)</f>
        <v>0</v>
      </c>
      <c r="O33" s="376">
        <f>IFERROR(VLOOKUP(C33,'تقرير المصروفات حسب الشهر'!$C$1397:$AD$1512,7,FALSE),0)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الشهر'!$C$10:$AD$119,7,FALSE),0)</f>
        <v>0</v>
      </c>
      <c r="E34" s="362">
        <f>IFERROR(VLOOKUP(C34,'تقرير المصروفات حسب الشهر'!$C$135:$AD$244,7,FALSE),0)</f>
        <v>0</v>
      </c>
      <c r="F34" s="362">
        <v>0</v>
      </c>
      <c r="G34" s="362">
        <f>IFERROR(VLOOKUP(C34,'تقرير المصروفات حسب الشهر'!$C$387:$AD$495,7,FALSE),0)</f>
        <v>0</v>
      </c>
      <c r="H34" s="362">
        <f>IFERROR(VLOOKUP(C34,'تقرير المصروفات حسب الشهر'!$C$512:$AD$620,7,FALSE),0)</f>
        <v>0</v>
      </c>
      <c r="I34" s="362">
        <f>IFERROR(VLOOKUP(C34,'تقرير المصروفات حسب الشهر'!$C$637:$AD$746,7,FALSE),0)</f>
        <v>0</v>
      </c>
      <c r="J34" s="362">
        <f>IFERROR(VLOOKUP(C34,'تقرير المصروفات حسب الشهر'!$C$763:$AD$872,7,FALSE),0)</f>
        <v>0</v>
      </c>
      <c r="K34" s="362">
        <f>IFERROR(VLOOKUP(C34,'تقرير المصروفات حسب الشهر'!$C$890:$AD$999,7,FALSE),0)</f>
        <v>0</v>
      </c>
      <c r="L34" s="362">
        <f>IFERROR(VLOOKUP(C34,'تقرير المصروفات حسب الشهر'!$C$1016:$AD$1126,7,FALSE),0)</f>
        <v>0</v>
      </c>
      <c r="M34" s="376">
        <f>IFERROR(VLOOKUP(C34,'تقرير المصروفات حسب الشهر'!$C$1143:$AD$1254,7,FALSE),0)</f>
        <v>0</v>
      </c>
      <c r="N34" s="376">
        <f>IFERROR(VLOOKUP(C34,'تقرير المصروفات حسب الشهر'!$C$1270:$AD$1381,7,FALSE),0)</f>
        <v>0</v>
      </c>
      <c r="O34" s="376">
        <f>IFERROR(VLOOKUP(C34,'تقرير المصروفات حسب الشهر'!$C$1397:$AD$1512,7,FALSE),0)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الشهر'!$C$10:$AD$119,7,FALSE),0)</f>
        <v>0</v>
      </c>
      <c r="E35" s="362">
        <f>IFERROR(VLOOKUP(C35,'تقرير المصروفات حسب الشهر'!$C$135:$AD$244,7,FALSE),0)</f>
        <v>0</v>
      </c>
      <c r="F35" s="362">
        <v>0</v>
      </c>
      <c r="G35" s="362">
        <f>IFERROR(VLOOKUP(C35,'تقرير المصروفات حسب الشهر'!$C$387:$AD$495,7,FALSE),0)</f>
        <v>0</v>
      </c>
      <c r="H35" s="362">
        <f>IFERROR(VLOOKUP(C35,'تقرير المصروفات حسب الشهر'!$C$512:$AD$620,7,FALSE),0)</f>
        <v>0</v>
      </c>
      <c r="I35" s="362">
        <f>IFERROR(VLOOKUP(C35,'تقرير المصروفات حسب الشهر'!$C$637:$AD$746,7,FALSE),0)</f>
        <v>0</v>
      </c>
      <c r="J35" s="362">
        <f>IFERROR(VLOOKUP(C35,'تقرير المصروفات حسب الشهر'!$C$763:$AD$872,7,FALSE),0)</f>
        <v>0</v>
      </c>
      <c r="K35" s="362">
        <f>IFERROR(VLOOKUP(C35,'تقرير المصروفات حسب الشهر'!$C$890:$AD$999,7,FALSE),0)</f>
        <v>0</v>
      </c>
      <c r="L35" s="362">
        <f>IFERROR(VLOOKUP(C35,'تقرير المصروفات حسب الشهر'!$C$1016:$AD$1126,7,FALSE),0)</f>
        <v>0</v>
      </c>
      <c r="M35" s="376">
        <f>IFERROR(VLOOKUP(C35,'تقرير المصروفات حسب الشهر'!$C$1143:$AD$1254,7,FALSE),0)</f>
        <v>0</v>
      </c>
      <c r="N35" s="376">
        <f>IFERROR(VLOOKUP(C35,'تقرير المصروفات حسب الشهر'!$C$1270:$AD$1381,7,FALSE),0)</f>
        <v>0</v>
      </c>
      <c r="O35" s="376">
        <f>IFERROR(VLOOKUP(C35,'تقرير المصروفات حسب الشهر'!$C$1397:$AD$1512,7,FALSE),0)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الشهر'!$C$10:$AD$119,7,FALSE),0)</f>
        <v>750</v>
      </c>
      <c r="E36" s="362">
        <f>IFERROR(VLOOKUP(C36,'تقرير المصروفات حسب الشهر'!$C$135:$AD$244,7,FALSE),0)</f>
        <v>0</v>
      </c>
      <c r="F36" s="362">
        <v>3000</v>
      </c>
      <c r="G36" s="362">
        <f>IFERROR(VLOOKUP(C36,'تقرير المصروفات حسب الشهر'!$C$387:$AD$495,7,FALSE),0)</f>
        <v>1500</v>
      </c>
      <c r="H36" s="362">
        <f>IFERROR(VLOOKUP(C36,'تقرير المصروفات حسب الشهر'!$C$512:$AD$620,7,FALSE),0)</f>
        <v>0</v>
      </c>
      <c r="I36" s="362">
        <f>IFERROR(VLOOKUP(C36,'تقرير المصروفات حسب الشهر'!$C$637:$AD$746,7,FALSE),0)</f>
        <v>770</v>
      </c>
      <c r="J36" s="362">
        <f>IFERROR(VLOOKUP(C36,'تقرير المصروفات حسب الشهر'!$C$763:$AD$872,7,FALSE),0)</f>
        <v>0</v>
      </c>
      <c r="K36" s="362">
        <f>IFERROR(VLOOKUP(C36,'تقرير المصروفات حسب الشهر'!$C$890:$AD$999,7,FALSE),0)</f>
        <v>1540</v>
      </c>
      <c r="L36" s="362">
        <f>IFERROR(VLOOKUP(C36,'تقرير المصروفات حسب الشهر'!$C$1016:$AD$1126,7,FALSE),0)</f>
        <v>0</v>
      </c>
      <c r="M36" s="376">
        <f>IFERROR(VLOOKUP(C36,'تقرير المصروفات حسب الشهر'!$C$1143:$AD$1254,7,FALSE),0)</f>
        <v>3080</v>
      </c>
      <c r="N36" s="376">
        <f>IFERROR(VLOOKUP(C36,'تقرير المصروفات حسب الشهر'!$C$1270:$AD$1381,7,FALSE),0)</f>
        <v>0</v>
      </c>
      <c r="O36" s="376">
        <f>IFERROR(VLOOKUP(C36,'تقرير المصروفات حسب الشهر'!$C$1397:$AD$1512,7,FALSE),0)</f>
        <v>2310</v>
      </c>
      <c r="P36" s="364">
        <f t="shared" si="5"/>
        <v>12950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الشهر'!$C$10:$AD$119,7,FALSE),0)</f>
        <v>0</v>
      </c>
      <c r="E37" s="362">
        <f>IFERROR(VLOOKUP(C37,'تقرير المصروفات حسب الشهر'!$C$135:$AD$244,7,FALSE),0)</f>
        <v>0</v>
      </c>
      <c r="F37" s="362">
        <v>0</v>
      </c>
      <c r="G37" s="362">
        <f>IFERROR(VLOOKUP(C37,'تقرير المصروفات حسب الشهر'!$C$387:$AD$495,7,FALSE),0)</f>
        <v>2250</v>
      </c>
      <c r="H37" s="362">
        <f>IFERROR(VLOOKUP(C37,'تقرير المصروفات حسب الشهر'!$C$512:$AD$620,7,FALSE),0)</f>
        <v>0</v>
      </c>
      <c r="I37" s="362">
        <f>IFERROR(VLOOKUP(C37,'تقرير المصروفات حسب الشهر'!$C$637:$AD$746,7,FALSE),0)</f>
        <v>0</v>
      </c>
      <c r="J37" s="362">
        <f>IFERROR(VLOOKUP(C37,'تقرير المصروفات حسب الشهر'!$C$763:$AD$872,7,FALSE),0)</f>
        <v>0</v>
      </c>
      <c r="K37" s="362">
        <f>IFERROR(VLOOKUP(C37,'تقرير المصروفات حسب الشهر'!$C$890:$AD$999,7,FALSE),0)</f>
        <v>0</v>
      </c>
      <c r="L37" s="362">
        <f>IFERROR(VLOOKUP(C37,'تقرير المصروفات حسب الشهر'!$C$1016:$AD$1126,7,FALSE),0)</f>
        <v>0</v>
      </c>
      <c r="M37" s="376">
        <f>IFERROR(VLOOKUP(C37,'تقرير المصروفات حسب الشهر'!$C$1143:$AD$1254,7,FALSE),0)</f>
        <v>0</v>
      </c>
      <c r="N37" s="376">
        <f>IFERROR(VLOOKUP(C37,'تقرير المصروفات حسب الشهر'!$C$1270:$AD$1381,7,FALSE),0)</f>
        <v>0</v>
      </c>
      <c r="O37" s="376">
        <f>IFERROR(VLOOKUP(C37,'تقرير المصروفات حسب الشهر'!$C$1397:$AD$1512,7,FALSE),0)</f>
        <v>0</v>
      </c>
      <c r="P37" s="364">
        <f t="shared" si="5"/>
        <v>2250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الشهر'!$C$10:$AD$119,7,FALSE),0)</f>
        <v>0</v>
      </c>
      <c r="E38" s="362">
        <f>IFERROR(VLOOKUP(C38,'تقرير المصروفات حسب الشهر'!$C$135:$AD$244,7,FALSE),0)</f>
        <v>0</v>
      </c>
      <c r="F38" s="362">
        <v>0</v>
      </c>
      <c r="G38" s="362">
        <f>IFERROR(VLOOKUP(C38,'تقرير المصروفات حسب الشهر'!$C$387:$AD$495,7,FALSE),0)</f>
        <v>0</v>
      </c>
      <c r="H38" s="362">
        <f>IFERROR(VLOOKUP(C38,'تقرير المصروفات حسب الشهر'!$C$512:$AD$620,7,FALSE),0)</f>
        <v>0</v>
      </c>
      <c r="I38" s="362">
        <f>IFERROR(VLOOKUP(C38,'تقرير المصروفات حسب الشهر'!$C$637:$AD$746,7,FALSE),0)</f>
        <v>0</v>
      </c>
      <c r="J38" s="362">
        <f>IFERROR(VLOOKUP(C38,'تقرير المصروفات حسب الشهر'!$C$763:$AD$872,7,FALSE),0)</f>
        <v>0</v>
      </c>
      <c r="K38" s="362">
        <f>IFERROR(VLOOKUP(C38,'تقرير المصروفات حسب الشهر'!$C$890:$AD$999,7,FALSE),0)</f>
        <v>0</v>
      </c>
      <c r="L38" s="362">
        <f>IFERROR(VLOOKUP(C38,'تقرير المصروفات حسب الشهر'!$C$1016:$AD$1126,7,FALSE),0)</f>
        <v>0</v>
      </c>
      <c r="M38" s="376">
        <f>IFERROR(VLOOKUP(C38,'تقرير المصروفات حسب الشهر'!$C$1143:$AD$1254,7,FALSE),0)</f>
        <v>0</v>
      </c>
      <c r="N38" s="376">
        <f>IFERROR(VLOOKUP(C38,'تقرير المصروفات حسب الشهر'!$C$1270:$AD$1381,7,FALSE),0)</f>
        <v>0</v>
      </c>
      <c r="O38" s="376">
        <f>IFERROR(VLOOKUP(C38,'تقرير المصروفات حسب الشهر'!$C$1397:$AD$1512,7,FALSE),0)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الشهر'!$C$10:$AD$119,7,FALSE),0)</f>
        <v>25000</v>
      </c>
      <c r="E39" s="362">
        <f>IFERROR(VLOOKUP(C39,'تقرير المصروفات حسب الشهر'!$C$135:$AD$244,7,FALSE),0)</f>
        <v>7499</v>
      </c>
      <c r="F39" s="362">
        <v>648</v>
      </c>
      <c r="G39" s="362">
        <f>IFERROR(VLOOKUP(C39,'تقرير المصروفات حسب الشهر'!$C$387:$AD$495,7,FALSE),0)</f>
        <v>35793</v>
      </c>
      <c r="H39" s="362">
        <f>IFERROR(VLOOKUP(C39,'تقرير المصروفات حسب الشهر'!$C$512:$AD$620,7,FALSE),0)</f>
        <v>0</v>
      </c>
      <c r="I39" s="362">
        <f>IFERROR(VLOOKUP(C39,'تقرير المصروفات حسب الشهر'!$C$637:$AD$746,7,FALSE),0)</f>
        <v>0</v>
      </c>
      <c r="J39" s="362">
        <f>IFERROR(VLOOKUP(C39,'تقرير المصروفات حسب الشهر'!$C$763:$AD$872,7,FALSE),0)</f>
        <v>31668</v>
      </c>
      <c r="K39" s="362">
        <f>IFERROR(VLOOKUP(C39,'تقرير المصروفات حسب الشهر'!$C$890:$AD$999,7,FALSE),0)</f>
        <v>0</v>
      </c>
      <c r="L39" s="362">
        <f>IFERROR(VLOOKUP(C39,'تقرير المصروفات حسب الشهر'!$C$1016:$AD$1126,7,FALSE),0)</f>
        <v>0</v>
      </c>
      <c r="M39" s="376">
        <f>IFERROR(VLOOKUP(C39,'تقرير المصروفات حسب الشهر'!$C$1143:$AD$1254,7,FALSE),0)</f>
        <v>25000</v>
      </c>
      <c r="N39" s="376">
        <f>IFERROR(VLOOKUP(C39,'تقرير المصروفات حسب الشهر'!$C$1270:$AD$1381,7,FALSE),0)</f>
        <v>506</v>
      </c>
      <c r="O39" s="376">
        <f>IFERROR(VLOOKUP(C39,'تقرير المصروفات حسب الشهر'!$C$1397:$AD$1512,7,FALSE),0)</f>
        <v>0</v>
      </c>
      <c r="P39" s="364">
        <f t="shared" si="5"/>
        <v>126114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الشهر'!$C$10:$AD$119,7,FALSE),0)</f>
        <v>0</v>
      </c>
      <c r="E40" s="362">
        <f>IFERROR(VLOOKUP(C40,'تقرير المصروفات حسب الشهر'!$C$135:$AD$244,7,FALSE),0)</f>
        <v>0</v>
      </c>
      <c r="F40" s="362">
        <v>0</v>
      </c>
      <c r="G40" s="362">
        <f>IFERROR(VLOOKUP(C40,'تقرير المصروفات حسب الشهر'!$C$387:$AD$495,7,FALSE),0)</f>
        <v>0</v>
      </c>
      <c r="H40" s="362">
        <f>IFERROR(VLOOKUP(C40,'تقرير المصروفات حسب الشهر'!$C$512:$AD$620,7,FALSE),0)</f>
        <v>0</v>
      </c>
      <c r="I40" s="362">
        <f>IFERROR(VLOOKUP(C40,'تقرير المصروفات حسب الشهر'!$C$637:$AD$746,7,FALSE),0)</f>
        <v>0</v>
      </c>
      <c r="J40" s="362">
        <f>IFERROR(VLOOKUP(C40,'تقرير المصروفات حسب الشهر'!$C$763:$AD$872,7,FALSE),0)</f>
        <v>0</v>
      </c>
      <c r="K40" s="362">
        <f>IFERROR(VLOOKUP(C40,'تقرير المصروفات حسب الشهر'!$C$890:$AD$999,7,FALSE),0)</f>
        <v>0</v>
      </c>
      <c r="L40" s="362">
        <f>IFERROR(VLOOKUP(C40,'تقرير المصروفات حسب الشهر'!$C$1016:$AD$1126,7,FALSE),0)</f>
        <v>0</v>
      </c>
      <c r="M40" s="376">
        <f>IFERROR(VLOOKUP(C40,'تقرير المصروفات حسب الشهر'!$C$1143:$AD$1254,7,FALSE),0)</f>
        <v>0</v>
      </c>
      <c r="N40" s="376">
        <f>IFERROR(VLOOKUP(C40,'تقرير المصروفات حسب الشهر'!$C$1270:$AD$1381,7,FALSE),0)</f>
        <v>0</v>
      </c>
      <c r="O40" s="376">
        <f>IFERROR(VLOOKUP(C40,'تقرير المصروفات حسب الشهر'!$C$1397:$AD$1512,7,FALSE),0)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الشهر'!$C$10:$AD$119,7,FALSE),0)</f>
        <v>0</v>
      </c>
      <c r="E41" s="362">
        <f>IFERROR(VLOOKUP(C41,'تقرير المصروفات حسب الشهر'!$C$135:$AD$244,7,FALSE),0)</f>
        <v>0</v>
      </c>
      <c r="F41" s="362">
        <v>0</v>
      </c>
      <c r="G41" s="362">
        <f>IFERROR(VLOOKUP(C41,'تقرير المصروفات حسب الشهر'!$C$387:$AD$495,7,FALSE),0)</f>
        <v>0</v>
      </c>
      <c r="H41" s="362">
        <f>IFERROR(VLOOKUP(C41,'تقرير المصروفات حسب الشهر'!$C$512:$AD$620,7,FALSE),0)</f>
        <v>0</v>
      </c>
      <c r="I41" s="362">
        <f>IFERROR(VLOOKUP(C41,'تقرير المصروفات حسب الشهر'!$C$637:$AD$746,7,FALSE),0)</f>
        <v>0</v>
      </c>
      <c r="J41" s="362">
        <f>IFERROR(VLOOKUP(C41,'تقرير المصروفات حسب الشهر'!$C$763:$AD$872,7,FALSE),0)</f>
        <v>0</v>
      </c>
      <c r="K41" s="362">
        <f>IFERROR(VLOOKUP(C41,'تقرير المصروفات حسب الشهر'!$C$890:$AD$999,7,FALSE),0)</f>
        <v>0</v>
      </c>
      <c r="L41" s="362">
        <f>IFERROR(VLOOKUP(C41,'تقرير المصروفات حسب الشهر'!$C$1016:$AD$1126,7,FALSE),0)</f>
        <v>0</v>
      </c>
      <c r="M41" s="376">
        <f>IFERROR(VLOOKUP(C41,'تقرير المصروفات حسب الشهر'!$C$1143:$AD$1254,7,FALSE),0)</f>
        <v>0</v>
      </c>
      <c r="N41" s="376">
        <f>IFERROR(VLOOKUP(C41,'تقرير المصروفات حسب الشهر'!$C$1270:$AD$1381,7,FALSE),0)</f>
        <v>0</v>
      </c>
      <c r="O41" s="376">
        <f>IFERROR(VLOOKUP(C41,'تقرير المصروفات حسب الشهر'!$C$1397:$AD$1512,7,FALSE),0)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الشهر'!$C$10:$AD$119,7,FALSE),0)</f>
        <v>0</v>
      </c>
      <c r="E42" s="362">
        <f>IFERROR(VLOOKUP(C42,'تقرير المصروفات حسب الشهر'!$C$135:$AD$244,7,FALSE),0)</f>
        <v>0</v>
      </c>
      <c r="F42" s="362">
        <v>0</v>
      </c>
      <c r="G42" s="362">
        <f>IFERROR(VLOOKUP(C42,'تقرير المصروفات حسب الشهر'!$C$387:$AD$495,7,FALSE),0)</f>
        <v>0</v>
      </c>
      <c r="H42" s="362">
        <f>IFERROR(VLOOKUP(C42,'تقرير المصروفات حسب الشهر'!$C$512:$AD$620,7,FALSE),0)</f>
        <v>0</v>
      </c>
      <c r="I42" s="362">
        <f>IFERROR(VLOOKUP(C42,'تقرير المصروفات حسب الشهر'!$C$637:$AD$746,7,FALSE),0)</f>
        <v>0</v>
      </c>
      <c r="J42" s="362">
        <f>IFERROR(VLOOKUP(C42,'تقرير المصروفات حسب الشهر'!$C$763:$AD$872,7,FALSE),0)</f>
        <v>0</v>
      </c>
      <c r="K42" s="362">
        <f>IFERROR(VLOOKUP(C42,'تقرير المصروفات حسب الشهر'!$C$890:$AD$999,7,FALSE),0)</f>
        <v>0</v>
      </c>
      <c r="L42" s="362">
        <f>IFERROR(VLOOKUP(C42,'تقرير المصروفات حسب الشهر'!$C$1016:$AD$1126,7,FALSE),0)</f>
        <v>0</v>
      </c>
      <c r="M42" s="376">
        <f>IFERROR(VLOOKUP(C42,'تقرير المصروفات حسب الشهر'!$C$1143:$AD$1254,7,FALSE),0)</f>
        <v>0</v>
      </c>
      <c r="N42" s="376">
        <f>IFERROR(VLOOKUP(C42,'تقرير المصروفات حسب الشهر'!$C$1270:$AD$1381,7,FALSE),0)</f>
        <v>0</v>
      </c>
      <c r="O42" s="376">
        <f>IFERROR(VLOOKUP(C42,'تقرير المصروفات حسب الشهر'!$C$1397:$AD$1512,7,FALSE),0)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الشهر'!$C$10:$AD$119,7,FALSE),0)</f>
        <v>0</v>
      </c>
      <c r="E43" s="362">
        <f>IFERROR(VLOOKUP(C43,'تقرير المصروفات حسب الشهر'!$C$135:$AD$244,7,FALSE),0)</f>
        <v>0</v>
      </c>
      <c r="F43" s="362">
        <v>0</v>
      </c>
      <c r="G43" s="362">
        <f>IFERROR(VLOOKUP(C43,'تقرير المصروفات حسب الشهر'!$C$387:$AD$495,7,FALSE),0)</f>
        <v>0</v>
      </c>
      <c r="H43" s="362">
        <f>IFERROR(VLOOKUP(C43,'تقرير المصروفات حسب الشهر'!$C$512:$AD$620,7,FALSE),0)</f>
        <v>0</v>
      </c>
      <c r="I43" s="362">
        <f>IFERROR(VLOOKUP(C43,'تقرير المصروفات حسب الشهر'!$C$637:$AD$746,7,FALSE),0)</f>
        <v>0</v>
      </c>
      <c r="J43" s="362">
        <f>IFERROR(VLOOKUP(C43,'تقرير المصروفات حسب الشهر'!$C$763:$AD$872,7,FALSE),0)</f>
        <v>0</v>
      </c>
      <c r="K43" s="362">
        <f>IFERROR(VLOOKUP(C43,'تقرير المصروفات حسب الشهر'!$C$890:$AD$999,7,FALSE),0)</f>
        <v>0</v>
      </c>
      <c r="L43" s="362">
        <f>IFERROR(VLOOKUP(C43,'تقرير المصروفات حسب الشهر'!$C$1016:$AD$1126,7,FALSE),0)</f>
        <v>0</v>
      </c>
      <c r="M43" s="376">
        <f>IFERROR(VLOOKUP(C43,'تقرير المصروفات حسب الشهر'!$C$1143:$AD$1254,7,FALSE),0)</f>
        <v>0</v>
      </c>
      <c r="N43" s="376">
        <f>IFERROR(VLOOKUP(C43,'تقرير المصروفات حسب الشهر'!$C$1270:$AD$1381,7,FALSE),0)</f>
        <v>0</v>
      </c>
      <c r="O43" s="376">
        <f>IFERROR(VLOOKUP(C43,'تقرير المصروفات حسب الشهر'!$C$1397:$AD$1512,7,FALSE),0)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الشهر'!$C$10:$AD$119,7,FALSE),0)</f>
        <v>0</v>
      </c>
      <c r="E44" s="362">
        <f>IFERROR(VLOOKUP(C44,'تقرير المصروفات حسب الشهر'!$C$135:$AD$244,7,FALSE),0)</f>
        <v>0</v>
      </c>
      <c r="F44" s="362">
        <v>0</v>
      </c>
      <c r="G44" s="362">
        <f>IFERROR(VLOOKUP(C44,'تقرير المصروفات حسب الشهر'!$C$387:$AD$495,7,FALSE),0)</f>
        <v>0</v>
      </c>
      <c r="H44" s="362">
        <f>IFERROR(VLOOKUP(C44,'تقرير المصروفات حسب الشهر'!$C$512:$AD$620,7,FALSE),0)</f>
        <v>30</v>
      </c>
      <c r="I44" s="362">
        <f>IFERROR(VLOOKUP(C44,'تقرير المصروفات حسب الشهر'!$C$637:$AD$746,7,FALSE),0)</f>
        <v>0</v>
      </c>
      <c r="J44" s="362">
        <f>IFERROR(VLOOKUP(C44,'تقرير المصروفات حسب الشهر'!$C$763:$AD$872,7,FALSE),0)</f>
        <v>0</v>
      </c>
      <c r="K44" s="362">
        <f>IFERROR(VLOOKUP(C44,'تقرير المصروفات حسب الشهر'!$C$890:$AD$999,7,FALSE),0)</f>
        <v>0</v>
      </c>
      <c r="L44" s="362">
        <f>IFERROR(VLOOKUP(C44,'تقرير المصروفات حسب الشهر'!$C$1016:$AD$1126,7,FALSE),0)</f>
        <v>0</v>
      </c>
      <c r="M44" s="376">
        <f>IFERROR(VLOOKUP(C44,'تقرير المصروفات حسب الشهر'!$C$1143:$AD$1254,7,FALSE),0)</f>
        <v>0</v>
      </c>
      <c r="N44" s="376">
        <f>IFERROR(VLOOKUP(C44,'تقرير المصروفات حسب الشهر'!$C$1270:$AD$1381,7,FALSE),0)</f>
        <v>0</v>
      </c>
      <c r="O44" s="376">
        <f>IFERROR(VLOOKUP(C44,'تقرير المصروفات حسب الشهر'!$C$1397:$AD$1512,7,FALSE),0)</f>
        <v>0</v>
      </c>
      <c r="P44" s="364">
        <f t="shared" si="5"/>
        <v>30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الشهر'!$C$10:$AD$119,7,FALSE),0)</f>
        <v>0</v>
      </c>
      <c r="E45" s="362">
        <f>IFERROR(VLOOKUP(C45,'تقرير المصروفات حسب الشهر'!$C$135:$AD$244,7,FALSE),0)</f>
        <v>0</v>
      </c>
      <c r="F45" s="362">
        <v>0</v>
      </c>
      <c r="G45" s="362">
        <f>IFERROR(VLOOKUP(C45,'تقرير المصروفات حسب الشهر'!$C$387:$AD$495,7,FALSE),0)</f>
        <v>0</v>
      </c>
      <c r="H45" s="362">
        <f>IFERROR(VLOOKUP(C45,'تقرير المصروفات حسب الشهر'!$C$512:$AD$620,7,FALSE),0)</f>
        <v>0</v>
      </c>
      <c r="I45" s="362">
        <f>IFERROR(VLOOKUP(C45,'تقرير المصروفات حسب الشهر'!$C$637:$AD$746,7,FALSE),0)</f>
        <v>0</v>
      </c>
      <c r="J45" s="362">
        <f>IFERROR(VLOOKUP(C45,'تقرير المصروفات حسب الشهر'!$C$763:$AD$872,7,FALSE),0)</f>
        <v>0</v>
      </c>
      <c r="K45" s="362">
        <f>IFERROR(VLOOKUP(C45,'تقرير المصروفات حسب الشهر'!$C$890:$AD$999,7,FALSE),0)</f>
        <v>0</v>
      </c>
      <c r="L45" s="362">
        <f>IFERROR(VLOOKUP(C45,'تقرير المصروفات حسب الشهر'!$C$1016:$AD$1126,7,FALSE),0)</f>
        <v>0</v>
      </c>
      <c r="M45" s="376">
        <f>IFERROR(VLOOKUP(C45,'تقرير المصروفات حسب الشهر'!$C$1143:$AD$1254,7,FALSE),0)</f>
        <v>0</v>
      </c>
      <c r="N45" s="376">
        <f>IFERROR(VLOOKUP(C45,'تقرير المصروفات حسب الشهر'!$C$1270:$AD$1381,7,FALSE),0)</f>
        <v>0</v>
      </c>
      <c r="O45" s="376">
        <f>IFERROR(VLOOKUP(C45,'تقرير المصروفات حسب الشهر'!$C$1397:$AD$1512,7,FALSE),0)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الشهر'!$C$10:$AD$119,7,FALSE),0)</f>
        <v>0</v>
      </c>
      <c r="E46" s="362">
        <f>IFERROR(VLOOKUP(C46,'تقرير المصروفات حسب الشهر'!$C$135:$AD$244,7,FALSE),0)</f>
        <v>0</v>
      </c>
      <c r="F46" s="362">
        <v>0</v>
      </c>
      <c r="G46" s="362">
        <f>IFERROR(VLOOKUP(C46,'تقرير المصروفات حسب الشهر'!$C$387:$AD$495,7,FALSE),0)</f>
        <v>0</v>
      </c>
      <c r="H46" s="362">
        <f>IFERROR(VLOOKUP(C46,'تقرير المصروفات حسب الشهر'!$C$512:$AD$620,7,FALSE),0)</f>
        <v>0</v>
      </c>
      <c r="I46" s="362">
        <f>IFERROR(VLOOKUP(C46,'تقرير المصروفات حسب الشهر'!$C$637:$AD$746,7,FALSE),0)</f>
        <v>0</v>
      </c>
      <c r="J46" s="362">
        <f>IFERROR(VLOOKUP(C46,'تقرير المصروفات حسب الشهر'!$C$763:$AD$872,7,FALSE),0)</f>
        <v>0</v>
      </c>
      <c r="K46" s="362">
        <f>IFERROR(VLOOKUP(C46,'تقرير المصروفات حسب الشهر'!$C$890:$AD$999,7,FALSE),0)</f>
        <v>0</v>
      </c>
      <c r="L46" s="362">
        <f>IFERROR(VLOOKUP(C46,'تقرير المصروفات حسب الشهر'!$C$1016:$AD$1126,7,FALSE),0)</f>
        <v>0</v>
      </c>
      <c r="M46" s="376">
        <f>IFERROR(VLOOKUP(C46,'تقرير المصروفات حسب الشهر'!$C$1143:$AD$1254,7,FALSE),0)</f>
        <v>0</v>
      </c>
      <c r="N46" s="376">
        <f>IFERROR(VLOOKUP(C46,'تقرير المصروفات حسب الشهر'!$C$1270:$AD$1381,7,FALSE),0)</f>
        <v>0</v>
      </c>
      <c r="O46" s="376">
        <f>IFERROR(VLOOKUP(C46,'تقرير المصروفات حسب الشهر'!$C$1397:$AD$1512,7,FALSE),0)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الشهر'!$C$10:$AD$119,7,FALSE),0)</f>
        <v>0</v>
      </c>
      <c r="E47" s="362">
        <f>IFERROR(VLOOKUP(C47,'تقرير المصروفات حسب الشهر'!$C$135:$AD$244,7,FALSE),0)</f>
        <v>0</v>
      </c>
      <c r="F47" s="362">
        <v>0</v>
      </c>
      <c r="G47" s="362">
        <f>IFERROR(VLOOKUP(C47,'تقرير المصروفات حسب الشهر'!$C$387:$AD$495,7,FALSE),0)</f>
        <v>0</v>
      </c>
      <c r="H47" s="362">
        <f>IFERROR(VLOOKUP(C47,'تقرير المصروفات حسب الشهر'!$C$512:$AD$620,7,FALSE),0)</f>
        <v>0</v>
      </c>
      <c r="I47" s="362">
        <f>IFERROR(VLOOKUP(C47,'تقرير المصروفات حسب الشهر'!$C$637:$AD$746,7,FALSE),0)</f>
        <v>0</v>
      </c>
      <c r="J47" s="362">
        <f>IFERROR(VLOOKUP(C47,'تقرير المصروفات حسب الشهر'!$C$763:$AD$872,7,FALSE),0)</f>
        <v>0</v>
      </c>
      <c r="K47" s="362">
        <f>IFERROR(VLOOKUP(C47,'تقرير المصروفات حسب الشهر'!$C$890:$AD$999,7,FALSE),0)</f>
        <v>0</v>
      </c>
      <c r="L47" s="362">
        <f>IFERROR(VLOOKUP(C47,'تقرير المصروفات حسب الشهر'!$C$1016:$AD$1126,7,FALSE),0)</f>
        <v>0</v>
      </c>
      <c r="M47" s="376">
        <f>IFERROR(VLOOKUP(C47,'تقرير المصروفات حسب الشهر'!$C$1143:$AD$1254,7,FALSE),0)</f>
        <v>0</v>
      </c>
      <c r="N47" s="376">
        <f>IFERROR(VLOOKUP(C47,'تقرير المصروفات حسب الشهر'!$C$1270:$AD$1381,7,FALSE),0)</f>
        <v>0</v>
      </c>
      <c r="O47" s="376">
        <f>IFERROR(VLOOKUP(C47,'تقرير المصروفات حسب الشهر'!$C$1397:$AD$1512,7,FALSE),0)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الشهر'!$C$10:$AD$119,7,FALSE),0)</f>
        <v>0</v>
      </c>
      <c r="E48" s="362">
        <f>IFERROR(VLOOKUP(C48,'تقرير المصروفات حسب الشهر'!$C$135:$AD$244,7,FALSE),0)</f>
        <v>0</v>
      </c>
      <c r="F48" s="362">
        <v>0</v>
      </c>
      <c r="G48" s="362">
        <f>IFERROR(VLOOKUP(C48,'تقرير المصروفات حسب الشهر'!$C$387:$AD$495,7,FALSE),0)</f>
        <v>0</v>
      </c>
      <c r="H48" s="362">
        <f>IFERROR(VLOOKUP(C48,'تقرير المصروفات حسب الشهر'!$C$512:$AD$620,7,FALSE),0)</f>
        <v>0</v>
      </c>
      <c r="I48" s="362">
        <f>IFERROR(VLOOKUP(C48,'تقرير المصروفات حسب الشهر'!$C$637:$AD$746,7,FALSE),0)</f>
        <v>0</v>
      </c>
      <c r="J48" s="362">
        <f>IFERROR(VLOOKUP(C48,'تقرير المصروفات حسب الشهر'!$C$763:$AD$872,7,FALSE),0)</f>
        <v>0</v>
      </c>
      <c r="K48" s="362">
        <f>IFERROR(VLOOKUP(C48,'تقرير المصروفات حسب الشهر'!$C$890:$AD$999,7,FALSE),0)</f>
        <v>0</v>
      </c>
      <c r="L48" s="362">
        <f>IFERROR(VLOOKUP(C48,'تقرير المصروفات حسب الشهر'!$C$1016:$AD$1126,7,FALSE),0)</f>
        <v>0</v>
      </c>
      <c r="M48" s="376">
        <f>IFERROR(VLOOKUP(C48,'تقرير المصروفات حسب الشهر'!$C$1143:$AD$1254,7,FALSE),0)</f>
        <v>0</v>
      </c>
      <c r="N48" s="376">
        <f>IFERROR(VLOOKUP(C48,'تقرير المصروفات حسب الشهر'!$C$1270:$AD$1381,7,FALSE),0)</f>
        <v>0</v>
      </c>
      <c r="O48" s="376">
        <f>IFERROR(VLOOKUP(C48,'تقرير المصروفات حسب الشهر'!$C$1397:$AD$1512,7,FALSE),0)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الشهر'!$C$10:$AD$119,7,FALSE),0)</f>
        <v>0</v>
      </c>
      <c r="E49" s="362">
        <f>IFERROR(VLOOKUP(C49,'تقرير المصروفات حسب الشهر'!$C$135:$AD$244,7,FALSE),0)</f>
        <v>0</v>
      </c>
      <c r="F49" s="362">
        <v>0</v>
      </c>
      <c r="G49" s="362">
        <f>IFERROR(VLOOKUP(C49,'تقرير المصروفات حسب الشهر'!$C$387:$AD$495,7,FALSE),0)</f>
        <v>0</v>
      </c>
      <c r="H49" s="362">
        <f>IFERROR(VLOOKUP(C49,'تقرير المصروفات حسب الشهر'!$C$512:$AD$620,7,FALSE),0)</f>
        <v>0</v>
      </c>
      <c r="I49" s="362">
        <f>IFERROR(VLOOKUP(C49,'تقرير المصروفات حسب الشهر'!$C$637:$AD$746,7,FALSE),0)</f>
        <v>0</v>
      </c>
      <c r="J49" s="362">
        <f>IFERROR(VLOOKUP(C49,'تقرير المصروفات حسب الشهر'!$C$763:$AD$872,7,FALSE),0)</f>
        <v>0</v>
      </c>
      <c r="K49" s="362">
        <f>IFERROR(VLOOKUP(C49,'تقرير المصروفات حسب الشهر'!$C$890:$AD$999,7,FALSE),0)</f>
        <v>0</v>
      </c>
      <c r="L49" s="362">
        <f>IFERROR(VLOOKUP(C49,'تقرير المصروفات حسب الشهر'!$C$1016:$AD$1126,7,FALSE),0)</f>
        <v>0</v>
      </c>
      <c r="M49" s="376">
        <f>IFERROR(VLOOKUP(C49,'تقرير المصروفات حسب الشهر'!$C$1143:$AD$1254,7,FALSE),0)</f>
        <v>0</v>
      </c>
      <c r="N49" s="376">
        <f>IFERROR(VLOOKUP(C49,'تقرير المصروفات حسب الشهر'!$C$1270:$AD$1381,7,FALSE),0)</f>
        <v>0</v>
      </c>
      <c r="O49" s="376">
        <f>IFERROR(VLOOKUP(C49,'تقرير المصروفات حسب الشهر'!$C$1397:$AD$1512,7,FALSE),0)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الشهر'!$C$10:$AD$119,7,FALSE),0)</f>
        <v>0</v>
      </c>
      <c r="E50" s="362">
        <f>IFERROR(VLOOKUP(C50,'تقرير المصروفات حسب الشهر'!$C$135:$AD$244,7,FALSE),0)</f>
        <v>0</v>
      </c>
      <c r="F50" s="362">
        <v>0</v>
      </c>
      <c r="G50" s="362">
        <f>IFERROR(VLOOKUP(C50,'تقرير المصروفات حسب الشهر'!$C$387:$AD$495,7,FALSE),0)</f>
        <v>0</v>
      </c>
      <c r="H50" s="362">
        <f>IFERROR(VLOOKUP(C50,'تقرير المصروفات حسب الشهر'!$C$512:$AD$620,7,FALSE),0)</f>
        <v>0</v>
      </c>
      <c r="I50" s="362">
        <f>IFERROR(VLOOKUP(C50,'تقرير المصروفات حسب الشهر'!$C$637:$AD$746,7,FALSE),0)</f>
        <v>0</v>
      </c>
      <c r="J50" s="362">
        <f>IFERROR(VLOOKUP(C50,'تقرير المصروفات حسب الشهر'!$C$763:$AD$872,7,FALSE),0)</f>
        <v>0</v>
      </c>
      <c r="K50" s="362">
        <f>IFERROR(VLOOKUP(C50,'تقرير المصروفات حسب الشهر'!$C$890:$AD$999,7,FALSE),0)</f>
        <v>0</v>
      </c>
      <c r="L50" s="362">
        <f>IFERROR(VLOOKUP(C50,'تقرير المصروفات حسب الشهر'!$C$1016:$AD$1126,7,FALSE),0)</f>
        <v>0</v>
      </c>
      <c r="M50" s="376">
        <f>IFERROR(VLOOKUP(C50,'تقرير المصروفات حسب الشهر'!$C$1143:$AD$1254,7,FALSE),0)</f>
        <v>0</v>
      </c>
      <c r="N50" s="376">
        <f>IFERROR(VLOOKUP(C50,'تقرير المصروفات حسب الشهر'!$C$1270:$AD$1381,7,FALSE),0)</f>
        <v>0</v>
      </c>
      <c r="O50" s="376">
        <f>IFERROR(VLOOKUP(C50,'تقرير المصروفات حسب الشهر'!$C$1397:$AD$1512,7,FALSE),0)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الشهر'!$C$10:$AD$119,7,FALSE),0)</f>
        <v>0</v>
      </c>
      <c r="E51" s="362">
        <f>IFERROR(VLOOKUP(C51,'تقرير المصروفات حسب الشهر'!$C$135:$AD$244,7,FALSE),0)</f>
        <v>0</v>
      </c>
      <c r="F51" s="362">
        <v>0</v>
      </c>
      <c r="G51" s="362">
        <f>IFERROR(VLOOKUP(C51,'تقرير المصروفات حسب الشهر'!$C$387:$AD$495,7,FALSE),0)</f>
        <v>0</v>
      </c>
      <c r="H51" s="362">
        <f>IFERROR(VLOOKUP(C51,'تقرير المصروفات حسب الشهر'!$C$512:$AD$620,7,FALSE),0)</f>
        <v>0</v>
      </c>
      <c r="I51" s="362">
        <f>IFERROR(VLOOKUP(C51,'تقرير المصروفات حسب الشهر'!$C$637:$AD$746,7,FALSE),0)</f>
        <v>400</v>
      </c>
      <c r="J51" s="362">
        <f>IFERROR(VLOOKUP(C51,'تقرير المصروفات حسب الشهر'!$C$763:$AD$872,7,FALSE),0)</f>
        <v>100</v>
      </c>
      <c r="K51" s="362">
        <f>IFERROR(VLOOKUP(C51,'تقرير المصروفات حسب الشهر'!$C$890:$AD$999,7,FALSE),0)</f>
        <v>0</v>
      </c>
      <c r="L51" s="362">
        <f>IFERROR(VLOOKUP(C51,'تقرير المصروفات حسب الشهر'!$C$1016:$AD$1126,7,FALSE),0)</f>
        <v>0</v>
      </c>
      <c r="M51" s="376">
        <f>IFERROR(VLOOKUP(C51,'تقرير المصروفات حسب الشهر'!$C$1143:$AD$1254,7,FALSE),0)</f>
        <v>0</v>
      </c>
      <c r="N51" s="376">
        <f>IFERROR(VLOOKUP(C51,'تقرير المصروفات حسب الشهر'!$C$1270:$AD$1381,7,FALSE),0)</f>
        <v>0</v>
      </c>
      <c r="O51" s="376">
        <f>IFERROR(VLOOKUP(C51,'تقرير المصروفات حسب الشهر'!$C$1397:$AD$1512,7,FALSE),0)</f>
        <v>0</v>
      </c>
      <c r="P51" s="364">
        <f t="shared" si="5"/>
        <v>500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الشهر'!$C$10:$AD$119,7,FALSE),0)</f>
        <v>0</v>
      </c>
      <c r="E52" s="362">
        <f>IFERROR(VLOOKUP(C52,'تقرير المصروفات حسب الشهر'!$C$135:$AD$244,7,FALSE),0)</f>
        <v>0</v>
      </c>
      <c r="F52" s="362">
        <v>500</v>
      </c>
      <c r="G52" s="362">
        <f>IFERROR(VLOOKUP(C52,'تقرير المصروفات حسب الشهر'!$C$387:$AD$495,7,FALSE),0)</f>
        <v>0</v>
      </c>
      <c r="H52" s="362">
        <f>IFERROR(VLOOKUP(C52,'تقرير المصروفات حسب الشهر'!$C$512:$AD$620,7,FALSE),0)</f>
        <v>0</v>
      </c>
      <c r="I52" s="362">
        <f>IFERROR(VLOOKUP(C52,'تقرير المصروفات حسب الشهر'!$C$637:$AD$746,7,FALSE),0)</f>
        <v>0</v>
      </c>
      <c r="J52" s="362">
        <f>IFERROR(VLOOKUP(C52,'تقرير المصروفات حسب الشهر'!$C$763:$AD$872,7,FALSE),0)</f>
        <v>0</v>
      </c>
      <c r="K52" s="362">
        <f>IFERROR(VLOOKUP(C52,'تقرير المصروفات حسب الشهر'!$C$890:$AD$999,7,FALSE),0)</f>
        <v>17000</v>
      </c>
      <c r="L52" s="362">
        <f>IFERROR(VLOOKUP(C52,'تقرير المصروفات حسب الشهر'!$C$1016:$AD$1126,7,FALSE),0)</f>
        <v>0</v>
      </c>
      <c r="M52" s="376">
        <f>IFERROR(VLOOKUP(C52,'تقرير المصروفات حسب الشهر'!$C$1143:$AD$1254,7,FALSE),0)</f>
        <v>0</v>
      </c>
      <c r="N52" s="376">
        <f>IFERROR(VLOOKUP(C52,'تقرير المصروفات حسب الشهر'!$C$1270:$AD$1381,7,FALSE),0)</f>
        <v>0</v>
      </c>
      <c r="O52" s="376">
        <f>IFERROR(VLOOKUP(C52,'تقرير المصروفات حسب الشهر'!$C$1397:$AD$1512,7,FALSE),0)</f>
        <v>0</v>
      </c>
      <c r="P52" s="364">
        <f t="shared" si="5"/>
        <v>17500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الشهر'!$C$10:$AD$119,7,FALSE),0)</f>
        <v>0</v>
      </c>
      <c r="E53" s="362">
        <f>IFERROR(VLOOKUP(C53,'تقرير المصروفات حسب الشهر'!$C$135:$AD$244,7,FALSE),0)</f>
        <v>0</v>
      </c>
      <c r="F53" s="362">
        <v>0</v>
      </c>
      <c r="G53" s="362">
        <f>IFERROR(VLOOKUP(C53,'تقرير المصروفات حسب الشهر'!$C$387:$AD$495,7,FALSE),0)</f>
        <v>0</v>
      </c>
      <c r="H53" s="362">
        <f>IFERROR(VLOOKUP(C53,'تقرير المصروفات حسب الشهر'!$C$512:$AD$620,7,FALSE),0)</f>
        <v>0</v>
      </c>
      <c r="I53" s="362">
        <f>IFERROR(VLOOKUP(C53,'تقرير المصروفات حسب الشهر'!$C$637:$AD$746,7,FALSE),0)</f>
        <v>0</v>
      </c>
      <c r="J53" s="362">
        <f>IFERROR(VLOOKUP(C53,'تقرير المصروفات حسب الشهر'!$C$763:$AD$872,7,FALSE),0)</f>
        <v>0</v>
      </c>
      <c r="K53" s="362">
        <f>IFERROR(VLOOKUP(C53,'تقرير المصروفات حسب الشهر'!$C$890:$AD$999,7,FALSE),0)</f>
        <v>0</v>
      </c>
      <c r="L53" s="362">
        <f>IFERROR(VLOOKUP(C53,'تقرير المصروفات حسب الشهر'!$C$1016:$AD$1126,7,FALSE),0)</f>
        <v>0</v>
      </c>
      <c r="M53" s="376">
        <f>IFERROR(VLOOKUP(C53,'تقرير المصروفات حسب الشهر'!$C$1143:$AD$1254,7,FALSE),0)</f>
        <v>0</v>
      </c>
      <c r="N53" s="376">
        <f>IFERROR(VLOOKUP(C53,'تقرير المصروفات حسب الشهر'!$C$1270:$AD$1381,7,FALSE),0)</f>
        <v>0</v>
      </c>
      <c r="O53" s="376">
        <f>IFERROR(VLOOKUP(C53,'تقرير المصروفات حسب الشهر'!$C$1397:$AD$1512,7,FALSE),0)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الشهر'!$C$10:$AD$119,7,FALSE),0)</f>
        <v>600</v>
      </c>
      <c r="E54" s="362">
        <f>IFERROR(VLOOKUP(C54,'تقرير المصروفات حسب الشهر'!$C$135:$AD$244,7,FALSE),0)</f>
        <v>0</v>
      </c>
      <c r="F54" s="362">
        <v>0</v>
      </c>
      <c r="G54" s="362">
        <f>IFERROR(VLOOKUP(C54,'تقرير المصروفات حسب الشهر'!$C$387:$AD$495,7,FALSE),0)</f>
        <v>800</v>
      </c>
      <c r="H54" s="362">
        <f>IFERROR(VLOOKUP(C54,'تقرير المصروفات حسب الشهر'!$C$512:$AD$620,7,FALSE),0)</f>
        <v>0</v>
      </c>
      <c r="I54" s="362">
        <f>IFERROR(VLOOKUP(C54,'تقرير المصروفات حسب الشهر'!$C$637:$AD$746,7,FALSE),0)</f>
        <v>0</v>
      </c>
      <c r="J54" s="362">
        <f>IFERROR(VLOOKUP(C54,'تقرير المصروفات حسب الشهر'!$C$763:$AD$872,7,FALSE),0)</f>
        <v>0</v>
      </c>
      <c r="K54" s="362">
        <f>IFERROR(VLOOKUP(C54,'تقرير المصروفات حسب الشهر'!$C$890:$AD$999,7,FALSE),0)</f>
        <v>0</v>
      </c>
      <c r="L54" s="362">
        <f>IFERROR(VLOOKUP(C54,'تقرير المصروفات حسب الشهر'!$C$1016:$AD$1126,7,FALSE),0)</f>
        <v>0</v>
      </c>
      <c r="M54" s="376">
        <f>IFERROR(VLOOKUP(C54,'تقرير المصروفات حسب الشهر'!$C$1143:$AD$1254,7,FALSE),0)</f>
        <v>0</v>
      </c>
      <c r="N54" s="376">
        <f>IFERROR(VLOOKUP(C54,'تقرير المصروفات حسب الشهر'!$C$1270:$AD$1381,7,FALSE),0)</f>
        <v>0</v>
      </c>
      <c r="O54" s="376">
        <f>IFERROR(VLOOKUP(C54,'تقرير المصروفات حسب الشهر'!$C$1397:$AD$1512,7,FALSE),0)</f>
        <v>0</v>
      </c>
      <c r="P54" s="364">
        <f t="shared" si="5"/>
        <v>1400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الشهر'!$C$10:$AD$119,7,FALSE),0)</f>
        <v>0</v>
      </c>
      <c r="E55" s="362">
        <f>IFERROR(VLOOKUP(C55,'تقرير المصروفات حسب الشهر'!$C$135:$AD$244,7,FALSE),0)</f>
        <v>0</v>
      </c>
      <c r="F55" s="362">
        <v>0</v>
      </c>
      <c r="G55" s="362">
        <f>IFERROR(VLOOKUP(C55,'تقرير المصروفات حسب الشهر'!$C$387:$AD$495,7,FALSE),0)</f>
        <v>0</v>
      </c>
      <c r="H55" s="362">
        <f>IFERROR(VLOOKUP(C55,'تقرير المصروفات حسب الشهر'!$C$512:$AD$620,7,FALSE),0)</f>
        <v>0</v>
      </c>
      <c r="I55" s="362">
        <f>IFERROR(VLOOKUP(C55,'تقرير المصروفات حسب الشهر'!$C$637:$AD$746,7,FALSE),0)</f>
        <v>0</v>
      </c>
      <c r="J55" s="362">
        <f>IFERROR(VLOOKUP(C55,'تقرير المصروفات حسب الشهر'!$C$763:$AD$872,7,FALSE),0)</f>
        <v>0</v>
      </c>
      <c r="K55" s="362">
        <f>IFERROR(VLOOKUP(C55,'تقرير المصروفات حسب الشهر'!$C$890:$AD$999,7,FALSE),0)</f>
        <v>0</v>
      </c>
      <c r="L55" s="362">
        <f>IFERROR(VLOOKUP(C55,'تقرير المصروفات حسب الشهر'!$C$1016:$AD$1126,7,FALSE),0)</f>
        <v>0</v>
      </c>
      <c r="M55" s="376">
        <f>IFERROR(VLOOKUP(C55,'تقرير المصروفات حسب الشهر'!$C$1143:$AD$1254,7,FALSE),0)</f>
        <v>0</v>
      </c>
      <c r="N55" s="376">
        <f>IFERROR(VLOOKUP(C55,'تقرير المصروفات حسب الشهر'!$C$1270:$AD$1381,7,FALSE),0)</f>
        <v>0</v>
      </c>
      <c r="O55" s="376">
        <f>IFERROR(VLOOKUP(C55,'تقرير المصروفات حسب الشهر'!$C$1397:$AD$1512,7,FALSE),0)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الشهر'!$C$10:$AD$119,7,FALSE),0)</f>
        <v>0</v>
      </c>
      <c r="E56" s="362">
        <f>IFERROR(VLOOKUP(C56,'تقرير المصروفات حسب الشهر'!$C$135:$AD$244,7,FALSE),0)</f>
        <v>0</v>
      </c>
      <c r="F56" s="362">
        <v>0</v>
      </c>
      <c r="G56" s="362">
        <f>IFERROR(VLOOKUP(C56,'تقرير المصروفات حسب الشهر'!$C$387:$AD$495,7,FALSE),0)</f>
        <v>0</v>
      </c>
      <c r="H56" s="362">
        <f>IFERROR(VLOOKUP(C56,'تقرير المصروفات حسب الشهر'!$C$512:$AD$620,7,FALSE),0)</f>
        <v>0</v>
      </c>
      <c r="I56" s="362">
        <f>IFERROR(VLOOKUP(C56,'تقرير المصروفات حسب الشهر'!$C$637:$AD$746,7,FALSE),0)</f>
        <v>0</v>
      </c>
      <c r="J56" s="362">
        <f>IFERROR(VLOOKUP(C56,'تقرير المصروفات حسب الشهر'!$C$763:$AD$872,7,FALSE),0)</f>
        <v>0</v>
      </c>
      <c r="K56" s="362">
        <f>IFERROR(VLOOKUP(C56,'تقرير المصروفات حسب الشهر'!$C$890:$AD$999,7,FALSE),0)</f>
        <v>0</v>
      </c>
      <c r="L56" s="362">
        <f>IFERROR(VLOOKUP(C56,'تقرير المصروفات حسب الشهر'!$C$1016:$AD$1126,7,FALSE),0)</f>
        <v>0</v>
      </c>
      <c r="M56" s="376">
        <f>IFERROR(VLOOKUP(C56,'تقرير المصروفات حسب الشهر'!$C$1143:$AD$1254,7,FALSE),0)</f>
        <v>0</v>
      </c>
      <c r="N56" s="376">
        <f>IFERROR(VLOOKUP(C56,'تقرير المصروفات حسب الشهر'!$C$1270:$AD$1381,7,FALSE),0)</f>
        <v>0</v>
      </c>
      <c r="O56" s="376">
        <f>IFERROR(VLOOKUP(C56,'تقرير المصروفات حسب الشهر'!$C$1397:$AD$1512,7,FALSE),0)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الشهر'!$C$10:$AD$119,7,FALSE),0)</f>
        <v>0</v>
      </c>
      <c r="E57" s="362">
        <f>IFERROR(VLOOKUP(C57,'تقرير المصروفات حسب الشهر'!$C$135:$AD$244,7,FALSE),0)</f>
        <v>0</v>
      </c>
      <c r="F57" s="362">
        <v>0</v>
      </c>
      <c r="G57" s="362">
        <f>IFERROR(VLOOKUP(C57,'تقرير المصروفات حسب الشهر'!$C$387:$AD$495,7,FALSE),0)</f>
        <v>0</v>
      </c>
      <c r="H57" s="362">
        <f>IFERROR(VLOOKUP(C57,'تقرير المصروفات حسب الشهر'!$C$512:$AD$620,7,FALSE),0)</f>
        <v>0</v>
      </c>
      <c r="I57" s="362">
        <f>IFERROR(VLOOKUP(C57,'تقرير المصروفات حسب الشهر'!$C$637:$AD$746,7,FALSE),0)</f>
        <v>0</v>
      </c>
      <c r="J57" s="362">
        <f>IFERROR(VLOOKUP(C57,'تقرير المصروفات حسب الشهر'!$C$763:$AD$872,7,FALSE),0)</f>
        <v>0</v>
      </c>
      <c r="K57" s="362">
        <f>IFERROR(VLOOKUP(C57,'تقرير المصروفات حسب الشهر'!$C$890:$AD$999,7,FALSE),0)</f>
        <v>0</v>
      </c>
      <c r="L57" s="362">
        <f>IFERROR(VLOOKUP(C57,'تقرير المصروفات حسب الشهر'!$C$1016:$AD$1126,7,FALSE),0)</f>
        <v>0</v>
      </c>
      <c r="M57" s="376">
        <f>IFERROR(VLOOKUP(C57,'تقرير المصروفات حسب الشهر'!$C$1143:$AD$1254,7,FALSE),0)</f>
        <v>0</v>
      </c>
      <c r="N57" s="376">
        <f>IFERROR(VLOOKUP(C57,'تقرير المصروفات حسب الشهر'!$C$1270:$AD$1381,7,FALSE),0)</f>
        <v>0</v>
      </c>
      <c r="O57" s="376">
        <f>IFERROR(VLOOKUP(C57,'تقرير المصروفات حسب الشهر'!$C$1397:$AD$1512,7,FALSE),0)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الشهر'!$C$10:$AD$119,7,FALSE),0)</f>
        <v>0</v>
      </c>
      <c r="E58" s="362">
        <f>IFERROR(VLOOKUP(C58,'تقرير المصروفات حسب الشهر'!$C$135:$AD$244,7,FALSE),0)</f>
        <v>0</v>
      </c>
      <c r="F58" s="362">
        <v>0</v>
      </c>
      <c r="G58" s="362">
        <f>IFERROR(VLOOKUP(C58,'تقرير المصروفات حسب الشهر'!$C$387:$AD$495,7,FALSE),0)</f>
        <v>0</v>
      </c>
      <c r="H58" s="362">
        <f>IFERROR(VLOOKUP(C58,'تقرير المصروفات حسب الشهر'!$C$512:$AD$620,7,FALSE),0)</f>
        <v>0</v>
      </c>
      <c r="I58" s="362">
        <f>IFERROR(VLOOKUP(C58,'تقرير المصروفات حسب الشهر'!$C$637:$AD$746,7,FALSE),0)</f>
        <v>0</v>
      </c>
      <c r="J58" s="362">
        <f>IFERROR(VLOOKUP(C58,'تقرير المصروفات حسب الشهر'!$C$763:$AD$872,7,FALSE),0)</f>
        <v>0</v>
      </c>
      <c r="K58" s="362">
        <f>IFERROR(VLOOKUP(C58,'تقرير المصروفات حسب الشهر'!$C$890:$AD$999,7,FALSE),0)</f>
        <v>0</v>
      </c>
      <c r="L58" s="362">
        <f>IFERROR(VLOOKUP(C58,'تقرير المصروفات حسب الشهر'!$C$1016:$AD$1126,7,FALSE),0)</f>
        <v>0</v>
      </c>
      <c r="M58" s="376">
        <f>IFERROR(VLOOKUP(C58,'تقرير المصروفات حسب الشهر'!$C$1143:$AD$1254,7,FALSE),0)</f>
        <v>0</v>
      </c>
      <c r="N58" s="376">
        <f>IFERROR(VLOOKUP(C58,'تقرير المصروفات حسب الشهر'!$C$1270:$AD$1381,7,FALSE),0)</f>
        <v>0</v>
      </c>
      <c r="O58" s="376">
        <f>IFERROR(VLOOKUP(C58,'تقرير المصروفات حسب الشهر'!$C$1397:$AD$1512,7,FALSE),0)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الشهر'!$C$10:$AD$119,7,FALSE),0)</f>
        <v>0</v>
      </c>
      <c r="E59" s="362">
        <f>IFERROR(VLOOKUP(C59,'تقرير المصروفات حسب الشهر'!$C$135:$AD$244,7,FALSE),0)</f>
        <v>0</v>
      </c>
      <c r="F59" s="362">
        <v>0</v>
      </c>
      <c r="G59" s="362">
        <f>IFERROR(VLOOKUP(C59,'تقرير المصروفات حسب الشهر'!$C$387:$AD$495,7,FALSE),0)</f>
        <v>0</v>
      </c>
      <c r="H59" s="362">
        <f>IFERROR(VLOOKUP(C59,'تقرير المصروفات حسب الشهر'!$C$512:$AD$620,7,FALSE),0)</f>
        <v>0</v>
      </c>
      <c r="I59" s="362">
        <f>IFERROR(VLOOKUP(C59,'تقرير المصروفات حسب الشهر'!$C$637:$AD$746,7,FALSE),0)</f>
        <v>0</v>
      </c>
      <c r="J59" s="362">
        <f>IFERROR(VLOOKUP(C59,'تقرير المصروفات حسب الشهر'!$C$763:$AD$872,7,FALSE),0)</f>
        <v>0</v>
      </c>
      <c r="K59" s="362">
        <f>IFERROR(VLOOKUP(C59,'تقرير المصروفات حسب الشهر'!$C$890:$AD$999,7,FALSE),0)</f>
        <v>0</v>
      </c>
      <c r="L59" s="362">
        <f>IFERROR(VLOOKUP(C59,'تقرير المصروفات حسب الشهر'!$C$1016:$AD$1126,7,FALSE),0)</f>
        <v>0</v>
      </c>
      <c r="M59" s="376">
        <f>IFERROR(VLOOKUP(C59,'تقرير المصروفات حسب الشهر'!$C$1143:$AD$1254,7,FALSE),0)</f>
        <v>0</v>
      </c>
      <c r="N59" s="376">
        <f>IFERROR(VLOOKUP(C59,'تقرير المصروفات حسب الشهر'!$C$1270:$AD$1381,7,FALSE),0)</f>
        <v>0</v>
      </c>
      <c r="O59" s="376">
        <f>IFERROR(VLOOKUP(C59,'تقرير المصروفات حسب الشهر'!$C$1397:$AD$1512,7,FALSE),0)</f>
        <v>0</v>
      </c>
      <c r="P59" s="364">
        <f t="shared" si="5"/>
        <v>0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الشهر'!$C$10:$AD$119,7,FALSE),0)</f>
        <v>3120</v>
      </c>
      <c r="E60" s="362">
        <f>IFERROR(VLOOKUP(C60,'تقرير المصروفات حسب الشهر'!$C$135:$AD$244,7,FALSE),0)</f>
        <v>0</v>
      </c>
      <c r="F60" s="362">
        <v>0</v>
      </c>
      <c r="G60" s="362">
        <f>IFERROR(VLOOKUP(C60,'تقرير المصروفات حسب الشهر'!$C$387:$AD$495,7,FALSE),0)</f>
        <v>0</v>
      </c>
      <c r="H60" s="362">
        <f>IFERROR(VLOOKUP(C60,'تقرير المصروفات حسب الشهر'!$C$512:$AD$620,7,FALSE),0)</f>
        <v>0</v>
      </c>
      <c r="I60" s="362">
        <f>IFERROR(VLOOKUP(C60,'تقرير المصروفات حسب الشهر'!$C$637:$AD$746,7,FALSE),0)</f>
        <v>2294</v>
      </c>
      <c r="J60" s="362">
        <f>IFERROR(VLOOKUP(C60,'تقرير المصروفات حسب الشهر'!$C$763:$AD$872,7,FALSE),0)</f>
        <v>0</v>
      </c>
      <c r="K60" s="362">
        <f>IFERROR(VLOOKUP(C60,'تقرير المصروفات حسب الشهر'!$C$890:$AD$999,7,FALSE),0)</f>
        <v>1650</v>
      </c>
      <c r="L60" s="362">
        <f>IFERROR(VLOOKUP(C60,'تقرير المصروفات حسب الشهر'!$C$1016:$AD$1126,7,FALSE),0)</f>
        <v>0</v>
      </c>
      <c r="M60" s="376">
        <f>IFERROR(VLOOKUP(C60,'تقرير المصروفات حسب الشهر'!$C$1143:$AD$1254,7,FALSE),0)</f>
        <v>3300</v>
      </c>
      <c r="N60" s="376">
        <f>IFERROR(VLOOKUP(C60,'تقرير المصروفات حسب الشهر'!$C$1270:$AD$1381,7,FALSE),0)</f>
        <v>0</v>
      </c>
      <c r="O60" s="376">
        <f>IFERROR(VLOOKUP(C60,'تقرير المصروفات حسب الشهر'!$C$1397:$AD$1512,7,FALSE),0)</f>
        <v>6600</v>
      </c>
      <c r="P60" s="364">
        <f t="shared" si="5"/>
        <v>16964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الشهر'!$C$10:$AD$119,7,FALSE),0)</f>
        <v>0</v>
      </c>
      <c r="E61" s="362">
        <f>IFERROR(VLOOKUP(C61,'تقرير المصروفات حسب الشهر'!$C$135:$AD$244,7,FALSE),0)</f>
        <v>0</v>
      </c>
      <c r="F61" s="362">
        <v>0</v>
      </c>
      <c r="G61" s="362">
        <f>IFERROR(VLOOKUP(C61,'تقرير المصروفات حسب الشهر'!$C$387:$AD$495,7,FALSE),0)</f>
        <v>0</v>
      </c>
      <c r="H61" s="362">
        <f>IFERROR(VLOOKUP(C61,'تقرير المصروفات حسب الشهر'!$C$512:$AD$620,7,FALSE),0)</f>
        <v>0</v>
      </c>
      <c r="I61" s="362">
        <f>IFERROR(VLOOKUP(C61,'تقرير المصروفات حسب الشهر'!$C$637:$AD$746,7,FALSE),0)</f>
        <v>0</v>
      </c>
      <c r="J61" s="362">
        <f>IFERROR(VLOOKUP(C61,'تقرير المصروفات حسب الشهر'!$C$763:$AD$872,7,FALSE),0)</f>
        <v>0</v>
      </c>
      <c r="K61" s="362">
        <f>IFERROR(VLOOKUP(C61,'تقرير المصروفات حسب الشهر'!$C$890:$AD$999,7,FALSE),0)</f>
        <v>0</v>
      </c>
      <c r="L61" s="362">
        <f>IFERROR(VLOOKUP(C61,'تقرير المصروفات حسب الشهر'!$C$1016:$AD$1126,7,FALSE),0)</f>
        <v>0</v>
      </c>
      <c r="M61" s="376">
        <f>IFERROR(VLOOKUP(C61,'تقرير المصروفات حسب الشهر'!$C$1143:$AD$1254,7,FALSE),0)</f>
        <v>0</v>
      </c>
      <c r="N61" s="376">
        <f>IFERROR(VLOOKUP(C61,'تقرير المصروفات حسب الشهر'!$C$1270:$AD$1381,7,FALSE),0)</f>
        <v>0</v>
      </c>
      <c r="O61" s="376">
        <f>IFERROR(VLOOKUP(C61,'تقرير المصروفات حسب الشهر'!$C$1397:$AD$1512,7,FALSE),0)</f>
        <v>0</v>
      </c>
      <c r="P61" s="364">
        <f t="shared" si="5"/>
        <v>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الشهر'!$C$10:$AD$119,7,FALSE),0)</f>
        <v>0</v>
      </c>
      <c r="E62" s="362">
        <f>IFERROR(VLOOKUP(C62,'تقرير المصروفات حسب الشهر'!$C$135:$AD$244,7,FALSE),0)</f>
        <v>0</v>
      </c>
      <c r="F62" s="362">
        <v>0</v>
      </c>
      <c r="G62" s="362">
        <f>IFERROR(VLOOKUP(C62,'تقرير المصروفات حسب الشهر'!$C$387:$AD$495,7,FALSE),0)</f>
        <v>0</v>
      </c>
      <c r="H62" s="362">
        <f>IFERROR(VLOOKUP(C62,'تقرير المصروفات حسب الشهر'!$C$512:$AD$620,7,FALSE),0)</f>
        <v>0</v>
      </c>
      <c r="I62" s="362">
        <f>IFERROR(VLOOKUP(C62,'تقرير المصروفات حسب الشهر'!$C$637:$AD$746,7,FALSE),0)</f>
        <v>0</v>
      </c>
      <c r="J62" s="362">
        <f>IFERROR(VLOOKUP(C62,'تقرير المصروفات حسب الشهر'!$C$763:$AD$872,7,FALSE),0)</f>
        <v>0</v>
      </c>
      <c r="K62" s="362">
        <f>IFERROR(VLOOKUP(C62,'تقرير المصروفات حسب الشهر'!$C$890:$AD$999,7,FALSE),0)</f>
        <v>0</v>
      </c>
      <c r="L62" s="362">
        <f>IFERROR(VLOOKUP(C62,'تقرير المصروفات حسب الشهر'!$C$1016:$AD$1126,7,FALSE),0)</f>
        <v>0</v>
      </c>
      <c r="M62" s="376">
        <f>IFERROR(VLOOKUP(C62,'تقرير المصروفات حسب الشهر'!$C$1143:$AD$1254,7,FALSE),0)</f>
        <v>0</v>
      </c>
      <c r="N62" s="376">
        <f>IFERROR(VLOOKUP(C62,'تقرير المصروفات حسب الشهر'!$C$1270:$AD$1381,7,FALSE),0)</f>
        <v>0</v>
      </c>
      <c r="O62" s="376">
        <f>IFERROR(VLOOKUP(C62,'تقرير المصروفات حسب الشهر'!$C$1397:$AD$1512,7,FALSE),0)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الشهر'!$C$10:$AD$119,7,FALSE),0)</f>
        <v>0</v>
      </c>
      <c r="E63" s="362">
        <f>IFERROR(VLOOKUP(C63,'تقرير المصروفات حسب الشهر'!$C$135:$AD$244,7,FALSE),0)</f>
        <v>0</v>
      </c>
      <c r="F63" s="362">
        <v>0</v>
      </c>
      <c r="G63" s="362">
        <f>IFERROR(VLOOKUP(C63,'تقرير المصروفات حسب الشهر'!$C$387:$AD$495,7,FALSE),0)</f>
        <v>0</v>
      </c>
      <c r="H63" s="362">
        <f>IFERROR(VLOOKUP(C63,'تقرير المصروفات حسب الشهر'!$C$512:$AD$620,7,FALSE),0)</f>
        <v>0</v>
      </c>
      <c r="I63" s="362">
        <f>IFERROR(VLOOKUP(C63,'تقرير المصروفات حسب الشهر'!$C$637:$AD$746,7,FALSE),0)</f>
        <v>0</v>
      </c>
      <c r="J63" s="362">
        <f>IFERROR(VLOOKUP(C63,'تقرير المصروفات حسب الشهر'!$C$763:$AD$872,7,FALSE),0)</f>
        <v>0</v>
      </c>
      <c r="K63" s="362">
        <f>IFERROR(VLOOKUP(C63,'تقرير المصروفات حسب الشهر'!$C$890:$AD$999,7,FALSE),0)</f>
        <v>0</v>
      </c>
      <c r="L63" s="362">
        <f>IFERROR(VLOOKUP(C63,'تقرير المصروفات حسب الشهر'!$C$1016:$AD$1126,7,FALSE),0)</f>
        <v>0</v>
      </c>
      <c r="M63" s="376">
        <f>IFERROR(VLOOKUP(C63,'تقرير المصروفات حسب الشهر'!$C$1143:$AD$1254,7,FALSE),0)</f>
        <v>0</v>
      </c>
      <c r="N63" s="376">
        <f>IFERROR(VLOOKUP(C63,'تقرير المصروفات حسب الشهر'!$C$1270:$AD$1381,7,FALSE),0)</f>
        <v>0</v>
      </c>
      <c r="O63" s="376">
        <f>IFERROR(VLOOKUP(C63,'تقرير المصروفات حسب الشهر'!$C$1397:$AD$1512,7,FALSE),0)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الشهر'!$C$10:$AD$119,7,FALSE),0)</f>
        <v>415</v>
      </c>
      <c r="E64" s="362">
        <f>IFERROR(VLOOKUP(C64,'تقرير المصروفات حسب الشهر'!$C$135:$AD$244,7,FALSE),0)</f>
        <v>0</v>
      </c>
      <c r="F64" s="362">
        <v>410</v>
      </c>
      <c r="G64" s="362">
        <f>IFERROR(VLOOKUP(C64,'تقرير المصروفات حسب الشهر'!$C$387:$AD$495,7,FALSE),0)</f>
        <v>0</v>
      </c>
      <c r="H64" s="362">
        <f>IFERROR(VLOOKUP(C64,'تقرير المصروفات حسب الشهر'!$C$512:$AD$620,7,FALSE),0)</f>
        <v>400</v>
      </c>
      <c r="I64" s="362">
        <f>IFERROR(VLOOKUP(C64,'تقرير المصروفات حسب الشهر'!$C$637:$AD$746,7,FALSE),0)</f>
        <v>260</v>
      </c>
      <c r="J64" s="362">
        <f>IFERROR(VLOOKUP(C64,'تقرير المصروفات حسب الشهر'!$C$763:$AD$872,7,FALSE),0)</f>
        <v>440</v>
      </c>
      <c r="K64" s="362">
        <f>IFERROR(VLOOKUP(C64,'تقرير المصروفات حسب الشهر'!$C$890:$AD$999,7,FALSE),0)</f>
        <v>420</v>
      </c>
      <c r="L64" s="362">
        <f>IFERROR(VLOOKUP(C64,'تقرير المصروفات حسب الشهر'!$C$1016:$AD$1126,7,FALSE),0)</f>
        <v>2855</v>
      </c>
      <c r="M64" s="376">
        <f>IFERROR(VLOOKUP(C64,'تقرير المصروفات حسب الشهر'!$C$1143:$AD$1254,7,FALSE),0)</f>
        <v>440</v>
      </c>
      <c r="N64" s="376">
        <f>IFERROR(VLOOKUP(C64,'تقرير المصروفات حسب الشهر'!$C$1270:$AD$1381,7,FALSE),0)</f>
        <v>605</v>
      </c>
      <c r="O64" s="376">
        <f>IFERROR(VLOOKUP(C64,'تقرير المصروفات حسب الشهر'!$C$1397:$AD$1512,7,FALSE),0)</f>
        <v>1610</v>
      </c>
      <c r="P64" s="364">
        <f t="shared" si="5"/>
        <v>7855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الشهر'!$C$10:$AD$119,7,FALSE),0)</f>
        <v>0</v>
      </c>
      <c r="E65" s="362">
        <f>IFERROR(VLOOKUP(C65,'تقرير المصروفات حسب الشهر'!$C$135:$AD$244,7,FALSE),0)</f>
        <v>0</v>
      </c>
      <c r="F65" s="362">
        <v>0</v>
      </c>
      <c r="G65" s="362">
        <f>IFERROR(VLOOKUP(C65,'تقرير المصروفات حسب الشهر'!$C$387:$AD$495,7,FALSE),0)</f>
        <v>0</v>
      </c>
      <c r="H65" s="362">
        <f>IFERROR(VLOOKUP(C65,'تقرير المصروفات حسب الشهر'!$C$512:$AD$620,7,FALSE),0)</f>
        <v>0</v>
      </c>
      <c r="I65" s="362">
        <f>IFERROR(VLOOKUP(C65,'تقرير المصروفات حسب الشهر'!$C$637:$AD$746,7,FALSE),0)</f>
        <v>0</v>
      </c>
      <c r="J65" s="362">
        <f>IFERROR(VLOOKUP(C65,'تقرير المصروفات حسب الشهر'!$C$763:$AD$872,7,FALSE),0)</f>
        <v>0</v>
      </c>
      <c r="K65" s="362">
        <f>IFERROR(VLOOKUP(C65,'تقرير المصروفات حسب الشهر'!$C$890:$AD$999,7,FALSE),0)</f>
        <v>0</v>
      </c>
      <c r="L65" s="362">
        <f>IFERROR(VLOOKUP(C65,'تقرير المصروفات حسب الشهر'!$C$1016:$AD$1126,7,FALSE),0)</f>
        <v>0</v>
      </c>
      <c r="M65" s="376">
        <f>IFERROR(VLOOKUP(C65,'تقرير المصروفات حسب الشهر'!$C$1143:$AD$1254,7,FALSE),0)</f>
        <v>0</v>
      </c>
      <c r="N65" s="376">
        <f>IFERROR(VLOOKUP(C65,'تقرير المصروفات حسب الشهر'!$C$1270:$AD$1381,7,FALSE),0)</f>
        <v>0</v>
      </c>
      <c r="O65" s="376">
        <f>IFERROR(VLOOKUP(C65,'تقرير المصروفات حسب الشهر'!$C$1397:$AD$1512,7,FALSE),0)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الشهر'!$C$10:$AD$119,7,FALSE),0)</f>
        <v>0</v>
      </c>
      <c r="E66" s="362">
        <f>IFERROR(VLOOKUP(C66,'تقرير المصروفات حسب الشهر'!$C$135:$AD$244,7,FALSE),0)</f>
        <v>0</v>
      </c>
      <c r="F66" s="362">
        <v>0</v>
      </c>
      <c r="G66" s="362">
        <f>IFERROR(VLOOKUP(C66,'تقرير المصروفات حسب الشهر'!$C$387:$AD$495,7,FALSE),0)</f>
        <v>0</v>
      </c>
      <c r="H66" s="362">
        <f>IFERROR(VLOOKUP(C66,'تقرير المصروفات حسب الشهر'!$C$512:$AD$620,7,FALSE),0)</f>
        <v>0</v>
      </c>
      <c r="I66" s="362">
        <f>IFERROR(VLOOKUP(C66,'تقرير المصروفات حسب الشهر'!$C$637:$AD$746,7,FALSE),0)</f>
        <v>0</v>
      </c>
      <c r="J66" s="362">
        <f>IFERROR(VLOOKUP(C66,'تقرير المصروفات حسب الشهر'!$C$763:$AD$872,7,FALSE),0)</f>
        <v>0</v>
      </c>
      <c r="K66" s="362">
        <f>IFERROR(VLOOKUP(C66,'تقرير المصروفات حسب الشهر'!$C$890:$AD$999,7,FALSE),0)</f>
        <v>0</v>
      </c>
      <c r="L66" s="362">
        <f>IFERROR(VLOOKUP(C66,'تقرير المصروفات حسب الشهر'!$C$1016:$AD$1126,7,FALSE),0)</f>
        <v>0</v>
      </c>
      <c r="M66" s="376">
        <f>IFERROR(VLOOKUP(C66,'تقرير المصروفات حسب الشهر'!$C$1143:$AD$1254,7,FALSE),0)</f>
        <v>0</v>
      </c>
      <c r="N66" s="376">
        <f>IFERROR(VLOOKUP(C66,'تقرير المصروفات حسب الشهر'!$C$1270:$AD$1381,7,FALSE),0)</f>
        <v>0</v>
      </c>
      <c r="O66" s="376">
        <f>IFERROR(VLOOKUP(C66,'تقرير المصروفات حسب الشهر'!$C$1397:$AD$1512,7,FALSE),0)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الشهر'!$C$10:$AD$119,7,FALSE),0)</f>
        <v>0</v>
      </c>
      <c r="E67" s="362">
        <f>IFERROR(VLOOKUP(C67,'تقرير المصروفات حسب الشهر'!$C$135:$AD$244,7,FALSE),0)</f>
        <v>0</v>
      </c>
      <c r="F67" s="362">
        <v>0</v>
      </c>
      <c r="G67" s="362">
        <f>IFERROR(VLOOKUP(C67,'تقرير المصروفات حسب الشهر'!$C$387:$AD$495,7,FALSE),0)</f>
        <v>0</v>
      </c>
      <c r="H67" s="362">
        <f>IFERROR(VLOOKUP(C67,'تقرير المصروفات حسب الشهر'!$C$512:$AD$620,7,FALSE),0)</f>
        <v>0</v>
      </c>
      <c r="I67" s="362">
        <f>IFERROR(VLOOKUP(C67,'تقرير المصروفات حسب الشهر'!$C$637:$AD$746,7,FALSE),0)</f>
        <v>0</v>
      </c>
      <c r="J67" s="362">
        <f>IFERROR(VLOOKUP(C67,'تقرير المصروفات حسب الشهر'!$C$763:$AD$872,7,FALSE),0)</f>
        <v>0</v>
      </c>
      <c r="K67" s="362">
        <f>IFERROR(VLOOKUP(C67,'تقرير المصروفات حسب الشهر'!$C$890:$AD$999,7,FALSE),0)</f>
        <v>0</v>
      </c>
      <c r="L67" s="362">
        <f>IFERROR(VLOOKUP(C67,'تقرير المصروفات حسب الشهر'!$C$1016:$AD$1126,7,FALSE),0)</f>
        <v>0</v>
      </c>
      <c r="M67" s="376">
        <f>IFERROR(VLOOKUP(C67,'تقرير المصروفات حسب الشهر'!$C$1143:$AD$1254,7,FALSE),0)</f>
        <v>0</v>
      </c>
      <c r="N67" s="376">
        <f>IFERROR(VLOOKUP(C67,'تقرير المصروفات حسب الشهر'!$C$1270:$AD$1381,7,FALSE),0)</f>
        <v>0</v>
      </c>
      <c r="O67" s="376">
        <f>IFERROR(VLOOKUP(C67,'تقرير المصروفات حسب الشهر'!$C$1397:$AD$1512,7,FALSE),0)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الشهر'!$C$10:$AD$119,7,FALSE),0)</f>
        <v>0</v>
      </c>
      <c r="E68" s="362">
        <f>IFERROR(VLOOKUP(C68,'تقرير المصروفات حسب الشهر'!$C$135:$AD$244,7,FALSE),0)</f>
        <v>0</v>
      </c>
      <c r="F68" s="362">
        <v>0</v>
      </c>
      <c r="G68" s="362">
        <f>IFERROR(VLOOKUP(C68,'تقرير المصروفات حسب الشهر'!$C$387:$AD$495,7,FALSE),0)</f>
        <v>0</v>
      </c>
      <c r="H68" s="362">
        <f>IFERROR(VLOOKUP(C68,'تقرير المصروفات حسب الشهر'!$C$512:$AD$620,7,FALSE),0)</f>
        <v>0</v>
      </c>
      <c r="I68" s="362">
        <f>IFERROR(VLOOKUP(C68,'تقرير المصروفات حسب الشهر'!$C$637:$AD$746,7,FALSE),0)</f>
        <v>0</v>
      </c>
      <c r="J68" s="362">
        <f>IFERROR(VLOOKUP(C68,'تقرير المصروفات حسب الشهر'!$C$763:$AD$872,7,FALSE),0)</f>
        <v>0</v>
      </c>
      <c r="K68" s="362">
        <f>IFERROR(VLOOKUP(C68,'تقرير المصروفات حسب الشهر'!$C$890:$AD$999,7,FALSE),0)</f>
        <v>0</v>
      </c>
      <c r="L68" s="362">
        <f>IFERROR(VLOOKUP(C68,'تقرير المصروفات حسب الشهر'!$C$1016:$AD$1126,7,FALSE),0)</f>
        <v>0</v>
      </c>
      <c r="M68" s="376">
        <f>IFERROR(VLOOKUP(C68,'تقرير المصروفات حسب الشهر'!$C$1143:$AD$1254,7,FALSE),0)</f>
        <v>0</v>
      </c>
      <c r="N68" s="376">
        <f>IFERROR(VLOOKUP(C68,'تقرير المصروفات حسب الشهر'!$C$1270:$AD$1381,7,FALSE),0)</f>
        <v>0</v>
      </c>
      <c r="O68" s="376">
        <f>IFERROR(VLOOKUP(C68,'تقرير المصروفات حسب الشهر'!$C$1397:$AD$1512,7,FALSE),0)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الشهر'!$C$10:$AD$119,7,FALSE),0)</f>
        <v>0</v>
      </c>
      <c r="E69" s="362">
        <f>IFERROR(VLOOKUP(C69,'تقرير المصروفات حسب الشهر'!$C$135:$AD$244,7,FALSE),0)</f>
        <v>0</v>
      </c>
      <c r="F69" s="362">
        <v>0</v>
      </c>
      <c r="G69" s="362">
        <f>IFERROR(VLOOKUP(C69,'تقرير المصروفات حسب الشهر'!$C$387:$AD$495,7,FALSE),0)</f>
        <v>0</v>
      </c>
      <c r="H69" s="362">
        <f>IFERROR(VLOOKUP(C69,'تقرير المصروفات حسب الشهر'!$C$512:$AD$620,7,FALSE),0)</f>
        <v>0</v>
      </c>
      <c r="I69" s="362">
        <f>IFERROR(VLOOKUP(C69,'تقرير المصروفات حسب الشهر'!$C$637:$AD$746,7,FALSE),0)</f>
        <v>0</v>
      </c>
      <c r="J69" s="362">
        <f>IFERROR(VLOOKUP(C69,'تقرير المصروفات حسب الشهر'!$C$763:$AD$872,7,FALSE),0)</f>
        <v>0</v>
      </c>
      <c r="K69" s="362">
        <f>IFERROR(VLOOKUP(C69,'تقرير المصروفات حسب الشهر'!$C$890:$AD$999,7,FALSE),0)</f>
        <v>0</v>
      </c>
      <c r="L69" s="362">
        <f>IFERROR(VLOOKUP(C69,'تقرير المصروفات حسب الشهر'!$C$1016:$AD$1126,7,FALSE),0)</f>
        <v>0</v>
      </c>
      <c r="M69" s="376">
        <f>IFERROR(VLOOKUP(C69,'تقرير المصروفات حسب الشهر'!$C$1143:$AD$1254,7,FALSE),0)</f>
        <v>0</v>
      </c>
      <c r="N69" s="376">
        <f>IFERROR(VLOOKUP(C69,'تقرير المصروفات حسب الشهر'!$C$1270:$AD$1381,7,FALSE),0)</f>
        <v>0</v>
      </c>
      <c r="O69" s="376">
        <f>IFERROR(VLOOKUP(C69,'تقرير المصروفات حسب الشهر'!$C$1397:$AD$1512,7,FALSE),0)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الشهر'!$C$10:$AD$119,7,FALSE),0)</f>
        <v>0</v>
      </c>
      <c r="E70" s="362">
        <f>IFERROR(VLOOKUP(C70,'تقرير المصروفات حسب الشهر'!$C$135:$AD$244,7,FALSE),0)</f>
        <v>0</v>
      </c>
      <c r="F70" s="362">
        <v>0</v>
      </c>
      <c r="G70" s="362">
        <f>IFERROR(VLOOKUP(C70,'تقرير المصروفات حسب الشهر'!$C$387:$AD$495,7,FALSE),0)</f>
        <v>0</v>
      </c>
      <c r="H70" s="362">
        <f>IFERROR(VLOOKUP(C70,'تقرير المصروفات حسب الشهر'!$C$512:$AD$620,7,FALSE),0)</f>
        <v>0</v>
      </c>
      <c r="I70" s="362">
        <f>IFERROR(VLOOKUP(C70,'تقرير المصروفات حسب الشهر'!$C$637:$AD$746,7,FALSE),0)</f>
        <v>0</v>
      </c>
      <c r="J70" s="362">
        <f>IFERROR(VLOOKUP(C70,'تقرير المصروفات حسب الشهر'!$C$763:$AD$872,7,FALSE),0)</f>
        <v>0</v>
      </c>
      <c r="K70" s="362">
        <f>IFERROR(VLOOKUP(C70,'تقرير المصروفات حسب الشهر'!$C$890:$AD$999,7,FALSE),0)</f>
        <v>0</v>
      </c>
      <c r="L70" s="362">
        <f>IFERROR(VLOOKUP(C70,'تقرير المصروفات حسب الشهر'!$C$1016:$AD$1126,7,FALSE),0)</f>
        <v>0</v>
      </c>
      <c r="M70" s="376">
        <f>IFERROR(VLOOKUP(C70,'تقرير المصروفات حسب الشهر'!$C$1143:$AD$1254,7,FALSE),0)</f>
        <v>0</v>
      </c>
      <c r="N70" s="376">
        <f>IFERROR(VLOOKUP(C70,'تقرير المصروفات حسب الشهر'!$C$1270:$AD$1381,7,FALSE),0)</f>
        <v>0</v>
      </c>
      <c r="O70" s="376">
        <f>IFERROR(VLOOKUP(C70,'تقرير المصروفات حسب الشهر'!$C$1397:$AD$1512,7,FALSE),0)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الشهر'!$C$10:$AD$119,7,FALSE),0)</f>
        <v>0</v>
      </c>
      <c r="E71" s="362">
        <f>IFERROR(VLOOKUP(C71,'تقرير المصروفات حسب الشهر'!$C$135:$AD$244,7,FALSE),0)</f>
        <v>0</v>
      </c>
      <c r="F71" s="362">
        <v>0</v>
      </c>
      <c r="G71" s="362">
        <f>IFERROR(VLOOKUP(C71,'تقرير المصروفات حسب الشهر'!$C$387:$AD$495,7,FALSE),0)</f>
        <v>0</v>
      </c>
      <c r="H71" s="362">
        <f>IFERROR(VLOOKUP(C71,'تقرير المصروفات حسب الشهر'!$C$512:$AD$620,7,FALSE),0)</f>
        <v>0</v>
      </c>
      <c r="I71" s="362">
        <f>IFERROR(VLOOKUP(C71,'تقرير المصروفات حسب الشهر'!$C$637:$AD$746,7,FALSE),0)</f>
        <v>0</v>
      </c>
      <c r="J71" s="362">
        <f>IFERROR(VLOOKUP(C71,'تقرير المصروفات حسب الشهر'!$C$763:$AD$872,7,FALSE),0)</f>
        <v>0</v>
      </c>
      <c r="K71" s="362">
        <f>IFERROR(VLOOKUP(C71,'تقرير المصروفات حسب الشهر'!$C$890:$AD$999,7,FALSE),0)</f>
        <v>0</v>
      </c>
      <c r="L71" s="362">
        <f>IFERROR(VLOOKUP(C71,'تقرير المصروفات حسب الشهر'!$C$1016:$AD$1126,7,FALSE),0)</f>
        <v>0</v>
      </c>
      <c r="M71" s="376">
        <f>IFERROR(VLOOKUP(C71,'تقرير المصروفات حسب الشهر'!$C$1143:$AD$1254,7,FALSE),0)</f>
        <v>0</v>
      </c>
      <c r="N71" s="376">
        <f>IFERROR(VLOOKUP(C71,'تقرير المصروفات حسب الشهر'!$C$1270:$AD$1381,7,FALSE),0)</f>
        <v>0</v>
      </c>
      <c r="O71" s="376">
        <f>IFERROR(VLOOKUP(C71,'تقرير المصروفات حسب الشهر'!$C$1397:$AD$1512,7,FALSE),0)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الشهر'!$C$10:$AD$119,7,FALSE),0)</f>
        <v>0</v>
      </c>
      <c r="E72" s="362">
        <f>IFERROR(VLOOKUP(C72,'تقرير المصروفات حسب الشهر'!$C$135:$AD$244,7,FALSE),0)</f>
        <v>0</v>
      </c>
      <c r="F72" s="362">
        <v>0</v>
      </c>
      <c r="G72" s="362">
        <f>IFERROR(VLOOKUP(C72,'تقرير المصروفات حسب الشهر'!$C$387:$AD$495,7,FALSE),0)</f>
        <v>0</v>
      </c>
      <c r="H72" s="362">
        <f>IFERROR(VLOOKUP(C72,'تقرير المصروفات حسب الشهر'!$C$512:$AD$620,7,FALSE),0)</f>
        <v>0</v>
      </c>
      <c r="I72" s="362">
        <f>IFERROR(VLOOKUP(C72,'تقرير المصروفات حسب الشهر'!$C$637:$AD$746,7,FALSE),0)</f>
        <v>0</v>
      </c>
      <c r="J72" s="362">
        <f>IFERROR(VLOOKUP(C72,'تقرير المصروفات حسب الشهر'!$C$763:$AD$872,7,FALSE),0)</f>
        <v>0</v>
      </c>
      <c r="K72" s="362">
        <f>IFERROR(VLOOKUP(C72,'تقرير المصروفات حسب الشهر'!$C$890:$AD$999,7,FALSE),0)</f>
        <v>0</v>
      </c>
      <c r="L72" s="362">
        <f>IFERROR(VLOOKUP(C72,'تقرير المصروفات حسب الشهر'!$C$1016:$AD$1126,7,FALSE),0)</f>
        <v>0</v>
      </c>
      <c r="M72" s="376">
        <f>IFERROR(VLOOKUP(C72,'تقرير المصروفات حسب الشهر'!$C$1143:$AD$1254,7,FALSE),0)</f>
        <v>0</v>
      </c>
      <c r="N72" s="376">
        <f>IFERROR(VLOOKUP(C72,'تقرير المصروفات حسب الشهر'!$C$1270:$AD$1381,7,FALSE),0)</f>
        <v>0</v>
      </c>
      <c r="O72" s="376">
        <f>IFERROR(VLOOKUP(C72,'تقرير المصروفات حسب الشهر'!$C$1397:$AD$1512,7,FALSE),0)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الشهر'!$C$10:$AD$119,7,FALSE),0)</f>
        <v>0</v>
      </c>
      <c r="E73" s="362">
        <f>IFERROR(VLOOKUP(C73,'تقرير المصروفات حسب الشهر'!$C$135:$AD$244,7,FALSE),0)</f>
        <v>0</v>
      </c>
      <c r="F73" s="362">
        <v>0</v>
      </c>
      <c r="G73" s="362">
        <f>IFERROR(VLOOKUP(C73,'تقرير المصروفات حسب الشهر'!$C$387:$AD$495,7,FALSE),0)</f>
        <v>0</v>
      </c>
      <c r="H73" s="362">
        <f>IFERROR(VLOOKUP(C73,'تقرير المصروفات حسب الشهر'!$C$512:$AD$620,7,FALSE),0)</f>
        <v>0</v>
      </c>
      <c r="I73" s="362">
        <f>IFERROR(VLOOKUP(C73,'تقرير المصروفات حسب الشهر'!$C$637:$AD$746,7,FALSE),0)</f>
        <v>0</v>
      </c>
      <c r="J73" s="362">
        <f>IFERROR(VLOOKUP(C73,'تقرير المصروفات حسب الشهر'!$C$763:$AD$872,7,FALSE),0)</f>
        <v>0</v>
      </c>
      <c r="K73" s="362">
        <f>IFERROR(VLOOKUP(C73,'تقرير المصروفات حسب الشهر'!$C$890:$AD$999,7,FALSE),0)</f>
        <v>0</v>
      </c>
      <c r="L73" s="362">
        <f>IFERROR(VLOOKUP(C73,'تقرير المصروفات حسب الشهر'!$C$1016:$AD$1126,7,FALSE),0)</f>
        <v>0</v>
      </c>
      <c r="M73" s="376">
        <f>IFERROR(VLOOKUP(C73,'تقرير المصروفات حسب الشهر'!$C$1143:$AD$1254,7,FALSE),0)</f>
        <v>0</v>
      </c>
      <c r="N73" s="376">
        <f>IFERROR(VLOOKUP(C73,'تقرير المصروفات حسب الشهر'!$C$1270:$AD$1381,7,FALSE),0)</f>
        <v>0</v>
      </c>
      <c r="O73" s="376">
        <f>IFERROR(VLOOKUP(C73,'تقرير المصروفات حسب الشهر'!$C$1397:$AD$1512,7,FALSE),0)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الشهر'!$C$10:$AD$119,7,FALSE),0)</f>
        <v>0</v>
      </c>
      <c r="E74" s="362">
        <f>IFERROR(VLOOKUP(C74,'تقرير المصروفات حسب الشهر'!$C$135:$AD$244,7,FALSE),0)</f>
        <v>0</v>
      </c>
      <c r="F74" s="362">
        <v>0</v>
      </c>
      <c r="G74" s="362">
        <f>IFERROR(VLOOKUP(C74,'تقرير المصروفات حسب الشهر'!$C$387:$AD$495,7,FALSE),0)</f>
        <v>0</v>
      </c>
      <c r="H74" s="362">
        <f>IFERROR(VLOOKUP(C74,'تقرير المصروفات حسب الشهر'!$C$512:$AD$620,7,FALSE),0)</f>
        <v>0</v>
      </c>
      <c r="I74" s="362">
        <f>IFERROR(VLOOKUP(C74,'تقرير المصروفات حسب الشهر'!$C$637:$AD$746,7,FALSE),0)</f>
        <v>0</v>
      </c>
      <c r="J74" s="362">
        <f>IFERROR(VLOOKUP(C74,'تقرير المصروفات حسب الشهر'!$C$763:$AD$872,7,FALSE),0)</f>
        <v>0</v>
      </c>
      <c r="K74" s="362">
        <f>IFERROR(VLOOKUP(C74,'تقرير المصروفات حسب الشهر'!$C$890:$AD$999,7,FALSE),0)</f>
        <v>0</v>
      </c>
      <c r="L74" s="362">
        <f>IFERROR(VLOOKUP(C74,'تقرير المصروفات حسب الشهر'!$C$1016:$AD$1126,7,FALSE),0)</f>
        <v>0</v>
      </c>
      <c r="M74" s="376">
        <f>IFERROR(VLOOKUP(C74,'تقرير المصروفات حسب الشهر'!$C$1143:$AD$1254,7,FALSE),0)</f>
        <v>0</v>
      </c>
      <c r="N74" s="376">
        <f>IFERROR(VLOOKUP(C74,'تقرير المصروفات حسب الشهر'!$C$1270:$AD$1381,7,FALSE),0)</f>
        <v>0</v>
      </c>
      <c r="O74" s="376">
        <f>IFERROR(VLOOKUP(C74,'تقرير المصروفات حسب الشهر'!$C$1397:$AD$1512,7,FALSE),0)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الشهر'!$C$10:$AD$119,7,FALSE),0)</f>
        <v>0</v>
      </c>
      <c r="E75" s="362">
        <f>IFERROR(VLOOKUP(C75,'تقرير المصروفات حسب الشهر'!$C$135:$AD$244,7,FALSE),0)</f>
        <v>0</v>
      </c>
      <c r="F75" s="362">
        <v>0</v>
      </c>
      <c r="G75" s="362">
        <f>IFERROR(VLOOKUP(C75,'تقرير المصروفات حسب الشهر'!$C$387:$AD$495,7,FALSE),0)</f>
        <v>0</v>
      </c>
      <c r="H75" s="362">
        <f>IFERROR(VLOOKUP(C75,'تقرير المصروفات حسب الشهر'!$C$512:$AD$620,7,FALSE),0)</f>
        <v>0</v>
      </c>
      <c r="I75" s="362">
        <f>IFERROR(VLOOKUP(C75,'تقرير المصروفات حسب الشهر'!$C$637:$AD$746,7,FALSE),0)</f>
        <v>0</v>
      </c>
      <c r="J75" s="362">
        <f>IFERROR(VLOOKUP(C75,'تقرير المصروفات حسب الشهر'!$C$763:$AD$872,7,FALSE),0)</f>
        <v>0</v>
      </c>
      <c r="K75" s="362">
        <f>IFERROR(VLOOKUP(C75,'تقرير المصروفات حسب الشهر'!$C$890:$AD$999,7,FALSE),0)</f>
        <v>0</v>
      </c>
      <c r="L75" s="362">
        <f>IFERROR(VLOOKUP(C75,'تقرير المصروفات حسب الشهر'!$C$1016:$AD$1126,7,FALSE),0)</f>
        <v>0</v>
      </c>
      <c r="M75" s="376">
        <f>IFERROR(VLOOKUP(C75,'تقرير المصروفات حسب الشهر'!$C$1143:$AD$1254,7,FALSE),0)</f>
        <v>0</v>
      </c>
      <c r="N75" s="376">
        <f>IFERROR(VLOOKUP(C75,'تقرير المصروفات حسب الشهر'!$C$1270:$AD$1381,7,FALSE),0)</f>
        <v>0</v>
      </c>
      <c r="O75" s="376">
        <f>IFERROR(VLOOKUP(C75,'تقرير المصروفات حسب الشهر'!$C$1397:$AD$1512,7,FALSE),0)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الشهر'!$C$10:$AD$119,7,FALSE),0)</f>
        <v>0</v>
      </c>
      <c r="E76" s="362">
        <f>IFERROR(VLOOKUP(C76,'تقرير المصروفات حسب الشهر'!$C$135:$AD$244,7,FALSE),0)</f>
        <v>0</v>
      </c>
      <c r="F76" s="362">
        <v>0</v>
      </c>
      <c r="G76" s="362">
        <f>IFERROR(VLOOKUP(C76,'تقرير المصروفات حسب الشهر'!$C$387:$AD$495,7,FALSE),0)</f>
        <v>0</v>
      </c>
      <c r="H76" s="362">
        <f>IFERROR(VLOOKUP(C76,'تقرير المصروفات حسب الشهر'!$C$512:$AD$620,7,FALSE),0)</f>
        <v>0</v>
      </c>
      <c r="I76" s="362">
        <f>IFERROR(VLOOKUP(C76,'تقرير المصروفات حسب الشهر'!$C$637:$AD$746,7,FALSE),0)</f>
        <v>0</v>
      </c>
      <c r="J76" s="362">
        <f>IFERROR(VLOOKUP(C76,'تقرير المصروفات حسب الشهر'!$C$763:$AD$872,7,FALSE),0)</f>
        <v>0</v>
      </c>
      <c r="K76" s="362">
        <f>IFERROR(VLOOKUP(C76,'تقرير المصروفات حسب الشهر'!$C$890:$AD$999,7,FALSE),0)</f>
        <v>0</v>
      </c>
      <c r="L76" s="362">
        <f>IFERROR(VLOOKUP(C76,'تقرير المصروفات حسب الشهر'!$C$1016:$AD$1126,7,FALSE),0)</f>
        <v>0</v>
      </c>
      <c r="M76" s="376">
        <f>IFERROR(VLOOKUP(C76,'تقرير المصروفات حسب الشهر'!$C$1143:$AD$1254,7,FALSE),0)</f>
        <v>0</v>
      </c>
      <c r="N76" s="376">
        <f>IFERROR(VLOOKUP(C76,'تقرير المصروفات حسب الشهر'!$C$1270:$AD$1381,7,FALSE),0)</f>
        <v>0</v>
      </c>
      <c r="O76" s="376">
        <f>IFERROR(VLOOKUP(C76,'تقرير المصروفات حسب الشهر'!$C$1397:$AD$1512,7,FALSE),0)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الشهر'!$C$10:$AD$119,7,FALSE),0)</f>
        <v>0</v>
      </c>
      <c r="E77" s="362">
        <f>IFERROR(VLOOKUP(C77,'تقرير المصروفات حسب الشهر'!$C$135:$AD$244,7,FALSE),0)</f>
        <v>0</v>
      </c>
      <c r="F77" s="362">
        <v>0</v>
      </c>
      <c r="G77" s="362">
        <f>IFERROR(VLOOKUP(C77,'تقرير المصروفات حسب الشهر'!$C$387:$AD$495,7,FALSE),0)</f>
        <v>0</v>
      </c>
      <c r="H77" s="362">
        <f>IFERROR(VLOOKUP(C77,'تقرير المصروفات حسب الشهر'!$C$512:$AD$620,7,FALSE),0)</f>
        <v>0</v>
      </c>
      <c r="I77" s="362">
        <f>IFERROR(VLOOKUP(C77,'تقرير المصروفات حسب الشهر'!$C$637:$AD$746,7,FALSE),0)</f>
        <v>0</v>
      </c>
      <c r="J77" s="362">
        <f>IFERROR(VLOOKUP(C77,'تقرير المصروفات حسب الشهر'!$C$763:$AD$872,7,FALSE),0)</f>
        <v>0</v>
      </c>
      <c r="K77" s="362">
        <f>IFERROR(VLOOKUP(C77,'تقرير المصروفات حسب الشهر'!$C$890:$AD$999,7,FALSE),0)</f>
        <v>0</v>
      </c>
      <c r="L77" s="362">
        <f>IFERROR(VLOOKUP(C77,'تقرير المصروفات حسب الشهر'!$C$1016:$AD$1126,7,FALSE),0)</f>
        <v>0</v>
      </c>
      <c r="M77" s="376">
        <f>IFERROR(VLOOKUP(C77,'تقرير المصروفات حسب الشهر'!$C$1143:$AD$1254,7,FALSE),0)</f>
        <v>0</v>
      </c>
      <c r="N77" s="376">
        <f>IFERROR(VLOOKUP(C77,'تقرير المصروفات حسب الشهر'!$C$1270:$AD$1381,7,FALSE),0)</f>
        <v>0</v>
      </c>
      <c r="O77" s="376">
        <f>IFERROR(VLOOKUP(C77,'تقرير المصروفات حسب الشهر'!$C$1397:$AD$1512,7,FALSE),0)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الشهر'!$C$10:$AD$119,7,FALSE),0)</f>
        <v>0</v>
      </c>
      <c r="E78" s="362">
        <f>IFERROR(VLOOKUP(C78,'تقرير المصروفات حسب الشهر'!$C$135:$AD$244,7,FALSE),0)</f>
        <v>0</v>
      </c>
      <c r="F78" s="362">
        <v>0</v>
      </c>
      <c r="G78" s="362">
        <f>IFERROR(VLOOKUP(C78,'تقرير المصروفات حسب الشهر'!$C$387:$AD$495,7,FALSE),0)</f>
        <v>0</v>
      </c>
      <c r="H78" s="362">
        <f>IFERROR(VLOOKUP(C78,'تقرير المصروفات حسب الشهر'!$C$512:$AD$620,7,FALSE),0)</f>
        <v>0</v>
      </c>
      <c r="I78" s="362">
        <f>IFERROR(VLOOKUP(C78,'تقرير المصروفات حسب الشهر'!$C$637:$AD$746,7,FALSE),0)</f>
        <v>0</v>
      </c>
      <c r="J78" s="362">
        <f>IFERROR(VLOOKUP(C78,'تقرير المصروفات حسب الشهر'!$C$763:$AD$872,7,FALSE),0)</f>
        <v>0</v>
      </c>
      <c r="K78" s="362">
        <f>IFERROR(VLOOKUP(C78,'تقرير المصروفات حسب الشهر'!$C$890:$AD$999,7,FALSE),0)</f>
        <v>0</v>
      </c>
      <c r="L78" s="362">
        <f>IFERROR(VLOOKUP(C78,'تقرير المصروفات حسب الشهر'!$C$1016:$AD$1126,7,FALSE),0)</f>
        <v>0</v>
      </c>
      <c r="M78" s="376">
        <f>IFERROR(VLOOKUP(C78,'تقرير المصروفات حسب الشهر'!$C$1143:$AD$1254,7,FALSE),0)</f>
        <v>0</v>
      </c>
      <c r="N78" s="376">
        <f>IFERROR(VLOOKUP(C78,'تقرير المصروفات حسب الشهر'!$C$1270:$AD$1381,7,FALSE),0)</f>
        <v>0</v>
      </c>
      <c r="O78" s="376">
        <f>IFERROR(VLOOKUP(C78,'تقرير المصروفات حسب الشهر'!$C$1397:$AD$1512,7,FALSE),0)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الشهر'!$C$10:$AD$119,7,FALSE),0)</f>
        <v>0</v>
      </c>
      <c r="E79" s="362">
        <f>IFERROR(VLOOKUP(C79,'تقرير المصروفات حسب الشهر'!$C$135:$AD$244,7,FALSE),0)</f>
        <v>0</v>
      </c>
      <c r="F79" s="362">
        <v>0</v>
      </c>
      <c r="G79" s="362">
        <f>IFERROR(VLOOKUP(C79,'تقرير المصروفات حسب الشهر'!$C$387:$AD$495,7,FALSE),0)</f>
        <v>0</v>
      </c>
      <c r="H79" s="362">
        <f>IFERROR(VLOOKUP(C79,'تقرير المصروفات حسب الشهر'!$C$512:$AD$620,7,FALSE),0)</f>
        <v>0</v>
      </c>
      <c r="I79" s="362">
        <f>IFERROR(VLOOKUP(C79,'تقرير المصروفات حسب الشهر'!$C$637:$AD$746,7,FALSE),0)</f>
        <v>0</v>
      </c>
      <c r="J79" s="362">
        <f>IFERROR(VLOOKUP(C79,'تقرير المصروفات حسب الشهر'!$C$763:$AD$872,7,FALSE),0)</f>
        <v>0</v>
      </c>
      <c r="K79" s="362">
        <f>IFERROR(VLOOKUP(C79,'تقرير المصروفات حسب الشهر'!$C$890:$AD$999,7,FALSE),0)</f>
        <v>0</v>
      </c>
      <c r="L79" s="362">
        <f>IFERROR(VLOOKUP(C79,'تقرير المصروفات حسب الشهر'!$C$1016:$AD$1126,7,FALSE),0)</f>
        <v>0</v>
      </c>
      <c r="M79" s="376">
        <f>IFERROR(VLOOKUP(C79,'تقرير المصروفات حسب الشهر'!$C$1143:$AD$1254,7,FALSE),0)</f>
        <v>0</v>
      </c>
      <c r="N79" s="376">
        <f>IFERROR(VLOOKUP(C79,'تقرير المصروفات حسب الشهر'!$C$1270:$AD$1381,7,FALSE),0)</f>
        <v>0</v>
      </c>
      <c r="O79" s="376">
        <f>IFERROR(VLOOKUP(C79,'تقرير المصروفات حسب الشهر'!$C$1397:$AD$1512,7,FALSE),0)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الشهر'!$C$10:$AD$119,7,FALSE),0)</f>
        <v>0</v>
      </c>
      <c r="E80" s="362">
        <f>IFERROR(VLOOKUP(C80,'تقرير المصروفات حسب الشهر'!$C$135:$AD$244,7,FALSE),0)</f>
        <v>0</v>
      </c>
      <c r="F80" s="362">
        <v>0</v>
      </c>
      <c r="G80" s="362">
        <f>IFERROR(VLOOKUP(C80,'تقرير المصروفات حسب الشهر'!$C$387:$AD$495,7,FALSE),0)</f>
        <v>0</v>
      </c>
      <c r="H80" s="362">
        <f>IFERROR(VLOOKUP(C80,'تقرير المصروفات حسب الشهر'!$C$512:$AD$620,7,FALSE),0)</f>
        <v>0</v>
      </c>
      <c r="I80" s="362">
        <f>IFERROR(VLOOKUP(C80,'تقرير المصروفات حسب الشهر'!$C$637:$AD$746,7,FALSE),0)</f>
        <v>0</v>
      </c>
      <c r="J80" s="362">
        <f>IFERROR(VLOOKUP(C80,'تقرير المصروفات حسب الشهر'!$C$763:$AD$872,7,FALSE),0)</f>
        <v>0</v>
      </c>
      <c r="K80" s="362">
        <f>IFERROR(VLOOKUP(C80,'تقرير المصروفات حسب الشهر'!$C$890:$AD$999,7,FALSE),0)</f>
        <v>0</v>
      </c>
      <c r="L80" s="362">
        <f>IFERROR(VLOOKUP(C80,'تقرير المصروفات حسب الشهر'!$C$1016:$AD$1126,7,FALSE),0)</f>
        <v>0</v>
      </c>
      <c r="M80" s="376">
        <f>IFERROR(VLOOKUP(C80,'تقرير المصروفات حسب الشهر'!$C$1143:$AD$1254,7,FALSE),0)</f>
        <v>0</v>
      </c>
      <c r="N80" s="376">
        <f>IFERROR(VLOOKUP(C80,'تقرير المصروفات حسب الشهر'!$C$1270:$AD$1381,7,FALSE),0)</f>
        <v>0</v>
      </c>
      <c r="O80" s="376">
        <f>IFERROR(VLOOKUP(C80,'تقرير المصروفات حسب الشهر'!$C$1397:$AD$1512,7,FALSE),0)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الشهر'!$C$10:$AD$119,7,FALSE),0)</f>
        <v>22776</v>
      </c>
      <c r="E81" s="362">
        <f>IFERROR(VLOOKUP(C81,'تقرير المصروفات حسب الشهر'!$C$135:$AD$244,7,FALSE),0)</f>
        <v>9792</v>
      </c>
      <c r="F81" s="362">
        <v>16600</v>
      </c>
      <c r="G81" s="362">
        <f>IFERROR(VLOOKUP(C81,'تقرير المصروفات حسب الشهر'!$C$387:$AD$495,7,FALSE),0)</f>
        <v>18482</v>
      </c>
      <c r="H81" s="362">
        <f>IFERROR(VLOOKUP(C81,'تقرير المصروفات حسب الشهر'!$C$512:$AD$620,7,FALSE),0)</f>
        <v>30100</v>
      </c>
      <c r="I81" s="362">
        <f>IFERROR(VLOOKUP(C81,'تقرير المصروفات حسب الشهر'!$C$637:$AD$746,7,FALSE),0)</f>
        <v>12792</v>
      </c>
      <c r="J81" s="362">
        <f>IFERROR(VLOOKUP(C81,'تقرير المصروفات حسب الشهر'!$C$763:$AD$872,7,FALSE),0)</f>
        <v>12000</v>
      </c>
      <c r="K81" s="362">
        <f>IFERROR(VLOOKUP(C81,'تقرير المصروفات حسب الشهر'!$C$890:$AD$999,7,FALSE),0)</f>
        <v>1185</v>
      </c>
      <c r="L81" s="362">
        <f>IFERROR(VLOOKUP(C81,'تقرير المصروفات حسب الشهر'!$C$1016:$AD$1126,7,FALSE),0)</f>
        <v>18085</v>
      </c>
      <c r="M81" s="376">
        <f>IFERROR(VLOOKUP(C81,'تقرير المصروفات حسب الشهر'!$C$1143:$AD$1254,7,FALSE),0)</f>
        <v>23085</v>
      </c>
      <c r="N81" s="376">
        <f>IFERROR(VLOOKUP(C81,'تقرير المصروفات حسب الشهر'!$C$1270:$AD$1381,7,FALSE),0)</f>
        <v>26085</v>
      </c>
      <c r="O81" s="376">
        <f>IFERROR(VLOOKUP(C81,'تقرير المصروفات حسب الشهر'!$C$1397:$AD$1512,7,FALSE),0)</f>
        <v>16684</v>
      </c>
      <c r="P81" s="364">
        <f t="shared" si="5"/>
        <v>207666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الشهر'!$C$10:$AD$119,7,FALSE),0)</f>
        <v>0</v>
      </c>
      <c r="E82" s="362">
        <f>IFERROR(VLOOKUP(C82,'تقرير المصروفات حسب الشهر'!$C$135:$AD$244,7,FALSE),0)</f>
        <v>0</v>
      </c>
      <c r="F82" s="362">
        <v>0</v>
      </c>
      <c r="G82" s="362">
        <f>IFERROR(VLOOKUP(C82,'تقرير المصروفات حسب الشهر'!$C$387:$AD$495,7,FALSE),0)</f>
        <v>0</v>
      </c>
      <c r="H82" s="362">
        <f>IFERROR(VLOOKUP(C82,'تقرير المصروفات حسب الشهر'!$C$512:$AD$620,7,FALSE),0)</f>
        <v>0</v>
      </c>
      <c r="I82" s="362">
        <f>IFERROR(VLOOKUP(C82,'تقرير المصروفات حسب الشهر'!$C$637:$AD$746,7,FALSE),0)</f>
        <v>0</v>
      </c>
      <c r="J82" s="362">
        <f>IFERROR(VLOOKUP(C82,'تقرير المصروفات حسب الشهر'!$C$763:$AD$872,7,FALSE),0)</f>
        <v>0</v>
      </c>
      <c r="K82" s="362">
        <f>IFERROR(VLOOKUP(C82,'تقرير المصروفات حسب الشهر'!$C$890:$AD$999,7,FALSE),0)</f>
        <v>0</v>
      </c>
      <c r="L82" s="362">
        <f>IFERROR(VLOOKUP(C82,'تقرير المصروفات حسب الشهر'!$C$1016:$AD$1126,7,FALSE),0)</f>
        <v>0</v>
      </c>
      <c r="M82" s="376">
        <f>IFERROR(VLOOKUP(C82,'تقرير المصروفات حسب الشهر'!$C$1143:$AD$1254,7,FALSE),0)</f>
        <v>0</v>
      </c>
      <c r="N82" s="376">
        <f>IFERROR(VLOOKUP(C82,'تقرير المصروفات حسب الشهر'!$C$1270:$AD$1381,7,FALSE),0)</f>
        <v>0</v>
      </c>
      <c r="O82" s="376">
        <f>IFERROR(VLOOKUP(C82,'تقرير المصروفات حسب الشهر'!$C$1397:$AD$1512,7,FALSE),0)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الشهر'!$C$10:$AD$119,7,FALSE),0)</f>
        <v>0</v>
      </c>
      <c r="E83" s="362">
        <f>IFERROR(VLOOKUP(C83,'تقرير المصروفات حسب الشهر'!$C$135:$AD$244,7,FALSE),0)</f>
        <v>0</v>
      </c>
      <c r="F83" s="362">
        <v>0</v>
      </c>
      <c r="G83" s="362">
        <f>IFERROR(VLOOKUP(C83,'تقرير المصروفات حسب الشهر'!$C$387:$AD$495,7,FALSE),0)</f>
        <v>0</v>
      </c>
      <c r="H83" s="362">
        <f>IFERROR(VLOOKUP(C83,'تقرير المصروفات حسب الشهر'!$C$512:$AD$620,7,FALSE),0)</f>
        <v>0</v>
      </c>
      <c r="I83" s="362">
        <f>IFERROR(VLOOKUP(C83,'تقرير المصروفات حسب الشهر'!$C$637:$AD$746,7,FALSE),0)</f>
        <v>0</v>
      </c>
      <c r="J83" s="362">
        <f>IFERROR(VLOOKUP(C83,'تقرير المصروفات حسب الشهر'!$C$763:$AD$872,7,FALSE),0)</f>
        <v>440</v>
      </c>
      <c r="K83" s="362">
        <f>IFERROR(VLOOKUP(C83,'تقرير المصروفات حسب الشهر'!$C$890:$AD$999,7,FALSE),0)</f>
        <v>0</v>
      </c>
      <c r="L83" s="362">
        <f>IFERROR(VLOOKUP(C83,'تقرير المصروفات حسب الشهر'!$C$1016:$AD$1126,7,FALSE),0)</f>
        <v>0</v>
      </c>
      <c r="M83" s="376">
        <f>IFERROR(VLOOKUP(C83,'تقرير المصروفات حسب الشهر'!$C$1143:$AD$1254,7,FALSE),0)</f>
        <v>1200</v>
      </c>
      <c r="N83" s="376">
        <f>IFERROR(VLOOKUP(C83,'تقرير المصروفات حسب الشهر'!$C$1270:$AD$1381,7,FALSE),0)</f>
        <v>0</v>
      </c>
      <c r="O83" s="376">
        <f>IFERROR(VLOOKUP(C83,'تقرير المصروفات حسب الشهر'!$C$1397:$AD$1512,7,FALSE),0)</f>
        <v>1750</v>
      </c>
      <c r="P83" s="364">
        <f t="shared" si="5"/>
        <v>3390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الشهر'!$C$10:$AD$119,7,FALSE),0)</f>
        <v>0</v>
      </c>
      <c r="E84" s="362">
        <f>IFERROR(VLOOKUP(C84,'تقرير المصروفات حسب الشهر'!$C$135:$AD$244,7,FALSE),0)</f>
        <v>0</v>
      </c>
      <c r="F84" s="362">
        <v>0</v>
      </c>
      <c r="G84" s="362">
        <f>IFERROR(VLOOKUP(C84,'تقرير المصروفات حسب الشهر'!$C$387:$AD$495,7,FALSE),0)</f>
        <v>0</v>
      </c>
      <c r="H84" s="362">
        <f>IFERROR(VLOOKUP(C84,'تقرير المصروفات حسب الشهر'!$C$512:$AD$620,7,FALSE),0)</f>
        <v>0</v>
      </c>
      <c r="I84" s="362">
        <f>IFERROR(VLOOKUP(C84,'تقرير المصروفات حسب الشهر'!$C$637:$AD$746,7,FALSE),0)</f>
        <v>0</v>
      </c>
      <c r="J84" s="362">
        <f>IFERROR(VLOOKUP(C84,'تقرير المصروفات حسب الشهر'!$C$763:$AD$872,7,FALSE),0)</f>
        <v>0</v>
      </c>
      <c r="K84" s="362">
        <f>IFERROR(VLOOKUP(C84,'تقرير المصروفات حسب الشهر'!$C$890:$AD$999,7,FALSE),0)</f>
        <v>0</v>
      </c>
      <c r="L84" s="362">
        <f>IFERROR(VLOOKUP(C84,'تقرير المصروفات حسب الشهر'!$C$1016:$AD$1126,7,FALSE),0)</f>
        <v>0</v>
      </c>
      <c r="M84" s="376">
        <f>IFERROR(VLOOKUP(C84,'تقرير المصروفات حسب الشهر'!$C$1143:$AD$1254,7,FALSE),0)</f>
        <v>0</v>
      </c>
      <c r="N84" s="376">
        <f>IFERROR(VLOOKUP(C84,'تقرير المصروفات حسب الشهر'!$C$1270:$AD$1381,7,FALSE),0)</f>
        <v>0</v>
      </c>
      <c r="O84" s="376">
        <f>IFERROR(VLOOKUP(C84,'تقرير المصروفات حسب الشهر'!$C$1397:$AD$1512,7,FALSE),0)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الشهر'!$C$10:$AD$119,7,FALSE),0)</f>
        <v>0</v>
      </c>
      <c r="E85" s="362">
        <f>IFERROR(VLOOKUP(C85,'تقرير المصروفات حسب الشهر'!$C$135:$AD$244,7,FALSE),0)</f>
        <v>0</v>
      </c>
      <c r="F85" s="362">
        <v>0</v>
      </c>
      <c r="G85" s="362">
        <f>IFERROR(VLOOKUP(C85,'تقرير المصروفات حسب الشهر'!$C$387:$AD$495,7,FALSE),0)</f>
        <v>0</v>
      </c>
      <c r="H85" s="362">
        <f>IFERROR(VLOOKUP(C85,'تقرير المصروفات حسب الشهر'!$C$512:$AD$620,7,FALSE),0)</f>
        <v>0</v>
      </c>
      <c r="I85" s="362">
        <f>IFERROR(VLOOKUP(C85,'تقرير المصروفات حسب الشهر'!$C$637:$AD$746,7,FALSE),0)</f>
        <v>0</v>
      </c>
      <c r="J85" s="362">
        <f>IFERROR(VLOOKUP(C85,'تقرير المصروفات حسب الشهر'!$C$763:$AD$872,7,FALSE),0)</f>
        <v>0</v>
      </c>
      <c r="K85" s="362">
        <f>IFERROR(VLOOKUP(C85,'تقرير المصروفات حسب الشهر'!$C$890:$AD$999,7,FALSE),0)</f>
        <v>0</v>
      </c>
      <c r="L85" s="362">
        <f>IFERROR(VLOOKUP(C85,'تقرير المصروفات حسب الشهر'!$C$1016:$AD$1126,7,FALSE),0)</f>
        <v>0</v>
      </c>
      <c r="M85" s="376">
        <f>IFERROR(VLOOKUP(C85,'تقرير المصروفات حسب الشهر'!$C$1143:$AD$1254,7,FALSE),0)</f>
        <v>0</v>
      </c>
      <c r="N85" s="376">
        <f>IFERROR(VLOOKUP(C85,'تقرير المصروفات حسب الشهر'!$C$1270:$AD$1381,7,FALSE),0)</f>
        <v>0</v>
      </c>
      <c r="O85" s="376">
        <f>IFERROR(VLOOKUP(C85,'تقرير المصروفات حسب الشهر'!$C$1397:$AD$1512,7,FALSE),0)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الشهر'!$C$10:$AD$119,7,FALSE),0)</f>
        <v>1735</v>
      </c>
      <c r="E86" s="362">
        <f>IFERROR(VLOOKUP(C86,'تقرير المصروفات حسب الشهر'!$C$135:$AD$244,7,FALSE),0)</f>
        <v>1959.65</v>
      </c>
      <c r="F86" s="362">
        <v>0</v>
      </c>
      <c r="G86" s="362">
        <f>IFERROR(VLOOKUP(C86,'تقرير المصروفات حسب الشهر'!$C$387:$AD$495,7,FALSE),0)</f>
        <v>653</v>
      </c>
      <c r="H86" s="362">
        <f>IFERROR(VLOOKUP(C86,'تقرير المصروفات حسب الشهر'!$C$512:$AD$620,7,FALSE),0)</f>
        <v>0</v>
      </c>
      <c r="I86" s="362">
        <f>IFERROR(VLOOKUP(C86,'تقرير المصروفات حسب الشهر'!$C$637:$AD$746,7,FALSE),0)</f>
        <v>0</v>
      </c>
      <c r="J86" s="362">
        <f>IFERROR(VLOOKUP(C86,'تقرير المصروفات حسب الشهر'!$C$763:$AD$872,7,FALSE),0)</f>
        <v>979</v>
      </c>
      <c r="K86" s="362">
        <f>IFERROR(VLOOKUP(C86,'تقرير المصروفات حسب الشهر'!$C$890:$AD$999,7,FALSE),0)</f>
        <v>0</v>
      </c>
      <c r="L86" s="362">
        <f>IFERROR(VLOOKUP(C86,'تقرير المصروفات حسب الشهر'!$C$1016:$AD$1126,7,FALSE),0)</f>
        <v>1921</v>
      </c>
      <c r="M86" s="376">
        <f>IFERROR(VLOOKUP(C86,'تقرير المصروفات حسب الشهر'!$C$1143:$AD$1254,7,FALSE),0)</f>
        <v>1000</v>
      </c>
      <c r="N86" s="376">
        <f>IFERROR(VLOOKUP(C86,'تقرير المصروفات حسب الشهر'!$C$1270:$AD$1381,7,FALSE),0)</f>
        <v>1105.82</v>
      </c>
      <c r="O86" s="376">
        <f>IFERROR(VLOOKUP(C86,'تقرير المصروفات حسب الشهر'!$C$1397:$AD$1512,7,FALSE),0)</f>
        <v>1220.4000000000001</v>
      </c>
      <c r="P86" s="364">
        <f t="shared" si="5"/>
        <v>10573.869999999999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الشهر'!$C$10:$AD$119,7,FALSE),0)</f>
        <v>0</v>
      </c>
      <c r="E87" s="362">
        <f>IFERROR(VLOOKUP(C87,'تقرير المصروفات حسب الشهر'!$C$135:$AD$244,7,FALSE),0)</f>
        <v>0</v>
      </c>
      <c r="F87" s="362">
        <v>0</v>
      </c>
      <c r="G87" s="362">
        <f>IFERROR(VLOOKUP(C87,'تقرير المصروفات حسب الشهر'!$C$387:$AD$495,7,FALSE),0)</f>
        <v>0</v>
      </c>
      <c r="H87" s="362">
        <f>IFERROR(VLOOKUP(C87,'تقرير المصروفات حسب الشهر'!$C$512:$AD$620,7,FALSE),0)</f>
        <v>0</v>
      </c>
      <c r="I87" s="362">
        <f>IFERROR(VLOOKUP(C87,'تقرير المصروفات حسب الشهر'!$C$637:$AD$746,7,FALSE),0)</f>
        <v>0</v>
      </c>
      <c r="J87" s="362">
        <f>IFERROR(VLOOKUP(C87,'تقرير المصروفات حسب الشهر'!$C$763:$AD$872,7,FALSE),0)</f>
        <v>0</v>
      </c>
      <c r="K87" s="362">
        <f>IFERROR(VLOOKUP(C87,'تقرير المصروفات حسب الشهر'!$C$890:$AD$999,7,FALSE),0)</f>
        <v>0</v>
      </c>
      <c r="L87" s="362">
        <f>IFERROR(VLOOKUP(C87,'تقرير المصروفات حسب الشهر'!$C$1016:$AD$1126,7,FALSE),0)</f>
        <v>0</v>
      </c>
      <c r="M87" s="376">
        <f>IFERROR(VLOOKUP(C87,'تقرير المصروفات حسب الشهر'!$C$1143:$AD$1254,7,FALSE),0)</f>
        <v>0</v>
      </c>
      <c r="N87" s="376">
        <f>IFERROR(VLOOKUP(C87,'تقرير المصروفات حسب الشهر'!$C$1270:$AD$1381,7,FALSE),0)</f>
        <v>0</v>
      </c>
      <c r="O87" s="376">
        <f>IFERROR(VLOOKUP(C87,'تقرير المصروفات حسب الشهر'!$C$1397:$AD$1512,7,FALSE),0)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الشهر'!$C$10:$AD$119,7,FALSE),0)</f>
        <v>0</v>
      </c>
      <c r="E88" s="362">
        <f>IFERROR(VLOOKUP(C88,'تقرير المصروفات حسب الشهر'!$C$135:$AD$244,7,FALSE),0)</f>
        <v>0</v>
      </c>
      <c r="F88" s="362">
        <v>0</v>
      </c>
      <c r="G88" s="362">
        <f>IFERROR(VLOOKUP(C88,'تقرير المصروفات حسب الشهر'!$C$387:$AD$495,7,FALSE),0)</f>
        <v>0</v>
      </c>
      <c r="H88" s="362">
        <f>IFERROR(VLOOKUP(C88,'تقرير المصروفات حسب الشهر'!$C$512:$AD$620,7,FALSE),0)</f>
        <v>333</v>
      </c>
      <c r="I88" s="362">
        <f>IFERROR(VLOOKUP(C88,'تقرير المصروفات حسب الشهر'!$C$637:$AD$746,7,FALSE),0)</f>
        <v>0</v>
      </c>
      <c r="J88" s="362">
        <f>IFERROR(VLOOKUP(C88,'تقرير المصروفات حسب الشهر'!$C$763:$AD$872,7,FALSE),0)</f>
        <v>0</v>
      </c>
      <c r="K88" s="362">
        <f>IFERROR(VLOOKUP(C88,'تقرير المصروفات حسب الشهر'!$C$890:$AD$999,7,FALSE),0)</f>
        <v>0</v>
      </c>
      <c r="L88" s="362">
        <f>IFERROR(VLOOKUP(C88,'تقرير المصروفات حسب الشهر'!$C$1016:$AD$1126,7,FALSE),0)</f>
        <v>0</v>
      </c>
      <c r="M88" s="376">
        <f>IFERROR(VLOOKUP(C88,'تقرير المصروفات حسب الشهر'!$C$1143:$AD$1254,7,FALSE),0)</f>
        <v>0</v>
      </c>
      <c r="N88" s="376">
        <f>IFERROR(VLOOKUP(C88,'تقرير المصروفات حسب الشهر'!$C$1270:$AD$1381,7,FALSE),0)</f>
        <v>0</v>
      </c>
      <c r="O88" s="376">
        <f>IFERROR(VLOOKUP(C88,'تقرير المصروفات حسب الشهر'!$C$1397:$AD$1512,7,FALSE),0)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الشهر'!$C$10:$AD$119,7,FALSE),0)</f>
        <v>0</v>
      </c>
      <c r="E89" s="362">
        <f>IFERROR(VLOOKUP(C89,'تقرير المصروفات حسب الشهر'!$C$135:$AD$244,7,FALSE),0)</f>
        <v>0</v>
      </c>
      <c r="F89" s="362">
        <v>0</v>
      </c>
      <c r="G89" s="362">
        <f>IFERROR(VLOOKUP(C89,'تقرير المصروفات حسب الشهر'!$C$387:$AD$495,7,FALSE),0)</f>
        <v>0</v>
      </c>
      <c r="H89" s="362">
        <f>IFERROR(VLOOKUP(C89,'تقرير المصروفات حسب الشهر'!$C$512:$AD$620,7,FALSE),0)</f>
        <v>0</v>
      </c>
      <c r="I89" s="362">
        <f>IFERROR(VLOOKUP(C89,'تقرير المصروفات حسب الشهر'!$C$637:$AD$746,7,FALSE),0)</f>
        <v>0</v>
      </c>
      <c r="J89" s="362">
        <f>IFERROR(VLOOKUP(C89,'تقرير المصروفات حسب الشهر'!$C$763:$AD$872,7,FALSE),0)</f>
        <v>0</v>
      </c>
      <c r="K89" s="362">
        <f>IFERROR(VLOOKUP(C89,'تقرير المصروفات حسب الشهر'!$C$890:$AD$999,7,FALSE),0)</f>
        <v>0</v>
      </c>
      <c r="L89" s="362">
        <f>IFERROR(VLOOKUP(C89,'تقرير المصروفات حسب الشهر'!$C$1016:$AD$1126,7,FALSE),0)</f>
        <v>0</v>
      </c>
      <c r="M89" s="376">
        <f>IFERROR(VLOOKUP(C89,'تقرير المصروفات حسب الشهر'!$C$1143:$AD$1254,7,FALSE),0)</f>
        <v>0</v>
      </c>
      <c r="N89" s="376">
        <f>IFERROR(VLOOKUP(C89,'تقرير المصروفات حسب الشهر'!$C$1270:$AD$1381,7,FALSE),0)</f>
        <v>0</v>
      </c>
      <c r="O89" s="376">
        <f>IFERROR(VLOOKUP(C89,'تقرير المصروفات حسب الشهر'!$C$1397:$AD$1512,7,FALSE),0)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الشهر'!$C$10:$AD$119,7,FALSE),0)</f>
        <v>0</v>
      </c>
      <c r="E90" s="362">
        <f>IFERROR(VLOOKUP(C90,'تقرير المصروفات حسب الشهر'!$C$135:$AD$244,7,FALSE),0)</f>
        <v>0</v>
      </c>
      <c r="F90" s="362">
        <v>0</v>
      </c>
      <c r="G90" s="362">
        <f>IFERROR(VLOOKUP(C90,'تقرير المصروفات حسب الشهر'!$C$387:$AD$495,7,FALSE),0)</f>
        <v>0</v>
      </c>
      <c r="H90" s="362">
        <f>IFERROR(VLOOKUP(C90,'تقرير المصروفات حسب الشهر'!$C$512:$AD$620,7,FALSE),0)</f>
        <v>0</v>
      </c>
      <c r="I90" s="362">
        <f>IFERROR(VLOOKUP(C90,'تقرير المصروفات حسب الشهر'!$C$637:$AD$746,7,FALSE),0)</f>
        <v>0</v>
      </c>
      <c r="J90" s="362">
        <f>IFERROR(VLOOKUP(C90,'تقرير المصروفات حسب الشهر'!$C$763:$AD$872,7,FALSE),0)</f>
        <v>0</v>
      </c>
      <c r="K90" s="362">
        <f>IFERROR(VLOOKUP(C90,'تقرير المصروفات حسب الشهر'!$C$890:$AD$999,7,FALSE),0)</f>
        <v>0</v>
      </c>
      <c r="L90" s="362">
        <f>IFERROR(VLOOKUP(C90,'تقرير المصروفات حسب الشهر'!$C$1016:$AD$1126,7,FALSE),0)</f>
        <v>0</v>
      </c>
      <c r="M90" s="376">
        <f>IFERROR(VLOOKUP(C90,'تقرير المصروفات حسب الشهر'!$C$1143:$AD$1254,7,FALSE),0)</f>
        <v>0</v>
      </c>
      <c r="N90" s="376">
        <f>IFERROR(VLOOKUP(C90,'تقرير المصروفات حسب الشهر'!$C$1270:$AD$1381,7,FALSE),0)</f>
        <v>0</v>
      </c>
      <c r="O90" s="376">
        <f>IFERROR(VLOOKUP(C90,'تقرير المصروفات حسب الشهر'!$C$1397:$AD$1512,7,FALSE),0)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الشهر'!$C$10:$AD$119,7,FALSE),0)</f>
        <v>350</v>
      </c>
      <c r="E91" s="362">
        <f>IFERROR(VLOOKUP(C91,'تقرير المصروفات حسب الشهر'!$C$135:$AD$244,7,FALSE),0)</f>
        <v>400</v>
      </c>
      <c r="F91" s="362">
        <v>300</v>
      </c>
      <c r="G91" s="362">
        <f>IFERROR(VLOOKUP(C91,'تقرير المصروفات حسب الشهر'!$C$387:$AD$495,7,FALSE),0)</f>
        <v>450</v>
      </c>
      <c r="H91" s="362">
        <f>IFERROR(VLOOKUP(C91,'تقرير المصروفات حسب الشهر'!$C$512:$AD$620,7,FALSE),0)</f>
        <v>750</v>
      </c>
      <c r="I91" s="362">
        <f>IFERROR(VLOOKUP(C91,'تقرير المصروفات حسب الشهر'!$C$637:$AD$746,7,FALSE),0)</f>
        <v>1050</v>
      </c>
      <c r="J91" s="362">
        <f>IFERROR(VLOOKUP(C91,'تقرير المصروفات حسب الشهر'!$C$763:$AD$872,7,FALSE),0)</f>
        <v>450</v>
      </c>
      <c r="K91" s="362">
        <f>IFERROR(VLOOKUP(C91,'تقرير المصروفات حسب الشهر'!$C$890:$AD$999,7,FALSE),0)</f>
        <v>450</v>
      </c>
      <c r="L91" s="362">
        <f>IFERROR(VLOOKUP(C91,'تقرير المصروفات حسب الشهر'!$C$1016:$AD$1126,7,FALSE),0)</f>
        <v>1050</v>
      </c>
      <c r="M91" s="376">
        <f>IFERROR(VLOOKUP(C91,'تقرير المصروفات حسب الشهر'!$C$1143:$AD$1254,7,FALSE),0)</f>
        <v>750</v>
      </c>
      <c r="N91" s="376">
        <f>IFERROR(VLOOKUP(C91,'تقرير المصروفات حسب الشهر'!$C$1270:$AD$1381,7,FALSE),0)</f>
        <v>900</v>
      </c>
      <c r="O91" s="376">
        <f>IFERROR(VLOOKUP(C91,'تقرير المصروفات حسب الشهر'!$C$1397:$AD$1512,7,FALSE),0)</f>
        <v>1050</v>
      </c>
      <c r="P91" s="364">
        <f t="shared" si="6"/>
        <v>7950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الشهر'!$C$10:$AD$119,7,FALSE),0)</f>
        <v>0</v>
      </c>
      <c r="E92" s="362">
        <f>IFERROR(VLOOKUP(C92,'تقرير المصروفات حسب الشهر'!$C$135:$AD$244,7,FALSE),0)</f>
        <v>0</v>
      </c>
      <c r="F92" s="362">
        <v>0</v>
      </c>
      <c r="G92" s="362">
        <f>IFERROR(VLOOKUP(C92,'تقرير المصروفات حسب الشهر'!$C$387:$AD$495,7,FALSE),0)</f>
        <v>0</v>
      </c>
      <c r="H92" s="362">
        <f>IFERROR(VLOOKUP(C92,'تقرير المصروفات حسب الشهر'!$C$512:$AD$620,7,FALSE),0)</f>
        <v>0</v>
      </c>
      <c r="I92" s="362">
        <f>IFERROR(VLOOKUP(C92,'تقرير المصروفات حسب الشهر'!$C$637:$AD$746,7,FALSE),0)</f>
        <v>0</v>
      </c>
      <c r="J92" s="362">
        <f>IFERROR(VLOOKUP(C92,'تقرير المصروفات حسب الشهر'!$C$763:$AD$872,7,FALSE),0)</f>
        <v>0</v>
      </c>
      <c r="K92" s="362">
        <f>IFERROR(VLOOKUP(C92,'تقرير المصروفات حسب الشهر'!$C$890:$AD$999,7,FALSE),0)</f>
        <v>0</v>
      </c>
      <c r="L92" s="362">
        <f>IFERROR(VLOOKUP(C92,'تقرير المصروفات حسب الشهر'!$C$1016:$AD$1126,7,FALSE),0)</f>
        <v>0</v>
      </c>
      <c r="M92" s="376">
        <f>IFERROR(VLOOKUP(C92,'تقرير المصروفات حسب الشهر'!$C$1143:$AD$1254,7,FALSE),0)</f>
        <v>0</v>
      </c>
      <c r="N92" s="376">
        <f>IFERROR(VLOOKUP(C92,'تقرير المصروفات حسب الشهر'!$C$1270:$AD$1381,7,FALSE),0)</f>
        <v>0</v>
      </c>
      <c r="O92" s="376">
        <f>IFERROR(VLOOKUP(C92,'تقرير المصروفات حسب الشهر'!$C$1397:$AD$1512,7,FALSE),0)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الشهر'!$C$10:$AD$119,7,FALSE),0)</f>
        <v>0</v>
      </c>
      <c r="E93" s="362">
        <f>IFERROR(VLOOKUP(C93,'تقرير المصروفات حسب الشهر'!$C$135:$AD$244,7,FALSE),0)</f>
        <v>706</v>
      </c>
      <c r="F93" s="362">
        <v>0</v>
      </c>
      <c r="G93" s="362">
        <f>IFERROR(VLOOKUP(C93,'تقرير المصروفات حسب الشهر'!$C$387:$AD$495,7,FALSE),0)</f>
        <v>1243</v>
      </c>
      <c r="H93" s="362">
        <f>IFERROR(VLOOKUP(C93,'تقرير المصروفات حسب الشهر'!$C$512:$AD$620,7,FALSE),0)</f>
        <v>0</v>
      </c>
      <c r="I93" s="362">
        <f>IFERROR(VLOOKUP(C93,'تقرير المصروفات حسب الشهر'!$C$637:$AD$746,7,FALSE),0)</f>
        <v>0</v>
      </c>
      <c r="J93" s="362">
        <f>IFERROR(VLOOKUP(C93,'تقرير المصروفات حسب الشهر'!$C$763:$AD$872,7,FALSE),0)</f>
        <v>668</v>
      </c>
      <c r="K93" s="362">
        <f>IFERROR(VLOOKUP(C93,'تقرير المصروفات حسب الشهر'!$C$890:$AD$999,7,FALSE),0)</f>
        <v>0</v>
      </c>
      <c r="L93" s="362">
        <f>IFERROR(VLOOKUP(C93,'تقرير المصروفات حسب الشهر'!$C$1016:$AD$1126,7,FALSE),0)</f>
        <v>0</v>
      </c>
      <c r="M93" s="376">
        <f>IFERROR(VLOOKUP(C93,'تقرير المصروفات حسب الشهر'!$C$1143:$AD$1254,7,FALSE),0)</f>
        <v>0</v>
      </c>
      <c r="N93" s="376">
        <f>IFERROR(VLOOKUP(C93,'تقرير المصروفات حسب الشهر'!$C$1270:$AD$1381,7,FALSE),0)</f>
        <v>0</v>
      </c>
      <c r="O93" s="376">
        <f>IFERROR(VLOOKUP(C93,'تقرير المصروفات حسب الشهر'!$C$1397:$AD$1512,7,FALSE),0)</f>
        <v>0</v>
      </c>
      <c r="P93" s="364">
        <f t="shared" si="6"/>
        <v>2617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الشهر'!$C$10:$AD$119,7,FALSE),0)</f>
        <v>296.31</v>
      </c>
      <c r="E94" s="362">
        <f>IFERROR(VLOOKUP(C94,'تقرير المصروفات حسب الشهر'!$C$135:$AD$244,7,FALSE),0)</f>
        <v>296.31</v>
      </c>
      <c r="F94" s="362">
        <v>296.31</v>
      </c>
      <c r="G94" s="362">
        <f>IFERROR(VLOOKUP(C94,'تقرير المصروفات حسب الشهر'!$C$387:$AD$495,7,FALSE),0)</f>
        <v>296.31</v>
      </c>
      <c r="H94" s="362">
        <f>IFERROR(VLOOKUP(C94,'تقرير المصروفات حسب الشهر'!$C$512:$AD$620,7,FALSE),0)</f>
        <v>296.31</v>
      </c>
      <c r="I94" s="362">
        <f>IFERROR(VLOOKUP(C94,'تقرير المصروفات حسب الشهر'!$C$637:$AD$746,7,FALSE),0)</f>
        <v>296.3</v>
      </c>
      <c r="J94" s="362">
        <f>IFERROR(VLOOKUP(C94,'تقرير المصروفات حسب الشهر'!$C$763:$AD$872,7,FALSE),0)</f>
        <v>401.17</v>
      </c>
      <c r="K94" s="362">
        <f>IFERROR(VLOOKUP(C94,'تقرير المصروفات حسب الشهر'!$C$890:$AD$999,7,FALSE),0)</f>
        <v>760.96</v>
      </c>
      <c r="L94" s="362">
        <f>IFERROR(VLOOKUP(C94,'تقرير المصروفات حسب الشهر'!$C$1016:$AD$1126,7,FALSE),0)</f>
        <v>400.96</v>
      </c>
      <c r="M94" s="376">
        <f>IFERROR(VLOOKUP(C94,'تقرير المصروفات حسب الشهر'!$C$1143:$AD$1254,7,FALSE),0)</f>
        <v>400.96</v>
      </c>
      <c r="N94" s="376">
        <f>IFERROR(VLOOKUP(C94,'تقرير المصروفات حسب الشهر'!$C$1270:$AD$1381,7,FALSE),0)</f>
        <v>709.96</v>
      </c>
      <c r="O94" s="376">
        <f>IFERROR(VLOOKUP(C94,'تقرير المصروفات حسب الشهر'!$C$1397:$AD$1512,7,FALSE),0)</f>
        <v>708.96</v>
      </c>
      <c r="P94" s="364">
        <f t="shared" si="6"/>
        <v>5160.8200000000006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الشهر'!$C$10:$AD$119,7,FALSE),0)</f>
        <v>0</v>
      </c>
      <c r="E95" s="362">
        <f>IFERROR(VLOOKUP(C95,'تقرير المصروفات حسب الشهر'!$C$135:$AD$244,7,FALSE),0)</f>
        <v>0</v>
      </c>
      <c r="F95" s="362">
        <v>0</v>
      </c>
      <c r="G95" s="362">
        <f>IFERROR(VLOOKUP(C95,'تقرير المصروفات حسب الشهر'!$C$387:$AD$495,7,FALSE),0)</f>
        <v>0</v>
      </c>
      <c r="H95" s="362">
        <f>IFERROR(VLOOKUP(C95,'تقرير المصروفات حسب الشهر'!$C$512:$AD$620,7,FALSE),0)</f>
        <v>0</v>
      </c>
      <c r="I95" s="362">
        <f>IFERROR(VLOOKUP(C95,'تقرير المصروفات حسب الشهر'!$C$637:$AD$746,7,FALSE),0)</f>
        <v>0</v>
      </c>
      <c r="J95" s="362">
        <f>IFERROR(VLOOKUP(C95,'تقرير المصروفات حسب الشهر'!$C$763:$AD$872,7,FALSE),0)</f>
        <v>0</v>
      </c>
      <c r="K95" s="362">
        <f>IFERROR(VLOOKUP(C95,'تقرير المصروفات حسب الشهر'!$C$890:$AD$999,7,FALSE),0)</f>
        <v>0</v>
      </c>
      <c r="L95" s="362">
        <f>IFERROR(VLOOKUP(C95,'تقرير المصروفات حسب الشهر'!$C$1016:$AD$1126,7,FALSE),0)</f>
        <v>2130</v>
      </c>
      <c r="M95" s="376">
        <f>IFERROR(VLOOKUP(C95,'تقرير المصروفات حسب الشهر'!$C$1143:$AD$1254,7,FALSE),0)</f>
        <v>1065</v>
      </c>
      <c r="N95" s="376">
        <f>IFERROR(VLOOKUP(C95,'تقرير المصروفات حسب الشهر'!$C$1270:$AD$1381,7,FALSE),0)</f>
        <v>1065</v>
      </c>
      <c r="O95" s="376">
        <f>IFERROR(VLOOKUP(C95,'تقرير المصروفات حسب الشهر'!$C$1397:$AD$1512,7,FALSE),0)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الشهر'!$C$10:$AD$119,7,FALSE),0)</f>
        <v>0</v>
      </c>
      <c r="E96" s="362">
        <f>IFERROR(VLOOKUP(C96,'تقرير المصروفات حسب الشهر'!$C$135:$AD$244,7,FALSE),0)</f>
        <v>0</v>
      </c>
      <c r="F96" s="362">
        <v>0</v>
      </c>
      <c r="G96" s="362">
        <f>IFERROR(VLOOKUP(C96,'تقرير المصروفات حسب الشهر'!$C$387:$AD$495,7,FALSE),0)</f>
        <v>0</v>
      </c>
      <c r="H96" s="362">
        <f>IFERROR(VLOOKUP(C96,'تقرير المصروفات حسب الشهر'!$C$512:$AD$620,7,FALSE),0)</f>
        <v>0</v>
      </c>
      <c r="I96" s="362">
        <f>IFERROR(VLOOKUP(C96,'تقرير المصروفات حسب الشهر'!$C$637:$AD$746,7,FALSE),0)</f>
        <v>0</v>
      </c>
      <c r="J96" s="362">
        <f>IFERROR(VLOOKUP(C96,'تقرير المصروفات حسب الشهر'!$C$763:$AD$872,7,FALSE),0)</f>
        <v>0</v>
      </c>
      <c r="K96" s="362">
        <f>IFERROR(VLOOKUP(C96,'تقرير المصروفات حسب الشهر'!$C$890:$AD$999,7,FALSE),0)</f>
        <v>0</v>
      </c>
      <c r="L96" s="362">
        <f>IFERROR(VLOOKUP(C96,'تقرير المصروفات حسب الشهر'!$C$1016:$AD$1126,7,FALSE),0)</f>
        <v>0</v>
      </c>
      <c r="M96" s="376">
        <f>IFERROR(VLOOKUP(C96,'تقرير المصروفات حسب الشهر'!$C$1143:$AD$1254,7,FALSE),0)</f>
        <v>0</v>
      </c>
      <c r="N96" s="376">
        <f>IFERROR(VLOOKUP(C96,'تقرير المصروفات حسب الشهر'!$C$1270:$AD$1381,7,FALSE),0)</f>
        <v>0</v>
      </c>
      <c r="O96" s="376">
        <f>IFERROR(VLOOKUP(C96,'تقرير المصروفات حسب الشهر'!$C$1397:$AD$1512,7,FALSE),0)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الشهر'!$C$10:$AD$119,7,FALSE),0)</f>
        <v>0</v>
      </c>
      <c r="E97" s="362">
        <f>IFERROR(VLOOKUP(C97,'تقرير المصروفات حسب الشهر'!$C$135:$AD$244,7,FALSE),0)</f>
        <v>0</v>
      </c>
      <c r="F97" s="362">
        <v>0</v>
      </c>
      <c r="G97" s="362">
        <f>IFERROR(VLOOKUP(C97,'تقرير المصروفات حسب الشهر'!$C$387:$AD$495,7,FALSE),0)</f>
        <v>0</v>
      </c>
      <c r="H97" s="362">
        <f>IFERROR(VLOOKUP(C97,'تقرير المصروفات حسب الشهر'!$C$512:$AD$620,7,FALSE),0)</f>
        <v>0</v>
      </c>
      <c r="I97" s="362">
        <f>IFERROR(VLOOKUP(C97,'تقرير المصروفات حسب الشهر'!$C$637:$AD$746,7,FALSE),0)</f>
        <v>0</v>
      </c>
      <c r="J97" s="362">
        <f>IFERROR(VLOOKUP(C97,'تقرير المصروفات حسب الشهر'!$C$763:$AD$872,7,FALSE),0)</f>
        <v>0</v>
      </c>
      <c r="K97" s="362">
        <f>IFERROR(VLOOKUP(C97,'تقرير المصروفات حسب الشهر'!$C$890:$AD$999,7,FALSE),0)</f>
        <v>0</v>
      </c>
      <c r="L97" s="362">
        <f>IFERROR(VLOOKUP(C97,'تقرير المصروفات حسب الشهر'!$C$1016:$AD$1126,7,FALSE),0)</f>
        <v>0</v>
      </c>
      <c r="M97" s="376">
        <f>IFERROR(VLOOKUP(C97,'تقرير المصروفات حسب الشهر'!$C$1143:$AD$1254,7,FALSE),0)</f>
        <v>0</v>
      </c>
      <c r="N97" s="376">
        <f>IFERROR(VLOOKUP(C97,'تقرير المصروفات حسب الشهر'!$C$1270:$AD$1381,7,FALSE),0)</f>
        <v>0</v>
      </c>
      <c r="O97" s="376">
        <f>IFERROR(VLOOKUP(C97,'تقرير المصروفات حسب الشهر'!$C$1397:$AD$1512,7,FALSE),0)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الشهر'!$C$10:$AD$119,7,FALSE),0)</f>
        <v>13.58</v>
      </c>
      <c r="E98" s="362">
        <f>IFERROR(VLOOKUP(C98,'تقرير المصروفات حسب الشهر'!$C$135:$AD$244,7,FALSE),0)</f>
        <v>13.58</v>
      </c>
      <c r="F98" s="362">
        <v>13.58</v>
      </c>
      <c r="G98" s="362">
        <f>IFERROR(VLOOKUP(C98,'تقرير المصروفات حسب الشهر'!$C$387:$AD$495,7,FALSE),0)</f>
        <v>13.58</v>
      </c>
      <c r="H98" s="362">
        <f>IFERROR(VLOOKUP(C98,'تقرير المصروفات حسب الشهر'!$C$512:$AD$620,7,FALSE),0)</f>
        <v>0</v>
      </c>
      <c r="I98" s="362">
        <f>IFERROR(VLOOKUP(C98,'تقرير المصروفات حسب الشهر'!$C$637:$AD$746,7,FALSE),0)</f>
        <v>0</v>
      </c>
      <c r="J98" s="362">
        <f>IFERROR(VLOOKUP(C98,'تقرير المصروفات حسب الشهر'!$C$763:$AD$872,7,FALSE),0)</f>
        <v>0</v>
      </c>
      <c r="K98" s="362">
        <f>IFERROR(VLOOKUP(C98,'تقرير المصروفات حسب الشهر'!$C$890:$AD$999,7,FALSE),0)</f>
        <v>0</v>
      </c>
      <c r="L98" s="362">
        <f>IFERROR(VLOOKUP(C98,'تقرير المصروفات حسب الشهر'!$C$1016:$AD$1126,7,FALSE),0)</f>
        <v>0</v>
      </c>
      <c r="M98" s="376">
        <f>IFERROR(VLOOKUP(C98,'تقرير المصروفات حسب الشهر'!$C$1143:$AD$1254,7,FALSE),0)</f>
        <v>0</v>
      </c>
      <c r="N98" s="376">
        <f>IFERROR(VLOOKUP(C98,'تقرير المصروفات حسب الشهر'!$C$1270:$AD$1381,7,FALSE),0)</f>
        <v>0</v>
      </c>
      <c r="O98" s="376">
        <f>IFERROR(VLOOKUP(C98,'تقرير المصروفات حسب الشهر'!$C$1397:$AD$1512,7,FALSE),0)</f>
        <v>0</v>
      </c>
      <c r="P98" s="364">
        <f t="shared" si="6"/>
        <v>54.32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الشهر'!$C$10:$AD$119,7,FALSE),0)</f>
        <v>0</v>
      </c>
      <c r="E99" s="362">
        <f>IFERROR(VLOOKUP(C99,'تقرير المصروفات حسب الشهر'!$C$135:$AD$244,7,FALSE),0)</f>
        <v>0</v>
      </c>
      <c r="F99" s="362">
        <v>0</v>
      </c>
      <c r="G99" s="362">
        <f>IFERROR(VLOOKUP(C99,'تقرير المصروفات حسب الشهر'!$C$387:$AD$495,7,FALSE),0)</f>
        <v>0</v>
      </c>
      <c r="H99" s="362">
        <f>IFERROR(VLOOKUP(C99,'تقرير المصروفات حسب الشهر'!$C$512:$AD$620,7,FALSE),0)</f>
        <v>0</v>
      </c>
      <c r="I99" s="362">
        <f>IFERROR(VLOOKUP(C99,'تقرير المصروفات حسب الشهر'!$C$637:$AD$746,7,FALSE),0)</f>
        <v>0</v>
      </c>
      <c r="J99" s="362">
        <f>IFERROR(VLOOKUP(C99,'تقرير المصروفات حسب الشهر'!$C$763:$AD$872,7,FALSE),0)</f>
        <v>0</v>
      </c>
      <c r="K99" s="362">
        <f>IFERROR(VLOOKUP(C99,'تقرير المصروفات حسب الشهر'!$C$890:$AD$999,7,FALSE),0)</f>
        <v>0</v>
      </c>
      <c r="L99" s="362">
        <f>IFERROR(VLOOKUP(C99,'تقرير المصروفات حسب الشهر'!$C$1016:$AD$1126,7,FALSE),0)</f>
        <v>0</v>
      </c>
      <c r="M99" s="376">
        <f>IFERROR(VLOOKUP(C99,'تقرير المصروفات حسب الشهر'!$C$1143:$AD$1254,7,FALSE),0)</f>
        <v>0</v>
      </c>
      <c r="N99" s="376">
        <f>IFERROR(VLOOKUP(C99,'تقرير المصروفات حسب الشهر'!$C$1270:$AD$1381,7,FALSE),0)</f>
        <v>0</v>
      </c>
      <c r="O99" s="376">
        <f>IFERROR(VLOOKUP(C99,'تقرير المصروفات حسب الشهر'!$C$1397:$AD$1512,7,FALSE),0)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الشهر'!$C$10:$AD$119,7,FALSE),0)</f>
        <v>790.43</v>
      </c>
      <c r="E100" s="362">
        <f>IFERROR(VLOOKUP(C100,'تقرير المصروفات حسب الشهر'!$C$135:$AD$244,7,FALSE),0)</f>
        <v>804.13</v>
      </c>
      <c r="F100" s="362">
        <v>792.77</v>
      </c>
      <c r="G100" s="362">
        <f>IFERROR(VLOOKUP(C100,'تقرير المصروفات حسب الشهر'!$C$387:$AD$495,7,FALSE),0)</f>
        <v>738.54</v>
      </c>
      <c r="H100" s="362">
        <f>IFERROR(VLOOKUP(C100,'تقرير المصروفات حسب الشهر'!$C$512:$AD$620,7,FALSE),0)</f>
        <v>703.43</v>
      </c>
      <c r="I100" s="362">
        <f>IFERROR(VLOOKUP(C100,'تقرير المصروفات حسب الشهر'!$C$637:$AD$746,7,FALSE),0)</f>
        <v>667.77</v>
      </c>
      <c r="J100" s="362">
        <f>IFERROR(VLOOKUP(C100,'تقرير المصروفات حسب الشهر'!$C$763:$AD$872,7,FALSE),0)</f>
        <v>667.77</v>
      </c>
      <c r="K100" s="362">
        <f>IFERROR(VLOOKUP(C100,'تقرير المصروفات حسب الشهر'!$C$890:$AD$999,7,FALSE),0)</f>
        <v>667.77</v>
      </c>
      <c r="L100" s="362">
        <f>IFERROR(VLOOKUP(C100,'تقرير المصروفات حسب الشهر'!$C$1016:$AD$1126,7,FALSE),0)</f>
        <v>667.77</v>
      </c>
      <c r="M100" s="376">
        <f>IFERROR(VLOOKUP(C100,'تقرير المصروفات حسب الشهر'!$C$1143:$AD$1254,7,FALSE),0)</f>
        <v>665.7</v>
      </c>
      <c r="N100" s="376">
        <f>IFERROR(VLOOKUP(C100,'تقرير المصروفات حسب الشهر'!$C$1270:$AD$1381,7,FALSE),0)</f>
        <v>634.4</v>
      </c>
      <c r="O100" s="376">
        <f>IFERROR(VLOOKUP(C100,'تقرير المصروفات حسب الشهر'!$C$1397:$AD$1512,7,FALSE),0)</f>
        <v>26.3</v>
      </c>
      <c r="P100" s="364">
        <f t="shared" si="6"/>
        <v>7826.7800000000007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الشهر'!$C$10:$AD$119,7,FALSE),0)</f>
        <v>53.44</v>
      </c>
      <c r="E101" s="362">
        <f>IFERROR(VLOOKUP(C101,'تقرير المصروفات حسب الشهر'!$C$135:$AD$244,7,FALSE),0)</f>
        <v>53.44</v>
      </c>
      <c r="F101" s="362">
        <v>53.44</v>
      </c>
      <c r="G101" s="362">
        <f>IFERROR(VLOOKUP(C101,'تقرير المصروفات حسب الشهر'!$C$387:$AD$495,7,FALSE),0)</f>
        <v>53.44</v>
      </c>
      <c r="H101" s="362">
        <f>IFERROR(VLOOKUP(C101,'تقرير المصروفات حسب الشهر'!$C$512:$AD$620,7,FALSE),0)</f>
        <v>53.44</v>
      </c>
      <c r="I101" s="362">
        <f>IFERROR(VLOOKUP(C101,'تقرير المصروفات حسب الشهر'!$C$637:$AD$746,7,FALSE),0)</f>
        <v>53.44</v>
      </c>
      <c r="J101" s="362">
        <f>IFERROR(VLOOKUP(C101,'تقرير المصروفات حسب الشهر'!$C$763:$AD$872,7,FALSE),0)</f>
        <v>53.44</v>
      </c>
      <c r="K101" s="362">
        <f>IFERROR(VLOOKUP(C101,'تقرير المصروفات حسب الشهر'!$C$890:$AD$999,7,FALSE),0)</f>
        <v>38.17</v>
      </c>
      <c r="L101" s="362">
        <f>IFERROR(VLOOKUP(C101,'تقرير المصروفات حسب الشهر'!$C$1016:$AD$1126,7,FALSE),0)</f>
        <v>0</v>
      </c>
      <c r="M101" s="376">
        <f>IFERROR(VLOOKUP(C101,'تقرير المصروفات حسب الشهر'!$C$1143:$AD$1254,7,FALSE),0)</f>
        <v>0</v>
      </c>
      <c r="N101" s="376">
        <f>IFERROR(VLOOKUP(C101,'تقرير المصروفات حسب الشهر'!$C$1270:$AD$1381,7,FALSE),0)</f>
        <v>0</v>
      </c>
      <c r="O101" s="376">
        <f>IFERROR(VLOOKUP(C101,'تقرير المصروفات حسب الشهر'!$C$1397:$AD$1512,7,FALSE),0)</f>
        <v>0</v>
      </c>
      <c r="P101" s="364">
        <f t="shared" si="6"/>
        <v>412.25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الشهر'!$C$10:$AD$119,7,FALSE),0)</f>
        <v>107.34</v>
      </c>
      <c r="E102" s="362">
        <f>IFERROR(VLOOKUP(C102,'تقرير المصروفات حسب الشهر'!$C$135:$AD$244,7,FALSE),0)</f>
        <v>107.34</v>
      </c>
      <c r="F102" s="362">
        <v>107.34</v>
      </c>
      <c r="G102" s="362">
        <f>IFERROR(VLOOKUP(C102,'تقرير المصروفات حسب الشهر'!$C$387:$AD$495,7,FALSE),0)</f>
        <v>107.34</v>
      </c>
      <c r="H102" s="362">
        <f>IFERROR(VLOOKUP(C102,'تقرير المصروفات حسب الشهر'!$C$512:$AD$620,7,FALSE),0)</f>
        <v>107.34</v>
      </c>
      <c r="I102" s="362">
        <f>IFERROR(VLOOKUP(C102,'تقرير المصروفات حسب الشهر'!$C$637:$AD$746,7,FALSE),0)</f>
        <v>107.34</v>
      </c>
      <c r="J102" s="362">
        <f>IFERROR(VLOOKUP(C102,'تقرير المصروفات حسب الشهر'!$C$763:$AD$872,7,FALSE),0)</f>
        <v>107.34</v>
      </c>
      <c r="K102" s="362">
        <f>IFERROR(VLOOKUP(C102,'تقرير المصروفات حسب الشهر'!$C$890:$AD$999,7,FALSE),0)</f>
        <v>107.34</v>
      </c>
      <c r="L102" s="362">
        <f>IFERROR(VLOOKUP(C102,'تقرير المصروفات حسب الشهر'!$C$1016:$AD$1126,7,FALSE),0)</f>
        <v>107.34</v>
      </c>
      <c r="M102" s="376">
        <f>IFERROR(VLOOKUP(C102,'تقرير المصروفات حسب الشهر'!$C$1143:$AD$1254,7,FALSE),0)</f>
        <v>107.34</v>
      </c>
      <c r="N102" s="376">
        <f>IFERROR(VLOOKUP(C102,'تقرير المصروفات حسب الشهر'!$C$1270:$AD$1381,7,FALSE),0)</f>
        <v>107.34</v>
      </c>
      <c r="O102" s="376">
        <f>IFERROR(VLOOKUP(C102,'تقرير المصروفات حسب الشهر'!$C$1397:$AD$1512,7,FALSE),0)</f>
        <v>0.05</v>
      </c>
      <c r="P102" s="364">
        <f t="shared" si="6"/>
        <v>1180.79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الشهر'!$C$10:$AD$119,7,FALSE),0)</f>
        <v>87.25</v>
      </c>
      <c r="E103" s="362">
        <f>IFERROR(VLOOKUP(C103,'تقرير المصروفات حسب الشهر'!$C$135:$AD$244,7,FALSE),0)</f>
        <v>87.25</v>
      </c>
      <c r="F103" s="362">
        <v>87.25</v>
      </c>
      <c r="G103" s="362">
        <f>IFERROR(VLOOKUP(C103,'تقرير المصروفات حسب الشهر'!$C$387:$AD$495,7,FALSE),0)</f>
        <v>87.25</v>
      </c>
      <c r="H103" s="362">
        <f>IFERROR(VLOOKUP(C103,'تقرير المصروفات حسب الشهر'!$C$512:$AD$620,7,FALSE),0)</f>
        <v>87.25</v>
      </c>
      <c r="I103" s="362">
        <f>IFERROR(VLOOKUP(C103,'تقرير المصروفات حسب الشهر'!$C$637:$AD$746,7,FALSE),0)</f>
        <v>87.25</v>
      </c>
      <c r="J103" s="362">
        <f>IFERROR(VLOOKUP(C103,'تقرير المصروفات حسب الشهر'!$C$763:$AD$872,7,FALSE),0)</f>
        <v>87.25</v>
      </c>
      <c r="K103" s="362">
        <f>IFERROR(VLOOKUP(C103,'تقرير المصروفات حسب الشهر'!$C$890:$AD$999,7,FALSE),0)</f>
        <v>87.25</v>
      </c>
      <c r="L103" s="362">
        <f>IFERROR(VLOOKUP(C103,'تقرير المصروفات حسب الشهر'!$C$1016:$AD$1126,7,FALSE),0)</f>
        <v>87.25</v>
      </c>
      <c r="M103" s="376">
        <f>IFERROR(VLOOKUP(C103,'تقرير المصروفات حسب الشهر'!$C$1143:$AD$1254,7,FALSE),0)</f>
        <v>87.25</v>
      </c>
      <c r="N103" s="376">
        <f>IFERROR(VLOOKUP(C103,'تقرير المصروفات حسب الشهر'!$C$1270:$AD$1381,7,FALSE),0)</f>
        <v>87.25</v>
      </c>
      <c r="O103" s="376">
        <f>IFERROR(VLOOKUP(C103,'تقرير المصروفات حسب الشهر'!$C$1397:$AD$1512,7,FALSE),0)</f>
        <v>0</v>
      </c>
      <c r="P103" s="364">
        <f t="shared" si="6"/>
        <v>959.75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الشهر'!$C$10:$AD$119,7,FALSE),0)</f>
        <v>0</v>
      </c>
      <c r="E104" s="362">
        <f>IFERROR(VLOOKUP(C104,'تقرير المصروفات حسب الشهر'!$C$135:$AD$244,7,FALSE),0)</f>
        <v>0</v>
      </c>
      <c r="F104" s="362">
        <v>0</v>
      </c>
      <c r="G104" s="362">
        <f>IFERROR(VLOOKUP(C104,'تقرير المصروفات حسب الشهر'!$C$387:$AD$495,7,FALSE),0)</f>
        <v>0</v>
      </c>
      <c r="H104" s="362">
        <f>IFERROR(VLOOKUP(C104,'تقرير المصروفات حسب الشهر'!$C$512:$AD$620,7,FALSE),0)</f>
        <v>0</v>
      </c>
      <c r="I104" s="362">
        <f>IFERROR(VLOOKUP(C104,'تقرير المصروفات حسب الشهر'!$C$637:$AD$746,7,FALSE),0)</f>
        <v>0</v>
      </c>
      <c r="J104" s="362">
        <f>IFERROR(VLOOKUP(C104,'تقرير المصروفات حسب الشهر'!$C$763:$AD$872,7,FALSE),0)</f>
        <v>0</v>
      </c>
      <c r="K104" s="362">
        <f>IFERROR(VLOOKUP(C104,'تقرير المصروفات حسب الشهر'!$C$890:$AD$999,7,FALSE),0)</f>
        <v>0</v>
      </c>
      <c r="L104" s="362">
        <f>IFERROR(VLOOKUP(C104,'تقرير المصروفات حسب الشهر'!$C$1016:$AD$1126,7,FALSE),0)</f>
        <v>0</v>
      </c>
      <c r="M104" s="376">
        <f>IFERROR(VLOOKUP(C104,'تقرير المصروفات حسب الشهر'!$C$1143:$AD$1254,7,FALSE),0)</f>
        <v>0</v>
      </c>
      <c r="N104" s="376">
        <f>IFERROR(VLOOKUP(C104,'تقرير المصروفات حسب الشهر'!$C$1270:$AD$1381,7,FALSE),0)</f>
        <v>0</v>
      </c>
      <c r="O104" s="376">
        <f>IFERROR(VLOOKUP(C104,'تقرير المصروفات حسب الشهر'!$C$1397:$AD$1512,7,FALSE),0)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الشهر'!$C$10:$AD$119,7,FALSE),0)</f>
        <v>0</v>
      </c>
      <c r="E105" s="362">
        <f>IFERROR(VLOOKUP(C105,'تقرير المصروفات حسب الشهر'!$C$135:$AD$244,7,FALSE),0)</f>
        <v>0</v>
      </c>
      <c r="F105" s="362">
        <v>0</v>
      </c>
      <c r="G105" s="362">
        <f>IFERROR(VLOOKUP(C105,'تقرير المصروفات حسب الشهر'!$C$387:$AD$495,7,FALSE),0)</f>
        <v>0</v>
      </c>
      <c r="H105" s="362">
        <f>IFERROR(VLOOKUP(C105,'تقرير المصروفات حسب الشهر'!$C$512:$AD$620,7,FALSE),0)</f>
        <v>0</v>
      </c>
      <c r="I105" s="362">
        <f>IFERROR(VLOOKUP(C105,'تقرير المصروفات حسب الشهر'!$C$637:$AD$746,7,FALSE),0)</f>
        <v>0</v>
      </c>
      <c r="J105" s="362">
        <f>IFERROR(VLOOKUP(C105,'تقرير المصروفات حسب الشهر'!$C$763:$AD$872,7,FALSE),0)</f>
        <v>0</v>
      </c>
      <c r="K105" s="362">
        <f>IFERROR(VLOOKUP(C105,'تقرير المصروفات حسب الشهر'!$C$890:$AD$999,7,FALSE),0)</f>
        <v>0</v>
      </c>
      <c r="L105" s="362">
        <f>IFERROR(VLOOKUP(C105,'تقرير المصروفات حسب الشهر'!$C$1016:$AD$1126,7,FALSE),0)</f>
        <v>0</v>
      </c>
      <c r="M105" s="376">
        <f>IFERROR(VLOOKUP(C105,'تقرير المصروفات حسب الشهر'!$C$1143:$AD$1254,7,FALSE),0)</f>
        <v>0</v>
      </c>
      <c r="N105" s="376">
        <f>IFERROR(VLOOKUP(C105,'تقرير المصروفات حسب الشهر'!$C$1270:$AD$1381,7,FALSE),0)</f>
        <v>0</v>
      </c>
      <c r="O105" s="376">
        <f>IFERROR(VLOOKUP(C105,'تقرير المصروفات حسب الشهر'!$C$1397:$AD$1512,7,FALSE),0)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الشهر'!$C$10:$AD$119,7,FALSE),0)</f>
        <v>0</v>
      </c>
      <c r="E106" s="362">
        <f>IFERROR(VLOOKUP(C106,'تقرير المصروفات حسب الشهر'!$C$135:$AD$244,7,FALSE),0)</f>
        <v>0</v>
      </c>
      <c r="F106" s="362">
        <v>0</v>
      </c>
      <c r="G106" s="362">
        <f>IFERROR(VLOOKUP(C106,'تقرير المصروفات حسب الشهر'!$C$387:$AD$495,7,FALSE),0)</f>
        <v>0</v>
      </c>
      <c r="H106" s="362">
        <f>IFERROR(VLOOKUP(C106,'تقرير المصروفات حسب الشهر'!$C$512:$AD$620,7,FALSE),0)</f>
        <v>0</v>
      </c>
      <c r="I106" s="362">
        <f>IFERROR(VLOOKUP(C106,'تقرير المصروفات حسب الشهر'!$C$637:$AD$746,7,FALSE),0)</f>
        <v>0</v>
      </c>
      <c r="J106" s="362">
        <f>IFERROR(VLOOKUP(C106,'تقرير المصروفات حسب الشهر'!$C$763:$AD$872,7,FALSE),0)</f>
        <v>0</v>
      </c>
      <c r="K106" s="362">
        <f>IFERROR(VLOOKUP(C106,'تقرير المصروفات حسب الشهر'!$C$890:$AD$999,7,FALSE),0)</f>
        <v>0</v>
      </c>
      <c r="L106" s="362">
        <f>IFERROR(VLOOKUP(C106,'تقرير المصروفات حسب الشهر'!$C$1016:$AD$1126,7,FALSE),0)</f>
        <v>0</v>
      </c>
      <c r="M106" s="376">
        <f>IFERROR(VLOOKUP(C106,'تقرير المصروفات حسب الشهر'!$C$1143:$AD$1254,7,FALSE),0)</f>
        <v>0</v>
      </c>
      <c r="N106" s="376">
        <f>IFERROR(VLOOKUP(C106,'تقرير المصروفات حسب الشهر'!$C$1270:$AD$1381,7,FALSE),0)</f>
        <v>0</v>
      </c>
      <c r="O106" s="376">
        <f>IFERROR(VLOOKUP(C106,'تقرير المصروفات حسب الشهر'!$C$1397:$AD$1512,7,FALSE),0)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الشهر'!$C$10:$AD$119,7,FALSE),0)</f>
        <v>0</v>
      </c>
      <c r="E107" s="362">
        <f>IFERROR(VLOOKUP(C107,'تقرير المصروفات حسب الشهر'!$C$135:$AD$244,7,FALSE),0)</f>
        <v>0</v>
      </c>
      <c r="F107" s="362">
        <v>0</v>
      </c>
      <c r="G107" s="362">
        <f>IFERROR(VLOOKUP(C107,'تقرير المصروفات حسب الشهر'!$C$387:$AD$495,7,FALSE),0)</f>
        <v>0</v>
      </c>
      <c r="H107" s="362">
        <f>IFERROR(VLOOKUP(C107,'تقرير المصروفات حسب الشهر'!$C$512:$AD$620,7,FALSE),0)</f>
        <v>0</v>
      </c>
      <c r="I107" s="362">
        <f>IFERROR(VLOOKUP(C107,'تقرير المصروفات حسب الشهر'!$C$637:$AD$746,7,FALSE),0)</f>
        <v>0</v>
      </c>
      <c r="J107" s="362">
        <f>IFERROR(VLOOKUP(C107,'تقرير المصروفات حسب الشهر'!$C$763:$AD$872,7,FALSE),0)</f>
        <v>0</v>
      </c>
      <c r="K107" s="362">
        <f>IFERROR(VLOOKUP(C107,'تقرير المصروفات حسب الشهر'!$C$890:$AD$999,7,FALSE),0)</f>
        <v>0</v>
      </c>
      <c r="L107" s="362">
        <f>IFERROR(VLOOKUP(C107,'تقرير المصروفات حسب الشهر'!$C$1016:$AD$1126,7,FALSE),0)</f>
        <v>0</v>
      </c>
      <c r="M107" s="376">
        <f>IFERROR(VLOOKUP(C107,'تقرير المصروفات حسب الشهر'!$C$1143:$AD$1254,7,FALSE),0)</f>
        <v>0</v>
      </c>
      <c r="N107" s="376">
        <f>IFERROR(VLOOKUP(C107,'تقرير المصروفات حسب الشهر'!$C$1270:$AD$1381,7,FALSE),0)</f>
        <v>0</v>
      </c>
      <c r="O107" s="376">
        <f>IFERROR(VLOOKUP(C107,'تقرير المصروفات حسب الشهر'!$C$1397:$AD$1512,7,FALSE),0)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الشهر'!$C$10:$AD$119,7,FALSE),0)</f>
        <v>0</v>
      </c>
      <c r="E108" s="362">
        <f>IFERROR(VLOOKUP(C108,'تقرير المصروفات حسب الشهر'!$C$135:$AD$244,7,FALSE),0)</f>
        <v>0</v>
      </c>
      <c r="F108" s="362">
        <v>0</v>
      </c>
      <c r="G108" s="362">
        <f>IFERROR(VLOOKUP(C108,'تقرير المصروفات حسب الشهر'!$C$387:$AD$495,7,FALSE),0)</f>
        <v>0</v>
      </c>
      <c r="H108" s="362">
        <f>IFERROR(VLOOKUP(C108,'تقرير المصروفات حسب الشهر'!$C$512:$AD$620,7,FALSE),0)</f>
        <v>0</v>
      </c>
      <c r="I108" s="362">
        <f>IFERROR(VLOOKUP(C108,'تقرير المصروفات حسب الشهر'!$C$637:$AD$746,7,FALSE),0)</f>
        <v>0</v>
      </c>
      <c r="J108" s="362">
        <f>IFERROR(VLOOKUP(C108,'تقرير المصروفات حسب الشهر'!$C$763:$AD$872,7,FALSE),0)</f>
        <v>0</v>
      </c>
      <c r="K108" s="362">
        <f>IFERROR(VLOOKUP(C108,'تقرير المصروفات حسب الشهر'!$C$890:$AD$999,7,FALSE),0)</f>
        <v>0</v>
      </c>
      <c r="L108" s="362">
        <f>IFERROR(VLOOKUP(C108,'تقرير المصروفات حسب الشهر'!$C$1016:$AD$1126,7,FALSE),0)</f>
        <v>0</v>
      </c>
      <c r="M108" s="376">
        <f>IFERROR(VLOOKUP(C108,'تقرير المصروفات حسب الشهر'!$C$1143:$AD$1254,7,FALSE),0)</f>
        <v>0</v>
      </c>
      <c r="N108" s="376">
        <f>IFERROR(VLOOKUP(C108,'تقرير المصروفات حسب الشهر'!$C$1270:$AD$1381,7,FALSE),0)</f>
        <v>0</v>
      </c>
      <c r="O108" s="376">
        <f>IFERROR(VLOOKUP(C108,'تقرير المصروفات حسب الشهر'!$C$1397:$AD$1512,7,FALSE),0)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الشهر'!$C$10:$AD$119,7,FALSE),0)</f>
        <v>0</v>
      </c>
      <c r="E109" s="362">
        <f>IFERROR(VLOOKUP(C109,'تقرير المصروفات حسب الشهر'!$C$135:$AD$244,7,FALSE),0)</f>
        <v>0</v>
      </c>
      <c r="F109" s="362">
        <v>0</v>
      </c>
      <c r="G109" s="362">
        <f>IFERROR(VLOOKUP(C109,'تقرير المصروفات حسب الشهر'!$C$387:$AD$495,7,FALSE),0)</f>
        <v>0</v>
      </c>
      <c r="H109" s="362">
        <f>IFERROR(VLOOKUP(C109,'تقرير المصروفات حسب الشهر'!$C$512:$AD$620,7,FALSE),0)</f>
        <v>0</v>
      </c>
      <c r="I109" s="362">
        <f>IFERROR(VLOOKUP(C109,'تقرير المصروفات حسب الشهر'!$C$637:$AD$746,7,FALSE),0)</f>
        <v>0</v>
      </c>
      <c r="J109" s="362">
        <f>IFERROR(VLOOKUP(C109,'تقرير المصروفات حسب الشهر'!$C$763:$AD$872,7,FALSE),0)</f>
        <v>0</v>
      </c>
      <c r="K109" s="362">
        <f>IFERROR(VLOOKUP(C109,'تقرير المصروفات حسب الشهر'!$C$890:$AD$999,7,FALSE),0)</f>
        <v>0</v>
      </c>
      <c r="L109" s="362">
        <f>IFERROR(VLOOKUP(C109,'تقرير المصروفات حسب الشهر'!$C$1016:$AD$1126,7,FALSE),0)</f>
        <v>0</v>
      </c>
      <c r="M109" s="376">
        <f>IFERROR(VLOOKUP(C109,'تقرير المصروفات حسب الشهر'!$C$1143:$AD$1254,7,FALSE),0)</f>
        <v>0</v>
      </c>
      <c r="N109" s="376">
        <f>IFERROR(VLOOKUP(C109,'تقرير المصروفات حسب الشهر'!$C$1270:$AD$1381,7,FALSE),0)</f>
        <v>0</v>
      </c>
      <c r="O109" s="376">
        <f>IFERROR(VLOOKUP(C109,'تقرير المصروفات حسب الشهر'!$C$1397:$AD$1512,7,FALSE),0)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الشهر'!$C$10:$AD$119,7,FALSE),0)</f>
        <v>0</v>
      </c>
      <c r="E110" s="362">
        <f>IFERROR(VLOOKUP(C110,'تقرير المصروفات حسب الشهر'!$C$135:$AD$244,7,FALSE),0)</f>
        <v>0</v>
      </c>
      <c r="F110" s="362">
        <v>0</v>
      </c>
      <c r="G110" s="362">
        <f>IFERROR(VLOOKUP(C110,'تقرير المصروفات حسب الشهر'!$C$387:$AD$495,7,FALSE),0)</f>
        <v>0</v>
      </c>
      <c r="H110" s="362">
        <f>IFERROR(VLOOKUP(C110,'تقرير المصروفات حسب الشهر'!$C$512:$AD$620,7,FALSE),0)</f>
        <v>0</v>
      </c>
      <c r="I110" s="362">
        <f>IFERROR(VLOOKUP(C110,'تقرير المصروفات حسب الشهر'!$C$637:$AD$746,7,FALSE),0)</f>
        <v>0</v>
      </c>
      <c r="J110" s="362">
        <f>IFERROR(VLOOKUP(C110,'تقرير المصروفات حسب الشهر'!$C$763:$AD$872,7,FALSE),0)</f>
        <v>0</v>
      </c>
      <c r="K110" s="362">
        <f>IFERROR(VLOOKUP(C110,'تقرير المصروفات حسب الشهر'!$C$890:$AD$999,7,FALSE),0)</f>
        <v>0</v>
      </c>
      <c r="L110" s="362">
        <f>IFERROR(VLOOKUP(C110,'تقرير المصروفات حسب الشهر'!$C$1016:$AD$1126,7,FALSE),0)</f>
        <v>0</v>
      </c>
      <c r="M110" s="376">
        <f>IFERROR(VLOOKUP(C110,'تقرير المصروفات حسب الشهر'!$C$1143:$AD$1254,7,FALSE),0)</f>
        <v>0</v>
      </c>
      <c r="N110" s="376">
        <f>IFERROR(VLOOKUP(C110,'تقرير المصروفات حسب الشهر'!$C$1270:$AD$1381,7,FALSE),0)</f>
        <v>0</v>
      </c>
      <c r="O110" s="376">
        <f>IFERROR(VLOOKUP(C110,'تقرير المصروفات حسب الشهر'!$C$1397:$AD$1512,7,FALSE),0)</f>
        <v>0</v>
      </c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الشهر'!$C$10:$AD$119,7,FALSE),0)</f>
        <v>0</v>
      </c>
      <c r="E111" s="362">
        <f>IFERROR(VLOOKUP(C111,'تقرير المصروفات حسب الشهر'!$C$135:$AD$244,7,FALSE),0)</f>
        <v>0</v>
      </c>
      <c r="F111" s="362">
        <v>0</v>
      </c>
      <c r="G111" s="362">
        <f>IFERROR(VLOOKUP(C111,'تقرير المصروفات حسب الشهر'!$C$387:$AD$495,7,FALSE),0)</f>
        <v>0</v>
      </c>
      <c r="H111" s="362">
        <f>IFERROR(VLOOKUP(C111,'تقرير المصروفات حسب الشهر'!$C$512:$AD$620,7,FALSE),0)</f>
        <v>0</v>
      </c>
      <c r="I111" s="362">
        <f>IFERROR(VLOOKUP(C111,'تقرير المصروفات حسب الشهر'!$C$637:$AD$746,7,FALSE),0)</f>
        <v>0</v>
      </c>
      <c r="J111" s="362">
        <f>IFERROR(VLOOKUP(C111,'تقرير المصروفات حسب الشهر'!$C$763:$AD$872,7,FALSE),0)</f>
        <v>0</v>
      </c>
      <c r="K111" s="362">
        <f>IFERROR(VLOOKUP(C111,'تقرير المصروفات حسب الشهر'!$C$890:$AD$999,7,FALSE),0)</f>
        <v>0</v>
      </c>
      <c r="L111" s="362">
        <f>IFERROR(VLOOKUP(C111,'تقرير المصروفات حسب الشهر'!$C$1016:$AD$1126,7,FALSE),0)</f>
        <v>0</v>
      </c>
      <c r="M111" s="376">
        <f>IFERROR(VLOOKUP(C111,'تقرير المصروفات حسب الشهر'!$C$1143:$AD$1254,7,FALSE),0)</f>
        <v>0</v>
      </c>
      <c r="N111" s="376">
        <f>IFERROR(VLOOKUP(C111,'تقرير المصروفات حسب الشهر'!$C$1270:$AD$1381,7,FALSE),0)</f>
        <v>0</v>
      </c>
      <c r="O111" s="376">
        <f>IFERROR(VLOOKUP(C111,'تقرير المصروفات حسب الشهر'!$C$1397:$AD$1512,7,FALSE),0)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الشهر'!$C$10:$AD$119,7,FALSE),0)</f>
        <v>0</v>
      </c>
      <c r="E112" s="362">
        <f>IFERROR(VLOOKUP(C112,'تقرير المصروفات حسب الشهر'!$C$135:$AD$244,7,FALSE),0)</f>
        <v>0</v>
      </c>
      <c r="F112" s="362">
        <v>0</v>
      </c>
      <c r="G112" s="362">
        <f>IFERROR(VLOOKUP(C112,'تقرير المصروفات حسب الشهر'!$C$387:$AD$495,7,FALSE),0)</f>
        <v>0</v>
      </c>
      <c r="H112" s="362">
        <f>IFERROR(VLOOKUP(C112,'تقرير المصروفات حسب الشهر'!$C$512:$AD$620,7,FALSE),0)</f>
        <v>0</v>
      </c>
      <c r="I112" s="362">
        <f>IFERROR(VLOOKUP(C112,'تقرير المصروفات حسب الشهر'!$C$637:$AD$746,7,FALSE),0)</f>
        <v>800</v>
      </c>
      <c r="J112" s="362">
        <f>IFERROR(VLOOKUP(C112,'تقرير المصروفات حسب الشهر'!$C$763:$AD$872,7,FALSE),0)</f>
        <v>0</v>
      </c>
      <c r="K112" s="362">
        <f>IFERROR(VLOOKUP(C112,'تقرير المصروفات حسب الشهر'!$C$890:$AD$999,7,FALSE),0)</f>
        <v>0</v>
      </c>
      <c r="L112" s="362">
        <f>IFERROR(VLOOKUP(C112,'تقرير المصروفات حسب الشهر'!$C$1016:$AD$1126,7,FALSE),0)</f>
        <v>0</v>
      </c>
      <c r="M112" s="376">
        <f>IFERROR(VLOOKUP(C112,'تقرير المصروفات حسب الشهر'!$C$1143:$AD$1254,7,FALSE),0)</f>
        <v>0</v>
      </c>
      <c r="N112" s="376">
        <f>IFERROR(VLOOKUP(C112,'تقرير المصروفات حسب الشهر'!$C$1270:$AD$1381,7,FALSE),0)</f>
        <v>0</v>
      </c>
      <c r="O112" s="376">
        <f>IFERROR(VLOOKUP(C112,'تقرير المصروفات حسب الشهر'!$C$1397:$AD$1512,7,FALSE),0)</f>
        <v>0</v>
      </c>
      <c r="P112" s="364">
        <f t="shared" si="6"/>
        <v>800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الشهر'!$C$10:$AD$119,7,FALSE),0)</f>
        <v>0</v>
      </c>
      <c r="E113" s="362">
        <f>IFERROR(VLOOKUP(C113,'تقرير المصروفات حسب الشهر'!$C$135:$AD$244,7,FALSE),0)</f>
        <v>0</v>
      </c>
      <c r="F113" s="362">
        <v>0</v>
      </c>
      <c r="G113" s="362">
        <f>IFERROR(VLOOKUP(C113,'تقرير المصروفات حسب الشهر'!$C$387:$AD$495,7,FALSE),0)</f>
        <v>0</v>
      </c>
      <c r="H113" s="362">
        <f>IFERROR(VLOOKUP(C113,'تقرير المصروفات حسب الشهر'!$C$512:$AD$620,7,FALSE),0)</f>
        <v>0</v>
      </c>
      <c r="I113" s="362">
        <f>IFERROR(VLOOKUP(C113,'تقرير المصروفات حسب الشهر'!$C$637:$AD$746,7,FALSE),0)</f>
        <v>0</v>
      </c>
      <c r="J113" s="362">
        <f>IFERROR(VLOOKUP(C113,'تقرير المصروفات حسب الشهر'!$C$763:$AD$872,7,FALSE),0)</f>
        <v>0</v>
      </c>
      <c r="K113" s="362">
        <f>IFERROR(VLOOKUP(C113,'تقرير المصروفات حسب الشهر'!$C$890:$AD$999,7,FALSE),0)</f>
        <v>0</v>
      </c>
      <c r="L113" s="362">
        <f>IFERROR(VLOOKUP(C113,'تقرير المصروفات حسب الشهر'!$C$1016:$AD$1126,7,FALSE),0)</f>
        <v>0</v>
      </c>
      <c r="M113" s="376">
        <f>IFERROR(VLOOKUP(C113,'تقرير المصروفات حسب الشهر'!$C$1143:$AD$1254,7,FALSE),0)</f>
        <v>0</v>
      </c>
      <c r="N113" s="376">
        <f>IFERROR(VLOOKUP(C113,'تقرير المصروفات حسب الشهر'!$C$1270:$AD$1381,7,FALSE),0)</f>
        <v>0</v>
      </c>
      <c r="O113" s="376">
        <f>IFERROR(VLOOKUP(C113,'تقرير المصروفات حسب الشهر'!$C$1397:$AD$1512,7,FALSE),0)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الشهر'!$C$10:$AD$119,7,FALSE),0)</f>
        <v>0</v>
      </c>
      <c r="E114" s="362">
        <f>IFERROR(VLOOKUP(C114,'تقرير المصروفات حسب الشهر'!$C$135:$AD$244,7,FALSE),0)</f>
        <v>0</v>
      </c>
      <c r="F114" s="362">
        <v>0</v>
      </c>
      <c r="G114" s="362">
        <f>IFERROR(VLOOKUP(C114,'تقرير المصروفات حسب الشهر'!$C$387:$AD$495,7,FALSE),0)</f>
        <v>0</v>
      </c>
      <c r="H114" s="362">
        <f>IFERROR(VLOOKUP(C114,'تقرير المصروفات حسب الشهر'!$C$512:$AD$620,7,FALSE),0)</f>
        <v>0</v>
      </c>
      <c r="I114" s="362">
        <f>IFERROR(VLOOKUP(C114,'تقرير المصروفات حسب الشهر'!$C$637:$AD$746,7,FALSE),0)</f>
        <v>0</v>
      </c>
      <c r="J114" s="362">
        <f>IFERROR(VLOOKUP(C114,'تقرير المصروفات حسب الشهر'!$C$763:$AD$872,7,FALSE),0)</f>
        <v>0</v>
      </c>
      <c r="K114" s="362">
        <f>IFERROR(VLOOKUP(C114,'تقرير المصروفات حسب الشهر'!$C$890:$AD$999,7,FALSE),0)</f>
        <v>0</v>
      </c>
      <c r="L114" s="362">
        <f>IFERROR(VLOOKUP(C114,'تقرير المصروفات حسب الشهر'!$C$1016:$AD$1126,7,FALSE),0)</f>
        <v>0</v>
      </c>
      <c r="M114" s="376">
        <f>IFERROR(VLOOKUP(C114,'تقرير المصروفات حسب الشهر'!$C$1143:$AD$1254,7,FALSE),0)</f>
        <v>0</v>
      </c>
      <c r="N114" s="376">
        <f>IFERROR(VLOOKUP(C114,'تقرير المصروفات حسب الشهر'!$C$1270:$AD$1381,7,FALSE),0)</f>
        <v>0</v>
      </c>
      <c r="O114" s="376">
        <f>IFERROR(VLOOKUP(C114,'تقرير المصروفات حسب الشهر'!$C$1397:$AD$1512,7,FALSE),0)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الشهر'!$C$10:$AD$119,7,FALSE),0)</f>
        <v>0</v>
      </c>
      <c r="E115" s="362">
        <f>IFERROR(VLOOKUP(C115,'تقرير المصروفات حسب الشهر'!$C$135:$AD$244,7,FALSE),0)</f>
        <v>0</v>
      </c>
      <c r="F115" s="362">
        <v>0</v>
      </c>
      <c r="G115" s="362">
        <f>IFERROR(VLOOKUP(C115,'تقرير المصروفات حسب الشهر'!$C$387:$AD$495,7,FALSE),0)</f>
        <v>0</v>
      </c>
      <c r="H115" s="362">
        <f>IFERROR(VLOOKUP(C115,'تقرير المصروفات حسب الشهر'!$C$512:$AD$620,7,FALSE),0)</f>
        <v>0</v>
      </c>
      <c r="I115" s="362">
        <f>IFERROR(VLOOKUP(C115,'تقرير المصروفات حسب الشهر'!$C$637:$AD$746,7,FALSE),0)</f>
        <v>0</v>
      </c>
      <c r="J115" s="362">
        <f>IFERROR(VLOOKUP(C115,'تقرير المصروفات حسب الشهر'!$C$763:$AD$872,7,FALSE),0)</f>
        <v>0</v>
      </c>
      <c r="K115" s="362">
        <f>IFERROR(VLOOKUP(C115,'تقرير المصروفات حسب الشهر'!$C$890:$AD$999,7,FALSE),0)</f>
        <v>0</v>
      </c>
      <c r="L115" s="362">
        <f>IFERROR(VLOOKUP(C115,'تقرير المصروفات حسب الشهر'!$C$1016:$AD$1126,7,FALSE),0)</f>
        <v>0</v>
      </c>
      <c r="M115" s="376">
        <f>IFERROR(VLOOKUP(C115,'تقرير المصروفات حسب الشهر'!$C$1143:$AD$1254,7,FALSE),0)</f>
        <v>0</v>
      </c>
      <c r="N115" s="376">
        <f>IFERROR(VLOOKUP(C115,'تقرير المصروفات حسب الشهر'!$C$1270:$AD$1381,7,FALSE),0)</f>
        <v>0</v>
      </c>
      <c r="O115" s="376">
        <f>IFERROR(VLOOKUP(C115,'تقرير المصروفات حسب الشهر'!$C$1397:$AD$1512,7,FALSE),0)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الشهر'!$C$10:$AD$119,7,FALSE),0)</f>
        <v>0</v>
      </c>
      <c r="E116" s="362">
        <f>IFERROR(VLOOKUP(C116,'تقرير المصروفات حسب الشهر'!$C$135:$AD$244,7,FALSE),0)</f>
        <v>0</v>
      </c>
      <c r="F116" s="362">
        <v>0</v>
      </c>
      <c r="G116" s="362">
        <f>IFERROR(VLOOKUP(C116,'تقرير المصروفات حسب الشهر'!$C$387:$AD$495,7,FALSE),0)</f>
        <v>0</v>
      </c>
      <c r="H116" s="362">
        <f>IFERROR(VLOOKUP(C116,'تقرير المصروفات حسب الشهر'!$C$512:$AD$620,7,FALSE),0)</f>
        <v>0</v>
      </c>
      <c r="I116" s="362">
        <f>IFERROR(VLOOKUP(C116,'تقرير المصروفات حسب الشهر'!$C$637:$AD$746,7,FALSE),0)</f>
        <v>0</v>
      </c>
      <c r="J116" s="362">
        <f>IFERROR(VLOOKUP(C116,'تقرير المصروفات حسب الشهر'!$C$763:$AD$872,7,FALSE),0)</f>
        <v>0</v>
      </c>
      <c r="K116" s="362">
        <f>IFERROR(VLOOKUP(C116,'تقرير المصروفات حسب الشهر'!$C$890:$AD$999,7,FALSE),0)</f>
        <v>0</v>
      </c>
      <c r="L116" s="362">
        <f>IFERROR(VLOOKUP(C116,'تقرير المصروفات حسب الشهر'!$C$1016:$AD$1126,7,FALSE),0)</f>
        <v>0</v>
      </c>
      <c r="M116" s="376">
        <f>IFERROR(VLOOKUP(C116,'تقرير المصروفات حسب الشهر'!$C$1143:$AD$1254,7,FALSE),0)</f>
        <v>0</v>
      </c>
      <c r="N116" s="376">
        <f>IFERROR(VLOOKUP(C116,'تقرير المصروفات حسب الشهر'!$C$1270:$AD$1381,7,FALSE),0)</f>
        <v>0</v>
      </c>
      <c r="O116" s="376">
        <f>IFERROR(VLOOKUP(C116,'تقرير المصروفات حسب الشهر'!$C$1397:$AD$1512,7,FALSE),0)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الشهر'!$C$10:$AD$119,7,FALSE),0)</f>
        <v>0</v>
      </c>
      <c r="E117" s="362">
        <f>IFERROR(VLOOKUP(C117,'تقرير المصروفات حسب الشهر'!$C$135:$AD$244,7,FALSE),0)</f>
        <v>0</v>
      </c>
      <c r="F117" s="362">
        <v>0</v>
      </c>
      <c r="G117" s="362">
        <f>IFERROR(VLOOKUP(C117,'تقرير المصروفات حسب الشهر'!$C$387:$AD$495,7,FALSE),0)</f>
        <v>0</v>
      </c>
      <c r="H117" s="362">
        <f>IFERROR(VLOOKUP(C117,'تقرير المصروفات حسب الشهر'!$C$512:$AD$620,7,FALSE),0)</f>
        <v>0</v>
      </c>
      <c r="I117" s="362">
        <f>IFERROR(VLOOKUP(C117,'تقرير المصروفات حسب الشهر'!$C$637:$AD$746,7,FALSE),0)</f>
        <v>0</v>
      </c>
      <c r="J117" s="362">
        <f>IFERROR(VLOOKUP(C117,'تقرير المصروفات حسب الشهر'!$C$763:$AD$872,7,FALSE),0)</f>
        <v>0</v>
      </c>
      <c r="K117" s="362">
        <f>IFERROR(VLOOKUP(C117,'تقرير المصروفات حسب الشهر'!$C$890:$AD$999,7,FALSE),0)</f>
        <v>0</v>
      </c>
      <c r="L117" s="362">
        <f>IFERROR(VLOOKUP(C117,'تقرير المصروفات حسب الشهر'!$C$1016:$AD$1126,7,FALSE),0)</f>
        <v>0</v>
      </c>
      <c r="M117" s="376">
        <f>IFERROR(VLOOKUP(C117,'تقرير المصروفات حسب الشهر'!$C$1143:$AD$1254,7,FALSE),0)</f>
        <v>0</v>
      </c>
      <c r="N117" s="376">
        <f>IFERROR(VLOOKUP(C117,'تقرير المصروفات حسب الشهر'!$C$1270:$AD$1381,7,FALSE),0)</f>
        <v>0</v>
      </c>
      <c r="O117" s="376">
        <f>IFERROR(VLOOKUP(C117,'تقرير المصروفات حسب الشهر'!$C$1397:$AD$1512,7,FALSE),0)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الشهر'!$C$10:$AD$119,7,FALSE),0)</f>
        <v>0</v>
      </c>
      <c r="E118" s="362">
        <f>IFERROR(VLOOKUP(C118,'تقرير المصروفات حسب الشهر'!$C$135:$AD$244,7,FALSE),0)</f>
        <v>0</v>
      </c>
      <c r="F118" s="362">
        <v>0</v>
      </c>
      <c r="G118" s="362">
        <f>IFERROR(VLOOKUP(C118,'تقرير المصروفات حسب الشهر'!$C$387:$AD$495,7,FALSE),0)</f>
        <v>0</v>
      </c>
      <c r="H118" s="362">
        <f>IFERROR(VLOOKUP(C118,'تقرير المصروفات حسب الشهر'!$C$512:$AD$620,7,FALSE),0)</f>
        <v>0</v>
      </c>
      <c r="I118" s="362">
        <f>IFERROR(VLOOKUP(C118,'تقرير المصروفات حسب الشهر'!$C$637:$AD$746,7,FALSE),0)</f>
        <v>0</v>
      </c>
      <c r="J118" s="362">
        <f>IFERROR(VLOOKUP(C118,'تقرير المصروفات حسب الشهر'!$C$763:$AD$872,7,FALSE),0)</f>
        <v>0</v>
      </c>
      <c r="K118" s="362">
        <f>IFERROR(VLOOKUP(C118,'تقرير المصروفات حسب الشهر'!$C$890:$AD$999,7,FALSE),0)</f>
        <v>0</v>
      </c>
      <c r="L118" s="362">
        <f>IFERROR(VLOOKUP(C118,'تقرير المصروفات حسب الشهر'!$C$1016:$AD$1126,7,FALSE),0)</f>
        <v>0</v>
      </c>
      <c r="M118" s="376">
        <f>IFERROR(VLOOKUP(C118,'تقرير المصروفات حسب الشهر'!$C$1143:$AD$1254,7,FALSE),0)</f>
        <v>0</v>
      </c>
      <c r="N118" s="376">
        <f>IFERROR(VLOOKUP(C118,'تقرير المصروفات حسب الشهر'!$C$1270:$AD$1381,7,FALSE),0)</f>
        <v>0</v>
      </c>
      <c r="O118" s="376">
        <f>IFERROR(VLOOKUP(C118,'تقرير المصروفات حسب الشهر'!$C$1397:$AD$1512,7,FALSE),0)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الشهر'!$C$10:$AD$119,7,FALSE),0)</f>
        <v>0</v>
      </c>
      <c r="E119" s="362">
        <f>IFERROR(VLOOKUP(C119,'تقرير المصروفات حسب الشهر'!$C$135:$AD$244,7,FALSE),0)</f>
        <v>0</v>
      </c>
      <c r="F119" s="362">
        <v>0</v>
      </c>
      <c r="G119" s="362">
        <f>IFERROR(VLOOKUP(C119,'تقرير المصروفات حسب الشهر'!$C$387:$AD$495,7,FALSE),0)</f>
        <v>0</v>
      </c>
      <c r="H119" s="362">
        <f>IFERROR(VLOOKUP(C119,'تقرير المصروفات حسب الشهر'!$C$512:$AD$620,7,FALSE),0)</f>
        <v>0</v>
      </c>
      <c r="I119" s="362">
        <f>IFERROR(VLOOKUP(C119,'تقرير المصروفات حسب الشهر'!$C$637:$AD$746,7,FALSE),0)</f>
        <v>0</v>
      </c>
      <c r="J119" s="362">
        <f>IFERROR(VLOOKUP(C119,'تقرير المصروفات حسب الشهر'!$C$763:$AD$872,7,FALSE),0)</f>
        <v>0</v>
      </c>
      <c r="K119" s="362">
        <f>IFERROR(VLOOKUP(C119,'تقرير المصروفات حسب الشهر'!$C$890:$AD$999,7,FALSE),0)</f>
        <v>0</v>
      </c>
      <c r="L119" s="362">
        <f>IFERROR(VLOOKUP(C119,'تقرير المصروفات حسب الشهر'!$C$1016:$AD$1126,7,FALSE),0)</f>
        <v>0</v>
      </c>
      <c r="M119" s="376">
        <f>IFERROR(VLOOKUP(C119,'تقرير المصروفات حسب الشهر'!$C$1143:$AD$1254,7,FALSE),0)</f>
        <v>0</v>
      </c>
      <c r="N119" s="376">
        <f>IFERROR(VLOOKUP(C119,'تقرير المصروفات حسب الشهر'!$C$1270:$AD$1381,7,FALSE),0)</f>
        <v>0</v>
      </c>
      <c r="O119" s="376">
        <f>IFERROR(VLOOKUP(C119,'تقرير المصروفات حسب الشهر'!$C$1397:$AD$1512,7,FALSE),0)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الشهر'!$C$10:$AD$119,7,FALSE),0)</f>
        <v>0</v>
      </c>
      <c r="E120" s="362">
        <f>IFERROR(VLOOKUP(C120,'تقرير المصروفات حسب الشهر'!$C$135:$AD$244,7,FALSE),0)</f>
        <v>0</v>
      </c>
      <c r="F120" s="362">
        <v>0</v>
      </c>
      <c r="G120" s="362">
        <f>IFERROR(VLOOKUP(C120,'تقرير المصروفات حسب الشهر'!$C$387:$AD$495,7,FALSE),0)</f>
        <v>0</v>
      </c>
      <c r="H120" s="362">
        <f>IFERROR(VLOOKUP(C120,'تقرير المصروفات حسب الشهر'!$C$512:$AD$620,7,FALSE),0)</f>
        <v>0</v>
      </c>
      <c r="I120" s="362">
        <f>IFERROR(VLOOKUP(C120,'تقرير المصروفات حسب الشهر'!$C$637:$AD$746,7,FALSE),0)</f>
        <v>0</v>
      </c>
      <c r="J120" s="362">
        <f>IFERROR(VLOOKUP(C120,'تقرير المصروفات حسب الشهر'!$C$763:$AD$872,7,FALSE),0)</f>
        <v>0</v>
      </c>
      <c r="K120" s="362">
        <f>IFERROR(VLOOKUP(C120,'تقرير المصروفات حسب الشهر'!$C$890:$AD$999,7,FALSE),0)</f>
        <v>0</v>
      </c>
      <c r="L120" s="362">
        <f>IFERROR(VLOOKUP(C120,'تقرير المصروفات حسب الشهر'!$C$1016:$AD$1126,7,FALSE),0)</f>
        <v>0</v>
      </c>
      <c r="M120" s="376">
        <f>IFERROR(VLOOKUP(C120,'تقرير المصروفات حسب الشهر'!$C$1143:$AD$1254,7,FALSE),0)</f>
        <v>0</v>
      </c>
      <c r="N120" s="376">
        <f>IFERROR(VLOOKUP(C120,'تقرير المصروفات حسب الشهر'!$C$1270:$AD$1381,7,FALSE),0)</f>
        <v>0</v>
      </c>
      <c r="O120" s="376">
        <f>IFERROR(VLOOKUP(C120,'تقرير المصروفات حسب الشهر'!$C$1397:$AD$1512,7,FALSE),0)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الشهر'!$C$10:$AD$119,7,FALSE),0)</f>
        <v>0</v>
      </c>
      <c r="E121" s="362">
        <f>IFERROR(VLOOKUP(C121,'تقرير المصروفات حسب الشهر'!$C$135:$AD$244,7,FALSE),0)</f>
        <v>0</v>
      </c>
      <c r="F121" s="362">
        <v>0</v>
      </c>
      <c r="G121" s="362">
        <f>IFERROR(VLOOKUP(C121,'تقرير المصروفات حسب الشهر'!$C$387:$AD$495,7,FALSE),0)</f>
        <v>0</v>
      </c>
      <c r="H121" s="362">
        <f>IFERROR(VLOOKUP(C121,'تقرير المصروفات حسب الشهر'!$C$512:$AD$620,7,FALSE),0)</f>
        <v>0</v>
      </c>
      <c r="I121" s="362">
        <f>IFERROR(VLOOKUP(C121,'تقرير المصروفات حسب الشهر'!$C$637:$AD$746,7,FALSE),0)</f>
        <v>0</v>
      </c>
      <c r="J121" s="362">
        <f>IFERROR(VLOOKUP(C121,'تقرير المصروفات حسب الشهر'!$C$763:$AD$872,7,FALSE),0)</f>
        <v>0</v>
      </c>
      <c r="K121" s="362">
        <f>IFERROR(VLOOKUP(C121,'تقرير المصروفات حسب الشهر'!$C$890:$AD$999,7,FALSE),0)</f>
        <v>0</v>
      </c>
      <c r="L121" s="362">
        <f>IFERROR(VLOOKUP(C121,'تقرير المصروفات حسب الشهر'!$C$1016:$AD$1126,7,FALSE),0)</f>
        <v>0</v>
      </c>
      <c r="M121" s="376">
        <f>IFERROR(VLOOKUP(C121,'تقرير المصروفات حسب الشهر'!$C$1143:$AD$1254,7,FALSE),0)</f>
        <v>0</v>
      </c>
      <c r="N121" s="376">
        <f>IFERROR(VLOOKUP(C121,'تقرير المصروفات حسب الشهر'!$C$1270:$AD$1381,7,FALSE),0)</f>
        <v>0</v>
      </c>
      <c r="O121" s="376">
        <f>IFERROR(VLOOKUP(C121,'تقرير المصروفات حسب الشهر'!$C$1397:$AD$1512,7,FALSE),0)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الشهر'!$C$10:$AD$119,7,FALSE),0)</f>
        <v>0</v>
      </c>
      <c r="E122" s="362">
        <f>IFERROR(VLOOKUP(C122,'تقرير المصروفات حسب الشهر'!$C$135:$AD$244,7,FALSE),0)</f>
        <v>0</v>
      </c>
      <c r="F122" s="362">
        <v>0</v>
      </c>
      <c r="G122" s="362">
        <f>IFERROR(VLOOKUP(C122,'تقرير المصروفات حسب الشهر'!$C$387:$AD$495,7,FALSE),0)</f>
        <v>0</v>
      </c>
      <c r="H122" s="362">
        <f>IFERROR(VLOOKUP(C122,'تقرير المصروفات حسب الشهر'!$C$512:$AD$620,7,FALSE),0)</f>
        <v>0</v>
      </c>
      <c r="I122" s="362">
        <f>IFERROR(VLOOKUP(C122,'تقرير المصروفات حسب الشهر'!$C$637:$AD$746,7,FALSE),0)</f>
        <v>0</v>
      </c>
      <c r="J122" s="362">
        <f>IFERROR(VLOOKUP(C122,'تقرير المصروفات حسب الشهر'!$C$763:$AD$872,7,FALSE),0)</f>
        <v>0</v>
      </c>
      <c r="K122" s="362">
        <f>IFERROR(VLOOKUP(C122,'تقرير المصروفات حسب الشهر'!$C$890:$AD$999,7,FALSE),0)</f>
        <v>0</v>
      </c>
      <c r="L122" s="362">
        <f>IFERROR(VLOOKUP(C122,'تقرير المصروفات حسب الشهر'!$C$1016:$AD$1126,7,FALSE),0)</f>
        <v>0</v>
      </c>
      <c r="M122" s="376">
        <f>IFERROR(VLOOKUP(C122,'تقرير المصروفات حسب الشهر'!$C$1143:$AD$1254,7,FALSE),0)</f>
        <v>0</v>
      </c>
      <c r="N122" s="376">
        <f>IFERROR(VLOOKUP(C122,'تقرير المصروفات حسب الشهر'!$C$1270:$AD$1381,7,FALSE),0)</f>
        <v>0</v>
      </c>
      <c r="O122" s="376">
        <f>IFERROR(VLOOKUP(C122,'تقرير المصروفات حسب الشهر'!$C$1397:$AD$1512,7,FALSE),0)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الشهر'!$C$10:$AD$119,7,FALSE),0)</f>
        <v>0</v>
      </c>
      <c r="E123" s="362">
        <f>IFERROR(VLOOKUP(C123,'تقرير المصروفات حسب الشهر'!$C$135:$AD$244,7,FALSE),0)</f>
        <v>0</v>
      </c>
      <c r="F123" s="362">
        <v>0</v>
      </c>
      <c r="G123" s="362">
        <f>IFERROR(VLOOKUP(C123,'تقرير المصروفات حسب الشهر'!$C$387:$AD$495,7,FALSE),0)</f>
        <v>0</v>
      </c>
      <c r="H123" s="362">
        <f>IFERROR(VLOOKUP(C123,'تقرير المصروفات حسب الشهر'!$C$512:$AD$620,7,FALSE),0)</f>
        <v>0</v>
      </c>
      <c r="I123" s="362">
        <f>IFERROR(VLOOKUP(C123,'تقرير المصروفات حسب الشهر'!$C$637:$AD$746,7,FALSE),0)</f>
        <v>0</v>
      </c>
      <c r="J123" s="362">
        <f>IFERROR(VLOOKUP(C123,'تقرير المصروفات حسب الشهر'!$C$763:$AD$872,7,FALSE),0)</f>
        <v>0</v>
      </c>
      <c r="K123" s="362">
        <f>IFERROR(VLOOKUP(C123,'تقرير المصروفات حسب الشهر'!$C$890:$AD$999,7,FALSE),0)</f>
        <v>0</v>
      </c>
      <c r="L123" s="362">
        <f>IFERROR(VLOOKUP(C123,'تقرير المصروفات حسب الشهر'!$C$1016:$AD$1126,7,FALSE),0)</f>
        <v>0</v>
      </c>
      <c r="M123" s="376">
        <f>IFERROR(VLOOKUP(C123,'تقرير المصروفات حسب الشهر'!$C$1143:$AD$1254,7,FALSE),0)</f>
        <v>0</v>
      </c>
      <c r="N123" s="376">
        <f>IFERROR(VLOOKUP(C123,'تقرير المصروفات حسب الشهر'!$C$1270:$AD$1381,7,FALSE),0)</f>
        <v>0</v>
      </c>
      <c r="O123" s="376">
        <f>IFERROR(VLOOKUP(C123,'تقرير المصروفات حسب الشهر'!$C$1397:$AD$1512,7,FALSE),0)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الشهر'!$C$10:$AD$119,7,FALSE),0)</f>
        <v>0</v>
      </c>
      <c r="E124" s="362">
        <f>IFERROR(VLOOKUP(C124,'تقرير المصروفات حسب الشهر'!$C$135:$AD$244,7,FALSE),0)</f>
        <v>0</v>
      </c>
      <c r="F124" s="362">
        <v>0</v>
      </c>
      <c r="G124" s="362">
        <f>IFERROR(VLOOKUP(C124,'تقرير المصروفات حسب الشهر'!$C$387:$AD$495,7,FALSE),0)</f>
        <v>0</v>
      </c>
      <c r="H124" s="362">
        <f>IFERROR(VLOOKUP(C124,'تقرير المصروفات حسب الشهر'!$C$512:$AD$620,7,FALSE),0)</f>
        <v>0</v>
      </c>
      <c r="I124" s="362">
        <f>IFERROR(VLOOKUP(C124,'تقرير المصروفات حسب الشهر'!$C$637:$AD$746,7,FALSE),0)</f>
        <v>0</v>
      </c>
      <c r="J124" s="362">
        <f>IFERROR(VLOOKUP(C124,'تقرير المصروفات حسب الشهر'!$C$763:$AD$872,7,FALSE),0)</f>
        <v>0</v>
      </c>
      <c r="K124" s="362">
        <f>IFERROR(VLOOKUP(C124,'تقرير المصروفات حسب الشهر'!$C$890:$AD$999,7,FALSE),0)</f>
        <v>0</v>
      </c>
      <c r="L124" s="362">
        <f>IFERROR(VLOOKUP(C124,'تقرير المصروفات حسب الشهر'!$C$1016:$AD$1126,7,FALSE),0)</f>
        <v>0</v>
      </c>
      <c r="M124" s="376">
        <f>IFERROR(VLOOKUP(C124,'تقرير المصروفات حسب الشهر'!$C$1143:$AD$1254,7,FALSE),0)</f>
        <v>0</v>
      </c>
      <c r="N124" s="376">
        <f>IFERROR(VLOOKUP(C124,'تقرير المصروفات حسب الشهر'!$C$1270:$AD$1381,7,FALSE),0)</f>
        <v>0</v>
      </c>
      <c r="O124" s="376">
        <f>IFERROR(VLOOKUP(C124,'تقرير المصروفات حسب الشهر'!$C$1397:$AD$1512,7,FALSE),0)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الشهر'!$C$10:$AD$119,7,FALSE),0)</f>
        <v>0</v>
      </c>
      <c r="E125" s="362">
        <f>IFERROR(VLOOKUP(C125,'تقرير المصروفات حسب الشهر'!$C$135:$AD$244,7,FALSE),0)</f>
        <v>0</v>
      </c>
      <c r="F125" s="362">
        <v>0</v>
      </c>
      <c r="G125" s="362">
        <f>IFERROR(VLOOKUP(C125,'تقرير المصروفات حسب الشهر'!$C$387:$AD$495,7,FALSE),0)</f>
        <v>0</v>
      </c>
      <c r="H125" s="362">
        <f>IFERROR(VLOOKUP(C125,'تقرير المصروفات حسب الشهر'!$C$512:$AD$620,7,FALSE),0)</f>
        <v>0</v>
      </c>
      <c r="I125" s="362">
        <f>IFERROR(VLOOKUP(C125,'تقرير المصروفات حسب الشهر'!$C$637:$AD$746,7,FALSE),0)</f>
        <v>0</v>
      </c>
      <c r="J125" s="362">
        <f>IFERROR(VLOOKUP(C125,'تقرير المصروفات حسب الشهر'!$C$763:$AD$872,7,FALSE),0)</f>
        <v>0</v>
      </c>
      <c r="K125" s="362">
        <f>IFERROR(VLOOKUP(C125,'تقرير المصروفات حسب الشهر'!$C$890:$AD$999,7,FALSE),0)</f>
        <v>0</v>
      </c>
      <c r="L125" s="362">
        <f>IFERROR(VLOOKUP(C125,'تقرير المصروفات حسب الشهر'!$C$1016:$AD$1126,7,FALSE),0)</f>
        <v>0</v>
      </c>
      <c r="M125" s="376">
        <f>IFERROR(VLOOKUP(C125,'تقرير المصروفات حسب الشهر'!$C$1143:$AD$1254,7,FALSE),0)</f>
        <v>0</v>
      </c>
      <c r="N125" s="376">
        <f>IFERROR(VLOOKUP(C125,'تقرير المصروفات حسب الشهر'!$C$1270:$AD$1381,7,FALSE),0)</f>
        <v>0</v>
      </c>
      <c r="O125" s="376">
        <f>IFERROR(VLOOKUP(C125,'تقرير المصروفات حسب الشهر'!$C$1397:$AD$1512,7,FALSE),0)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الشهر'!$C$10:$AD$119,7,FALSE),0)</f>
        <v>0</v>
      </c>
      <c r="E126" s="362">
        <f>IFERROR(VLOOKUP(C126,'تقرير المصروفات حسب الشهر'!$C$135:$AD$244,7,FALSE),0)</f>
        <v>0</v>
      </c>
      <c r="F126" s="362">
        <v>0</v>
      </c>
      <c r="G126" s="362">
        <f>IFERROR(VLOOKUP(C126,'تقرير المصروفات حسب الشهر'!$C$387:$AD$495,7,FALSE),0)</f>
        <v>0</v>
      </c>
      <c r="H126" s="362">
        <f>IFERROR(VLOOKUP(C126,'تقرير المصروفات حسب الشهر'!$C$512:$AD$620,7,FALSE),0)</f>
        <v>0</v>
      </c>
      <c r="I126" s="362">
        <f>IFERROR(VLOOKUP(C126,'تقرير المصروفات حسب الشهر'!$C$637:$AD$746,7,FALSE),0)</f>
        <v>0</v>
      </c>
      <c r="J126" s="362">
        <f>IFERROR(VLOOKUP(C126,'تقرير المصروفات حسب الشهر'!$C$763:$AD$872,7,FALSE),0)</f>
        <v>0</v>
      </c>
      <c r="K126" s="362">
        <f>IFERROR(VLOOKUP(C126,'تقرير المصروفات حسب الشهر'!$C$890:$AD$999,7,FALSE),0)</f>
        <v>0</v>
      </c>
      <c r="L126" s="362">
        <f>IFERROR(VLOOKUP(C126,'تقرير المصروفات حسب الشهر'!$C$1016:$AD$1126,7,FALSE),0)</f>
        <v>0</v>
      </c>
      <c r="M126" s="376">
        <f>IFERROR(VLOOKUP(C126,'تقرير المصروفات حسب الشهر'!$C$1143:$AD$1254,7,FALSE),0)</f>
        <v>0</v>
      </c>
      <c r="N126" s="376">
        <f>IFERROR(VLOOKUP(C126,'تقرير المصروفات حسب الشهر'!$C$1270:$AD$1381,7,FALSE),0)</f>
        <v>0</v>
      </c>
      <c r="O126" s="376">
        <f>IFERROR(VLOOKUP(C126,'تقرير المصروفات حسب الشهر'!$C$1397:$AD$1512,7,FALSE),0)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الشهر'!$C$10:$AD$119,7,FALSE),0)</f>
        <v>0</v>
      </c>
      <c r="E127" s="362">
        <f>IFERROR(VLOOKUP(C127,'تقرير المصروفات حسب الشهر'!$C$135:$AD$244,7,FALSE),0)</f>
        <v>0</v>
      </c>
      <c r="F127" s="362">
        <v>0</v>
      </c>
      <c r="G127" s="362">
        <f>IFERROR(VLOOKUP(C127,'تقرير المصروفات حسب الشهر'!$C$387:$AD$495,7,FALSE),0)</f>
        <v>0</v>
      </c>
      <c r="H127" s="362">
        <f>IFERROR(VLOOKUP(C127,'تقرير المصروفات حسب الشهر'!$C$512:$AD$620,7,FALSE),0)</f>
        <v>0</v>
      </c>
      <c r="I127" s="362">
        <f>IFERROR(VLOOKUP(C127,'تقرير المصروفات حسب الشهر'!$C$637:$AD$746,7,FALSE),0)</f>
        <v>0</v>
      </c>
      <c r="J127" s="362">
        <f>IFERROR(VLOOKUP(C127,'تقرير المصروفات حسب الشهر'!$C$763:$AD$872,7,FALSE),0)</f>
        <v>0</v>
      </c>
      <c r="K127" s="362">
        <f>IFERROR(VLOOKUP(C127,'تقرير المصروفات حسب الشهر'!$C$890:$AD$999,7,FALSE),0)</f>
        <v>0</v>
      </c>
      <c r="L127" s="362">
        <f>IFERROR(VLOOKUP(C127,'تقرير المصروفات حسب الشهر'!$C$1016:$AD$1126,7,FALSE),0)</f>
        <v>0</v>
      </c>
      <c r="M127" s="376">
        <f>IFERROR(VLOOKUP(C127,'تقرير المصروفات حسب الشهر'!$C$1143:$AD$1254,7,FALSE),0)</f>
        <v>0</v>
      </c>
      <c r="N127" s="376">
        <f>IFERROR(VLOOKUP(C127,'تقرير المصروفات حسب الشهر'!$C$1270:$AD$1381,7,FALSE),0)</f>
        <v>0</v>
      </c>
      <c r="O127" s="376">
        <f>IFERROR(VLOOKUP(C127,'تقرير المصروفات حسب الشهر'!$C$1397:$AD$1512,7,FALSE),0)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الشهر'!$C$10:$AD$119,7,FALSE),0)</f>
        <v>0</v>
      </c>
      <c r="E128" s="362">
        <f>IFERROR(VLOOKUP(C128,'تقرير المصروفات حسب الشهر'!$C$135:$AD$244,7,FALSE),0)</f>
        <v>0</v>
      </c>
      <c r="F128" s="362">
        <v>0</v>
      </c>
      <c r="G128" s="362">
        <f>IFERROR(VLOOKUP(C128,'تقرير المصروفات حسب الشهر'!$C$387:$AD$495,7,FALSE),0)</f>
        <v>0</v>
      </c>
      <c r="H128" s="362">
        <f>IFERROR(VLOOKUP(C128,'تقرير المصروفات حسب الشهر'!$C$512:$AD$620,7,FALSE),0)</f>
        <v>0</v>
      </c>
      <c r="I128" s="362">
        <f>IFERROR(VLOOKUP(C128,'تقرير المصروفات حسب الشهر'!$C$637:$AD$746,7,FALSE),0)</f>
        <v>0</v>
      </c>
      <c r="J128" s="362">
        <f>IFERROR(VLOOKUP(C128,'تقرير المصروفات حسب الشهر'!$C$763:$AD$872,7,FALSE),0)</f>
        <v>0</v>
      </c>
      <c r="K128" s="362">
        <f>IFERROR(VLOOKUP(C128,'تقرير المصروفات حسب الشهر'!$C$890:$AD$999,7,FALSE),0)</f>
        <v>0</v>
      </c>
      <c r="L128" s="362">
        <f>IFERROR(VLOOKUP(C128,'تقرير المصروفات حسب الشهر'!$C$1016:$AD$1126,7,FALSE),0)</f>
        <v>0</v>
      </c>
      <c r="M128" s="376">
        <f>IFERROR(VLOOKUP(C128,'تقرير المصروفات حسب الشهر'!$C$1143:$AD$1254,7,FALSE),0)</f>
        <v>0</v>
      </c>
      <c r="N128" s="376">
        <f>IFERROR(VLOOKUP(C128,'تقرير المصروفات حسب الشهر'!$C$1270:$AD$1381,7,FALSE),0)</f>
        <v>0</v>
      </c>
      <c r="O128" s="376">
        <f>IFERROR(VLOOKUP(C128,'تقرير المصروفات حسب الشهر'!$C$1397:$AD$1512,7,FALSE),0)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الشهر'!$C$10:$AD$119,7,FALSE),0)</f>
        <v>1293.75</v>
      </c>
      <c r="E129" s="362">
        <f>IFERROR(VLOOKUP(C129,'تقرير المصروفات حسب الشهر'!$C$135:$AD$244,7,FALSE),0)</f>
        <v>1293.75</v>
      </c>
      <c r="F129" s="362">
        <v>1293.75</v>
      </c>
      <c r="G129" s="362">
        <f>IFERROR(VLOOKUP(C129,'تقرير المصروفات حسب الشهر'!$C$387:$AD$495,7,FALSE),0)</f>
        <v>1293.75</v>
      </c>
      <c r="H129" s="362">
        <f>IFERROR(VLOOKUP(C129,'تقرير المصروفات حسب الشهر'!$C$512:$AD$620,7,FALSE),0)</f>
        <v>1293.75</v>
      </c>
      <c r="I129" s="362">
        <f>IFERROR(VLOOKUP(C129,'تقرير المصروفات حسب الشهر'!$C$637:$AD$746,7,FALSE),0)</f>
        <v>1294</v>
      </c>
      <c r="J129" s="362">
        <f>IFERROR(VLOOKUP(C129,'تقرير المصروفات حسب الشهر'!$C$763:$AD$872,7,FALSE),0)</f>
        <v>1293.75</v>
      </c>
      <c r="K129" s="362">
        <f>IFERROR(VLOOKUP(C129,'تقرير المصروفات حسب الشهر'!$C$890:$AD$999,7,FALSE),0)</f>
        <v>1293.75</v>
      </c>
      <c r="L129" s="362">
        <f>IFERROR(VLOOKUP(C129,'تقرير المصروفات حسب الشهر'!$C$1016:$AI$1131,7,FALSE),0)</f>
        <v>1293.75</v>
      </c>
      <c r="M129" s="376">
        <f>IFERROR(VLOOKUP(C129,'تقرير المصروفات حسب الشهر'!$C$1143:$AD$1254,7,FALSE),0)</f>
        <v>1293.75</v>
      </c>
      <c r="N129" s="376">
        <f>IFERROR(VLOOKUP(C129,'تقرير المصروفات حسب الشهر'!$C$1270:$AD$1381,7,FALSE),0)</f>
        <v>1293.75</v>
      </c>
      <c r="O129" s="376">
        <f>IFERROR(VLOOKUP(C129,'تقرير المصروفات حسب الشهر'!$C$1397:$AD$1512,7,FALSE),0)</f>
        <v>1293.75</v>
      </c>
      <c r="P129" s="364">
        <f t="shared" si="6"/>
        <v>15525.25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الشهر'!$C$10:$AD$119,7,FALSE),0)</f>
        <v>0</v>
      </c>
      <c r="E130" s="362">
        <f>IFERROR(VLOOKUP(C130,'تقرير المصروفات حسب الشهر'!$C$135:$AD$244,7,FALSE),0)</f>
        <v>0</v>
      </c>
      <c r="F130" s="362">
        <v>0</v>
      </c>
      <c r="G130" s="362">
        <f>IFERROR(VLOOKUP(C130,'تقرير المصروفات حسب الشهر'!$C$387:$AD$495,7,FALSE),0)</f>
        <v>0</v>
      </c>
      <c r="H130" s="362">
        <f>IFERROR(VLOOKUP(C130,'تقرير المصروفات حسب الشهر'!$C$512:$AD$620,7,FALSE),0)</f>
        <v>0</v>
      </c>
      <c r="I130" s="362">
        <f>IFERROR(VLOOKUP(C130,'تقرير المصروفات حسب الشهر'!$C$637:$AD$746,7,FALSE),0)</f>
        <v>0</v>
      </c>
      <c r="J130" s="362">
        <f>IFERROR(VLOOKUP(C130,'تقرير المصروفات حسب الشهر'!$C$763:$AD$872,7,FALSE),0)</f>
        <v>0</v>
      </c>
      <c r="K130" s="362">
        <f>IFERROR(VLOOKUP(C130,'تقرير المصروفات حسب الشهر'!$C$890:$AD$999,7,FALSE),0)</f>
        <v>0</v>
      </c>
      <c r="L130" s="362">
        <f>IFERROR(VLOOKUP(C130,'تقرير المصروفات حسب الشهر'!$C$1016:$AI$1131,7,FALSE),0)</f>
        <v>0</v>
      </c>
      <c r="M130" s="376">
        <f>IFERROR(VLOOKUP(C130,'تقرير المصروفات حسب الشهر'!$C$1143:$AD$1254,7,FALSE),0)</f>
        <v>0</v>
      </c>
      <c r="N130" s="376">
        <f>IFERROR(VLOOKUP(C130,'تقرير المصروفات حسب الشهر'!$C$1270:$AD$1381,7,FALSE),0)</f>
        <v>0</v>
      </c>
      <c r="O130" s="376">
        <f>IFERROR(VLOOKUP(C130,'تقرير المصروفات حسب الشهر'!$C$1397:$AD$1512,7,FALSE),0)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الشهر'!$C$10:$AD$119,7,FALSE),0)</f>
        <v>0</v>
      </c>
      <c r="E131" s="362">
        <f>IFERROR(VLOOKUP(C131,'تقرير المصروفات حسب الشهر'!$C$135:$AD$244,7,FALSE),0)</f>
        <v>0</v>
      </c>
      <c r="F131" s="362">
        <v>0</v>
      </c>
      <c r="G131" s="362">
        <f>IFERROR(VLOOKUP(C131,'تقرير المصروفات حسب الشهر'!$C$387:$AD$495,7,FALSE),0)</f>
        <v>0</v>
      </c>
      <c r="H131" s="362">
        <f>IFERROR(VLOOKUP(C131,'تقرير المصروفات حسب الشهر'!$C$512:$AD$620,7,FALSE),0)</f>
        <v>0</v>
      </c>
      <c r="I131" s="362">
        <f>IFERROR(VLOOKUP(C131,'تقرير المصروفات حسب الشهر'!$C$637:$AD$746,7,FALSE),0)</f>
        <v>0</v>
      </c>
      <c r="J131" s="362">
        <f>IFERROR(VLOOKUP(C131,'تقرير المصروفات حسب الشهر'!$C$763:$AD$872,7,FALSE),0)</f>
        <v>0</v>
      </c>
      <c r="K131" s="362">
        <f>IFERROR(VLOOKUP(C131,'تقرير المصروفات حسب الشهر'!$C$890:$AD$999,7,FALSE),0)</f>
        <v>0</v>
      </c>
      <c r="L131" s="362">
        <f>IFERROR(VLOOKUP(C131,'تقرير المصروفات حسب الشهر'!$C$1016:$AI$1131,7,FALSE),0)</f>
        <v>0</v>
      </c>
      <c r="M131" s="376">
        <f>IFERROR(VLOOKUP(C131,'تقرير المصروفات حسب الشهر'!$C$1143:$AD$1254,7,FALSE),0)</f>
        <v>0</v>
      </c>
      <c r="N131" s="376">
        <f>IFERROR(VLOOKUP(C131,'تقرير المصروفات حسب الشهر'!$C$1270:$AD$1381,7,FALSE),0)</f>
        <v>0</v>
      </c>
      <c r="O131" s="376">
        <f>IFERROR(VLOOKUP(C131,'تقرير المصروفات حسب الشهر'!$C$1397:$AD$1512,7,FALSE),0)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95193.369999999981</v>
      </c>
      <c r="E132" s="146">
        <f t="shared" si="7"/>
        <v>60400.119999999995</v>
      </c>
      <c r="F132" s="146">
        <f t="shared" si="7"/>
        <v>60003.259999999995</v>
      </c>
      <c r="G132" s="146">
        <f t="shared" si="7"/>
        <v>99664.34</v>
      </c>
      <c r="H132" s="146">
        <f t="shared" si="7"/>
        <v>74869.099999999991</v>
      </c>
      <c r="I132" s="146">
        <f t="shared" si="7"/>
        <v>64655.63</v>
      </c>
      <c r="J132" s="146">
        <f t="shared" si="7"/>
        <v>88867.294999999998</v>
      </c>
      <c r="K132" s="146">
        <f t="shared" si="7"/>
        <v>67567.309999999983</v>
      </c>
      <c r="L132" s="146">
        <f t="shared" si="7"/>
        <v>65328.929999999993</v>
      </c>
      <c r="M132" s="146">
        <f t="shared" si="7"/>
        <v>102690.85</v>
      </c>
      <c r="N132" s="146">
        <f t="shared" si="7"/>
        <v>77209.710000000006</v>
      </c>
      <c r="O132" s="146">
        <f t="shared" si="7"/>
        <v>78069.400000000009</v>
      </c>
      <c r="P132" s="388">
        <f t="shared" si="6"/>
        <v>934519.31499999994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374893.6100000001</v>
      </c>
      <c r="E134" s="392">
        <f t="shared" si="8"/>
        <v>418199.98000000004</v>
      </c>
      <c r="F134" s="392">
        <f t="shared" si="8"/>
        <v>415044.84999999986</v>
      </c>
      <c r="G134" s="392">
        <f t="shared" si="8"/>
        <v>534615.86999999988</v>
      </c>
      <c r="H134" s="392">
        <f t="shared" si="8"/>
        <v>391920.09999999974</v>
      </c>
      <c r="I134" s="392">
        <f t="shared" si="8"/>
        <v>449477.51</v>
      </c>
      <c r="J134" s="392">
        <f t="shared" si="8"/>
        <v>472170.69000000006</v>
      </c>
      <c r="K134" s="392">
        <f t="shared" si="8"/>
        <v>488232.13999999966</v>
      </c>
      <c r="L134" s="392">
        <f t="shared" si="8"/>
        <v>468706.24999999983</v>
      </c>
      <c r="M134" s="392">
        <f t="shared" si="8"/>
        <v>574331.1799999997</v>
      </c>
      <c r="N134" s="392">
        <f t="shared" si="8"/>
        <v>408723.55</v>
      </c>
      <c r="O134" s="392">
        <f t="shared" si="8"/>
        <v>464495.86000000004</v>
      </c>
      <c r="P134" s="388">
        <f t="shared" si="6"/>
        <v>5460811.5899999999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279700.24000000011</v>
      </c>
      <c r="E137" s="383">
        <f t="shared" ref="E137:O137" si="9">E134-E132</f>
        <v>357799.86000000004</v>
      </c>
      <c r="F137" s="383">
        <f t="shared" si="9"/>
        <v>355041.58999999985</v>
      </c>
      <c r="G137" s="383">
        <f t="shared" si="9"/>
        <v>434951.52999999991</v>
      </c>
      <c r="H137" s="383">
        <f t="shared" si="9"/>
        <v>317050.99999999977</v>
      </c>
      <c r="I137" s="383">
        <f t="shared" si="9"/>
        <v>384821.88</v>
      </c>
      <c r="J137" s="383">
        <f t="shared" si="9"/>
        <v>383303.39500000008</v>
      </c>
      <c r="K137" s="383">
        <f t="shared" si="9"/>
        <v>420664.82999999967</v>
      </c>
      <c r="L137" s="383">
        <f t="shared" si="9"/>
        <v>403377.31999999983</v>
      </c>
      <c r="M137" s="383">
        <f t="shared" si="9"/>
        <v>471640.32999999973</v>
      </c>
      <c r="N137" s="383">
        <f t="shared" si="9"/>
        <v>331513.83999999997</v>
      </c>
      <c r="O137" s="383">
        <f t="shared" si="9"/>
        <v>386426.46</v>
      </c>
      <c r="P137" s="387">
        <f>SUM(D137:O137)</f>
        <v>4526292.2749999985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G141" s="459">
        <f>434951.53-G137</f>
        <v>0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>
    <tabColor rgb="FFFFC000"/>
  </sheetPr>
  <dimension ref="A1:T142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396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37</v>
      </c>
      <c r="B8" s="390"/>
      <c r="C8" s="369" t="s">
        <v>114</v>
      </c>
      <c r="D8" s="364">
        <f>D9+D10+D11</f>
        <v>229235.95</v>
      </c>
      <c r="E8" s="364">
        <f t="shared" ref="E8:O8" si="0">E9+E10+E11</f>
        <v>172031.96000000002</v>
      </c>
      <c r="F8" s="364">
        <f t="shared" si="0"/>
        <v>151893.71</v>
      </c>
      <c r="G8" s="364">
        <f t="shared" si="0"/>
        <v>257446.85</v>
      </c>
      <c r="H8" s="364">
        <f t="shared" si="0"/>
        <v>309072.3</v>
      </c>
      <c r="I8" s="364">
        <f t="shared" si="0"/>
        <v>426644.02</v>
      </c>
      <c r="J8" s="364">
        <f t="shared" si="0"/>
        <v>473256.7</v>
      </c>
      <c r="K8" s="364">
        <f t="shared" si="0"/>
        <v>533204.55000000005</v>
      </c>
      <c r="L8" s="364">
        <f t="shared" si="0"/>
        <v>514664.10000000003</v>
      </c>
      <c r="M8" s="364">
        <f t="shared" si="0"/>
        <v>591123.22</v>
      </c>
      <c r="N8" s="364">
        <f t="shared" si="0"/>
        <v>643423.87</v>
      </c>
      <c r="O8" s="364">
        <f t="shared" si="0"/>
        <v>732395.5199999999</v>
      </c>
      <c r="P8" s="364">
        <f>SUM(D8:O8)</f>
        <v>5034392.75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49347.64</v>
      </c>
      <c r="E9" s="365">
        <f>VLOOKUP($A$8,'تقرير إحصائية بحجم المبيعات'!$B$42:$G$73,2,FALSE)</f>
        <v>46537.910000000018</v>
      </c>
      <c r="F9" s="365">
        <f>VLOOKUP($A$8,'تقرير إحصائية بحجم المبيعات'!$B$78:$E$103,2,FALSE)</f>
        <v>42975.229999999996</v>
      </c>
      <c r="G9" s="365">
        <f>VLOOKUP($A$8,'تقرير إحصائية بحجم المبيعات'!$B$112:$G$137,2,FALSE)</f>
        <v>9164.7099999999846</v>
      </c>
      <c r="H9" s="365">
        <f>VLOOKUP($A$8,'تقرير إحصائية بحجم المبيعات'!$B$147:$G$177,2,FALSE)</f>
        <v>12612.339999999967</v>
      </c>
      <c r="I9" s="365">
        <f>VLOOKUP($A$8,'تقرير إحصائية بحجم المبيعات'!$B$182:$G$212,2,FALSE)</f>
        <v>24499.869999999995</v>
      </c>
      <c r="J9" s="365">
        <f>VLOOKUP($A$8,'تقرير إحصائية بحجم المبيعات'!$B$217:$L$243,2,FALSE)</f>
        <v>23672.369999999995</v>
      </c>
      <c r="K9" s="365">
        <f>VLOOKUP($A$8,'تقرير إحصائية بحجم المبيعات'!$B$252:$L$278,2,FALSE)</f>
        <v>31888.210000000021</v>
      </c>
      <c r="L9" s="365">
        <f>VLOOKUP($A$8,'تقرير إحصائية بحجم المبيعات'!$B$287:$L$313,2,FALSE)</f>
        <v>40273.440000000061</v>
      </c>
      <c r="M9" s="365">
        <f>VLOOKUP($A$8,'تقرير إحصائية بحجم المبيعات'!$B$322:$L$347,2,FALSE)</f>
        <v>29414.599999999977</v>
      </c>
      <c r="N9" s="365">
        <f>VLOOKUP($A$8,'تقرير إحصائية بحجم المبيعات'!$B$357:$L$383,2,FALSE)</f>
        <v>51206.219999999972</v>
      </c>
      <c r="O9" s="365">
        <f>VLOOKUP($A$8,'تقرير إحصائية بحجم المبيعات'!$B$391:$L$420,2,FALSE)</f>
        <v>35777.85999999987</v>
      </c>
      <c r="P9" s="364">
        <f t="shared" ref="P9:P18" si="1">SUM(D9:O9)</f>
        <v>397370.39999999991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179888.31</v>
      </c>
      <c r="E11" s="365">
        <f>VLOOKUP($A$8,'تقرير إحصائية بحجم المبيعات'!$B$42:$G$73,4,FALSE)</f>
        <v>125494.05</v>
      </c>
      <c r="F11" s="365">
        <f>VLOOKUP($A$8,'تقرير إحصائية بحجم المبيعات'!$B$78:$E$103,4,FALSE)</f>
        <v>108918.48</v>
      </c>
      <c r="G11" s="365">
        <f>VLOOKUP($A$8,'تقرير إحصائية بحجم المبيعات'!$B$112:$G$137,4,FALSE)</f>
        <v>248282.14</v>
      </c>
      <c r="H11" s="365">
        <f>VLOOKUP($A$8,'تقرير إحصائية بحجم المبيعات'!$B$147:$G$177,4,FALSE)</f>
        <v>296459.96000000002</v>
      </c>
      <c r="I11" s="365">
        <f>VLOOKUP($A$8,'تقرير إحصائية بحجم المبيعات'!$B$182:$G$212,4,FALSE)</f>
        <v>402144.15</v>
      </c>
      <c r="J11" s="365">
        <f>VLOOKUP($A$8,'تقرير إحصائية بحجم المبيعات'!$B$217:$L$243,4,FALSE)</f>
        <v>449584.33</v>
      </c>
      <c r="K11" s="365">
        <f>VLOOKUP($A$8,'تقرير إحصائية بحجم المبيعات'!$B$252:$L$278,4,FALSE)</f>
        <v>501316.34</v>
      </c>
      <c r="L11" s="365">
        <f>VLOOKUP($A$8,'تقرير إحصائية بحجم المبيعات'!$B$287:$L$313,4,FALSE)</f>
        <v>474390.66</v>
      </c>
      <c r="M11" s="365">
        <f>VLOOKUP($A$8,'تقرير إحصائية بحجم المبيعات'!$B$322:$L$347,4,FALSE)</f>
        <v>561708.62</v>
      </c>
      <c r="N11" s="365">
        <f>VLOOKUP($A$8,'تقرير إحصائية بحجم المبيعات'!$B$357:$L$383,4,FALSE)</f>
        <v>592217.65</v>
      </c>
      <c r="O11" s="365">
        <f>VLOOKUP($A$8,'تقرير إحصائية بحجم المبيعات'!$B$391:$L$420,4,FALSE)</f>
        <v>696617.66</v>
      </c>
      <c r="P11" s="364">
        <f t="shared" si="1"/>
        <v>4637022.3499999996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197826.25</v>
      </c>
      <c r="E12" s="364">
        <f>VLOOKUP($A$8,'تقرير إحصائية بحجم المبيعات'!$B$42:$L$73,11,FALSE)</f>
        <v>148205.42000000001</v>
      </c>
      <c r="F12" s="364">
        <f>VLOOKUP($A$8,'تقرير إحصائية بحجم المبيعات'!$B$78:$L$103,11,FALSE)</f>
        <v>132498.17000000001</v>
      </c>
      <c r="G12" s="364">
        <f>VLOOKUP($A$8,'تقرير إحصائية بحجم المبيعات'!$B$112:$L$137,11,FALSE)</f>
        <v>229666.33</v>
      </c>
      <c r="H12" s="364">
        <f>VLOOKUP($A$8,'تقرير إحصائية بحجم المبيعات'!$B$147:$L$177,11,FALSE)</f>
        <v>270303.07</v>
      </c>
      <c r="I12" s="364">
        <f>VLOOKUP($A$8,'تقرير إحصائية بحجم المبيعات'!$B$182:$L$212,11,FALSE)</f>
        <v>378252.64</v>
      </c>
      <c r="J12" s="365">
        <f>VLOOKUP($A$8,'تقرير إحصائية بحجم المبيعات'!$B$217:$L$243,11,FALSE)</f>
        <v>408942.63</v>
      </c>
      <c r="K12" s="364">
        <f>VLOOKUP($A$8,'تقرير إحصائية بحجم المبيعات'!$B$252:$L$278,11,FALSE)</f>
        <v>463003.36</v>
      </c>
      <c r="L12" s="364">
        <f>VLOOKUP($A$8,'تقرير إحصائية بحجم المبيعات'!$B$287:$L$313,11,FALSE)</f>
        <v>446632.38</v>
      </c>
      <c r="M12" s="365">
        <f>VLOOKUP($A$8,'تقرير إحصائية بحجم المبيعات'!$B$322:$L$347,11,FALSE)</f>
        <v>509300.8</v>
      </c>
      <c r="N12" s="365">
        <f>VLOOKUP($A$8,'تقرير إحصائية بحجم المبيعات'!$B$357:$L$383,11,FALSE)</f>
        <v>555019.44999999995</v>
      </c>
      <c r="O12" s="365">
        <f>VLOOKUP($A$8,'تقرير إحصائية بحجم المبيعات'!$B$391:$L$420,11,FALSE)</f>
        <v>630090.94999999995</v>
      </c>
      <c r="P12" s="364">
        <f t="shared" si="1"/>
        <v>4369741.4499999993</v>
      </c>
    </row>
    <row r="13" spans="1:20" ht="18" customHeight="1">
      <c r="B13" s="124"/>
      <c r="C13" s="371" t="s">
        <v>14</v>
      </c>
      <c r="D13" s="366">
        <f t="shared" ref="D13:O13" si="2">D8-D12</f>
        <v>31409.700000000012</v>
      </c>
      <c r="E13" s="366">
        <f t="shared" si="2"/>
        <v>23826.540000000008</v>
      </c>
      <c r="F13" s="366">
        <f t="shared" si="2"/>
        <v>19395.539999999979</v>
      </c>
      <c r="G13" s="366">
        <f t="shared" si="2"/>
        <v>27780.520000000019</v>
      </c>
      <c r="H13" s="366">
        <f t="shared" si="2"/>
        <v>38769.229999999981</v>
      </c>
      <c r="I13" s="366">
        <f t="shared" si="2"/>
        <v>48391.380000000005</v>
      </c>
      <c r="J13" s="366">
        <f t="shared" si="2"/>
        <v>64314.070000000007</v>
      </c>
      <c r="K13" s="366">
        <f t="shared" si="2"/>
        <v>70201.190000000061</v>
      </c>
      <c r="L13" s="366">
        <f t="shared" si="2"/>
        <v>68031.72000000003</v>
      </c>
      <c r="M13" s="366">
        <f t="shared" si="2"/>
        <v>81822.419999999984</v>
      </c>
      <c r="N13" s="366">
        <f t="shared" si="2"/>
        <v>88404.420000000042</v>
      </c>
      <c r="O13" s="366">
        <f t="shared" si="2"/>
        <v>102304.56999999995</v>
      </c>
      <c r="P13" s="366">
        <f t="shared" si="1"/>
        <v>664651.30000000005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41.23</v>
      </c>
      <c r="E16" s="367">
        <v>46.329999999999927</v>
      </c>
      <c r="F16" s="367">
        <v>439.60000000000036</v>
      </c>
      <c r="G16" s="367">
        <v>3154.3700000000008</v>
      </c>
      <c r="H16" s="367"/>
      <c r="I16" s="367"/>
      <c r="J16" s="367"/>
      <c r="K16" s="367">
        <v>112.47</v>
      </c>
      <c r="L16" s="367"/>
      <c r="M16" s="367"/>
      <c r="N16" s="367">
        <v>10369.950000000004</v>
      </c>
      <c r="O16" s="367">
        <v>16688.3</v>
      </c>
      <c r="P16" s="364">
        <f t="shared" si="1"/>
        <v>30852.250000000004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41.23</v>
      </c>
      <c r="E18" s="363">
        <f t="shared" ref="E18:O18" si="3">SUM(E14:E17)</f>
        <v>46.329999999999927</v>
      </c>
      <c r="F18" s="363">
        <f t="shared" si="3"/>
        <v>439.60000000000036</v>
      </c>
      <c r="G18" s="363">
        <f t="shared" si="3"/>
        <v>3154.3700000000008</v>
      </c>
      <c r="H18" s="363">
        <f t="shared" si="3"/>
        <v>0</v>
      </c>
      <c r="I18" s="363">
        <f t="shared" si="3"/>
        <v>0</v>
      </c>
      <c r="J18" s="363">
        <f t="shared" si="3"/>
        <v>0</v>
      </c>
      <c r="K18" s="363">
        <f t="shared" si="3"/>
        <v>112.47</v>
      </c>
      <c r="L18" s="363">
        <f t="shared" si="3"/>
        <v>0</v>
      </c>
      <c r="M18" s="368">
        <f t="shared" si="3"/>
        <v>0</v>
      </c>
      <c r="N18" s="368">
        <f t="shared" si="3"/>
        <v>10369.950000000004</v>
      </c>
      <c r="O18" s="368">
        <f t="shared" si="3"/>
        <v>16688.3</v>
      </c>
      <c r="P18" s="364">
        <f t="shared" si="1"/>
        <v>30852.250000000004</v>
      </c>
    </row>
    <row r="19" spans="2:16" ht="18" customHeight="1">
      <c r="B19" s="124"/>
      <c r="C19" s="386" t="s">
        <v>14</v>
      </c>
      <c r="D19" s="374">
        <f t="shared" ref="D19:O19" si="4">D13+D18</f>
        <v>31450.930000000011</v>
      </c>
      <c r="E19" s="374">
        <f t="shared" si="4"/>
        <v>23872.87000000001</v>
      </c>
      <c r="F19" s="374">
        <f t="shared" si="4"/>
        <v>19835.139999999978</v>
      </c>
      <c r="G19" s="374">
        <f t="shared" si="4"/>
        <v>30934.890000000021</v>
      </c>
      <c r="H19" s="374">
        <f t="shared" si="4"/>
        <v>38769.229999999981</v>
      </c>
      <c r="I19" s="374">
        <f t="shared" si="4"/>
        <v>48391.380000000005</v>
      </c>
      <c r="J19" s="374">
        <f t="shared" si="4"/>
        <v>64314.070000000007</v>
      </c>
      <c r="K19" s="374">
        <f t="shared" si="4"/>
        <v>70313.660000000062</v>
      </c>
      <c r="L19" s="374">
        <f t="shared" si="4"/>
        <v>68031.72000000003</v>
      </c>
      <c r="M19" s="374">
        <f t="shared" si="4"/>
        <v>81822.419999999984</v>
      </c>
      <c r="N19" s="374">
        <f t="shared" si="4"/>
        <v>98774.370000000054</v>
      </c>
      <c r="O19" s="374">
        <f t="shared" si="4"/>
        <v>118992.86999999995</v>
      </c>
      <c r="P19" s="382">
        <f>SUM(D19:O19)</f>
        <v>695503.55000000016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الشهر'!$C$10:$AD$119,8,FALSE),0)</f>
        <v>0</v>
      </c>
      <c r="E22" s="362">
        <f>IFERROR(VLOOKUP(C22,'تقرير المصروفات حسب الشهر'!$C$135:$AD$244,8,FALSE),0)</f>
        <v>0</v>
      </c>
      <c r="F22" s="362">
        <f>IFERROR(VLOOKUP(C22,'تقرير المصروفات حسب الشهر'!$C$261:$AD$368,8,FALSE),0)</f>
        <v>0</v>
      </c>
      <c r="G22" s="362">
        <f>IFERROR(VLOOKUP(C22,'تقرير المصروفات حسب الشهر'!$C$387:$AD$495,8,FALSE),0)</f>
        <v>0</v>
      </c>
      <c r="H22" s="362">
        <f>IFERROR(VLOOKUP(C22,'تقرير المصروفات حسب الشهر'!$C$512:$AD$620,8,FALSE),0)</f>
        <v>0</v>
      </c>
      <c r="I22" s="362">
        <f>IFERROR(VLOOKUP(C22,'تقرير المصروفات حسب الشهر'!$C$637:$AD$746,8,FALSE),0)</f>
        <v>0</v>
      </c>
      <c r="J22" s="362">
        <f>IFERROR(VLOOKUP(C22,'تقرير المصروفات حسب الشهر'!$C$763:$AD$872,8,FALSE),0)</f>
        <v>0</v>
      </c>
      <c r="K22" s="362">
        <f>IFERROR(VLOOKUP(C22,'تقرير المصروفات حسب الشهر'!$C$890:$AD$999,8,FALSE),0)</f>
        <v>0</v>
      </c>
      <c r="L22" s="362">
        <f>IFERROR(VLOOKUP(C22,'تقرير المصروفات حسب الشهر'!$C$1016:$AD$1126,8,FALSE),0)</f>
        <v>0</v>
      </c>
      <c r="M22" s="376">
        <f>IFERROR(VLOOKUP(C22,'تقرير المصروفات حسب الشهر'!$C$1143:$AD$1254,8,FALSE),0)</f>
        <v>0</v>
      </c>
      <c r="N22" s="376">
        <f>IFERROR(VLOOKUP(C22,'تقرير المصروفات حسب الشهر'!$C$1270:$AD$1381,8,FALSE),0)</f>
        <v>0</v>
      </c>
      <c r="O22" s="376">
        <f>IFERROR(VLOOKUP(C22,'تقرير المصروفات حسب الشهر'!$C$1397:$AD$1512,8,FALSE),0)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الشهر'!$C$10:$AD$119,8,FALSE),0)</f>
        <v>14221.32</v>
      </c>
      <c r="E23" s="362">
        <f>IFERROR(VLOOKUP(C23,'تقرير المصروفات حسب الشهر'!$C$135:$AD$244,8,FALSE),0)</f>
        <v>13610.24</v>
      </c>
      <c r="F23" s="362">
        <f>IFERROR(VLOOKUP(C23,'تقرير المصروفات حسب الشهر'!$C$261:$AD$368,8,FALSE),0)</f>
        <v>14160.81</v>
      </c>
      <c r="G23" s="362">
        <f>IFERROR(VLOOKUP(C23,'تقرير المصروفات حسب الشهر'!$C$387:$AD$495,8,FALSE),0)</f>
        <v>10701.58</v>
      </c>
      <c r="H23" s="362">
        <f>IFERROR(VLOOKUP(C23,'تقرير المصروفات حسب الشهر'!$C$512:$AD$620,8,FALSE),0)</f>
        <v>16220.23</v>
      </c>
      <c r="I23" s="362">
        <f>IFERROR(VLOOKUP(C23,'تقرير المصروفات حسب الشهر'!$C$637:$AD$746,8,FALSE),0)</f>
        <v>23238.97</v>
      </c>
      <c r="J23" s="362">
        <f>IFERROR(VLOOKUP(C23,'تقرير المصروفات حسب الشهر'!$C$763:$AD$872,8,FALSE),0)</f>
        <v>21298.639999999999</v>
      </c>
      <c r="K23" s="362">
        <f>IFERROR(VLOOKUP(C23,'تقرير المصروفات حسب الشهر'!$C$890:$AD$999,8,FALSE),0)</f>
        <v>21718.85</v>
      </c>
      <c r="L23" s="362">
        <f>IFERROR(VLOOKUP(C23,'تقرير المصروفات حسب الشهر'!$C$1016:$AD$1126,8,FALSE),0)</f>
        <v>20122.419999999998</v>
      </c>
      <c r="M23" s="376">
        <f>IFERROR(VLOOKUP(C23,'تقرير المصروفات حسب الشهر'!$C$1143:$AD$1254,8,FALSE),0)</f>
        <v>22652.78</v>
      </c>
      <c r="N23" s="376">
        <f>IFERROR(VLOOKUP(C23,'تقرير المصروفات حسب الشهر'!$C$1270:$AD$1381,8,FALSE),0)</f>
        <v>23089.91</v>
      </c>
      <c r="O23" s="376">
        <f>IFERROR(VLOOKUP(C23,'تقرير المصروفات حسب الشهر'!$C$1397:$AD$1512,8,FALSE),0)</f>
        <v>20245.86</v>
      </c>
      <c r="P23" s="364">
        <f t="shared" ref="P23:P86" si="5">SUM(D23:O23)</f>
        <v>221281.61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الشهر'!$C$10:$AD$119,8,FALSE),0)</f>
        <v>0</v>
      </c>
      <c r="E24" s="362">
        <f>IFERROR(VLOOKUP(C24,'تقرير المصروفات حسب الشهر'!$C$135:$AD$244,8,FALSE),0)</f>
        <v>0</v>
      </c>
      <c r="F24" s="362">
        <f>IFERROR(VLOOKUP(C24,'تقرير المصروفات حسب الشهر'!$C$261:$AD$368,8,FALSE),0)</f>
        <v>0</v>
      </c>
      <c r="G24" s="362">
        <f>IFERROR(VLOOKUP(C24,'تقرير المصروفات حسب الشهر'!$C$387:$AD$495,8,FALSE),0)</f>
        <v>0</v>
      </c>
      <c r="H24" s="362">
        <f>IFERROR(VLOOKUP(C24,'تقرير المصروفات حسب الشهر'!$C$512:$AD$620,8,FALSE),0)</f>
        <v>0</v>
      </c>
      <c r="I24" s="362">
        <f>IFERROR(VLOOKUP(C24,'تقرير المصروفات حسب الشهر'!$C$637:$AD$746,8,FALSE),0)</f>
        <v>0</v>
      </c>
      <c r="J24" s="362">
        <f>IFERROR(VLOOKUP(C24,'تقرير المصروفات حسب الشهر'!$C$763:$AD$872,8,FALSE),0)</f>
        <v>0</v>
      </c>
      <c r="K24" s="362">
        <f>IFERROR(VLOOKUP(C24,'تقرير المصروفات حسب الشهر'!$C$890:$AD$999,8,FALSE),0)</f>
        <v>0</v>
      </c>
      <c r="L24" s="362">
        <f>IFERROR(VLOOKUP(C24,'تقرير المصروفات حسب الشهر'!$C$1016:$AD$1126,8,FALSE),0)</f>
        <v>0</v>
      </c>
      <c r="M24" s="376">
        <f>IFERROR(VLOOKUP(C24,'تقرير المصروفات حسب الشهر'!$C$1143:$AD$1254,8,FALSE),0)</f>
        <v>0</v>
      </c>
      <c r="N24" s="376">
        <f>IFERROR(VLOOKUP(C24,'تقرير المصروفات حسب الشهر'!$C$1270:$AD$1381,8,FALSE),0)</f>
        <v>0</v>
      </c>
      <c r="O24" s="376">
        <f>IFERROR(VLOOKUP(C24,'تقرير المصروفات حسب الشهر'!$C$1397:$AD$1512,8,FALSE),0)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الشهر'!$C$10:$AD$119,8,FALSE),0)</f>
        <v>0</v>
      </c>
      <c r="E25" s="362">
        <f>IFERROR(VLOOKUP(C25,'تقرير المصروفات حسب الشهر'!$C$135:$AD$244,8,FALSE),0)</f>
        <v>0</v>
      </c>
      <c r="F25" s="362">
        <f>IFERROR(VLOOKUP(C25,'تقرير المصروفات حسب الشهر'!$C$261:$AD$368,8,FALSE),0)</f>
        <v>0</v>
      </c>
      <c r="G25" s="362">
        <f>IFERROR(VLOOKUP(C25,'تقرير المصروفات حسب الشهر'!$C$387:$AD$495,8,FALSE),0)</f>
        <v>0</v>
      </c>
      <c r="H25" s="362">
        <f>IFERROR(VLOOKUP(C25,'تقرير المصروفات حسب الشهر'!$C$512:$AD$620,8,FALSE),0)</f>
        <v>0</v>
      </c>
      <c r="I25" s="362">
        <f>IFERROR(VLOOKUP(C25,'تقرير المصروفات حسب الشهر'!$C$637:$AD$746,8,FALSE),0)</f>
        <v>0</v>
      </c>
      <c r="J25" s="362">
        <f>IFERROR(VLOOKUP(C25,'تقرير المصروفات حسب الشهر'!$C$763:$AD$872,8,FALSE),0)</f>
        <v>0</v>
      </c>
      <c r="K25" s="362">
        <f>IFERROR(VLOOKUP(C25,'تقرير المصروفات حسب الشهر'!$C$890:$AD$999,8,FALSE),0)</f>
        <v>0</v>
      </c>
      <c r="L25" s="362">
        <f>IFERROR(VLOOKUP(C25,'تقرير المصروفات حسب الشهر'!$C$1016:$AD$1126,8,FALSE),0)</f>
        <v>0</v>
      </c>
      <c r="M25" s="376">
        <f>IFERROR(VLOOKUP(C25,'تقرير المصروفات حسب الشهر'!$C$1143:$AD$1254,8,FALSE),0)</f>
        <v>0</v>
      </c>
      <c r="N25" s="376">
        <f>IFERROR(VLOOKUP(C25,'تقرير المصروفات حسب الشهر'!$C$1270:$AD$1381,8,FALSE),0)</f>
        <v>0</v>
      </c>
      <c r="O25" s="376">
        <f>IFERROR(VLOOKUP(C25,'تقرير المصروفات حسب الشهر'!$C$1397:$AD$1512,8,FALSE),0)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الشهر'!$C$10:$AD$119,8,FALSE),0)</f>
        <v>0</v>
      </c>
      <c r="E26" s="362">
        <f>IFERROR(VLOOKUP(C26,'تقرير المصروفات حسب الشهر'!$C$135:$AD$244,8,FALSE),0)</f>
        <v>0</v>
      </c>
      <c r="F26" s="362">
        <f>IFERROR(VLOOKUP(C26,'تقرير المصروفات حسب الشهر'!$C$261:$AD$368,8,FALSE),0)</f>
        <v>0</v>
      </c>
      <c r="G26" s="362">
        <f>IFERROR(VLOOKUP(C26,'تقرير المصروفات حسب الشهر'!$C$387:$AD$495,8,FALSE),0)</f>
        <v>0</v>
      </c>
      <c r="H26" s="362">
        <f>IFERROR(VLOOKUP(C26,'تقرير المصروفات حسب الشهر'!$C$512:$AD$620,8,FALSE),0)</f>
        <v>0</v>
      </c>
      <c r="I26" s="362">
        <f>IFERROR(VLOOKUP(C26,'تقرير المصروفات حسب الشهر'!$C$637:$AD$746,8,FALSE),0)</f>
        <v>0</v>
      </c>
      <c r="J26" s="362">
        <f>IFERROR(VLOOKUP(C26,'تقرير المصروفات حسب الشهر'!$C$763:$AD$872,8,FALSE),0)</f>
        <v>0</v>
      </c>
      <c r="K26" s="362">
        <f>IFERROR(VLOOKUP(C26,'تقرير المصروفات حسب الشهر'!$C$890:$AD$999,8,FALSE),0)</f>
        <v>0</v>
      </c>
      <c r="L26" s="362">
        <f>IFERROR(VLOOKUP(C26,'تقرير المصروفات حسب الشهر'!$C$1016:$AD$1126,8,FALSE),0)</f>
        <v>0</v>
      </c>
      <c r="M26" s="376">
        <f>IFERROR(VLOOKUP(C26,'تقرير المصروفات حسب الشهر'!$C$1143:$AD$1254,8,FALSE),0)</f>
        <v>0</v>
      </c>
      <c r="N26" s="376">
        <f>IFERROR(VLOOKUP(C26,'تقرير المصروفات حسب الشهر'!$C$1270:$AD$1381,8,FALSE),0)</f>
        <v>0</v>
      </c>
      <c r="O26" s="376">
        <f>IFERROR(VLOOKUP(C26,'تقرير المصروفات حسب الشهر'!$C$1397:$AD$1512,8,FALSE),0)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الشهر'!$C$10:$AD$119,8,FALSE),0)</f>
        <v>0</v>
      </c>
      <c r="E27" s="362">
        <f>IFERROR(VLOOKUP(C27,'تقرير المصروفات حسب الشهر'!$C$135:$AD$244,8,FALSE),0)</f>
        <v>0</v>
      </c>
      <c r="F27" s="362">
        <f>IFERROR(VLOOKUP(C27,'تقرير المصروفات حسب الشهر'!$C$261:$AD$368,8,FALSE),0)</f>
        <v>0</v>
      </c>
      <c r="G27" s="362">
        <f>IFERROR(VLOOKUP(C27,'تقرير المصروفات حسب الشهر'!$C$387:$AD$495,8,FALSE),0)</f>
        <v>0</v>
      </c>
      <c r="H27" s="362">
        <f>IFERROR(VLOOKUP(C27,'تقرير المصروفات حسب الشهر'!$C$512:$AD$620,8,FALSE),0)</f>
        <v>0</v>
      </c>
      <c r="I27" s="362">
        <f>IFERROR(VLOOKUP(C27,'تقرير المصروفات حسب الشهر'!$C$637:$AD$746,8,FALSE),0)</f>
        <v>0</v>
      </c>
      <c r="J27" s="362">
        <f>IFERROR(VLOOKUP(C27,'تقرير المصروفات حسب الشهر'!$C$763:$AD$872,8,FALSE),0)</f>
        <v>0</v>
      </c>
      <c r="K27" s="362">
        <f>IFERROR(VLOOKUP(C27,'تقرير المصروفات حسب الشهر'!$C$890:$AD$999,8,FALSE),0)</f>
        <v>0</v>
      </c>
      <c r="L27" s="362">
        <f>IFERROR(VLOOKUP(C27,'تقرير المصروفات حسب الشهر'!$C$1016:$AD$1126,8,FALSE),0)</f>
        <v>0</v>
      </c>
      <c r="M27" s="376">
        <f>IFERROR(VLOOKUP(C27,'تقرير المصروفات حسب الشهر'!$C$1143:$AD$1254,8,FALSE),0)</f>
        <v>0</v>
      </c>
      <c r="N27" s="376">
        <f>IFERROR(VLOOKUP(C27,'تقرير المصروفات حسب الشهر'!$C$1270:$AD$1381,8,FALSE),0)</f>
        <v>0</v>
      </c>
      <c r="O27" s="376">
        <f>IFERROR(VLOOKUP(C27,'تقرير المصروفات حسب الشهر'!$C$1397:$AD$1512,8,FALSE),0)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الشهر'!$C$10:$AD$119,8,FALSE),0)</f>
        <v>0</v>
      </c>
      <c r="E28" s="362">
        <f>IFERROR(VLOOKUP(C28,'تقرير المصروفات حسب الشهر'!$C$135:$AD$244,8,FALSE),0)</f>
        <v>0</v>
      </c>
      <c r="F28" s="362">
        <f>IFERROR(VLOOKUP(C28,'تقرير المصروفات حسب الشهر'!$C$261:$AD$368,8,FALSE),0)</f>
        <v>0</v>
      </c>
      <c r="G28" s="362">
        <f>IFERROR(VLOOKUP(C28,'تقرير المصروفات حسب الشهر'!$C$387:$AD$495,8,FALSE),0)</f>
        <v>0</v>
      </c>
      <c r="H28" s="362">
        <f>IFERROR(VLOOKUP(C28,'تقرير المصروفات حسب الشهر'!$C$512:$AD$620,8,FALSE),0)</f>
        <v>0</v>
      </c>
      <c r="I28" s="362">
        <f>IFERROR(VLOOKUP(C28,'تقرير المصروفات حسب الشهر'!$C$637:$AD$746,8,FALSE),0)</f>
        <v>0</v>
      </c>
      <c r="J28" s="362">
        <f>IFERROR(VLOOKUP(C28,'تقرير المصروفات حسب الشهر'!$C$763:$AD$872,8,FALSE),0)</f>
        <v>0</v>
      </c>
      <c r="K28" s="362">
        <f>IFERROR(VLOOKUP(C28,'تقرير المصروفات حسب الشهر'!$C$890:$AD$999,8,FALSE),0)</f>
        <v>0</v>
      </c>
      <c r="L28" s="362">
        <f>IFERROR(VLOOKUP(C28,'تقرير المصروفات حسب الشهر'!$C$1016:$AD$1126,8,FALSE),0)</f>
        <v>0</v>
      </c>
      <c r="M28" s="376">
        <f>IFERROR(VLOOKUP(C28,'تقرير المصروفات حسب الشهر'!$C$1143:$AD$1254,8,FALSE),0)</f>
        <v>0</v>
      </c>
      <c r="N28" s="376">
        <f>IFERROR(VLOOKUP(C28,'تقرير المصروفات حسب الشهر'!$C$1270:$AD$1381,8,FALSE),0)</f>
        <v>0</v>
      </c>
      <c r="O28" s="376">
        <f>IFERROR(VLOOKUP(C28,'تقرير المصروفات حسب الشهر'!$C$1397:$AD$1512,8,FALSE),0)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الشهر'!$C$10:$AD$119,8,FALSE),0)</f>
        <v>0</v>
      </c>
      <c r="E29" s="362">
        <f>IFERROR(VLOOKUP(C29,'تقرير المصروفات حسب الشهر'!$C$135:$AD$244,8,FALSE),0)</f>
        <v>0</v>
      </c>
      <c r="F29" s="362">
        <f>IFERROR(VLOOKUP(C29,'تقرير المصروفات حسب الشهر'!$C$261:$AD$368,8,FALSE),0)</f>
        <v>0</v>
      </c>
      <c r="G29" s="362">
        <f>IFERROR(VLOOKUP(C29,'تقرير المصروفات حسب الشهر'!$C$387:$AD$495,8,FALSE),0)</f>
        <v>0</v>
      </c>
      <c r="H29" s="362">
        <f>IFERROR(VLOOKUP(C29,'تقرير المصروفات حسب الشهر'!$C$512:$AD$620,8,FALSE),0)</f>
        <v>0</v>
      </c>
      <c r="I29" s="362">
        <f>IFERROR(VLOOKUP(C29,'تقرير المصروفات حسب الشهر'!$C$637:$AD$746,8,FALSE),0)</f>
        <v>0</v>
      </c>
      <c r="J29" s="362">
        <f>IFERROR(VLOOKUP(C29,'تقرير المصروفات حسب الشهر'!$C$763:$AD$872,8,FALSE),0)</f>
        <v>0</v>
      </c>
      <c r="K29" s="362">
        <f>IFERROR(VLOOKUP(C29,'تقرير المصروفات حسب الشهر'!$C$890:$AD$999,8,FALSE),0)</f>
        <v>0</v>
      </c>
      <c r="L29" s="362">
        <f>IFERROR(VLOOKUP(C29,'تقرير المصروفات حسب الشهر'!$C$1016:$AD$1126,8,FALSE),0)</f>
        <v>0</v>
      </c>
      <c r="M29" s="376">
        <f>IFERROR(VLOOKUP(C29,'تقرير المصروفات حسب الشهر'!$C$1143:$AD$1254,8,FALSE),0)</f>
        <v>0</v>
      </c>
      <c r="N29" s="376">
        <f>IFERROR(VLOOKUP(C29,'تقرير المصروفات حسب الشهر'!$C$1270:$AD$1381,8,FALSE),0)</f>
        <v>0</v>
      </c>
      <c r="O29" s="376">
        <f>IFERROR(VLOOKUP(C29,'تقرير المصروفات حسب الشهر'!$C$1397:$AD$1512,8,FALSE),0)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الشهر'!$C$10:$AD$119,8,FALSE),0)</f>
        <v>0</v>
      </c>
      <c r="E30" s="362">
        <f>IFERROR(VLOOKUP(C30,'تقرير المصروفات حسب الشهر'!$C$135:$AD$244,8,FALSE),0)</f>
        <v>0</v>
      </c>
      <c r="F30" s="362">
        <f>IFERROR(VLOOKUP(C30,'تقرير المصروفات حسب الشهر'!$C$261:$AD$368,8,FALSE),0)</f>
        <v>0</v>
      </c>
      <c r="G30" s="362">
        <f>IFERROR(VLOOKUP(C30,'تقرير المصروفات حسب الشهر'!$C$387:$AD$495,8,FALSE),0)</f>
        <v>0</v>
      </c>
      <c r="H30" s="362">
        <f>IFERROR(VLOOKUP(C30,'تقرير المصروفات حسب الشهر'!$C$512:$AD$620,8,FALSE),0)</f>
        <v>0</v>
      </c>
      <c r="I30" s="362">
        <f>IFERROR(VLOOKUP(C30,'تقرير المصروفات حسب الشهر'!$C$637:$AD$746,8,FALSE),0)</f>
        <v>0</v>
      </c>
      <c r="J30" s="362">
        <f>IFERROR(VLOOKUP(C30,'تقرير المصروفات حسب الشهر'!$C$763:$AD$872,8,FALSE),0)</f>
        <v>0</v>
      </c>
      <c r="K30" s="362">
        <f>IFERROR(VLOOKUP(C30,'تقرير المصروفات حسب الشهر'!$C$890:$AD$999,8,FALSE),0)</f>
        <v>0</v>
      </c>
      <c r="L30" s="362">
        <f>IFERROR(VLOOKUP(C30,'تقرير المصروفات حسب الشهر'!$C$1016:$AD$1126,8,FALSE),0)</f>
        <v>0</v>
      </c>
      <c r="M30" s="376">
        <f>IFERROR(VLOOKUP(C30,'تقرير المصروفات حسب الشهر'!$C$1143:$AD$1254,8,FALSE),0)</f>
        <v>0</v>
      </c>
      <c r="N30" s="376">
        <f>IFERROR(VLOOKUP(C30,'تقرير المصروفات حسب الشهر'!$C$1270:$AD$1381,8,FALSE),0)</f>
        <v>0</v>
      </c>
      <c r="O30" s="376">
        <f>IFERROR(VLOOKUP(C30,'تقرير المصروفات حسب الشهر'!$C$1397:$AD$1512,8,FALSE),0)</f>
        <v>0</v>
      </c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الشهر'!$C$10:$AD$119,8,FALSE),0)</f>
        <v>0</v>
      </c>
      <c r="E31" s="362">
        <f>IFERROR(VLOOKUP(C31,'تقرير المصروفات حسب الشهر'!$C$135:$AD$244,8,FALSE),0)</f>
        <v>0</v>
      </c>
      <c r="F31" s="362">
        <f>IFERROR(VLOOKUP(C31,'تقرير المصروفات حسب الشهر'!$C$261:$AD$368,8,FALSE),0)</f>
        <v>0</v>
      </c>
      <c r="G31" s="362">
        <f>IFERROR(VLOOKUP(C31,'تقرير المصروفات حسب الشهر'!$C$387:$AD$495,8,FALSE),0)</f>
        <v>97.81</v>
      </c>
      <c r="H31" s="362">
        <f>IFERROR(VLOOKUP(C31,'تقرير المصروفات حسب الشهر'!$C$512:$AD$620,8,FALSE),0)</f>
        <v>97.81</v>
      </c>
      <c r="I31" s="362">
        <f>IFERROR(VLOOKUP(C31,'تقرير المصروفات حسب الشهر'!$C$637:$AD$746,8,FALSE),0)</f>
        <v>97.81</v>
      </c>
      <c r="J31" s="362">
        <f>IFERROR(VLOOKUP(C31,'تقرير المصروفات حسب الشهر'!$C$763:$AD$872,8,FALSE),0)</f>
        <v>50.97</v>
      </c>
      <c r="K31" s="362">
        <f>IFERROR(VLOOKUP(C31,'تقرير المصروفات حسب الشهر'!$C$890:$AD$999,8,FALSE),0)</f>
        <v>50.97</v>
      </c>
      <c r="L31" s="362">
        <f>IFERROR(VLOOKUP(C31,'تقرير المصروفات حسب الشهر'!$C$1016:$AD$1126,8,FALSE),0)</f>
        <v>50.97</v>
      </c>
      <c r="M31" s="376">
        <f>IFERROR(VLOOKUP(C31,'تقرير المصروفات حسب الشهر'!$C$1143:$AD$1254,8,FALSE),0)</f>
        <v>50.97</v>
      </c>
      <c r="N31" s="376">
        <f>IFERROR(VLOOKUP(C31,'تقرير المصروفات حسب الشهر'!$C$1270:$AD$1381,8,FALSE),0)</f>
        <v>0</v>
      </c>
      <c r="O31" s="376">
        <f>IFERROR(VLOOKUP(C31,'تقرير المصروفات حسب الشهر'!$C$1397:$AD$1512,8,FALSE),0)</f>
        <v>50.97</v>
      </c>
      <c r="P31" s="364">
        <f t="shared" si="5"/>
        <v>548.28000000000009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الشهر'!$C$10:$AD$119,8,FALSE),0)</f>
        <v>0</v>
      </c>
      <c r="E32" s="362">
        <f>IFERROR(VLOOKUP(C32,'تقرير المصروفات حسب الشهر'!$C$135:$AD$244,8,FALSE),0)</f>
        <v>0</v>
      </c>
      <c r="F32" s="362">
        <f>IFERROR(VLOOKUP(C32,'تقرير المصروفات حسب الشهر'!$C$261:$AD$368,8,FALSE),0)</f>
        <v>0</v>
      </c>
      <c r="G32" s="362">
        <f>IFERROR(VLOOKUP(C32,'تقرير المصروفات حسب الشهر'!$C$387:$AD$495,8,FALSE),0)</f>
        <v>0</v>
      </c>
      <c r="H32" s="362">
        <f>IFERROR(VLOOKUP(C32,'تقرير المصروفات حسب الشهر'!$C$512:$AD$620,8,FALSE),0)</f>
        <v>0</v>
      </c>
      <c r="I32" s="362">
        <f>IFERROR(VLOOKUP(C32,'تقرير المصروفات حسب الشهر'!$C$637:$AD$746,8,FALSE),0)</f>
        <v>0</v>
      </c>
      <c r="J32" s="362">
        <f>IFERROR(VLOOKUP(C32,'تقرير المصروفات حسب الشهر'!$C$763:$AD$872,8,FALSE),0)</f>
        <v>0</v>
      </c>
      <c r="K32" s="362">
        <f>IFERROR(VLOOKUP(C32,'تقرير المصروفات حسب الشهر'!$C$890:$AD$999,8,FALSE),0)</f>
        <v>0</v>
      </c>
      <c r="L32" s="362">
        <f>IFERROR(VLOOKUP(C32,'تقرير المصروفات حسب الشهر'!$C$1016:$AD$1126,8,FALSE),0)</f>
        <v>0</v>
      </c>
      <c r="M32" s="376">
        <f>IFERROR(VLOOKUP(C32,'تقرير المصروفات حسب الشهر'!$C$1143:$AD$1254,8,FALSE),0)</f>
        <v>0</v>
      </c>
      <c r="N32" s="376">
        <f>IFERROR(VLOOKUP(C32,'تقرير المصروفات حسب الشهر'!$C$1270:$AD$1381,8,FALSE),0)</f>
        <v>0</v>
      </c>
      <c r="O32" s="376">
        <f>IFERROR(VLOOKUP(C32,'تقرير المصروفات حسب الشهر'!$C$1397:$AD$1512,8,FALSE),0)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الشهر'!$C$10:$AD$119,8,FALSE),0)</f>
        <v>0</v>
      </c>
      <c r="E33" s="362">
        <f>IFERROR(VLOOKUP(C33,'تقرير المصروفات حسب الشهر'!$C$135:$AD$244,8,FALSE),0)</f>
        <v>0</v>
      </c>
      <c r="F33" s="362">
        <f>IFERROR(VLOOKUP(C33,'تقرير المصروفات حسب الشهر'!$C$261:$AD$368,8,FALSE),0)</f>
        <v>0</v>
      </c>
      <c r="G33" s="362">
        <f>IFERROR(VLOOKUP(C33,'تقرير المصروفات حسب الشهر'!$C$387:$AD$495,8,FALSE),0)</f>
        <v>0</v>
      </c>
      <c r="H33" s="362">
        <f>IFERROR(VLOOKUP(C33,'تقرير المصروفات حسب الشهر'!$C$512:$AD$620,8,FALSE),0)</f>
        <v>0</v>
      </c>
      <c r="I33" s="362">
        <f>IFERROR(VLOOKUP(C33,'تقرير المصروفات حسب الشهر'!$C$637:$AD$746,8,FALSE),0)</f>
        <v>0</v>
      </c>
      <c r="J33" s="362">
        <f>IFERROR(VLOOKUP(C33,'تقرير المصروفات حسب الشهر'!$C$763:$AD$872,8,FALSE),0)</f>
        <v>0</v>
      </c>
      <c r="K33" s="362">
        <f>IFERROR(VLOOKUP(C33,'تقرير المصروفات حسب الشهر'!$C$890:$AD$999,8,FALSE),0)</f>
        <v>0</v>
      </c>
      <c r="L33" s="362">
        <f>IFERROR(VLOOKUP(C33,'تقرير المصروفات حسب الشهر'!$C$1016:$AD$1126,8,FALSE),0)</f>
        <v>0</v>
      </c>
      <c r="M33" s="376">
        <f>IFERROR(VLOOKUP(C33,'تقرير المصروفات حسب الشهر'!$C$1143:$AD$1254,8,FALSE),0)</f>
        <v>0</v>
      </c>
      <c r="N33" s="376">
        <f>IFERROR(VLOOKUP(C33,'تقرير المصروفات حسب الشهر'!$C$1270:$AD$1381,8,FALSE),0)</f>
        <v>0</v>
      </c>
      <c r="O33" s="376">
        <f>IFERROR(VLOOKUP(C33,'تقرير المصروفات حسب الشهر'!$C$1397:$AD$1512,8,FALSE),0)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الشهر'!$C$10:$AD$119,8,FALSE),0)</f>
        <v>0</v>
      </c>
      <c r="E34" s="362">
        <f>IFERROR(VLOOKUP(C34,'تقرير المصروفات حسب الشهر'!$C$135:$AD$244,8,FALSE),0)</f>
        <v>0</v>
      </c>
      <c r="F34" s="362">
        <f>IFERROR(VLOOKUP(C34,'تقرير المصروفات حسب الشهر'!$C$261:$AD$368,8,FALSE),0)</f>
        <v>0</v>
      </c>
      <c r="G34" s="362">
        <f>IFERROR(VLOOKUP(C34,'تقرير المصروفات حسب الشهر'!$C$387:$AD$495,8,FALSE),0)</f>
        <v>0</v>
      </c>
      <c r="H34" s="362">
        <f>IFERROR(VLOOKUP(C34,'تقرير المصروفات حسب الشهر'!$C$512:$AD$620,8,FALSE),0)</f>
        <v>0</v>
      </c>
      <c r="I34" s="362">
        <f>IFERROR(VLOOKUP(C34,'تقرير المصروفات حسب الشهر'!$C$637:$AD$746,8,FALSE),0)</f>
        <v>0</v>
      </c>
      <c r="J34" s="362">
        <f>IFERROR(VLOOKUP(C34,'تقرير المصروفات حسب الشهر'!$C$763:$AD$872,8,FALSE),0)</f>
        <v>0</v>
      </c>
      <c r="K34" s="362">
        <f>IFERROR(VLOOKUP(C34,'تقرير المصروفات حسب الشهر'!$C$890:$AD$999,8,FALSE),0)</f>
        <v>0</v>
      </c>
      <c r="L34" s="362">
        <f>IFERROR(VLOOKUP(C34,'تقرير المصروفات حسب الشهر'!$C$1016:$AD$1126,8,FALSE),0)</f>
        <v>0</v>
      </c>
      <c r="M34" s="376">
        <f>IFERROR(VLOOKUP(C34,'تقرير المصروفات حسب الشهر'!$C$1143:$AD$1254,8,FALSE),0)</f>
        <v>0</v>
      </c>
      <c r="N34" s="376">
        <f>IFERROR(VLOOKUP(C34,'تقرير المصروفات حسب الشهر'!$C$1270:$AD$1381,8,FALSE),0)</f>
        <v>0</v>
      </c>
      <c r="O34" s="376">
        <f>IFERROR(VLOOKUP(C34,'تقرير المصروفات حسب الشهر'!$C$1397:$AD$1512,8,FALSE),0)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الشهر'!$C$10:$AD$119,8,FALSE),0)</f>
        <v>0</v>
      </c>
      <c r="E35" s="362">
        <f>IFERROR(VLOOKUP(C35,'تقرير المصروفات حسب الشهر'!$C$135:$AD$244,8,FALSE),0)</f>
        <v>0</v>
      </c>
      <c r="F35" s="362">
        <f>IFERROR(VLOOKUP(C35,'تقرير المصروفات حسب الشهر'!$C$261:$AD$368,8,FALSE),0)</f>
        <v>0</v>
      </c>
      <c r="G35" s="362">
        <f>IFERROR(VLOOKUP(C35,'تقرير المصروفات حسب الشهر'!$C$387:$AD$495,8,FALSE),0)</f>
        <v>0</v>
      </c>
      <c r="H35" s="362">
        <f>IFERROR(VLOOKUP(C35,'تقرير المصروفات حسب الشهر'!$C$512:$AD$620,8,FALSE),0)</f>
        <v>0</v>
      </c>
      <c r="I35" s="362">
        <f>IFERROR(VLOOKUP(C35,'تقرير المصروفات حسب الشهر'!$C$637:$AD$746,8,FALSE),0)</f>
        <v>0</v>
      </c>
      <c r="J35" s="362">
        <f>IFERROR(VLOOKUP(C35,'تقرير المصروفات حسب الشهر'!$C$763:$AD$872,8,FALSE),0)</f>
        <v>0</v>
      </c>
      <c r="K35" s="362">
        <f>IFERROR(VLOOKUP(C35,'تقرير المصروفات حسب الشهر'!$C$890:$AD$999,8,FALSE),0)</f>
        <v>0</v>
      </c>
      <c r="L35" s="362">
        <f>IFERROR(VLOOKUP(C35,'تقرير المصروفات حسب الشهر'!$C$1016:$AD$1126,8,FALSE),0)</f>
        <v>0</v>
      </c>
      <c r="M35" s="376">
        <f>IFERROR(VLOOKUP(C35,'تقرير المصروفات حسب الشهر'!$C$1143:$AD$1254,8,FALSE),0)</f>
        <v>0</v>
      </c>
      <c r="N35" s="376">
        <f>IFERROR(VLOOKUP(C35,'تقرير المصروفات حسب الشهر'!$C$1270:$AD$1381,8,FALSE),0)</f>
        <v>0</v>
      </c>
      <c r="O35" s="376">
        <f>IFERROR(VLOOKUP(C35,'تقرير المصروفات حسب الشهر'!$C$1397:$AD$1512,8,FALSE),0)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الشهر'!$C$10:$AD$119,8,FALSE),0)</f>
        <v>0</v>
      </c>
      <c r="E36" s="362">
        <f>IFERROR(VLOOKUP(C36,'تقرير المصروفات حسب الشهر'!$C$135:$AD$244,8,FALSE),0)</f>
        <v>0</v>
      </c>
      <c r="F36" s="362">
        <f>IFERROR(VLOOKUP(C36,'تقرير المصروفات حسب الشهر'!$C$261:$AD$368,8,FALSE),0)</f>
        <v>0</v>
      </c>
      <c r="G36" s="362">
        <f>IFERROR(VLOOKUP(C36,'تقرير المصروفات حسب الشهر'!$C$387:$AD$495,8,FALSE),0)</f>
        <v>750</v>
      </c>
      <c r="H36" s="362">
        <f>IFERROR(VLOOKUP(C36,'تقرير المصروفات حسب الشهر'!$C$512:$AD$620,8,FALSE),0)</f>
        <v>0</v>
      </c>
      <c r="I36" s="362">
        <f>IFERROR(VLOOKUP(C36,'تقرير المصروفات حسب الشهر'!$C$637:$AD$746,8,FALSE),0)</f>
        <v>0</v>
      </c>
      <c r="J36" s="362">
        <f>IFERROR(VLOOKUP(C36,'تقرير المصروفات حسب الشهر'!$C$763:$AD$872,8,FALSE),0)</f>
        <v>0</v>
      </c>
      <c r="K36" s="362">
        <f>IFERROR(VLOOKUP(C36,'تقرير المصروفات حسب الشهر'!$C$890:$AD$999,8,FALSE),0)</f>
        <v>770</v>
      </c>
      <c r="L36" s="362">
        <f>IFERROR(VLOOKUP(C36,'تقرير المصروفات حسب الشهر'!$C$1016:$AD$1126,8,FALSE),0)</f>
        <v>0</v>
      </c>
      <c r="M36" s="376">
        <f>IFERROR(VLOOKUP(C36,'تقرير المصروفات حسب الشهر'!$C$1143:$AD$1254,8,FALSE),0)</f>
        <v>1540</v>
      </c>
      <c r="N36" s="376">
        <f>IFERROR(VLOOKUP(C36,'تقرير المصروفات حسب الشهر'!$C$1270:$AD$1381,8,FALSE),0)</f>
        <v>0</v>
      </c>
      <c r="O36" s="376">
        <f>IFERROR(VLOOKUP(C36,'تقرير المصروفات حسب الشهر'!$C$1397:$AD$1512,8,FALSE),0)</f>
        <v>0</v>
      </c>
      <c r="P36" s="364">
        <f t="shared" si="5"/>
        <v>3060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الشهر'!$C$10:$AD$119,8,FALSE),0)</f>
        <v>0</v>
      </c>
      <c r="E37" s="362">
        <f>IFERROR(VLOOKUP(C37,'تقرير المصروفات حسب الشهر'!$C$135:$AD$244,8,FALSE),0)</f>
        <v>0</v>
      </c>
      <c r="F37" s="362">
        <f>IFERROR(VLOOKUP(C37,'تقرير المصروفات حسب الشهر'!$C$261:$AD$368,8,FALSE),0)</f>
        <v>0</v>
      </c>
      <c r="G37" s="362">
        <f>IFERROR(VLOOKUP(C37,'تقرير المصروفات حسب الشهر'!$C$387:$AD$495,8,FALSE),0)</f>
        <v>2250</v>
      </c>
      <c r="H37" s="362">
        <f>IFERROR(VLOOKUP(C37,'تقرير المصروفات حسب الشهر'!$C$512:$AD$620,8,FALSE),0)</f>
        <v>0</v>
      </c>
      <c r="I37" s="362">
        <f>IFERROR(VLOOKUP(C37,'تقرير المصروفات حسب الشهر'!$C$637:$AD$746,8,FALSE),0)</f>
        <v>2250</v>
      </c>
      <c r="J37" s="362">
        <f>IFERROR(VLOOKUP(C37,'تقرير المصروفات حسب الشهر'!$C$763:$AD$872,8,FALSE),0)</f>
        <v>0</v>
      </c>
      <c r="K37" s="362">
        <f>IFERROR(VLOOKUP(C37,'تقرير المصروفات حسب الشهر'!$C$890:$AD$999,8,FALSE),0)</f>
        <v>4500</v>
      </c>
      <c r="L37" s="362">
        <f>IFERROR(VLOOKUP(C37,'تقرير المصروفات حسب الشهر'!$C$1016:$AD$1126,8,FALSE),0)</f>
        <v>0</v>
      </c>
      <c r="M37" s="376">
        <f>IFERROR(VLOOKUP(C37,'تقرير المصروفات حسب الشهر'!$C$1143:$AD$1254,8,FALSE),0)</f>
        <v>2250</v>
      </c>
      <c r="N37" s="376">
        <f>IFERROR(VLOOKUP(C37,'تقرير المصروفات حسب الشهر'!$C$1270:$AD$1381,8,FALSE),0)</f>
        <v>0</v>
      </c>
      <c r="O37" s="376">
        <f>IFERROR(VLOOKUP(C37,'تقرير المصروفات حسب الشهر'!$C$1397:$AD$1512,8,FALSE),0)</f>
        <v>0</v>
      </c>
      <c r="P37" s="364">
        <f t="shared" si="5"/>
        <v>11250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الشهر'!$C$10:$AD$119,8,FALSE),0)</f>
        <v>0</v>
      </c>
      <c r="E38" s="362">
        <f>IFERROR(VLOOKUP(C38,'تقرير المصروفات حسب الشهر'!$C$135:$AD$244,8,FALSE),0)</f>
        <v>0</v>
      </c>
      <c r="F38" s="362">
        <f>IFERROR(VLOOKUP(C38,'تقرير المصروفات حسب الشهر'!$C$261:$AD$368,8,FALSE),0)</f>
        <v>0</v>
      </c>
      <c r="G38" s="362">
        <f>IFERROR(VLOOKUP(C38,'تقرير المصروفات حسب الشهر'!$C$387:$AD$495,8,FALSE),0)</f>
        <v>0</v>
      </c>
      <c r="H38" s="362">
        <f>IFERROR(VLOOKUP(C38,'تقرير المصروفات حسب الشهر'!$C$512:$AD$620,8,FALSE),0)</f>
        <v>0</v>
      </c>
      <c r="I38" s="362">
        <f>IFERROR(VLOOKUP(C38,'تقرير المصروفات حسب الشهر'!$C$637:$AD$746,8,FALSE),0)</f>
        <v>0</v>
      </c>
      <c r="J38" s="362">
        <f>IFERROR(VLOOKUP(C38,'تقرير المصروفات حسب الشهر'!$C$763:$AD$872,8,FALSE),0)</f>
        <v>0</v>
      </c>
      <c r="K38" s="362">
        <f>IFERROR(VLOOKUP(C38,'تقرير المصروفات حسب الشهر'!$C$890:$AD$999,8,FALSE),0)</f>
        <v>0</v>
      </c>
      <c r="L38" s="362">
        <f>IFERROR(VLOOKUP(C38,'تقرير المصروفات حسب الشهر'!$C$1016:$AD$1126,8,FALSE),0)</f>
        <v>0</v>
      </c>
      <c r="M38" s="376">
        <f>IFERROR(VLOOKUP(C38,'تقرير المصروفات حسب الشهر'!$C$1143:$AD$1254,8,FALSE),0)</f>
        <v>0</v>
      </c>
      <c r="N38" s="376">
        <f>IFERROR(VLOOKUP(C38,'تقرير المصروفات حسب الشهر'!$C$1270:$AD$1381,8,FALSE),0)</f>
        <v>0</v>
      </c>
      <c r="O38" s="376">
        <f>IFERROR(VLOOKUP(C38,'تقرير المصروفات حسب الشهر'!$C$1397:$AD$1512,8,FALSE),0)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الشهر'!$C$10:$AD$119,8,FALSE),0)</f>
        <v>0</v>
      </c>
      <c r="E39" s="362">
        <f>IFERROR(VLOOKUP(C39,'تقرير المصروفات حسب الشهر'!$C$135:$AD$244,8,FALSE),0)</f>
        <v>833</v>
      </c>
      <c r="F39" s="362">
        <f>IFERROR(VLOOKUP(C39,'تقرير المصروفات حسب الشهر'!$C$261:$AD$368,8,FALSE),0)</f>
        <v>648</v>
      </c>
      <c r="G39" s="362">
        <f>IFERROR(VLOOKUP(C39,'تقرير المصروفات حسب الشهر'!$C$387:$AD$495,8,FALSE),0)</f>
        <v>793</v>
      </c>
      <c r="H39" s="362">
        <f>IFERROR(VLOOKUP(C39,'تقرير المصروفات حسب الشهر'!$C$512:$AD$620,8,FALSE),0)</f>
        <v>0</v>
      </c>
      <c r="I39" s="362">
        <f>IFERROR(VLOOKUP(C39,'تقرير المصروفات حسب الشهر'!$C$637:$AD$746,8,FALSE),0)</f>
        <v>0</v>
      </c>
      <c r="J39" s="362">
        <f>IFERROR(VLOOKUP(C39,'تقرير المصروفات حسب الشهر'!$C$763:$AD$872,8,FALSE),0)</f>
        <v>0</v>
      </c>
      <c r="K39" s="362">
        <f>IFERROR(VLOOKUP(C39,'تقرير المصروفات حسب الشهر'!$C$890:$AD$999,8,FALSE),0)</f>
        <v>0</v>
      </c>
      <c r="L39" s="362">
        <f>IFERROR(VLOOKUP(C39,'تقرير المصروفات حسب الشهر'!$C$1016:$AD$1126,8,FALSE),0)</f>
        <v>0</v>
      </c>
      <c r="M39" s="376">
        <f>IFERROR(VLOOKUP(C39,'تقرير المصروفات حسب الشهر'!$C$1143:$AD$1254,8,FALSE),0)</f>
        <v>0</v>
      </c>
      <c r="N39" s="376">
        <f>IFERROR(VLOOKUP(C39,'تقرير المصروفات حسب الشهر'!$C$1270:$AD$1381,8,FALSE),0)</f>
        <v>506</v>
      </c>
      <c r="O39" s="376">
        <f>IFERROR(VLOOKUP(C39,'تقرير المصروفات حسب الشهر'!$C$1397:$AD$1512,8,FALSE),0)</f>
        <v>0</v>
      </c>
      <c r="P39" s="364">
        <f t="shared" si="5"/>
        <v>2780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الشهر'!$C$10:$AD$119,8,FALSE),0)</f>
        <v>0</v>
      </c>
      <c r="E40" s="362">
        <f>IFERROR(VLOOKUP(C40,'تقرير المصروفات حسب الشهر'!$C$135:$AD$244,8,FALSE),0)</f>
        <v>0</v>
      </c>
      <c r="F40" s="362">
        <f>IFERROR(VLOOKUP(C40,'تقرير المصروفات حسب الشهر'!$C$261:$AD$368,8,FALSE),0)</f>
        <v>0</v>
      </c>
      <c r="G40" s="362">
        <f>IFERROR(VLOOKUP(C40,'تقرير المصروفات حسب الشهر'!$C$387:$AD$495,8,FALSE),0)</f>
        <v>0</v>
      </c>
      <c r="H40" s="362">
        <f>IFERROR(VLOOKUP(C40,'تقرير المصروفات حسب الشهر'!$C$512:$AD$620,8,FALSE),0)</f>
        <v>0</v>
      </c>
      <c r="I40" s="362">
        <f>IFERROR(VLOOKUP(C40,'تقرير المصروفات حسب الشهر'!$C$637:$AD$746,8,FALSE),0)</f>
        <v>0</v>
      </c>
      <c r="J40" s="362">
        <f>IFERROR(VLOOKUP(C40,'تقرير المصروفات حسب الشهر'!$C$763:$AD$872,8,FALSE),0)</f>
        <v>0</v>
      </c>
      <c r="K40" s="362">
        <f>IFERROR(VLOOKUP(C40,'تقرير المصروفات حسب الشهر'!$C$890:$AD$999,8,FALSE),0)</f>
        <v>0</v>
      </c>
      <c r="L40" s="362">
        <f>IFERROR(VLOOKUP(C40,'تقرير المصروفات حسب الشهر'!$C$1016:$AD$1126,8,FALSE),0)</f>
        <v>0</v>
      </c>
      <c r="M40" s="376">
        <f>IFERROR(VLOOKUP(C40,'تقرير المصروفات حسب الشهر'!$C$1143:$AD$1254,8,FALSE),0)</f>
        <v>0</v>
      </c>
      <c r="N40" s="376">
        <f>IFERROR(VLOOKUP(C40,'تقرير المصروفات حسب الشهر'!$C$1270:$AD$1381,8,FALSE),0)</f>
        <v>0</v>
      </c>
      <c r="O40" s="376">
        <f>IFERROR(VLOOKUP(C40,'تقرير المصروفات حسب الشهر'!$C$1397:$AD$1512,8,FALSE),0)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الشهر'!$C$10:$AD$119,8,FALSE),0)</f>
        <v>0</v>
      </c>
      <c r="E41" s="362">
        <f>IFERROR(VLOOKUP(C41,'تقرير المصروفات حسب الشهر'!$C$135:$AD$244,8,FALSE),0)</f>
        <v>0</v>
      </c>
      <c r="F41" s="362">
        <f>IFERROR(VLOOKUP(C41,'تقرير المصروفات حسب الشهر'!$C$261:$AD$368,8,FALSE),0)</f>
        <v>0</v>
      </c>
      <c r="G41" s="362">
        <f>IFERROR(VLOOKUP(C41,'تقرير المصروفات حسب الشهر'!$C$387:$AD$495,8,FALSE),0)</f>
        <v>0</v>
      </c>
      <c r="H41" s="362">
        <f>IFERROR(VLOOKUP(C41,'تقرير المصروفات حسب الشهر'!$C$512:$AD$620,8,FALSE),0)</f>
        <v>0</v>
      </c>
      <c r="I41" s="362">
        <f>IFERROR(VLOOKUP(C41,'تقرير المصروفات حسب الشهر'!$C$637:$AD$746,8,FALSE),0)</f>
        <v>0</v>
      </c>
      <c r="J41" s="362">
        <f>IFERROR(VLOOKUP(C41,'تقرير المصروفات حسب الشهر'!$C$763:$AD$872,8,FALSE),0)</f>
        <v>0</v>
      </c>
      <c r="K41" s="362">
        <f>IFERROR(VLOOKUP(C41,'تقرير المصروفات حسب الشهر'!$C$890:$AD$999,8,FALSE),0)</f>
        <v>0</v>
      </c>
      <c r="L41" s="362">
        <f>IFERROR(VLOOKUP(C41,'تقرير المصروفات حسب الشهر'!$C$1016:$AD$1126,8,FALSE),0)</f>
        <v>0</v>
      </c>
      <c r="M41" s="376">
        <f>IFERROR(VLOOKUP(C41,'تقرير المصروفات حسب الشهر'!$C$1143:$AD$1254,8,FALSE),0)</f>
        <v>0</v>
      </c>
      <c r="N41" s="376">
        <f>IFERROR(VLOOKUP(C41,'تقرير المصروفات حسب الشهر'!$C$1270:$AD$1381,8,FALSE),0)</f>
        <v>0</v>
      </c>
      <c r="O41" s="376">
        <f>IFERROR(VLOOKUP(C41,'تقرير المصروفات حسب الشهر'!$C$1397:$AD$1512,8,FALSE),0)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الشهر'!$C$10:$AD$119,8,FALSE),0)</f>
        <v>0</v>
      </c>
      <c r="E42" s="362">
        <f>IFERROR(VLOOKUP(C42,'تقرير المصروفات حسب الشهر'!$C$135:$AD$244,8,FALSE),0)</f>
        <v>0</v>
      </c>
      <c r="F42" s="362">
        <f>IFERROR(VLOOKUP(C42,'تقرير المصروفات حسب الشهر'!$C$261:$AD$368,8,FALSE),0)</f>
        <v>0</v>
      </c>
      <c r="G42" s="362">
        <f>IFERROR(VLOOKUP(C42,'تقرير المصروفات حسب الشهر'!$C$387:$AD$495,8,FALSE),0)</f>
        <v>0</v>
      </c>
      <c r="H42" s="362">
        <f>IFERROR(VLOOKUP(C42,'تقرير المصروفات حسب الشهر'!$C$512:$AD$620,8,FALSE),0)</f>
        <v>0</v>
      </c>
      <c r="I42" s="362">
        <f>IFERROR(VLOOKUP(C42,'تقرير المصروفات حسب الشهر'!$C$637:$AD$746,8,FALSE),0)</f>
        <v>0</v>
      </c>
      <c r="J42" s="362">
        <f>IFERROR(VLOOKUP(C42,'تقرير المصروفات حسب الشهر'!$C$763:$AD$872,8,FALSE),0)</f>
        <v>0</v>
      </c>
      <c r="K42" s="362">
        <f>IFERROR(VLOOKUP(C42,'تقرير المصروفات حسب الشهر'!$C$890:$AD$999,8,FALSE),0)</f>
        <v>0</v>
      </c>
      <c r="L42" s="362">
        <f>IFERROR(VLOOKUP(C42,'تقرير المصروفات حسب الشهر'!$C$1016:$AD$1126,8,FALSE),0)</f>
        <v>0</v>
      </c>
      <c r="M42" s="376">
        <f>IFERROR(VLOOKUP(C42,'تقرير المصروفات حسب الشهر'!$C$1143:$AD$1254,8,FALSE),0)</f>
        <v>0</v>
      </c>
      <c r="N42" s="376">
        <f>IFERROR(VLOOKUP(C42,'تقرير المصروفات حسب الشهر'!$C$1270:$AD$1381,8,FALSE),0)</f>
        <v>0</v>
      </c>
      <c r="O42" s="376">
        <f>IFERROR(VLOOKUP(C42,'تقرير المصروفات حسب الشهر'!$C$1397:$AD$1512,8,FALSE),0)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الشهر'!$C$10:$AD$119,8,FALSE),0)</f>
        <v>0</v>
      </c>
      <c r="E43" s="362">
        <f>IFERROR(VLOOKUP(C43,'تقرير المصروفات حسب الشهر'!$C$135:$AD$244,8,FALSE),0)</f>
        <v>0</v>
      </c>
      <c r="F43" s="362">
        <f>IFERROR(VLOOKUP(C43,'تقرير المصروفات حسب الشهر'!$C$261:$AD$368,8,FALSE),0)</f>
        <v>0</v>
      </c>
      <c r="G43" s="362">
        <f>IFERROR(VLOOKUP(C43,'تقرير المصروفات حسب الشهر'!$C$387:$AD$495,8,FALSE),0)</f>
        <v>0</v>
      </c>
      <c r="H43" s="362">
        <f>IFERROR(VLOOKUP(C43,'تقرير المصروفات حسب الشهر'!$C$512:$AD$620,8,FALSE),0)</f>
        <v>0</v>
      </c>
      <c r="I43" s="362">
        <f>IFERROR(VLOOKUP(C43,'تقرير المصروفات حسب الشهر'!$C$637:$AD$746,8,FALSE),0)</f>
        <v>0</v>
      </c>
      <c r="J43" s="362">
        <f>IFERROR(VLOOKUP(C43,'تقرير المصروفات حسب الشهر'!$C$763:$AD$872,8,FALSE),0)</f>
        <v>0</v>
      </c>
      <c r="K43" s="362">
        <f>IFERROR(VLOOKUP(C43,'تقرير المصروفات حسب الشهر'!$C$890:$AD$999,8,FALSE),0)</f>
        <v>0</v>
      </c>
      <c r="L43" s="362">
        <f>IFERROR(VLOOKUP(C43,'تقرير المصروفات حسب الشهر'!$C$1016:$AD$1126,8,FALSE),0)</f>
        <v>0</v>
      </c>
      <c r="M43" s="376">
        <f>IFERROR(VLOOKUP(C43,'تقرير المصروفات حسب الشهر'!$C$1143:$AD$1254,8,FALSE),0)</f>
        <v>0</v>
      </c>
      <c r="N43" s="376">
        <f>IFERROR(VLOOKUP(C43,'تقرير المصروفات حسب الشهر'!$C$1270:$AD$1381,8,FALSE),0)</f>
        <v>0</v>
      </c>
      <c r="O43" s="376">
        <f>IFERROR(VLOOKUP(C43,'تقرير المصروفات حسب الشهر'!$C$1397:$AD$1512,8,FALSE),0)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الشهر'!$C$10:$AD$119,8,FALSE),0)</f>
        <v>0</v>
      </c>
      <c r="E44" s="362">
        <f>IFERROR(VLOOKUP(C44,'تقرير المصروفات حسب الشهر'!$C$135:$AD$244,8,FALSE),0)</f>
        <v>0</v>
      </c>
      <c r="F44" s="362">
        <f>IFERROR(VLOOKUP(C44,'تقرير المصروفات حسب الشهر'!$C$261:$AD$368,8,FALSE),0)</f>
        <v>0</v>
      </c>
      <c r="G44" s="362">
        <f>IFERROR(VLOOKUP(C44,'تقرير المصروفات حسب الشهر'!$C$387:$AD$495,8,FALSE),0)</f>
        <v>0</v>
      </c>
      <c r="H44" s="362">
        <f>IFERROR(VLOOKUP(C44,'تقرير المصروفات حسب الشهر'!$C$512:$AD$620,8,FALSE),0)</f>
        <v>0</v>
      </c>
      <c r="I44" s="362">
        <f>IFERROR(VLOOKUP(C44,'تقرير المصروفات حسب الشهر'!$C$637:$AD$746,8,FALSE),0)</f>
        <v>0</v>
      </c>
      <c r="J44" s="362">
        <f>IFERROR(VLOOKUP(C44,'تقرير المصروفات حسب الشهر'!$C$763:$AD$872,8,FALSE),0)</f>
        <v>0</v>
      </c>
      <c r="K44" s="362">
        <f>IFERROR(VLOOKUP(C44,'تقرير المصروفات حسب الشهر'!$C$890:$AD$999,8,FALSE),0)</f>
        <v>0</v>
      </c>
      <c r="L44" s="362">
        <f>IFERROR(VLOOKUP(C44,'تقرير المصروفات حسب الشهر'!$C$1016:$AD$1126,8,FALSE),0)</f>
        <v>0</v>
      </c>
      <c r="M44" s="376">
        <f>IFERROR(VLOOKUP(C44,'تقرير المصروفات حسب الشهر'!$C$1143:$AD$1254,8,FALSE),0)</f>
        <v>0</v>
      </c>
      <c r="N44" s="376">
        <f>IFERROR(VLOOKUP(C44,'تقرير المصروفات حسب الشهر'!$C$1270:$AD$1381,8,FALSE),0)</f>
        <v>0</v>
      </c>
      <c r="O44" s="376">
        <f>IFERROR(VLOOKUP(C44,'تقرير المصروفات حسب الشهر'!$C$1397:$AD$1512,8,FALSE),0)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الشهر'!$C$10:$AD$119,8,FALSE),0)</f>
        <v>0</v>
      </c>
      <c r="E45" s="362">
        <f>IFERROR(VLOOKUP(C45,'تقرير المصروفات حسب الشهر'!$C$135:$AD$244,8,FALSE),0)</f>
        <v>0</v>
      </c>
      <c r="F45" s="362">
        <f>IFERROR(VLOOKUP(C45,'تقرير المصروفات حسب الشهر'!$C$261:$AD$368,8,FALSE),0)</f>
        <v>0</v>
      </c>
      <c r="G45" s="362">
        <f>IFERROR(VLOOKUP(C45,'تقرير المصروفات حسب الشهر'!$C$387:$AD$495,8,FALSE),0)</f>
        <v>0</v>
      </c>
      <c r="H45" s="362">
        <f>IFERROR(VLOOKUP(C45,'تقرير المصروفات حسب الشهر'!$C$512:$AD$620,8,FALSE),0)</f>
        <v>0</v>
      </c>
      <c r="I45" s="362">
        <f>IFERROR(VLOOKUP(C45,'تقرير المصروفات حسب الشهر'!$C$637:$AD$746,8,FALSE),0)</f>
        <v>0</v>
      </c>
      <c r="J45" s="362">
        <f>IFERROR(VLOOKUP(C45,'تقرير المصروفات حسب الشهر'!$C$763:$AD$872,8,FALSE),0)</f>
        <v>0</v>
      </c>
      <c r="K45" s="362">
        <f>IFERROR(VLOOKUP(C45,'تقرير المصروفات حسب الشهر'!$C$890:$AD$999,8,FALSE),0)</f>
        <v>0</v>
      </c>
      <c r="L45" s="362">
        <f>IFERROR(VLOOKUP(C45,'تقرير المصروفات حسب الشهر'!$C$1016:$AD$1126,8,FALSE),0)</f>
        <v>0</v>
      </c>
      <c r="M45" s="376">
        <f>IFERROR(VLOOKUP(C45,'تقرير المصروفات حسب الشهر'!$C$1143:$AD$1254,8,FALSE),0)</f>
        <v>0</v>
      </c>
      <c r="N45" s="376">
        <f>IFERROR(VLOOKUP(C45,'تقرير المصروفات حسب الشهر'!$C$1270:$AD$1381,8,FALSE),0)</f>
        <v>0</v>
      </c>
      <c r="O45" s="376">
        <f>IFERROR(VLOOKUP(C45,'تقرير المصروفات حسب الشهر'!$C$1397:$AD$1512,8,FALSE),0)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الشهر'!$C$10:$AD$119,8,FALSE),0)</f>
        <v>0</v>
      </c>
      <c r="E46" s="362">
        <f>IFERROR(VLOOKUP(C46,'تقرير المصروفات حسب الشهر'!$C$135:$AD$244,8,FALSE),0)</f>
        <v>0</v>
      </c>
      <c r="F46" s="362">
        <f>IFERROR(VLOOKUP(C46,'تقرير المصروفات حسب الشهر'!$C$261:$AD$368,8,FALSE),0)</f>
        <v>0</v>
      </c>
      <c r="G46" s="362">
        <f>IFERROR(VLOOKUP(C46,'تقرير المصروفات حسب الشهر'!$C$387:$AD$495,8,FALSE),0)</f>
        <v>0</v>
      </c>
      <c r="H46" s="362">
        <f>IFERROR(VLOOKUP(C46,'تقرير المصروفات حسب الشهر'!$C$512:$AD$620,8,FALSE),0)</f>
        <v>0</v>
      </c>
      <c r="I46" s="362">
        <f>IFERROR(VLOOKUP(C46,'تقرير المصروفات حسب الشهر'!$C$637:$AD$746,8,FALSE),0)</f>
        <v>0</v>
      </c>
      <c r="J46" s="362">
        <f>IFERROR(VLOOKUP(C46,'تقرير المصروفات حسب الشهر'!$C$763:$AD$872,8,FALSE),0)</f>
        <v>0</v>
      </c>
      <c r="K46" s="362">
        <f>IFERROR(VLOOKUP(C46,'تقرير المصروفات حسب الشهر'!$C$890:$AD$999,8,FALSE),0)</f>
        <v>0</v>
      </c>
      <c r="L46" s="362">
        <f>IFERROR(VLOOKUP(C46,'تقرير المصروفات حسب الشهر'!$C$1016:$AD$1126,8,FALSE),0)</f>
        <v>0</v>
      </c>
      <c r="M46" s="376">
        <f>IFERROR(VLOOKUP(C46,'تقرير المصروفات حسب الشهر'!$C$1143:$AD$1254,8,FALSE),0)</f>
        <v>0</v>
      </c>
      <c r="N46" s="376">
        <f>IFERROR(VLOOKUP(C46,'تقرير المصروفات حسب الشهر'!$C$1270:$AD$1381,8,FALSE),0)</f>
        <v>0</v>
      </c>
      <c r="O46" s="376">
        <f>IFERROR(VLOOKUP(C46,'تقرير المصروفات حسب الشهر'!$C$1397:$AD$1512,8,FALSE),0)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الشهر'!$C$10:$AD$119,8,FALSE),0)</f>
        <v>0</v>
      </c>
      <c r="E47" s="362">
        <f>IFERROR(VLOOKUP(C47,'تقرير المصروفات حسب الشهر'!$C$135:$AD$244,8,FALSE),0)</f>
        <v>0</v>
      </c>
      <c r="F47" s="362">
        <f>IFERROR(VLOOKUP(C47,'تقرير المصروفات حسب الشهر'!$C$261:$AD$368,8,FALSE),0)</f>
        <v>0</v>
      </c>
      <c r="G47" s="362">
        <f>IFERROR(VLOOKUP(C47,'تقرير المصروفات حسب الشهر'!$C$387:$AD$495,8,FALSE),0)</f>
        <v>0</v>
      </c>
      <c r="H47" s="362">
        <f>IFERROR(VLOOKUP(C47,'تقرير المصروفات حسب الشهر'!$C$512:$AD$620,8,FALSE),0)</f>
        <v>0</v>
      </c>
      <c r="I47" s="362">
        <f>IFERROR(VLOOKUP(C47,'تقرير المصروفات حسب الشهر'!$C$637:$AD$746,8,FALSE),0)</f>
        <v>0</v>
      </c>
      <c r="J47" s="362">
        <f>IFERROR(VLOOKUP(C47,'تقرير المصروفات حسب الشهر'!$C$763:$AD$872,8,FALSE),0)</f>
        <v>0</v>
      </c>
      <c r="K47" s="362">
        <f>IFERROR(VLOOKUP(C47,'تقرير المصروفات حسب الشهر'!$C$890:$AD$999,8,FALSE),0)</f>
        <v>0</v>
      </c>
      <c r="L47" s="362">
        <f>IFERROR(VLOOKUP(C47,'تقرير المصروفات حسب الشهر'!$C$1016:$AD$1126,8,FALSE),0)</f>
        <v>0</v>
      </c>
      <c r="M47" s="376">
        <f>IFERROR(VLOOKUP(C47,'تقرير المصروفات حسب الشهر'!$C$1143:$AD$1254,8,FALSE),0)</f>
        <v>0</v>
      </c>
      <c r="N47" s="376">
        <f>IFERROR(VLOOKUP(C47,'تقرير المصروفات حسب الشهر'!$C$1270:$AD$1381,8,FALSE),0)</f>
        <v>0</v>
      </c>
      <c r="O47" s="376">
        <f>IFERROR(VLOOKUP(C47,'تقرير المصروفات حسب الشهر'!$C$1397:$AD$1512,8,FALSE),0)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الشهر'!$C$10:$AD$119,8,FALSE),0)</f>
        <v>0</v>
      </c>
      <c r="E48" s="362">
        <f>IFERROR(VLOOKUP(C48,'تقرير المصروفات حسب الشهر'!$C$135:$AD$244,8,FALSE),0)</f>
        <v>0</v>
      </c>
      <c r="F48" s="362">
        <f>IFERROR(VLOOKUP(C48,'تقرير المصروفات حسب الشهر'!$C$261:$AD$368,8,FALSE),0)</f>
        <v>0</v>
      </c>
      <c r="G48" s="362">
        <f>IFERROR(VLOOKUP(C48,'تقرير المصروفات حسب الشهر'!$C$387:$AD$495,8,FALSE),0)</f>
        <v>0</v>
      </c>
      <c r="H48" s="362">
        <f>IFERROR(VLOOKUP(C48,'تقرير المصروفات حسب الشهر'!$C$512:$AD$620,8,FALSE),0)</f>
        <v>0</v>
      </c>
      <c r="I48" s="362">
        <f>IFERROR(VLOOKUP(C48,'تقرير المصروفات حسب الشهر'!$C$637:$AD$746,8,FALSE),0)</f>
        <v>0</v>
      </c>
      <c r="J48" s="362">
        <f>IFERROR(VLOOKUP(C48,'تقرير المصروفات حسب الشهر'!$C$763:$AD$872,8,FALSE),0)</f>
        <v>0</v>
      </c>
      <c r="K48" s="362">
        <f>IFERROR(VLOOKUP(C48,'تقرير المصروفات حسب الشهر'!$C$890:$AD$999,8,FALSE),0)</f>
        <v>0</v>
      </c>
      <c r="L48" s="362">
        <f>IFERROR(VLOOKUP(C48,'تقرير المصروفات حسب الشهر'!$C$1016:$AD$1126,8,FALSE),0)</f>
        <v>0</v>
      </c>
      <c r="M48" s="376">
        <f>IFERROR(VLOOKUP(C48,'تقرير المصروفات حسب الشهر'!$C$1143:$AD$1254,8,FALSE),0)</f>
        <v>0</v>
      </c>
      <c r="N48" s="376">
        <f>IFERROR(VLOOKUP(C48,'تقرير المصروفات حسب الشهر'!$C$1270:$AD$1381,8,FALSE),0)</f>
        <v>0</v>
      </c>
      <c r="O48" s="376">
        <f>IFERROR(VLOOKUP(C48,'تقرير المصروفات حسب الشهر'!$C$1397:$AD$1512,8,FALSE),0)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الشهر'!$C$10:$AD$119,8,FALSE),0)</f>
        <v>0</v>
      </c>
      <c r="E49" s="362">
        <f>IFERROR(VLOOKUP(C49,'تقرير المصروفات حسب الشهر'!$C$135:$AD$244,8,FALSE),0)</f>
        <v>0</v>
      </c>
      <c r="F49" s="362">
        <f>IFERROR(VLOOKUP(C49,'تقرير المصروفات حسب الشهر'!$C$261:$AD$368,8,FALSE),0)</f>
        <v>0</v>
      </c>
      <c r="G49" s="362">
        <f>IFERROR(VLOOKUP(C49,'تقرير المصروفات حسب الشهر'!$C$387:$AD$495,8,FALSE),0)</f>
        <v>0</v>
      </c>
      <c r="H49" s="362">
        <f>IFERROR(VLOOKUP(C49,'تقرير المصروفات حسب الشهر'!$C$512:$AD$620,8,FALSE),0)</f>
        <v>0</v>
      </c>
      <c r="I49" s="362">
        <f>IFERROR(VLOOKUP(C49,'تقرير المصروفات حسب الشهر'!$C$637:$AD$746,8,FALSE),0)</f>
        <v>0</v>
      </c>
      <c r="J49" s="362">
        <f>IFERROR(VLOOKUP(C49,'تقرير المصروفات حسب الشهر'!$C$763:$AD$872,8,FALSE),0)</f>
        <v>0</v>
      </c>
      <c r="K49" s="362">
        <f>IFERROR(VLOOKUP(C49,'تقرير المصروفات حسب الشهر'!$C$890:$AD$999,8,FALSE),0)</f>
        <v>0</v>
      </c>
      <c r="L49" s="362">
        <f>IFERROR(VLOOKUP(C49,'تقرير المصروفات حسب الشهر'!$C$1016:$AD$1126,8,FALSE),0)</f>
        <v>0</v>
      </c>
      <c r="M49" s="376">
        <f>IFERROR(VLOOKUP(C49,'تقرير المصروفات حسب الشهر'!$C$1143:$AD$1254,8,FALSE),0)</f>
        <v>0</v>
      </c>
      <c r="N49" s="376">
        <f>IFERROR(VLOOKUP(C49,'تقرير المصروفات حسب الشهر'!$C$1270:$AD$1381,8,FALSE),0)</f>
        <v>0</v>
      </c>
      <c r="O49" s="376">
        <f>IFERROR(VLOOKUP(C49,'تقرير المصروفات حسب الشهر'!$C$1397:$AD$1512,8,FALSE),0)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الشهر'!$C$10:$AD$119,8,FALSE),0)</f>
        <v>0</v>
      </c>
      <c r="E50" s="362">
        <f>IFERROR(VLOOKUP(C50,'تقرير المصروفات حسب الشهر'!$C$135:$AD$244,8,FALSE),0)</f>
        <v>0</v>
      </c>
      <c r="F50" s="362">
        <f>IFERROR(VLOOKUP(C50,'تقرير المصروفات حسب الشهر'!$C$261:$AD$368,8,FALSE),0)</f>
        <v>0</v>
      </c>
      <c r="G50" s="362">
        <f>IFERROR(VLOOKUP(C50,'تقرير المصروفات حسب الشهر'!$C$387:$AD$495,8,FALSE),0)</f>
        <v>0</v>
      </c>
      <c r="H50" s="362">
        <f>IFERROR(VLOOKUP(C50,'تقرير المصروفات حسب الشهر'!$C$512:$AD$620,8,FALSE),0)</f>
        <v>0</v>
      </c>
      <c r="I50" s="362">
        <f>IFERROR(VLOOKUP(C50,'تقرير المصروفات حسب الشهر'!$C$637:$AD$746,8,FALSE),0)</f>
        <v>0</v>
      </c>
      <c r="J50" s="362">
        <f>IFERROR(VLOOKUP(C50,'تقرير المصروفات حسب الشهر'!$C$763:$AD$872,8,FALSE),0)</f>
        <v>0</v>
      </c>
      <c r="K50" s="362">
        <f>IFERROR(VLOOKUP(C50,'تقرير المصروفات حسب الشهر'!$C$890:$AD$999,8,FALSE),0)</f>
        <v>0</v>
      </c>
      <c r="L50" s="362">
        <f>IFERROR(VLOOKUP(C50,'تقرير المصروفات حسب الشهر'!$C$1016:$AD$1126,8,FALSE),0)</f>
        <v>0</v>
      </c>
      <c r="M50" s="376">
        <f>IFERROR(VLOOKUP(C50,'تقرير المصروفات حسب الشهر'!$C$1143:$AD$1254,8,FALSE),0)</f>
        <v>0</v>
      </c>
      <c r="N50" s="376">
        <f>IFERROR(VLOOKUP(C50,'تقرير المصروفات حسب الشهر'!$C$1270:$AD$1381,8,FALSE),0)</f>
        <v>0</v>
      </c>
      <c r="O50" s="376">
        <f>IFERROR(VLOOKUP(C50,'تقرير المصروفات حسب الشهر'!$C$1397:$AD$1512,8,FALSE),0)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الشهر'!$C$10:$AD$119,8,FALSE),0)</f>
        <v>0</v>
      </c>
      <c r="E51" s="362">
        <f>IFERROR(VLOOKUP(C51,'تقرير المصروفات حسب الشهر'!$C$135:$AD$244,8,FALSE),0)</f>
        <v>0</v>
      </c>
      <c r="F51" s="362">
        <f>IFERROR(VLOOKUP(C51,'تقرير المصروفات حسب الشهر'!$C$261:$AD$368,8,FALSE),0)</f>
        <v>430</v>
      </c>
      <c r="G51" s="362">
        <f>IFERROR(VLOOKUP(C51,'تقرير المصروفات حسب الشهر'!$C$387:$AD$495,8,FALSE),0)</f>
        <v>0</v>
      </c>
      <c r="H51" s="362">
        <f>IFERROR(VLOOKUP(C51,'تقرير المصروفات حسب الشهر'!$C$512:$AD$620,8,FALSE),0)</f>
        <v>650</v>
      </c>
      <c r="I51" s="362">
        <f>IFERROR(VLOOKUP(C51,'تقرير المصروفات حسب الشهر'!$C$637:$AD$746,8,FALSE),0)</f>
        <v>0</v>
      </c>
      <c r="J51" s="362">
        <f>IFERROR(VLOOKUP(C51,'تقرير المصروفات حسب الشهر'!$C$763:$AD$872,8,FALSE),0)</f>
        <v>0</v>
      </c>
      <c r="K51" s="362">
        <f>IFERROR(VLOOKUP(C51,'تقرير المصروفات حسب الشهر'!$C$890:$AD$999,8,FALSE),0)</f>
        <v>0</v>
      </c>
      <c r="L51" s="362">
        <f>IFERROR(VLOOKUP(C51,'تقرير المصروفات حسب الشهر'!$C$1016:$AD$1126,8,FALSE),0)</f>
        <v>0</v>
      </c>
      <c r="M51" s="376">
        <f>IFERROR(VLOOKUP(C51,'تقرير المصروفات حسب الشهر'!$C$1143:$AD$1254,8,FALSE),0)</f>
        <v>0</v>
      </c>
      <c r="N51" s="376">
        <f>IFERROR(VLOOKUP(C51,'تقرير المصروفات حسب الشهر'!$C$1270:$AD$1381,8,FALSE),0)</f>
        <v>0</v>
      </c>
      <c r="O51" s="376">
        <f>IFERROR(VLOOKUP(C51,'تقرير المصروفات حسب الشهر'!$C$1397:$AD$1512,8,FALSE),0)</f>
        <v>0</v>
      </c>
      <c r="P51" s="364">
        <f t="shared" si="5"/>
        <v>1080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الشهر'!$C$10:$AD$119,8,FALSE),0)</f>
        <v>0</v>
      </c>
      <c r="E52" s="362">
        <f>IFERROR(VLOOKUP(C52,'تقرير المصروفات حسب الشهر'!$C$135:$AD$244,8,FALSE),0)</f>
        <v>0</v>
      </c>
      <c r="F52" s="362">
        <f>IFERROR(VLOOKUP(C52,'تقرير المصروفات حسب الشهر'!$C$261:$AD$368,8,FALSE),0)</f>
        <v>0</v>
      </c>
      <c r="G52" s="362">
        <f>IFERROR(VLOOKUP(C52,'تقرير المصروفات حسب الشهر'!$C$387:$AD$495,8,FALSE),0)</f>
        <v>8900</v>
      </c>
      <c r="H52" s="362">
        <f>IFERROR(VLOOKUP(C52,'تقرير المصروفات حسب الشهر'!$C$512:$AD$620,8,FALSE),0)</f>
        <v>0</v>
      </c>
      <c r="I52" s="362">
        <f>IFERROR(VLOOKUP(C52,'تقرير المصروفات حسب الشهر'!$C$637:$AD$746,8,FALSE),0)</f>
        <v>0</v>
      </c>
      <c r="J52" s="362">
        <f>IFERROR(VLOOKUP(C52,'تقرير المصروفات حسب الشهر'!$C$763:$AD$872,8,FALSE),0)</f>
        <v>0</v>
      </c>
      <c r="K52" s="362">
        <f>IFERROR(VLOOKUP(C52,'تقرير المصروفات حسب الشهر'!$C$890:$AD$999,8,FALSE),0)</f>
        <v>0</v>
      </c>
      <c r="L52" s="362">
        <f>IFERROR(VLOOKUP(C52,'تقرير المصروفات حسب الشهر'!$C$1016:$AD$1126,8,FALSE),0)</f>
        <v>0</v>
      </c>
      <c r="M52" s="376">
        <f>IFERROR(VLOOKUP(C52,'تقرير المصروفات حسب الشهر'!$C$1143:$AD$1254,8,FALSE),0)</f>
        <v>0</v>
      </c>
      <c r="N52" s="376">
        <f>IFERROR(VLOOKUP(C52,'تقرير المصروفات حسب الشهر'!$C$1270:$AD$1381,8,FALSE),0)</f>
        <v>0</v>
      </c>
      <c r="O52" s="376">
        <f>IFERROR(VLOOKUP(C52,'تقرير المصروفات حسب الشهر'!$C$1397:$AD$1512,8,FALSE),0)</f>
        <v>0</v>
      </c>
      <c r="P52" s="364">
        <f t="shared" si="5"/>
        <v>8900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الشهر'!$C$10:$AD$119,8,FALSE),0)</f>
        <v>0</v>
      </c>
      <c r="E53" s="362">
        <f>IFERROR(VLOOKUP(C53,'تقرير المصروفات حسب الشهر'!$C$135:$AD$244,8,FALSE),0)</f>
        <v>0</v>
      </c>
      <c r="F53" s="362">
        <f>IFERROR(VLOOKUP(C53,'تقرير المصروفات حسب الشهر'!$C$261:$AD$368,8,FALSE),0)</f>
        <v>0</v>
      </c>
      <c r="G53" s="362">
        <f>IFERROR(VLOOKUP(C53,'تقرير المصروفات حسب الشهر'!$C$387:$AD$495,8,FALSE),0)</f>
        <v>0</v>
      </c>
      <c r="H53" s="362">
        <f>IFERROR(VLOOKUP(C53,'تقرير المصروفات حسب الشهر'!$C$512:$AD$620,8,FALSE),0)</f>
        <v>0</v>
      </c>
      <c r="I53" s="362">
        <f>IFERROR(VLOOKUP(C53,'تقرير المصروفات حسب الشهر'!$C$637:$AD$746,8,FALSE),0)</f>
        <v>0</v>
      </c>
      <c r="J53" s="362">
        <f>IFERROR(VLOOKUP(C53,'تقرير المصروفات حسب الشهر'!$C$763:$AD$872,8,FALSE),0)</f>
        <v>0</v>
      </c>
      <c r="K53" s="362">
        <f>IFERROR(VLOOKUP(C53,'تقرير المصروفات حسب الشهر'!$C$890:$AD$999,8,FALSE),0)</f>
        <v>0</v>
      </c>
      <c r="L53" s="362">
        <f>IFERROR(VLOOKUP(C53,'تقرير المصروفات حسب الشهر'!$C$1016:$AD$1126,8,FALSE),0)</f>
        <v>0</v>
      </c>
      <c r="M53" s="376">
        <f>IFERROR(VLOOKUP(C53,'تقرير المصروفات حسب الشهر'!$C$1143:$AD$1254,8,FALSE),0)</f>
        <v>0</v>
      </c>
      <c r="N53" s="376">
        <f>IFERROR(VLOOKUP(C53,'تقرير المصروفات حسب الشهر'!$C$1270:$AD$1381,8,FALSE),0)</f>
        <v>0</v>
      </c>
      <c r="O53" s="376">
        <f>IFERROR(VLOOKUP(C53,'تقرير المصروفات حسب الشهر'!$C$1397:$AD$1512,8,FALSE),0)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الشهر'!$C$10:$AD$119,8,FALSE),0)</f>
        <v>200</v>
      </c>
      <c r="E54" s="362">
        <f>IFERROR(VLOOKUP(C54,'تقرير المصروفات حسب الشهر'!$C$135:$AD$244,8,FALSE),0)</f>
        <v>0</v>
      </c>
      <c r="F54" s="362">
        <f>IFERROR(VLOOKUP(C54,'تقرير المصروفات حسب الشهر'!$C$261:$AD$368,8,FALSE),0)</f>
        <v>0</v>
      </c>
      <c r="G54" s="362">
        <f>IFERROR(VLOOKUP(C54,'تقرير المصروفات حسب الشهر'!$C$387:$AD$495,8,FALSE),0)</f>
        <v>0</v>
      </c>
      <c r="H54" s="362">
        <f>IFERROR(VLOOKUP(C54,'تقرير المصروفات حسب الشهر'!$C$512:$AD$620,8,FALSE),0)</f>
        <v>200</v>
      </c>
      <c r="I54" s="362">
        <f>IFERROR(VLOOKUP(C54,'تقرير المصروفات حسب الشهر'!$C$637:$AD$746,8,FALSE),0)</f>
        <v>0</v>
      </c>
      <c r="J54" s="362">
        <f>IFERROR(VLOOKUP(C54,'تقرير المصروفات حسب الشهر'!$C$763:$AD$872,8,FALSE),0)</f>
        <v>0</v>
      </c>
      <c r="K54" s="362">
        <f>IFERROR(VLOOKUP(C54,'تقرير المصروفات حسب الشهر'!$C$890:$AD$999,8,FALSE),0)</f>
        <v>0</v>
      </c>
      <c r="L54" s="362">
        <f>IFERROR(VLOOKUP(C54,'تقرير المصروفات حسب الشهر'!$C$1016:$AD$1126,8,FALSE),0)</f>
        <v>0</v>
      </c>
      <c r="M54" s="376">
        <f>IFERROR(VLOOKUP(C54,'تقرير المصروفات حسب الشهر'!$C$1143:$AD$1254,8,FALSE),0)</f>
        <v>400</v>
      </c>
      <c r="N54" s="376">
        <f>IFERROR(VLOOKUP(C54,'تقرير المصروفات حسب الشهر'!$C$1270:$AD$1381,8,FALSE),0)</f>
        <v>0</v>
      </c>
      <c r="O54" s="376">
        <f>IFERROR(VLOOKUP(C54,'تقرير المصروفات حسب الشهر'!$C$1397:$AD$1512,8,FALSE),0)</f>
        <v>0</v>
      </c>
      <c r="P54" s="364">
        <f t="shared" si="5"/>
        <v>800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الشهر'!$C$10:$AD$119,8,FALSE),0)</f>
        <v>0</v>
      </c>
      <c r="E55" s="362">
        <f>IFERROR(VLOOKUP(C55,'تقرير المصروفات حسب الشهر'!$C$135:$AD$244,8,FALSE),0)</f>
        <v>0</v>
      </c>
      <c r="F55" s="362">
        <f>IFERROR(VLOOKUP(C55,'تقرير المصروفات حسب الشهر'!$C$261:$AD$368,8,FALSE),0)</f>
        <v>0</v>
      </c>
      <c r="G55" s="362">
        <f>IFERROR(VLOOKUP(C55,'تقرير المصروفات حسب الشهر'!$C$387:$AD$495,8,FALSE),0)</f>
        <v>0</v>
      </c>
      <c r="H55" s="362">
        <f>IFERROR(VLOOKUP(C55,'تقرير المصروفات حسب الشهر'!$C$512:$AD$620,8,FALSE),0)</f>
        <v>0</v>
      </c>
      <c r="I55" s="362">
        <f>IFERROR(VLOOKUP(C55,'تقرير المصروفات حسب الشهر'!$C$637:$AD$746,8,FALSE),0)</f>
        <v>0</v>
      </c>
      <c r="J55" s="362">
        <f>IFERROR(VLOOKUP(C55,'تقرير المصروفات حسب الشهر'!$C$763:$AD$872,8,FALSE),0)</f>
        <v>0</v>
      </c>
      <c r="K55" s="362">
        <f>IFERROR(VLOOKUP(C55,'تقرير المصروفات حسب الشهر'!$C$890:$AD$999,8,FALSE),0)</f>
        <v>0</v>
      </c>
      <c r="L55" s="362">
        <f>IFERROR(VLOOKUP(C55,'تقرير المصروفات حسب الشهر'!$C$1016:$AD$1126,8,FALSE),0)</f>
        <v>0</v>
      </c>
      <c r="M55" s="376">
        <f>IFERROR(VLOOKUP(C55,'تقرير المصروفات حسب الشهر'!$C$1143:$AD$1254,8,FALSE),0)</f>
        <v>0</v>
      </c>
      <c r="N55" s="376">
        <f>IFERROR(VLOOKUP(C55,'تقرير المصروفات حسب الشهر'!$C$1270:$AD$1381,8,FALSE),0)</f>
        <v>0</v>
      </c>
      <c r="O55" s="376">
        <f>IFERROR(VLOOKUP(C55,'تقرير المصروفات حسب الشهر'!$C$1397:$AD$1512,8,FALSE),0)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الشهر'!$C$10:$AD$119,8,FALSE),0)</f>
        <v>0</v>
      </c>
      <c r="E56" s="362">
        <f>IFERROR(VLOOKUP(C56,'تقرير المصروفات حسب الشهر'!$C$135:$AD$244,8,FALSE),0)</f>
        <v>0</v>
      </c>
      <c r="F56" s="362">
        <f>IFERROR(VLOOKUP(C56,'تقرير المصروفات حسب الشهر'!$C$261:$AD$368,8,FALSE),0)</f>
        <v>0</v>
      </c>
      <c r="G56" s="362">
        <f>IFERROR(VLOOKUP(C56,'تقرير المصروفات حسب الشهر'!$C$387:$AD$495,8,FALSE),0)</f>
        <v>0</v>
      </c>
      <c r="H56" s="362">
        <f>IFERROR(VLOOKUP(C56,'تقرير المصروفات حسب الشهر'!$C$512:$AD$620,8,FALSE),0)</f>
        <v>0</v>
      </c>
      <c r="I56" s="362">
        <f>IFERROR(VLOOKUP(C56,'تقرير المصروفات حسب الشهر'!$C$637:$AD$746,8,FALSE),0)</f>
        <v>0</v>
      </c>
      <c r="J56" s="362">
        <f>IFERROR(VLOOKUP(C56,'تقرير المصروفات حسب الشهر'!$C$763:$AD$872,8,FALSE),0)</f>
        <v>0</v>
      </c>
      <c r="K56" s="362">
        <f>IFERROR(VLOOKUP(C56,'تقرير المصروفات حسب الشهر'!$C$890:$AD$999,8,FALSE),0)</f>
        <v>0</v>
      </c>
      <c r="L56" s="362">
        <f>IFERROR(VLOOKUP(C56,'تقرير المصروفات حسب الشهر'!$C$1016:$AD$1126,8,FALSE),0)</f>
        <v>0</v>
      </c>
      <c r="M56" s="376">
        <f>IFERROR(VLOOKUP(C56,'تقرير المصروفات حسب الشهر'!$C$1143:$AD$1254,8,FALSE),0)</f>
        <v>0</v>
      </c>
      <c r="N56" s="376">
        <f>IFERROR(VLOOKUP(C56,'تقرير المصروفات حسب الشهر'!$C$1270:$AD$1381,8,FALSE),0)</f>
        <v>0</v>
      </c>
      <c r="O56" s="376">
        <f>IFERROR(VLOOKUP(C56,'تقرير المصروفات حسب الشهر'!$C$1397:$AD$1512,8,FALSE),0)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الشهر'!$C$10:$AD$119,8,FALSE),0)</f>
        <v>0</v>
      </c>
      <c r="E57" s="362">
        <f>IFERROR(VLOOKUP(C57,'تقرير المصروفات حسب الشهر'!$C$135:$AD$244,8,FALSE),0)</f>
        <v>0</v>
      </c>
      <c r="F57" s="362">
        <f>IFERROR(VLOOKUP(C57,'تقرير المصروفات حسب الشهر'!$C$261:$AD$368,8,FALSE),0)</f>
        <v>0</v>
      </c>
      <c r="G57" s="362">
        <f>IFERROR(VLOOKUP(C57,'تقرير المصروفات حسب الشهر'!$C$387:$AD$495,8,FALSE),0)</f>
        <v>0</v>
      </c>
      <c r="H57" s="362">
        <f>IFERROR(VLOOKUP(C57,'تقرير المصروفات حسب الشهر'!$C$512:$AD$620,8,FALSE),0)</f>
        <v>0</v>
      </c>
      <c r="I57" s="362">
        <f>IFERROR(VLOOKUP(C57,'تقرير المصروفات حسب الشهر'!$C$637:$AD$746,8,FALSE),0)</f>
        <v>0</v>
      </c>
      <c r="J57" s="362">
        <f>IFERROR(VLOOKUP(C57,'تقرير المصروفات حسب الشهر'!$C$763:$AD$872,8,FALSE),0)</f>
        <v>0</v>
      </c>
      <c r="K57" s="362">
        <f>IFERROR(VLOOKUP(C57,'تقرير المصروفات حسب الشهر'!$C$890:$AD$999,8,FALSE),0)</f>
        <v>0</v>
      </c>
      <c r="L57" s="362">
        <f>IFERROR(VLOOKUP(C57,'تقرير المصروفات حسب الشهر'!$C$1016:$AD$1126,8,FALSE),0)</f>
        <v>0</v>
      </c>
      <c r="M57" s="376">
        <f>IFERROR(VLOOKUP(C57,'تقرير المصروفات حسب الشهر'!$C$1143:$AD$1254,8,FALSE),0)</f>
        <v>0</v>
      </c>
      <c r="N57" s="376">
        <f>IFERROR(VLOOKUP(C57,'تقرير المصروفات حسب الشهر'!$C$1270:$AD$1381,8,FALSE),0)</f>
        <v>0</v>
      </c>
      <c r="O57" s="376">
        <f>IFERROR(VLOOKUP(C57,'تقرير المصروفات حسب الشهر'!$C$1397:$AD$1512,8,FALSE),0)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الشهر'!$C$10:$AD$119,8,FALSE),0)</f>
        <v>0</v>
      </c>
      <c r="E58" s="362">
        <f>IFERROR(VLOOKUP(C58,'تقرير المصروفات حسب الشهر'!$C$135:$AD$244,8,FALSE),0)</f>
        <v>0</v>
      </c>
      <c r="F58" s="362">
        <f>IFERROR(VLOOKUP(C58,'تقرير المصروفات حسب الشهر'!$C$261:$AD$368,8,FALSE),0)</f>
        <v>0</v>
      </c>
      <c r="G58" s="362">
        <f>IFERROR(VLOOKUP(C58,'تقرير المصروفات حسب الشهر'!$C$387:$AD$495,8,FALSE),0)</f>
        <v>0</v>
      </c>
      <c r="H58" s="362">
        <f>IFERROR(VLOOKUP(C58,'تقرير المصروفات حسب الشهر'!$C$512:$AD$620,8,FALSE),0)</f>
        <v>0</v>
      </c>
      <c r="I58" s="362">
        <f>IFERROR(VLOOKUP(C58,'تقرير المصروفات حسب الشهر'!$C$637:$AD$746,8,FALSE),0)</f>
        <v>0</v>
      </c>
      <c r="J58" s="362">
        <f>IFERROR(VLOOKUP(C58,'تقرير المصروفات حسب الشهر'!$C$763:$AD$872,8,FALSE),0)</f>
        <v>0</v>
      </c>
      <c r="K58" s="362">
        <f>IFERROR(VLOOKUP(C58,'تقرير المصروفات حسب الشهر'!$C$890:$AD$999,8,FALSE),0)</f>
        <v>0</v>
      </c>
      <c r="L58" s="362">
        <f>IFERROR(VLOOKUP(C58,'تقرير المصروفات حسب الشهر'!$C$1016:$AD$1126,8,FALSE),0)</f>
        <v>0</v>
      </c>
      <c r="M58" s="376">
        <f>IFERROR(VLOOKUP(C58,'تقرير المصروفات حسب الشهر'!$C$1143:$AD$1254,8,FALSE),0)</f>
        <v>0</v>
      </c>
      <c r="N58" s="376">
        <f>IFERROR(VLOOKUP(C58,'تقرير المصروفات حسب الشهر'!$C$1270:$AD$1381,8,FALSE),0)</f>
        <v>0</v>
      </c>
      <c r="O58" s="376">
        <f>IFERROR(VLOOKUP(C58,'تقرير المصروفات حسب الشهر'!$C$1397:$AD$1512,8,FALSE),0)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الشهر'!$C$10:$AD$119,8,FALSE),0)</f>
        <v>0</v>
      </c>
      <c r="E59" s="362">
        <f>IFERROR(VLOOKUP(C59,'تقرير المصروفات حسب الشهر'!$C$135:$AD$244,8,FALSE),0)</f>
        <v>1700.25</v>
      </c>
      <c r="F59" s="362">
        <f>IFERROR(VLOOKUP(C59,'تقرير المصروفات حسب الشهر'!$C$261:$AD$368,8,FALSE),0)</f>
        <v>666.25</v>
      </c>
      <c r="G59" s="362">
        <f>IFERROR(VLOOKUP(C59,'تقرير المصروفات حسب الشهر'!$C$387:$AD$495,8,FALSE),0)</f>
        <v>1500.25</v>
      </c>
      <c r="H59" s="362">
        <f>IFERROR(VLOOKUP(C59,'تقرير المصروفات حسب الشهر'!$C$512:$AD$620,8,FALSE),0)</f>
        <v>0</v>
      </c>
      <c r="I59" s="362">
        <f>IFERROR(VLOOKUP(C59,'تقرير المصروفات حسب الشهر'!$C$637:$AD$746,8,FALSE),0)</f>
        <v>700.25</v>
      </c>
      <c r="J59" s="362">
        <f>IFERROR(VLOOKUP(C59,'تقرير المصروفات حسب الشهر'!$C$763:$AD$872,8,FALSE),0)</f>
        <v>1500.25</v>
      </c>
      <c r="K59" s="362">
        <f>IFERROR(VLOOKUP(C59,'تقرير المصروفات حسب الشهر'!$C$890:$AD$999,8,FALSE),0)</f>
        <v>0</v>
      </c>
      <c r="L59" s="362">
        <f>IFERROR(VLOOKUP(C59,'تقرير المصروفات حسب الشهر'!$C$1016:$AD$1126,8,FALSE),0)</f>
        <v>4222.25</v>
      </c>
      <c r="M59" s="376">
        <f>IFERROR(VLOOKUP(C59,'تقرير المصروفات حسب الشهر'!$C$1143:$AD$1254,8,FALSE),0)</f>
        <v>1300</v>
      </c>
      <c r="N59" s="376">
        <f>IFERROR(VLOOKUP(C59,'تقرير المصروفات حسب الشهر'!$C$1270:$AD$1381,8,FALSE),0)</f>
        <v>4555.25</v>
      </c>
      <c r="O59" s="376">
        <f>IFERROR(VLOOKUP(C59,'تقرير المصروفات حسب الشهر'!$C$1397:$AD$1512,8,FALSE),0)</f>
        <v>3600.25</v>
      </c>
      <c r="P59" s="364">
        <f t="shared" si="5"/>
        <v>19745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الشهر'!$C$10:$AD$119,8,FALSE),0)</f>
        <v>0</v>
      </c>
      <c r="E60" s="362">
        <f>IFERROR(VLOOKUP(C60,'تقرير المصروفات حسب الشهر'!$C$135:$AD$244,8,FALSE),0)</f>
        <v>0</v>
      </c>
      <c r="F60" s="362">
        <f>IFERROR(VLOOKUP(C60,'تقرير المصروفات حسب الشهر'!$C$261:$AD$368,8,FALSE),0)</f>
        <v>1500</v>
      </c>
      <c r="G60" s="362">
        <f>IFERROR(VLOOKUP(C60,'تقرير المصروفات حسب الشهر'!$C$387:$AD$495,8,FALSE),0)</f>
        <v>310</v>
      </c>
      <c r="H60" s="362">
        <f>IFERROR(VLOOKUP(C60,'تقرير المصروفات حسب الشهر'!$C$512:$AD$620,8,FALSE),0)</f>
        <v>0</v>
      </c>
      <c r="I60" s="362">
        <f>IFERROR(VLOOKUP(C60,'تقرير المصروفات حسب الشهر'!$C$637:$AD$746,8,FALSE),0)</f>
        <v>0</v>
      </c>
      <c r="J60" s="362">
        <f>IFERROR(VLOOKUP(C60,'تقرير المصروفات حسب الشهر'!$C$763:$AD$872,8,FALSE),0)</f>
        <v>0</v>
      </c>
      <c r="K60" s="362">
        <f>IFERROR(VLOOKUP(C60,'تقرير المصروفات حسب الشهر'!$C$890:$AD$999,8,FALSE),0)</f>
        <v>4158</v>
      </c>
      <c r="L60" s="362">
        <f>IFERROR(VLOOKUP(C60,'تقرير المصروفات حسب الشهر'!$C$1016:$AD$1126,8,FALSE),0)</f>
        <v>0</v>
      </c>
      <c r="M60" s="376">
        <f>IFERROR(VLOOKUP(C60,'تقرير المصروفات حسب الشهر'!$C$1143:$AD$1254,8,FALSE),0)</f>
        <v>1980</v>
      </c>
      <c r="N60" s="376">
        <f>IFERROR(VLOOKUP(C60,'تقرير المصروفات حسب الشهر'!$C$1270:$AD$1381,8,FALSE),0)</f>
        <v>0</v>
      </c>
      <c r="O60" s="376">
        <f>IFERROR(VLOOKUP(C60,'تقرير المصروفات حسب الشهر'!$C$1397:$AD$1512,8,FALSE),0)</f>
        <v>2640</v>
      </c>
      <c r="P60" s="364">
        <f t="shared" si="5"/>
        <v>10588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الشهر'!$C$10:$AD$119,8,FALSE),0)</f>
        <v>0</v>
      </c>
      <c r="E61" s="362">
        <f>IFERROR(VLOOKUP(C61,'تقرير المصروفات حسب الشهر'!$C$135:$AD$244,8,FALSE),0)</f>
        <v>0</v>
      </c>
      <c r="F61" s="362">
        <f>IFERROR(VLOOKUP(C61,'تقرير المصروفات حسب الشهر'!$C$261:$AD$368,8,FALSE),0)</f>
        <v>0</v>
      </c>
      <c r="G61" s="362">
        <f>IFERROR(VLOOKUP(C61,'تقرير المصروفات حسب الشهر'!$C$387:$AD$495,8,FALSE),0)</f>
        <v>0</v>
      </c>
      <c r="H61" s="362">
        <f>IFERROR(VLOOKUP(C61,'تقرير المصروفات حسب الشهر'!$C$512:$AD$620,8,FALSE),0)</f>
        <v>0</v>
      </c>
      <c r="I61" s="362">
        <f>IFERROR(VLOOKUP(C61,'تقرير المصروفات حسب الشهر'!$C$637:$AD$746,8,FALSE),0)</f>
        <v>0</v>
      </c>
      <c r="J61" s="362">
        <f>IFERROR(VLOOKUP(C61,'تقرير المصروفات حسب الشهر'!$C$763:$AD$872,8,FALSE),0)</f>
        <v>0</v>
      </c>
      <c r="K61" s="362">
        <f>IFERROR(VLOOKUP(C61,'تقرير المصروفات حسب الشهر'!$C$890:$AD$999,8,FALSE),0)</f>
        <v>0</v>
      </c>
      <c r="L61" s="362">
        <f>IFERROR(VLOOKUP(C61,'تقرير المصروفات حسب الشهر'!$C$1016:$AD$1126,8,FALSE),0)</f>
        <v>350</v>
      </c>
      <c r="M61" s="376">
        <f>IFERROR(VLOOKUP(C61,'تقرير المصروفات حسب الشهر'!$C$1143:$AD$1254,8,FALSE),0)</f>
        <v>0</v>
      </c>
      <c r="N61" s="376">
        <f>IFERROR(VLOOKUP(C61,'تقرير المصروفات حسب الشهر'!$C$1270:$AD$1381,8,FALSE),0)</f>
        <v>0</v>
      </c>
      <c r="O61" s="376">
        <f>IFERROR(VLOOKUP(C61,'تقرير المصروفات حسب الشهر'!$C$1397:$AD$1512,8,FALSE),0)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الشهر'!$C$10:$AD$119,8,FALSE),0)</f>
        <v>0</v>
      </c>
      <c r="E62" s="362">
        <f>IFERROR(VLOOKUP(C62,'تقرير المصروفات حسب الشهر'!$C$135:$AD$244,8,FALSE),0)</f>
        <v>0</v>
      </c>
      <c r="F62" s="362">
        <f>IFERROR(VLOOKUP(C62,'تقرير المصروفات حسب الشهر'!$C$261:$AD$368,8,FALSE),0)</f>
        <v>0</v>
      </c>
      <c r="G62" s="362">
        <f>IFERROR(VLOOKUP(C62,'تقرير المصروفات حسب الشهر'!$C$387:$AD$495,8,FALSE),0)</f>
        <v>0</v>
      </c>
      <c r="H62" s="362">
        <f>IFERROR(VLOOKUP(C62,'تقرير المصروفات حسب الشهر'!$C$512:$AD$620,8,FALSE),0)</f>
        <v>0</v>
      </c>
      <c r="I62" s="362">
        <f>IFERROR(VLOOKUP(C62,'تقرير المصروفات حسب الشهر'!$C$637:$AD$746,8,FALSE),0)</f>
        <v>0</v>
      </c>
      <c r="J62" s="362">
        <f>IFERROR(VLOOKUP(C62,'تقرير المصروفات حسب الشهر'!$C$763:$AD$872,8,FALSE),0)</f>
        <v>0</v>
      </c>
      <c r="K62" s="362">
        <f>IFERROR(VLOOKUP(C62,'تقرير المصروفات حسب الشهر'!$C$890:$AD$999,8,FALSE),0)</f>
        <v>0</v>
      </c>
      <c r="L62" s="362">
        <f>IFERROR(VLOOKUP(C62,'تقرير المصروفات حسب الشهر'!$C$1016:$AD$1126,8,FALSE),0)</f>
        <v>0</v>
      </c>
      <c r="M62" s="376">
        <f>IFERROR(VLOOKUP(C62,'تقرير المصروفات حسب الشهر'!$C$1143:$AD$1254,8,FALSE),0)</f>
        <v>0</v>
      </c>
      <c r="N62" s="376">
        <f>IFERROR(VLOOKUP(C62,'تقرير المصروفات حسب الشهر'!$C$1270:$AD$1381,8,FALSE),0)</f>
        <v>0</v>
      </c>
      <c r="O62" s="376">
        <f>IFERROR(VLOOKUP(C62,'تقرير المصروفات حسب الشهر'!$C$1397:$AD$1512,8,FALSE),0)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الشهر'!$C$10:$AD$119,8,FALSE),0)</f>
        <v>0</v>
      </c>
      <c r="E63" s="362">
        <f>IFERROR(VLOOKUP(C63,'تقرير المصروفات حسب الشهر'!$C$135:$AD$244,8,FALSE),0)</f>
        <v>0</v>
      </c>
      <c r="F63" s="362">
        <f>IFERROR(VLOOKUP(C63,'تقرير المصروفات حسب الشهر'!$C$261:$AD$368,8,FALSE),0)</f>
        <v>0</v>
      </c>
      <c r="G63" s="362">
        <f>IFERROR(VLOOKUP(C63,'تقرير المصروفات حسب الشهر'!$C$387:$AD$495,8,FALSE),0)</f>
        <v>0</v>
      </c>
      <c r="H63" s="362">
        <f>IFERROR(VLOOKUP(C63,'تقرير المصروفات حسب الشهر'!$C$512:$AD$620,8,FALSE),0)</f>
        <v>0</v>
      </c>
      <c r="I63" s="362">
        <f>IFERROR(VLOOKUP(C63,'تقرير المصروفات حسب الشهر'!$C$637:$AD$746,8,FALSE),0)</f>
        <v>0</v>
      </c>
      <c r="J63" s="362">
        <f>IFERROR(VLOOKUP(C63,'تقرير المصروفات حسب الشهر'!$C$763:$AD$872,8,FALSE),0)</f>
        <v>0</v>
      </c>
      <c r="K63" s="362">
        <f>IFERROR(VLOOKUP(C63,'تقرير المصروفات حسب الشهر'!$C$890:$AD$999,8,FALSE),0)</f>
        <v>0</v>
      </c>
      <c r="L63" s="362">
        <f>IFERROR(VLOOKUP(C63,'تقرير المصروفات حسب الشهر'!$C$1016:$AD$1126,8,FALSE),0)</f>
        <v>0</v>
      </c>
      <c r="M63" s="376">
        <f>IFERROR(VLOOKUP(C63,'تقرير المصروفات حسب الشهر'!$C$1143:$AD$1254,8,FALSE),0)</f>
        <v>0</v>
      </c>
      <c r="N63" s="376">
        <f>IFERROR(VLOOKUP(C63,'تقرير المصروفات حسب الشهر'!$C$1270:$AD$1381,8,FALSE),0)</f>
        <v>0</v>
      </c>
      <c r="O63" s="376">
        <f>IFERROR(VLOOKUP(C63,'تقرير المصروفات حسب الشهر'!$C$1397:$AD$1512,8,FALSE),0)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الشهر'!$C$10:$AD$119,8,FALSE),0)</f>
        <v>0</v>
      </c>
      <c r="E64" s="362">
        <f>IFERROR(VLOOKUP(C64,'تقرير المصروفات حسب الشهر'!$C$135:$AD$244,8,FALSE),0)</f>
        <v>0</v>
      </c>
      <c r="F64" s="362">
        <f>IFERROR(VLOOKUP(C64,'تقرير المصروفات حسب الشهر'!$C$261:$AD$368,8,FALSE),0)</f>
        <v>0</v>
      </c>
      <c r="G64" s="362">
        <f>IFERROR(VLOOKUP(C64,'تقرير المصروفات حسب الشهر'!$C$387:$AD$495,8,FALSE),0)</f>
        <v>0</v>
      </c>
      <c r="H64" s="362">
        <f>IFERROR(VLOOKUP(C64,'تقرير المصروفات حسب الشهر'!$C$512:$AD$620,8,FALSE),0)</f>
        <v>0</v>
      </c>
      <c r="I64" s="362">
        <f>IFERROR(VLOOKUP(C64,'تقرير المصروفات حسب الشهر'!$C$637:$AD$746,8,FALSE),0)</f>
        <v>0</v>
      </c>
      <c r="J64" s="362">
        <f>IFERROR(VLOOKUP(C64,'تقرير المصروفات حسب الشهر'!$C$763:$AD$872,8,FALSE),0)</f>
        <v>0</v>
      </c>
      <c r="K64" s="362">
        <f>IFERROR(VLOOKUP(C64,'تقرير المصروفات حسب الشهر'!$C$890:$AD$999,8,FALSE),0)</f>
        <v>0</v>
      </c>
      <c r="L64" s="362">
        <f>IFERROR(VLOOKUP(C64,'تقرير المصروفات حسب الشهر'!$C$1016:$AD$1126,8,FALSE),0)</f>
        <v>0</v>
      </c>
      <c r="M64" s="376">
        <f>IFERROR(VLOOKUP(C64,'تقرير المصروفات حسب الشهر'!$C$1143:$AD$1254,8,FALSE),0)</f>
        <v>0</v>
      </c>
      <c r="N64" s="376">
        <f>IFERROR(VLOOKUP(C64,'تقرير المصروفات حسب الشهر'!$C$1270:$AD$1381,8,FALSE),0)</f>
        <v>0</v>
      </c>
      <c r="O64" s="376">
        <f>IFERROR(VLOOKUP(C64,'تقرير المصروفات حسب الشهر'!$C$1397:$AD$1512,8,FALSE),0)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الشهر'!$C$10:$AD$119,8,FALSE),0)</f>
        <v>0</v>
      </c>
      <c r="E65" s="362">
        <f>IFERROR(VLOOKUP(C65,'تقرير المصروفات حسب الشهر'!$C$135:$AD$244,8,FALSE),0)</f>
        <v>0</v>
      </c>
      <c r="F65" s="362">
        <f>IFERROR(VLOOKUP(C65,'تقرير المصروفات حسب الشهر'!$C$261:$AD$368,8,FALSE),0)</f>
        <v>0</v>
      </c>
      <c r="G65" s="362">
        <f>IFERROR(VLOOKUP(C65,'تقرير المصروفات حسب الشهر'!$C$387:$AD$495,8,FALSE),0)</f>
        <v>0</v>
      </c>
      <c r="H65" s="362">
        <f>IFERROR(VLOOKUP(C65,'تقرير المصروفات حسب الشهر'!$C$512:$AD$620,8,FALSE),0)</f>
        <v>0</v>
      </c>
      <c r="I65" s="362">
        <f>IFERROR(VLOOKUP(C65,'تقرير المصروفات حسب الشهر'!$C$637:$AD$746,8,FALSE),0)</f>
        <v>0</v>
      </c>
      <c r="J65" s="362">
        <f>IFERROR(VLOOKUP(C65,'تقرير المصروفات حسب الشهر'!$C$763:$AD$872,8,FALSE),0)</f>
        <v>0</v>
      </c>
      <c r="K65" s="362">
        <f>IFERROR(VLOOKUP(C65,'تقرير المصروفات حسب الشهر'!$C$890:$AD$999,8,FALSE),0)</f>
        <v>0</v>
      </c>
      <c r="L65" s="362">
        <f>IFERROR(VLOOKUP(C65,'تقرير المصروفات حسب الشهر'!$C$1016:$AD$1126,8,FALSE),0)</f>
        <v>0</v>
      </c>
      <c r="M65" s="376">
        <f>IFERROR(VLOOKUP(C65,'تقرير المصروفات حسب الشهر'!$C$1143:$AD$1254,8,FALSE),0)</f>
        <v>0</v>
      </c>
      <c r="N65" s="376">
        <f>IFERROR(VLOOKUP(C65,'تقرير المصروفات حسب الشهر'!$C$1270:$AD$1381,8,FALSE),0)</f>
        <v>0</v>
      </c>
      <c r="O65" s="376">
        <f>IFERROR(VLOOKUP(C65,'تقرير المصروفات حسب الشهر'!$C$1397:$AD$1512,8,FALSE),0)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الشهر'!$C$10:$AD$119,8,FALSE),0)</f>
        <v>0</v>
      </c>
      <c r="E66" s="362">
        <f>IFERROR(VLOOKUP(C66,'تقرير المصروفات حسب الشهر'!$C$135:$AD$244,8,FALSE),0)</f>
        <v>0</v>
      </c>
      <c r="F66" s="362">
        <f>IFERROR(VLOOKUP(C66,'تقرير المصروفات حسب الشهر'!$C$261:$AD$368,8,FALSE),0)</f>
        <v>0</v>
      </c>
      <c r="G66" s="362">
        <f>IFERROR(VLOOKUP(C66,'تقرير المصروفات حسب الشهر'!$C$387:$AD$495,8,FALSE),0)</f>
        <v>0</v>
      </c>
      <c r="H66" s="362">
        <f>IFERROR(VLOOKUP(C66,'تقرير المصروفات حسب الشهر'!$C$512:$AD$620,8,FALSE),0)</f>
        <v>0</v>
      </c>
      <c r="I66" s="362">
        <f>IFERROR(VLOOKUP(C66,'تقرير المصروفات حسب الشهر'!$C$637:$AD$746,8,FALSE),0)</f>
        <v>0</v>
      </c>
      <c r="J66" s="362">
        <f>IFERROR(VLOOKUP(C66,'تقرير المصروفات حسب الشهر'!$C$763:$AD$872,8,FALSE),0)</f>
        <v>0</v>
      </c>
      <c r="K66" s="362">
        <f>IFERROR(VLOOKUP(C66,'تقرير المصروفات حسب الشهر'!$C$890:$AD$999,8,FALSE),0)</f>
        <v>0</v>
      </c>
      <c r="L66" s="362">
        <f>IFERROR(VLOOKUP(C66,'تقرير المصروفات حسب الشهر'!$C$1016:$AD$1126,8,FALSE),0)</f>
        <v>0</v>
      </c>
      <c r="M66" s="376">
        <f>IFERROR(VLOOKUP(C66,'تقرير المصروفات حسب الشهر'!$C$1143:$AD$1254,8,FALSE),0)</f>
        <v>0</v>
      </c>
      <c r="N66" s="376">
        <f>IFERROR(VLOOKUP(C66,'تقرير المصروفات حسب الشهر'!$C$1270:$AD$1381,8,FALSE),0)</f>
        <v>0</v>
      </c>
      <c r="O66" s="376">
        <f>IFERROR(VLOOKUP(C66,'تقرير المصروفات حسب الشهر'!$C$1397:$AD$1512,8,FALSE),0)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الشهر'!$C$10:$AD$119,8,FALSE),0)</f>
        <v>0</v>
      </c>
      <c r="E67" s="362">
        <f>IFERROR(VLOOKUP(C67,'تقرير المصروفات حسب الشهر'!$C$135:$AD$244,8,FALSE),0)</f>
        <v>0</v>
      </c>
      <c r="F67" s="362">
        <f>IFERROR(VLOOKUP(C67,'تقرير المصروفات حسب الشهر'!$C$261:$AD$368,8,FALSE),0)</f>
        <v>0</v>
      </c>
      <c r="G67" s="362">
        <f>IFERROR(VLOOKUP(C67,'تقرير المصروفات حسب الشهر'!$C$387:$AD$495,8,FALSE),0)</f>
        <v>0</v>
      </c>
      <c r="H67" s="362">
        <f>IFERROR(VLOOKUP(C67,'تقرير المصروفات حسب الشهر'!$C$512:$AD$620,8,FALSE),0)</f>
        <v>0</v>
      </c>
      <c r="I67" s="362">
        <f>IFERROR(VLOOKUP(C67,'تقرير المصروفات حسب الشهر'!$C$637:$AD$746,8,FALSE),0)</f>
        <v>0</v>
      </c>
      <c r="J67" s="362">
        <f>IFERROR(VLOOKUP(C67,'تقرير المصروفات حسب الشهر'!$C$763:$AD$872,8,FALSE),0)</f>
        <v>0</v>
      </c>
      <c r="K67" s="362">
        <f>IFERROR(VLOOKUP(C67,'تقرير المصروفات حسب الشهر'!$C$890:$AD$999,8,FALSE),0)</f>
        <v>0</v>
      </c>
      <c r="L67" s="362">
        <f>IFERROR(VLOOKUP(C67,'تقرير المصروفات حسب الشهر'!$C$1016:$AD$1126,8,FALSE),0)</f>
        <v>0</v>
      </c>
      <c r="M67" s="376">
        <f>IFERROR(VLOOKUP(C67,'تقرير المصروفات حسب الشهر'!$C$1143:$AD$1254,8,FALSE),0)</f>
        <v>0</v>
      </c>
      <c r="N67" s="376">
        <f>IFERROR(VLOOKUP(C67,'تقرير المصروفات حسب الشهر'!$C$1270:$AD$1381,8,FALSE),0)</f>
        <v>0</v>
      </c>
      <c r="O67" s="376">
        <f>IFERROR(VLOOKUP(C67,'تقرير المصروفات حسب الشهر'!$C$1397:$AD$1512,8,FALSE),0)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الشهر'!$C$10:$AD$119,8,FALSE),0)</f>
        <v>0</v>
      </c>
      <c r="E68" s="362">
        <f>IFERROR(VLOOKUP(C68,'تقرير المصروفات حسب الشهر'!$C$135:$AD$244,8,FALSE),0)</f>
        <v>0</v>
      </c>
      <c r="F68" s="362">
        <f>IFERROR(VLOOKUP(C68,'تقرير المصروفات حسب الشهر'!$C$261:$AD$368,8,FALSE),0)</f>
        <v>0</v>
      </c>
      <c r="G68" s="362">
        <f>IFERROR(VLOOKUP(C68,'تقرير المصروفات حسب الشهر'!$C$387:$AD$495,8,FALSE),0)</f>
        <v>0</v>
      </c>
      <c r="H68" s="362">
        <f>IFERROR(VLOOKUP(C68,'تقرير المصروفات حسب الشهر'!$C$512:$AD$620,8,FALSE),0)</f>
        <v>0</v>
      </c>
      <c r="I68" s="362">
        <f>IFERROR(VLOOKUP(C68,'تقرير المصروفات حسب الشهر'!$C$637:$AD$746,8,FALSE),0)</f>
        <v>0</v>
      </c>
      <c r="J68" s="362">
        <f>IFERROR(VLOOKUP(C68,'تقرير المصروفات حسب الشهر'!$C$763:$AD$872,8,FALSE),0)</f>
        <v>0</v>
      </c>
      <c r="K68" s="362">
        <f>IFERROR(VLOOKUP(C68,'تقرير المصروفات حسب الشهر'!$C$890:$AD$999,8,FALSE),0)</f>
        <v>0</v>
      </c>
      <c r="L68" s="362">
        <f>IFERROR(VLOOKUP(C68,'تقرير المصروفات حسب الشهر'!$C$1016:$AD$1126,8,FALSE),0)</f>
        <v>0</v>
      </c>
      <c r="M68" s="376">
        <f>IFERROR(VLOOKUP(C68,'تقرير المصروفات حسب الشهر'!$C$1143:$AD$1254,8,FALSE),0)</f>
        <v>0</v>
      </c>
      <c r="N68" s="376">
        <f>IFERROR(VLOOKUP(C68,'تقرير المصروفات حسب الشهر'!$C$1270:$AD$1381,8,FALSE),0)</f>
        <v>0</v>
      </c>
      <c r="O68" s="376">
        <f>IFERROR(VLOOKUP(C68,'تقرير المصروفات حسب الشهر'!$C$1397:$AD$1512,8,FALSE),0)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الشهر'!$C$10:$AD$119,8,FALSE),0)</f>
        <v>0</v>
      </c>
      <c r="E69" s="362">
        <f>IFERROR(VLOOKUP(C69,'تقرير المصروفات حسب الشهر'!$C$135:$AD$244,8,FALSE),0)</f>
        <v>0</v>
      </c>
      <c r="F69" s="362">
        <f>IFERROR(VLOOKUP(C69,'تقرير المصروفات حسب الشهر'!$C$261:$AD$368,8,FALSE),0)</f>
        <v>0</v>
      </c>
      <c r="G69" s="362">
        <f>IFERROR(VLOOKUP(C69,'تقرير المصروفات حسب الشهر'!$C$387:$AD$495,8,FALSE),0)</f>
        <v>0</v>
      </c>
      <c r="H69" s="362">
        <f>IFERROR(VLOOKUP(C69,'تقرير المصروفات حسب الشهر'!$C$512:$AD$620,8,FALSE),0)</f>
        <v>0</v>
      </c>
      <c r="I69" s="362">
        <f>IFERROR(VLOOKUP(C69,'تقرير المصروفات حسب الشهر'!$C$637:$AD$746,8,FALSE),0)</f>
        <v>0</v>
      </c>
      <c r="J69" s="362">
        <f>IFERROR(VLOOKUP(C69,'تقرير المصروفات حسب الشهر'!$C$763:$AD$872,8,FALSE),0)</f>
        <v>0</v>
      </c>
      <c r="K69" s="362">
        <f>IFERROR(VLOOKUP(C69,'تقرير المصروفات حسب الشهر'!$C$890:$AD$999,8,FALSE),0)</f>
        <v>0</v>
      </c>
      <c r="L69" s="362">
        <f>IFERROR(VLOOKUP(C69,'تقرير المصروفات حسب الشهر'!$C$1016:$AD$1126,8,FALSE),0)</f>
        <v>0</v>
      </c>
      <c r="M69" s="376">
        <f>IFERROR(VLOOKUP(C69,'تقرير المصروفات حسب الشهر'!$C$1143:$AD$1254,8,FALSE),0)</f>
        <v>0</v>
      </c>
      <c r="N69" s="376">
        <f>IFERROR(VLOOKUP(C69,'تقرير المصروفات حسب الشهر'!$C$1270:$AD$1381,8,FALSE),0)</f>
        <v>0</v>
      </c>
      <c r="O69" s="376">
        <f>IFERROR(VLOOKUP(C69,'تقرير المصروفات حسب الشهر'!$C$1397:$AD$1512,8,FALSE),0)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الشهر'!$C$10:$AD$119,8,FALSE),0)</f>
        <v>0</v>
      </c>
      <c r="E70" s="362">
        <f>IFERROR(VLOOKUP(C70,'تقرير المصروفات حسب الشهر'!$C$135:$AD$244,8,FALSE),0)</f>
        <v>0</v>
      </c>
      <c r="F70" s="362">
        <f>IFERROR(VLOOKUP(C70,'تقرير المصروفات حسب الشهر'!$C$261:$AD$368,8,FALSE),0)</f>
        <v>0</v>
      </c>
      <c r="G70" s="362">
        <f>IFERROR(VLOOKUP(C70,'تقرير المصروفات حسب الشهر'!$C$387:$AD$495,8,FALSE),0)</f>
        <v>0</v>
      </c>
      <c r="H70" s="362">
        <f>IFERROR(VLOOKUP(C70,'تقرير المصروفات حسب الشهر'!$C$512:$AD$620,8,FALSE),0)</f>
        <v>0</v>
      </c>
      <c r="I70" s="362">
        <f>IFERROR(VLOOKUP(C70,'تقرير المصروفات حسب الشهر'!$C$637:$AD$746,8,FALSE),0)</f>
        <v>0</v>
      </c>
      <c r="J70" s="362">
        <f>IFERROR(VLOOKUP(C70,'تقرير المصروفات حسب الشهر'!$C$763:$AD$872,8,FALSE),0)</f>
        <v>0</v>
      </c>
      <c r="K70" s="362">
        <f>IFERROR(VLOOKUP(C70,'تقرير المصروفات حسب الشهر'!$C$890:$AD$999,8,FALSE),0)</f>
        <v>0</v>
      </c>
      <c r="L70" s="362">
        <f>IFERROR(VLOOKUP(C70,'تقرير المصروفات حسب الشهر'!$C$1016:$AD$1126,8,FALSE),0)</f>
        <v>0</v>
      </c>
      <c r="M70" s="376">
        <f>IFERROR(VLOOKUP(C70,'تقرير المصروفات حسب الشهر'!$C$1143:$AD$1254,8,FALSE),0)</f>
        <v>0</v>
      </c>
      <c r="N70" s="376">
        <f>IFERROR(VLOOKUP(C70,'تقرير المصروفات حسب الشهر'!$C$1270:$AD$1381,8,FALSE),0)</f>
        <v>0</v>
      </c>
      <c r="O70" s="376">
        <f>IFERROR(VLOOKUP(C70,'تقرير المصروفات حسب الشهر'!$C$1397:$AD$1512,8,FALSE),0)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الشهر'!$C$10:$AD$119,8,FALSE),0)</f>
        <v>0</v>
      </c>
      <c r="E71" s="362">
        <f>IFERROR(VLOOKUP(C71,'تقرير المصروفات حسب الشهر'!$C$135:$AD$244,8,FALSE),0)</f>
        <v>0</v>
      </c>
      <c r="F71" s="362">
        <f>IFERROR(VLOOKUP(C71,'تقرير المصروفات حسب الشهر'!$C$261:$AD$368,8,FALSE),0)</f>
        <v>0</v>
      </c>
      <c r="G71" s="362">
        <f>IFERROR(VLOOKUP(C71,'تقرير المصروفات حسب الشهر'!$C$387:$AD$495,8,FALSE),0)</f>
        <v>0</v>
      </c>
      <c r="H71" s="362">
        <f>IFERROR(VLOOKUP(C71,'تقرير المصروفات حسب الشهر'!$C$512:$AD$620,8,FALSE),0)</f>
        <v>0</v>
      </c>
      <c r="I71" s="362">
        <f>IFERROR(VLOOKUP(C71,'تقرير المصروفات حسب الشهر'!$C$637:$AD$746,8,FALSE),0)</f>
        <v>0</v>
      </c>
      <c r="J71" s="362">
        <f>IFERROR(VLOOKUP(C71,'تقرير المصروفات حسب الشهر'!$C$763:$AD$872,8,FALSE),0)</f>
        <v>0</v>
      </c>
      <c r="K71" s="362">
        <f>IFERROR(VLOOKUP(C71,'تقرير المصروفات حسب الشهر'!$C$890:$AD$999,8,FALSE),0)</f>
        <v>0</v>
      </c>
      <c r="L71" s="362">
        <f>IFERROR(VLOOKUP(C71,'تقرير المصروفات حسب الشهر'!$C$1016:$AD$1126,8,FALSE),0)</f>
        <v>0</v>
      </c>
      <c r="M71" s="376">
        <f>IFERROR(VLOOKUP(C71,'تقرير المصروفات حسب الشهر'!$C$1143:$AD$1254,8,FALSE),0)</f>
        <v>0</v>
      </c>
      <c r="N71" s="376">
        <f>IFERROR(VLOOKUP(C71,'تقرير المصروفات حسب الشهر'!$C$1270:$AD$1381,8,FALSE),0)</f>
        <v>0</v>
      </c>
      <c r="O71" s="376">
        <f>IFERROR(VLOOKUP(C71,'تقرير المصروفات حسب الشهر'!$C$1397:$AD$1512,8,FALSE),0)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الشهر'!$C$10:$AD$119,8,FALSE),0)</f>
        <v>0</v>
      </c>
      <c r="E72" s="362">
        <f>IFERROR(VLOOKUP(C72,'تقرير المصروفات حسب الشهر'!$C$135:$AD$244,8,FALSE),0)</f>
        <v>0</v>
      </c>
      <c r="F72" s="362">
        <f>IFERROR(VLOOKUP(C72,'تقرير المصروفات حسب الشهر'!$C$261:$AD$368,8,FALSE),0)</f>
        <v>0</v>
      </c>
      <c r="G72" s="362">
        <f>IFERROR(VLOOKUP(C72,'تقرير المصروفات حسب الشهر'!$C$387:$AD$495,8,FALSE),0)</f>
        <v>0</v>
      </c>
      <c r="H72" s="362">
        <f>IFERROR(VLOOKUP(C72,'تقرير المصروفات حسب الشهر'!$C$512:$AD$620,8,FALSE),0)</f>
        <v>0</v>
      </c>
      <c r="I72" s="362">
        <f>IFERROR(VLOOKUP(C72,'تقرير المصروفات حسب الشهر'!$C$637:$AD$746,8,FALSE),0)</f>
        <v>0</v>
      </c>
      <c r="J72" s="362">
        <f>IFERROR(VLOOKUP(C72,'تقرير المصروفات حسب الشهر'!$C$763:$AD$872,8,FALSE),0)</f>
        <v>0</v>
      </c>
      <c r="K72" s="362">
        <f>IFERROR(VLOOKUP(C72,'تقرير المصروفات حسب الشهر'!$C$890:$AD$999,8,FALSE),0)</f>
        <v>0</v>
      </c>
      <c r="L72" s="362">
        <f>IFERROR(VLOOKUP(C72,'تقرير المصروفات حسب الشهر'!$C$1016:$AD$1126,8,FALSE),0)</f>
        <v>0</v>
      </c>
      <c r="M72" s="376">
        <f>IFERROR(VLOOKUP(C72,'تقرير المصروفات حسب الشهر'!$C$1143:$AD$1254,8,FALSE),0)</f>
        <v>0</v>
      </c>
      <c r="N72" s="376">
        <f>IFERROR(VLOOKUP(C72,'تقرير المصروفات حسب الشهر'!$C$1270:$AD$1381,8,FALSE),0)</f>
        <v>0</v>
      </c>
      <c r="O72" s="376">
        <f>IFERROR(VLOOKUP(C72,'تقرير المصروفات حسب الشهر'!$C$1397:$AD$1512,8,FALSE),0)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الشهر'!$C$10:$AD$119,8,FALSE),0)</f>
        <v>0</v>
      </c>
      <c r="E73" s="362">
        <f>IFERROR(VLOOKUP(C73,'تقرير المصروفات حسب الشهر'!$C$135:$AD$244,8,FALSE),0)</f>
        <v>0</v>
      </c>
      <c r="F73" s="362">
        <f>IFERROR(VLOOKUP(C73,'تقرير المصروفات حسب الشهر'!$C$261:$AD$368,8,FALSE),0)</f>
        <v>0</v>
      </c>
      <c r="G73" s="362">
        <f>IFERROR(VLOOKUP(C73,'تقرير المصروفات حسب الشهر'!$C$387:$AD$495,8,FALSE),0)</f>
        <v>0</v>
      </c>
      <c r="H73" s="362">
        <f>IFERROR(VLOOKUP(C73,'تقرير المصروفات حسب الشهر'!$C$512:$AD$620,8,FALSE),0)</f>
        <v>0</v>
      </c>
      <c r="I73" s="362">
        <f>IFERROR(VLOOKUP(C73,'تقرير المصروفات حسب الشهر'!$C$637:$AD$746,8,FALSE),0)</f>
        <v>0</v>
      </c>
      <c r="J73" s="362">
        <f>IFERROR(VLOOKUP(C73,'تقرير المصروفات حسب الشهر'!$C$763:$AD$872,8,FALSE),0)</f>
        <v>0</v>
      </c>
      <c r="K73" s="362">
        <f>IFERROR(VLOOKUP(C73,'تقرير المصروفات حسب الشهر'!$C$890:$AD$999,8,FALSE),0)</f>
        <v>0</v>
      </c>
      <c r="L73" s="362">
        <f>IFERROR(VLOOKUP(C73,'تقرير المصروفات حسب الشهر'!$C$1016:$AD$1126,8,FALSE),0)</f>
        <v>0</v>
      </c>
      <c r="M73" s="376">
        <f>IFERROR(VLOOKUP(C73,'تقرير المصروفات حسب الشهر'!$C$1143:$AD$1254,8,FALSE),0)</f>
        <v>0</v>
      </c>
      <c r="N73" s="376">
        <f>IFERROR(VLOOKUP(C73,'تقرير المصروفات حسب الشهر'!$C$1270:$AD$1381,8,FALSE),0)</f>
        <v>0</v>
      </c>
      <c r="O73" s="376">
        <f>IFERROR(VLOOKUP(C73,'تقرير المصروفات حسب الشهر'!$C$1397:$AD$1512,8,FALSE),0)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الشهر'!$C$10:$AD$119,8,FALSE),0)</f>
        <v>0</v>
      </c>
      <c r="E74" s="362">
        <f>IFERROR(VLOOKUP(C74,'تقرير المصروفات حسب الشهر'!$C$135:$AD$244,8,FALSE),0)</f>
        <v>0</v>
      </c>
      <c r="F74" s="362">
        <f>IFERROR(VLOOKUP(C74,'تقرير المصروفات حسب الشهر'!$C$261:$AD$368,8,FALSE),0)</f>
        <v>0</v>
      </c>
      <c r="G74" s="362">
        <f>IFERROR(VLOOKUP(C74,'تقرير المصروفات حسب الشهر'!$C$387:$AD$495,8,FALSE),0)</f>
        <v>0</v>
      </c>
      <c r="H74" s="362">
        <f>IFERROR(VLOOKUP(C74,'تقرير المصروفات حسب الشهر'!$C$512:$AD$620,8,FALSE),0)</f>
        <v>0</v>
      </c>
      <c r="I74" s="362">
        <f>IFERROR(VLOOKUP(C74,'تقرير المصروفات حسب الشهر'!$C$637:$AD$746,8,FALSE),0)</f>
        <v>0</v>
      </c>
      <c r="J74" s="362">
        <f>IFERROR(VLOOKUP(C74,'تقرير المصروفات حسب الشهر'!$C$763:$AD$872,8,FALSE),0)</f>
        <v>0</v>
      </c>
      <c r="K74" s="362">
        <f>IFERROR(VLOOKUP(C74,'تقرير المصروفات حسب الشهر'!$C$890:$AD$999,8,FALSE),0)</f>
        <v>0</v>
      </c>
      <c r="L74" s="362">
        <f>IFERROR(VLOOKUP(C74,'تقرير المصروفات حسب الشهر'!$C$1016:$AD$1126,8,FALSE),0)</f>
        <v>0</v>
      </c>
      <c r="M74" s="376">
        <f>IFERROR(VLOOKUP(C74,'تقرير المصروفات حسب الشهر'!$C$1143:$AD$1254,8,FALSE),0)</f>
        <v>0</v>
      </c>
      <c r="N74" s="376">
        <f>IFERROR(VLOOKUP(C74,'تقرير المصروفات حسب الشهر'!$C$1270:$AD$1381,8,FALSE),0)</f>
        <v>0</v>
      </c>
      <c r="O74" s="376">
        <f>IFERROR(VLOOKUP(C74,'تقرير المصروفات حسب الشهر'!$C$1397:$AD$1512,8,FALSE),0)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الشهر'!$C$10:$AD$119,8,FALSE),0)</f>
        <v>0</v>
      </c>
      <c r="E75" s="362">
        <f>IFERROR(VLOOKUP(C75,'تقرير المصروفات حسب الشهر'!$C$135:$AD$244,8,FALSE),0)</f>
        <v>0</v>
      </c>
      <c r="F75" s="362">
        <f>IFERROR(VLOOKUP(C75,'تقرير المصروفات حسب الشهر'!$C$261:$AD$368,8,FALSE),0)</f>
        <v>0</v>
      </c>
      <c r="G75" s="362">
        <f>IFERROR(VLOOKUP(C75,'تقرير المصروفات حسب الشهر'!$C$387:$AD$495,8,FALSE),0)</f>
        <v>0</v>
      </c>
      <c r="H75" s="362">
        <f>IFERROR(VLOOKUP(C75,'تقرير المصروفات حسب الشهر'!$C$512:$AD$620,8,FALSE),0)</f>
        <v>0</v>
      </c>
      <c r="I75" s="362">
        <f>IFERROR(VLOOKUP(C75,'تقرير المصروفات حسب الشهر'!$C$637:$AD$746,8,FALSE),0)</f>
        <v>0</v>
      </c>
      <c r="J75" s="362">
        <f>IFERROR(VLOOKUP(C75,'تقرير المصروفات حسب الشهر'!$C$763:$AD$872,8,FALSE),0)</f>
        <v>0</v>
      </c>
      <c r="K75" s="362">
        <f>IFERROR(VLOOKUP(C75,'تقرير المصروفات حسب الشهر'!$C$890:$AD$999,8,FALSE),0)</f>
        <v>0</v>
      </c>
      <c r="L75" s="362">
        <f>IFERROR(VLOOKUP(C75,'تقرير المصروفات حسب الشهر'!$C$1016:$AD$1126,8,FALSE),0)</f>
        <v>0</v>
      </c>
      <c r="M75" s="376">
        <f>IFERROR(VLOOKUP(C75,'تقرير المصروفات حسب الشهر'!$C$1143:$AD$1254,8,FALSE),0)</f>
        <v>0</v>
      </c>
      <c r="N75" s="376">
        <f>IFERROR(VLOOKUP(C75,'تقرير المصروفات حسب الشهر'!$C$1270:$AD$1381,8,FALSE),0)</f>
        <v>0</v>
      </c>
      <c r="O75" s="376">
        <f>IFERROR(VLOOKUP(C75,'تقرير المصروفات حسب الشهر'!$C$1397:$AD$1512,8,FALSE),0)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الشهر'!$C$10:$AD$119,8,FALSE),0)</f>
        <v>0</v>
      </c>
      <c r="E76" s="362">
        <f>IFERROR(VLOOKUP(C76,'تقرير المصروفات حسب الشهر'!$C$135:$AD$244,8,FALSE),0)</f>
        <v>0</v>
      </c>
      <c r="F76" s="362">
        <f>IFERROR(VLOOKUP(C76,'تقرير المصروفات حسب الشهر'!$C$261:$AD$368,8,FALSE),0)</f>
        <v>0</v>
      </c>
      <c r="G76" s="362">
        <f>IFERROR(VLOOKUP(C76,'تقرير المصروفات حسب الشهر'!$C$387:$AD$495,8,FALSE),0)</f>
        <v>0</v>
      </c>
      <c r="H76" s="362">
        <f>IFERROR(VLOOKUP(C76,'تقرير المصروفات حسب الشهر'!$C$512:$AD$620,8,FALSE),0)</f>
        <v>0</v>
      </c>
      <c r="I76" s="362">
        <f>IFERROR(VLOOKUP(C76,'تقرير المصروفات حسب الشهر'!$C$637:$AD$746,8,FALSE),0)</f>
        <v>0</v>
      </c>
      <c r="J76" s="362">
        <f>IFERROR(VLOOKUP(C76,'تقرير المصروفات حسب الشهر'!$C$763:$AD$872,8,FALSE),0)</f>
        <v>0</v>
      </c>
      <c r="K76" s="362">
        <f>IFERROR(VLOOKUP(C76,'تقرير المصروفات حسب الشهر'!$C$890:$AD$999,8,FALSE),0)</f>
        <v>0</v>
      </c>
      <c r="L76" s="362">
        <f>IFERROR(VLOOKUP(C76,'تقرير المصروفات حسب الشهر'!$C$1016:$AD$1126,8,FALSE),0)</f>
        <v>0</v>
      </c>
      <c r="M76" s="376">
        <f>IFERROR(VLOOKUP(C76,'تقرير المصروفات حسب الشهر'!$C$1143:$AD$1254,8,FALSE),0)</f>
        <v>0</v>
      </c>
      <c r="N76" s="376">
        <f>IFERROR(VLOOKUP(C76,'تقرير المصروفات حسب الشهر'!$C$1270:$AD$1381,8,FALSE),0)</f>
        <v>0</v>
      </c>
      <c r="O76" s="376">
        <f>IFERROR(VLOOKUP(C76,'تقرير المصروفات حسب الشهر'!$C$1397:$AD$1512,8,FALSE),0)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الشهر'!$C$10:$AD$119,8,FALSE),0)</f>
        <v>0</v>
      </c>
      <c r="E77" s="362">
        <f>IFERROR(VLOOKUP(C77,'تقرير المصروفات حسب الشهر'!$C$135:$AD$244,8,FALSE),0)</f>
        <v>0</v>
      </c>
      <c r="F77" s="362">
        <f>IFERROR(VLOOKUP(C77,'تقرير المصروفات حسب الشهر'!$C$261:$AD$368,8,FALSE),0)</f>
        <v>0</v>
      </c>
      <c r="G77" s="362">
        <f>IFERROR(VLOOKUP(C77,'تقرير المصروفات حسب الشهر'!$C$387:$AD$495,8,FALSE),0)</f>
        <v>0</v>
      </c>
      <c r="H77" s="362">
        <f>IFERROR(VLOOKUP(C77,'تقرير المصروفات حسب الشهر'!$C$512:$AD$620,8,FALSE),0)</f>
        <v>0</v>
      </c>
      <c r="I77" s="362">
        <f>IFERROR(VLOOKUP(C77,'تقرير المصروفات حسب الشهر'!$C$637:$AD$746,8,FALSE),0)</f>
        <v>0</v>
      </c>
      <c r="J77" s="362">
        <f>IFERROR(VLOOKUP(C77,'تقرير المصروفات حسب الشهر'!$C$763:$AD$872,8,FALSE),0)</f>
        <v>0</v>
      </c>
      <c r="K77" s="362">
        <f>IFERROR(VLOOKUP(C77,'تقرير المصروفات حسب الشهر'!$C$890:$AD$999,8,FALSE),0)</f>
        <v>0</v>
      </c>
      <c r="L77" s="362">
        <f>IFERROR(VLOOKUP(C77,'تقرير المصروفات حسب الشهر'!$C$1016:$AD$1126,8,FALSE),0)</f>
        <v>0</v>
      </c>
      <c r="M77" s="376">
        <f>IFERROR(VLOOKUP(C77,'تقرير المصروفات حسب الشهر'!$C$1143:$AD$1254,8,FALSE),0)</f>
        <v>0</v>
      </c>
      <c r="N77" s="376">
        <f>IFERROR(VLOOKUP(C77,'تقرير المصروفات حسب الشهر'!$C$1270:$AD$1381,8,FALSE),0)</f>
        <v>0</v>
      </c>
      <c r="O77" s="376">
        <f>IFERROR(VLOOKUP(C77,'تقرير المصروفات حسب الشهر'!$C$1397:$AD$1512,8,FALSE),0)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الشهر'!$C$10:$AD$119,8,FALSE),0)</f>
        <v>0</v>
      </c>
      <c r="E78" s="362">
        <f>IFERROR(VLOOKUP(C78,'تقرير المصروفات حسب الشهر'!$C$135:$AD$244,8,FALSE),0)</f>
        <v>0</v>
      </c>
      <c r="F78" s="362">
        <f>IFERROR(VLOOKUP(C78,'تقرير المصروفات حسب الشهر'!$C$261:$AD$368,8,FALSE),0)</f>
        <v>0</v>
      </c>
      <c r="G78" s="362">
        <f>IFERROR(VLOOKUP(C78,'تقرير المصروفات حسب الشهر'!$C$387:$AD$495,8,FALSE),0)</f>
        <v>0</v>
      </c>
      <c r="H78" s="362">
        <f>IFERROR(VLOOKUP(C78,'تقرير المصروفات حسب الشهر'!$C$512:$AD$620,8,FALSE),0)</f>
        <v>0</v>
      </c>
      <c r="I78" s="362">
        <f>IFERROR(VLOOKUP(C78,'تقرير المصروفات حسب الشهر'!$C$637:$AD$746,8,FALSE),0)</f>
        <v>0</v>
      </c>
      <c r="J78" s="362">
        <f>IFERROR(VLOOKUP(C78,'تقرير المصروفات حسب الشهر'!$C$763:$AD$872,8,FALSE),0)</f>
        <v>0</v>
      </c>
      <c r="K78" s="362">
        <f>IFERROR(VLOOKUP(C78,'تقرير المصروفات حسب الشهر'!$C$890:$AD$999,8,FALSE),0)</f>
        <v>0</v>
      </c>
      <c r="L78" s="362">
        <f>IFERROR(VLOOKUP(C78,'تقرير المصروفات حسب الشهر'!$C$1016:$AD$1126,8,FALSE),0)</f>
        <v>0</v>
      </c>
      <c r="M78" s="376">
        <f>IFERROR(VLOOKUP(C78,'تقرير المصروفات حسب الشهر'!$C$1143:$AD$1254,8,FALSE),0)</f>
        <v>0</v>
      </c>
      <c r="N78" s="376">
        <f>IFERROR(VLOOKUP(C78,'تقرير المصروفات حسب الشهر'!$C$1270:$AD$1381,8,FALSE),0)</f>
        <v>0</v>
      </c>
      <c r="O78" s="376">
        <f>IFERROR(VLOOKUP(C78,'تقرير المصروفات حسب الشهر'!$C$1397:$AD$1512,8,FALSE),0)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الشهر'!$C$10:$AD$119,8,FALSE),0)</f>
        <v>0</v>
      </c>
      <c r="E79" s="362">
        <f>IFERROR(VLOOKUP(C79,'تقرير المصروفات حسب الشهر'!$C$135:$AD$244,8,FALSE),0)</f>
        <v>0</v>
      </c>
      <c r="F79" s="362">
        <f>IFERROR(VLOOKUP(C79,'تقرير المصروفات حسب الشهر'!$C$261:$AD$368,8,FALSE),0)</f>
        <v>0</v>
      </c>
      <c r="G79" s="362">
        <f>IFERROR(VLOOKUP(C79,'تقرير المصروفات حسب الشهر'!$C$387:$AD$495,8,FALSE),0)</f>
        <v>0</v>
      </c>
      <c r="H79" s="362">
        <f>IFERROR(VLOOKUP(C79,'تقرير المصروفات حسب الشهر'!$C$512:$AD$620,8,FALSE),0)</f>
        <v>0</v>
      </c>
      <c r="I79" s="362">
        <f>IFERROR(VLOOKUP(C79,'تقرير المصروفات حسب الشهر'!$C$637:$AD$746,8,FALSE),0)</f>
        <v>0</v>
      </c>
      <c r="J79" s="362">
        <f>IFERROR(VLOOKUP(C79,'تقرير المصروفات حسب الشهر'!$C$763:$AD$872,8,FALSE),0)</f>
        <v>0</v>
      </c>
      <c r="K79" s="362">
        <f>IFERROR(VLOOKUP(C79,'تقرير المصروفات حسب الشهر'!$C$890:$AD$999,8,FALSE),0)</f>
        <v>0</v>
      </c>
      <c r="L79" s="362">
        <f>IFERROR(VLOOKUP(C79,'تقرير المصروفات حسب الشهر'!$C$1016:$AD$1126,8,FALSE),0)</f>
        <v>0</v>
      </c>
      <c r="M79" s="376">
        <f>IFERROR(VLOOKUP(C79,'تقرير المصروفات حسب الشهر'!$C$1143:$AD$1254,8,FALSE),0)</f>
        <v>0</v>
      </c>
      <c r="N79" s="376">
        <f>IFERROR(VLOOKUP(C79,'تقرير المصروفات حسب الشهر'!$C$1270:$AD$1381,8,FALSE),0)</f>
        <v>0</v>
      </c>
      <c r="O79" s="376">
        <f>IFERROR(VLOOKUP(C79,'تقرير المصروفات حسب الشهر'!$C$1397:$AD$1512,8,FALSE),0)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الشهر'!$C$10:$AD$119,8,FALSE),0)</f>
        <v>0</v>
      </c>
      <c r="E80" s="362">
        <f>IFERROR(VLOOKUP(C80,'تقرير المصروفات حسب الشهر'!$C$135:$AD$244,8,FALSE),0)</f>
        <v>0</v>
      </c>
      <c r="F80" s="362">
        <f>IFERROR(VLOOKUP(C80,'تقرير المصروفات حسب الشهر'!$C$261:$AD$368,8,FALSE),0)</f>
        <v>0</v>
      </c>
      <c r="G80" s="362">
        <f>IFERROR(VLOOKUP(C80,'تقرير المصروفات حسب الشهر'!$C$387:$AD$495,8,FALSE),0)</f>
        <v>0</v>
      </c>
      <c r="H80" s="362">
        <f>IFERROR(VLOOKUP(C80,'تقرير المصروفات حسب الشهر'!$C$512:$AD$620,8,FALSE),0)</f>
        <v>0</v>
      </c>
      <c r="I80" s="362">
        <f>IFERROR(VLOOKUP(C80,'تقرير المصروفات حسب الشهر'!$C$637:$AD$746,8,FALSE),0)</f>
        <v>0</v>
      </c>
      <c r="J80" s="362">
        <f>IFERROR(VLOOKUP(C80,'تقرير المصروفات حسب الشهر'!$C$763:$AD$872,8,FALSE),0)</f>
        <v>0</v>
      </c>
      <c r="K80" s="362">
        <f>IFERROR(VLOOKUP(C80,'تقرير المصروفات حسب الشهر'!$C$890:$AD$999,8,FALSE),0)</f>
        <v>0</v>
      </c>
      <c r="L80" s="362">
        <f>IFERROR(VLOOKUP(C80,'تقرير المصروفات حسب الشهر'!$C$1016:$AD$1126,8,FALSE),0)</f>
        <v>0</v>
      </c>
      <c r="M80" s="376">
        <f>IFERROR(VLOOKUP(C80,'تقرير المصروفات حسب الشهر'!$C$1143:$AD$1254,8,FALSE),0)</f>
        <v>0</v>
      </c>
      <c r="N80" s="376">
        <f>IFERROR(VLOOKUP(C80,'تقرير المصروفات حسب الشهر'!$C$1270:$AD$1381,8,FALSE),0)</f>
        <v>0</v>
      </c>
      <c r="O80" s="376">
        <f>IFERROR(VLOOKUP(C80,'تقرير المصروفات حسب الشهر'!$C$1397:$AD$1512,8,FALSE),0)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الشهر'!$C$10:$AD$119,8,FALSE),0)</f>
        <v>1316</v>
      </c>
      <c r="E81" s="362">
        <f>IFERROR(VLOOKUP(C81,'تقرير المصروفات حسب الشهر'!$C$135:$AD$244,8,FALSE),0)</f>
        <v>100</v>
      </c>
      <c r="F81" s="362">
        <f>IFERROR(VLOOKUP(C81,'تقرير المصروفات حسب الشهر'!$C$261:$AD$368,8,FALSE),0)</f>
        <v>100</v>
      </c>
      <c r="G81" s="362">
        <f>IFERROR(VLOOKUP(C81,'تقرير المصروفات حسب الشهر'!$C$387:$AD$495,8,FALSE),0)</f>
        <v>100</v>
      </c>
      <c r="H81" s="362">
        <f>IFERROR(VLOOKUP(C81,'تقرير المصروفات حسب الشهر'!$C$512:$AD$620,8,FALSE),0)</f>
        <v>100</v>
      </c>
      <c r="I81" s="362">
        <f>IFERROR(VLOOKUP(C81,'تقرير المصروفات حسب الشهر'!$C$637:$AD$746,8,FALSE),0)</f>
        <v>100</v>
      </c>
      <c r="J81" s="362">
        <f>IFERROR(VLOOKUP(C81,'تقرير المصروفات حسب الشهر'!$C$763:$AD$872,8,FALSE),0)</f>
        <v>0</v>
      </c>
      <c r="K81" s="362">
        <f>IFERROR(VLOOKUP(C81,'تقرير المصروفات حسب الشهر'!$C$890:$AD$999,8,FALSE),0)</f>
        <v>300</v>
      </c>
      <c r="L81" s="362">
        <f>IFERROR(VLOOKUP(C81,'تقرير المصروفات حسب الشهر'!$C$1016:$AD$1126,8,FALSE),0)</f>
        <v>200</v>
      </c>
      <c r="M81" s="376">
        <f>IFERROR(VLOOKUP(C81,'تقرير المصروفات حسب الشهر'!$C$1143:$AD$1254,8,FALSE),0)</f>
        <v>200</v>
      </c>
      <c r="N81" s="376">
        <f>IFERROR(VLOOKUP(C81,'تقرير المصروفات حسب الشهر'!$C$1270:$AD$1381,8,FALSE),0)</f>
        <v>200</v>
      </c>
      <c r="O81" s="376">
        <f>IFERROR(VLOOKUP(C81,'تقرير المصروفات حسب الشهر'!$C$1397:$AD$1512,8,FALSE),0)</f>
        <v>0</v>
      </c>
      <c r="P81" s="364">
        <f t="shared" si="5"/>
        <v>2716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الشهر'!$C$10:$AD$119,8,FALSE),0)</f>
        <v>0</v>
      </c>
      <c r="E82" s="362">
        <f>IFERROR(VLOOKUP(C82,'تقرير المصروفات حسب الشهر'!$C$135:$AD$244,8,FALSE),0)</f>
        <v>0</v>
      </c>
      <c r="F82" s="362">
        <f>IFERROR(VLOOKUP(C82,'تقرير المصروفات حسب الشهر'!$C$261:$AD$368,8,FALSE),0)</f>
        <v>0</v>
      </c>
      <c r="G82" s="362">
        <f>IFERROR(VLOOKUP(C82,'تقرير المصروفات حسب الشهر'!$C$387:$AD$495,8,FALSE),0)</f>
        <v>0</v>
      </c>
      <c r="H82" s="362">
        <f>IFERROR(VLOOKUP(C82,'تقرير المصروفات حسب الشهر'!$C$512:$AD$620,8,FALSE),0)</f>
        <v>0</v>
      </c>
      <c r="I82" s="362">
        <f>IFERROR(VLOOKUP(C82,'تقرير المصروفات حسب الشهر'!$C$637:$AD$746,8,FALSE),0)</f>
        <v>0</v>
      </c>
      <c r="J82" s="362">
        <f>IFERROR(VLOOKUP(C82,'تقرير المصروفات حسب الشهر'!$C$763:$AD$872,8,FALSE),0)</f>
        <v>0</v>
      </c>
      <c r="K82" s="362">
        <f>IFERROR(VLOOKUP(C82,'تقرير المصروفات حسب الشهر'!$C$890:$AD$999,8,FALSE),0)</f>
        <v>0</v>
      </c>
      <c r="L82" s="362">
        <f>IFERROR(VLOOKUP(C82,'تقرير المصروفات حسب الشهر'!$C$1016:$AD$1126,8,FALSE),0)</f>
        <v>0</v>
      </c>
      <c r="M82" s="376">
        <f>IFERROR(VLOOKUP(C82,'تقرير المصروفات حسب الشهر'!$C$1143:$AD$1254,8,FALSE),0)</f>
        <v>0</v>
      </c>
      <c r="N82" s="376">
        <f>IFERROR(VLOOKUP(C82,'تقرير المصروفات حسب الشهر'!$C$1270:$AD$1381,8,FALSE),0)</f>
        <v>0</v>
      </c>
      <c r="O82" s="376">
        <f>IFERROR(VLOOKUP(C82,'تقرير المصروفات حسب الشهر'!$C$1397:$AD$1512,8,FALSE),0)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الشهر'!$C$10:$AD$119,8,FALSE),0)</f>
        <v>0</v>
      </c>
      <c r="E83" s="362">
        <f>IFERROR(VLOOKUP(C83,'تقرير المصروفات حسب الشهر'!$C$135:$AD$244,8,FALSE),0)</f>
        <v>0</v>
      </c>
      <c r="F83" s="362">
        <f>IFERROR(VLOOKUP(C83,'تقرير المصروفات حسب الشهر'!$C$261:$AD$368,8,FALSE),0)</f>
        <v>0</v>
      </c>
      <c r="G83" s="362">
        <f>IFERROR(VLOOKUP(C83,'تقرير المصروفات حسب الشهر'!$C$387:$AD$495,8,FALSE),0)</f>
        <v>0</v>
      </c>
      <c r="H83" s="362">
        <f>IFERROR(VLOOKUP(C83,'تقرير المصروفات حسب الشهر'!$C$512:$AD$620,8,FALSE),0)</f>
        <v>0</v>
      </c>
      <c r="I83" s="362">
        <f>IFERROR(VLOOKUP(C83,'تقرير المصروفات حسب الشهر'!$C$637:$AD$746,8,FALSE),0)</f>
        <v>0</v>
      </c>
      <c r="J83" s="362">
        <f>IFERROR(VLOOKUP(C83,'تقرير المصروفات حسب الشهر'!$C$763:$AD$872,8,FALSE),0)</f>
        <v>0</v>
      </c>
      <c r="K83" s="362">
        <f>IFERROR(VLOOKUP(C83,'تقرير المصروفات حسب الشهر'!$C$890:$AD$999,8,FALSE),0)</f>
        <v>0</v>
      </c>
      <c r="L83" s="362">
        <f>IFERROR(VLOOKUP(C83,'تقرير المصروفات حسب الشهر'!$C$1016:$AD$1126,8,FALSE),0)</f>
        <v>0</v>
      </c>
      <c r="M83" s="376">
        <f>IFERROR(VLOOKUP(C83,'تقرير المصروفات حسب الشهر'!$C$1143:$AD$1254,8,FALSE),0)</f>
        <v>0</v>
      </c>
      <c r="N83" s="376">
        <f>IFERROR(VLOOKUP(C83,'تقرير المصروفات حسب الشهر'!$C$1270:$AD$1381,8,FALSE),0)</f>
        <v>0</v>
      </c>
      <c r="O83" s="376">
        <f>IFERROR(VLOOKUP(C83,'تقرير المصروفات حسب الشهر'!$C$1397:$AD$1512,8,FALSE),0)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الشهر'!$C$10:$AD$119,8,FALSE),0)</f>
        <v>0</v>
      </c>
      <c r="E84" s="362">
        <f>IFERROR(VLOOKUP(C84,'تقرير المصروفات حسب الشهر'!$C$135:$AD$244,8,FALSE),0)</f>
        <v>0</v>
      </c>
      <c r="F84" s="362">
        <f>IFERROR(VLOOKUP(C84,'تقرير المصروفات حسب الشهر'!$C$261:$AD$368,8,FALSE),0)</f>
        <v>0</v>
      </c>
      <c r="G84" s="362">
        <f>IFERROR(VLOOKUP(C84,'تقرير المصروفات حسب الشهر'!$C$387:$AD$495,8,FALSE),0)</f>
        <v>0</v>
      </c>
      <c r="H84" s="362">
        <f>IFERROR(VLOOKUP(C84,'تقرير المصروفات حسب الشهر'!$C$512:$AD$620,8,FALSE),0)</f>
        <v>0</v>
      </c>
      <c r="I84" s="362">
        <f>IFERROR(VLOOKUP(C84,'تقرير المصروفات حسب الشهر'!$C$637:$AD$746,8,FALSE),0)</f>
        <v>0</v>
      </c>
      <c r="J84" s="362">
        <f>IFERROR(VLOOKUP(C84,'تقرير المصروفات حسب الشهر'!$C$763:$AD$872,8,FALSE),0)</f>
        <v>0</v>
      </c>
      <c r="K84" s="362">
        <f>IFERROR(VLOOKUP(C84,'تقرير المصروفات حسب الشهر'!$C$890:$AD$999,8,FALSE),0)</f>
        <v>0</v>
      </c>
      <c r="L84" s="362">
        <f>IFERROR(VLOOKUP(C84,'تقرير المصروفات حسب الشهر'!$C$1016:$AD$1126,8,FALSE),0)</f>
        <v>0</v>
      </c>
      <c r="M84" s="376">
        <f>IFERROR(VLOOKUP(C84,'تقرير المصروفات حسب الشهر'!$C$1143:$AD$1254,8,FALSE),0)</f>
        <v>0</v>
      </c>
      <c r="N84" s="376">
        <f>IFERROR(VLOOKUP(C84,'تقرير المصروفات حسب الشهر'!$C$1270:$AD$1381,8,FALSE),0)</f>
        <v>0</v>
      </c>
      <c r="O84" s="376">
        <f>IFERROR(VLOOKUP(C84,'تقرير المصروفات حسب الشهر'!$C$1397:$AD$1512,8,FALSE),0)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الشهر'!$C$10:$AD$119,8,FALSE),0)</f>
        <v>0</v>
      </c>
      <c r="E85" s="362">
        <f>IFERROR(VLOOKUP(C85,'تقرير المصروفات حسب الشهر'!$C$135:$AD$244,8,FALSE),0)</f>
        <v>0</v>
      </c>
      <c r="F85" s="362">
        <f>IFERROR(VLOOKUP(C85,'تقرير المصروفات حسب الشهر'!$C$261:$AD$368,8,FALSE),0)</f>
        <v>0</v>
      </c>
      <c r="G85" s="362">
        <f>IFERROR(VLOOKUP(C85,'تقرير المصروفات حسب الشهر'!$C$387:$AD$495,8,FALSE),0)</f>
        <v>0</v>
      </c>
      <c r="H85" s="362">
        <f>IFERROR(VLOOKUP(C85,'تقرير المصروفات حسب الشهر'!$C$512:$AD$620,8,FALSE),0)</f>
        <v>0</v>
      </c>
      <c r="I85" s="362">
        <f>IFERROR(VLOOKUP(C85,'تقرير المصروفات حسب الشهر'!$C$637:$AD$746,8,FALSE),0)</f>
        <v>0</v>
      </c>
      <c r="J85" s="362">
        <f>IFERROR(VLOOKUP(C85,'تقرير المصروفات حسب الشهر'!$C$763:$AD$872,8,FALSE),0)</f>
        <v>0</v>
      </c>
      <c r="K85" s="362">
        <f>IFERROR(VLOOKUP(C85,'تقرير المصروفات حسب الشهر'!$C$890:$AD$999,8,FALSE),0)</f>
        <v>0</v>
      </c>
      <c r="L85" s="362">
        <f>IFERROR(VLOOKUP(C85,'تقرير المصروفات حسب الشهر'!$C$1016:$AD$1126,8,FALSE),0)</f>
        <v>0</v>
      </c>
      <c r="M85" s="376">
        <f>IFERROR(VLOOKUP(C85,'تقرير المصروفات حسب الشهر'!$C$1143:$AD$1254,8,FALSE),0)</f>
        <v>0</v>
      </c>
      <c r="N85" s="376">
        <f>IFERROR(VLOOKUP(C85,'تقرير المصروفات حسب الشهر'!$C$1270:$AD$1381,8,FALSE),0)</f>
        <v>0</v>
      </c>
      <c r="O85" s="376">
        <f>IFERROR(VLOOKUP(C85,'تقرير المصروفات حسب الشهر'!$C$1397:$AD$1512,8,FALSE),0)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الشهر'!$C$10:$AD$119,8,FALSE),0)</f>
        <v>0</v>
      </c>
      <c r="E86" s="362">
        <f>IFERROR(VLOOKUP(C86,'تقرير المصروفات حسب الشهر'!$C$135:$AD$244,8,FALSE),0)</f>
        <v>1959.65</v>
      </c>
      <c r="F86" s="362">
        <f>IFERROR(VLOOKUP(C86,'تقرير المصروفات حسب الشهر'!$C$261:$AD$368,8,FALSE),0)</f>
        <v>0</v>
      </c>
      <c r="G86" s="362">
        <f>IFERROR(VLOOKUP(C86,'تقرير المصروفات حسب الشهر'!$C$387:$AD$495,8,FALSE),0)</f>
        <v>653</v>
      </c>
      <c r="H86" s="362">
        <f>IFERROR(VLOOKUP(C86,'تقرير المصروفات حسب الشهر'!$C$512:$AD$620,8,FALSE),0)</f>
        <v>0</v>
      </c>
      <c r="I86" s="362">
        <f>IFERROR(VLOOKUP(C86,'تقرير المصروفات حسب الشهر'!$C$637:$AD$746,8,FALSE),0)</f>
        <v>0</v>
      </c>
      <c r="J86" s="362">
        <f>IFERROR(VLOOKUP(C86,'تقرير المصروفات حسب الشهر'!$C$763:$AD$872,8,FALSE),0)</f>
        <v>979</v>
      </c>
      <c r="K86" s="362">
        <f>IFERROR(VLOOKUP(C86,'تقرير المصروفات حسب الشهر'!$C$890:$AD$999,8,FALSE),0)</f>
        <v>0</v>
      </c>
      <c r="L86" s="362">
        <f>IFERROR(VLOOKUP(C86,'تقرير المصروفات حسب الشهر'!$C$1016:$AD$1126,8,FALSE),0)</f>
        <v>0</v>
      </c>
      <c r="M86" s="376">
        <f>IFERROR(VLOOKUP(C86,'تقرير المصروفات حسب الشهر'!$C$1143:$AD$1254,8,FALSE),0)</f>
        <v>1075.76</v>
      </c>
      <c r="N86" s="376">
        <f>IFERROR(VLOOKUP(C86,'تقرير المصروفات حسب الشهر'!$C$1270:$AD$1381,8,FALSE),0)</f>
        <v>2207.5700000000002</v>
      </c>
      <c r="O86" s="376">
        <f>IFERROR(VLOOKUP(C86,'تقرير المصروفات حسب الشهر'!$C$1397:$AD$1512,8,FALSE),0)</f>
        <v>0</v>
      </c>
      <c r="P86" s="364">
        <f t="shared" si="5"/>
        <v>6874.98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الشهر'!$C$10:$AD$119,8,FALSE),0)</f>
        <v>0</v>
      </c>
      <c r="E87" s="362">
        <f>IFERROR(VLOOKUP(C87,'تقرير المصروفات حسب الشهر'!$C$135:$AD$244,8,FALSE),0)</f>
        <v>0</v>
      </c>
      <c r="F87" s="362">
        <f>IFERROR(VLOOKUP(C87,'تقرير المصروفات حسب الشهر'!$C$261:$AD$368,8,FALSE),0)</f>
        <v>0</v>
      </c>
      <c r="G87" s="362">
        <f>IFERROR(VLOOKUP(C87,'تقرير المصروفات حسب الشهر'!$C$387:$AD$495,8,FALSE),0)</f>
        <v>0</v>
      </c>
      <c r="H87" s="362">
        <f>IFERROR(VLOOKUP(C87,'تقرير المصروفات حسب الشهر'!$C$512:$AD$620,8,FALSE),0)</f>
        <v>0</v>
      </c>
      <c r="I87" s="362">
        <f>IFERROR(VLOOKUP(C87,'تقرير المصروفات حسب الشهر'!$C$637:$AD$746,8,FALSE),0)</f>
        <v>0</v>
      </c>
      <c r="J87" s="362">
        <f>IFERROR(VLOOKUP(C87,'تقرير المصروفات حسب الشهر'!$C$763:$AD$872,8,FALSE),0)</f>
        <v>0</v>
      </c>
      <c r="K87" s="362">
        <f>IFERROR(VLOOKUP(C87,'تقرير المصروفات حسب الشهر'!$C$890:$AD$999,8,FALSE),0)</f>
        <v>0</v>
      </c>
      <c r="L87" s="362">
        <f>IFERROR(VLOOKUP(C87,'تقرير المصروفات حسب الشهر'!$C$1016:$AD$1126,8,FALSE),0)</f>
        <v>0</v>
      </c>
      <c r="M87" s="376">
        <f>IFERROR(VLOOKUP(C87,'تقرير المصروفات حسب الشهر'!$C$1143:$AD$1254,8,FALSE),0)</f>
        <v>0</v>
      </c>
      <c r="N87" s="376">
        <f>IFERROR(VLOOKUP(C87,'تقرير المصروفات حسب الشهر'!$C$1270:$AD$1381,8,FALSE),0)</f>
        <v>0</v>
      </c>
      <c r="O87" s="376">
        <f>IFERROR(VLOOKUP(C87,'تقرير المصروفات حسب الشهر'!$C$1397:$AD$1512,8,FALSE),0)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الشهر'!$C$10:$AD$119,8,FALSE),0)</f>
        <v>0</v>
      </c>
      <c r="E88" s="362">
        <f>IFERROR(VLOOKUP(C88,'تقرير المصروفات حسب الشهر'!$C$135:$AD$244,8,FALSE),0)</f>
        <v>0</v>
      </c>
      <c r="F88" s="362">
        <f>IFERROR(VLOOKUP(C88,'تقرير المصروفات حسب الشهر'!$C$261:$AD$368,8,FALSE),0)</f>
        <v>0</v>
      </c>
      <c r="G88" s="362">
        <f>IFERROR(VLOOKUP(C88,'تقرير المصروفات حسب الشهر'!$C$387:$AD$495,8,FALSE),0)</f>
        <v>0</v>
      </c>
      <c r="H88" s="362">
        <f>IFERROR(VLOOKUP(C88,'تقرير المصروفات حسب الشهر'!$C$512:$AD$620,8,FALSE),0)</f>
        <v>333</v>
      </c>
      <c r="I88" s="362">
        <f>IFERROR(VLOOKUP(C88,'تقرير المصروفات حسب الشهر'!$C$637:$AD$746,8,FALSE),0)</f>
        <v>0</v>
      </c>
      <c r="J88" s="362">
        <f>IFERROR(VLOOKUP(C88,'تقرير المصروفات حسب الشهر'!$C$763:$AD$872,8,FALSE),0)</f>
        <v>0</v>
      </c>
      <c r="K88" s="362">
        <f>IFERROR(VLOOKUP(C88,'تقرير المصروفات حسب الشهر'!$C$890:$AD$999,8,FALSE),0)</f>
        <v>0</v>
      </c>
      <c r="L88" s="362">
        <f>IFERROR(VLOOKUP(C88,'تقرير المصروفات حسب الشهر'!$C$1016:$AD$1126,8,FALSE),0)</f>
        <v>0</v>
      </c>
      <c r="M88" s="376">
        <f>IFERROR(VLOOKUP(C88,'تقرير المصروفات حسب الشهر'!$C$1143:$AD$1254,8,FALSE),0)</f>
        <v>0</v>
      </c>
      <c r="N88" s="376">
        <f>IFERROR(VLOOKUP(C88,'تقرير المصروفات حسب الشهر'!$C$1270:$AD$1381,8,FALSE),0)</f>
        <v>0</v>
      </c>
      <c r="O88" s="376">
        <f>IFERROR(VLOOKUP(C88,'تقرير المصروفات حسب الشهر'!$C$1397:$AD$1512,8,FALSE),0)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الشهر'!$C$10:$AD$119,8,FALSE),0)</f>
        <v>0</v>
      </c>
      <c r="E89" s="362">
        <f>IFERROR(VLOOKUP(C89,'تقرير المصروفات حسب الشهر'!$C$135:$AD$244,8,FALSE),0)</f>
        <v>0</v>
      </c>
      <c r="F89" s="362">
        <f>IFERROR(VLOOKUP(C89,'تقرير المصروفات حسب الشهر'!$C$261:$AD$368,8,FALSE),0)</f>
        <v>0</v>
      </c>
      <c r="G89" s="362">
        <f>IFERROR(VLOOKUP(C89,'تقرير المصروفات حسب الشهر'!$C$387:$AD$495,8,FALSE),0)</f>
        <v>0</v>
      </c>
      <c r="H89" s="362">
        <f>IFERROR(VLOOKUP(C89,'تقرير المصروفات حسب الشهر'!$C$512:$AD$620,8,FALSE),0)</f>
        <v>0</v>
      </c>
      <c r="I89" s="362">
        <f>IFERROR(VLOOKUP(C89,'تقرير المصروفات حسب الشهر'!$C$637:$AD$746,8,FALSE),0)</f>
        <v>0</v>
      </c>
      <c r="J89" s="362">
        <f>IFERROR(VLOOKUP(C89,'تقرير المصروفات حسب الشهر'!$C$763:$AD$872,8,FALSE),0)</f>
        <v>0</v>
      </c>
      <c r="K89" s="362">
        <f>IFERROR(VLOOKUP(C89,'تقرير المصروفات حسب الشهر'!$C$890:$AD$999,8,FALSE),0)</f>
        <v>0</v>
      </c>
      <c r="L89" s="362">
        <f>IFERROR(VLOOKUP(C89,'تقرير المصروفات حسب الشهر'!$C$1016:$AD$1126,8,FALSE),0)</f>
        <v>0</v>
      </c>
      <c r="M89" s="376">
        <f>IFERROR(VLOOKUP(C89,'تقرير المصروفات حسب الشهر'!$C$1143:$AD$1254,8,FALSE),0)</f>
        <v>0</v>
      </c>
      <c r="N89" s="376">
        <f>IFERROR(VLOOKUP(C89,'تقرير المصروفات حسب الشهر'!$C$1270:$AD$1381,8,FALSE),0)</f>
        <v>0</v>
      </c>
      <c r="O89" s="376">
        <f>IFERROR(VLOOKUP(C89,'تقرير المصروفات حسب الشهر'!$C$1397:$AD$1512,8,FALSE),0)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الشهر'!$C$10:$AD$119,8,FALSE),0)</f>
        <v>0</v>
      </c>
      <c r="E90" s="362">
        <f>IFERROR(VLOOKUP(C90,'تقرير المصروفات حسب الشهر'!$C$135:$AD$244,8,FALSE),0)</f>
        <v>0</v>
      </c>
      <c r="F90" s="362">
        <f>IFERROR(VLOOKUP(C90,'تقرير المصروفات حسب الشهر'!$C$261:$AD$368,8,FALSE),0)</f>
        <v>0</v>
      </c>
      <c r="G90" s="362">
        <f>IFERROR(VLOOKUP(C90,'تقرير المصروفات حسب الشهر'!$C$387:$AD$495,8,FALSE),0)</f>
        <v>0</v>
      </c>
      <c r="H90" s="362">
        <f>IFERROR(VLOOKUP(C90,'تقرير المصروفات حسب الشهر'!$C$512:$AD$620,8,FALSE),0)</f>
        <v>0</v>
      </c>
      <c r="I90" s="362">
        <f>IFERROR(VLOOKUP(C90,'تقرير المصروفات حسب الشهر'!$C$637:$AD$746,8,FALSE),0)</f>
        <v>0</v>
      </c>
      <c r="J90" s="362">
        <f>IFERROR(VLOOKUP(C90,'تقرير المصروفات حسب الشهر'!$C$763:$AD$872,8,FALSE),0)</f>
        <v>0</v>
      </c>
      <c r="K90" s="362">
        <f>IFERROR(VLOOKUP(C90,'تقرير المصروفات حسب الشهر'!$C$890:$AD$999,8,FALSE),0)</f>
        <v>0</v>
      </c>
      <c r="L90" s="362">
        <f>IFERROR(VLOOKUP(C90,'تقرير المصروفات حسب الشهر'!$C$1016:$AD$1126,8,FALSE),0)</f>
        <v>0</v>
      </c>
      <c r="M90" s="376">
        <f>IFERROR(VLOOKUP(C90,'تقرير المصروفات حسب الشهر'!$C$1143:$AD$1254,8,FALSE),0)</f>
        <v>0</v>
      </c>
      <c r="N90" s="376">
        <f>IFERROR(VLOOKUP(C90,'تقرير المصروفات حسب الشهر'!$C$1270:$AD$1381,8,FALSE),0)</f>
        <v>0</v>
      </c>
      <c r="O90" s="376">
        <f>IFERROR(VLOOKUP(C90,'تقرير المصروفات حسب الشهر'!$C$1397:$AD$1512,8,FALSE),0)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الشهر'!$C$10:$AD$119,8,FALSE),0)</f>
        <v>0</v>
      </c>
      <c r="E91" s="362">
        <f>IFERROR(VLOOKUP(C91,'تقرير المصروفات حسب الشهر'!$C$135:$AD$244,8,FALSE),0)</f>
        <v>0</v>
      </c>
      <c r="F91" s="362">
        <f>IFERROR(VLOOKUP(C91,'تقرير المصروفات حسب الشهر'!$C$261:$AD$368,8,FALSE),0)</f>
        <v>0</v>
      </c>
      <c r="G91" s="362">
        <f>IFERROR(VLOOKUP(C91,'تقرير المصروفات حسب الشهر'!$C$387:$AD$495,8,FALSE),0)</f>
        <v>0</v>
      </c>
      <c r="H91" s="362">
        <f>IFERROR(VLOOKUP(C91,'تقرير المصروفات حسب الشهر'!$C$512:$AD$620,8,FALSE),0)</f>
        <v>0</v>
      </c>
      <c r="I91" s="362">
        <f>IFERROR(VLOOKUP(C91,'تقرير المصروفات حسب الشهر'!$C$637:$AD$746,8,FALSE),0)</f>
        <v>0</v>
      </c>
      <c r="J91" s="362">
        <f>IFERROR(VLOOKUP(C91,'تقرير المصروفات حسب الشهر'!$C$763:$AD$872,8,FALSE),0)</f>
        <v>0</v>
      </c>
      <c r="K91" s="362">
        <f>IFERROR(VLOOKUP(C91,'تقرير المصروفات حسب الشهر'!$C$890:$AD$999,8,FALSE),0)</f>
        <v>0</v>
      </c>
      <c r="L91" s="362">
        <f>IFERROR(VLOOKUP(C91,'تقرير المصروفات حسب الشهر'!$C$1016:$AD$1126,8,FALSE),0)</f>
        <v>0</v>
      </c>
      <c r="M91" s="376">
        <f>IFERROR(VLOOKUP(C91,'تقرير المصروفات حسب الشهر'!$C$1143:$AD$1254,8,FALSE),0)</f>
        <v>0</v>
      </c>
      <c r="N91" s="376">
        <f>IFERROR(VLOOKUP(C91,'تقرير المصروفات حسب الشهر'!$C$1270:$AD$1381,8,FALSE),0)</f>
        <v>0</v>
      </c>
      <c r="O91" s="376">
        <f>IFERROR(VLOOKUP(C91,'تقرير المصروفات حسب الشهر'!$C$1397:$AD$1512,8,FALSE),0)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الشهر'!$C$10:$AD$119,8,FALSE),0)</f>
        <v>0</v>
      </c>
      <c r="E92" s="362">
        <f>IFERROR(VLOOKUP(C92,'تقرير المصروفات حسب الشهر'!$C$135:$AD$244,8,FALSE),0)</f>
        <v>0</v>
      </c>
      <c r="F92" s="362">
        <f>IFERROR(VLOOKUP(C92,'تقرير المصروفات حسب الشهر'!$C$261:$AD$368,8,FALSE),0)</f>
        <v>0</v>
      </c>
      <c r="G92" s="362">
        <f>IFERROR(VLOOKUP(C92,'تقرير المصروفات حسب الشهر'!$C$387:$AD$495,8,FALSE),0)</f>
        <v>0</v>
      </c>
      <c r="H92" s="362">
        <f>IFERROR(VLOOKUP(C92,'تقرير المصروفات حسب الشهر'!$C$512:$AD$620,8,FALSE),0)</f>
        <v>0</v>
      </c>
      <c r="I92" s="362">
        <f>IFERROR(VLOOKUP(C92,'تقرير المصروفات حسب الشهر'!$C$637:$AD$746,8,FALSE),0)</f>
        <v>0</v>
      </c>
      <c r="J92" s="362">
        <f>IFERROR(VLOOKUP(C92,'تقرير المصروفات حسب الشهر'!$C$763:$AD$872,8,FALSE),0)</f>
        <v>0</v>
      </c>
      <c r="K92" s="362">
        <f>IFERROR(VLOOKUP(C92,'تقرير المصروفات حسب الشهر'!$C$890:$AD$999,8,FALSE),0)</f>
        <v>0</v>
      </c>
      <c r="L92" s="362">
        <f>IFERROR(VLOOKUP(C92,'تقرير المصروفات حسب الشهر'!$C$1016:$AD$1126,8,FALSE),0)</f>
        <v>0</v>
      </c>
      <c r="M92" s="376">
        <f>IFERROR(VLOOKUP(C92,'تقرير المصروفات حسب الشهر'!$C$1143:$AD$1254,8,FALSE),0)</f>
        <v>0</v>
      </c>
      <c r="N92" s="376">
        <f>IFERROR(VLOOKUP(C92,'تقرير المصروفات حسب الشهر'!$C$1270:$AD$1381,8,FALSE),0)</f>
        <v>0</v>
      </c>
      <c r="O92" s="376">
        <f>IFERROR(VLOOKUP(C92,'تقرير المصروفات حسب الشهر'!$C$1397:$AD$1512,8,FALSE),0)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الشهر'!$C$10:$AD$119,8,FALSE),0)</f>
        <v>0</v>
      </c>
      <c r="E93" s="362">
        <f>IFERROR(VLOOKUP(C93,'تقرير المصروفات حسب الشهر'!$C$135:$AD$244,8,FALSE),0)</f>
        <v>0</v>
      </c>
      <c r="F93" s="362">
        <f>IFERROR(VLOOKUP(C93,'تقرير المصروفات حسب الشهر'!$C$261:$AD$368,8,FALSE),0)</f>
        <v>0</v>
      </c>
      <c r="G93" s="362">
        <f>IFERROR(VLOOKUP(C93,'تقرير المصروفات حسب الشهر'!$C$387:$AD$495,8,FALSE),0)</f>
        <v>621.5</v>
      </c>
      <c r="H93" s="362">
        <f>IFERROR(VLOOKUP(C93,'تقرير المصروفات حسب الشهر'!$C$512:$AD$620,8,FALSE),0)</f>
        <v>0</v>
      </c>
      <c r="I93" s="362">
        <f>IFERROR(VLOOKUP(C93,'تقرير المصروفات حسب الشهر'!$C$637:$AD$746,8,FALSE),0)</f>
        <v>0</v>
      </c>
      <c r="J93" s="362">
        <f>IFERROR(VLOOKUP(C93,'تقرير المصروفات حسب الشهر'!$C$763:$AD$872,8,FALSE),0)</f>
        <v>668</v>
      </c>
      <c r="K93" s="362">
        <f>IFERROR(VLOOKUP(C93,'تقرير المصروفات حسب الشهر'!$C$890:$AD$999,8,FALSE),0)</f>
        <v>0</v>
      </c>
      <c r="L93" s="362">
        <f>IFERROR(VLOOKUP(C93,'تقرير المصروفات حسب الشهر'!$C$1016:$AD$1126,8,FALSE),0)</f>
        <v>0</v>
      </c>
      <c r="M93" s="376">
        <f>IFERROR(VLOOKUP(C93,'تقرير المصروفات حسب الشهر'!$C$1143:$AD$1254,8,FALSE),0)</f>
        <v>0</v>
      </c>
      <c r="N93" s="376">
        <f>IFERROR(VLOOKUP(C93,'تقرير المصروفات حسب الشهر'!$C$1270:$AD$1381,8,FALSE),0)</f>
        <v>0</v>
      </c>
      <c r="O93" s="376">
        <f>IFERROR(VLOOKUP(C93,'تقرير المصروفات حسب الشهر'!$C$1397:$AD$1512,8,FALSE),0)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الشهر'!$C$10:$AD$119,8,FALSE),0)</f>
        <v>440</v>
      </c>
      <c r="E94" s="362">
        <f>IFERROR(VLOOKUP(C94,'تقرير المصروفات حسب الشهر'!$C$135:$AD$244,8,FALSE),0)</f>
        <v>0</v>
      </c>
      <c r="F94" s="362">
        <f>IFERROR(VLOOKUP(C94,'تقرير المصروفات حسب الشهر'!$C$261:$AD$368,8,FALSE),0)</f>
        <v>0</v>
      </c>
      <c r="G94" s="362">
        <f>IFERROR(VLOOKUP(C94,'تقرير المصروفات حسب الشهر'!$C$387:$AD$495,8,FALSE),0)</f>
        <v>400</v>
      </c>
      <c r="H94" s="362">
        <f>IFERROR(VLOOKUP(C94,'تقرير المصروفات حسب الشهر'!$C$512:$AD$620,8,FALSE),0)</f>
        <v>371.8</v>
      </c>
      <c r="I94" s="362">
        <f>IFERROR(VLOOKUP(C94,'تقرير المصروفات حسب الشهر'!$C$637:$AD$746,8,FALSE),0)</f>
        <v>435</v>
      </c>
      <c r="J94" s="362">
        <f>IFERROR(VLOOKUP(C94,'تقرير المصروفات حسب الشهر'!$C$763:$AD$872,8,FALSE),0)</f>
        <v>0</v>
      </c>
      <c r="K94" s="362">
        <f>IFERROR(VLOOKUP(C94,'تقرير المصروفات حسب الشهر'!$C$890:$AD$999,8,FALSE),0)</f>
        <v>450</v>
      </c>
      <c r="L94" s="362">
        <f>IFERROR(VLOOKUP(C94,'تقرير المصروفات حسب الشهر'!$C$1016:$AD$1126,8,FALSE),0)</f>
        <v>0</v>
      </c>
      <c r="M94" s="376">
        <f>IFERROR(VLOOKUP(C94,'تقرير المصروفات حسب الشهر'!$C$1143:$AD$1254,8,FALSE),0)</f>
        <v>474</v>
      </c>
      <c r="N94" s="376">
        <f>IFERROR(VLOOKUP(C94,'تقرير المصروفات حسب الشهر'!$C$1270:$AD$1381,8,FALSE),0)</f>
        <v>800</v>
      </c>
      <c r="O94" s="376">
        <f>IFERROR(VLOOKUP(C94,'تقرير المصروفات حسب الشهر'!$C$1397:$AD$1512,8,FALSE),0)</f>
        <v>0</v>
      </c>
      <c r="P94" s="364">
        <f t="shared" si="6"/>
        <v>3370.8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الشهر'!$C$10:$AD$119,8,FALSE),0)</f>
        <v>0</v>
      </c>
      <c r="E95" s="362">
        <f>IFERROR(VLOOKUP(C95,'تقرير المصروفات حسب الشهر'!$C$135:$AD$244,8,FALSE),0)</f>
        <v>0</v>
      </c>
      <c r="F95" s="362">
        <f>IFERROR(VLOOKUP(C95,'تقرير المصروفات حسب الشهر'!$C$261:$AD$368,8,FALSE),0)</f>
        <v>0</v>
      </c>
      <c r="G95" s="362">
        <f>IFERROR(VLOOKUP(C95,'تقرير المصروفات حسب الشهر'!$C$387:$AD$495,8,FALSE),0)</f>
        <v>0</v>
      </c>
      <c r="H95" s="362">
        <f>IFERROR(VLOOKUP(C95,'تقرير المصروفات حسب الشهر'!$C$512:$AD$620,8,FALSE),0)</f>
        <v>0</v>
      </c>
      <c r="I95" s="362">
        <f>IFERROR(VLOOKUP(C95,'تقرير المصروفات حسب الشهر'!$C$637:$AD$746,8,FALSE),0)</f>
        <v>0</v>
      </c>
      <c r="J95" s="362">
        <f>IFERROR(VLOOKUP(C95,'تقرير المصروفات حسب الشهر'!$C$763:$AD$872,8,FALSE),0)</f>
        <v>0</v>
      </c>
      <c r="K95" s="362">
        <f>IFERROR(VLOOKUP(C95,'تقرير المصروفات حسب الشهر'!$C$890:$AD$999,8,FALSE),0)</f>
        <v>0</v>
      </c>
      <c r="L95" s="362">
        <f>IFERROR(VLOOKUP(C95,'تقرير المصروفات حسب الشهر'!$C$1016:$AD$1126,8,FALSE),0)</f>
        <v>2130</v>
      </c>
      <c r="M95" s="376">
        <f>IFERROR(VLOOKUP(C95,'تقرير المصروفات حسب الشهر'!$C$1143:$AD$1254,8,FALSE),0)</f>
        <v>1065</v>
      </c>
      <c r="N95" s="376">
        <f>IFERROR(VLOOKUP(C95,'تقرير المصروفات حسب الشهر'!$C$1270:$AD$1381,8,FALSE),0)</f>
        <v>1065</v>
      </c>
      <c r="O95" s="376">
        <f>IFERROR(VLOOKUP(C95,'تقرير المصروفات حسب الشهر'!$C$1397:$AD$1512,8,FALSE),0)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الشهر'!$C$10:$AD$119,8,FALSE),0)</f>
        <v>0</v>
      </c>
      <c r="E96" s="362">
        <f>IFERROR(VLOOKUP(C96,'تقرير المصروفات حسب الشهر'!$C$135:$AD$244,8,FALSE),0)</f>
        <v>0</v>
      </c>
      <c r="F96" s="362">
        <f>IFERROR(VLOOKUP(C96,'تقرير المصروفات حسب الشهر'!$C$261:$AD$368,8,FALSE),0)</f>
        <v>0</v>
      </c>
      <c r="G96" s="362">
        <f>IFERROR(VLOOKUP(C96,'تقرير المصروفات حسب الشهر'!$C$387:$AD$495,8,FALSE),0)</f>
        <v>0</v>
      </c>
      <c r="H96" s="362">
        <f>IFERROR(VLOOKUP(C96,'تقرير المصروفات حسب الشهر'!$C$512:$AD$620,8,FALSE),0)</f>
        <v>0</v>
      </c>
      <c r="I96" s="362">
        <f>IFERROR(VLOOKUP(C96,'تقرير المصروفات حسب الشهر'!$C$637:$AD$746,8,FALSE),0)</f>
        <v>0</v>
      </c>
      <c r="J96" s="362">
        <f>IFERROR(VLOOKUP(C96,'تقرير المصروفات حسب الشهر'!$C$763:$AD$872,8,FALSE),0)</f>
        <v>0</v>
      </c>
      <c r="K96" s="362">
        <f>IFERROR(VLOOKUP(C96,'تقرير المصروفات حسب الشهر'!$C$890:$AD$999,8,FALSE),0)</f>
        <v>0</v>
      </c>
      <c r="L96" s="362">
        <f>IFERROR(VLOOKUP(C96,'تقرير المصروفات حسب الشهر'!$C$1016:$AD$1126,8,FALSE),0)</f>
        <v>0</v>
      </c>
      <c r="M96" s="376">
        <f>IFERROR(VLOOKUP(C96,'تقرير المصروفات حسب الشهر'!$C$1143:$AD$1254,8,FALSE),0)</f>
        <v>0</v>
      </c>
      <c r="N96" s="376">
        <f>IFERROR(VLOOKUP(C96,'تقرير المصروفات حسب الشهر'!$C$1270:$AD$1381,8,FALSE),0)</f>
        <v>0</v>
      </c>
      <c r="O96" s="376">
        <f>IFERROR(VLOOKUP(C96,'تقرير المصروفات حسب الشهر'!$C$1397:$AD$1512,8,FALSE),0)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الشهر'!$C$10:$AD$119,8,FALSE),0)</f>
        <v>0</v>
      </c>
      <c r="E97" s="362">
        <f>IFERROR(VLOOKUP(C97,'تقرير المصروفات حسب الشهر'!$C$135:$AD$244,8,FALSE),0)</f>
        <v>0</v>
      </c>
      <c r="F97" s="362">
        <f>IFERROR(VLOOKUP(C97,'تقرير المصروفات حسب الشهر'!$C$261:$AD$368,8,FALSE),0)</f>
        <v>0</v>
      </c>
      <c r="G97" s="362">
        <f>IFERROR(VLOOKUP(C97,'تقرير المصروفات حسب الشهر'!$C$387:$AD$495,8,FALSE),0)</f>
        <v>0</v>
      </c>
      <c r="H97" s="362">
        <f>IFERROR(VLOOKUP(C97,'تقرير المصروفات حسب الشهر'!$C$512:$AD$620,8,FALSE),0)</f>
        <v>0</v>
      </c>
      <c r="I97" s="362">
        <f>IFERROR(VLOOKUP(C97,'تقرير المصروفات حسب الشهر'!$C$637:$AD$746,8,FALSE),0)</f>
        <v>0</v>
      </c>
      <c r="J97" s="362">
        <f>IFERROR(VLOOKUP(C97,'تقرير المصروفات حسب الشهر'!$C$763:$AD$872,8,FALSE),0)</f>
        <v>0</v>
      </c>
      <c r="K97" s="362">
        <f>IFERROR(VLOOKUP(C97,'تقرير المصروفات حسب الشهر'!$C$890:$AD$999,8,FALSE),0)</f>
        <v>0</v>
      </c>
      <c r="L97" s="362">
        <f>IFERROR(VLOOKUP(C97,'تقرير المصروفات حسب الشهر'!$C$1016:$AD$1126,8,FALSE),0)</f>
        <v>0</v>
      </c>
      <c r="M97" s="376">
        <f>IFERROR(VLOOKUP(C97,'تقرير المصروفات حسب الشهر'!$C$1143:$AD$1254,8,FALSE),0)</f>
        <v>0</v>
      </c>
      <c r="N97" s="376">
        <f>IFERROR(VLOOKUP(C97,'تقرير المصروفات حسب الشهر'!$C$1270:$AD$1381,8,FALSE),0)</f>
        <v>0</v>
      </c>
      <c r="O97" s="376">
        <f>IFERROR(VLOOKUP(C97,'تقرير المصروفات حسب الشهر'!$C$1397:$AD$1512,8,FALSE),0)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الشهر'!$C$10:$AD$119,8,FALSE),0)</f>
        <v>0</v>
      </c>
      <c r="E98" s="362">
        <f>IFERROR(VLOOKUP(C98,'تقرير المصروفات حسب الشهر'!$C$135:$AD$244,8,FALSE),0)</f>
        <v>0</v>
      </c>
      <c r="F98" s="362">
        <f>IFERROR(VLOOKUP(C98,'تقرير المصروفات حسب الشهر'!$C$261:$AD$368,8,FALSE),0)</f>
        <v>0</v>
      </c>
      <c r="G98" s="362">
        <f>IFERROR(VLOOKUP(C98,'تقرير المصروفات حسب الشهر'!$C$387:$AD$495,8,FALSE),0)</f>
        <v>0</v>
      </c>
      <c r="H98" s="362">
        <f>IFERROR(VLOOKUP(C98,'تقرير المصروفات حسب الشهر'!$C$512:$AD$620,8,FALSE),0)</f>
        <v>0</v>
      </c>
      <c r="I98" s="362">
        <f>IFERROR(VLOOKUP(C98,'تقرير المصروفات حسب الشهر'!$C$637:$AD$746,8,FALSE),0)</f>
        <v>0</v>
      </c>
      <c r="J98" s="362">
        <f>IFERROR(VLOOKUP(C98,'تقرير المصروفات حسب الشهر'!$C$763:$AD$872,8,FALSE),0)</f>
        <v>0</v>
      </c>
      <c r="K98" s="362">
        <f>IFERROR(VLOOKUP(C98,'تقرير المصروفات حسب الشهر'!$C$890:$AD$999,8,FALSE),0)</f>
        <v>0</v>
      </c>
      <c r="L98" s="362">
        <f>IFERROR(VLOOKUP(C98,'تقرير المصروفات حسب الشهر'!$C$1016:$AD$1126,8,FALSE),0)</f>
        <v>0</v>
      </c>
      <c r="M98" s="376">
        <f>IFERROR(VLOOKUP(C98,'تقرير المصروفات حسب الشهر'!$C$1143:$AD$1254,8,FALSE),0)</f>
        <v>0</v>
      </c>
      <c r="N98" s="376">
        <f>IFERROR(VLOOKUP(C98,'تقرير المصروفات حسب الشهر'!$C$1270:$AD$1381,8,FALSE),0)</f>
        <v>0</v>
      </c>
      <c r="O98" s="376">
        <f>IFERROR(VLOOKUP(C98,'تقرير المصروفات حسب الشهر'!$C$1397:$AD$1512,8,FALSE),0)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الشهر'!$C$10:$AD$119,8,FALSE),0)</f>
        <v>0</v>
      </c>
      <c r="E99" s="362">
        <f>IFERROR(VLOOKUP(C99,'تقرير المصروفات حسب الشهر'!$C$135:$AD$244,8,FALSE),0)</f>
        <v>0</v>
      </c>
      <c r="F99" s="362">
        <f>IFERROR(VLOOKUP(C99,'تقرير المصروفات حسب الشهر'!$C$261:$AD$368,8,FALSE),0)</f>
        <v>0</v>
      </c>
      <c r="G99" s="362">
        <f>IFERROR(VLOOKUP(C99,'تقرير المصروفات حسب الشهر'!$C$387:$AD$495,8,FALSE),0)</f>
        <v>0</v>
      </c>
      <c r="H99" s="362">
        <f>IFERROR(VLOOKUP(C99,'تقرير المصروفات حسب الشهر'!$C$512:$AD$620,8,FALSE),0)</f>
        <v>0</v>
      </c>
      <c r="I99" s="362">
        <f>IFERROR(VLOOKUP(C99,'تقرير المصروفات حسب الشهر'!$C$637:$AD$746,8,FALSE),0)</f>
        <v>0</v>
      </c>
      <c r="J99" s="362">
        <f>IFERROR(VLOOKUP(C99,'تقرير المصروفات حسب الشهر'!$C$763:$AD$872,8,FALSE),0)</f>
        <v>0</v>
      </c>
      <c r="K99" s="362">
        <f>IFERROR(VLOOKUP(C99,'تقرير المصروفات حسب الشهر'!$C$890:$AD$999,8,FALSE),0)</f>
        <v>0</v>
      </c>
      <c r="L99" s="362">
        <f>IFERROR(VLOOKUP(C99,'تقرير المصروفات حسب الشهر'!$C$1016:$AD$1126,8,FALSE),0)</f>
        <v>0</v>
      </c>
      <c r="M99" s="376">
        <f>IFERROR(VLOOKUP(C99,'تقرير المصروفات حسب الشهر'!$C$1143:$AD$1254,8,FALSE),0)</f>
        <v>0</v>
      </c>
      <c r="N99" s="376">
        <f>IFERROR(VLOOKUP(C99,'تقرير المصروفات حسب الشهر'!$C$1270:$AD$1381,8,FALSE),0)</f>
        <v>0</v>
      </c>
      <c r="O99" s="376">
        <f>IFERROR(VLOOKUP(C99,'تقرير المصروفات حسب الشهر'!$C$1397:$AD$1512,8,FALSE),0)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الشهر'!$C$10:$AD$119,8,FALSE),0)</f>
        <v>0</v>
      </c>
      <c r="E100" s="362">
        <f>IFERROR(VLOOKUP(C100,'تقرير المصروفات حسب الشهر'!$C$135:$AD$244,8,FALSE),0)</f>
        <v>0</v>
      </c>
      <c r="F100" s="362">
        <f>IFERROR(VLOOKUP(C100,'تقرير المصروفات حسب الشهر'!$C$261:$AD$368,8,FALSE),0)</f>
        <v>0</v>
      </c>
      <c r="G100" s="362">
        <f>IFERROR(VLOOKUP(C100,'تقرير المصروفات حسب الشهر'!$C$387:$AD$495,8,FALSE),0)</f>
        <v>80.400000000000006</v>
      </c>
      <c r="H100" s="362">
        <f>IFERROR(VLOOKUP(C100,'تقرير المصروفات حسب الشهر'!$C$512:$AD$620,8,FALSE),0)</f>
        <v>150.66</v>
      </c>
      <c r="I100" s="362">
        <f>IFERROR(VLOOKUP(C100,'تقرير المصروفات حسب الشهر'!$C$637:$AD$746,8,FALSE),0)</f>
        <v>150.66</v>
      </c>
      <c r="J100" s="362">
        <f>IFERROR(VLOOKUP(C100,'تقرير المصروفات حسب الشهر'!$C$763:$AD$872,8,FALSE),0)</f>
        <v>198.48</v>
      </c>
      <c r="K100" s="362">
        <f>IFERROR(VLOOKUP(C100,'تقرير المصروفات حسب الشهر'!$C$890:$AD$999,8,FALSE),0)</f>
        <v>233.06</v>
      </c>
      <c r="L100" s="362">
        <f>IFERROR(VLOOKUP(C100,'تقرير المصروفات حسب الشهر'!$C$1016:$AD$1126,8,FALSE),0)</f>
        <v>233.07</v>
      </c>
      <c r="M100" s="376">
        <f>IFERROR(VLOOKUP(C100,'تقرير المصروفات حسب الشهر'!$C$1143:$AD$1254,8,FALSE),0)</f>
        <v>409.62</v>
      </c>
      <c r="N100" s="376">
        <f>IFERROR(VLOOKUP(C100,'تقرير المصروفات حسب الشهر'!$C$1270:$AD$1381,8,FALSE),0)</f>
        <v>409.62</v>
      </c>
      <c r="O100" s="376">
        <f>IFERROR(VLOOKUP(C100,'تقرير المصروفات حسب الشهر'!$C$1397:$AD$1512,8,FALSE),0)</f>
        <v>409.62</v>
      </c>
      <c r="P100" s="364">
        <f t="shared" si="6"/>
        <v>2275.1899999999996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الشهر'!$C$10:$AD$119,8,FALSE),0)</f>
        <v>53.44</v>
      </c>
      <c r="E101" s="362">
        <f>IFERROR(VLOOKUP(C101,'تقرير المصروفات حسب الشهر'!$C$135:$AD$244,8,FALSE),0)</f>
        <v>53.44</v>
      </c>
      <c r="F101" s="362">
        <f>IFERROR(VLOOKUP(C101,'تقرير المصروفات حسب الشهر'!$C$261:$AD$368,8,FALSE),0)</f>
        <v>53.44</v>
      </c>
      <c r="G101" s="362">
        <f>IFERROR(VLOOKUP(C101,'تقرير المصروفات حسب الشهر'!$C$387:$AD$495,8,FALSE),0)</f>
        <v>53.44</v>
      </c>
      <c r="H101" s="362">
        <f>IFERROR(VLOOKUP(C101,'تقرير المصروفات حسب الشهر'!$C$512:$AD$620,8,FALSE),0)</f>
        <v>53.44</v>
      </c>
      <c r="I101" s="362">
        <f>IFERROR(VLOOKUP(C101,'تقرير المصروفات حسب الشهر'!$C$637:$AD$746,8,FALSE),0)</f>
        <v>53.44</v>
      </c>
      <c r="J101" s="362">
        <f>IFERROR(VLOOKUP(C101,'تقرير المصروفات حسب الشهر'!$C$763:$AD$872,8,FALSE),0)</f>
        <v>53.44</v>
      </c>
      <c r="K101" s="362">
        <f>IFERROR(VLOOKUP(C101,'تقرير المصروفات حسب الشهر'!$C$890:$AD$999,8,FALSE),0)</f>
        <v>38.17</v>
      </c>
      <c r="L101" s="362">
        <f>IFERROR(VLOOKUP(C101,'تقرير المصروفات حسب الشهر'!$C$1016:$AD$1126,8,FALSE),0)</f>
        <v>0</v>
      </c>
      <c r="M101" s="376">
        <f>IFERROR(VLOOKUP(C101,'تقرير المصروفات حسب الشهر'!$C$1143:$AD$1254,8,FALSE),0)</f>
        <v>0</v>
      </c>
      <c r="N101" s="376">
        <f>IFERROR(VLOOKUP(C101,'تقرير المصروفات حسب الشهر'!$C$1270:$AD$1381,8,FALSE),0)</f>
        <v>0</v>
      </c>
      <c r="O101" s="376">
        <f>IFERROR(VLOOKUP(C101,'تقرير المصروفات حسب الشهر'!$C$1397:$AD$1512,8,FALSE),0)</f>
        <v>0</v>
      </c>
      <c r="P101" s="364">
        <f t="shared" si="6"/>
        <v>412.25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الشهر'!$C$10:$AD$119,8,FALSE),0)</f>
        <v>0</v>
      </c>
      <c r="E102" s="362">
        <f>IFERROR(VLOOKUP(C102,'تقرير المصروفات حسب الشهر'!$C$135:$AD$244,8,FALSE),0)</f>
        <v>0</v>
      </c>
      <c r="F102" s="362">
        <f>IFERROR(VLOOKUP(C102,'تقرير المصروفات حسب الشهر'!$C$261:$AD$368,8,FALSE),0)</f>
        <v>0</v>
      </c>
      <c r="G102" s="362">
        <f>IFERROR(VLOOKUP(C102,'تقرير المصروفات حسب الشهر'!$C$387:$AD$495,8,FALSE),0)</f>
        <v>78.86</v>
      </c>
      <c r="H102" s="362">
        <f>IFERROR(VLOOKUP(C102,'تقرير المصروفات حسب الشهر'!$C$512:$AD$620,8,FALSE),0)</f>
        <v>147.91999999999999</v>
      </c>
      <c r="I102" s="362">
        <f>IFERROR(VLOOKUP(C102,'تقرير المصروفات حسب الشهر'!$C$637:$AD$746,8,FALSE),0)</f>
        <v>147.91999999999999</v>
      </c>
      <c r="J102" s="362">
        <f>IFERROR(VLOOKUP(C102,'تقرير المصروفات حسب الشهر'!$C$763:$AD$872,8,FALSE),0)</f>
        <v>147.91999999999999</v>
      </c>
      <c r="K102" s="362">
        <f>IFERROR(VLOOKUP(C102,'تقرير المصروفات حسب الشهر'!$C$890:$AD$999,8,FALSE),0)</f>
        <v>147.91999999999999</v>
      </c>
      <c r="L102" s="362">
        <f>IFERROR(VLOOKUP(C102,'تقرير المصروفات حسب الشهر'!$C$1016:$AD$1126,8,FALSE),0)</f>
        <v>147.91999999999999</v>
      </c>
      <c r="M102" s="376">
        <f>IFERROR(VLOOKUP(C102,'تقرير المصروفات حسب الشهر'!$C$1143:$AD$1254,8,FALSE),0)</f>
        <v>147.91999999999999</v>
      </c>
      <c r="N102" s="376">
        <f>IFERROR(VLOOKUP(C102,'تقرير المصروفات حسب الشهر'!$C$1270:$AD$1381,8,FALSE),0)</f>
        <v>147.91999999999999</v>
      </c>
      <c r="O102" s="376">
        <f>IFERROR(VLOOKUP(C102,'تقرير المصروفات حسب الشهر'!$C$1397:$AD$1512,8,FALSE),0)</f>
        <v>147.91999999999999</v>
      </c>
      <c r="P102" s="364">
        <f t="shared" si="6"/>
        <v>1262.2199999999998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الشهر'!$C$10:$AD$119,8,FALSE),0)</f>
        <v>0</v>
      </c>
      <c r="E103" s="362">
        <f>IFERROR(VLOOKUP(C103,'تقرير المصروفات حسب الشهر'!$C$135:$AD$244,8,FALSE),0)</f>
        <v>0</v>
      </c>
      <c r="F103" s="362">
        <f>IFERROR(VLOOKUP(C103,'تقرير المصروفات حسب الشهر'!$C$261:$AD$368,8,FALSE),0)</f>
        <v>0</v>
      </c>
      <c r="G103" s="362">
        <f>IFERROR(VLOOKUP(C103,'تقرير المصروفات حسب الشهر'!$C$387:$AD$495,8,FALSE),0)</f>
        <v>0</v>
      </c>
      <c r="H103" s="362">
        <f>IFERROR(VLOOKUP(C103,'تقرير المصروفات حسب الشهر'!$C$512:$AD$620,8,FALSE),0)</f>
        <v>0</v>
      </c>
      <c r="I103" s="362">
        <f>IFERROR(VLOOKUP(C103,'تقرير المصروفات حسب الشهر'!$C$637:$AD$746,8,FALSE),0)</f>
        <v>0</v>
      </c>
      <c r="J103" s="362">
        <f>IFERROR(VLOOKUP(C103,'تقرير المصروفات حسب الشهر'!$C$763:$AD$872,8,FALSE),0)</f>
        <v>0</v>
      </c>
      <c r="K103" s="362">
        <f>IFERROR(VLOOKUP(C103,'تقرير المصروفات حسب الشهر'!$C$890:$AD$999,8,FALSE),0)</f>
        <v>0</v>
      </c>
      <c r="L103" s="362">
        <f>IFERROR(VLOOKUP(C103,'تقرير المصروفات حسب الشهر'!$C$1016:$AD$1126,8,FALSE),0)</f>
        <v>-0.01</v>
      </c>
      <c r="M103" s="376">
        <f>IFERROR(VLOOKUP(C103,'تقرير المصروفات حسب الشهر'!$C$1143:$AD$1254,8,FALSE),0)</f>
        <v>35.630000000000003</v>
      </c>
      <c r="N103" s="376">
        <f>IFERROR(VLOOKUP(C103,'تقرير المصروفات حسب الشهر'!$C$1270:$AD$1381,8,FALSE),0)</f>
        <v>35.630000000000003</v>
      </c>
      <c r="O103" s="376">
        <f>IFERROR(VLOOKUP(C103,'تقرير المصروفات حسب الشهر'!$C$1397:$AD$1512,8,FALSE),0)</f>
        <v>35.630000000000003</v>
      </c>
      <c r="P103" s="364">
        <f t="shared" si="6"/>
        <v>106.88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الشهر'!$C$10:$AD$119,8,FALSE),0)</f>
        <v>0</v>
      </c>
      <c r="E104" s="362">
        <f>IFERROR(VLOOKUP(C104,'تقرير المصروفات حسب الشهر'!$C$135:$AD$244,8,FALSE),0)</f>
        <v>0</v>
      </c>
      <c r="F104" s="362">
        <f>IFERROR(VLOOKUP(C104,'تقرير المصروفات حسب الشهر'!$C$261:$AD$368,8,FALSE),0)</f>
        <v>0</v>
      </c>
      <c r="G104" s="362">
        <f>IFERROR(VLOOKUP(C104,'تقرير المصروفات حسب الشهر'!$C$387:$AD$495,8,FALSE),0)</f>
        <v>0</v>
      </c>
      <c r="H104" s="362">
        <f>IFERROR(VLOOKUP(C104,'تقرير المصروفات حسب الشهر'!$C$512:$AD$620,8,FALSE),0)</f>
        <v>0</v>
      </c>
      <c r="I104" s="362">
        <f>IFERROR(VLOOKUP(C104,'تقرير المصروفات حسب الشهر'!$C$637:$AD$746,8,FALSE),0)</f>
        <v>0</v>
      </c>
      <c r="J104" s="362">
        <f>IFERROR(VLOOKUP(C104,'تقرير المصروفات حسب الشهر'!$C$763:$AD$872,8,FALSE),0)</f>
        <v>0</v>
      </c>
      <c r="K104" s="362">
        <f>IFERROR(VLOOKUP(C104,'تقرير المصروفات حسب الشهر'!$C$890:$AD$999,8,FALSE),0)</f>
        <v>0</v>
      </c>
      <c r="L104" s="362">
        <f>IFERROR(VLOOKUP(C104,'تقرير المصروفات حسب الشهر'!$C$1016:$AD$1126,8,FALSE),0)</f>
        <v>0</v>
      </c>
      <c r="M104" s="376">
        <f>IFERROR(VLOOKUP(C104,'تقرير المصروفات حسب الشهر'!$C$1143:$AD$1254,8,FALSE),0)</f>
        <v>0</v>
      </c>
      <c r="N104" s="376">
        <f>IFERROR(VLOOKUP(C104,'تقرير المصروفات حسب الشهر'!$C$1270:$AD$1381,8,FALSE),0)</f>
        <v>0</v>
      </c>
      <c r="O104" s="376">
        <f>IFERROR(VLOOKUP(C104,'تقرير المصروفات حسب الشهر'!$C$1397:$AD$1512,8,FALSE),0)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الشهر'!$C$10:$AD$119,8,FALSE),0)</f>
        <v>0</v>
      </c>
      <c r="E105" s="362">
        <f>IFERROR(VLOOKUP(C105,'تقرير المصروفات حسب الشهر'!$C$135:$AD$244,8,FALSE),0)</f>
        <v>0</v>
      </c>
      <c r="F105" s="362">
        <f>IFERROR(VLOOKUP(C105,'تقرير المصروفات حسب الشهر'!$C$261:$AD$368,8,FALSE),0)</f>
        <v>0</v>
      </c>
      <c r="G105" s="362">
        <f>IFERROR(VLOOKUP(C105,'تقرير المصروفات حسب الشهر'!$C$387:$AD$495,8,FALSE),0)</f>
        <v>0</v>
      </c>
      <c r="H105" s="362">
        <f>IFERROR(VLOOKUP(C105,'تقرير المصروفات حسب الشهر'!$C$512:$AD$620,8,FALSE),0)</f>
        <v>0</v>
      </c>
      <c r="I105" s="362">
        <f>IFERROR(VLOOKUP(C105,'تقرير المصروفات حسب الشهر'!$C$637:$AD$746,8,FALSE),0)</f>
        <v>0</v>
      </c>
      <c r="J105" s="362">
        <f>IFERROR(VLOOKUP(C105,'تقرير المصروفات حسب الشهر'!$C$763:$AD$872,8,FALSE),0)</f>
        <v>0</v>
      </c>
      <c r="K105" s="362">
        <f>IFERROR(VLOOKUP(C105,'تقرير المصروفات حسب الشهر'!$C$890:$AD$999,8,FALSE),0)</f>
        <v>0</v>
      </c>
      <c r="L105" s="362">
        <f>IFERROR(VLOOKUP(C105,'تقرير المصروفات حسب الشهر'!$C$1016:$AD$1126,8,FALSE),0)</f>
        <v>0</v>
      </c>
      <c r="M105" s="376">
        <f>IFERROR(VLOOKUP(C105,'تقرير المصروفات حسب الشهر'!$C$1143:$AD$1254,8,FALSE),0)</f>
        <v>0</v>
      </c>
      <c r="N105" s="376">
        <f>IFERROR(VLOOKUP(C105,'تقرير المصروفات حسب الشهر'!$C$1270:$AD$1381,8,FALSE),0)</f>
        <v>0</v>
      </c>
      <c r="O105" s="376">
        <f>IFERROR(VLOOKUP(C105,'تقرير المصروفات حسب الشهر'!$C$1397:$AD$1512,8,FALSE),0)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الشهر'!$C$10:$AD$119,8,FALSE),0)</f>
        <v>0</v>
      </c>
      <c r="E106" s="362">
        <f>IFERROR(VLOOKUP(C106,'تقرير المصروفات حسب الشهر'!$C$135:$AD$244,8,FALSE),0)</f>
        <v>0</v>
      </c>
      <c r="F106" s="362">
        <f>IFERROR(VLOOKUP(C106,'تقرير المصروفات حسب الشهر'!$C$261:$AD$368,8,FALSE),0)</f>
        <v>0</v>
      </c>
      <c r="G106" s="362">
        <f>IFERROR(VLOOKUP(C106,'تقرير المصروفات حسب الشهر'!$C$387:$AD$495,8,FALSE),0)</f>
        <v>0</v>
      </c>
      <c r="H106" s="362">
        <f>IFERROR(VLOOKUP(C106,'تقرير المصروفات حسب الشهر'!$C$512:$AD$620,8,FALSE),0)</f>
        <v>0</v>
      </c>
      <c r="I106" s="362">
        <f>IFERROR(VLOOKUP(C106,'تقرير المصروفات حسب الشهر'!$C$637:$AD$746,8,FALSE),0)</f>
        <v>0</v>
      </c>
      <c r="J106" s="362">
        <f>IFERROR(VLOOKUP(C106,'تقرير المصروفات حسب الشهر'!$C$763:$AD$872,8,FALSE),0)</f>
        <v>0</v>
      </c>
      <c r="K106" s="362">
        <f>IFERROR(VLOOKUP(C106,'تقرير المصروفات حسب الشهر'!$C$890:$AD$999,8,FALSE),0)</f>
        <v>0</v>
      </c>
      <c r="L106" s="362">
        <f>IFERROR(VLOOKUP(C106,'تقرير المصروفات حسب الشهر'!$C$1016:$AD$1126,8,FALSE),0)</f>
        <v>0</v>
      </c>
      <c r="M106" s="376">
        <f>IFERROR(VLOOKUP(C106,'تقرير المصروفات حسب الشهر'!$C$1143:$AD$1254,8,FALSE),0)</f>
        <v>0</v>
      </c>
      <c r="N106" s="376">
        <f>IFERROR(VLOOKUP(C106,'تقرير المصروفات حسب الشهر'!$C$1270:$AD$1381,8,FALSE),0)</f>
        <v>0</v>
      </c>
      <c r="O106" s="376">
        <f>IFERROR(VLOOKUP(C106,'تقرير المصروفات حسب الشهر'!$C$1397:$AD$1512,8,FALSE),0)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الشهر'!$C$10:$AD$119,8,FALSE),0)</f>
        <v>0</v>
      </c>
      <c r="E107" s="362">
        <f>IFERROR(VLOOKUP(C107,'تقرير المصروفات حسب الشهر'!$C$135:$AD$244,8,FALSE),0)</f>
        <v>0</v>
      </c>
      <c r="F107" s="362">
        <f>IFERROR(VLOOKUP(C107,'تقرير المصروفات حسب الشهر'!$C$261:$AD$368,8,FALSE),0)</f>
        <v>0</v>
      </c>
      <c r="G107" s="362">
        <f>IFERROR(VLOOKUP(C107,'تقرير المصروفات حسب الشهر'!$C$387:$AD$495,8,FALSE),0)</f>
        <v>0</v>
      </c>
      <c r="H107" s="362">
        <f>IFERROR(VLOOKUP(C107,'تقرير المصروفات حسب الشهر'!$C$512:$AD$620,8,FALSE),0)</f>
        <v>0</v>
      </c>
      <c r="I107" s="362">
        <f>IFERROR(VLOOKUP(C107,'تقرير المصروفات حسب الشهر'!$C$637:$AD$746,8,FALSE),0)</f>
        <v>0</v>
      </c>
      <c r="J107" s="362">
        <f>IFERROR(VLOOKUP(C107,'تقرير المصروفات حسب الشهر'!$C$763:$AD$872,8,FALSE),0)</f>
        <v>0</v>
      </c>
      <c r="K107" s="362">
        <f>IFERROR(VLOOKUP(C107,'تقرير المصروفات حسب الشهر'!$C$890:$AD$999,8,FALSE),0)</f>
        <v>0</v>
      </c>
      <c r="L107" s="362">
        <f>IFERROR(VLOOKUP(C107,'تقرير المصروفات حسب الشهر'!$C$1016:$AD$1126,8,FALSE),0)</f>
        <v>0</v>
      </c>
      <c r="M107" s="376">
        <f>IFERROR(VLOOKUP(C107,'تقرير المصروفات حسب الشهر'!$C$1143:$AD$1254,8,FALSE),0)</f>
        <v>0</v>
      </c>
      <c r="N107" s="376">
        <f>IFERROR(VLOOKUP(C107,'تقرير المصروفات حسب الشهر'!$C$1270:$AD$1381,8,FALSE),0)</f>
        <v>0</v>
      </c>
      <c r="O107" s="376">
        <f>IFERROR(VLOOKUP(C107,'تقرير المصروفات حسب الشهر'!$C$1397:$AD$1512,8,FALSE),0)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الشهر'!$C$10:$AD$119,8,FALSE),0)</f>
        <v>0</v>
      </c>
      <c r="E108" s="362">
        <f>IFERROR(VLOOKUP(C108,'تقرير المصروفات حسب الشهر'!$C$135:$AD$244,8,FALSE),0)</f>
        <v>0</v>
      </c>
      <c r="F108" s="362">
        <f>IFERROR(VLOOKUP(C108,'تقرير المصروفات حسب الشهر'!$C$261:$AD$368,8,FALSE),0)</f>
        <v>0</v>
      </c>
      <c r="G108" s="362">
        <f>IFERROR(VLOOKUP(C108,'تقرير المصروفات حسب الشهر'!$C$387:$AD$495,8,FALSE),0)</f>
        <v>0</v>
      </c>
      <c r="H108" s="362">
        <f>IFERROR(VLOOKUP(C108,'تقرير المصروفات حسب الشهر'!$C$512:$AD$620,8,FALSE),0)</f>
        <v>0</v>
      </c>
      <c r="I108" s="362">
        <f>IFERROR(VLOOKUP(C108,'تقرير المصروفات حسب الشهر'!$C$637:$AD$746,8,FALSE),0)</f>
        <v>0</v>
      </c>
      <c r="J108" s="362">
        <f>IFERROR(VLOOKUP(C108,'تقرير المصروفات حسب الشهر'!$C$763:$AD$872,8,FALSE),0)</f>
        <v>0</v>
      </c>
      <c r="K108" s="362">
        <f>IFERROR(VLOOKUP(C108,'تقرير المصروفات حسب الشهر'!$C$890:$AD$999,8,FALSE),0)</f>
        <v>0</v>
      </c>
      <c r="L108" s="362">
        <f>IFERROR(VLOOKUP(C108,'تقرير المصروفات حسب الشهر'!$C$1016:$AD$1126,8,FALSE),0)</f>
        <v>0</v>
      </c>
      <c r="M108" s="376">
        <f>IFERROR(VLOOKUP(C108,'تقرير المصروفات حسب الشهر'!$C$1143:$AD$1254,8,FALSE),0)</f>
        <v>0</v>
      </c>
      <c r="N108" s="376">
        <f>IFERROR(VLOOKUP(C108,'تقرير المصروفات حسب الشهر'!$C$1270:$AD$1381,8,FALSE),0)</f>
        <v>0</v>
      </c>
      <c r="O108" s="376">
        <f>IFERROR(VLOOKUP(C108,'تقرير المصروفات حسب الشهر'!$C$1397:$AD$1512,8,FALSE),0)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الشهر'!$C$10:$AD$119,8,FALSE),0)</f>
        <v>0</v>
      </c>
      <c r="E109" s="362">
        <f>IFERROR(VLOOKUP(C109,'تقرير المصروفات حسب الشهر'!$C$135:$AD$244,8,FALSE),0)</f>
        <v>0</v>
      </c>
      <c r="F109" s="362">
        <f>IFERROR(VLOOKUP(C109,'تقرير المصروفات حسب الشهر'!$C$261:$AD$368,8,FALSE),0)</f>
        <v>0</v>
      </c>
      <c r="G109" s="362">
        <f>IFERROR(VLOOKUP(C109,'تقرير المصروفات حسب الشهر'!$C$387:$AD$495,8,FALSE),0)</f>
        <v>0</v>
      </c>
      <c r="H109" s="362">
        <f>IFERROR(VLOOKUP(C109,'تقرير المصروفات حسب الشهر'!$C$512:$AD$620,8,FALSE),0)</f>
        <v>800</v>
      </c>
      <c r="I109" s="362">
        <f>IFERROR(VLOOKUP(C109,'تقرير المصروفات حسب الشهر'!$C$637:$AD$746,8,FALSE),0)</f>
        <v>0</v>
      </c>
      <c r="J109" s="362">
        <f>IFERROR(VLOOKUP(C109,'تقرير المصروفات حسب الشهر'!$C$763:$AD$872,8,FALSE),0)</f>
        <v>0</v>
      </c>
      <c r="K109" s="362">
        <f>IFERROR(VLOOKUP(C109,'تقرير المصروفات حسب الشهر'!$C$890:$AD$999,8,FALSE),0)</f>
        <v>0</v>
      </c>
      <c r="L109" s="362">
        <f>IFERROR(VLOOKUP(C109,'تقرير المصروفات حسب الشهر'!$C$1016:$AD$1126,8,FALSE),0)</f>
        <v>0</v>
      </c>
      <c r="M109" s="376">
        <f>IFERROR(VLOOKUP(C109,'تقرير المصروفات حسب الشهر'!$C$1143:$AD$1254,8,FALSE),0)</f>
        <v>0</v>
      </c>
      <c r="N109" s="376">
        <f>IFERROR(VLOOKUP(C109,'تقرير المصروفات حسب الشهر'!$C$1270:$AD$1381,8,FALSE),0)</f>
        <v>0</v>
      </c>
      <c r="O109" s="376">
        <f>IFERROR(VLOOKUP(C109,'تقرير المصروفات حسب الشهر'!$C$1397:$AD$1512,8,FALSE),0)</f>
        <v>0</v>
      </c>
      <c r="P109" s="364">
        <f t="shared" si="6"/>
        <v>800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الشهر'!$C$10:$AD$119,8,FALSE),0)</f>
        <v>0</v>
      </c>
      <c r="E110" s="362">
        <f>IFERROR(VLOOKUP(C110,'تقرير المصروفات حسب الشهر'!$C$135:$AD$244,8,FALSE),0)</f>
        <v>0</v>
      </c>
      <c r="F110" s="362">
        <f>IFERROR(VLOOKUP(C110,'تقرير المصروفات حسب الشهر'!$C$261:$AD$368,8,FALSE),0)</f>
        <v>0</v>
      </c>
      <c r="G110" s="362">
        <f>IFERROR(VLOOKUP(C110,'تقرير المصروفات حسب الشهر'!$C$387:$AD$495,8,FALSE),0)</f>
        <v>0</v>
      </c>
      <c r="H110" s="362">
        <f>IFERROR(VLOOKUP(C110,'تقرير المصروفات حسب الشهر'!$C$512:$AD$620,8,FALSE),0)</f>
        <v>0</v>
      </c>
      <c r="I110" s="362">
        <f>IFERROR(VLOOKUP(C110,'تقرير المصروفات حسب الشهر'!$C$637:$AD$746,8,FALSE),0)</f>
        <v>0</v>
      </c>
      <c r="J110" s="362">
        <f>IFERROR(VLOOKUP(C110,'تقرير المصروفات حسب الشهر'!$C$763:$AD$872,8,FALSE),0)</f>
        <v>0</v>
      </c>
      <c r="K110" s="362">
        <f>IFERROR(VLOOKUP(C110,'تقرير المصروفات حسب الشهر'!$C$890:$AD$999,8,FALSE),0)</f>
        <v>0</v>
      </c>
      <c r="L110" s="362">
        <f>IFERROR(VLOOKUP(C110,'تقرير المصروفات حسب الشهر'!$C$1016:$AD$1126,8,FALSE),0)</f>
        <v>0</v>
      </c>
      <c r="M110" s="376">
        <f>IFERROR(VLOOKUP(C110,'تقرير المصروفات حسب الشهر'!$C$1143:$AD$1254,8,FALSE),0)</f>
        <v>0</v>
      </c>
      <c r="N110" s="376">
        <f>IFERROR(VLOOKUP(C110,'تقرير المصروفات حسب الشهر'!$C$1270:$AD$1381,8,FALSE),0)</f>
        <v>0</v>
      </c>
      <c r="O110" s="376">
        <f>IFERROR(VLOOKUP(C110,'تقرير المصروفات حسب الشهر'!$C$1397:$AD$1512,8,FALSE),0)</f>
        <v>0</v>
      </c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الشهر'!$C$10:$AD$119,8,FALSE),0)</f>
        <v>0</v>
      </c>
      <c r="E111" s="362">
        <f>IFERROR(VLOOKUP(C111,'تقرير المصروفات حسب الشهر'!$C$135:$AD$244,8,FALSE),0)</f>
        <v>0</v>
      </c>
      <c r="F111" s="362">
        <f>IFERROR(VLOOKUP(C111,'تقرير المصروفات حسب الشهر'!$C$261:$AD$368,8,FALSE),0)</f>
        <v>0</v>
      </c>
      <c r="G111" s="362">
        <f>IFERROR(VLOOKUP(C111,'تقرير المصروفات حسب الشهر'!$C$387:$AD$495,8,FALSE),0)</f>
        <v>0</v>
      </c>
      <c r="H111" s="362">
        <f>IFERROR(VLOOKUP(C111,'تقرير المصروفات حسب الشهر'!$C$512:$AD$620,8,FALSE),0)</f>
        <v>0</v>
      </c>
      <c r="I111" s="362">
        <f>IFERROR(VLOOKUP(C111,'تقرير المصروفات حسب الشهر'!$C$637:$AD$746,8,FALSE),0)</f>
        <v>0</v>
      </c>
      <c r="J111" s="362">
        <f>IFERROR(VLOOKUP(C111,'تقرير المصروفات حسب الشهر'!$C$763:$AD$872,8,FALSE),0)</f>
        <v>0</v>
      </c>
      <c r="K111" s="362">
        <f>IFERROR(VLOOKUP(C111,'تقرير المصروفات حسب الشهر'!$C$890:$AD$999,8,FALSE),0)</f>
        <v>0</v>
      </c>
      <c r="L111" s="362">
        <f>IFERROR(VLOOKUP(C111,'تقرير المصروفات حسب الشهر'!$C$1016:$AD$1126,8,FALSE),0)</f>
        <v>0</v>
      </c>
      <c r="M111" s="376">
        <f>IFERROR(VLOOKUP(C111,'تقرير المصروفات حسب الشهر'!$C$1143:$AD$1254,8,FALSE),0)</f>
        <v>0</v>
      </c>
      <c r="N111" s="376">
        <f>IFERROR(VLOOKUP(C111,'تقرير المصروفات حسب الشهر'!$C$1270:$AD$1381,8,FALSE),0)</f>
        <v>0</v>
      </c>
      <c r="O111" s="376">
        <f>IFERROR(VLOOKUP(C111,'تقرير المصروفات حسب الشهر'!$C$1397:$AD$1512,8,FALSE),0)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الشهر'!$C$10:$AD$119,8,FALSE),0)</f>
        <v>300</v>
      </c>
      <c r="E112" s="362">
        <f>IFERROR(VLOOKUP(C112,'تقرير المصروفات حسب الشهر'!$C$135:$AD$244,8,FALSE),0)</f>
        <v>0</v>
      </c>
      <c r="F112" s="362">
        <f>IFERROR(VLOOKUP(C112,'تقرير المصروفات حسب الشهر'!$C$261:$AD$368,8,FALSE),0)</f>
        <v>0</v>
      </c>
      <c r="G112" s="362">
        <f>IFERROR(VLOOKUP(C112,'تقرير المصروفات حسب الشهر'!$C$387:$AD$495,8,FALSE),0)</f>
        <v>0</v>
      </c>
      <c r="H112" s="362">
        <f>IFERROR(VLOOKUP(C112,'تقرير المصروفات حسب الشهر'!$C$512:$AD$620,8,FALSE),0)</f>
        <v>0</v>
      </c>
      <c r="I112" s="362">
        <f>IFERROR(VLOOKUP(C112,'تقرير المصروفات حسب الشهر'!$C$637:$AD$746,8,FALSE),0)</f>
        <v>0</v>
      </c>
      <c r="J112" s="362">
        <f>IFERROR(VLOOKUP(C112,'تقرير المصروفات حسب الشهر'!$C$763:$AD$872,8,FALSE),0)</f>
        <v>0</v>
      </c>
      <c r="K112" s="362">
        <f>IFERROR(VLOOKUP(C112,'تقرير المصروفات حسب الشهر'!$C$890:$AD$999,8,FALSE),0)</f>
        <v>0</v>
      </c>
      <c r="L112" s="362">
        <f>IFERROR(VLOOKUP(C112,'تقرير المصروفات حسب الشهر'!$C$1016:$AD$1126,8,FALSE),0)</f>
        <v>0</v>
      </c>
      <c r="M112" s="376">
        <f>IFERROR(VLOOKUP(C112,'تقرير المصروفات حسب الشهر'!$C$1143:$AD$1254,8,FALSE),0)</f>
        <v>0</v>
      </c>
      <c r="N112" s="376">
        <f>IFERROR(VLOOKUP(C112,'تقرير المصروفات حسب الشهر'!$C$1270:$AD$1381,8,FALSE),0)</f>
        <v>0</v>
      </c>
      <c r="O112" s="376">
        <f>IFERROR(VLOOKUP(C112,'تقرير المصروفات حسب الشهر'!$C$1397:$AD$1512,8,FALSE),0)</f>
        <v>0</v>
      </c>
      <c r="P112" s="364">
        <f t="shared" si="6"/>
        <v>300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الشهر'!$C$10:$AD$119,8,FALSE),0)</f>
        <v>0</v>
      </c>
      <c r="E113" s="362">
        <f>IFERROR(VLOOKUP(C113,'تقرير المصروفات حسب الشهر'!$C$135:$AD$244,8,FALSE),0)</f>
        <v>0</v>
      </c>
      <c r="F113" s="362">
        <f>IFERROR(VLOOKUP(C113,'تقرير المصروفات حسب الشهر'!$C$261:$AD$368,8,FALSE),0)</f>
        <v>0</v>
      </c>
      <c r="G113" s="362">
        <f>IFERROR(VLOOKUP(C113,'تقرير المصروفات حسب الشهر'!$C$387:$AD$495,8,FALSE),0)</f>
        <v>0</v>
      </c>
      <c r="H113" s="362">
        <f>IFERROR(VLOOKUP(C113,'تقرير المصروفات حسب الشهر'!$C$512:$AD$620,8,FALSE),0)</f>
        <v>0</v>
      </c>
      <c r="I113" s="362">
        <f>IFERROR(VLOOKUP(C113,'تقرير المصروفات حسب الشهر'!$C$637:$AD$746,8,FALSE),0)</f>
        <v>0</v>
      </c>
      <c r="J113" s="362">
        <f>IFERROR(VLOOKUP(C113,'تقرير المصروفات حسب الشهر'!$C$763:$AD$872,8,FALSE),0)</f>
        <v>0</v>
      </c>
      <c r="K113" s="362">
        <f>IFERROR(VLOOKUP(C113,'تقرير المصروفات حسب الشهر'!$C$890:$AD$999,8,FALSE),0)</f>
        <v>0</v>
      </c>
      <c r="L113" s="362">
        <f>IFERROR(VLOOKUP(C113,'تقرير المصروفات حسب الشهر'!$C$1016:$AD$1126,8,FALSE),0)</f>
        <v>0</v>
      </c>
      <c r="M113" s="376">
        <f>IFERROR(VLOOKUP(C113,'تقرير المصروفات حسب الشهر'!$C$1143:$AD$1254,8,FALSE),0)</f>
        <v>0</v>
      </c>
      <c r="N113" s="376">
        <f>IFERROR(VLOOKUP(C113,'تقرير المصروفات حسب الشهر'!$C$1270:$AD$1381,8,FALSE),0)</f>
        <v>0</v>
      </c>
      <c r="O113" s="376">
        <f>IFERROR(VLOOKUP(C113,'تقرير المصروفات حسب الشهر'!$C$1397:$AD$1512,8,FALSE),0)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الشهر'!$C$10:$AD$119,8,FALSE),0)</f>
        <v>0</v>
      </c>
      <c r="E114" s="362">
        <f>IFERROR(VLOOKUP(C114,'تقرير المصروفات حسب الشهر'!$C$135:$AD$244,8,FALSE),0)</f>
        <v>0</v>
      </c>
      <c r="F114" s="362">
        <f>IFERROR(VLOOKUP(C114,'تقرير المصروفات حسب الشهر'!$C$261:$AD$368,8,FALSE),0)</f>
        <v>0</v>
      </c>
      <c r="G114" s="362">
        <f>IFERROR(VLOOKUP(C114,'تقرير المصروفات حسب الشهر'!$C$387:$AD$495,8,FALSE),0)</f>
        <v>0</v>
      </c>
      <c r="H114" s="362">
        <f>IFERROR(VLOOKUP(C114,'تقرير المصروفات حسب الشهر'!$C$512:$AD$620,8,FALSE),0)</f>
        <v>0</v>
      </c>
      <c r="I114" s="362">
        <f>IFERROR(VLOOKUP(C114,'تقرير المصروفات حسب الشهر'!$C$637:$AD$746,8,FALSE),0)</f>
        <v>0</v>
      </c>
      <c r="J114" s="362">
        <f>IFERROR(VLOOKUP(C114,'تقرير المصروفات حسب الشهر'!$C$763:$AD$872,8,FALSE),0)</f>
        <v>0</v>
      </c>
      <c r="K114" s="362">
        <f>IFERROR(VLOOKUP(C114,'تقرير المصروفات حسب الشهر'!$C$890:$AD$999,8,FALSE),0)</f>
        <v>0</v>
      </c>
      <c r="L114" s="362">
        <f>IFERROR(VLOOKUP(C114,'تقرير المصروفات حسب الشهر'!$C$1016:$AD$1126,8,FALSE),0)</f>
        <v>0</v>
      </c>
      <c r="M114" s="376">
        <f>IFERROR(VLOOKUP(C114,'تقرير المصروفات حسب الشهر'!$C$1143:$AD$1254,8,FALSE),0)</f>
        <v>0</v>
      </c>
      <c r="N114" s="376">
        <f>IFERROR(VLOOKUP(C114,'تقرير المصروفات حسب الشهر'!$C$1270:$AD$1381,8,FALSE),0)</f>
        <v>0</v>
      </c>
      <c r="O114" s="376">
        <f>IFERROR(VLOOKUP(C114,'تقرير المصروفات حسب الشهر'!$C$1397:$AD$1512,8,FALSE),0)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الشهر'!$C$10:$AD$119,8,FALSE),0)</f>
        <v>0</v>
      </c>
      <c r="E115" s="362">
        <f>IFERROR(VLOOKUP(C115,'تقرير المصروفات حسب الشهر'!$C$135:$AD$244,8,FALSE),0)</f>
        <v>0</v>
      </c>
      <c r="F115" s="362">
        <f>IFERROR(VLOOKUP(C115,'تقرير المصروفات حسب الشهر'!$C$261:$AD$368,8,FALSE),0)</f>
        <v>0</v>
      </c>
      <c r="G115" s="362">
        <f>IFERROR(VLOOKUP(C115,'تقرير المصروفات حسب الشهر'!$C$387:$AD$495,8,FALSE),0)</f>
        <v>0</v>
      </c>
      <c r="H115" s="362">
        <f>IFERROR(VLOOKUP(C115,'تقرير المصروفات حسب الشهر'!$C$512:$AD$620,8,FALSE),0)</f>
        <v>0</v>
      </c>
      <c r="I115" s="362">
        <f>IFERROR(VLOOKUP(C115,'تقرير المصروفات حسب الشهر'!$C$637:$AD$746,8,FALSE),0)</f>
        <v>0</v>
      </c>
      <c r="J115" s="362">
        <f>IFERROR(VLOOKUP(C115,'تقرير المصروفات حسب الشهر'!$C$763:$AD$872,8,FALSE),0)</f>
        <v>0</v>
      </c>
      <c r="K115" s="362">
        <f>IFERROR(VLOOKUP(C115,'تقرير المصروفات حسب الشهر'!$C$890:$AD$999,8,FALSE),0)</f>
        <v>0</v>
      </c>
      <c r="L115" s="362">
        <f>IFERROR(VLOOKUP(C115,'تقرير المصروفات حسب الشهر'!$C$1016:$AD$1126,8,FALSE),0)</f>
        <v>0</v>
      </c>
      <c r="M115" s="376">
        <f>IFERROR(VLOOKUP(C115,'تقرير المصروفات حسب الشهر'!$C$1143:$AD$1254,8,FALSE),0)</f>
        <v>0</v>
      </c>
      <c r="N115" s="376">
        <f>IFERROR(VLOOKUP(C115,'تقرير المصروفات حسب الشهر'!$C$1270:$AD$1381,8,FALSE),0)</f>
        <v>0</v>
      </c>
      <c r="O115" s="376">
        <f>IFERROR(VLOOKUP(C115,'تقرير المصروفات حسب الشهر'!$C$1397:$AD$1512,8,FALSE),0)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الشهر'!$C$10:$AD$119,8,FALSE),0)</f>
        <v>0</v>
      </c>
      <c r="E116" s="362">
        <f>IFERROR(VLOOKUP(C116,'تقرير المصروفات حسب الشهر'!$C$135:$AD$244,8,FALSE),0)</f>
        <v>0</v>
      </c>
      <c r="F116" s="362">
        <f>IFERROR(VLOOKUP(C116,'تقرير المصروفات حسب الشهر'!$C$261:$AD$368,8,FALSE),0)</f>
        <v>0</v>
      </c>
      <c r="G116" s="362">
        <f>IFERROR(VLOOKUP(C116,'تقرير المصروفات حسب الشهر'!$C$387:$AD$495,8,FALSE),0)</f>
        <v>0</v>
      </c>
      <c r="H116" s="362">
        <f>IFERROR(VLOOKUP(C116,'تقرير المصروفات حسب الشهر'!$C$512:$AD$620,8,FALSE),0)</f>
        <v>0</v>
      </c>
      <c r="I116" s="362">
        <f>IFERROR(VLOOKUP(C116,'تقرير المصروفات حسب الشهر'!$C$637:$AD$746,8,FALSE),0)</f>
        <v>0</v>
      </c>
      <c r="J116" s="362">
        <f>IFERROR(VLOOKUP(C116,'تقرير المصروفات حسب الشهر'!$C$763:$AD$872,8,FALSE),0)</f>
        <v>0</v>
      </c>
      <c r="K116" s="362">
        <f>IFERROR(VLOOKUP(C116,'تقرير المصروفات حسب الشهر'!$C$890:$AD$999,8,FALSE),0)</f>
        <v>0</v>
      </c>
      <c r="L116" s="362">
        <f>IFERROR(VLOOKUP(C116,'تقرير المصروفات حسب الشهر'!$C$1016:$AD$1126,8,FALSE),0)</f>
        <v>0</v>
      </c>
      <c r="M116" s="376">
        <f>IFERROR(VLOOKUP(C116,'تقرير المصروفات حسب الشهر'!$C$1143:$AD$1254,8,FALSE),0)</f>
        <v>0</v>
      </c>
      <c r="N116" s="376">
        <f>IFERROR(VLOOKUP(C116,'تقرير المصروفات حسب الشهر'!$C$1270:$AD$1381,8,FALSE),0)</f>
        <v>0</v>
      </c>
      <c r="O116" s="376">
        <f>IFERROR(VLOOKUP(C116,'تقرير المصروفات حسب الشهر'!$C$1397:$AD$1512,8,FALSE),0)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الشهر'!$C$10:$AD$119,8,FALSE),0)</f>
        <v>0</v>
      </c>
      <c r="E117" s="362">
        <f>IFERROR(VLOOKUP(C117,'تقرير المصروفات حسب الشهر'!$C$135:$AD$244,8,FALSE),0)</f>
        <v>0</v>
      </c>
      <c r="F117" s="362">
        <f>IFERROR(VLOOKUP(C117,'تقرير المصروفات حسب الشهر'!$C$261:$AD$368,8,FALSE),0)</f>
        <v>0</v>
      </c>
      <c r="G117" s="362">
        <f>IFERROR(VLOOKUP(C117,'تقرير المصروفات حسب الشهر'!$C$387:$AD$495,8,FALSE),0)</f>
        <v>0</v>
      </c>
      <c r="H117" s="362">
        <f>IFERROR(VLOOKUP(C117,'تقرير المصروفات حسب الشهر'!$C$512:$AD$620,8,FALSE),0)</f>
        <v>0</v>
      </c>
      <c r="I117" s="362">
        <f>IFERROR(VLOOKUP(C117,'تقرير المصروفات حسب الشهر'!$C$637:$AD$746,8,FALSE),0)</f>
        <v>0</v>
      </c>
      <c r="J117" s="362">
        <f>IFERROR(VLOOKUP(C117,'تقرير المصروفات حسب الشهر'!$C$763:$AD$872,8,FALSE),0)</f>
        <v>0</v>
      </c>
      <c r="K117" s="362">
        <f>IFERROR(VLOOKUP(C117,'تقرير المصروفات حسب الشهر'!$C$890:$AD$999,8,FALSE),0)</f>
        <v>0</v>
      </c>
      <c r="L117" s="362">
        <f>IFERROR(VLOOKUP(C117,'تقرير المصروفات حسب الشهر'!$C$1016:$AD$1126,8,FALSE),0)</f>
        <v>0</v>
      </c>
      <c r="M117" s="376">
        <f>IFERROR(VLOOKUP(C117,'تقرير المصروفات حسب الشهر'!$C$1143:$AD$1254,8,FALSE),0)</f>
        <v>0</v>
      </c>
      <c r="N117" s="376">
        <f>IFERROR(VLOOKUP(C117,'تقرير المصروفات حسب الشهر'!$C$1270:$AD$1381,8,FALSE),0)</f>
        <v>0</v>
      </c>
      <c r="O117" s="376">
        <f>IFERROR(VLOOKUP(C117,'تقرير المصروفات حسب الشهر'!$C$1397:$AD$1512,8,FALSE),0)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الشهر'!$C$10:$AD$119,8,FALSE),0)</f>
        <v>0</v>
      </c>
      <c r="E118" s="362">
        <f>IFERROR(VLOOKUP(C118,'تقرير المصروفات حسب الشهر'!$C$135:$AD$244,8,FALSE),0)</f>
        <v>0</v>
      </c>
      <c r="F118" s="362">
        <f>IFERROR(VLOOKUP(C118,'تقرير المصروفات حسب الشهر'!$C$261:$AD$368,8,FALSE),0)</f>
        <v>0</v>
      </c>
      <c r="G118" s="362">
        <f>IFERROR(VLOOKUP(C118,'تقرير المصروفات حسب الشهر'!$C$387:$AD$495,8,FALSE),0)</f>
        <v>0</v>
      </c>
      <c r="H118" s="362">
        <f>IFERROR(VLOOKUP(C118,'تقرير المصروفات حسب الشهر'!$C$512:$AD$620,8,FALSE),0)</f>
        <v>0</v>
      </c>
      <c r="I118" s="362">
        <f>IFERROR(VLOOKUP(C118,'تقرير المصروفات حسب الشهر'!$C$637:$AD$746,8,FALSE),0)</f>
        <v>0</v>
      </c>
      <c r="J118" s="362">
        <f>IFERROR(VLOOKUP(C118,'تقرير المصروفات حسب الشهر'!$C$763:$AD$872,8,FALSE),0)</f>
        <v>0</v>
      </c>
      <c r="K118" s="362">
        <f>IFERROR(VLOOKUP(C118,'تقرير المصروفات حسب الشهر'!$C$890:$AD$999,8,FALSE),0)</f>
        <v>0</v>
      </c>
      <c r="L118" s="362">
        <f>IFERROR(VLOOKUP(C118,'تقرير المصروفات حسب الشهر'!$C$1016:$AD$1126,8,FALSE),0)</f>
        <v>0</v>
      </c>
      <c r="M118" s="376">
        <f>IFERROR(VLOOKUP(C118,'تقرير المصروفات حسب الشهر'!$C$1143:$AD$1254,8,FALSE),0)</f>
        <v>0</v>
      </c>
      <c r="N118" s="376">
        <f>IFERROR(VLOOKUP(C118,'تقرير المصروفات حسب الشهر'!$C$1270:$AD$1381,8,FALSE),0)</f>
        <v>0</v>
      </c>
      <c r="O118" s="376">
        <f>IFERROR(VLOOKUP(C118,'تقرير المصروفات حسب الشهر'!$C$1397:$AD$1512,8,FALSE),0)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الشهر'!$C$10:$AD$119,8,FALSE),0)</f>
        <v>0</v>
      </c>
      <c r="E119" s="362">
        <f>IFERROR(VLOOKUP(C119,'تقرير المصروفات حسب الشهر'!$C$135:$AD$244,8,FALSE),0)</f>
        <v>0</v>
      </c>
      <c r="F119" s="362">
        <f>IFERROR(VLOOKUP(C119,'تقرير المصروفات حسب الشهر'!$C$261:$AD$368,8,FALSE),0)</f>
        <v>0</v>
      </c>
      <c r="G119" s="362">
        <f>IFERROR(VLOOKUP(C119,'تقرير المصروفات حسب الشهر'!$C$387:$AD$495,8,FALSE),0)</f>
        <v>0</v>
      </c>
      <c r="H119" s="362">
        <f>IFERROR(VLOOKUP(C119,'تقرير المصروفات حسب الشهر'!$C$512:$AD$620,8,FALSE),0)</f>
        <v>0</v>
      </c>
      <c r="I119" s="362">
        <f>IFERROR(VLOOKUP(C119,'تقرير المصروفات حسب الشهر'!$C$637:$AD$746,8,FALSE),0)</f>
        <v>0</v>
      </c>
      <c r="J119" s="362">
        <f>IFERROR(VLOOKUP(C119,'تقرير المصروفات حسب الشهر'!$C$763:$AD$872,8,FALSE),0)</f>
        <v>0</v>
      </c>
      <c r="K119" s="362">
        <f>IFERROR(VLOOKUP(C119,'تقرير المصروفات حسب الشهر'!$C$890:$AD$999,8,FALSE),0)</f>
        <v>77</v>
      </c>
      <c r="L119" s="362">
        <f>IFERROR(VLOOKUP(C119,'تقرير المصروفات حسب الشهر'!$C$1016:$AD$1126,8,FALSE),0)</f>
        <v>0</v>
      </c>
      <c r="M119" s="376">
        <f>IFERROR(VLOOKUP(C119,'تقرير المصروفات حسب الشهر'!$C$1143:$AD$1254,8,FALSE),0)</f>
        <v>0</v>
      </c>
      <c r="N119" s="376">
        <f>IFERROR(VLOOKUP(C119,'تقرير المصروفات حسب الشهر'!$C$1270:$AD$1381,8,FALSE),0)</f>
        <v>0</v>
      </c>
      <c r="O119" s="376">
        <f>IFERROR(VLOOKUP(C119,'تقرير المصروفات حسب الشهر'!$C$1397:$AD$1512,8,FALSE),0)</f>
        <v>185</v>
      </c>
      <c r="P119" s="364">
        <f t="shared" si="6"/>
        <v>262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الشهر'!$C$10:$AD$119,8,FALSE),0)</f>
        <v>0</v>
      </c>
      <c r="E120" s="362">
        <f>IFERROR(VLOOKUP(C120,'تقرير المصروفات حسب الشهر'!$C$135:$AD$244,8,FALSE),0)</f>
        <v>0</v>
      </c>
      <c r="F120" s="362">
        <f>IFERROR(VLOOKUP(C120,'تقرير المصروفات حسب الشهر'!$C$261:$AD$368,8,FALSE),0)</f>
        <v>0</v>
      </c>
      <c r="G120" s="362">
        <f>IFERROR(VLOOKUP(C120,'تقرير المصروفات حسب الشهر'!$C$387:$AD$495,8,FALSE),0)</f>
        <v>0</v>
      </c>
      <c r="H120" s="362">
        <f>IFERROR(VLOOKUP(C120,'تقرير المصروفات حسب الشهر'!$C$512:$AD$620,8,FALSE),0)</f>
        <v>0</v>
      </c>
      <c r="I120" s="362">
        <f>IFERROR(VLOOKUP(C120,'تقرير المصروفات حسب الشهر'!$C$637:$AD$746,8,FALSE),0)</f>
        <v>0</v>
      </c>
      <c r="J120" s="362">
        <f>IFERROR(VLOOKUP(C120,'تقرير المصروفات حسب الشهر'!$C$763:$AD$872,8,FALSE),0)</f>
        <v>0</v>
      </c>
      <c r="K120" s="362">
        <f>IFERROR(VLOOKUP(C120,'تقرير المصروفات حسب الشهر'!$C$890:$AD$999,8,FALSE),0)</f>
        <v>0</v>
      </c>
      <c r="L120" s="362">
        <f>IFERROR(VLOOKUP(C120,'تقرير المصروفات حسب الشهر'!$C$1016:$AD$1126,8,FALSE),0)</f>
        <v>0</v>
      </c>
      <c r="M120" s="376">
        <f>IFERROR(VLOOKUP(C120,'تقرير المصروفات حسب الشهر'!$C$1143:$AD$1254,8,FALSE),0)</f>
        <v>0</v>
      </c>
      <c r="N120" s="376">
        <f>IFERROR(VLOOKUP(C120,'تقرير المصروفات حسب الشهر'!$C$1270:$AD$1381,8,FALSE),0)</f>
        <v>0</v>
      </c>
      <c r="O120" s="376">
        <f>IFERROR(VLOOKUP(C120,'تقرير المصروفات حسب الشهر'!$C$1397:$AD$1512,8,FALSE),0)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الشهر'!$C$10:$AD$119,8,FALSE),0)</f>
        <v>0</v>
      </c>
      <c r="E121" s="362">
        <f>IFERROR(VLOOKUP(C121,'تقرير المصروفات حسب الشهر'!$C$135:$AD$244,8,FALSE),0)</f>
        <v>0</v>
      </c>
      <c r="F121" s="362">
        <f>IFERROR(VLOOKUP(C121,'تقرير المصروفات حسب الشهر'!$C$261:$AD$368,8,FALSE),0)</f>
        <v>0</v>
      </c>
      <c r="G121" s="362">
        <f>IFERROR(VLOOKUP(C121,'تقرير المصروفات حسب الشهر'!$C$387:$AD$495,8,FALSE),0)</f>
        <v>0</v>
      </c>
      <c r="H121" s="362">
        <f>IFERROR(VLOOKUP(C121,'تقرير المصروفات حسب الشهر'!$C$512:$AD$620,8,FALSE),0)</f>
        <v>0</v>
      </c>
      <c r="I121" s="362">
        <f>IFERROR(VLOOKUP(C121,'تقرير المصروفات حسب الشهر'!$C$637:$AD$746,8,FALSE),0)</f>
        <v>0</v>
      </c>
      <c r="J121" s="362">
        <f>IFERROR(VLOOKUP(C121,'تقرير المصروفات حسب الشهر'!$C$763:$AD$872,8,FALSE),0)</f>
        <v>0</v>
      </c>
      <c r="K121" s="362">
        <f>IFERROR(VLOOKUP(C121,'تقرير المصروفات حسب الشهر'!$C$890:$AD$999,8,FALSE),0)</f>
        <v>0</v>
      </c>
      <c r="L121" s="362">
        <f>IFERROR(VLOOKUP(C121,'تقرير المصروفات حسب الشهر'!$C$1016:$AD$1126,8,FALSE),0)</f>
        <v>0</v>
      </c>
      <c r="M121" s="376">
        <f>IFERROR(VLOOKUP(C121,'تقرير المصروفات حسب الشهر'!$C$1143:$AD$1254,8,FALSE),0)</f>
        <v>0</v>
      </c>
      <c r="N121" s="376">
        <f>IFERROR(VLOOKUP(C121,'تقرير المصروفات حسب الشهر'!$C$1270:$AD$1381,8,FALSE),0)</f>
        <v>0</v>
      </c>
      <c r="O121" s="376">
        <f>IFERROR(VLOOKUP(C121,'تقرير المصروفات حسب الشهر'!$C$1397:$AD$1512,8,FALSE),0)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الشهر'!$C$10:$AD$119,8,FALSE),0)</f>
        <v>0</v>
      </c>
      <c r="E122" s="362">
        <f>IFERROR(VLOOKUP(C122,'تقرير المصروفات حسب الشهر'!$C$135:$AD$244,8,FALSE),0)</f>
        <v>0</v>
      </c>
      <c r="F122" s="362">
        <f>IFERROR(VLOOKUP(C122,'تقرير المصروفات حسب الشهر'!$C$261:$AD$368,8,FALSE),0)</f>
        <v>0</v>
      </c>
      <c r="G122" s="362">
        <f>IFERROR(VLOOKUP(C122,'تقرير المصروفات حسب الشهر'!$C$387:$AD$495,8,FALSE),0)</f>
        <v>0</v>
      </c>
      <c r="H122" s="362">
        <f>IFERROR(VLOOKUP(C122,'تقرير المصروفات حسب الشهر'!$C$512:$AD$620,8,FALSE),0)</f>
        <v>0</v>
      </c>
      <c r="I122" s="362">
        <f>IFERROR(VLOOKUP(C122,'تقرير المصروفات حسب الشهر'!$C$637:$AD$746,8,FALSE),0)</f>
        <v>0</v>
      </c>
      <c r="J122" s="362">
        <f>IFERROR(VLOOKUP(C122,'تقرير المصروفات حسب الشهر'!$C$763:$AD$872,8,FALSE),0)</f>
        <v>0</v>
      </c>
      <c r="K122" s="362">
        <f>IFERROR(VLOOKUP(C122,'تقرير المصروفات حسب الشهر'!$C$890:$AD$999,8,FALSE),0)</f>
        <v>0</v>
      </c>
      <c r="L122" s="362">
        <f>IFERROR(VLOOKUP(C122,'تقرير المصروفات حسب الشهر'!$C$1016:$AD$1126,8,FALSE),0)</f>
        <v>0</v>
      </c>
      <c r="M122" s="376">
        <f>IFERROR(VLOOKUP(C122,'تقرير المصروفات حسب الشهر'!$C$1143:$AD$1254,8,FALSE),0)</f>
        <v>0</v>
      </c>
      <c r="N122" s="376">
        <f>IFERROR(VLOOKUP(C122,'تقرير المصروفات حسب الشهر'!$C$1270:$AD$1381,8,FALSE),0)</f>
        <v>0</v>
      </c>
      <c r="O122" s="376">
        <f>IFERROR(VLOOKUP(C122,'تقرير المصروفات حسب الشهر'!$C$1397:$AD$1512,8,FALSE),0)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الشهر'!$C$10:$AD$119,8,FALSE),0)</f>
        <v>0</v>
      </c>
      <c r="E123" s="362">
        <f>IFERROR(VLOOKUP(C123,'تقرير المصروفات حسب الشهر'!$C$135:$AD$244,8,FALSE),0)</f>
        <v>0</v>
      </c>
      <c r="F123" s="362">
        <f>IFERROR(VLOOKUP(C123,'تقرير المصروفات حسب الشهر'!$C$261:$AD$368,8,FALSE),0)</f>
        <v>0</v>
      </c>
      <c r="G123" s="362">
        <f>IFERROR(VLOOKUP(C123,'تقرير المصروفات حسب الشهر'!$C$387:$AD$495,8,FALSE),0)</f>
        <v>0</v>
      </c>
      <c r="H123" s="362">
        <f>IFERROR(VLOOKUP(C123,'تقرير المصروفات حسب الشهر'!$C$512:$AD$620,8,FALSE),0)</f>
        <v>0</v>
      </c>
      <c r="I123" s="362">
        <f>IFERROR(VLOOKUP(C123,'تقرير المصروفات حسب الشهر'!$C$637:$AD$746,8,FALSE),0)</f>
        <v>0</v>
      </c>
      <c r="J123" s="362">
        <f>IFERROR(VLOOKUP(C123,'تقرير المصروفات حسب الشهر'!$C$763:$AD$872,8,FALSE),0)</f>
        <v>0</v>
      </c>
      <c r="K123" s="362">
        <f>IFERROR(VLOOKUP(C123,'تقرير المصروفات حسب الشهر'!$C$890:$AD$999,8,FALSE),0)</f>
        <v>0</v>
      </c>
      <c r="L123" s="362">
        <f>IFERROR(VLOOKUP(C123,'تقرير المصروفات حسب الشهر'!$C$1016:$AD$1126,8,FALSE),0)</f>
        <v>0</v>
      </c>
      <c r="M123" s="376">
        <f>IFERROR(VLOOKUP(C123,'تقرير المصروفات حسب الشهر'!$C$1143:$AD$1254,8,FALSE),0)</f>
        <v>0</v>
      </c>
      <c r="N123" s="376">
        <f>IFERROR(VLOOKUP(C123,'تقرير المصروفات حسب الشهر'!$C$1270:$AD$1381,8,FALSE),0)</f>
        <v>0</v>
      </c>
      <c r="O123" s="376">
        <f>IFERROR(VLOOKUP(C123,'تقرير المصروفات حسب الشهر'!$C$1397:$AD$1512,8,FALSE),0)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الشهر'!$C$10:$AD$119,8,FALSE),0)</f>
        <v>0</v>
      </c>
      <c r="E124" s="362">
        <f>IFERROR(VLOOKUP(C124,'تقرير المصروفات حسب الشهر'!$C$135:$AD$244,8,FALSE),0)</f>
        <v>0</v>
      </c>
      <c r="F124" s="362">
        <f>IFERROR(VLOOKUP(C124,'تقرير المصروفات حسب الشهر'!$C$261:$AD$368,8,FALSE),0)</f>
        <v>0</v>
      </c>
      <c r="G124" s="362">
        <f>IFERROR(VLOOKUP(C124,'تقرير المصروفات حسب الشهر'!$C$387:$AD$495,8,FALSE),0)</f>
        <v>0</v>
      </c>
      <c r="H124" s="362">
        <f>IFERROR(VLOOKUP(C124,'تقرير المصروفات حسب الشهر'!$C$512:$AD$620,8,FALSE),0)</f>
        <v>0</v>
      </c>
      <c r="I124" s="362">
        <f>IFERROR(VLOOKUP(C124,'تقرير المصروفات حسب الشهر'!$C$637:$AD$746,8,FALSE),0)</f>
        <v>0</v>
      </c>
      <c r="J124" s="362">
        <f>IFERROR(VLOOKUP(C124,'تقرير المصروفات حسب الشهر'!$C$763:$AD$872,8,FALSE),0)</f>
        <v>0</v>
      </c>
      <c r="K124" s="362">
        <f>IFERROR(VLOOKUP(C124,'تقرير المصروفات حسب الشهر'!$C$890:$AD$999,8,FALSE),0)</f>
        <v>0</v>
      </c>
      <c r="L124" s="362">
        <f>IFERROR(VLOOKUP(C124,'تقرير المصروفات حسب الشهر'!$C$1016:$AD$1126,8,FALSE),0)</f>
        <v>0</v>
      </c>
      <c r="M124" s="376">
        <f>IFERROR(VLOOKUP(C124,'تقرير المصروفات حسب الشهر'!$C$1143:$AD$1254,8,FALSE),0)</f>
        <v>0</v>
      </c>
      <c r="N124" s="376">
        <f>IFERROR(VLOOKUP(C124,'تقرير المصروفات حسب الشهر'!$C$1270:$AD$1381,8,FALSE),0)</f>
        <v>0</v>
      </c>
      <c r="O124" s="376">
        <f>IFERROR(VLOOKUP(C124,'تقرير المصروفات حسب الشهر'!$C$1397:$AD$1512,8,FALSE),0)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الشهر'!$C$10:$AD$119,8,FALSE),0)</f>
        <v>0</v>
      </c>
      <c r="E125" s="362">
        <f>IFERROR(VLOOKUP(C125,'تقرير المصروفات حسب الشهر'!$C$135:$AD$244,8,FALSE),0)</f>
        <v>0</v>
      </c>
      <c r="F125" s="362">
        <f>IFERROR(VLOOKUP(C125,'تقرير المصروفات حسب الشهر'!$C$261:$AD$368,8,FALSE),0)</f>
        <v>0</v>
      </c>
      <c r="G125" s="362">
        <f>IFERROR(VLOOKUP(C125,'تقرير المصروفات حسب الشهر'!$C$387:$AD$495,8,FALSE),0)</f>
        <v>0</v>
      </c>
      <c r="H125" s="362">
        <f>IFERROR(VLOOKUP(C125,'تقرير المصروفات حسب الشهر'!$C$512:$AD$620,8,FALSE),0)</f>
        <v>0</v>
      </c>
      <c r="I125" s="362">
        <f>IFERROR(VLOOKUP(C125,'تقرير المصروفات حسب الشهر'!$C$637:$AD$746,8,FALSE),0)</f>
        <v>0</v>
      </c>
      <c r="J125" s="362">
        <f>IFERROR(VLOOKUP(C125,'تقرير المصروفات حسب الشهر'!$C$763:$AD$872,8,FALSE),0)</f>
        <v>0</v>
      </c>
      <c r="K125" s="362">
        <f>IFERROR(VLOOKUP(C125,'تقرير المصروفات حسب الشهر'!$C$890:$AD$999,8,FALSE),0)</f>
        <v>0</v>
      </c>
      <c r="L125" s="362">
        <f>IFERROR(VLOOKUP(C125,'تقرير المصروفات حسب الشهر'!$C$1016:$AD$1126,8,FALSE),0)</f>
        <v>0</v>
      </c>
      <c r="M125" s="376">
        <f>IFERROR(VLOOKUP(C125,'تقرير المصروفات حسب الشهر'!$C$1143:$AD$1254,8,FALSE),0)</f>
        <v>0</v>
      </c>
      <c r="N125" s="376">
        <f>IFERROR(VLOOKUP(C125,'تقرير المصروفات حسب الشهر'!$C$1270:$AD$1381,8,FALSE),0)</f>
        <v>0</v>
      </c>
      <c r="O125" s="376">
        <f>IFERROR(VLOOKUP(C125,'تقرير المصروفات حسب الشهر'!$C$1397:$AD$1512,8,FALSE),0)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الشهر'!$C$10:$AD$119,8,FALSE),0)</f>
        <v>0</v>
      </c>
      <c r="E126" s="362">
        <f>IFERROR(VLOOKUP(C126,'تقرير المصروفات حسب الشهر'!$C$135:$AD$244,8,FALSE),0)</f>
        <v>0</v>
      </c>
      <c r="F126" s="362">
        <f>IFERROR(VLOOKUP(C126,'تقرير المصروفات حسب الشهر'!$C$261:$AD$368,8,FALSE),0)</f>
        <v>0</v>
      </c>
      <c r="G126" s="362">
        <f>IFERROR(VLOOKUP(C126,'تقرير المصروفات حسب الشهر'!$C$387:$AD$495,8,FALSE),0)</f>
        <v>0</v>
      </c>
      <c r="H126" s="362">
        <f>IFERROR(VLOOKUP(C126,'تقرير المصروفات حسب الشهر'!$C$512:$AD$620,8,FALSE),0)</f>
        <v>0</v>
      </c>
      <c r="I126" s="362">
        <f>IFERROR(VLOOKUP(C126,'تقرير المصروفات حسب الشهر'!$C$637:$AD$746,8,FALSE),0)</f>
        <v>0</v>
      </c>
      <c r="J126" s="362">
        <f>IFERROR(VLOOKUP(C126,'تقرير المصروفات حسب الشهر'!$C$763:$AD$872,8,FALSE),0)</f>
        <v>0</v>
      </c>
      <c r="K126" s="362">
        <f>IFERROR(VLOOKUP(C126,'تقرير المصروفات حسب الشهر'!$C$890:$AD$999,8,FALSE),0)</f>
        <v>0</v>
      </c>
      <c r="L126" s="362">
        <f>IFERROR(VLOOKUP(C126,'تقرير المصروفات حسب الشهر'!$C$1016:$AD$1126,8,FALSE),0)</f>
        <v>0</v>
      </c>
      <c r="M126" s="376">
        <f>IFERROR(VLOOKUP(C126,'تقرير المصروفات حسب الشهر'!$C$1143:$AD$1254,8,FALSE),0)</f>
        <v>0</v>
      </c>
      <c r="N126" s="376">
        <f>IFERROR(VLOOKUP(C126,'تقرير المصروفات حسب الشهر'!$C$1270:$AD$1381,8,FALSE),0)</f>
        <v>0</v>
      </c>
      <c r="O126" s="376">
        <f>IFERROR(VLOOKUP(C126,'تقرير المصروفات حسب الشهر'!$C$1397:$AD$1512,8,FALSE),0)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الشهر'!$C$10:$AD$119,8,FALSE),0)</f>
        <v>0</v>
      </c>
      <c r="E127" s="362">
        <f>IFERROR(VLOOKUP(C127,'تقرير المصروفات حسب الشهر'!$C$135:$AD$244,8,FALSE),0)</f>
        <v>0</v>
      </c>
      <c r="F127" s="362">
        <f>IFERROR(VLOOKUP(C127,'تقرير المصروفات حسب الشهر'!$C$261:$AD$368,8,FALSE),0)</f>
        <v>0</v>
      </c>
      <c r="G127" s="362">
        <f>IFERROR(VLOOKUP(C127,'تقرير المصروفات حسب الشهر'!$C$387:$AD$495,8,FALSE),0)</f>
        <v>0</v>
      </c>
      <c r="H127" s="362">
        <f>IFERROR(VLOOKUP(C127,'تقرير المصروفات حسب الشهر'!$C$512:$AD$620,8,FALSE),0)</f>
        <v>0</v>
      </c>
      <c r="I127" s="362">
        <f>IFERROR(VLOOKUP(C127,'تقرير المصروفات حسب الشهر'!$C$637:$AD$746,8,FALSE),0)</f>
        <v>0</v>
      </c>
      <c r="J127" s="362">
        <f>IFERROR(VLOOKUP(C127,'تقرير المصروفات حسب الشهر'!$C$763:$AD$872,8,FALSE),0)</f>
        <v>0</v>
      </c>
      <c r="K127" s="362">
        <f>IFERROR(VLOOKUP(C127,'تقرير المصروفات حسب الشهر'!$C$890:$AD$999,8,FALSE),0)</f>
        <v>0</v>
      </c>
      <c r="L127" s="362">
        <f>IFERROR(VLOOKUP(C127,'تقرير المصروفات حسب الشهر'!$C$1016:$AD$1126,8,FALSE),0)</f>
        <v>0</v>
      </c>
      <c r="M127" s="376">
        <f>IFERROR(VLOOKUP(C127,'تقرير المصروفات حسب الشهر'!$C$1143:$AD$1254,8,FALSE),0)</f>
        <v>0</v>
      </c>
      <c r="N127" s="376">
        <f>IFERROR(VLOOKUP(C127,'تقرير المصروفات حسب الشهر'!$C$1270:$AD$1381,8,FALSE),0)</f>
        <v>0</v>
      </c>
      <c r="O127" s="376">
        <f>IFERROR(VLOOKUP(C127,'تقرير المصروفات حسب الشهر'!$C$1397:$AD$1512,8,FALSE),0)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الشهر'!$C$10:$AD$119,8,FALSE),0)</f>
        <v>0</v>
      </c>
      <c r="E128" s="362">
        <f>IFERROR(VLOOKUP(C128,'تقرير المصروفات حسب الشهر'!$C$135:$AD$244,8,FALSE),0)</f>
        <v>0</v>
      </c>
      <c r="F128" s="362">
        <f>IFERROR(VLOOKUP(C128,'تقرير المصروفات حسب الشهر'!$C$261:$AD$368,8,FALSE),0)</f>
        <v>0</v>
      </c>
      <c r="G128" s="362">
        <f>IFERROR(VLOOKUP(C128,'تقرير المصروفات حسب الشهر'!$C$387:$AD$495,8,FALSE),0)</f>
        <v>0</v>
      </c>
      <c r="H128" s="362">
        <f>IFERROR(VLOOKUP(C128,'تقرير المصروفات حسب الشهر'!$C$512:$AD$620,8,FALSE),0)</f>
        <v>0</v>
      </c>
      <c r="I128" s="362">
        <f>IFERROR(VLOOKUP(C128,'تقرير المصروفات حسب الشهر'!$C$637:$AD$746,8,FALSE),0)</f>
        <v>0</v>
      </c>
      <c r="J128" s="362">
        <f>IFERROR(VLOOKUP(C128,'تقرير المصروفات حسب الشهر'!$C$763:$AD$872,8,FALSE),0)</f>
        <v>0</v>
      </c>
      <c r="K128" s="362">
        <f>IFERROR(VLOOKUP(C128,'تقرير المصروفات حسب الشهر'!$C$890:$AD$999,8,FALSE),0)</f>
        <v>0</v>
      </c>
      <c r="L128" s="362">
        <f>IFERROR(VLOOKUP(C128,'تقرير المصروفات حسب الشهر'!$C$1016:$AD$1126,8,FALSE),0)</f>
        <v>0</v>
      </c>
      <c r="M128" s="376">
        <f>IFERROR(VLOOKUP(C128,'تقرير المصروفات حسب الشهر'!$C$1143:$AD$1254,8,FALSE),0)</f>
        <v>0</v>
      </c>
      <c r="N128" s="376">
        <f>IFERROR(VLOOKUP(C128,'تقرير المصروفات حسب الشهر'!$C$1270:$AD$1381,8,FALSE),0)</f>
        <v>0</v>
      </c>
      <c r="O128" s="376">
        <f>IFERROR(VLOOKUP(C128,'تقرير المصروفات حسب الشهر'!$C$1397:$AD$1512,8,FALSE),0)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الشهر'!$C$10:$AD$119,8,FALSE),0)</f>
        <v>0</v>
      </c>
      <c r="E129" s="362">
        <f>IFERROR(VLOOKUP(C129,'تقرير المصروفات حسب الشهر'!$C$135:$AD$244,8,FALSE),0)</f>
        <v>0</v>
      </c>
      <c r="F129" s="362">
        <f>IFERROR(VLOOKUP(C129,'تقرير المصروفات حسب الشهر'!$C$261:$AD$368,8,FALSE),0)</f>
        <v>0</v>
      </c>
      <c r="G129" s="362">
        <f>IFERROR(VLOOKUP(C129,'تقرير المصروفات حسب الشهر'!$C$387:$AD$495,8,FALSE),0)</f>
        <v>0</v>
      </c>
      <c r="H129" s="362">
        <f>IFERROR(VLOOKUP(C129,'تقرير المصروفات حسب الشهر'!$C$512:$AD$620,8,FALSE),0)</f>
        <v>0</v>
      </c>
      <c r="I129" s="362">
        <f>IFERROR(VLOOKUP(C129,'تقرير المصروفات حسب الشهر'!$C$637:$AD$746,8,FALSE),0)</f>
        <v>0</v>
      </c>
      <c r="J129" s="362">
        <f>IFERROR(VLOOKUP(C129,'تقرير المصروفات حسب الشهر'!$C$763:$AD$872,8,FALSE),0)</f>
        <v>0</v>
      </c>
      <c r="K129" s="362">
        <f>IFERROR(VLOOKUP(C129,'تقرير المصروفات حسب الشهر'!$C$890:$AD$999,8,FALSE),0)</f>
        <v>0</v>
      </c>
      <c r="L129" s="362">
        <f>IFERROR(VLOOKUP(C129,'تقرير المصروفات حسب الشهر'!$C$1016:$AD$1126,8,FALSE),0)</f>
        <v>0</v>
      </c>
      <c r="M129" s="376">
        <f>IFERROR(VLOOKUP(C129,'تقرير المصروفات حسب الشهر'!$C$1143:$AD$1254,8,FALSE),0)</f>
        <v>0</v>
      </c>
      <c r="N129" s="376">
        <f>IFERROR(VLOOKUP(C129,'تقرير المصروفات حسب الشهر'!$C$1270:$AD$1381,8,FALSE),0)</f>
        <v>0</v>
      </c>
      <c r="O129" s="376">
        <f>IFERROR(VLOOKUP(C129,'تقرير المصروفات حسب الشهر'!$C$1397:$AD$1512,8,FALSE),0)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الشهر'!$C$10:$AD$119,8,FALSE),0)</f>
        <v>0</v>
      </c>
      <c r="E130" s="362">
        <f>IFERROR(VLOOKUP(C130,'تقرير المصروفات حسب الشهر'!$C$135:$AD$244,8,FALSE),0)</f>
        <v>0</v>
      </c>
      <c r="F130" s="362">
        <f>IFERROR(VLOOKUP(C130,'تقرير المصروفات حسب الشهر'!$C$261:$AD$368,8,FALSE),0)</f>
        <v>0</v>
      </c>
      <c r="G130" s="362">
        <f>IFERROR(VLOOKUP(C130,'تقرير المصروفات حسب الشهر'!$C$387:$AD$495,8,FALSE),0)</f>
        <v>0</v>
      </c>
      <c r="H130" s="362">
        <f>IFERROR(VLOOKUP(C130,'تقرير المصروفات حسب الشهر'!$C$512:$AD$620,8,FALSE),0)</f>
        <v>0</v>
      </c>
      <c r="I130" s="362">
        <f>IFERROR(VLOOKUP(C130,'تقرير المصروفات حسب الشهر'!$C$637:$AD$746,8,FALSE),0)</f>
        <v>0</v>
      </c>
      <c r="J130" s="362">
        <f>IFERROR(VLOOKUP(C130,'تقرير المصروفات حسب الشهر'!$C$763:$AD$872,8,FALSE),0)</f>
        <v>0</v>
      </c>
      <c r="K130" s="362">
        <f>IFERROR(VLOOKUP(C130,'تقرير المصروفات حسب الشهر'!$C$890:$AD$999,8,FALSE),0)</f>
        <v>0</v>
      </c>
      <c r="L130" s="362">
        <f>IFERROR(VLOOKUP(C130,'تقرير المصروفات حسب الشهر'!$C$1016:$AD$1126,8,FALSE),0)</f>
        <v>0</v>
      </c>
      <c r="M130" s="376">
        <f>IFERROR(VLOOKUP(C130,'تقرير المصروفات حسب الشهر'!$C$1143:$AD$1254,8,FALSE),0)</f>
        <v>0</v>
      </c>
      <c r="N130" s="376">
        <f>IFERROR(VLOOKUP(C130,'تقرير المصروفات حسب الشهر'!$C$1270:$AD$1381,8,FALSE),0)</f>
        <v>0</v>
      </c>
      <c r="O130" s="376">
        <f>IFERROR(VLOOKUP(C130,'تقرير المصروفات حسب الشهر'!$C$1397:$AD$1512,8,FALSE),0)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الشهر'!$C$10:$AD$119,8,FALSE),0)</f>
        <v>0</v>
      </c>
      <c r="E131" s="362">
        <f>IFERROR(VLOOKUP(C131,'تقرير المصروفات حسب الشهر'!$C$135:$AD$244,8,FALSE),0)</f>
        <v>0</v>
      </c>
      <c r="F131" s="362">
        <f>IFERROR(VLOOKUP(C131,'تقرير المصروفات حسب الشهر'!$C$261:$AD$368,8,FALSE),0)</f>
        <v>0</v>
      </c>
      <c r="G131" s="362">
        <f>IFERROR(VLOOKUP(C131,'تقرير المصروفات حسب الشهر'!$C$387:$AD$495,8,FALSE),0)</f>
        <v>0</v>
      </c>
      <c r="H131" s="362">
        <f>IFERROR(VLOOKUP(C131,'تقرير المصروفات حسب الشهر'!$C$512:$AD$620,8,FALSE),0)</f>
        <v>0</v>
      </c>
      <c r="I131" s="362">
        <f>IFERROR(VLOOKUP(C131,'تقرير المصروفات حسب الشهر'!$C$637:$AD$746,8,FALSE),0)</f>
        <v>0</v>
      </c>
      <c r="J131" s="362">
        <f>IFERROR(VLOOKUP(C131,'تقرير المصروفات حسب الشهر'!$C$763:$AD$872,8,FALSE),0)</f>
        <v>0</v>
      </c>
      <c r="K131" s="362">
        <f>IFERROR(VLOOKUP(C131,'تقرير المصروفات حسب الشهر'!$C$890:$AD$999,8,FALSE),0)</f>
        <v>0</v>
      </c>
      <c r="L131" s="362">
        <f>IFERROR(VLOOKUP(C131,'تقرير المصروفات حسب الشهر'!$C$1016:$AD$1126,8,FALSE),0)</f>
        <v>0</v>
      </c>
      <c r="M131" s="376">
        <f>IFERROR(VLOOKUP(C131,'تقرير المصروفات حسب الشهر'!$C$1143:$AD$1254,8,FALSE),0)</f>
        <v>0</v>
      </c>
      <c r="N131" s="376">
        <f>IFERROR(VLOOKUP(C131,'تقرير المصروفات حسب الشهر'!$C$1270:$AD$1381,8,FALSE),0)</f>
        <v>0</v>
      </c>
      <c r="O131" s="376">
        <f>IFERROR(VLOOKUP(C131,'تقرير المصروفات حسب الشهر'!$C$1397:$AD$1512,8,FALSE),0)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16530.760000000002</v>
      </c>
      <c r="E132" s="146">
        <f t="shared" si="7"/>
        <v>18256.579999999998</v>
      </c>
      <c r="F132" s="146">
        <f t="shared" si="7"/>
        <v>17558.499999999996</v>
      </c>
      <c r="G132" s="146">
        <f t="shared" si="7"/>
        <v>27289.84</v>
      </c>
      <c r="H132" s="146">
        <f t="shared" si="7"/>
        <v>19124.859999999997</v>
      </c>
      <c r="I132" s="146">
        <f t="shared" si="7"/>
        <v>27174.05</v>
      </c>
      <c r="J132" s="146">
        <f t="shared" si="7"/>
        <v>24896.699999999997</v>
      </c>
      <c r="K132" s="146">
        <f t="shared" si="7"/>
        <v>32443.969999999998</v>
      </c>
      <c r="L132" s="146">
        <f t="shared" si="7"/>
        <v>27456.62</v>
      </c>
      <c r="M132" s="146">
        <f t="shared" si="7"/>
        <v>33581.679999999993</v>
      </c>
      <c r="N132" s="146">
        <f t="shared" si="7"/>
        <v>33016.899999999994</v>
      </c>
      <c r="O132" s="146">
        <f t="shared" si="7"/>
        <v>32752.25</v>
      </c>
      <c r="P132" s="388">
        <f t="shared" si="6"/>
        <v>310082.70999999996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31450.930000000011</v>
      </c>
      <c r="E134" s="392">
        <f t="shared" si="8"/>
        <v>23872.87000000001</v>
      </c>
      <c r="F134" s="392">
        <f t="shared" si="8"/>
        <v>19835.139999999978</v>
      </c>
      <c r="G134" s="392">
        <f t="shared" si="8"/>
        <v>30934.890000000021</v>
      </c>
      <c r="H134" s="392">
        <f t="shared" si="8"/>
        <v>38769.229999999981</v>
      </c>
      <c r="I134" s="392">
        <f t="shared" si="8"/>
        <v>48391.380000000005</v>
      </c>
      <c r="J134" s="392">
        <f t="shared" si="8"/>
        <v>64314.070000000007</v>
      </c>
      <c r="K134" s="392">
        <f t="shared" si="8"/>
        <v>70313.660000000062</v>
      </c>
      <c r="L134" s="392">
        <f t="shared" si="8"/>
        <v>68031.72000000003</v>
      </c>
      <c r="M134" s="392">
        <f t="shared" si="8"/>
        <v>81822.419999999984</v>
      </c>
      <c r="N134" s="392">
        <f t="shared" si="8"/>
        <v>98774.370000000054</v>
      </c>
      <c r="O134" s="392">
        <f t="shared" si="8"/>
        <v>118992.86999999995</v>
      </c>
      <c r="P134" s="388">
        <f t="shared" si="6"/>
        <v>695503.55000000016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14920.170000000009</v>
      </c>
      <c r="E137" s="383">
        <f t="shared" ref="E137:O137" si="9">E134-E132</f>
        <v>5616.2900000000118</v>
      </c>
      <c r="F137" s="383">
        <f t="shared" si="9"/>
        <v>2276.6399999999812</v>
      </c>
      <c r="G137" s="383">
        <f t="shared" si="9"/>
        <v>3645.0500000000211</v>
      </c>
      <c r="H137" s="383">
        <f t="shared" si="9"/>
        <v>19644.369999999984</v>
      </c>
      <c r="I137" s="383">
        <f t="shared" si="9"/>
        <v>21217.330000000005</v>
      </c>
      <c r="J137" s="383">
        <f t="shared" si="9"/>
        <v>39417.37000000001</v>
      </c>
      <c r="K137" s="383">
        <f t="shared" si="9"/>
        <v>37869.690000000061</v>
      </c>
      <c r="L137" s="383">
        <f t="shared" si="9"/>
        <v>40575.100000000035</v>
      </c>
      <c r="M137" s="383">
        <f t="shared" si="9"/>
        <v>48240.739999999991</v>
      </c>
      <c r="N137" s="383">
        <f t="shared" si="9"/>
        <v>65757.470000000059</v>
      </c>
      <c r="O137" s="383">
        <f t="shared" si="9"/>
        <v>86240.619999999952</v>
      </c>
      <c r="P137" s="387">
        <f>SUM(D137:O137)</f>
        <v>385420.84000000014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G141" s="238">
        <f>3645.05-G137</f>
        <v>-2.0918378140777349E-11</v>
      </c>
      <c r="H141" s="113">
        <v>19644.37</v>
      </c>
    </row>
    <row r="142" spans="1:17">
      <c r="H142" s="415">
        <f>H137-H141</f>
        <v>0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tabColor rgb="FFFFC000"/>
  </sheetPr>
  <dimension ref="A1:T142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353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133</v>
      </c>
      <c r="B8" s="390"/>
      <c r="C8" s="369" t="s">
        <v>114</v>
      </c>
      <c r="D8" s="364">
        <f>D9+D10+D11</f>
        <v>368756.21</v>
      </c>
      <c r="E8" s="364">
        <f t="shared" ref="E8:O8" si="0">E9+E10+E11</f>
        <v>339523.76</v>
      </c>
      <c r="F8" s="364">
        <f t="shared" si="0"/>
        <v>220147.98</v>
      </c>
      <c r="G8" s="364">
        <f t="shared" si="0"/>
        <v>280439.64999999997</v>
      </c>
      <c r="H8" s="364">
        <f t="shared" si="0"/>
        <v>243584.22999999998</v>
      </c>
      <c r="I8" s="364">
        <f t="shared" si="0"/>
        <v>319517.53000000003</v>
      </c>
      <c r="J8" s="364">
        <f t="shared" si="0"/>
        <v>283605.88</v>
      </c>
      <c r="K8" s="364">
        <f t="shared" si="0"/>
        <v>273391.81</v>
      </c>
      <c r="L8" s="364">
        <f t="shared" si="0"/>
        <v>273928.57</v>
      </c>
      <c r="M8" s="364">
        <f t="shared" si="0"/>
        <v>305713.88</v>
      </c>
      <c r="N8" s="364">
        <f t="shared" si="0"/>
        <v>281442.65999999997</v>
      </c>
      <c r="O8" s="364">
        <f t="shared" si="0"/>
        <v>367221.72000000009</v>
      </c>
      <c r="P8" s="364">
        <f>SUM(D8:O8)</f>
        <v>3557273.88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14146.210000000012</v>
      </c>
      <c r="E9" s="365">
        <f>VLOOKUP($A$8,'تقرير إحصائية بحجم المبيعات'!$B$42:$G$73,2,FALSE)</f>
        <v>16888.799999999977</v>
      </c>
      <c r="F9" s="365">
        <f>VLOOKUP($A$8,'تقرير إحصائية بحجم المبيعات'!$B$78:$E$103,2,FALSE)</f>
        <v>11908.510000000009</v>
      </c>
      <c r="G9" s="365">
        <f>VLOOKUP($A$8,'تقرير إحصائية بحجم المبيعات'!$B$112:$G$137,2,FALSE)</f>
        <v>12565.109999999997</v>
      </c>
      <c r="H9" s="365">
        <f>VLOOKUP($A$8,'تقرير إحصائية بحجم المبيعات'!$B$147:$G$177,2,FALSE)</f>
        <v>9165.4899999999852</v>
      </c>
      <c r="I9" s="365">
        <f>VLOOKUP($A$8,'تقرير إحصائية بحجم المبيعات'!$B$182:$G$212,2,FALSE)</f>
        <v>9107.6600000000417</v>
      </c>
      <c r="J9" s="365">
        <f>VLOOKUP($A$8,'تقرير إحصائية بحجم المبيعات'!$B$217:$L$243,2,FALSE)</f>
        <v>32661.279999999999</v>
      </c>
      <c r="K9" s="365">
        <f>VLOOKUP($A$8,'تقرير إحصائية بحجم المبيعات'!$B$252:$L$278,2,FALSE)</f>
        <v>18877.200000000033</v>
      </c>
      <c r="L9" s="365">
        <f>VLOOKUP($A$8,'تقرير إحصائية بحجم المبيعات'!$B$287:$L$313,2,FALSE)</f>
        <v>24242.339999999997</v>
      </c>
      <c r="M9" s="365">
        <f>VLOOKUP($A$8,'تقرير إحصائية بحجم المبيعات'!$B$322:$L$347,2,FALSE)</f>
        <v>51193.239999999991</v>
      </c>
      <c r="N9" s="365">
        <f>VLOOKUP($A$8,'تقرير إحصائية بحجم المبيعات'!$B$357:$L$383,2,FALSE)</f>
        <v>-489.10000000003492</v>
      </c>
      <c r="O9" s="365">
        <f>VLOOKUP($A$8,'تقرير إحصائية بحجم المبيعات'!$B$391:$L$420,2,FALSE)</f>
        <v>39723.810000000085</v>
      </c>
      <c r="P9" s="364">
        <f t="shared" ref="P9:P18" si="1">SUM(D9:O9)</f>
        <v>239990.55000000008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26024.78</v>
      </c>
      <c r="O10" s="365">
        <f>VLOOKUP($A$8,'تقرير إحصائية بحجم المبيعات'!$B$391:$L$420,3,FALSE)</f>
        <v>0</v>
      </c>
      <c r="P10" s="364">
        <f t="shared" si="1"/>
        <v>26024.78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354610</v>
      </c>
      <c r="E11" s="365">
        <f>VLOOKUP($A$8,'تقرير إحصائية بحجم المبيعات'!$B$42:$G$73,4,FALSE)</f>
        <v>322634.96000000002</v>
      </c>
      <c r="F11" s="365">
        <f>VLOOKUP($A$8,'تقرير إحصائية بحجم المبيعات'!$B$78:$E$103,4,FALSE)</f>
        <v>208239.47</v>
      </c>
      <c r="G11" s="365">
        <f>VLOOKUP($A$8,'تقرير إحصائية بحجم المبيعات'!$B$112:$G$137,4,FALSE)</f>
        <v>267874.53999999998</v>
      </c>
      <c r="H11" s="365">
        <f>VLOOKUP($A$8,'تقرير إحصائية بحجم المبيعات'!$B$147:$G$177,4,FALSE)</f>
        <v>234418.74</v>
      </c>
      <c r="I11" s="365">
        <f>VLOOKUP($A$8,'تقرير إحصائية بحجم المبيعات'!$B$182:$G$212,4,FALSE)</f>
        <v>310409.87</v>
      </c>
      <c r="J11" s="365">
        <f>VLOOKUP($A$8,'تقرير إحصائية بحجم المبيعات'!$B$217:$L$243,4,FALSE)</f>
        <v>250944.6</v>
      </c>
      <c r="K11" s="365">
        <f>VLOOKUP($A$8,'تقرير إحصائية بحجم المبيعات'!$B$252:$L$278,4,FALSE)</f>
        <v>254514.61</v>
      </c>
      <c r="L11" s="365">
        <f>VLOOKUP($A$8,'تقرير إحصائية بحجم المبيعات'!$B$287:$L$313,4,FALSE)</f>
        <v>249686.23</v>
      </c>
      <c r="M11" s="365">
        <f>VLOOKUP($A$8,'تقرير إحصائية بحجم المبيعات'!$B$322:$L$347,4,FALSE)</f>
        <v>254520.64</v>
      </c>
      <c r="N11" s="365">
        <f>VLOOKUP($A$8,'تقرير إحصائية بحجم المبيعات'!$B$357:$L$383,4,FALSE)</f>
        <v>255906.98</v>
      </c>
      <c r="O11" s="365">
        <f>VLOOKUP($A$8,'تقرير إحصائية بحجم المبيعات'!$B$391:$L$420,4,FALSE)</f>
        <v>327497.90999999997</v>
      </c>
      <c r="P11" s="364">
        <f t="shared" si="1"/>
        <v>3291258.5500000003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308590.09999999998</v>
      </c>
      <c r="E12" s="364">
        <f>VLOOKUP($A$8,'تقرير إحصائية بحجم المبيعات'!$B$42:$L$73,11,FALSE)</f>
        <v>292936.43</v>
      </c>
      <c r="F12" s="364">
        <f>VLOOKUP($A$8,'تقرير إحصائية بحجم المبيعات'!$B$78:$L$103,11,FALSE)</f>
        <v>189444.04</v>
      </c>
      <c r="G12" s="364">
        <f>VLOOKUP($A$8,'تقرير إحصائية بحجم المبيعات'!$B$112:$L$137,11,FALSE)</f>
        <v>242237.05</v>
      </c>
      <c r="H12" s="364">
        <f>VLOOKUP($A$8,'تقرير إحصائية بحجم المبيعات'!$B$147:$L$177,11,FALSE)</f>
        <v>213795.07</v>
      </c>
      <c r="I12" s="364">
        <f>VLOOKUP($A$8,'تقرير إحصائية بحجم المبيعات'!$B$182:$L$212,11,FALSE)</f>
        <v>274556.79999999999</v>
      </c>
      <c r="J12" s="365">
        <f>VLOOKUP($A$8,'تقرير إحصائية بحجم المبيعات'!$B$217:$L$243,11,FALSE)</f>
        <v>244793.9</v>
      </c>
      <c r="K12" s="364">
        <f>VLOOKUP($A$8,'تقرير إحصائية بحجم المبيعات'!$B$252:$L$278,11,FALSE)</f>
        <v>235602.2</v>
      </c>
      <c r="L12" s="364">
        <f>VLOOKUP($A$8,'تقرير إحصائية بحجم المبيعات'!$B$287:$L$313,11,FALSE)</f>
        <v>235171.11</v>
      </c>
      <c r="M12" s="365">
        <f>VLOOKUP($A$8,'تقرير إحصائية بحجم المبيعات'!$B$322:$L$347,11,FALSE)</f>
        <v>263460.75</v>
      </c>
      <c r="N12" s="365">
        <f>VLOOKUP($A$8,'تقرير إحصائية بحجم المبيعات'!$B$357:$L$383,11,FALSE)</f>
        <v>242922.13</v>
      </c>
      <c r="O12" s="365">
        <f>VLOOKUP($A$8,'تقرير إحصائية بحجم المبيعات'!$B$391:$L$420,11,FALSE)</f>
        <v>316133.87</v>
      </c>
      <c r="P12" s="364">
        <f t="shared" si="1"/>
        <v>3059643.45</v>
      </c>
    </row>
    <row r="13" spans="1:20" ht="18" customHeight="1">
      <c r="B13" s="124"/>
      <c r="C13" s="371" t="s">
        <v>14</v>
      </c>
      <c r="D13" s="366">
        <f t="shared" ref="D13:O13" si="2">D8-D12</f>
        <v>60166.110000000044</v>
      </c>
      <c r="E13" s="366">
        <f t="shared" si="2"/>
        <v>46587.330000000016</v>
      </c>
      <c r="F13" s="366">
        <f t="shared" si="2"/>
        <v>30703.940000000002</v>
      </c>
      <c r="G13" s="366">
        <f t="shared" si="2"/>
        <v>38202.599999999977</v>
      </c>
      <c r="H13" s="366">
        <f t="shared" si="2"/>
        <v>29789.159999999974</v>
      </c>
      <c r="I13" s="366">
        <f t="shared" si="2"/>
        <v>44960.73000000004</v>
      </c>
      <c r="J13" s="366">
        <f t="shared" si="2"/>
        <v>38811.98000000001</v>
      </c>
      <c r="K13" s="366">
        <f t="shared" si="2"/>
        <v>37789.609999999986</v>
      </c>
      <c r="L13" s="366">
        <f t="shared" si="2"/>
        <v>38757.460000000021</v>
      </c>
      <c r="M13" s="366">
        <f t="shared" si="2"/>
        <v>42253.130000000005</v>
      </c>
      <c r="N13" s="366">
        <f t="shared" si="2"/>
        <v>38520.52999999997</v>
      </c>
      <c r="O13" s="366">
        <f t="shared" si="2"/>
        <v>51087.850000000093</v>
      </c>
      <c r="P13" s="366">
        <f t="shared" si="1"/>
        <v>497630.43000000017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>
        <v>19.260000000000002</v>
      </c>
      <c r="F16" s="367">
        <v>235.26</v>
      </c>
      <c r="G16" s="367">
        <v>142.61000000000058</v>
      </c>
      <c r="H16" s="367">
        <v>222.29999999999998</v>
      </c>
      <c r="I16" s="367">
        <v>36.760000000000218</v>
      </c>
      <c r="J16" s="367">
        <v>105.34</v>
      </c>
      <c r="K16" s="367">
        <v>3350.74</v>
      </c>
      <c r="L16" s="367"/>
      <c r="M16" s="367"/>
      <c r="N16" s="367"/>
      <c r="O16" s="367"/>
      <c r="P16" s="364">
        <f t="shared" si="1"/>
        <v>4112.2700000000004</v>
      </c>
    </row>
    <row r="17" spans="2:16" ht="18" customHeight="1">
      <c r="B17" s="124"/>
      <c r="C17" s="369" t="s">
        <v>119</v>
      </c>
      <c r="D17" s="367">
        <v>37.78</v>
      </c>
      <c r="E17" s="367"/>
      <c r="F17" s="367"/>
      <c r="G17" s="367"/>
      <c r="H17" s="367"/>
      <c r="I17" s="367"/>
      <c r="J17" s="367"/>
      <c r="K17" s="367"/>
      <c r="L17" s="367"/>
      <c r="M17" s="367"/>
      <c r="N17" s="367">
        <v>837.25</v>
      </c>
      <c r="O17" s="367"/>
      <c r="P17" s="364">
        <f t="shared" si="1"/>
        <v>875.03</v>
      </c>
    </row>
    <row r="18" spans="2:16" ht="18" customHeight="1">
      <c r="B18" s="124"/>
      <c r="C18" s="372" t="s">
        <v>269</v>
      </c>
      <c r="D18" s="363">
        <f>SUM(D14:D17)</f>
        <v>37.78</v>
      </c>
      <c r="E18" s="363">
        <f t="shared" ref="E18:O18" si="3">SUM(E14:E17)</f>
        <v>19.260000000000002</v>
      </c>
      <c r="F18" s="363">
        <f t="shared" si="3"/>
        <v>235.26</v>
      </c>
      <c r="G18" s="363">
        <f t="shared" si="3"/>
        <v>142.61000000000058</v>
      </c>
      <c r="H18" s="363">
        <f t="shared" si="3"/>
        <v>222.29999999999998</v>
      </c>
      <c r="I18" s="363">
        <f t="shared" si="3"/>
        <v>36.760000000000218</v>
      </c>
      <c r="J18" s="363">
        <f t="shared" si="3"/>
        <v>105.34</v>
      </c>
      <c r="K18" s="363">
        <f t="shared" si="3"/>
        <v>3350.74</v>
      </c>
      <c r="L18" s="363">
        <f t="shared" si="3"/>
        <v>0</v>
      </c>
      <c r="M18" s="368">
        <f t="shared" si="3"/>
        <v>0</v>
      </c>
      <c r="N18" s="368">
        <f t="shared" si="3"/>
        <v>837.25</v>
      </c>
      <c r="O18" s="368">
        <f t="shared" si="3"/>
        <v>0</v>
      </c>
      <c r="P18" s="364">
        <f t="shared" si="1"/>
        <v>4987.3000000000011</v>
      </c>
    </row>
    <row r="19" spans="2:16" ht="18" customHeight="1">
      <c r="B19" s="124"/>
      <c r="C19" s="386" t="s">
        <v>14</v>
      </c>
      <c r="D19" s="374">
        <f t="shared" ref="D19:O19" si="4">D13+D18</f>
        <v>60203.890000000043</v>
      </c>
      <c r="E19" s="374">
        <f t="shared" si="4"/>
        <v>46606.590000000018</v>
      </c>
      <c r="F19" s="374">
        <f t="shared" si="4"/>
        <v>30939.200000000001</v>
      </c>
      <c r="G19" s="374">
        <f t="shared" si="4"/>
        <v>38345.209999999977</v>
      </c>
      <c r="H19" s="374">
        <f t="shared" si="4"/>
        <v>30011.459999999974</v>
      </c>
      <c r="I19" s="374">
        <f t="shared" si="4"/>
        <v>44997.490000000042</v>
      </c>
      <c r="J19" s="374">
        <f t="shared" si="4"/>
        <v>38917.320000000007</v>
      </c>
      <c r="K19" s="374">
        <f t="shared" si="4"/>
        <v>41140.349999999984</v>
      </c>
      <c r="L19" s="374">
        <f t="shared" si="4"/>
        <v>38757.460000000021</v>
      </c>
      <c r="M19" s="374">
        <f t="shared" si="4"/>
        <v>42253.130000000005</v>
      </c>
      <c r="N19" s="374">
        <f t="shared" si="4"/>
        <v>39357.77999999997</v>
      </c>
      <c r="O19" s="374">
        <f t="shared" si="4"/>
        <v>51087.850000000093</v>
      </c>
      <c r="P19" s="382">
        <f>SUM(D19:O19)</f>
        <v>502617.73000000016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الشهر'!$C$10:$AD$119,9,FALSE),0)</f>
        <v>0</v>
      </c>
      <c r="E22" s="362" t="str">
        <f>IFERROR(VLOOKUP(C22,'تقرير المصروفات حسب الشهر'!$C$135:$AD$244,9,FALSE),0)</f>
        <v xml:space="preserve">                                                   </v>
      </c>
      <c r="F22" s="362">
        <f>IFERROR(VLOOKUP(C22,'تقرير المصروفات حسب الشهر'!$C$261:$AD$368,9,FALSE),0)</f>
        <v>0</v>
      </c>
      <c r="G22" s="362">
        <f>IFERROR(VLOOKUP(C22,'تقرير المصروفات حسب الشهر'!$C$387:$AD$495,9,FALSE),0)</f>
        <v>0</v>
      </c>
      <c r="H22" s="362">
        <f>IFERROR(VLOOKUP(C22,'تقرير المصروفات حسب الشهر'!$C$512:$AD$620,9,FALSE),0)</f>
        <v>0</v>
      </c>
      <c r="I22" s="362">
        <f>IFERROR(VLOOKUP(C22,'تقرير المصروفات حسب الشهر'!$C$637:$AD$746,9,FALSE),0)</f>
        <v>0</v>
      </c>
      <c r="J22" s="362">
        <f>IFERROR(VLOOKUP(C22,'تقرير المصروفات حسب الشهر'!$C$763:$AD$872,9,FALSE),0)</f>
        <v>0</v>
      </c>
      <c r="K22" s="362">
        <f>IFERROR(VLOOKUP(C22,'تقرير المصروفات حسب الشهر'!$C$890:$AD$999,9,FALSE),0)</f>
        <v>0</v>
      </c>
      <c r="L22" s="362">
        <f>IFERROR(VLOOKUP(C22,'تقرير المصروفات حسب الشهر'!$C$1016:$AD$1126,9,FALSE),0)</f>
        <v>0</v>
      </c>
      <c r="M22" s="376">
        <f>IFERROR(VLOOKUP(C22,'تقرير المصروفات حسب الشهر'!$C$1143:$AD$1254,9,FALSE),0)</f>
        <v>0</v>
      </c>
      <c r="N22" s="376">
        <f>IFERROR(VLOOKUP(C22,'تقرير المصروفات حسب الشهر'!$C$1270:$AD$1381,9,FALSE),0)</f>
        <v>0</v>
      </c>
      <c r="O22" s="376">
        <f>IFERROR(VLOOKUP(C22,'تقرير المصروفات حسب الشهر'!$C$1397:$AD$1512,9,FALSE),0)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الشهر'!$C$10:$AD$119,9,FALSE),0)</f>
        <v>9389.880000000001</v>
      </c>
      <c r="E23" s="362">
        <f>IFERROR(VLOOKUP(C23,'تقرير المصروفات حسب الشهر'!$C$135:$AD$244,9,FALSE),0)</f>
        <v>16845.580000000002</v>
      </c>
      <c r="F23" s="362">
        <f>IFERROR(VLOOKUP(C23,'تقرير المصروفات حسب الشهر'!$C$261:$AD$368,9,FALSE),0)</f>
        <v>18625.82</v>
      </c>
      <c r="G23" s="362">
        <f>IFERROR(VLOOKUP(C23,'تقرير المصروفات حسب الشهر'!$C$387:$AD$495,9,FALSE),0)</f>
        <v>18427.23</v>
      </c>
      <c r="H23" s="362">
        <f>IFERROR(VLOOKUP(C23,'تقرير المصروفات حسب الشهر'!$C$512:$AD$620,9,FALSE),0)</f>
        <v>12095.19</v>
      </c>
      <c r="I23" s="362">
        <f>IFERROR(VLOOKUP(C23,'تقرير المصروفات حسب الشهر'!$C$637:$AD$746,9,FALSE),0)</f>
        <v>14900.47</v>
      </c>
      <c r="J23" s="362">
        <f>IFERROR(VLOOKUP(C23,'تقرير المصروفات حسب الشهر'!$C$763:$AD$872,9,FALSE),0)</f>
        <v>14856.57</v>
      </c>
      <c r="K23" s="362">
        <f>IFERROR(VLOOKUP(C23,'تقرير المصروفات حسب الشهر'!$C$890:$AD$999,9,FALSE),0)</f>
        <v>16255.18</v>
      </c>
      <c r="L23" s="362">
        <f>IFERROR(VLOOKUP(C23,'تقرير المصروفات حسب الشهر'!$C$1016:$AD$1126,9,FALSE),0)</f>
        <v>15390.5</v>
      </c>
      <c r="M23" s="376">
        <f>IFERROR(VLOOKUP(C23,'تقرير المصروفات حسب الشهر'!$C$1143:$AD$1254,9,FALSE),0)</f>
        <v>16812.72</v>
      </c>
      <c r="N23" s="376">
        <f>IFERROR(VLOOKUP(C23,'تقرير المصروفات حسب الشهر'!$C$1270:$AD$1381,9,FALSE),0)</f>
        <v>17969.650000000001</v>
      </c>
      <c r="O23" s="376">
        <f>IFERROR(VLOOKUP(C23,'تقرير المصروفات حسب الشهر'!$C$1397:$AD$1512,9,FALSE),0)</f>
        <v>18167.04</v>
      </c>
      <c r="P23" s="364">
        <f t="shared" ref="P23:P86" si="5">SUM(D23:O23)</f>
        <v>189735.83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الشهر'!$C$10:$AD$119,9,FALSE),0)</f>
        <v>0</v>
      </c>
      <c r="E24" s="362">
        <f>IFERROR(VLOOKUP(C24,'تقرير المصروفات حسب الشهر'!$C$135:$AD$244,9,FALSE),0)</f>
        <v>0</v>
      </c>
      <c r="F24" s="362">
        <f>IFERROR(VLOOKUP(C24,'تقرير المصروفات حسب الشهر'!$C$261:$AD$368,9,FALSE),0)</f>
        <v>0</v>
      </c>
      <c r="G24" s="362">
        <f>IFERROR(VLOOKUP(C24,'تقرير المصروفات حسب الشهر'!$C$387:$AD$495,9,FALSE),0)</f>
        <v>0</v>
      </c>
      <c r="H24" s="362">
        <f>IFERROR(VLOOKUP(C24,'تقرير المصروفات حسب الشهر'!$C$512:$AD$620,9,FALSE),0)</f>
        <v>0</v>
      </c>
      <c r="I24" s="362">
        <f>IFERROR(VLOOKUP(C24,'تقرير المصروفات حسب الشهر'!$C$637:$AD$746,9,FALSE),0)</f>
        <v>0</v>
      </c>
      <c r="J24" s="362">
        <f>IFERROR(VLOOKUP(C24,'تقرير المصروفات حسب الشهر'!$C$763:$AD$872,9,FALSE),0)</f>
        <v>0</v>
      </c>
      <c r="K24" s="362">
        <f>IFERROR(VLOOKUP(C24,'تقرير المصروفات حسب الشهر'!$C$890:$AD$999,9,FALSE),0)</f>
        <v>0</v>
      </c>
      <c r="L24" s="362">
        <f>IFERROR(VLOOKUP(C24,'تقرير المصروفات حسب الشهر'!$C$1016:$AD$1126,9,FALSE),0)</f>
        <v>0</v>
      </c>
      <c r="M24" s="376">
        <f>IFERROR(VLOOKUP(C24,'تقرير المصروفات حسب الشهر'!$C$1143:$AD$1254,9,FALSE),0)</f>
        <v>0</v>
      </c>
      <c r="N24" s="376">
        <f>IFERROR(VLOOKUP(C24,'تقرير المصروفات حسب الشهر'!$C$1270:$AD$1381,9,FALSE),0)</f>
        <v>0</v>
      </c>
      <c r="O24" s="376">
        <f>IFERROR(VLOOKUP(C24,'تقرير المصروفات حسب الشهر'!$C$1397:$AD$1512,9,FALSE),0)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الشهر'!$C$10:$AD$119,9,FALSE),0)</f>
        <v>0</v>
      </c>
      <c r="E25" s="362">
        <f>IFERROR(VLOOKUP(C25,'تقرير المصروفات حسب الشهر'!$C$135:$AD$244,9,FALSE),0)</f>
        <v>0</v>
      </c>
      <c r="F25" s="362">
        <f>IFERROR(VLOOKUP(C25,'تقرير المصروفات حسب الشهر'!$C$261:$AD$368,9,FALSE),0)</f>
        <v>0</v>
      </c>
      <c r="G25" s="362">
        <f>IFERROR(VLOOKUP(C25,'تقرير المصروفات حسب الشهر'!$C$387:$AD$495,9,FALSE),0)</f>
        <v>0</v>
      </c>
      <c r="H25" s="362">
        <f>IFERROR(VLOOKUP(C25,'تقرير المصروفات حسب الشهر'!$C$512:$AD$620,9,FALSE),0)</f>
        <v>0</v>
      </c>
      <c r="I25" s="362">
        <f>IFERROR(VLOOKUP(C25,'تقرير المصروفات حسب الشهر'!$C$637:$AD$746,9,FALSE),0)</f>
        <v>0</v>
      </c>
      <c r="J25" s="362">
        <f>IFERROR(VLOOKUP(C25,'تقرير المصروفات حسب الشهر'!$C$763:$AD$872,9,FALSE),0)</f>
        <v>0</v>
      </c>
      <c r="K25" s="362">
        <f>IFERROR(VLOOKUP(C25,'تقرير المصروفات حسب الشهر'!$C$890:$AD$999,9,FALSE),0)</f>
        <v>0</v>
      </c>
      <c r="L25" s="362">
        <f>IFERROR(VLOOKUP(C25,'تقرير المصروفات حسب الشهر'!$C$1016:$AD$1126,9,FALSE),0)</f>
        <v>0</v>
      </c>
      <c r="M25" s="376">
        <f>IFERROR(VLOOKUP(C25,'تقرير المصروفات حسب الشهر'!$C$1143:$AD$1254,9,FALSE),0)</f>
        <v>0</v>
      </c>
      <c r="N25" s="376">
        <f>IFERROR(VLOOKUP(C25,'تقرير المصروفات حسب الشهر'!$C$1270:$AD$1381,9,FALSE),0)</f>
        <v>0</v>
      </c>
      <c r="O25" s="376">
        <f>IFERROR(VLOOKUP(C25,'تقرير المصروفات حسب الشهر'!$C$1397:$AD$1512,9,FALSE),0)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الشهر'!$C$10:$AD$119,9,FALSE),0)</f>
        <v>0</v>
      </c>
      <c r="E26" s="362">
        <f>IFERROR(VLOOKUP(C26,'تقرير المصروفات حسب الشهر'!$C$135:$AD$244,9,FALSE),0)</f>
        <v>0</v>
      </c>
      <c r="F26" s="362">
        <f>IFERROR(VLOOKUP(C26,'تقرير المصروفات حسب الشهر'!$C$261:$AD$368,9,FALSE),0)</f>
        <v>0</v>
      </c>
      <c r="G26" s="362">
        <f>IFERROR(VLOOKUP(C26,'تقرير المصروفات حسب الشهر'!$C$387:$AD$495,9,FALSE),0)</f>
        <v>0</v>
      </c>
      <c r="H26" s="362">
        <f>IFERROR(VLOOKUP(C26,'تقرير المصروفات حسب الشهر'!$C$512:$AD$620,9,FALSE),0)</f>
        <v>0</v>
      </c>
      <c r="I26" s="362">
        <f>IFERROR(VLOOKUP(C26,'تقرير المصروفات حسب الشهر'!$C$637:$AD$746,9,FALSE),0)</f>
        <v>0</v>
      </c>
      <c r="J26" s="362">
        <f>IFERROR(VLOOKUP(C26,'تقرير المصروفات حسب الشهر'!$C$763:$AD$872,9,FALSE),0)</f>
        <v>0</v>
      </c>
      <c r="K26" s="362">
        <f>IFERROR(VLOOKUP(C26,'تقرير المصروفات حسب الشهر'!$C$890:$AD$999,9,FALSE),0)</f>
        <v>0</v>
      </c>
      <c r="L26" s="362">
        <f>IFERROR(VLOOKUP(C26,'تقرير المصروفات حسب الشهر'!$C$1016:$AD$1126,9,FALSE),0)</f>
        <v>0</v>
      </c>
      <c r="M26" s="376">
        <f>IFERROR(VLOOKUP(C26,'تقرير المصروفات حسب الشهر'!$C$1143:$AD$1254,9,FALSE),0)</f>
        <v>0</v>
      </c>
      <c r="N26" s="376">
        <f>IFERROR(VLOOKUP(C26,'تقرير المصروفات حسب الشهر'!$C$1270:$AD$1381,9,FALSE),0)</f>
        <v>0</v>
      </c>
      <c r="O26" s="376">
        <f>IFERROR(VLOOKUP(C26,'تقرير المصروفات حسب الشهر'!$C$1397:$AD$1512,9,FALSE),0)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الشهر'!$C$10:$AD$119,9,FALSE),0)</f>
        <v>0</v>
      </c>
      <c r="E27" s="362">
        <f>IFERROR(VLOOKUP(C27,'تقرير المصروفات حسب الشهر'!$C$135:$AD$244,9,FALSE),0)</f>
        <v>0</v>
      </c>
      <c r="F27" s="362">
        <f>IFERROR(VLOOKUP(C27,'تقرير المصروفات حسب الشهر'!$C$261:$AD$368,9,FALSE),0)</f>
        <v>0</v>
      </c>
      <c r="G27" s="362">
        <f>IFERROR(VLOOKUP(C27,'تقرير المصروفات حسب الشهر'!$C$387:$AD$495,9,FALSE),0)</f>
        <v>0</v>
      </c>
      <c r="H27" s="362">
        <f>IFERROR(VLOOKUP(C27,'تقرير المصروفات حسب الشهر'!$C$512:$AD$620,9,FALSE),0)</f>
        <v>0</v>
      </c>
      <c r="I27" s="362">
        <f>IFERROR(VLOOKUP(C27,'تقرير المصروفات حسب الشهر'!$C$637:$AD$746,9,FALSE),0)</f>
        <v>0</v>
      </c>
      <c r="J27" s="362">
        <f>IFERROR(VLOOKUP(C27,'تقرير المصروفات حسب الشهر'!$C$763:$AD$872,9,FALSE),0)</f>
        <v>0</v>
      </c>
      <c r="K27" s="362">
        <f>IFERROR(VLOOKUP(C27,'تقرير المصروفات حسب الشهر'!$C$890:$AD$999,9,FALSE),0)</f>
        <v>0</v>
      </c>
      <c r="L27" s="362">
        <f>IFERROR(VLOOKUP(C27,'تقرير المصروفات حسب الشهر'!$C$1016:$AD$1126,9,FALSE),0)</f>
        <v>0</v>
      </c>
      <c r="M27" s="376">
        <f>IFERROR(VLOOKUP(C27,'تقرير المصروفات حسب الشهر'!$C$1143:$AD$1254,9,FALSE),0)</f>
        <v>0</v>
      </c>
      <c r="N27" s="376">
        <f>IFERROR(VLOOKUP(C27,'تقرير المصروفات حسب الشهر'!$C$1270:$AD$1381,9,FALSE),0)</f>
        <v>0</v>
      </c>
      <c r="O27" s="376">
        <f>IFERROR(VLOOKUP(C27,'تقرير المصروفات حسب الشهر'!$C$1397:$AD$1512,9,FALSE),0)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الشهر'!$C$10:$AD$119,9,FALSE),0)</f>
        <v>0</v>
      </c>
      <c r="E28" s="362">
        <f>IFERROR(VLOOKUP(C28,'تقرير المصروفات حسب الشهر'!$C$135:$AD$244,9,FALSE),0)</f>
        <v>0</v>
      </c>
      <c r="F28" s="362">
        <f>IFERROR(VLOOKUP(C28,'تقرير المصروفات حسب الشهر'!$C$261:$AD$368,9,FALSE),0)</f>
        <v>0</v>
      </c>
      <c r="G28" s="362">
        <f>IFERROR(VLOOKUP(C28,'تقرير المصروفات حسب الشهر'!$C$387:$AD$495,9,FALSE),0)</f>
        <v>0</v>
      </c>
      <c r="H28" s="362">
        <f>IFERROR(VLOOKUP(C28,'تقرير المصروفات حسب الشهر'!$C$512:$AD$620,9,FALSE),0)</f>
        <v>0</v>
      </c>
      <c r="I28" s="362">
        <f>IFERROR(VLOOKUP(C28,'تقرير المصروفات حسب الشهر'!$C$637:$AD$746,9,FALSE),0)</f>
        <v>0</v>
      </c>
      <c r="J28" s="362">
        <f>IFERROR(VLOOKUP(C28,'تقرير المصروفات حسب الشهر'!$C$763:$AD$872,9,FALSE),0)</f>
        <v>0</v>
      </c>
      <c r="K28" s="362">
        <f>IFERROR(VLOOKUP(C28,'تقرير المصروفات حسب الشهر'!$C$890:$AD$999,9,FALSE),0)</f>
        <v>0</v>
      </c>
      <c r="L28" s="362">
        <f>IFERROR(VLOOKUP(C28,'تقرير المصروفات حسب الشهر'!$C$1016:$AD$1126,9,FALSE),0)</f>
        <v>0</v>
      </c>
      <c r="M28" s="376">
        <f>IFERROR(VLOOKUP(C28,'تقرير المصروفات حسب الشهر'!$C$1143:$AD$1254,9,FALSE),0)</f>
        <v>0</v>
      </c>
      <c r="N28" s="376">
        <f>IFERROR(VLOOKUP(C28,'تقرير المصروفات حسب الشهر'!$C$1270:$AD$1381,9,FALSE),0)</f>
        <v>0</v>
      </c>
      <c r="O28" s="376">
        <f>IFERROR(VLOOKUP(C28,'تقرير المصروفات حسب الشهر'!$C$1397:$AD$1512,9,FALSE),0)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الشهر'!$C$10:$AD$119,9,FALSE),0)</f>
        <v>0</v>
      </c>
      <c r="E29" s="362">
        <f>IFERROR(VLOOKUP(C29,'تقرير المصروفات حسب الشهر'!$C$135:$AD$244,9,FALSE),0)</f>
        <v>0</v>
      </c>
      <c r="F29" s="362">
        <f>IFERROR(VLOOKUP(C29,'تقرير المصروفات حسب الشهر'!$C$261:$AD$368,9,FALSE),0)</f>
        <v>0</v>
      </c>
      <c r="G29" s="362">
        <f>IFERROR(VLOOKUP(C29,'تقرير المصروفات حسب الشهر'!$C$387:$AD$495,9,FALSE),0)</f>
        <v>0</v>
      </c>
      <c r="H29" s="362">
        <f>IFERROR(VLOOKUP(C29,'تقرير المصروفات حسب الشهر'!$C$512:$AD$620,9,FALSE),0)</f>
        <v>0</v>
      </c>
      <c r="I29" s="362">
        <f>IFERROR(VLOOKUP(C29,'تقرير المصروفات حسب الشهر'!$C$637:$AD$746,9,FALSE),0)</f>
        <v>0</v>
      </c>
      <c r="J29" s="362">
        <f>IFERROR(VLOOKUP(C29,'تقرير المصروفات حسب الشهر'!$C$763:$AD$872,9,FALSE),0)</f>
        <v>0</v>
      </c>
      <c r="K29" s="362">
        <f>IFERROR(VLOOKUP(C29,'تقرير المصروفات حسب الشهر'!$C$890:$AD$999,9,FALSE),0)</f>
        <v>0</v>
      </c>
      <c r="L29" s="362">
        <f>IFERROR(VLOOKUP(C29,'تقرير المصروفات حسب الشهر'!$C$1016:$AD$1126,9,FALSE),0)</f>
        <v>0</v>
      </c>
      <c r="M29" s="376">
        <f>IFERROR(VLOOKUP(C29,'تقرير المصروفات حسب الشهر'!$C$1143:$AD$1254,9,FALSE),0)</f>
        <v>0</v>
      </c>
      <c r="N29" s="376">
        <f>IFERROR(VLOOKUP(C29,'تقرير المصروفات حسب الشهر'!$C$1270:$AD$1381,9,FALSE),0)</f>
        <v>0</v>
      </c>
      <c r="O29" s="376">
        <f>IFERROR(VLOOKUP(C29,'تقرير المصروفات حسب الشهر'!$C$1397:$AD$1512,9,FALSE),0)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الشهر'!$C$10:$AD$119,9,FALSE),0)</f>
        <v>0</v>
      </c>
      <c r="E30" s="362">
        <f>IFERROR(VLOOKUP(C30,'تقرير المصروفات حسب الشهر'!$C$135:$AD$244,9,FALSE),0)</f>
        <v>0</v>
      </c>
      <c r="F30" s="362">
        <f>IFERROR(VLOOKUP(C30,'تقرير المصروفات حسب الشهر'!$C$261:$AD$368,9,FALSE),0)</f>
        <v>0</v>
      </c>
      <c r="G30" s="362">
        <f>IFERROR(VLOOKUP(C30,'تقرير المصروفات حسب الشهر'!$C$387:$AD$495,9,FALSE),0)</f>
        <v>0</v>
      </c>
      <c r="H30" s="362">
        <f>IFERROR(VLOOKUP(C30,'تقرير المصروفات حسب الشهر'!$C$512:$AD$620,9,FALSE),0)</f>
        <v>0</v>
      </c>
      <c r="I30" s="362">
        <f>IFERROR(VLOOKUP(C30,'تقرير المصروفات حسب الشهر'!$C$637:$AD$746,9,FALSE),0)</f>
        <v>0</v>
      </c>
      <c r="J30" s="362">
        <f>IFERROR(VLOOKUP(C30,'تقرير المصروفات حسب الشهر'!$C$763:$AD$872,9,FALSE),0)</f>
        <v>0</v>
      </c>
      <c r="K30" s="362">
        <f>IFERROR(VLOOKUP(C30,'تقرير المصروفات حسب الشهر'!$C$890:$AD$999,9,FALSE),0)</f>
        <v>0</v>
      </c>
      <c r="L30" s="362">
        <f>IFERROR(VLOOKUP(C30,'تقرير المصروفات حسب الشهر'!$C$1016:$AD$1126,9,FALSE),0)</f>
        <v>0</v>
      </c>
      <c r="M30" s="376">
        <f>IFERROR(VLOOKUP(C30,'تقرير المصروفات حسب الشهر'!$C$1143:$AD$1254,9,FALSE),0)</f>
        <v>0</v>
      </c>
      <c r="N30" s="376">
        <f>IFERROR(VLOOKUP(C30,'تقرير المصروفات حسب الشهر'!$C$1270:$AD$1381,9,FALSE),0)</f>
        <v>0</v>
      </c>
      <c r="O30" s="376">
        <f>IFERROR(VLOOKUP(C30,'تقرير المصروفات حسب الشهر'!$C$1397:$AD$1512,9,FALSE),0)</f>
        <v>850</v>
      </c>
      <c r="P30" s="364">
        <f t="shared" si="5"/>
        <v>850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الشهر'!$C$10:$AD$119,9,FALSE),0)</f>
        <v>523.88</v>
      </c>
      <c r="E31" s="362">
        <f>IFERROR(VLOOKUP(C31,'تقرير المصروفات حسب الشهر'!$C$135:$AD$244,9,FALSE),0)</f>
        <v>523.88</v>
      </c>
      <c r="F31" s="362">
        <f>IFERROR(VLOOKUP(C31,'تقرير المصروفات حسب الشهر'!$C$261:$AD$368,9,FALSE),0)</f>
        <v>523.88</v>
      </c>
      <c r="G31" s="362">
        <f>IFERROR(VLOOKUP(C31,'تقرير المصروفات حسب الشهر'!$C$387:$AD$495,9,FALSE),0)</f>
        <v>523.88</v>
      </c>
      <c r="H31" s="362">
        <f>IFERROR(VLOOKUP(C31,'تقرير المصروفات حسب الشهر'!$C$512:$AD$620,9,FALSE),0)</f>
        <v>523.88</v>
      </c>
      <c r="I31" s="362">
        <f>IFERROR(VLOOKUP(C31,'تقرير المصروفات حسب الشهر'!$C$637:$AD$746,9,FALSE),0)</f>
        <v>523.88</v>
      </c>
      <c r="J31" s="362">
        <f>IFERROR(VLOOKUP(C31,'تقرير المصروفات حسب الشهر'!$C$763:$AD$872,9,FALSE),0)</f>
        <v>523.88</v>
      </c>
      <c r="K31" s="362">
        <f>IFERROR(VLOOKUP(C31,'تقرير المصروفات حسب الشهر'!$C$890:$AD$999,9,FALSE),0)</f>
        <v>523.88</v>
      </c>
      <c r="L31" s="362">
        <f>IFERROR(VLOOKUP(C31,'تقرير المصروفات حسب الشهر'!$C$1016:$AD$1126,9,FALSE),0)</f>
        <v>523.88</v>
      </c>
      <c r="M31" s="376">
        <f>IFERROR(VLOOKUP(C31,'تقرير المصروفات حسب الشهر'!$C$1143:$AD$1254,9,FALSE),0)</f>
        <v>523.88</v>
      </c>
      <c r="N31" s="376">
        <f>IFERROR(VLOOKUP(C31,'تقرير المصروفات حسب الشهر'!$C$1270:$AD$1381,9,FALSE),0)</f>
        <v>523.88</v>
      </c>
      <c r="O31" s="376">
        <f>IFERROR(VLOOKUP(C31,'تقرير المصروفات حسب الشهر'!$C$1397:$AD$1512,9,FALSE),0)</f>
        <v>523.88</v>
      </c>
      <c r="P31" s="364">
        <f t="shared" si="5"/>
        <v>6286.56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الشهر'!$C$10:$AD$119,9,FALSE),0)</f>
        <v>0</v>
      </c>
      <c r="E32" s="362">
        <f>IFERROR(VLOOKUP(C32,'تقرير المصروفات حسب الشهر'!$C$135:$AD$244,9,FALSE),0)</f>
        <v>0</v>
      </c>
      <c r="F32" s="362">
        <f>IFERROR(VLOOKUP(C32,'تقرير المصروفات حسب الشهر'!$C$261:$AD$368,9,FALSE),0)</f>
        <v>0</v>
      </c>
      <c r="G32" s="362">
        <f>IFERROR(VLOOKUP(C32,'تقرير المصروفات حسب الشهر'!$C$387:$AD$495,9,FALSE),0)</f>
        <v>0</v>
      </c>
      <c r="H32" s="362">
        <f>IFERROR(VLOOKUP(C32,'تقرير المصروفات حسب الشهر'!$C$512:$AD$620,9,FALSE),0)</f>
        <v>0</v>
      </c>
      <c r="I32" s="362">
        <f>IFERROR(VLOOKUP(C32,'تقرير المصروفات حسب الشهر'!$C$637:$AD$746,9,FALSE),0)</f>
        <v>0</v>
      </c>
      <c r="J32" s="362">
        <f>IFERROR(VLOOKUP(C32,'تقرير المصروفات حسب الشهر'!$C$763:$AD$872,9,FALSE),0)</f>
        <v>0</v>
      </c>
      <c r="K32" s="362">
        <f>IFERROR(VLOOKUP(C32,'تقرير المصروفات حسب الشهر'!$C$890:$AD$999,9,FALSE),0)</f>
        <v>0</v>
      </c>
      <c r="L32" s="362">
        <f>IFERROR(VLOOKUP(C32,'تقرير المصروفات حسب الشهر'!$C$1016:$AD$1126,9,FALSE),0)</f>
        <v>0</v>
      </c>
      <c r="M32" s="376">
        <f>IFERROR(VLOOKUP(C32,'تقرير المصروفات حسب الشهر'!$C$1143:$AD$1254,9,FALSE),0)</f>
        <v>0</v>
      </c>
      <c r="N32" s="376">
        <f>IFERROR(VLOOKUP(C32,'تقرير المصروفات حسب الشهر'!$C$1270:$AD$1381,9,FALSE),0)</f>
        <v>0</v>
      </c>
      <c r="O32" s="376">
        <f>IFERROR(VLOOKUP(C32,'تقرير المصروفات حسب الشهر'!$C$1397:$AD$1512,9,FALSE),0)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الشهر'!$C$10:$AD$119,9,FALSE),0)</f>
        <v>0</v>
      </c>
      <c r="E33" s="362">
        <f>IFERROR(VLOOKUP(C33,'تقرير المصروفات حسب الشهر'!$C$135:$AD$244,9,FALSE),0)</f>
        <v>0</v>
      </c>
      <c r="F33" s="362">
        <f>IFERROR(VLOOKUP(C33,'تقرير المصروفات حسب الشهر'!$C$261:$AD$368,9,FALSE),0)</f>
        <v>0</v>
      </c>
      <c r="G33" s="362">
        <f>IFERROR(VLOOKUP(C33,'تقرير المصروفات حسب الشهر'!$C$387:$AD$495,9,FALSE),0)</f>
        <v>0</v>
      </c>
      <c r="H33" s="362">
        <f>IFERROR(VLOOKUP(C33,'تقرير المصروفات حسب الشهر'!$C$512:$AD$620,9,FALSE),0)</f>
        <v>0</v>
      </c>
      <c r="I33" s="362">
        <f>IFERROR(VLOOKUP(C33,'تقرير المصروفات حسب الشهر'!$C$637:$AD$746,9,FALSE),0)</f>
        <v>0</v>
      </c>
      <c r="J33" s="362">
        <f>IFERROR(VLOOKUP(C33,'تقرير المصروفات حسب الشهر'!$C$763:$AD$872,9,FALSE),0)</f>
        <v>0</v>
      </c>
      <c r="K33" s="362">
        <f>IFERROR(VLOOKUP(C33,'تقرير المصروفات حسب الشهر'!$C$890:$AD$999,9,FALSE),0)</f>
        <v>0</v>
      </c>
      <c r="L33" s="362">
        <f>IFERROR(VLOOKUP(C33,'تقرير المصروفات حسب الشهر'!$C$1016:$AD$1126,9,FALSE),0)</f>
        <v>0</v>
      </c>
      <c r="M33" s="376">
        <f>IFERROR(VLOOKUP(C33,'تقرير المصروفات حسب الشهر'!$C$1143:$AD$1254,9,FALSE),0)</f>
        <v>0</v>
      </c>
      <c r="N33" s="376">
        <f>IFERROR(VLOOKUP(C33,'تقرير المصروفات حسب الشهر'!$C$1270:$AD$1381,9,FALSE),0)</f>
        <v>0</v>
      </c>
      <c r="O33" s="376">
        <f>IFERROR(VLOOKUP(C33,'تقرير المصروفات حسب الشهر'!$C$1397:$AD$1512,9,FALSE),0)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الشهر'!$C$10:$AD$119,9,FALSE),0)</f>
        <v>0</v>
      </c>
      <c r="E34" s="362">
        <f>IFERROR(VLOOKUP(C34,'تقرير المصروفات حسب الشهر'!$C$135:$AD$244,9,FALSE),0)</f>
        <v>0</v>
      </c>
      <c r="F34" s="362">
        <f>IFERROR(VLOOKUP(C34,'تقرير المصروفات حسب الشهر'!$C$261:$AD$368,9,FALSE),0)</f>
        <v>0</v>
      </c>
      <c r="G34" s="362">
        <f>IFERROR(VLOOKUP(C34,'تقرير المصروفات حسب الشهر'!$C$387:$AD$495,9,FALSE),0)</f>
        <v>0</v>
      </c>
      <c r="H34" s="362">
        <f>IFERROR(VLOOKUP(C34,'تقرير المصروفات حسب الشهر'!$C$512:$AD$620,9,FALSE),0)</f>
        <v>0</v>
      </c>
      <c r="I34" s="362">
        <f>IFERROR(VLOOKUP(C34,'تقرير المصروفات حسب الشهر'!$C$637:$AD$746,9,FALSE),0)</f>
        <v>0</v>
      </c>
      <c r="J34" s="362">
        <f>IFERROR(VLOOKUP(C34,'تقرير المصروفات حسب الشهر'!$C$763:$AD$872,9,FALSE),0)</f>
        <v>0</v>
      </c>
      <c r="K34" s="362">
        <f>IFERROR(VLOOKUP(C34,'تقرير المصروفات حسب الشهر'!$C$890:$AD$999,9,FALSE),0)</f>
        <v>0</v>
      </c>
      <c r="L34" s="362">
        <f>IFERROR(VLOOKUP(C34,'تقرير المصروفات حسب الشهر'!$C$1016:$AD$1126,9,FALSE),0)</f>
        <v>0</v>
      </c>
      <c r="M34" s="376">
        <f>IFERROR(VLOOKUP(C34,'تقرير المصروفات حسب الشهر'!$C$1143:$AD$1254,9,FALSE),0)</f>
        <v>0</v>
      </c>
      <c r="N34" s="376">
        <f>IFERROR(VLOOKUP(C34,'تقرير المصروفات حسب الشهر'!$C$1270:$AD$1381,9,FALSE),0)</f>
        <v>0</v>
      </c>
      <c r="O34" s="376">
        <f>IFERROR(VLOOKUP(C34,'تقرير المصروفات حسب الشهر'!$C$1397:$AD$1512,9,FALSE),0)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الشهر'!$C$10:$AD$119,9,FALSE),0)</f>
        <v>0</v>
      </c>
      <c r="E35" s="362">
        <f>IFERROR(VLOOKUP(C35,'تقرير المصروفات حسب الشهر'!$C$135:$AD$244,9,FALSE),0)</f>
        <v>0</v>
      </c>
      <c r="F35" s="362">
        <f>IFERROR(VLOOKUP(C35,'تقرير المصروفات حسب الشهر'!$C$261:$AD$368,9,FALSE),0)</f>
        <v>0</v>
      </c>
      <c r="G35" s="362">
        <f>IFERROR(VLOOKUP(C35,'تقرير المصروفات حسب الشهر'!$C$387:$AD$495,9,FALSE),0)</f>
        <v>0</v>
      </c>
      <c r="H35" s="362">
        <f>IFERROR(VLOOKUP(C35,'تقرير المصروفات حسب الشهر'!$C$512:$AD$620,9,FALSE),0)</f>
        <v>0</v>
      </c>
      <c r="I35" s="362">
        <f>IFERROR(VLOOKUP(C35,'تقرير المصروفات حسب الشهر'!$C$637:$AD$746,9,FALSE),0)</f>
        <v>0</v>
      </c>
      <c r="J35" s="362">
        <f>IFERROR(VLOOKUP(C35,'تقرير المصروفات حسب الشهر'!$C$763:$AD$872,9,FALSE),0)</f>
        <v>0</v>
      </c>
      <c r="K35" s="362">
        <f>IFERROR(VLOOKUP(C35,'تقرير المصروفات حسب الشهر'!$C$890:$AD$999,9,FALSE),0)</f>
        <v>0</v>
      </c>
      <c r="L35" s="362">
        <f>IFERROR(VLOOKUP(C35,'تقرير المصروفات حسب الشهر'!$C$1016:$AD$1126,9,FALSE),0)</f>
        <v>0</v>
      </c>
      <c r="M35" s="376">
        <f>IFERROR(VLOOKUP(C35,'تقرير المصروفات حسب الشهر'!$C$1143:$AD$1254,9,FALSE),0)</f>
        <v>0</v>
      </c>
      <c r="N35" s="376">
        <f>IFERROR(VLOOKUP(C35,'تقرير المصروفات حسب الشهر'!$C$1270:$AD$1381,9,FALSE),0)</f>
        <v>0</v>
      </c>
      <c r="O35" s="376">
        <f>IFERROR(VLOOKUP(C35,'تقرير المصروفات حسب الشهر'!$C$1397:$AD$1512,9,FALSE),0)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الشهر'!$C$10:$AD$119,9,FALSE),0)</f>
        <v>0</v>
      </c>
      <c r="E36" s="362">
        <f>IFERROR(VLOOKUP(C36,'تقرير المصروفات حسب الشهر'!$C$135:$AD$244,9,FALSE),0)</f>
        <v>0</v>
      </c>
      <c r="F36" s="362">
        <f>IFERROR(VLOOKUP(C36,'تقرير المصروفات حسب الشهر'!$C$261:$AD$368,9,FALSE),0)</f>
        <v>750</v>
      </c>
      <c r="G36" s="362">
        <f>IFERROR(VLOOKUP(C36,'تقرير المصروفات حسب الشهر'!$C$387:$AD$495,9,FALSE),0)</f>
        <v>750</v>
      </c>
      <c r="H36" s="362">
        <f>IFERROR(VLOOKUP(C36,'تقرير المصروفات حسب الشهر'!$C$512:$AD$620,9,FALSE),0)</f>
        <v>0</v>
      </c>
      <c r="I36" s="362">
        <f>IFERROR(VLOOKUP(C36,'تقرير المصروفات حسب الشهر'!$C$637:$AD$746,9,FALSE),0)</f>
        <v>770</v>
      </c>
      <c r="J36" s="362">
        <f>IFERROR(VLOOKUP(C36,'تقرير المصروفات حسب الشهر'!$C$763:$AD$872,9,FALSE),0)</f>
        <v>0</v>
      </c>
      <c r="K36" s="362">
        <f>IFERROR(VLOOKUP(C36,'تقرير المصروفات حسب الشهر'!$C$890:$AD$999,9,FALSE),0)</f>
        <v>770</v>
      </c>
      <c r="L36" s="362">
        <f>IFERROR(VLOOKUP(C36,'تقرير المصروفات حسب الشهر'!$C$1016:$AD$1126,9,FALSE),0)</f>
        <v>0</v>
      </c>
      <c r="M36" s="376">
        <f>IFERROR(VLOOKUP(C36,'تقرير المصروفات حسب الشهر'!$C$1143:$AD$1254,9,FALSE),0)</f>
        <v>770</v>
      </c>
      <c r="N36" s="376">
        <f>IFERROR(VLOOKUP(C36,'تقرير المصروفات حسب الشهر'!$C$1270:$AD$1381,9,FALSE),0)</f>
        <v>0</v>
      </c>
      <c r="O36" s="376">
        <f>IFERROR(VLOOKUP(C36,'تقرير المصروفات حسب الشهر'!$C$1397:$AD$1512,9,FALSE),0)</f>
        <v>770</v>
      </c>
      <c r="P36" s="364">
        <f t="shared" si="5"/>
        <v>4580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الشهر'!$C$10:$AD$119,9,FALSE),0)</f>
        <v>0</v>
      </c>
      <c r="E37" s="362">
        <f>IFERROR(VLOOKUP(C37,'تقرير المصروفات حسب الشهر'!$C$135:$AD$244,9,FALSE),0)</f>
        <v>0</v>
      </c>
      <c r="F37" s="362">
        <f>IFERROR(VLOOKUP(C37,'تقرير المصروفات حسب الشهر'!$C$261:$AD$368,9,FALSE),0)</f>
        <v>0</v>
      </c>
      <c r="G37" s="362">
        <f>IFERROR(VLOOKUP(C37,'تقرير المصروفات حسب الشهر'!$C$387:$AD$495,9,FALSE),0)</f>
        <v>0</v>
      </c>
      <c r="H37" s="362">
        <f>IFERROR(VLOOKUP(C37,'تقرير المصروفات حسب الشهر'!$C$512:$AD$620,9,FALSE),0)</f>
        <v>0</v>
      </c>
      <c r="I37" s="362">
        <f>IFERROR(VLOOKUP(C37,'تقرير المصروفات حسب الشهر'!$C$637:$AD$746,9,FALSE),0)</f>
        <v>0</v>
      </c>
      <c r="J37" s="362">
        <f>IFERROR(VLOOKUP(C37,'تقرير المصروفات حسب الشهر'!$C$763:$AD$872,9,FALSE),0)</f>
        <v>0</v>
      </c>
      <c r="K37" s="362">
        <f>IFERROR(VLOOKUP(C37,'تقرير المصروفات حسب الشهر'!$C$890:$AD$999,9,FALSE),0)</f>
        <v>0</v>
      </c>
      <c r="L37" s="362">
        <f>IFERROR(VLOOKUP(C37,'تقرير المصروفات حسب الشهر'!$C$1016:$AD$1126,9,FALSE),0)</f>
        <v>0</v>
      </c>
      <c r="M37" s="376">
        <f>IFERROR(VLOOKUP(C37,'تقرير المصروفات حسب الشهر'!$C$1143:$AD$1254,9,FALSE),0)</f>
        <v>0</v>
      </c>
      <c r="N37" s="376">
        <f>IFERROR(VLOOKUP(C37,'تقرير المصروفات حسب الشهر'!$C$1270:$AD$1381,9,FALSE),0)</f>
        <v>0</v>
      </c>
      <c r="O37" s="376">
        <f>IFERROR(VLOOKUP(C37,'تقرير المصروفات حسب الشهر'!$C$1397:$AD$1512,9,FALSE),0)</f>
        <v>0</v>
      </c>
      <c r="P37" s="364">
        <f t="shared" si="5"/>
        <v>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الشهر'!$C$10:$AD$119,9,FALSE),0)</f>
        <v>0</v>
      </c>
      <c r="E38" s="362">
        <f>IFERROR(VLOOKUP(C38,'تقرير المصروفات حسب الشهر'!$C$135:$AD$244,9,FALSE),0)</f>
        <v>0</v>
      </c>
      <c r="F38" s="362">
        <f>IFERROR(VLOOKUP(C38,'تقرير المصروفات حسب الشهر'!$C$261:$AD$368,9,FALSE),0)</f>
        <v>0</v>
      </c>
      <c r="G38" s="362">
        <f>IFERROR(VLOOKUP(C38,'تقرير المصروفات حسب الشهر'!$C$387:$AD$495,9,FALSE),0)</f>
        <v>0</v>
      </c>
      <c r="H38" s="362">
        <f>IFERROR(VLOOKUP(C38,'تقرير المصروفات حسب الشهر'!$C$512:$AD$620,9,FALSE),0)</f>
        <v>0</v>
      </c>
      <c r="I38" s="362">
        <f>IFERROR(VLOOKUP(C38,'تقرير المصروفات حسب الشهر'!$C$637:$AD$746,9,FALSE),0)</f>
        <v>0</v>
      </c>
      <c r="J38" s="362">
        <f>IFERROR(VLOOKUP(C38,'تقرير المصروفات حسب الشهر'!$C$763:$AD$872,9,FALSE),0)</f>
        <v>0</v>
      </c>
      <c r="K38" s="362">
        <f>IFERROR(VLOOKUP(C38,'تقرير المصروفات حسب الشهر'!$C$890:$AD$999,9,FALSE),0)</f>
        <v>0</v>
      </c>
      <c r="L38" s="362">
        <f>IFERROR(VLOOKUP(C38,'تقرير المصروفات حسب الشهر'!$C$1016:$AD$1126,9,FALSE),0)</f>
        <v>0</v>
      </c>
      <c r="M38" s="376">
        <f>IFERROR(VLOOKUP(C38,'تقرير المصروفات حسب الشهر'!$C$1143:$AD$1254,9,FALSE),0)</f>
        <v>0</v>
      </c>
      <c r="N38" s="376">
        <f>IFERROR(VLOOKUP(C38,'تقرير المصروفات حسب الشهر'!$C$1270:$AD$1381,9,FALSE),0)</f>
        <v>0</v>
      </c>
      <c r="O38" s="376">
        <f>IFERROR(VLOOKUP(C38,'تقرير المصروفات حسب الشهر'!$C$1397:$AD$1512,9,FALSE),0)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الشهر'!$C$10:$AD$119,9,FALSE),0)</f>
        <v>0</v>
      </c>
      <c r="E39" s="362">
        <f>IFERROR(VLOOKUP(C39,'تقرير المصروفات حسب الشهر'!$C$135:$AD$244,9,FALSE),0)</f>
        <v>833</v>
      </c>
      <c r="F39" s="362">
        <f>IFERROR(VLOOKUP(C39,'تقرير المصروفات حسب الشهر'!$C$261:$AD$368,9,FALSE),0)</f>
        <v>648</v>
      </c>
      <c r="G39" s="362">
        <f>IFERROR(VLOOKUP(C39,'تقرير المصروفات حسب الشهر'!$C$387:$AD$495,9,FALSE),0)</f>
        <v>793</v>
      </c>
      <c r="H39" s="362">
        <f>IFERROR(VLOOKUP(C39,'تقرير المصروفات حسب الشهر'!$C$512:$AD$620,9,FALSE),0)</f>
        <v>0</v>
      </c>
      <c r="I39" s="362">
        <f>IFERROR(VLOOKUP(C39,'تقرير المصروفات حسب الشهر'!$C$637:$AD$746,9,FALSE),0)</f>
        <v>0</v>
      </c>
      <c r="J39" s="362">
        <f>IFERROR(VLOOKUP(C39,'تقرير المصروفات حسب الشهر'!$C$763:$AD$872,9,FALSE),0)</f>
        <v>0</v>
      </c>
      <c r="K39" s="362">
        <f>IFERROR(VLOOKUP(C39,'تقرير المصروفات حسب الشهر'!$C$890:$AD$999,9,FALSE),0)</f>
        <v>0</v>
      </c>
      <c r="L39" s="362">
        <f>IFERROR(VLOOKUP(C39,'تقرير المصروفات حسب الشهر'!$C$1016:$AD$1126,9,FALSE),0)</f>
        <v>0</v>
      </c>
      <c r="M39" s="376">
        <f>IFERROR(VLOOKUP(C39,'تقرير المصروفات حسب الشهر'!$C$1143:$AD$1254,9,FALSE),0)</f>
        <v>0</v>
      </c>
      <c r="N39" s="376">
        <f>IFERROR(VLOOKUP(C39,'تقرير المصروفات حسب الشهر'!$C$1270:$AD$1381,9,FALSE),0)</f>
        <v>506</v>
      </c>
      <c r="O39" s="376">
        <f>IFERROR(VLOOKUP(C39,'تقرير المصروفات حسب الشهر'!$C$1397:$AD$1512,9,FALSE),0)</f>
        <v>831</v>
      </c>
      <c r="P39" s="364">
        <f t="shared" si="5"/>
        <v>3611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الشهر'!$C$10:$AD$119,9,FALSE),0)</f>
        <v>0</v>
      </c>
      <c r="E40" s="362">
        <f>IFERROR(VLOOKUP(C40,'تقرير المصروفات حسب الشهر'!$C$135:$AD$244,9,FALSE),0)</f>
        <v>0</v>
      </c>
      <c r="F40" s="362">
        <f>IFERROR(VLOOKUP(C40,'تقرير المصروفات حسب الشهر'!$C$261:$AD$368,9,FALSE),0)</f>
        <v>0</v>
      </c>
      <c r="G40" s="362">
        <f>IFERROR(VLOOKUP(C40,'تقرير المصروفات حسب الشهر'!$C$387:$AD$495,9,FALSE),0)</f>
        <v>0</v>
      </c>
      <c r="H40" s="362">
        <f>IFERROR(VLOOKUP(C40,'تقرير المصروفات حسب الشهر'!$C$512:$AD$620,9,FALSE),0)</f>
        <v>0</v>
      </c>
      <c r="I40" s="362">
        <f>IFERROR(VLOOKUP(C40,'تقرير المصروفات حسب الشهر'!$C$637:$AD$746,9,FALSE),0)</f>
        <v>0</v>
      </c>
      <c r="J40" s="362">
        <f>IFERROR(VLOOKUP(C40,'تقرير المصروفات حسب الشهر'!$C$763:$AD$872,9,FALSE),0)</f>
        <v>0</v>
      </c>
      <c r="K40" s="362">
        <f>IFERROR(VLOOKUP(C40,'تقرير المصروفات حسب الشهر'!$C$890:$AD$999,9,FALSE),0)</f>
        <v>0</v>
      </c>
      <c r="L40" s="362">
        <f>IFERROR(VLOOKUP(C40,'تقرير المصروفات حسب الشهر'!$C$1016:$AD$1126,9,FALSE),0)</f>
        <v>0</v>
      </c>
      <c r="M40" s="376">
        <f>IFERROR(VLOOKUP(C40,'تقرير المصروفات حسب الشهر'!$C$1143:$AD$1254,9,FALSE),0)</f>
        <v>0</v>
      </c>
      <c r="N40" s="376">
        <f>IFERROR(VLOOKUP(C40,'تقرير المصروفات حسب الشهر'!$C$1270:$AD$1381,9,FALSE),0)</f>
        <v>0</v>
      </c>
      <c r="O40" s="376">
        <f>IFERROR(VLOOKUP(C40,'تقرير المصروفات حسب الشهر'!$C$1397:$AD$1512,9,FALSE),0)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الشهر'!$C$10:$AD$119,9,FALSE),0)</f>
        <v>0</v>
      </c>
      <c r="E41" s="362">
        <f>IFERROR(VLOOKUP(C41,'تقرير المصروفات حسب الشهر'!$C$135:$AD$244,9,FALSE),0)</f>
        <v>0</v>
      </c>
      <c r="F41" s="362">
        <f>IFERROR(VLOOKUP(C41,'تقرير المصروفات حسب الشهر'!$C$261:$AD$368,9,FALSE),0)</f>
        <v>0</v>
      </c>
      <c r="G41" s="362">
        <f>IFERROR(VLOOKUP(C41,'تقرير المصروفات حسب الشهر'!$C$387:$AD$495,9,FALSE),0)</f>
        <v>0</v>
      </c>
      <c r="H41" s="362">
        <f>IFERROR(VLOOKUP(C41,'تقرير المصروفات حسب الشهر'!$C$512:$AD$620,9,FALSE),0)</f>
        <v>0</v>
      </c>
      <c r="I41" s="362">
        <f>IFERROR(VLOOKUP(C41,'تقرير المصروفات حسب الشهر'!$C$637:$AD$746,9,FALSE),0)</f>
        <v>0</v>
      </c>
      <c r="J41" s="362">
        <f>IFERROR(VLOOKUP(C41,'تقرير المصروفات حسب الشهر'!$C$763:$AD$872,9,FALSE),0)</f>
        <v>0</v>
      </c>
      <c r="K41" s="362">
        <f>IFERROR(VLOOKUP(C41,'تقرير المصروفات حسب الشهر'!$C$890:$AD$999,9,FALSE),0)</f>
        <v>0</v>
      </c>
      <c r="L41" s="362">
        <f>IFERROR(VLOOKUP(C41,'تقرير المصروفات حسب الشهر'!$C$1016:$AD$1126,9,FALSE),0)</f>
        <v>0</v>
      </c>
      <c r="M41" s="376">
        <f>IFERROR(VLOOKUP(C41,'تقرير المصروفات حسب الشهر'!$C$1143:$AD$1254,9,FALSE),0)</f>
        <v>0</v>
      </c>
      <c r="N41" s="376">
        <f>IFERROR(VLOOKUP(C41,'تقرير المصروفات حسب الشهر'!$C$1270:$AD$1381,9,FALSE),0)</f>
        <v>0</v>
      </c>
      <c r="O41" s="376">
        <f>IFERROR(VLOOKUP(C41,'تقرير المصروفات حسب الشهر'!$C$1397:$AD$1512,9,FALSE),0)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الشهر'!$C$10:$AD$119,9,FALSE),0)</f>
        <v>0</v>
      </c>
      <c r="E42" s="362">
        <f>IFERROR(VLOOKUP(C42,'تقرير المصروفات حسب الشهر'!$C$135:$AD$244,9,FALSE),0)</f>
        <v>0</v>
      </c>
      <c r="F42" s="362">
        <f>IFERROR(VLOOKUP(C42,'تقرير المصروفات حسب الشهر'!$C$261:$AD$368,9,FALSE),0)</f>
        <v>0</v>
      </c>
      <c r="G42" s="362">
        <f>IFERROR(VLOOKUP(C42,'تقرير المصروفات حسب الشهر'!$C$387:$AD$495,9,FALSE),0)</f>
        <v>0</v>
      </c>
      <c r="H42" s="362">
        <f>IFERROR(VLOOKUP(C42,'تقرير المصروفات حسب الشهر'!$C$512:$AD$620,9,FALSE),0)</f>
        <v>0</v>
      </c>
      <c r="I42" s="362">
        <f>IFERROR(VLOOKUP(C42,'تقرير المصروفات حسب الشهر'!$C$637:$AD$746,9,FALSE),0)</f>
        <v>0</v>
      </c>
      <c r="J42" s="362">
        <f>IFERROR(VLOOKUP(C42,'تقرير المصروفات حسب الشهر'!$C$763:$AD$872,9,FALSE),0)</f>
        <v>0</v>
      </c>
      <c r="K42" s="362">
        <f>IFERROR(VLOOKUP(C42,'تقرير المصروفات حسب الشهر'!$C$890:$AD$999,9,FALSE),0)</f>
        <v>0</v>
      </c>
      <c r="L42" s="362">
        <f>IFERROR(VLOOKUP(C42,'تقرير المصروفات حسب الشهر'!$C$1016:$AD$1126,9,FALSE),0)</f>
        <v>0</v>
      </c>
      <c r="M42" s="376">
        <f>IFERROR(VLOOKUP(C42,'تقرير المصروفات حسب الشهر'!$C$1143:$AD$1254,9,FALSE),0)</f>
        <v>0</v>
      </c>
      <c r="N42" s="376">
        <f>IFERROR(VLOOKUP(C42,'تقرير المصروفات حسب الشهر'!$C$1270:$AD$1381,9,FALSE),0)</f>
        <v>0</v>
      </c>
      <c r="O42" s="376">
        <f>IFERROR(VLOOKUP(C42,'تقرير المصروفات حسب الشهر'!$C$1397:$AD$1512,9,FALSE),0)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الشهر'!$C$10:$AD$119,9,FALSE),0)</f>
        <v>0</v>
      </c>
      <c r="E43" s="362">
        <f>IFERROR(VLOOKUP(C43,'تقرير المصروفات حسب الشهر'!$C$135:$AD$244,9,FALSE),0)</f>
        <v>0</v>
      </c>
      <c r="F43" s="362">
        <f>IFERROR(VLOOKUP(C43,'تقرير المصروفات حسب الشهر'!$C$261:$AD$368,9,FALSE),0)</f>
        <v>0</v>
      </c>
      <c r="G43" s="362">
        <f>IFERROR(VLOOKUP(C43,'تقرير المصروفات حسب الشهر'!$C$387:$AD$495,9,FALSE),0)</f>
        <v>0</v>
      </c>
      <c r="H43" s="362">
        <f>IFERROR(VLOOKUP(C43,'تقرير المصروفات حسب الشهر'!$C$512:$AD$620,9,FALSE),0)</f>
        <v>0</v>
      </c>
      <c r="I43" s="362">
        <f>IFERROR(VLOOKUP(C43,'تقرير المصروفات حسب الشهر'!$C$637:$AD$746,9,FALSE),0)</f>
        <v>0</v>
      </c>
      <c r="J43" s="362">
        <f>IFERROR(VLOOKUP(C43,'تقرير المصروفات حسب الشهر'!$C$763:$AD$872,9,FALSE),0)</f>
        <v>0</v>
      </c>
      <c r="K43" s="362">
        <f>IFERROR(VLOOKUP(C43,'تقرير المصروفات حسب الشهر'!$C$890:$AD$999,9,FALSE),0)</f>
        <v>0</v>
      </c>
      <c r="L43" s="362">
        <f>IFERROR(VLOOKUP(C43,'تقرير المصروفات حسب الشهر'!$C$1016:$AD$1126,9,FALSE),0)</f>
        <v>0</v>
      </c>
      <c r="M43" s="376">
        <f>IFERROR(VLOOKUP(C43,'تقرير المصروفات حسب الشهر'!$C$1143:$AD$1254,9,FALSE),0)</f>
        <v>0</v>
      </c>
      <c r="N43" s="376">
        <f>IFERROR(VLOOKUP(C43,'تقرير المصروفات حسب الشهر'!$C$1270:$AD$1381,9,FALSE),0)</f>
        <v>0</v>
      </c>
      <c r="O43" s="376">
        <f>IFERROR(VLOOKUP(C43,'تقرير المصروفات حسب الشهر'!$C$1397:$AD$1512,9,FALSE),0)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الشهر'!$C$10:$AD$119,9,FALSE),0)</f>
        <v>0</v>
      </c>
      <c r="E44" s="362">
        <f>IFERROR(VLOOKUP(C44,'تقرير المصروفات حسب الشهر'!$C$135:$AD$244,9,FALSE),0)</f>
        <v>0</v>
      </c>
      <c r="F44" s="362">
        <f>IFERROR(VLOOKUP(C44,'تقرير المصروفات حسب الشهر'!$C$261:$AD$368,9,FALSE),0)</f>
        <v>0</v>
      </c>
      <c r="G44" s="362">
        <f>IFERROR(VLOOKUP(C44,'تقرير المصروفات حسب الشهر'!$C$387:$AD$495,9,FALSE),0)</f>
        <v>0</v>
      </c>
      <c r="H44" s="362">
        <f>IFERROR(VLOOKUP(C44,'تقرير المصروفات حسب الشهر'!$C$512:$AD$620,9,FALSE),0)</f>
        <v>0</v>
      </c>
      <c r="I44" s="362">
        <f>IFERROR(VLOOKUP(C44,'تقرير المصروفات حسب الشهر'!$C$637:$AD$746,9,FALSE),0)</f>
        <v>0</v>
      </c>
      <c r="J44" s="362">
        <f>IFERROR(VLOOKUP(C44,'تقرير المصروفات حسب الشهر'!$C$763:$AD$872,9,FALSE),0)</f>
        <v>0</v>
      </c>
      <c r="K44" s="362">
        <f>IFERROR(VLOOKUP(C44,'تقرير المصروفات حسب الشهر'!$C$890:$AD$999,9,FALSE),0)</f>
        <v>0</v>
      </c>
      <c r="L44" s="362">
        <f>IFERROR(VLOOKUP(C44,'تقرير المصروفات حسب الشهر'!$C$1016:$AD$1126,9,FALSE),0)</f>
        <v>0</v>
      </c>
      <c r="M44" s="376">
        <f>IFERROR(VLOOKUP(C44,'تقرير المصروفات حسب الشهر'!$C$1143:$AD$1254,9,FALSE),0)</f>
        <v>0</v>
      </c>
      <c r="N44" s="376">
        <f>IFERROR(VLOOKUP(C44,'تقرير المصروفات حسب الشهر'!$C$1270:$AD$1381,9,FALSE),0)</f>
        <v>0</v>
      </c>
      <c r="O44" s="376">
        <f>IFERROR(VLOOKUP(C44,'تقرير المصروفات حسب الشهر'!$C$1397:$AD$1512,9,FALSE),0)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الشهر'!$C$10:$AD$119,9,FALSE),0)</f>
        <v>0</v>
      </c>
      <c r="E45" s="362">
        <f>IFERROR(VLOOKUP(C45,'تقرير المصروفات حسب الشهر'!$C$135:$AD$244,9,FALSE),0)</f>
        <v>0</v>
      </c>
      <c r="F45" s="362">
        <f>IFERROR(VLOOKUP(C45,'تقرير المصروفات حسب الشهر'!$C$261:$AD$368,9,FALSE),0)</f>
        <v>0</v>
      </c>
      <c r="G45" s="362">
        <f>IFERROR(VLOOKUP(C45,'تقرير المصروفات حسب الشهر'!$C$387:$AD$495,9,FALSE),0)</f>
        <v>0</v>
      </c>
      <c r="H45" s="362">
        <f>IFERROR(VLOOKUP(C45,'تقرير المصروفات حسب الشهر'!$C$512:$AD$620,9,FALSE),0)</f>
        <v>0</v>
      </c>
      <c r="I45" s="362">
        <f>IFERROR(VLOOKUP(C45,'تقرير المصروفات حسب الشهر'!$C$637:$AD$746,9,FALSE),0)</f>
        <v>0</v>
      </c>
      <c r="J45" s="362">
        <f>IFERROR(VLOOKUP(C45,'تقرير المصروفات حسب الشهر'!$C$763:$AD$872,9,FALSE),0)</f>
        <v>0</v>
      </c>
      <c r="K45" s="362">
        <f>IFERROR(VLOOKUP(C45,'تقرير المصروفات حسب الشهر'!$C$890:$AD$999,9,FALSE),0)</f>
        <v>0</v>
      </c>
      <c r="L45" s="362">
        <f>IFERROR(VLOOKUP(C45,'تقرير المصروفات حسب الشهر'!$C$1016:$AD$1126,9,FALSE),0)</f>
        <v>0</v>
      </c>
      <c r="M45" s="376">
        <f>IFERROR(VLOOKUP(C45,'تقرير المصروفات حسب الشهر'!$C$1143:$AD$1254,9,FALSE),0)</f>
        <v>0</v>
      </c>
      <c r="N45" s="376">
        <f>IFERROR(VLOOKUP(C45,'تقرير المصروفات حسب الشهر'!$C$1270:$AD$1381,9,FALSE),0)</f>
        <v>0</v>
      </c>
      <c r="O45" s="376">
        <f>IFERROR(VLOOKUP(C45,'تقرير المصروفات حسب الشهر'!$C$1397:$AD$1512,9,FALSE),0)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الشهر'!$C$10:$AD$119,9,FALSE),0)</f>
        <v>0</v>
      </c>
      <c r="E46" s="362">
        <f>IFERROR(VLOOKUP(C46,'تقرير المصروفات حسب الشهر'!$C$135:$AD$244,9,FALSE),0)</f>
        <v>0</v>
      </c>
      <c r="F46" s="362">
        <f>IFERROR(VLOOKUP(C46,'تقرير المصروفات حسب الشهر'!$C$261:$AD$368,9,FALSE),0)</f>
        <v>0</v>
      </c>
      <c r="G46" s="362">
        <f>IFERROR(VLOOKUP(C46,'تقرير المصروفات حسب الشهر'!$C$387:$AD$495,9,FALSE),0)</f>
        <v>0</v>
      </c>
      <c r="H46" s="362">
        <f>IFERROR(VLOOKUP(C46,'تقرير المصروفات حسب الشهر'!$C$512:$AD$620,9,FALSE),0)</f>
        <v>0</v>
      </c>
      <c r="I46" s="362">
        <f>IFERROR(VLOOKUP(C46,'تقرير المصروفات حسب الشهر'!$C$637:$AD$746,9,FALSE),0)</f>
        <v>0</v>
      </c>
      <c r="J46" s="362">
        <f>IFERROR(VLOOKUP(C46,'تقرير المصروفات حسب الشهر'!$C$763:$AD$872,9,FALSE),0)</f>
        <v>0</v>
      </c>
      <c r="K46" s="362">
        <f>IFERROR(VLOOKUP(C46,'تقرير المصروفات حسب الشهر'!$C$890:$AD$999,9,FALSE),0)</f>
        <v>0</v>
      </c>
      <c r="L46" s="362">
        <f>IFERROR(VLOOKUP(C46,'تقرير المصروفات حسب الشهر'!$C$1016:$AD$1126,9,FALSE),0)</f>
        <v>0</v>
      </c>
      <c r="M46" s="376">
        <f>IFERROR(VLOOKUP(C46,'تقرير المصروفات حسب الشهر'!$C$1143:$AD$1254,9,FALSE),0)</f>
        <v>0</v>
      </c>
      <c r="N46" s="376">
        <f>IFERROR(VLOOKUP(C46,'تقرير المصروفات حسب الشهر'!$C$1270:$AD$1381,9,FALSE),0)</f>
        <v>0</v>
      </c>
      <c r="O46" s="376">
        <f>IFERROR(VLOOKUP(C46,'تقرير المصروفات حسب الشهر'!$C$1397:$AD$1512,9,FALSE),0)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الشهر'!$C$10:$AD$119,9,FALSE),0)</f>
        <v>0</v>
      </c>
      <c r="E47" s="362">
        <f>IFERROR(VLOOKUP(C47,'تقرير المصروفات حسب الشهر'!$C$135:$AD$244,9,FALSE),0)</f>
        <v>0</v>
      </c>
      <c r="F47" s="362">
        <f>IFERROR(VLOOKUP(C47,'تقرير المصروفات حسب الشهر'!$C$261:$AD$368,9,FALSE),0)</f>
        <v>0</v>
      </c>
      <c r="G47" s="362">
        <f>IFERROR(VLOOKUP(C47,'تقرير المصروفات حسب الشهر'!$C$387:$AD$495,9,FALSE),0)</f>
        <v>0</v>
      </c>
      <c r="H47" s="362">
        <f>IFERROR(VLOOKUP(C47,'تقرير المصروفات حسب الشهر'!$C$512:$AD$620,9,FALSE),0)</f>
        <v>0</v>
      </c>
      <c r="I47" s="362">
        <f>IFERROR(VLOOKUP(C47,'تقرير المصروفات حسب الشهر'!$C$637:$AD$746,9,FALSE),0)</f>
        <v>0</v>
      </c>
      <c r="J47" s="362">
        <f>IFERROR(VLOOKUP(C47,'تقرير المصروفات حسب الشهر'!$C$763:$AD$872,9,FALSE),0)</f>
        <v>0</v>
      </c>
      <c r="K47" s="362">
        <f>IFERROR(VLOOKUP(C47,'تقرير المصروفات حسب الشهر'!$C$890:$AD$999,9,FALSE),0)</f>
        <v>0</v>
      </c>
      <c r="L47" s="362">
        <f>IFERROR(VLOOKUP(C47,'تقرير المصروفات حسب الشهر'!$C$1016:$AD$1126,9,FALSE),0)</f>
        <v>0</v>
      </c>
      <c r="M47" s="376">
        <f>IFERROR(VLOOKUP(C47,'تقرير المصروفات حسب الشهر'!$C$1143:$AD$1254,9,FALSE),0)</f>
        <v>0</v>
      </c>
      <c r="N47" s="376">
        <f>IFERROR(VLOOKUP(C47,'تقرير المصروفات حسب الشهر'!$C$1270:$AD$1381,9,FALSE),0)</f>
        <v>0</v>
      </c>
      <c r="O47" s="376">
        <f>IFERROR(VLOOKUP(C47,'تقرير المصروفات حسب الشهر'!$C$1397:$AD$1512,9,FALSE),0)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الشهر'!$C$10:$AD$119,9,FALSE),0)</f>
        <v>0</v>
      </c>
      <c r="E48" s="362">
        <f>IFERROR(VLOOKUP(C48,'تقرير المصروفات حسب الشهر'!$C$135:$AD$244,9,FALSE),0)</f>
        <v>0</v>
      </c>
      <c r="F48" s="362">
        <f>IFERROR(VLOOKUP(C48,'تقرير المصروفات حسب الشهر'!$C$261:$AD$368,9,FALSE),0)</f>
        <v>0</v>
      </c>
      <c r="G48" s="362">
        <f>IFERROR(VLOOKUP(C48,'تقرير المصروفات حسب الشهر'!$C$387:$AD$495,9,FALSE),0)</f>
        <v>0</v>
      </c>
      <c r="H48" s="362">
        <f>IFERROR(VLOOKUP(C48,'تقرير المصروفات حسب الشهر'!$C$512:$AD$620,9,FALSE),0)</f>
        <v>0</v>
      </c>
      <c r="I48" s="362">
        <f>IFERROR(VLOOKUP(C48,'تقرير المصروفات حسب الشهر'!$C$637:$AD$746,9,FALSE),0)</f>
        <v>0</v>
      </c>
      <c r="J48" s="362">
        <f>IFERROR(VLOOKUP(C48,'تقرير المصروفات حسب الشهر'!$C$763:$AD$872,9,FALSE),0)</f>
        <v>0</v>
      </c>
      <c r="K48" s="362">
        <f>IFERROR(VLOOKUP(C48,'تقرير المصروفات حسب الشهر'!$C$890:$AD$999,9,FALSE),0)</f>
        <v>0</v>
      </c>
      <c r="L48" s="362">
        <f>IFERROR(VLOOKUP(C48,'تقرير المصروفات حسب الشهر'!$C$1016:$AD$1126,9,FALSE),0)</f>
        <v>0</v>
      </c>
      <c r="M48" s="376">
        <f>IFERROR(VLOOKUP(C48,'تقرير المصروفات حسب الشهر'!$C$1143:$AD$1254,9,FALSE),0)</f>
        <v>0</v>
      </c>
      <c r="N48" s="376">
        <f>IFERROR(VLOOKUP(C48,'تقرير المصروفات حسب الشهر'!$C$1270:$AD$1381,9,FALSE),0)</f>
        <v>0</v>
      </c>
      <c r="O48" s="376">
        <f>IFERROR(VLOOKUP(C48,'تقرير المصروفات حسب الشهر'!$C$1397:$AD$1512,9,FALSE),0)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الشهر'!$C$10:$AD$119,9,FALSE),0)</f>
        <v>0</v>
      </c>
      <c r="E49" s="362">
        <f>IFERROR(VLOOKUP(C49,'تقرير المصروفات حسب الشهر'!$C$135:$AD$244,9,FALSE),0)</f>
        <v>0</v>
      </c>
      <c r="F49" s="362">
        <f>IFERROR(VLOOKUP(C49,'تقرير المصروفات حسب الشهر'!$C$261:$AD$368,9,FALSE),0)</f>
        <v>0</v>
      </c>
      <c r="G49" s="362">
        <f>IFERROR(VLOOKUP(C49,'تقرير المصروفات حسب الشهر'!$C$387:$AD$495,9,FALSE),0)</f>
        <v>0</v>
      </c>
      <c r="H49" s="362">
        <f>IFERROR(VLOOKUP(C49,'تقرير المصروفات حسب الشهر'!$C$512:$AD$620,9,FALSE),0)</f>
        <v>0</v>
      </c>
      <c r="I49" s="362">
        <f>IFERROR(VLOOKUP(C49,'تقرير المصروفات حسب الشهر'!$C$637:$AD$746,9,FALSE),0)</f>
        <v>0</v>
      </c>
      <c r="J49" s="362">
        <f>IFERROR(VLOOKUP(C49,'تقرير المصروفات حسب الشهر'!$C$763:$AD$872,9,FALSE),0)</f>
        <v>0</v>
      </c>
      <c r="K49" s="362">
        <f>IFERROR(VLOOKUP(C49,'تقرير المصروفات حسب الشهر'!$C$890:$AD$999,9,FALSE),0)</f>
        <v>0</v>
      </c>
      <c r="L49" s="362">
        <f>IFERROR(VLOOKUP(C49,'تقرير المصروفات حسب الشهر'!$C$1016:$AD$1126,9,FALSE),0)</f>
        <v>0</v>
      </c>
      <c r="M49" s="376">
        <f>IFERROR(VLOOKUP(C49,'تقرير المصروفات حسب الشهر'!$C$1143:$AD$1254,9,FALSE),0)</f>
        <v>0</v>
      </c>
      <c r="N49" s="376">
        <f>IFERROR(VLOOKUP(C49,'تقرير المصروفات حسب الشهر'!$C$1270:$AD$1381,9,FALSE),0)</f>
        <v>0</v>
      </c>
      <c r="O49" s="376">
        <f>IFERROR(VLOOKUP(C49,'تقرير المصروفات حسب الشهر'!$C$1397:$AD$1512,9,FALSE),0)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الشهر'!$C$10:$AD$119,9,FALSE),0)</f>
        <v>0</v>
      </c>
      <c r="E50" s="362">
        <f>IFERROR(VLOOKUP(C50,'تقرير المصروفات حسب الشهر'!$C$135:$AD$244,9,FALSE),0)</f>
        <v>0</v>
      </c>
      <c r="F50" s="362">
        <f>IFERROR(VLOOKUP(C50,'تقرير المصروفات حسب الشهر'!$C$261:$AD$368,9,FALSE),0)</f>
        <v>0</v>
      </c>
      <c r="G50" s="362">
        <f>IFERROR(VLOOKUP(C50,'تقرير المصروفات حسب الشهر'!$C$387:$AD$495,9,FALSE),0)</f>
        <v>0</v>
      </c>
      <c r="H50" s="362">
        <f>IFERROR(VLOOKUP(C50,'تقرير المصروفات حسب الشهر'!$C$512:$AD$620,9,FALSE),0)</f>
        <v>0</v>
      </c>
      <c r="I50" s="362">
        <f>IFERROR(VLOOKUP(C50,'تقرير المصروفات حسب الشهر'!$C$637:$AD$746,9,FALSE),0)</f>
        <v>0</v>
      </c>
      <c r="J50" s="362">
        <f>IFERROR(VLOOKUP(C50,'تقرير المصروفات حسب الشهر'!$C$763:$AD$872,9,FALSE),0)</f>
        <v>0</v>
      </c>
      <c r="K50" s="362">
        <f>IFERROR(VLOOKUP(C50,'تقرير المصروفات حسب الشهر'!$C$890:$AD$999,9,FALSE),0)</f>
        <v>0</v>
      </c>
      <c r="L50" s="362">
        <f>IFERROR(VLOOKUP(C50,'تقرير المصروفات حسب الشهر'!$C$1016:$AD$1126,9,FALSE),0)</f>
        <v>0</v>
      </c>
      <c r="M50" s="376">
        <f>IFERROR(VLOOKUP(C50,'تقرير المصروفات حسب الشهر'!$C$1143:$AD$1254,9,FALSE),0)</f>
        <v>0</v>
      </c>
      <c r="N50" s="376">
        <f>IFERROR(VLOOKUP(C50,'تقرير المصروفات حسب الشهر'!$C$1270:$AD$1381,9,FALSE),0)</f>
        <v>0</v>
      </c>
      <c r="O50" s="376">
        <f>IFERROR(VLOOKUP(C50,'تقرير المصروفات حسب الشهر'!$C$1397:$AD$1512,9,FALSE),0)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الشهر'!$C$10:$AD$119,9,FALSE),0)</f>
        <v>0</v>
      </c>
      <c r="E51" s="362">
        <f>IFERROR(VLOOKUP(C51,'تقرير المصروفات حسب الشهر'!$C$135:$AD$244,9,FALSE),0)</f>
        <v>0</v>
      </c>
      <c r="F51" s="362">
        <f>IFERROR(VLOOKUP(C51,'تقرير المصروفات حسب الشهر'!$C$261:$AD$368,9,FALSE),0)</f>
        <v>0</v>
      </c>
      <c r="G51" s="362">
        <f>IFERROR(VLOOKUP(C51,'تقرير المصروفات حسب الشهر'!$C$387:$AD$495,9,FALSE),0)</f>
        <v>0</v>
      </c>
      <c r="H51" s="362">
        <f>IFERROR(VLOOKUP(C51,'تقرير المصروفات حسب الشهر'!$C$512:$AD$620,9,FALSE),0)</f>
        <v>0</v>
      </c>
      <c r="I51" s="362">
        <f>IFERROR(VLOOKUP(C51,'تقرير المصروفات حسب الشهر'!$C$637:$AD$746,9,FALSE),0)</f>
        <v>0</v>
      </c>
      <c r="J51" s="362">
        <f>IFERROR(VLOOKUP(C51,'تقرير المصروفات حسب الشهر'!$C$763:$AD$872,9,FALSE),0)</f>
        <v>0</v>
      </c>
      <c r="K51" s="362">
        <f>IFERROR(VLOOKUP(C51,'تقرير المصروفات حسب الشهر'!$C$890:$AD$999,9,FALSE),0)</f>
        <v>0</v>
      </c>
      <c r="L51" s="362">
        <f>IFERROR(VLOOKUP(C51,'تقرير المصروفات حسب الشهر'!$C$1016:$AD$1126,9,FALSE),0)</f>
        <v>0</v>
      </c>
      <c r="M51" s="376">
        <f>IFERROR(VLOOKUP(C51,'تقرير المصروفات حسب الشهر'!$C$1143:$AD$1254,9,FALSE),0)</f>
        <v>0</v>
      </c>
      <c r="N51" s="376">
        <f>IFERROR(VLOOKUP(C51,'تقرير المصروفات حسب الشهر'!$C$1270:$AD$1381,9,FALSE),0)</f>
        <v>0</v>
      </c>
      <c r="O51" s="376">
        <f>IFERROR(VLOOKUP(C51,'تقرير المصروفات حسب الشهر'!$C$1397:$AD$1512,9,FALSE),0)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الشهر'!$C$10:$AD$119,9,FALSE),0)</f>
        <v>2400</v>
      </c>
      <c r="E52" s="362">
        <f>IFERROR(VLOOKUP(C52,'تقرير المصروفات حسب الشهر'!$C$135:$AD$244,9,FALSE),0)</f>
        <v>2755</v>
      </c>
      <c r="F52" s="362">
        <f>IFERROR(VLOOKUP(C52,'تقرير المصروفات حسب الشهر'!$C$261:$AD$368,9,FALSE),0)</f>
        <v>0</v>
      </c>
      <c r="G52" s="362">
        <f>IFERROR(VLOOKUP(C52,'تقرير المصروفات حسب الشهر'!$C$387:$AD$495,9,FALSE),0)</f>
        <v>0</v>
      </c>
      <c r="H52" s="362">
        <f>IFERROR(VLOOKUP(C52,'تقرير المصروفات حسب الشهر'!$C$512:$AD$620,9,FALSE),0)</f>
        <v>0</v>
      </c>
      <c r="I52" s="362">
        <f>IFERROR(VLOOKUP(C52,'تقرير المصروفات حسب الشهر'!$C$637:$AD$746,9,FALSE),0)</f>
        <v>0</v>
      </c>
      <c r="J52" s="362">
        <f>IFERROR(VLOOKUP(C52,'تقرير المصروفات حسب الشهر'!$C$763:$AD$872,9,FALSE),0)</f>
        <v>0</v>
      </c>
      <c r="K52" s="362">
        <f>IFERROR(VLOOKUP(C52,'تقرير المصروفات حسب الشهر'!$C$890:$AD$999,9,FALSE),0)</f>
        <v>0</v>
      </c>
      <c r="L52" s="362">
        <f>IFERROR(VLOOKUP(C52,'تقرير المصروفات حسب الشهر'!$C$1016:$AD$1126,9,FALSE),0)</f>
        <v>0</v>
      </c>
      <c r="M52" s="376">
        <f>IFERROR(VLOOKUP(C52,'تقرير المصروفات حسب الشهر'!$C$1143:$AD$1254,9,FALSE),0)</f>
        <v>0</v>
      </c>
      <c r="N52" s="376">
        <f>IFERROR(VLOOKUP(C52,'تقرير المصروفات حسب الشهر'!$C$1270:$AD$1381,9,FALSE),0)</f>
        <v>0</v>
      </c>
      <c r="O52" s="376">
        <f>IFERROR(VLOOKUP(C52,'تقرير المصروفات حسب الشهر'!$C$1397:$AD$1512,9,FALSE),0)</f>
        <v>0</v>
      </c>
      <c r="P52" s="364">
        <f t="shared" si="5"/>
        <v>5155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الشهر'!$C$10:$AD$119,9,FALSE),0)</f>
        <v>0</v>
      </c>
      <c r="E53" s="362">
        <f>IFERROR(VLOOKUP(C53,'تقرير المصروفات حسب الشهر'!$C$135:$AD$244,9,FALSE),0)</f>
        <v>0</v>
      </c>
      <c r="F53" s="362">
        <f>IFERROR(VLOOKUP(C53,'تقرير المصروفات حسب الشهر'!$C$261:$AD$368,9,FALSE),0)</f>
        <v>0</v>
      </c>
      <c r="G53" s="362">
        <f>IFERROR(VLOOKUP(C53,'تقرير المصروفات حسب الشهر'!$C$387:$AD$495,9,FALSE),0)</f>
        <v>0</v>
      </c>
      <c r="H53" s="362">
        <f>IFERROR(VLOOKUP(C53,'تقرير المصروفات حسب الشهر'!$C$512:$AD$620,9,FALSE),0)</f>
        <v>0</v>
      </c>
      <c r="I53" s="362">
        <f>IFERROR(VLOOKUP(C53,'تقرير المصروفات حسب الشهر'!$C$637:$AD$746,9,FALSE),0)</f>
        <v>0</v>
      </c>
      <c r="J53" s="362">
        <f>IFERROR(VLOOKUP(C53,'تقرير المصروفات حسب الشهر'!$C$763:$AD$872,9,FALSE),0)</f>
        <v>0</v>
      </c>
      <c r="K53" s="362">
        <f>IFERROR(VLOOKUP(C53,'تقرير المصروفات حسب الشهر'!$C$890:$AD$999,9,FALSE),0)</f>
        <v>0</v>
      </c>
      <c r="L53" s="362">
        <f>IFERROR(VLOOKUP(C53,'تقرير المصروفات حسب الشهر'!$C$1016:$AD$1126,9,FALSE),0)</f>
        <v>0</v>
      </c>
      <c r="M53" s="376">
        <f>IFERROR(VLOOKUP(C53,'تقرير المصروفات حسب الشهر'!$C$1143:$AD$1254,9,FALSE),0)</f>
        <v>0</v>
      </c>
      <c r="N53" s="376">
        <f>IFERROR(VLOOKUP(C53,'تقرير المصروفات حسب الشهر'!$C$1270:$AD$1381,9,FALSE),0)</f>
        <v>0</v>
      </c>
      <c r="O53" s="376">
        <f>IFERROR(VLOOKUP(C53,'تقرير المصروفات حسب الشهر'!$C$1397:$AD$1512,9,FALSE),0)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الشهر'!$C$10:$AD$119,9,FALSE),0)</f>
        <v>200</v>
      </c>
      <c r="E54" s="362">
        <f>IFERROR(VLOOKUP(C54,'تقرير المصروفات حسب الشهر'!$C$135:$AD$244,9,FALSE),0)</f>
        <v>0</v>
      </c>
      <c r="F54" s="362">
        <f>IFERROR(VLOOKUP(C54,'تقرير المصروفات حسب الشهر'!$C$261:$AD$368,9,FALSE),0)</f>
        <v>0</v>
      </c>
      <c r="G54" s="362">
        <f>IFERROR(VLOOKUP(C54,'تقرير المصروفات حسب الشهر'!$C$387:$AD$495,9,FALSE),0)</f>
        <v>400</v>
      </c>
      <c r="H54" s="362">
        <f>IFERROR(VLOOKUP(C54,'تقرير المصروفات حسب الشهر'!$C$512:$AD$620,9,FALSE),0)</f>
        <v>0</v>
      </c>
      <c r="I54" s="362">
        <f>IFERROR(VLOOKUP(C54,'تقرير المصروفات حسب الشهر'!$C$637:$AD$746,9,FALSE),0)</f>
        <v>0</v>
      </c>
      <c r="J54" s="362">
        <f>IFERROR(VLOOKUP(C54,'تقرير المصروفات حسب الشهر'!$C$763:$AD$872,9,FALSE),0)</f>
        <v>200</v>
      </c>
      <c r="K54" s="362">
        <f>IFERROR(VLOOKUP(C54,'تقرير المصروفات حسب الشهر'!$C$890:$AD$999,9,FALSE),0)</f>
        <v>0</v>
      </c>
      <c r="L54" s="362">
        <f>IFERROR(VLOOKUP(C54,'تقرير المصروفات حسب الشهر'!$C$1016:$AD$1126,9,FALSE),0)</f>
        <v>0</v>
      </c>
      <c r="M54" s="376">
        <f>IFERROR(VLOOKUP(C54,'تقرير المصروفات حسب الشهر'!$C$1143:$AD$1254,9,FALSE),0)</f>
        <v>400</v>
      </c>
      <c r="N54" s="376">
        <f>IFERROR(VLOOKUP(C54,'تقرير المصروفات حسب الشهر'!$C$1270:$AD$1381,9,FALSE),0)</f>
        <v>0</v>
      </c>
      <c r="O54" s="376">
        <f>IFERROR(VLOOKUP(C54,'تقرير المصروفات حسب الشهر'!$C$1397:$AD$1512,9,FALSE),0)</f>
        <v>0</v>
      </c>
      <c r="P54" s="364">
        <f t="shared" si="5"/>
        <v>1200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الشهر'!$C$10:$AD$119,9,FALSE),0)</f>
        <v>0</v>
      </c>
      <c r="E55" s="362">
        <f>IFERROR(VLOOKUP(C55,'تقرير المصروفات حسب الشهر'!$C$135:$AD$244,9,FALSE),0)</f>
        <v>0</v>
      </c>
      <c r="F55" s="362">
        <f>IFERROR(VLOOKUP(C55,'تقرير المصروفات حسب الشهر'!$C$261:$AD$368,9,FALSE),0)</f>
        <v>0</v>
      </c>
      <c r="G55" s="362">
        <f>IFERROR(VLOOKUP(C55,'تقرير المصروفات حسب الشهر'!$C$387:$AD$495,9,FALSE),0)</f>
        <v>0</v>
      </c>
      <c r="H55" s="362">
        <f>IFERROR(VLOOKUP(C55,'تقرير المصروفات حسب الشهر'!$C$512:$AD$620,9,FALSE),0)</f>
        <v>0</v>
      </c>
      <c r="I55" s="362">
        <f>IFERROR(VLOOKUP(C55,'تقرير المصروفات حسب الشهر'!$C$637:$AD$746,9,FALSE),0)</f>
        <v>0</v>
      </c>
      <c r="J55" s="362">
        <f>IFERROR(VLOOKUP(C55,'تقرير المصروفات حسب الشهر'!$C$763:$AD$872,9,FALSE),0)</f>
        <v>0</v>
      </c>
      <c r="K55" s="362">
        <f>IFERROR(VLOOKUP(C55,'تقرير المصروفات حسب الشهر'!$C$890:$AD$999,9,FALSE),0)</f>
        <v>0</v>
      </c>
      <c r="L55" s="362">
        <f>IFERROR(VLOOKUP(C55,'تقرير المصروفات حسب الشهر'!$C$1016:$AD$1126,9,FALSE),0)</f>
        <v>0</v>
      </c>
      <c r="M55" s="376">
        <f>IFERROR(VLOOKUP(C55,'تقرير المصروفات حسب الشهر'!$C$1143:$AD$1254,9,FALSE),0)</f>
        <v>0</v>
      </c>
      <c r="N55" s="376">
        <f>IFERROR(VLOOKUP(C55,'تقرير المصروفات حسب الشهر'!$C$1270:$AD$1381,9,FALSE),0)</f>
        <v>0</v>
      </c>
      <c r="O55" s="376">
        <f>IFERROR(VLOOKUP(C55,'تقرير المصروفات حسب الشهر'!$C$1397:$AD$1512,9,FALSE),0)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الشهر'!$C$10:$AD$119,9,FALSE),0)</f>
        <v>0</v>
      </c>
      <c r="E56" s="362">
        <f>IFERROR(VLOOKUP(C56,'تقرير المصروفات حسب الشهر'!$C$135:$AD$244,9,FALSE),0)</f>
        <v>0</v>
      </c>
      <c r="F56" s="362">
        <f>IFERROR(VLOOKUP(C56,'تقرير المصروفات حسب الشهر'!$C$261:$AD$368,9,FALSE),0)</f>
        <v>0</v>
      </c>
      <c r="G56" s="362">
        <f>IFERROR(VLOOKUP(C56,'تقرير المصروفات حسب الشهر'!$C$387:$AD$495,9,FALSE),0)</f>
        <v>0</v>
      </c>
      <c r="H56" s="362">
        <f>IFERROR(VLOOKUP(C56,'تقرير المصروفات حسب الشهر'!$C$512:$AD$620,9,FALSE),0)</f>
        <v>0</v>
      </c>
      <c r="I56" s="362">
        <f>IFERROR(VLOOKUP(C56,'تقرير المصروفات حسب الشهر'!$C$637:$AD$746,9,FALSE),0)</f>
        <v>0</v>
      </c>
      <c r="J56" s="362">
        <f>IFERROR(VLOOKUP(C56,'تقرير المصروفات حسب الشهر'!$C$763:$AD$872,9,FALSE),0)</f>
        <v>0</v>
      </c>
      <c r="K56" s="362">
        <f>IFERROR(VLOOKUP(C56,'تقرير المصروفات حسب الشهر'!$C$890:$AD$999,9,FALSE),0)</f>
        <v>0</v>
      </c>
      <c r="L56" s="362">
        <f>IFERROR(VLOOKUP(C56,'تقرير المصروفات حسب الشهر'!$C$1016:$AD$1126,9,FALSE),0)</f>
        <v>0</v>
      </c>
      <c r="M56" s="376">
        <f>IFERROR(VLOOKUP(C56,'تقرير المصروفات حسب الشهر'!$C$1143:$AD$1254,9,FALSE),0)</f>
        <v>0</v>
      </c>
      <c r="N56" s="376">
        <f>IFERROR(VLOOKUP(C56,'تقرير المصروفات حسب الشهر'!$C$1270:$AD$1381,9,FALSE),0)</f>
        <v>0</v>
      </c>
      <c r="O56" s="376">
        <f>IFERROR(VLOOKUP(C56,'تقرير المصروفات حسب الشهر'!$C$1397:$AD$1512,9,FALSE),0)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الشهر'!$C$10:$AD$119,9,FALSE),0)</f>
        <v>0</v>
      </c>
      <c r="E57" s="362">
        <f>IFERROR(VLOOKUP(C57,'تقرير المصروفات حسب الشهر'!$C$135:$AD$244,9,FALSE),0)</f>
        <v>0</v>
      </c>
      <c r="F57" s="362">
        <f>IFERROR(VLOOKUP(C57,'تقرير المصروفات حسب الشهر'!$C$261:$AD$368,9,FALSE),0)</f>
        <v>0</v>
      </c>
      <c r="G57" s="362">
        <f>IFERROR(VLOOKUP(C57,'تقرير المصروفات حسب الشهر'!$C$387:$AD$495,9,FALSE),0)</f>
        <v>0</v>
      </c>
      <c r="H57" s="362">
        <f>IFERROR(VLOOKUP(C57,'تقرير المصروفات حسب الشهر'!$C$512:$AD$620,9,FALSE),0)</f>
        <v>0</v>
      </c>
      <c r="I57" s="362">
        <f>IFERROR(VLOOKUP(C57,'تقرير المصروفات حسب الشهر'!$C$637:$AD$746,9,FALSE),0)</f>
        <v>0</v>
      </c>
      <c r="J57" s="362">
        <f>IFERROR(VLOOKUP(C57,'تقرير المصروفات حسب الشهر'!$C$763:$AD$872,9,FALSE),0)</f>
        <v>0</v>
      </c>
      <c r="K57" s="362">
        <f>IFERROR(VLOOKUP(C57,'تقرير المصروفات حسب الشهر'!$C$890:$AD$999,9,FALSE),0)</f>
        <v>0</v>
      </c>
      <c r="L57" s="362">
        <f>IFERROR(VLOOKUP(C57,'تقرير المصروفات حسب الشهر'!$C$1016:$AD$1126,9,FALSE),0)</f>
        <v>0</v>
      </c>
      <c r="M57" s="376">
        <f>IFERROR(VLOOKUP(C57,'تقرير المصروفات حسب الشهر'!$C$1143:$AD$1254,9,FALSE),0)</f>
        <v>0</v>
      </c>
      <c r="N57" s="376">
        <f>IFERROR(VLOOKUP(C57,'تقرير المصروفات حسب الشهر'!$C$1270:$AD$1381,9,FALSE),0)</f>
        <v>0</v>
      </c>
      <c r="O57" s="376">
        <f>IFERROR(VLOOKUP(C57,'تقرير المصروفات حسب الشهر'!$C$1397:$AD$1512,9,FALSE),0)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الشهر'!$C$10:$AD$119,9,FALSE),0)</f>
        <v>0</v>
      </c>
      <c r="E58" s="362">
        <f>IFERROR(VLOOKUP(C58,'تقرير المصروفات حسب الشهر'!$C$135:$AD$244,9,FALSE),0)</f>
        <v>0</v>
      </c>
      <c r="F58" s="362">
        <f>IFERROR(VLOOKUP(C58,'تقرير المصروفات حسب الشهر'!$C$261:$AD$368,9,FALSE),0)</f>
        <v>0</v>
      </c>
      <c r="G58" s="362">
        <f>IFERROR(VLOOKUP(C58,'تقرير المصروفات حسب الشهر'!$C$387:$AD$495,9,FALSE),0)</f>
        <v>0</v>
      </c>
      <c r="H58" s="362">
        <f>IFERROR(VLOOKUP(C58,'تقرير المصروفات حسب الشهر'!$C$512:$AD$620,9,FALSE),0)</f>
        <v>0</v>
      </c>
      <c r="I58" s="362">
        <f>IFERROR(VLOOKUP(C58,'تقرير المصروفات حسب الشهر'!$C$637:$AD$746,9,FALSE),0)</f>
        <v>0</v>
      </c>
      <c r="J58" s="362">
        <f>IFERROR(VLOOKUP(C58,'تقرير المصروفات حسب الشهر'!$C$763:$AD$872,9,FALSE),0)</f>
        <v>0</v>
      </c>
      <c r="K58" s="362">
        <f>IFERROR(VLOOKUP(C58,'تقرير المصروفات حسب الشهر'!$C$890:$AD$999,9,FALSE),0)</f>
        <v>0</v>
      </c>
      <c r="L58" s="362">
        <f>IFERROR(VLOOKUP(C58,'تقرير المصروفات حسب الشهر'!$C$1016:$AD$1126,9,FALSE),0)</f>
        <v>0</v>
      </c>
      <c r="M58" s="376">
        <f>IFERROR(VLOOKUP(C58,'تقرير المصروفات حسب الشهر'!$C$1143:$AD$1254,9,FALSE),0)</f>
        <v>0</v>
      </c>
      <c r="N58" s="376">
        <f>IFERROR(VLOOKUP(C58,'تقرير المصروفات حسب الشهر'!$C$1270:$AD$1381,9,FALSE),0)</f>
        <v>0</v>
      </c>
      <c r="O58" s="376">
        <f>IFERROR(VLOOKUP(C58,'تقرير المصروفات حسب الشهر'!$C$1397:$AD$1512,9,FALSE),0)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الشهر'!$C$10:$AD$119,9,FALSE),0)</f>
        <v>0</v>
      </c>
      <c r="E59" s="362">
        <f>IFERROR(VLOOKUP(C59,'تقرير المصروفات حسب الشهر'!$C$135:$AD$244,9,FALSE),0)</f>
        <v>0</v>
      </c>
      <c r="F59" s="362">
        <f>IFERROR(VLOOKUP(C59,'تقرير المصروفات حسب الشهر'!$C$261:$AD$368,9,FALSE),0)</f>
        <v>0</v>
      </c>
      <c r="G59" s="362">
        <f>IFERROR(VLOOKUP(C59,'تقرير المصروفات حسب الشهر'!$C$387:$AD$495,9,FALSE),0)</f>
        <v>0</v>
      </c>
      <c r="H59" s="362">
        <f>IFERROR(VLOOKUP(C59,'تقرير المصروفات حسب الشهر'!$C$512:$AD$620,9,FALSE),0)</f>
        <v>0</v>
      </c>
      <c r="I59" s="362">
        <f>IFERROR(VLOOKUP(C59,'تقرير المصروفات حسب الشهر'!$C$637:$AD$746,9,FALSE),0)</f>
        <v>0</v>
      </c>
      <c r="J59" s="362">
        <f>IFERROR(VLOOKUP(C59,'تقرير المصروفات حسب الشهر'!$C$763:$AD$872,9,FALSE),0)</f>
        <v>0</v>
      </c>
      <c r="K59" s="362">
        <f>IFERROR(VLOOKUP(C59,'تقرير المصروفات حسب الشهر'!$C$890:$AD$999,9,FALSE),0)</f>
        <v>0</v>
      </c>
      <c r="L59" s="362">
        <f>IFERROR(VLOOKUP(C59,'تقرير المصروفات حسب الشهر'!$C$1016:$AD$1126,9,FALSE),0)</f>
        <v>0</v>
      </c>
      <c r="M59" s="376">
        <f>IFERROR(VLOOKUP(C59,'تقرير المصروفات حسب الشهر'!$C$1143:$AD$1254,9,FALSE),0)</f>
        <v>0</v>
      </c>
      <c r="N59" s="376">
        <f>IFERROR(VLOOKUP(C59,'تقرير المصروفات حسب الشهر'!$C$1270:$AD$1381,9,FALSE),0)</f>
        <v>0</v>
      </c>
      <c r="O59" s="376">
        <f>IFERROR(VLOOKUP(C59,'تقرير المصروفات حسب الشهر'!$C$1397:$AD$1512,9,FALSE),0)</f>
        <v>0</v>
      </c>
      <c r="P59" s="364">
        <f t="shared" si="5"/>
        <v>0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الشهر'!$C$10:$AD$119,9,FALSE),0)</f>
        <v>3120</v>
      </c>
      <c r="E60" s="362">
        <f>IFERROR(VLOOKUP(C60,'تقرير المصروفات حسب الشهر'!$C$135:$AD$244,9,FALSE),0)</f>
        <v>0</v>
      </c>
      <c r="F60" s="362">
        <f>IFERROR(VLOOKUP(C60,'تقرير المصروفات حسب الشهر'!$C$261:$AD$368,9,FALSE),0)</f>
        <v>3000</v>
      </c>
      <c r="G60" s="362">
        <f>IFERROR(VLOOKUP(C60,'تقرير المصروفات حسب الشهر'!$C$387:$AD$495,9,FALSE),0)</f>
        <v>0</v>
      </c>
      <c r="H60" s="362">
        <f>IFERROR(VLOOKUP(C60,'تقرير المصروفات حسب الشهر'!$C$512:$AD$620,9,FALSE),0)</f>
        <v>0</v>
      </c>
      <c r="I60" s="362">
        <f>IFERROR(VLOOKUP(C60,'تقرير المصروفات حسب الشهر'!$C$637:$AD$746,9,FALSE),0)</f>
        <v>1860</v>
      </c>
      <c r="J60" s="362">
        <f>IFERROR(VLOOKUP(C60,'تقرير المصروفات حسب الشهر'!$C$763:$AD$872,9,FALSE),0)</f>
        <v>0</v>
      </c>
      <c r="K60" s="362">
        <f>IFERROR(VLOOKUP(C60,'تقرير المصروفات حسب الشهر'!$C$890:$AD$999,9,FALSE),0)</f>
        <v>3300</v>
      </c>
      <c r="L60" s="362">
        <f>IFERROR(VLOOKUP(C60,'تقرير المصروفات حسب الشهر'!$C$1016:$AD$1126,9,FALSE),0)</f>
        <v>0</v>
      </c>
      <c r="M60" s="376">
        <f>IFERROR(VLOOKUP(C60,'تقرير المصروفات حسب الشهر'!$C$1143:$AD$1254,9,FALSE),0)</f>
        <v>3300</v>
      </c>
      <c r="N60" s="376">
        <f>IFERROR(VLOOKUP(C60,'تقرير المصروفات حسب الشهر'!$C$1270:$AD$1381,9,FALSE),0)</f>
        <v>0</v>
      </c>
      <c r="O60" s="376">
        <f>IFERROR(VLOOKUP(C60,'تقرير المصروفات حسب الشهر'!$C$1397:$AD$1512,9,FALSE),0)</f>
        <v>2640</v>
      </c>
      <c r="P60" s="364">
        <f t="shared" si="5"/>
        <v>17220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الشهر'!$C$10:$AD$119,9,FALSE),0)</f>
        <v>0</v>
      </c>
      <c r="E61" s="362">
        <f>IFERROR(VLOOKUP(C61,'تقرير المصروفات حسب الشهر'!$C$135:$AD$244,9,FALSE),0)</f>
        <v>0</v>
      </c>
      <c r="F61" s="362">
        <f>IFERROR(VLOOKUP(C61,'تقرير المصروفات حسب الشهر'!$C$261:$AD$368,9,FALSE),0)</f>
        <v>0</v>
      </c>
      <c r="G61" s="362">
        <f>IFERROR(VLOOKUP(C61,'تقرير المصروفات حسب الشهر'!$C$387:$AD$495,9,FALSE),0)</f>
        <v>0</v>
      </c>
      <c r="H61" s="362">
        <f>IFERROR(VLOOKUP(C61,'تقرير المصروفات حسب الشهر'!$C$512:$AD$620,9,FALSE),0)</f>
        <v>0</v>
      </c>
      <c r="I61" s="362">
        <f>IFERROR(VLOOKUP(C61,'تقرير المصروفات حسب الشهر'!$C$637:$AD$746,9,FALSE),0)</f>
        <v>0</v>
      </c>
      <c r="J61" s="362">
        <f>IFERROR(VLOOKUP(C61,'تقرير المصروفات حسب الشهر'!$C$763:$AD$872,9,FALSE),0)</f>
        <v>0</v>
      </c>
      <c r="K61" s="362">
        <f>IFERROR(VLOOKUP(C61,'تقرير المصروفات حسب الشهر'!$C$890:$AD$999,9,FALSE),0)</f>
        <v>0</v>
      </c>
      <c r="L61" s="362">
        <f>IFERROR(VLOOKUP(C61,'تقرير المصروفات حسب الشهر'!$C$1016:$AD$1126,9,FALSE),0)</f>
        <v>350</v>
      </c>
      <c r="M61" s="376">
        <f>IFERROR(VLOOKUP(C61,'تقرير المصروفات حسب الشهر'!$C$1143:$AD$1254,9,FALSE),0)</f>
        <v>0</v>
      </c>
      <c r="N61" s="376">
        <f>IFERROR(VLOOKUP(C61,'تقرير المصروفات حسب الشهر'!$C$1270:$AD$1381,9,FALSE),0)</f>
        <v>0</v>
      </c>
      <c r="O61" s="376">
        <f>IFERROR(VLOOKUP(C61,'تقرير المصروفات حسب الشهر'!$C$1397:$AD$1512,9,FALSE),0)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الشهر'!$C$10:$AD$119,9,FALSE),0)</f>
        <v>0</v>
      </c>
      <c r="E62" s="362">
        <f>IFERROR(VLOOKUP(C62,'تقرير المصروفات حسب الشهر'!$C$135:$AD$244,9,FALSE),0)</f>
        <v>0</v>
      </c>
      <c r="F62" s="362">
        <f>IFERROR(VLOOKUP(C62,'تقرير المصروفات حسب الشهر'!$C$261:$AD$368,9,FALSE),0)</f>
        <v>0</v>
      </c>
      <c r="G62" s="362">
        <f>IFERROR(VLOOKUP(C62,'تقرير المصروفات حسب الشهر'!$C$387:$AD$495,9,FALSE),0)</f>
        <v>0</v>
      </c>
      <c r="H62" s="362">
        <f>IFERROR(VLOOKUP(C62,'تقرير المصروفات حسب الشهر'!$C$512:$AD$620,9,FALSE),0)</f>
        <v>0</v>
      </c>
      <c r="I62" s="362">
        <f>IFERROR(VLOOKUP(C62,'تقرير المصروفات حسب الشهر'!$C$637:$AD$746,9,FALSE),0)</f>
        <v>0</v>
      </c>
      <c r="J62" s="362">
        <f>IFERROR(VLOOKUP(C62,'تقرير المصروفات حسب الشهر'!$C$763:$AD$872,9,FALSE),0)</f>
        <v>0</v>
      </c>
      <c r="K62" s="362">
        <f>IFERROR(VLOOKUP(C62,'تقرير المصروفات حسب الشهر'!$C$890:$AD$999,9,FALSE),0)</f>
        <v>0</v>
      </c>
      <c r="L62" s="362">
        <f>IFERROR(VLOOKUP(C62,'تقرير المصروفات حسب الشهر'!$C$1016:$AD$1126,9,FALSE),0)</f>
        <v>0</v>
      </c>
      <c r="M62" s="376">
        <f>IFERROR(VLOOKUP(C62,'تقرير المصروفات حسب الشهر'!$C$1143:$AD$1254,9,FALSE),0)</f>
        <v>0</v>
      </c>
      <c r="N62" s="376">
        <f>IFERROR(VLOOKUP(C62,'تقرير المصروفات حسب الشهر'!$C$1270:$AD$1381,9,FALSE),0)</f>
        <v>0</v>
      </c>
      <c r="O62" s="376">
        <f>IFERROR(VLOOKUP(C62,'تقرير المصروفات حسب الشهر'!$C$1397:$AD$1512,9,FALSE),0)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الشهر'!$C$10:$AD$119,9,FALSE),0)</f>
        <v>0</v>
      </c>
      <c r="E63" s="362">
        <f>IFERROR(VLOOKUP(C63,'تقرير المصروفات حسب الشهر'!$C$135:$AD$244,9,FALSE),0)</f>
        <v>0</v>
      </c>
      <c r="F63" s="362">
        <f>IFERROR(VLOOKUP(C63,'تقرير المصروفات حسب الشهر'!$C$261:$AD$368,9,FALSE),0)</f>
        <v>0</v>
      </c>
      <c r="G63" s="362">
        <f>IFERROR(VLOOKUP(C63,'تقرير المصروفات حسب الشهر'!$C$387:$AD$495,9,FALSE),0)</f>
        <v>0</v>
      </c>
      <c r="H63" s="362">
        <f>IFERROR(VLOOKUP(C63,'تقرير المصروفات حسب الشهر'!$C$512:$AD$620,9,FALSE),0)</f>
        <v>0</v>
      </c>
      <c r="I63" s="362">
        <f>IFERROR(VLOOKUP(C63,'تقرير المصروفات حسب الشهر'!$C$637:$AD$746,9,FALSE),0)</f>
        <v>0</v>
      </c>
      <c r="J63" s="362">
        <f>IFERROR(VLOOKUP(C63,'تقرير المصروفات حسب الشهر'!$C$763:$AD$872,9,FALSE),0)</f>
        <v>0</v>
      </c>
      <c r="K63" s="362">
        <f>IFERROR(VLOOKUP(C63,'تقرير المصروفات حسب الشهر'!$C$890:$AD$999,9,FALSE),0)</f>
        <v>0</v>
      </c>
      <c r="L63" s="362">
        <f>IFERROR(VLOOKUP(C63,'تقرير المصروفات حسب الشهر'!$C$1016:$AD$1126,9,FALSE),0)</f>
        <v>0</v>
      </c>
      <c r="M63" s="376">
        <f>IFERROR(VLOOKUP(C63,'تقرير المصروفات حسب الشهر'!$C$1143:$AD$1254,9,FALSE),0)</f>
        <v>0</v>
      </c>
      <c r="N63" s="376">
        <f>IFERROR(VLOOKUP(C63,'تقرير المصروفات حسب الشهر'!$C$1270:$AD$1381,9,FALSE),0)</f>
        <v>0</v>
      </c>
      <c r="O63" s="376">
        <f>IFERROR(VLOOKUP(C63,'تقرير المصروفات حسب الشهر'!$C$1397:$AD$1512,9,FALSE),0)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الشهر'!$C$10:$AD$119,9,FALSE),0)</f>
        <v>0</v>
      </c>
      <c r="E64" s="362">
        <f>IFERROR(VLOOKUP(C64,'تقرير المصروفات حسب الشهر'!$C$135:$AD$244,9,FALSE),0)</f>
        <v>0</v>
      </c>
      <c r="F64" s="362">
        <f>IFERROR(VLOOKUP(C64,'تقرير المصروفات حسب الشهر'!$C$261:$AD$368,9,FALSE),0)</f>
        <v>0</v>
      </c>
      <c r="G64" s="362">
        <f>IFERROR(VLOOKUP(C64,'تقرير المصروفات حسب الشهر'!$C$387:$AD$495,9,FALSE),0)</f>
        <v>0</v>
      </c>
      <c r="H64" s="362">
        <f>IFERROR(VLOOKUP(C64,'تقرير المصروفات حسب الشهر'!$C$512:$AD$620,9,FALSE),0)</f>
        <v>0</v>
      </c>
      <c r="I64" s="362">
        <f>IFERROR(VLOOKUP(C64,'تقرير المصروفات حسب الشهر'!$C$637:$AD$746,9,FALSE),0)</f>
        <v>0</v>
      </c>
      <c r="J64" s="362">
        <f>IFERROR(VLOOKUP(C64,'تقرير المصروفات حسب الشهر'!$C$763:$AD$872,9,FALSE),0)</f>
        <v>0</v>
      </c>
      <c r="K64" s="362">
        <f>IFERROR(VLOOKUP(C64,'تقرير المصروفات حسب الشهر'!$C$890:$AD$999,9,FALSE),0)</f>
        <v>0</v>
      </c>
      <c r="L64" s="362">
        <f>IFERROR(VLOOKUP(C64,'تقرير المصروفات حسب الشهر'!$C$1016:$AD$1126,9,FALSE),0)</f>
        <v>0</v>
      </c>
      <c r="M64" s="376">
        <f>IFERROR(VLOOKUP(C64,'تقرير المصروفات حسب الشهر'!$C$1143:$AD$1254,9,FALSE),0)</f>
        <v>0</v>
      </c>
      <c r="N64" s="376">
        <f>IFERROR(VLOOKUP(C64,'تقرير المصروفات حسب الشهر'!$C$1270:$AD$1381,9,FALSE),0)</f>
        <v>0</v>
      </c>
      <c r="O64" s="376">
        <f>IFERROR(VLOOKUP(C64,'تقرير المصروفات حسب الشهر'!$C$1397:$AD$1512,9,FALSE),0)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الشهر'!$C$10:$AD$119,9,FALSE),0)</f>
        <v>0</v>
      </c>
      <c r="E65" s="362">
        <f>IFERROR(VLOOKUP(C65,'تقرير المصروفات حسب الشهر'!$C$135:$AD$244,9,FALSE),0)</f>
        <v>0</v>
      </c>
      <c r="F65" s="362">
        <f>IFERROR(VLOOKUP(C65,'تقرير المصروفات حسب الشهر'!$C$261:$AD$368,9,FALSE),0)</f>
        <v>0</v>
      </c>
      <c r="G65" s="362">
        <f>IFERROR(VLOOKUP(C65,'تقرير المصروفات حسب الشهر'!$C$387:$AD$495,9,FALSE),0)</f>
        <v>0</v>
      </c>
      <c r="H65" s="362">
        <f>IFERROR(VLOOKUP(C65,'تقرير المصروفات حسب الشهر'!$C$512:$AD$620,9,FALSE),0)</f>
        <v>0</v>
      </c>
      <c r="I65" s="362">
        <f>IFERROR(VLOOKUP(C65,'تقرير المصروفات حسب الشهر'!$C$637:$AD$746,9,FALSE),0)</f>
        <v>0</v>
      </c>
      <c r="J65" s="362">
        <f>IFERROR(VLOOKUP(C65,'تقرير المصروفات حسب الشهر'!$C$763:$AD$872,9,FALSE),0)</f>
        <v>0</v>
      </c>
      <c r="K65" s="362">
        <f>IFERROR(VLOOKUP(C65,'تقرير المصروفات حسب الشهر'!$C$890:$AD$999,9,FALSE),0)</f>
        <v>0</v>
      </c>
      <c r="L65" s="362">
        <f>IFERROR(VLOOKUP(C65,'تقرير المصروفات حسب الشهر'!$C$1016:$AD$1126,9,FALSE),0)</f>
        <v>0</v>
      </c>
      <c r="M65" s="376">
        <f>IFERROR(VLOOKUP(C65,'تقرير المصروفات حسب الشهر'!$C$1143:$AD$1254,9,FALSE),0)</f>
        <v>0</v>
      </c>
      <c r="N65" s="376">
        <f>IFERROR(VLOOKUP(C65,'تقرير المصروفات حسب الشهر'!$C$1270:$AD$1381,9,FALSE),0)</f>
        <v>0</v>
      </c>
      <c r="O65" s="376">
        <f>IFERROR(VLOOKUP(C65,'تقرير المصروفات حسب الشهر'!$C$1397:$AD$1512,9,FALSE),0)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الشهر'!$C$10:$AD$119,9,FALSE),0)</f>
        <v>0</v>
      </c>
      <c r="E66" s="362">
        <f>IFERROR(VLOOKUP(C66,'تقرير المصروفات حسب الشهر'!$C$135:$AD$244,9,FALSE),0)</f>
        <v>0</v>
      </c>
      <c r="F66" s="362">
        <f>IFERROR(VLOOKUP(C66,'تقرير المصروفات حسب الشهر'!$C$261:$AD$368,9,FALSE),0)</f>
        <v>0</v>
      </c>
      <c r="G66" s="362">
        <f>IFERROR(VLOOKUP(C66,'تقرير المصروفات حسب الشهر'!$C$387:$AD$495,9,FALSE),0)</f>
        <v>0</v>
      </c>
      <c r="H66" s="362">
        <f>IFERROR(VLOOKUP(C66,'تقرير المصروفات حسب الشهر'!$C$512:$AD$620,9,FALSE),0)</f>
        <v>0</v>
      </c>
      <c r="I66" s="362">
        <f>IFERROR(VLOOKUP(C66,'تقرير المصروفات حسب الشهر'!$C$637:$AD$746,9,FALSE),0)</f>
        <v>0</v>
      </c>
      <c r="J66" s="362">
        <f>IFERROR(VLOOKUP(C66,'تقرير المصروفات حسب الشهر'!$C$763:$AD$872,9,FALSE),0)</f>
        <v>0</v>
      </c>
      <c r="K66" s="362">
        <f>IFERROR(VLOOKUP(C66,'تقرير المصروفات حسب الشهر'!$C$890:$AD$999,9,FALSE),0)</f>
        <v>0</v>
      </c>
      <c r="L66" s="362">
        <f>IFERROR(VLOOKUP(C66,'تقرير المصروفات حسب الشهر'!$C$1016:$AD$1126,9,FALSE),0)</f>
        <v>0</v>
      </c>
      <c r="M66" s="376">
        <f>IFERROR(VLOOKUP(C66,'تقرير المصروفات حسب الشهر'!$C$1143:$AD$1254,9,FALSE),0)</f>
        <v>0</v>
      </c>
      <c r="N66" s="376">
        <f>IFERROR(VLOOKUP(C66,'تقرير المصروفات حسب الشهر'!$C$1270:$AD$1381,9,FALSE),0)</f>
        <v>0</v>
      </c>
      <c r="O66" s="376">
        <f>IFERROR(VLOOKUP(C66,'تقرير المصروفات حسب الشهر'!$C$1397:$AD$1512,9,FALSE),0)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الشهر'!$C$10:$AD$119,9,FALSE),0)</f>
        <v>0</v>
      </c>
      <c r="E67" s="362">
        <f>IFERROR(VLOOKUP(C67,'تقرير المصروفات حسب الشهر'!$C$135:$AD$244,9,FALSE),0)</f>
        <v>0</v>
      </c>
      <c r="F67" s="362">
        <f>IFERROR(VLOOKUP(C67,'تقرير المصروفات حسب الشهر'!$C$261:$AD$368,9,FALSE),0)</f>
        <v>0</v>
      </c>
      <c r="G67" s="362">
        <f>IFERROR(VLOOKUP(C67,'تقرير المصروفات حسب الشهر'!$C$387:$AD$495,9,FALSE),0)</f>
        <v>0</v>
      </c>
      <c r="H67" s="362">
        <f>IFERROR(VLOOKUP(C67,'تقرير المصروفات حسب الشهر'!$C$512:$AD$620,9,FALSE),0)</f>
        <v>0</v>
      </c>
      <c r="I67" s="362">
        <f>IFERROR(VLOOKUP(C67,'تقرير المصروفات حسب الشهر'!$C$637:$AD$746,9,FALSE),0)</f>
        <v>0</v>
      </c>
      <c r="J67" s="362">
        <f>IFERROR(VLOOKUP(C67,'تقرير المصروفات حسب الشهر'!$C$763:$AD$872,9,FALSE),0)</f>
        <v>0</v>
      </c>
      <c r="K67" s="362">
        <f>IFERROR(VLOOKUP(C67,'تقرير المصروفات حسب الشهر'!$C$890:$AD$999,9,FALSE),0)</f>
        <v>0</v>
      </c>
      <c r="L67" s="362">
        <f>IFERROR(VLOOKUP(C67,'تقرير المصروفات حسب الشهر'!$C$1016:$AD$1126,9,FALSE),0)</f>
        <v>0</v>
      </c>
      <c r="M67" s="376">
        <f>IFERROR(VLOOKUP(C67,'تقرير المصروفات حسب الشهر'!$C$1143:$AD$1254,9,FALSE),0)</f>
        <v>0</v>
      </c>
      <c r="N67" s="376">
        <f>IFERROR(VLOOKUP(C67,'تقرير المصروفات حسب الشهر'!$C$1270:$AD$1381,9,FALSE),0)</f>
        <v>0</v>
      </c>
      <c r="O67" s="376">
        <f>IFERROR(VLOOKUP(C67,'تقرير المصروفات حسب الشهر'!$C$1397:$AD$1512,9,FALSE),0)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الشهر'!$C$10:$AD$119,9,FALSE),0)</f>
        <v>0</v>
      </c>
      <c r="E68" s="362">
        <f>IFERROR(VLOOKUP(C68,'تقرير المصروفات حسب الشهر'!$C$135:$AD$244,9,FALSE),0)</f>
        <v>0</v>
      </c>
      <c r="F68" s="362">
        <f>IFERROR(VLOOKUP(C68,'تقرير المصروفات حسب الشهر'!$C$261:$AD$368,9,FALSE),0)</f>
        <v>0</v>
      </c>
      <c r="G68" s="362">
        <f>IFERROR(VLOOKUP(C68,'تقرير المصروفات حسب الشهر'!$C$387:$AD$495,9,FALSE),0)</f>
        <v>0</v>
      </c>
      <c r="H68" s="362">
        <f>IFERROR(VLOOKUP(C68,'تقرير المصروفات حسب الشهر'!$C$512:$AD$620,9,FALSE),0)</f>
        <v>0</v>
      </c>
      <c r="I68" s="362">
        <f>IFERROR(VLOOKUP(C68,'تقرير المصروفات حسب الشهر'!$C$637:$AD$746,9,FALSE),0)</f>
        <v>0</v>
      </c>
      <c r="J68" s="362">
        <f>IFERROR(VLOOKUP(C68,'تقرير المصروفات حسب الشهر'!$C$763:$AD$872,9,FALSE),0)</f>
        <v>0</v>
      </c>
      <c r="K68" s="362">
        <f>IFERROR(VLOOKUP(C68,'تقرير المصروفات حسب الشهر'!$C$890:$AD$999,9,FALSE),0)</f>
        <v>0</v>
      </c>
      <c r="L68" s="362">
        <f>IFERROR(VLOOKUP(C68,'تقرير المصروفات حسب الشهر'!$C$1016:$AD$1126,9,FALSE),0)</f>
        <v>0</v>
      </c>
      <c r="M68" s="376">
        <f>IFERROR(VLOOKUP(C68,'تقرير المصروفات حسب الشهر'!$C$1143:$AD$1254,9,FALSE),0)</f>
        <v>0</v>
      </c>
      <c r="N68" s="376">
        <f>IFERROR(VLOOKUP(C68,'تقرير المصروفات حسب الشهر'!$C$1270:$AD$1381,9,FALSE),0)</f>
        <v>0</v>
      </c>
      <c r="O68" s="376">
        <f>IFERROR(VLOOKUP(C68,'تقرير المصروفات حسب الشهر'!$C$1397:$AD$1512,9,FALSE),0)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الشهر'!$C$10:$AD$119,9,FALSE),0)</f>
        <v>0</v>
      </c>
      <c r="E69" s="362">
        <f>IFERROR(VLOOKUP(C69,'تقرير المصروفات حسب الشهر'!$C$135:$AD$244,9,FALSE),0)</f>
        <v>0</v>
      </c>
      <c r="F69" s="362">
        <f>IFERROR(VLOOKUP(C69,'تقرير المصروفات حسب الشهر'!$C$261:$AD$368,9,FALSE),0)</f>
        <v>0</v>
      </c>
      <c r="G69" s="362">
        <f>IFERROR(VLOOKUP(C69,'تقرير المصروفات حسب الشهر'!$C$387:$AD$495,9,FALSE),0)</f>
        <v>0</v>
      </c>
      <c r="H69" s="362">
        <f>IFERROR(VLOOKUP(C69,'تقرير المصروفات حسب الشهر'!$C$512:$AD$620,9,FALSE),0)</f>
        <v>0</v>
      </c>
      <c r="I69" s="362">
        <f>IFERROR(VLOOKUP(C69,'تقرير المصروفات حسب الشهر'!$C$637:$AD$746,9,FALSE),0)</f>
        <v>0</v>
      </c>
      <c r="J69" s="362">
        <f>IFERROR(VLOOKUP(C69,'تقرير المصروفات حسب الشهر'!$C$763:$AD$872,9,FALSE),0)</f>
        <v>0</v>
      </c>
      <c r="K69" s="362">
        <f>IFERROR(VLOOKUP(C69,'تقرير المصروفات حسب الشهر'!$C$890:$AD$999,9,FALSE),0)</f>
        <v>0</v>
      </c>
      <c r="L69" s="362">
        <f>IFERROR(VLOOKUP(C69,'تقرير المصروفات حسب الشهر'!$C$1016:$AD$1126,9,FALSE),0)</f>
        <v>0</v>
      </c>
      <c r="M69" s="376">
        <f>IFERROR(VLOOKUP(C69,'تقرير المصروفات حسب الشهر'!$C$1143:$AD$1254,9,FALSE),0)</f>
        <v>0</v>
      </c>
      <c r="N69" s="376">
        <f>IFERROR(VLOOKUP(C69,'تقرير المصروفات حسب الشهر'!$C$1270:$AD$1381,9,FALSE),0)</f>
        <v>0</v>
      </c>
      <c r="O69" s="376">
        <f>IFERROR(VLOOKUP(C69,'تقرير المصروفات حسب الشهر'!$C$1397:$AD$1512,9,FALSE),0)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الشهر'!$C$10:$AD$119,9,FALSE),0)</f>
        <v>0</v>
      </c>
      <c r="E70" s="362">
        <f>IFERROR(VLOOKUP(C70,'تقرير المصروفات حسب الشهر'!$C$135:$AD$244,9,FALSE),0)</f>
        <v>0</v>
      </c>
      <c r="F70" s="362">
        <f>IFERROR(VLOOKUP(C70,'تقرير المصروفات حسب الشهر'!$C$261:$AD$368,9,FALSE),0)</f>
        <v>0</v>
      </c>
      <c r="G70" s="362">
        <f>IFERROR(VLOOKUP(C70,'تقرير المصروفات حسب الشهر'!$C$387:$AD$495,9,FALSE),0)</f>
        <v>0</v>
      </c>
      <c r="H70" s="362">
        <f>IFERROR(VLOOKUP(C70,'تقرير المصروفات حسب الشهر'!$C$512:$AD$620,9,FALSE),0)</f>
        <v>0</v>
      </c>
      <c r="I70" s="362">
        <f>IFERROR(VLOOKUP(C70,'تقرير المصروفات حسب الشهر'!$C$637:$AD$746,9,FALSE),0)</f>
        <v>0</v>
      </c>
      <c r="J70" s="362">
        <f>IFERROR(VLOOKUP(C70,'تقرير المصروفات حسب الشهر'!$C$763:$AD$872,9,FALSE),0)</f>
        <v>0</v>
      </c>
      <c r="K70" s="362">
        <f>IFERROR(VLOOKUP(C70,'تقرير المصروفات حسب الشهر'!$C$890:$AD$999,9,FALSE),0)</f>
        <v>0</v>
      </c>
      <c r="L70" s="362">
        <f>IFERROR(VLOOKUP(C70,'تقرير المصروفات حسب الشهر'!$C$1016:$AD$1126,9,FALSE),0)</f>
        <v>0</v>
      </c>
      <c r="M70" s="376">
        <f>IFERROR(VLOOKUP(C70,'تقرير المصروفات حسب الشهر'!$C$1143:$AD$1254,9,FALSE),0)</f>
        <v>0</v>
      </c>
      <c r="N70" s="376">
        <f>IFERROR(VLOOKUP(C70,'تقرير المصروفات حسب الشهر'!$C$1270:$AD$1381,9,FALSE),0)</f>
        <v>0</v>
      </c>
      <c r="O70" s="376">
        <f>IFERROR(VLOOKUP(C70,'تقرير المصروفات حسب الشهر'!$C$1397:$AD$1512,9,FALSE),0)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الشهر'!$C$10:$AD$119,9,FALSE),0)</f>
        <v>0</v>
      </c>
      <c r="E71" s="362">
        <f>IFERROR(VLOOKUP(C71,'تقرير المصروفات حسب الشهر'!$C$135:$AD$244,9,FALSE),0)</f>
        <v>0</v>
      </c>
      <c r="F71" s="362">
        <f>IFERROR(VLOOKUP(C71,'تقرير المصروفات حسب الشهر'!$C$261:$AD$368,9,FALSE),0)</f>
        <v>0</v>
      </c>
      <c r="G71" s="362">
        <f>IFERROR(VLOOKUP(C71,'تقرير المصروفات حسب الشهر'!$C$387:$AD$495,9,FALSE),0)</f>
        <v>0</v>
      </c>
      <c r="H71" s="362">
        <f>IFERROR(VLOOKUP(C71,'تقرير المصروفات حسب الشهر'!$C$512:$AD$620,9,FALSE),0)</f>
        <v>0</v>
      </c>
      <c r="I71" s="362">
        <f>IFERROR(VLOOKUP(C71,'تقرير المصروفات حسب الشهر'!$C$637:$AD$746,9,FALSE),0)</f>
        <v>0</v>
      </c>
      <c r="J71" s="362">
        <f>IFERROR(VLOOKUP(C71,'تقرير المصروفات حسب الشهر'!$C$763:$AD$872,9,FALSE),0)</f>
        <v>0</v>
      </c>
      <c r="K71" s="362">
        <f>IFERROR(VLOOKUP(C71,'تقرير المصروفات حسب الشهر'!$C$890:$AD$999,9,FALSE),0)</f>
        <v>0</v>
      </c>
      <c r="L71" s="362">
        <f>IFERROR(VLOOKUP(C71,'تقرير المصروفات حسب الشهر'!$C$1016:$AD$1126,9,FALSE),0)</f>
        <v>0</v>
      </c>
      <c r="M71" s="376">
        <f>IFERROR(VLOOKUP(C71,'تقرير المصروفات حسب الشهر'!$C$1143:$AD$1254,9,FALSE),0)</f>
        <v>0</v>
      </c>
      <c r="N71" s="376">
        <f>IFERROR(VLOOKUP(C71,'تقرير المصروفات حسب الشهر'!$C$1270:$AD$1381,9,FALSE),0)</f>
        <v>0</v>
      </c>
      <c r="O71" s="376">
        <f>IFERROR(VLOOKUP(C71,'تقرير المصروفات حسب الشهر'!$C$1397:$AD$1512,9,FALSE),0)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الشهر'!$C$10:$AD$119,9,FALSE),0)</f>
        <v>0</v>
      </c>
      <c r="E72" s="362">
        <f>IFERROR(VLOOKUP(C72,'تقرير المصروفات حسب الشهر'!$C$135:$AD$244,9,FALSE),0)</f>
        <v>0</v>
      </c>
      <c r="F72" s="362">
        <f>IFERROR(VLOOKUP(C72,'تقرير المصروفات حسب الشهر'!$C$261:$AD$368,9,FALSE),0)</f>
        <v>0</v>
      </c>
      <c r="G72" s="362">
        <f>IFERROR(VLOOKUP(C72,'تقرير المصروفات حسب الشهر'!$C$387:$AD$495,9,FALSE),0)</f>
        <v>0</v>
      </c>
      <c r="H72" s="362">
        <f>IFERROR(VLOOKUP(C72,'تقرير المصروفات حسب الشهر'!$C$512:$AD$620,9,FALSE),0)</f>
        <v>0</v>
      </c>
      <c r="I72" s="362">
        <f>IFERROR(VLOOKUP(C72,'تقرير المصروفات حسب الشهر'!$C$637:$AD$746,9,FALSE),0)</f>
        <v>0</v>
      </c>
      <c r="J72" s="362">
        <f>IFERROR(VLOOKUP(C72,'تقرير المصروفات حسب الشهر'!$C$763:$AD$872,9,FALSE),0)</f>
        <v>0</v>
      </c>
      <c r="K72" s="362">
        <f>IFERROR(VLOOKUP(C72,'تقرير المصروفات حسب الشهر'!$C$890:$AD$999,9,FALSE),0)</f>
        <v>0</v>
      </c>
      <c r="L72" s="362">
        <f>IFERROR(VLOOKUP(C72,'تقرير المصروفات حسب الشهر'!$C$1016:$AD$1126,9,FALSE),0)</f>
        <v>0</v>
      </c>
      <c r="M72" s="376">
        <f>IFERROR(VLOOKUP(C72,'تقرير المصروفات حسب الشهر'!$C$1143:$AD$1254,9,FALSE),0)</f>
        <v>0</v>
      </c>
      <c r="N72" s="376">
        <f>IFERROR(VLOOKUP(C72,'تقرير المصروفات حسب الشهر'!$C$1270:$AD$1381,9,FALSE),0)</f>
        <v>0</v>
      </c>
      <c r="O72" s="376">
        <f>IFERROR(VLOOKUP(C72,'تقرير المصروفات حسب الشهر'!$C$1397:$AD$1512,9,FALSE),0)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الشهر'!$C$10:$AD$119,9,FALSE),0)</f>
        <v>0</v>
      </c>
      <c r="E73" s="362">
        <f>IFERROR(VLOOKUP(C73,'تقرير المصروفات حسب الشهر'!$C$135:$AD$244,9,FALSE),0)</f>
        <v>0</v>
      </c>
      <c r="F73" s="362">
        <f>IFERROR(VLOOKUP(C73,'تقرير المصروفات حسب الشهر'!$C$261:$AD$368,9,FALSE),0)</f>
        <v>0</v>
      </c>
      <c r="G73" s="362">
        <f>IFERROR(VLOOKUP(C73,'تقرير المصروفات حسب الشهر'!$C$387:$AD$495,9,FALSE),0)</f>
        <v>0</v>
      </c>
      <c r="H73" s="362">
        <f>IFERROR(VLOOKUP(C73,'تقرير المصروفات حسب الشهر'!$C$512:$AD$620,9,FALSE),0)</f>
        <v>0</v>
      </c>
      <c r="I73" s="362">
        <f>IFERROR(VLOOKUP(C73,'تقرير المصروفات حسب الشهر'!$C$637:$AD$746,9,FALSE),0)</f>
        <v>0</v>
      </c>
      <c r="J73" s="362">
        <f>IFERROR(VLOOKUP(C73,'تقرير المصروفات حسب الشهر'!$C$763:$AD$872,9,FALSE),0)</f>
        <v>0</v>
      </c>
      <c r="K73" s="362">
        <f>IFERROR(VLOOKUP(C73,'تقرير المصروفات حسب الشهر'!$C$890:$AD$999,9,FALSE),0)</f>
        <v>0</v>
      </c>
      <c r="L73" s="362">
        <f>IFERROR(VLOOKUP(C73,'تقرير المصروفات حسب الشهر'!$C$1016:$AD$1126,9,FALSE),0)</f>
        <v>0</v>
      </c>
      <c r="M73" s="376">
        <f>IFERROR(VLOOKUP(C73,'تقرير المصروفات حسب الشهر'!$C$1143:$AD$1254,9,FALSE),0)</f>
        <v>0</v>
      </c>
      <c r="N73" s="376">
        <f>IFERROR(VLOOKUP(C73,'تقرير المصروفات حسب الشهر'!$C$1270:$AD$1381,9,FALSE),0)</f>
        <v>0</v>
      </c>
      <c r="O73" s="376">
        <f>IFERROR(VLOOKUP(C73,'تقرير المصروفات حسب الشهر'!$C$1397:$AD$1512,9,FALSE),0)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الشهر'!$C$10:$AD$119,9,FALSE),0)</f>
        <v>0</v>
      </c>
      <c r="E74" s="362">
        <f>IFERROR(VLOOKUP(C74,'تقرير المصروفات حسب الشهر'!$C$135:$AD$244,9,FALSE),0)</f>
        <v>0</v>
      </c>
      <c r="F74" s="362">
        <f>IFERROR(VLOOKUP(C74,'تقرير المصروفات حسب الشهر'!$C$261:$AD$368,9,FALSE),0)</f>
        <v>0</v>
      </c>
      <c r="G74" s="362">
        <f>IFERROR(VLOOKUP(C74,'تقرير المصروفات حسب الشهر'!$C$387:$AD$495,9,FALSE),0)</f>
        <v>0</v>
      </c>
      <c r="H74" s="362">
        <f>IFERROR(VLOOKUP(C74,'تقرير المصروفات حسب الشهر'!$C$512:$AD$620,9,FALSE),0)</f>
        <v>0</v>
      </c>
      <c r="I74" s="362">
        <f>IFERROR(VLOOKUP(C74,'تقرير المصروفات حسب الشهر'!$C$637:$AD$746,9,FALSE),0)</f>
        <v>0</v>
      </c>
      <c r="J74" s="362">
        <f>IFERROR(VLOOKUP(C74,'تقرير المصروفات حسب الشهر'!$C$763:$AD$872,9,FALSE),0)</f>
        <v>0</v>
      </c>
      <c r="K74" s="362">
        <f>IFERROR(VLOOKUP(C74,'تقرير المصروفات حسب الشهر'!$C$890:$AD$999,9,FALSE),0)</f>
        <v>0</v>
      </c>
      <c r="L74" s="362">
        <f>IFERROR(VLOOKUP(C74,'تقرير المصروفات حسب الشهر'!$C$1016:$AD$1126,9,FALSE),0)</f>
        <v>0</v>
      </c>
      <c r="M74" s="376">
        <f>IFERROR(VLOOKUP(C74,'تقرير المصروفات حسب الشهر'!$C$1143:$AD$1254,9,FALSE),0)</f>
        <v>0</v>
      </c>
      <c r="N74" s="376">
        <f>IFERROR(VLOOKUP(C74,'تقرير المصروفات حسب الشهر'!$C$1270:$AD$1381,9,FALSE),0)</f>
        <v>0</v>
      </c>
      <c r="O74" s="376">
        <f>IFERROR(VLOOKUP(C74,'تقرير المصروفات حسب الشهر'!$C$1397:$AD$1512,9,FALSE),0)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الشهر'!$C$10:$AD$119,9,FALSE),0)</f>
        <v>0</v>
      </c>
      <c r="E75" s="362">
        <f>IFERROR(VLOOKUP(C75,'تقرير المصروفات حسب الشهر'!$C$135:$AD$244,9,FALSE),0)</f>
        <v>0</v>
      </c>
      <c r="F75" s="362">
        <f>IFERROR(VLOOKUP(C75,'تقرير المصروفات حسب الشهر'!$C$261:$AD$368,9,FALSE),0)</f>
        <v>0</v>
      </c>
      <c r="G75" s="362">
        <f>IFERROR(VLOOKUP(C75,'تقرير المصروفات حسب الشهر'!$C$387:$AD$495,9,FALSE),0)</f>
        <v>0</v>
      </c>
      <c r="H75" s="362">
        <f>IFERROR(VLOOKUP(C75,'تقرير المصروفات حسب الشهر'!$C$512:$AD$620,9,FALSE),0)</f>
        <v>0</v>
      </c>
      <c r="I75" s="362">
        <f>IFERROR(VLOOKUP(C75,'تقرير المصروفات حسب الشهر'!$C$637:$AD$746,9,FALSE),0)</f>
        <v>0</v>
      </c>
      <c r="J75" s="362">
        <f>IFERROR(VLOOKUP(C75,'تقرير المصروفات حسب الشهر'!$C$763:$AD$872,9,FALSE),0)</f>
        <v>0</v>
      </c>
      <c r="K75" s="362">
        <f>IFERROR(VLOOKUP(C75,'تقرير المصروفات حسب الشهر'!$C$890:$AD$999,9,FALSE),0)</f>
        <v>0</v>
      </c>
      <c r="L75" s="362">
        <f>IFERROR(VLOOKUP(C75,'تقرير المصروفات حسب الشهر'!$C$1016:$AD$1126,9,FALSE),0)</f>
        <v>0</v>
      </c>
      <c r="M75" s="376">
        <f>IFERROR(VLOOKUP(C75,'تقرير المصروفات حسب الشهر'!$C$1143:$AD$1254,9,FALSE),0)</f>
        <v>0</v>
      </c>
      <c r="N75" s="376">
        <f>IFERROR(VLOOKUP(C75,'تقرير المصروفات حسب الشهر'!$C$1270:$AD$1381,9,FALSE),0)</f>
        <v>0</v>
      </c>
      <c r="O75" s="376">
        <f>IFERROR(VLOOKUP(C75,'تقرير المصروفات حسب الشهر'!$C$1397:$AD$1512,9,FALSE),0)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الشهر'!$C$10:$AD$119,9,FALSE),0)</f>
        <v>0</v>
      </c>
      <c r="E76" s="362">
        <f>IFERROR(VLOOKUP(C76,'تقرير المصروفات حسب الشهر'!$C$135:$AD$244,9,FALSE),0)</f>
        <v>0</v>
      </c>
      <c r="F76" s="362">
        <f>IFERROR(VLOOKUP(C76,'تقرير المصروفات حسب الشهر'!$C$261:$AD$368,9,FALSE),0)</f>
        <v>0</v>
      </c>
      <c r="G76" s="362">
        <f>IFERROR(VLOOKUP(C76,'تقرير المصروفات حسب الشهر'!$C$387:$AD$495,9,FALSE),0)</f>
        <v>0</v>
      </c>
      <c r="H76" s="362">
        <f>IFERROR(VLOOKUP(C76,'تقرير المصروفات حسب الشهر'!$C$512:$AD$620,9,FALSE),0)</f>
        <v>0</v>
      </c>
      <c r="I76" s="362">
        <f>IFERROR(VLOOKUP(C76,'تقرير المصروفات حسب الشهر'!$C$637:$AD$746,9,FALSE),0)</f>
        <v>0</v>
      </c>
      <c r="J76" s="362">
        <f>IFERROR(VLOOKUP(C76,'تقرير المصروفات حسب الشهر'!$C$763:$AD$872,9,FALSE),0)</f>
        <v>0</v>
      </c>
      <c r="K76" s="362">
        <f>IFERROR(VLOOKUP(C76,'تقرير المصروفات حسب الشهر'!$C$890:$AD$999,9,FALSE),0)</f>
        <v>0</v>
      </c>
      <c r="L76" s="362">
        <f>IFERROR(VLOOKUP(C76,'تقرير المصروفات حسب الشهر'!$C$1016:$AD$1126,9,FALSE),0)</f>
        <v>0</v>
      </c>
      <c r="M76" s="376">
        <f>IFERROR(VLOOKUP(C76,'تقرير المصروفات حسب الشهر'!$C$1143:$AD$1254,9,FALSE),0)</f>
        <v>0</v>
      </c>
      <c r="N76" s="376">
        <f>IFERROR(VLOOKUP(C76,'تقرير المصروفات حسب الشهر'!$C$1270:$AD$1381,9,FALSE),0)</f>
        <v>0</v>
      </c>
      <c r="O76" s="376">
        <f>IFERROR(VLOOKUP(C76,'تقرير المصروفات حسب الشهر'!$C$1397:$AD$1512,9,FALSE),0)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الشهر'!$C$10:$AD$119,9,FALSE),0)</f>
        <v>0</v>
      </c>
      <c r="E77" s="362">
        <f>IFERROR(VLOOKUP(C77,'تقرير المصروفات حسب الشهر'!$C$135:$AD$244,9,FALSE),0)</f>
        <v>0</v>
      </c>
      <c r="F77" s="362">
        <f>IFERROR(VLOOKUP(C77,'تقرير المصروفات حسب الشهر'!$C$261:$AD$368,9,FALSE),0)</f>
        <v>0</v>
      </c>
      <c r="G77" s="362">
        <f>IFERROR(VLOOKUP(C77,'تقرير المصروفات حسب الشهر'!$C$387:$AD$495,9,FALSE),0)</f>
        <v>0</v>
      </c>
      <c r="H77" s="362">
        <f>IFERROR(VLOOKUP(C77,'تقرير المصروفات حسب الشهر'!$C$512:$AD$620,9,FALSE),0)</f>
        <v>0</v>
      </c>
      <c r="I77" s="362">
        <f>IFERROR(VLOOKUP(C77,'تقرير المصروفات حسب الشهر'!$C$637:$AD$746,9,FALSE),0)</f>
        <v>0</v>
      </c>
      <c r="J77" s="362">
        <f>IFERROR(VLOOKUP(C77,'تقرير المصروفات حسب الشهر'!$C$763:$AD$872,9,FALSE),0)</f>
        <v>0</v>
      </c>
      <c r="K77" s="362">
        <f>IFERROR(VLOOKUP(C77,'تقرير المصروفات حسب الشهر'!$C$890:$AD$999,9,FALSE),0)</f>
        <v>0</v>
      </c>
      <c r="L77" s="362">
        <f>IFERROR(VLOOKUP(C77,'تقرير المصروفات حسب الشهر'!$C$1016:$AD$1126,9,FALSE),0)</f>
        <v>0</v>
      </c>
      <c r="M77" s="376">
        <f>IFERROR(VLOOKUP(C77,'تقرير المصروفات حسب الشهر'!$C$1143:$AD$1254,9,FALSE),0)</f>
        <v>0</v>
      </c>
      <c r="N77" s="376">
        <f>IFERROR(VLOOKUP(C77,'تقرير المصروفات حسب الشهر'!$C$1270:$AD$1381,9,FALSE),0)</f>
        <v>0</v>
      </c>
      <c r="O77" s="376">
        <f>IFERROR(VLOOKUP(C77,'تقرير المصروفات حسب الشهر'!$C$1397:$AD$1512,9,FALSE),0)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الشهر'!$C$10:$AD$119,9,FALSE),0)</f>
        <v>0</v>
      </c>
      <c r="E78" s="362">
        <f>IFERROR(VLOOKUP(C78,'تقرير المصروفات حسب الشهر'!$C$135:$AD$244,9,FALSE),0)</f>
        <v>0</v>
      </c>
      <c r="F78" s="362">
        <f>IFERROR(VLOOKUP(C78,'تقرير المصروفات حسب الشهر'!$C$261:$AD$368,9,FALSE),0)</f>
        <v>0</v>
      </c>
      <c r="G78" s="362">
        <f>IFERROR(VLOOKUP(C78,'تقرير المصروفات حسب الشهر'!$C$387:$AD$495,9,FALSE),0)</f>
        <v>0</v>
      </c>
      <c r="H78" s="362">
        <f>IFERROR(VLOOKUP(C78,'تقرير المصروفات حسب الشهر'!$C$512:$AD$620,9,FALSE),0)</f>
        <v>0</v>
      </c>
      <c r="I78" s="362">
        <f>IFERROR(VLOOKUP(C78,'تقرير المصروفات حسب الشهر'!$C$637:$AD$746,9,FALSE),0)</f>
        <v>0</v>
      </c>
      <c r="J78" s="362">
        <f>IFERROR(VLOOKUP(C78,'تقرير المصروفات حسب الشهر'!$C$763:$AD$872,9,FALSE),0)</f>
        <v>0</v>
      </c>
      <c r="K78" s="362">
        <f>IFERROR(VLOOKUP(C78,'تقرير المصروفات حسب الشهر'!$C$890:$AD$999,9,FALSE),0)</f>
        <v>0</v>
      </c>
      <c r="L78" s="362">
        <f>IFERROR(VLOOKUP(C78,'تقرير المصروفات حسب الشهر'!$C$1016:$AD$1126,9,FALSE),0)</f>
        <v>0</v>
      </c>
      <c r="M78" s="376">
        <f>IFERROR(VLOOKUP(C78,'تقرير المصروفات حسب الشهر'!$C$1143:$AD$1254,9,FALSE),0)</f>
        <v>0</v>
      </c>
      <c r="N78" s="376">
        <f>IFERROR(VLOOKUP(C78,'تقرير المصروفات حسب الشهر'!$C$1270:$AD$1381,9,FALSE),0)</f>
        <v>0</v>
      </c>
      <c r="O78" s="376">
        <f>IFERROR(VLOOKUP(C78,'تقرير المصروفات حسب الشهر'!$C$1397:$AD$1512,9,FALSE),0)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الشهر'!$C$10:$AD$119,9,FALSE),0)</f>
        <v>0</v>
      </c>
      <c r="E79" s="362">
        <f>IFERROR(VLOOKUP(C79,'تقرير المصروفات حسب الشهر'!$C$135:$AD$244,9,FALSE),0)</f>
        <v>0</v>
      </c>
      <c r="F79" s="362">
        <f>IFERROR(VLOOKUP(C79,'تقرير المصروفات حسب الشهر'!$C$261:$AD$368,9,FALSE),0)</f>
        <v>0</v>
      </c>
      <c r="G79" s="362">
        <f>IFERROR(VLOOKUP(C79,'تقرير المصروفات حسب الشهر'!$C$387:$AD$495,9,FALSE),0)</f>
        <v>0</v>
      </c>
      <c r="H79" s="362">
        <f>IFERROR(VLOOKUP(C79,'تقرير المصروفات حسب الشهر'!$C$512:$AD$620,9,FALSE),0)</f>
        <v>0</v>
      </c>
      <c r="I79" s="362">
        <f>IFERROR(VLOOKUP(C79,'تقرير المصروفات حسب الشهر'!$C$637:$AD$746,9,FALSE),0)</f>
        <v>0</v>
      </c>
      <c r="J79" s="362">
        <f>IFERROR(VLOOKUP(C79,'تقرير المصروفات حسب الشهر'!$C$763:$AD$872,9,FALSE),0)</f>
        <v>0</v>
      </c>
      <c r="K79" s="362">
        <f>IFERROR(VLOOKUP(C79,'تقرير المصروفات حسب الشهر'!$C$890:$AD$999,9,FALSE),0)</f>
        <v>0</v>
      </c>
      <c r="L79" s="362">
        <f>IFERROR(VLOOKUP(C79,'تقرير المصروفات حسب الشهر'!$C$1016:$AD$1126,9,FALSE),0)</f>
        <v>0</v>
      </c>
      <c r="M79" s="376">
        <f>IFERROR(VLOOKUP(C79,'تقرير المصروفات حسب الشهر'!$C$1143:$AD$1254,9,FALSE),0)</f>
        <v>0</v>
      </c>
      <c r="N79" s="376">
        <f>IFERROR(VLOOKUP(C79,'تقرير المصروفات حسب الشهر'!$C$1270:$AD$1381,9,FALSE),0)</f>
        <v>0</v>
      </c>
      <c r="O79" s="376">
        <f>IFERROR(VLOOKUP(C79,'تقرير المصروفات حسب الشهر'!$C$1397:$AD$1512,9,FALSE),0)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الشهر'!$C$10:$AD$119,9,FALSE),0)</f>
        <v>0</v>
      </c>
      <c r="E80" s="362">
        <f>IFERROR(VLOOKUP(C80,'تقرير المصروفات حسب الشهر'!$C$135:$AD$244,9,FALSE),0)</f>
        <v>0</v>
      </c>
      <c r="F80" s="362">
        <f>IFERROR(VLOOKUP(C80,'تقرير المصروفات حسب الشهر'!$C$261:$AD$368,9,FALSE),0)</f>
        <v>0</v>
      </c>
      <c r="G80" s="362">
        <f>IFERROR(VLOOKUP(C80,'تقرير المصروفات حسب الشهر'!$C$387:$AD$495,9,FALSE),0)</f>
        <v>0</v>
      </c>
      <c r="H80" s="362">
        <f>IFERROR(VLOOKUP(C80,'تقرير المصروفات حسب الشهر'!$C$512:$AD$620,9,FALSE),0)</f>
        <v>0</v>
      </c>
      <c r="I80" s="362">
        <f>IFERROR(VLOOKUP(C80,'تقرير المصروفات حسب الشهر'!$C$637:$AD$746,9,FALSE),0)</f>
        <v>0</v>
      </c>
      <c r="J80" s="362">
        <f>IFERROR(VLOOKUP(C80,'تقرير المصروفات حسب الشهر'!$C$763:$AD$872,9,FALSE),0)</f>
        <v>0</v>
      </c>
      <c r="K80" s="362">
        <f>IFERROR(VLOOKUP(C80,'تقرير المصروفات حسب الشهر'!$C$890:$AD$999,9,FALSE),0)</f>
        <v>0</v>
      </c>
      <c r="L80" s="362">
        <f>IFERROR(VLOOKUP(C80,'تقرير المصروفات حسب الشهر'!$C$1016:$AD$1126,9,FALSE),0)</f>
        <v>0</v>
      </c>
      <c r="M80" s="376">
        <f>IFERROR(VLOOKUP(C80,'تقرير المصروفات حسب الشهر'!$C$1143:$AD$1254,9,FALSE),0)</f>
        <v>0</v>
      </c>
      <c r="N80" s="376">
        <f>IFERROR(VLOOKUP(C80,'تقرير المصروفات حسب الشهر'!$C$1270:$AD$1381,9,FALSE),0)</f>
        <v>0</v>
      </c>
      <c r="O80" s="376">
        <f>IFERROR(VLOOKUP(C80,'تقرير المصروفات حسب الشهر'!$C$1397:$AD$1512,9,FALSE),0)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الشهر'!$C$10:$AD$119,9,FALSE),0)</f>
        <v>316</v>
      </c>
      <c r="E81" s="362">
        <f>IFERROR(VLOOKUP(C81,'تقرير المصروفات حسب الشهر'!$C$135:$AD$244,9,FALSE),0)</f>
        <v>100</v>
      </c>
      <c r="F81" s="362">
        <f>IFERROR(VLOOKUP(C81,'تقرير المصروفات حسب الشهر'!$C$261:$AD$368,9,FALSE),0)</f>
        <v>100</v>
      </c>
      <c r="G81" s="362">
        <f>IFERROR(VLOOKUP(C81,'تقرير المصروفات حسب الشهر'!$C$387:$AD$495,9,FALSE),0)</f>
        <v>200</v>
      </c>
      <c r="H81" s="362">
        <f>IFERROR(VLOOKUP(C81,'تقرير المصروفات حسب الشهر'!$C$512:$AD$620,9,FALSE),0)</f>
        <v>100</v>
      </c>
      <c r="I81" s="362">
        <f>IFERROR(VLOOKUP(C81,'تقرير المصروفات حسب الشهر'!$C$637:$AD$746,9,FALSE),0)</f>
        <v>100</v>
      </c>
      <c r="J81" s="362">
        <f>IFERROR(VLOOKUP(C81,'تقرير المصروفات حسب الشهر'!$C$763:$AD$872,9,FALSE),0)</f>
        <v>0</v>
      </c>
      <c r="K81" s="362">
        <f>IFERROR(VLOOKUP(C81,'تقرير المصروفات حسب الشهر'!$C$890:$AD$999,9,FALSE),0)</f>
        <v>300</v>
      </c>
      <c r="L81" s="362">
        <f>IFERROR(VLOOKUP(C81,'تقرير المصروفات حسب الشهر'!$C$1016:$AD$1126,9,FALSE),0)</f>
        <v>200</v>
      </c>
      <c r="M81" s="376">
        <f>IFERROR(VLOOKUP(C81,'تقرير المصروفات حسب الشهر'!$C$1143:$AD$1254,9,FALSE),0)</f>
        <v>200</v>
      </c>
      <c r="N81" s="376">
        <f>IFERROR(VLOOKUP(C81,'تقرير المصروفات حسب الشهر'!$C$1270:$AD$1381,9,FALSE),0)</f>
        <v>200</v>
      </c>
      <c r="O81" s="376">
        <f>IFERROR(VLOOKUP(C81,'تقرير المصروفات حسب الشهر'!$C$1397:$AD$1512,9,FALSE),0)</f>
        <v>200</v>
      </c>
      <c r="P81" s="364">
        <f t="shared" si="5"/>
        <v>2016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الشهر'!$C$10:$AD$119,9,FALSE),0)</f>
        <v>0</v>
      </c>
      <c r="E82" s="362">
        <f>IFERROR(VLOOKUP(C82,'تقرير المصروفات حسب الشهر'!$C$135:$AD$244,9,FALSE),0)</f>
        <v>0</v>
      </c>
      <c r="F82" s="362">
        <f>IFERROR(VLOOKUP(C82,'تقرير المصروفات حسب الشهر'!$C$261:$AD$368,9,FALSE),0)</f>
        <v>0</v>
      </c>
      <c r="G82" s="362">
        <f>IFERROR(VLOOKUP(C82,'تقرير المصروفات حسب الشهر'!$C$387:$AD$495,9,FALSE),0)</f>
        <v>0</v>
      </c>
      <c r="H82" s="362">
        <f>IFERROR(VLOOKUP(C82,'تقرير المصروفات حسب الشهر'!$C$512:$AD$620,9,FALSE),0)</f>
        <v>0</v>
      </c>
      <c r="I82" s="362">
        <f>IFERROR(VLOOKUP(C82,'تقرير المصروفات حسب الشهر'!$C$637:$AD$746,9,FALSE),0)</f>
        <v>0</v>
      </c>
      <c r="J82" s="362">
        <f>IFERROR(VLOOKUP(C82,'تقرير المصروفات حسب الشهر'!$C$763:$AD$872,9,FALSE),0)</f>
        <v>0</v>
      </c>
      <c r="K82" s="362">
        <f>IFERROR(VLOOKUP(C82,'تقرير المصروفات حسب الشهر'!$C$890:$AD$999,9,FALSE),0)</f>
        <v>0</v>
      </c>
      <c r="L82" s="362">
        <f>IFERROR(VLOOKUP(C82,'تقرير المصروفات حسب الشهر'!$C$1016:$AD$1126,9,FALSE),0)</f>
        <v>0</v>
      </c>
      <c r="M82" s="376">
        <f>IFERROR(VLOOKUP(C82,'تقرير المصروفات حسب الشهر'!$C$1143:$AD$1254,9,FALSE),0)</f>
        <v>0</v>
      </c>
      <c r="N82" s="376">
        <f>IFERROR(VLOOKUP(C82,'تقرير المصروفات حسب الشهر'!$C$1270:$AD$1381,9,FALSE),0)</f>
        <v>0</v>
      </c>
      <c r="O82" s="376">
        <f>IFERROR(VLOOKUP(C82,'تقرير المصروفات حسب الشهر'!$C$1397:$AD$1512,9,FALSE),0)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الشهر'!$C$10:$AD$119,9,FALSE),0)</f>
        <v>0</v>
      </c>
      <c r="E83" s="362">
        <f>IFERROR(VLOOKUP(C83,'تقرير المصروفات حسب الشهر'!$C$135:$AD$244,9,FALSE),0)</f>
        <v>0</v>
      </c>
      <c r="F83" s="362">
        <f>IFERROR(VLOOKUP(C83,'تقرير المصروفات حسب الشهر'!$C$261:$AD$368,9,FALSE),0)</f>
        <v>0</v>
      </c>
      <c r="G83" s="362">
        <f>IFERROR(VLOOKUP(C83,'تقرير المصروفات حسب الشهر'!$C$387:$AD$495,9,FALSE),0)</f>
        <v>0</v>
      </c>
      <c r="H83" s="362">
        <f>IFERROR(VLOOKUP(C83,'تقرير المصروفات حسب الشهر'!$C$512:$AD$620,9,FALSE),0)</f>
        <v>0</v>
      </c>
      <c r="I83" s="362">
        <f>IFERROR(VLOOKUP(C83,'تقرير المصروفات حسب الشهر'!$C$637:$AD$746,9,FALSE),0)</f>
        <v>0</v>
      </c>
      <c r="J83" s="362">
        <f>IFERROR(VLOOKUP(C83,'تقرير المصروفات حسب الشهر'!$C$763:$AD$872,9,FALSE),0)</f>
        <v>0</v>
      </c>
      <c r="K83" s="362">
        <f>IFERROR(VLOOKUP(C83,'تقرير المصروفات حسب الشهر'!$C$890:$AD$999,9,FALSE),0)</f>
        <v>0</v>
      </c>
      <c r="L83" s="362">
        <f>IFERROR(VLOOKUP(C83,'تقرير المصروفات حسب الشهر'!$C$1016:$AD$1126,9,FALSE),0)</f>
        <v>0</v>
      </c>
      <c r="M83" s="376">
        <f>IFERROR(VLOOKUP(C83,'تقرير المصروفات حسب الشهر'!$C$1143:$AD$1254,9,FALSE),0)</f>
        <v>0</v>
      </c>
      <c r="N83" s="376">
        <f>IFERROR(VLOOKUP(C83,'تقرير المصروفات حسب الشهر'!$C$1270:$AD$1381,9,FALSE),0)</f>
        <v>0</v>
      </c>
      <c r="O83" s="376">
        <f>IFERROR(VLOOKUP(C83,'تقرير المصروفات حسب الشهر'!$C$1397:$AD$1512,9,FALSE),0)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الشهر'!$C$10:$AD$119,9,FALSE),0)</f>
        <v>0</v>
      </c>
      <c r="E84" s="362">
        <f>IFERROR(VLOOKUP(C84,'تقرير المصروفات حسب الشهر'!$C$135:$AD$244,9,FALSE),0)</f>
        <v>0</v>
      </c>
      <c r="F84" s="362">
        <f>IFERROR(VLOOKUP(C84,'تقرير المصروفات حسب الشهر'!$C$261:$AD$368,9,FALSE),0)</f>
        <v>0</v>
      </c>
      <c r="G84" s="362">
        <f>IFERROR(VLOOKUP(C84,'تقرير المصروفات حسب الشهر'!$C$387:$AD$495,9,FALSE),0)</f>
        <v>0</v>
      </c>
      <c r="H84" s="362">
        <f>IFERROR(VLOOKUP(C84,'تقرير المصروفات حسب الشهر'!$C$512:$AD$620,9,FALSE),0)</f>
        <v>0</v>
      </c>
      <c r="I84" s="362">
        <f>IFERROR(VLOOKUP(C84,'تقرير المصروفات حسب الشهر'!$C$637:$AD$746,9,FALSE),0)</f>
        <v>0</v>
      </c>
      <c r="J84" s="362">
        <f>IFERROR(VLOOKUP(C84,'تقرير المصروفات حسب الشهر'!$C$763:$AD$872,9,FALSE),0)</f>
        <v>0</v>
      </c>
      <c r="K84" s="362">
        <f>IFERROR(VLOOKUP(C84,'تقرير المصروفات حسب الشهر'!$C$890:$AD$999,9,FALSE),0)</f>
        <v>0</v>
      </c>
      <c r="L84" s="362">
        <f>IFERROR(VLOOKUP(C84,'تقرير المصروفات حسب الشهر'!$C$1016:$AD$1126,9,FALSE),0)</f>
        <v>0</v>
      </c>
      <c r="M84" s="376">
        <f>IFERROR(VLOOKUP(C84,'تقرير المصروفات حسب الشهر'!$C$1143:$AD$1254,9,FALSE),0)</f>
        <v>0</v>
      </c>
      <c r="N84" s="376">
        <f>IFERROR(VLOOKUP(C84,'تقرير المصروفات حسب الشهر'!$C$1270:$AD$1381,9,FALSE),0)</f>
        <v>0</v>
      </c>
      <c r="O84" s="376">
        <f>IFERROR(VLOOKUP(C84,'تقرير المصروفات حسب الشهر'!$C$1397:$AD$1512,9,FALSE),0)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الشهر'!$C$10:$AD$119,9,FALSE),0)</f>
        <v>0</v>
      </c>
      <c r="E85" s="362">
        <f>IFERROR(VLOOKUP(C85,'تقرير المصروفات حسب الشهر'!$C$135:$AD$244,9,FALSE),0)</f>
        <v>0</v>
      </c>
      <c r="F85" s="362">
        <f>IFERROR(VLOOKUP(C85,'تقرير المصروفات حسب الشهر'!$C$261:$AD$368,9,FALSE),0)</f>
        <v>0</v>
      </c>
      <c r="G85" s="362">
        <f>IFERROR(VLOOKUP(C85,'تقرير المصروفات حسب الشهر'!$C$387:$AD$495,9,FALSE),0)</f>
        <v>0</v>
      </c>
      <c r="H85" s="362">
        <f>IFERROR(VLOOKUP(C85,'تقرير المصروفات حسب الشهر'!$C$512:$AD$620,9,FALSE),0)</f>
        <v>0</v>
      </c>
      <c r="I85" s="362">
        <f>IFERROR(VLOOKUP(C85,'تقرير المصروفات حسب الشهر'!$C$637:$AD$746,9,FALSE),0)</f>
        <v>0</v>
      </c>
      <c r="J85" s="362">
        <f>IFERROR(VLOOKUP(C85,'تقرير المصروفات حسب الشهر'!$C$763:$AD$872,9,FALSE),0)</f>
        <v>0</v>
      </c>
      <c r="K85" s="362">
        <f>IFERROR(VLOOKUP(C85,'تقرير المصروفات حسب الشهر'!$C$890:$AD$999,9,FALSE),0)</f>
        <v>0</v>
      </c>
      <c r="L85" s="362">
        <f>IFERROR(VLOOKUP(C85,'تقرير المصروفات حسب الشهر'!$C$1016:$AD$1126,9,FALSE),0)</f>
        <v>0</v>
      </c>
      <c r="M85" s="376">
        <f>IFERROR(VLOOKUP(C85,'تقرير المصروفات حسب الشهر'!$C$1143:$AD$1254,9,FALSE),0)</f>
        <v>0</v>
      </c>
      <c r="N85" s="376">
        <f>IFERROR(VLOOKUP(C85,'تقرير المصروفات حسب الشهر'!$C$1270:$AD$1381,9,FALSE),0)</f>
        <v>0</v>
      </c>
      <c r="O85" s="376">
        <f>IFERROR(VLOOKUP(C85,'تقرير المصروفات حسب الشهر'!$C$1397:$AD$1512,9,FALSE),0)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الشهر'!$C$10:$AD$119,9,FALSE),0)</f>
        <v>0</v>
      </c>
      <c r="E86" s="362">
        <f>IFERROR(VLOOKUP(C86,'تقرير المصروفات حسب الشهر'!$C$135:$AD$244,9,FALSE),0)</f>
        <v>1959.65</v>
      </c>
      <c r="F86" s="362">
        <f>IFERROR(VLOOKUP(C86,'تقرير المصروفات حسب الشهر'!$C$261:$AD$368,9,FALSE),0)</f>
        <v>0</v>
      </c>
      <c r="G86" s="362">
        <f>IFERROR(VLOOKUP(C86,'تقرير المصروفات حسب الشهر'!$C$387:$AD$495,9,FALSE),0)</f>
        <v>653</v>
      </c>
      <c r="H86" s="362">
        <f>IFERROR(VLOOKUP(C86,'تقرير المصروفات حسب الشهر'!$C$512:$AD$620,9,FALSE),0)</f>
        <v>0</v>
      </c>
      <c r="I86" s="362">
        <f>IFERROR(VLOOKUP(C86,'تقرير المصروفات حسب الشهر'!$C$637:$AD$746,9,FALSE),0)</f>
        <v>0</v>
      </c>
      <c r="J86" s="362">
        <f>IFERROR(VLOOKUP(C86,'تقرير المصروفات حسب الشهر'!$C$763:$AD$872,9,FALSE),0)</f>
        <v>979</v>
      </c>
      <c r="K86" s="362">
        <f>IFERROR(VLOOKUP(C86,'تقرير المصروفات حسب الشهر'!$C$890:$AD$999,9,FALSE),0)</f>
        <v>0</v>
      </c>
      <c r="L86" s="362">
        <f>IFERROR(VLOOKUP(C86,'تقرير المصروفات حسب الشهر'!$C$1016:$AD$1126,9,FALSE),0)</f>
        <v>0</v>
      </c>
      <c r="M86" s="376">
        <f>IFERROR(VLOOKUP(C86,'تقرير المصروفات حسب الشهر'!$C$1143:$AD$1254,9,FALSE),0)</f>
        <v>1075.76</v>
      </c>
      <c r="N86" s="376">
        <f>IFERROR(VLOOKUP(C86,'تقرير المصروفات حسب الشهر'!$C$1270:$AD$1381,9,FALSE),0)</f>
        <v>2207.5700000000002</v>
      </c>
      <c r="O86" s="376">
        <f>IFERROR(VLOOKUP(C86,'تقرير المصروفات حسب الشهر'!$C$1397:$AD$1512,9,FALSE),0)</f>
        <v>0</v>
      </c>
      <c r="P86" s="364">
        <f t="shared" si="5"/>
        <v>6874.98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الشهر'!$C$10:$AD$119,9,FALSE),0)</f>
        <v>0</v>
      </c>
      <c r="E87" s="362">
        <f>IFERROR(VLOOKUP(C87,'تقرير المصروفات حسب الشهر'!$C$135:$AD$244,9,FALSE),0)</f>
        <v>0</v>
      </c>
      <c r="F87" s="362">
        <f>IFERROR(VLOOKUP(C87,'تقرير المصروفات حسب الشهر'!$C$261:$AD$368,9,FALSE),0)</f>
        <v>0</v>
      </c>
      <c r="G87" s="362">
        <f>IFERROR(VLOOKUP(C87,'تقرير المصروفات حسب الشهر'!$C$387:$AD$495,9,FALSE),0)</f>
        <v>0</v>
      </c>
      <c r="H87" s="362">
        <f>IFERROR(VLOOKUP(C87,'تقرير المصروفات حسب الشهر'!$C$512:$AD$620,9,FALSE),0)</f>
        <v>0</v>
      </c>
      <c r="I87" s="362">
        <f>IFERROR(VLOOKUP(C87,'تقرير المصروفات حسب الشهر'!$C$637:$AD$746,9,FALSE),0)</f>
        <v>0</v>
      </c>
      <c r="J87" s="362">
        <f>IFERROR(VLOOKUP(C87,'تقرير المصروفات حسب الشهر'!$C$763:$AD$872,9,FALSE),0)</f>
        <v>0</v>
      </c>
      <c r="K87" s="362">
        <f>IFERROR(VLOOKUP(C87,'تقرير المصروفات حسب الشهر'!$C$890:$AD$999,9,FALSE),0)</f>
        <v>0</v>
      </c>
      <c r="L87" s="362">
        <f>IFERROR(VLOOKUP(C87,'تقرير المصروفات حسب الشهر'!$C$1016:$AD$1126,9,FALSE),0)</f>
        <v>0</v>
      </c>
      <c r="M87" s="376">
        <f>IFERROR(VLOOKUP(C87,'تقرير المصروفات حسب الشهر'!$C$1143:$AD$1254,9,FALSE),0)</f>
        <v>0</v>
      </c>
      <c r="N87" s="376">
        <f>IFERROR(VLOOKUP(C87,'تقرير المصروفات حسب الشهر'!$C$1270:$AD$1381,9,FALSE),0)</f>
        <v>0</v>
      </c>
      <c r="O87" s="376">
        <f>IFERROR(VLOOKUP(C87,'تقرير المصروفات حسب الشهر'!$C$1397:$AD$1512,9,FALSE),0)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الشهر'!$C$10:$AD$119,9,FALSE),0)</f>
        <v>0</v>
      </c>
      <c r="E88" s="362">
        <f>IFERROR(VLOOKUP(C88,'تقرير المصروفات حسب الشهر'!$C$135:$AD$244,9,FALSE),0)</f>
        <v>0</v>
      </c>
      <c r="F88" s="362">
        <f>IFERROR(VLOOKUP(C88,'تقرير المصروفات حسب الشهر'!$C$261:$AD$368,9,FALSE),0)</f>
        <v>0</v>
      </c>
      <c r="G88" s="362">
        <f>IFERROR(VLOOKUP(C88,'تقرير المصروفات حسب الشهر'!$C$387:$AD$495,9,FALSE),0)</f>
        <v>0</v>
      </c>
      <c r="H88" s="362">
        <f>IFERROR(VLOOKUP(C88,'تقرير المصروفات حسب الشهر'!$C$512:$AD$620,9,FALSE),0)</f>
        <v>333</v>
      </c>
      <c r="I88" s="362">
        <f>IFERROR(VLOOKUP(C88,'تقرير المصروفات حسب الشهر'!$C$637:$AD$746,9,FALSE),0)</f>
        <v>0</v>
      </c>
      <c r="J88" s="362">
        <f>IFERROR(VLOOKUP(C88,'تقرير المصروفات حسب الشهر'!$C$763:$AD$872,9,FALSE),0)</f>
        <v>0</v>
      </c>
      <c r="K88" s="362">
        <f>IFERROR(VLOOKUP(C88,'تقرير المصروفات حسب الشهر'!$C$890:$AD$999,9,FALSE),0)</f>
        <v>0</v>
      </c>
      <c r="L88" s="362">
        <f>IFERROR(VLOOKUP(C88,'تقرير المصروفات حسب الشهر'!$C$1016:$AD$1126,9,FALSE),0)</f>
        <v>0</v>
      </c>
      <c r="M88" s="376">
        <f>IFERROR(VLOOKUP(C88,'تقرير المصروفات حسب الشهر'!$C$1143:$AD$1254,9,FALSE),0)</f>
        <v>0</v>
      </c>
      <c r="N88" s="376">
        <f>IFERROR(VLOOKUP(C88,'تقرير المصروفات حسب الشهر'!$C$1270:$AD$1381,9,FALSE),0)</f>
        <v>0</v>
      </c>
      <c r="O88" s="376">
        <f>IFERROR(VLOOKUP(C88,'تقرير المصروفات حسب الشهر'!$C$1397:$AD$1512,9,FALSE),0)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الشهر'!$C$10:$AD$119,9,FALSE),0)</f>
        <v>0</v>
      </c>
      <c r="E89" s="362">
        <f>IFERROR(VLOOKUP(C89,'تقرير المصروفات حسب الشهر'!$C$135:$AD$244,9,FALSE),0)</f>
        <v>0</v>
      </c>
      <c r="F89" s="362">
        <f>IFERROR(VLOOKUP(C89,'تقرير المصروفات حسب الشهر'!$C$261:$AD$368,9,FALSE),0)</f>
        <v>0</v>
      </c>
      <c r="G89" s="362">
        <f>IFERROR(VLOOKUP(C89,'تقرير المصروفات حسب الشهر'!$C$387:$AD$495,9,FALSE),0)</f>
        <v>0</v>
      </c>
      <c r="H89" s="362">
        <f>IFERROR(VLOOKUP(C89,'تقرير المصروفات حسب الشهر'!$C$512:$AD$620,9,FALSE),0)</f>
        <v>0</v>
      </c>
      <c r="I89" s="362">
        <f>IFERROR(VLOOKUP(C89,'تقرير المصروفات حسب الشهر'!$C$637:$AD$746,9,FALSE),0)</f>
        <v>0</v>
      </c>
      <c r="J89" s="362">
        <f>IFERROR(VLOOKUP(C89,'تقرير المصروفات حسب الشهر'!$C$763:$AD$872,9,FALSE),0)</f>
        <v>0</v>
      </c>
      <c r="K89" s="362">
        <f>IFERROR(VLOOKUP(C89,'تقرير المصروفات حسب الشهر'!$C$890:$AD$999,9,FALSE),0)</f>
        <v>0</v>
      </c>
      <c r="L89" s="362">
        <f>IFERROR(VLOOKUP(C89,'تقرير المصروفات حسب الشهر'!$C$1016:$AD$1126,9,FALSE),0)</f>
        <v>0</v>
      </c>
      <c r="M89" s="376">
        <f>IFERROR(VLOOKUP(C89,'تقرير المصروفات حسب الشهر'!$C$1143:$AD$1254,9,FALSE),0)</f>
        <v>0</v>
      </c>
      <c r="N89" s="376">
        <f>IFERROR(VLOOKUP(C89,'تقرير المصروفات حسب الشهر'!$C$1270:$AD$1381,9,FALSE),0)</f>
        <v>0</v>
      </c>
      <c r="O89" s="376">
        <f>IFERROR(VLOOKUP(C89,'تقرير المصروفات حسب الشهر'!$C$1397:$AD$1512,9,FALSE),0)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الشهر'!$C$10:$AD$119,9,FALSE),0)</f>
        <v>0</v>
      </c>
      <c r="E90" s="362">
        <f>IFERROR(VLOOKUP(C90,'تقرير المصروفات حسب الشهر'!$C$135:$AD$244,9,FALSE),0)</f>
        <v>0</v>
      </c>
      <c r="F90" s="362">
        <f>IFERROR(VLOOKUP(C90,'تقرير المصروفات حسب الشهر'!$C$261:$AD$368,9,FALSE),0)</f>
        <v>0</v>
      </c>
      <c r="G90" s="362">
        <f>IFERROR(VLOOKUP(C90,'تقرير المصروفات حسب الشهر'!$C$387:$AD$495,9,FALSE),0)</f>
        <v>0</v>
      </c>
      <c r="H90" s="362">
        <f>IFERROR(VLOOKUP(C90,'تقرير المصروفات حسب الشهر'!$C$512:$AD$620,9,FALSE),0)</f>
        <v>0</v>
      </c>
      <c r="I90" s="362">
        <f>IFERROR(VLOOKUP(C90,'تقرير المصروفات حسب الشهر'!$C$637:$AD$746,9,FALSE),0)</f>
        <v>0</v>
      </c>
      <c r="J90" s="362">
        <f>IFERROR(VLOOKUP(C90,'تقرير المصروفات حسب الشهر'!$C$763:$AD$872,9,FALSE),0)</f>
        <v>0</v>
      </c>
      <c r="K90" s="362">
        <f>IFERROR(VLOOKUP(C90,'تقرير المصروفات حسب الشهر'!$C$890:$AD$999,9,FALSE),0)</f>
        <v>0</v>
      </c>
      <c r="L90" s="362">
        <f>IFERROR(VLOOKUP(C90,'تقرير المصروفات حسب الشهر'!$C$1016:$AD$1126,9,FALSE),0)</f>
        <v>0</v>
      </c>
      <c r="M90" s="376">
        <f>IFERROR(VLOOKUP(C90,'تقرير المصروفات حسب الشهر'!$C$1143:$AD$1254,9,FALSE),0)</f>
        <v>0</v>
      </c>
      <c r="N90" s="376">
        <f>IFERROR(VLOOKUP(C90,'تقرير المصروفات حسب الشهر'!$C$1270:$AD$1381,9,FALSE),0)</f>
        <v>0</v>
      </c>
      <c r="O90" s="376">
        <f>IFERROR(VLOOKUP(C90,'تقرير المصروفات حسب الشهر'!$C$1397:$AD$1512,9,FALSE),0)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الشهر'!$C$10:$AD$119,9,FALSE),0)</f>
        <v>0</v>
      </c>
      <c r="E91" s="362">
        <f>IFERROR(VLOOKUP(C91,'تقرير المصروفات حسب الشهر'!$C$135:$AD$244,9,FALSE),0)</f>
        <v>0</v>
      </c>
      <c r="F91" s="362">
        <f>IFERROR(VLOOKUP(C91,'تقرير المصروفات حسب الشهر'!$C$261:$AD$368,9,FALSE),0)</f>
        <v>0</v>
      </c>
      <c r="G91" s="362">
        <f>IFERROR(VLOOKUP(C91,'تقرير المصروفات حسب الشهر'!$C$387:$AD$495,9,FALSE),0)</f>
        <v>0</v>
      </c>
      <c r="H91" s="362">
        <f>IFERROR(VLOOKUP(C91,'تقرير المصروفات حسب الشهر'!$C$512:$AD$620,9,FALSE),0)</f>
        <v>0</v>
      </c>
      <c r="I91" s="362">
        <f>IFERROR(VLOOKUP(C91,'تقرير المصروفات حسب الشهر'!$C$637:$AD$746,9,FALSE),0)</f>
        <v>0</v>
      </c>
      <c r="J91" s="362">
        <f>IFERROR(VLOOKUP(C91,'تقرير المصروفات حسب الشهر'!$C$763:$AD$872,9,FALSE),0)</f>
        <v>0</v>
      </c>
      <c r="K91" s="362">
        <f>IFERROR(VLOOKUP(C91,'تقرير المصروفات حسب الشهر'!$C$890:$AD$999,9,FALSE),0)</f>
        <v>0</v>
      </c>
      <c r="L91" s="362">
        <f>IFERROR(VLOOKUP(C91,'تقرير المصروفات حسب الشهر'!$C$1016:$AD$1126,9,FALSE),0)</f>
        <v>0</v>
      </c>
      <c r="M91" s="376">
        <f>IFERROR(VLOOKUP(C91,'تقرير المصروفات حسب الشهر'!$C$1143:$AD$1254,9,FALSE),0)</f>
        <v>0</v>
      </c>
      <c r="N91" s="376">
        <f>IFERROR(VLOOKUP(C91,'تقرير المصروفات حسب الشهر'!$C$1270:$AD$1381,9,FALSE),0)</f>
        <v>0</v>
      </c>
      <c r="O91" s="376">
        <f>IFERROR(VLOOKUP(C91,'تقرير المصروفات حسب الشهر'!$C$1397:$AD$1512,9,FALSE),0)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الشهر'!$C$10:$AD$119,9,FALSE),0)</f>
        <v>0</v>
      </c>
      <c r="E92" s="362">
        <f>IFERROR(VLOOKUP(C92,'تقرير المصروفات حسب الشهر'!$C$135:$AD$244,9,FALSE),0)</f>
        <v>0</v>
      </c>
      <c r="F92" s="362">
        <f>IFERROR(VLOOKUP(C92,'تقرير المصروفات حسب الشهر'!$C$261:$AD$368,9,FALSE),0)</f>
        <v>0</v>
      </c>
      <c r="G92" s="362">
        <f>IFERROR(VLOOKUP(C92,'تقرير المصروفات حسب الشهر'!$C$387:$AD$495,9,FALSE),0)</f>
        <v>0</v>
      </c>
      <c r="H92" s="362">
        <f>IFERROR(VLOOKUP(C92,'تقرير المصروفات حسب الشهر'!$C$512:$AD$620,9,FALSE),0)</f>
        <v>0</v>
      </c>
      <c r="I92" s="362">
        <f>IFERROR(VLOOKUP(C92,'تقرير المصروفات حسب الشهر'!$C$637:$AD$746,9,FALSE),0)</f>
        <v>0</v>
      </c>
      <c r="J92" s="362">
        <f>IFERROR(VLOOKUP(C92,'تقرير المصروفات حسب الشهر'!$C$763:$AD$872,9,FALSE),0)</f>
        <v>0</v>
      </c>
      <c r="K92" s="362">
        <f>IFERROR(VLOOKUP(C92,'تقرير المصروفات حسب الشهر'!$C$890:$AD$999,9,FALSE),0)</f>
        <v>0</v>
      </c>
      <c r="L92" s="362">
        <f>IFERROR(VLOOKUP(C92,'تقرير المصروفات حسب الشهر'!$C$1016:$AD$1126,9,FALSE),0)</f>
        <v>0</v>
      </c>
      <c r="M92" s="376">
        <f>IFERROR(VLOOKUP(C92,'تقرير المصروفات حسب الشهر'!$C$1143:$AD$1254,9,FALSE),0)</f>
        <v>0</v>
      </c>
      <c r="N92" s="376">
        <f>IFERROR(VLOOKUP(C92,'تقرير المصروفات حسب الشهر'!$C$1270:$AD$1381,9,FALSE),0)</f>
        <v>0</v>
      </c>
      <c r="O92" s="376">
        <f>IFERROR(VLOOKUP(C92,'تقرير المصروفات حسب الشهر'!$C$1397:$AD$1512,9,FALSE),0)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الشهر'!$C$10:$AD$119,9,FALSE),0)</f>
        <v>0</v>
      </c>
      <c r="E93" s="362">
        <f>IFERROR(VLOOKUP(C93,'تقرير المصروفات حسب الشهر'!$C$135:$AD$244,9,FALSE),0)</f>
        <v>0</v>
      </c>
      <c r="F93" s="362">
        <f>IFERROR(VLOOKUP(C93,'تقرير المصروفات حسب الشهر'!$C$261:$AD$368,9,FALSE),0)</f>
        <v>0</v>
      </c>
      <c r="G93" s="362">
        <f>IFERROR(VLOOKUP(C93,'تقرير المصروفات حسب الشهر'!$C$387:$AD$495,9,FALSE),0)</f>
        <v>621.5</v>
      </c>
      <c r="H93" s="362">
        <f>IFERROR(VLOOKUP(C93,'تقرير المصروفات حسب الشهر'!$C$512:$AD$620,9,FALSE),0)</f>
        <v>0</v>
      </c>
      <c r="I93" s="362">
        <f>IFERROR(VLOOKUP(C93,'تقرير المصروفات حسب الشهر'!$C$637:$AD$746,9,FALSE),0)</f>
        <v>0</v>
      </c>
      <c r="J93" s="362">
        <f>IFERROR(VLOOKUP(C93,'تقرير المصروفات حسب الشهر'!$C$763:$AD$872,9,FALSE),0)</f>
        <v>688</v>
      </c>
      <c r="K93" s="362">
        <f>IFERROR(VLOOKUP(C93,'تقرير المصروفات حسب الشهر'!$C$890:$AD$999,9,FALSE),0)</f>
        <v>0</v>
      </c>
      <c r="L93" s="362">
        <f>IFERROR(VLOOKUP(C93,'تقرير المصروفات حسب الشهر'!$C$1016:$AD$1126,9,FALSE),0)</f>
        <v>0</v>
      </c>
      <c r="M93" s="376">
        <f>IFERROR(VLOOKUP(C93,'تقرير المصروفات حسب الشهر'!$C$1143:$AD$1254,9,FALSE),0)</f>
        <v>0</v>
      </c>
      <c r="N93" s="376">
        <f>IFERROR(VLOOKUP(C93,'تقرير المصروفات حسب الشهر'!$C$1270:$AD$1381,9,FALSE),0)</f>
        <v>0</v>
      </c>
      <c r="O93" s="376">
        <f>IFERROR(VLOOKUP(C93,'تقرير المصروفات حسب الشهر'!$C$1397:$AD$1512,9,FALSE),0)</f>
        <v>0</v>
      </c>
      <c r="P93" s="364">
        <f t="shared" si="6"/>
        <v>1309.5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الشهر'!$C$10:$AD$119,9,FALSE),0)</f>
        <v>296.31</v>
      </c>
      <c r="E94" s="362">
        <f>IFERROR(VLOOKUP(C94,'تقرير المصروفات حسب الشهر'!$C$135:$AD$244,9,FALSE),0)</f>
        <v>296.31</v>
      </c>
      <c r="F94" s="362">
        <f>IFERROR(VLOOKUP(C94,'تقرير المصروفات حسب الشهر'!$C$261:$AD$368,9,FALSE),0)</f>
        <v>296.31</v>
      </c>
      <c r="G94" s="362">
        <f>IFERROR(VLOOKUP(C94,'تقرير المصروفات حسب الشهر'!$C$387:$AD$495,9,FALSE),0)</f>
        <v>296.31</v>
      </c>
      <c r="H94" s="362">
        <f>IFERROR(VLOOKUP(C94,'تقرير المصروفات حسب الشهر'!$C$512:$AD$620,9,FALSE),0)</f>
        <v>296.31</v>
      </c>
      <c r="I94" s="362">
        <f>IFERROR(VLOOKUP(C94,'تقرير المصروفات حسب الشهر'!$C$637:$AD$746,9,FALSE),0)</f>
        <v>296.3</v>
      </c>
      <c r="J94" s="362">
        <f>IFERROR(VLOOKUP(C94,'تقرير المصروفات حسب الشهر'!$C$763:$AD$872,9,FALSE),0)</f>
        <v>400.96</v>
      </c>
      <c r="K94" s="362">
        <f>IFERROR(VLOOKUP(C94,'تقرير المصروفات حسب الشهر'!$C$890:$AD$999,9,FALSE),0)</f>
        <v>400.96</v>
      </c>
      <c r="L94" s="362">
        <f>IFERROR(VLOOKUP(C94,'تقرير المصروفات حسب الشهر'!$C$1016:$AD$1126,9,FALSE),0)</f>
        <v>400.96</v>
      </c>
      <c r="M94" s="376">
        <f>IFERROR(VLOOKUP(C94,'تقرير المصروفات حسب الشهر'!$C$1143:$AD$1254,9,FALSE),0)</f>
        <v>400.96</v>
      </c>
      <c r="N94" s="376">
        <f>IFERROR(VLOOKUP(C94,'تقرير المصروفات حسب الشهر'!$C$1270:$AD$1381,9,FALSE),0)</f>
        <v>400.96</v>
      </c>
      <c r="O94" s="376">
        <f>IFERROR(VLOOKUP(C94,'تقرير المصروفات حسب الشهر'!$C$1397:$AD$1512,9,FALSE),0)</f>
        <v>400.96</v>
      </c>
      <c r="P94" s="364">
        <f t="shared" si="6"/>
        <v>4183.6099999999997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الشهر'!$C$10:$AD$119,9,FALSE),0)</f>
        <v>0</v>
      </c>
      <c r="E95" s="362">
        <f>IFERROR(VLOOKUP(C95,'تقرير المصروفات حسب الشهر'!$C$135:$AD$244,9,FALSE),0)</f>
        <v>0</v>
      </c>
      <c r="F95" s="362">
        <f>IFERROR(VLOOKUP(C95,'تقرير المصروفات حسب الشهر'!$C$261:$AD$368,9,FALSE),0)</f>
        <v>0</v>
      </c>
      <c r="G95" s="362">
        <f>IFERROR(VLOOKUP(C95,'تقرير المصروفات حسب الشهر'!$C$387:$AD$495,9,FALSE),0)</f>
        <v>0</v>
      </c>
      <c r="H95" s="362">
        <f>IFERROR(VLOOKUP(C95,'تقرير المصروفات حسب الشهر'!$C$512:$AD$620,9,FALSE),0)</f>
        <v>0</v>
      </c>
      <c r="I95" s="362">
        <f>IFERROR(VLOOKUP(C95,'تقرير المصروفات حسب الشهر'!$C$637:$AD$746,9,FALSE),0)</f>
        <v>0</v>
      </c>
      <c r="J95" s="362">
        <f>IFERROR(VLOOKUP(C95,'تقرير المصروفات حسب الشهر'!$C$763:$AD$872,9,FALSE),0)</f>
        <v>0</v>
      </c>
      <c r="K95" s="362">
        <f>IFERROR(VLOOKUP(C95,'تقرير المصروفات حسب الشهر'!$C$890:$AD$999,9,FALSE),0)</f>
        <v>0</v>
      </c>
      <c r="L95" s="362">
        <f>IFERROR(VLOOKUP(C95,'تقرير المصروفات حسب الشهر'!$C$1016:$AD$1126,9,FALSE),0)</f>
        <v>2130</v>
      </c>
      <c r="M95" s="376">
        <f>IFERROR(VLOOKUP(C95,'تقرير المصروفات حسب الشهر'!$C$1143:$AD$1254,9,FALSE),0)</f>
        <v>1065</v>
      </c>
      <c r="N95" s="376">
        <f>IFERROR(VLOOKUP(C95,'تقرير المصروفات حسب الشهر'!$C$1270:$AD$1381,9,FALSE),0)</f>
        <v>1065</v>
      </c>
      <c r="O95" s="376">
        <f>IFERROR(VLOOKUP(C95,'تقرير المصروفات حسب الشهر'!$C$1397:$AD$1512,9,FALSE),0)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الشهر'!$C$10:$AD$119,9,FALSE),0)</f>
        <v>0</v>
      </c>
      <c r="E96" s="362">
        <f>IFERROR(VLOOKUP(C96,'تقرير المصروفات حسب الشهر'!$C$135:$AD$244,9,FALSE),0)</f>
        <v>0</v>
      </c>
      <c r="F96" s="362">
        <f>IFERROR(VLOOKUP(C96,'تقرير المصروفات حسب الشهر'!$C$261:$AD$368,9,FALSE),0)</f>
        <v>0</v>
      </c>
      <c r="G96" s="362">
        <f>IFERROR(VLOOKUP(C96,'تقرير المصروفات حسب الشهر'!$C$387:$AD$495,9,FALSE),0)</f>
        <v>0</v>
      </c>
      <c r="H96" s="362">
        <f>IFERROR(VLOOKUP(C96,'تقرير المصروفات حسب الشهر'!$C$512:$AD$620,9,FALSE),0)</f>
        <v>0</v>
      </c>
      <c r="I96" s="362">
        <f>IFERROR(VLOOKUP(C96,'تقرير المصروفات حسب الشهر'!$C$637:$AD$746,9,FALSE),0)</f>
        <v>0</v>
      </c>
      <c r="J96" s="362">
        <f>IFERROR(VLOOKUP(C96,'تقرير المصروفات حسب الشهر'!$C$763:$AD$872,9,FALSE),0)</f>
        <v>0</v>
      </c>
      <c r="K96" s="362">
        <f>IFERROR(VLOOKUP(C96,'تقرير المصروفات حسب الشهر'!$C$890:$AD$999,9,FALSE),0)</f>
        <v>0</v>
      </c>
      <c r="L96" s="362">
        <f>IFERROR(VLOOKUP(C96,'تقرير المصروفات حسب الشهر'!$C$1016:$AD$1126,9,FALSE),0)</f>
        <v>0</v>
      </c>
      <c r="M96" s="376">
        <f>IFERROR(VLOOKUP(C96,'تقرير المصروفات حسب الشهر'!$C$1143:$AD$1254,9,FALSE),0)</f>
        <v>0</v>
      </c>
      <c r="N96" s="376">
        <f>IFERROR(VLOOKUP(C96,'تقرير المصروفات حسب الشهر'!$C$1270:$AD$1381,9,FALSE),0)</f>
        <v>0</v>
      </c>
      <c r="O96" s="376">
        <f>IFERROR(VLOOKUP(C96,'تقرير المصروفات حسب الشهر'!$C$1397:$AD$1512,9,FALSE),0)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الشهر'!$C$10:$AD$119,9,FALSE),0)</f>
        <v>0</v>
      </c>
      <c r="E97" s="362">
        <f>IFERROR(VLOOKUP(C97,'تقرير المصروفات حسب الشهر'!$C$135:$AD$244,9,FALSE),0)</f>
        <v>0</v>
      </c>
      <c r="F97" s="362">
        <f>IFERROR(VLOOKUP(C97,'تقرير المصروفات حسب الشهر'!$C$261:$AD$368,9,FALSE),0)</f>
        <v>0</v>
      </c>
      <c r="G97" s="362">
        <f>IFERROR(VLOOKUP(C97,'تقرير المصروفات حسب الشهر'!$C$387:$AD$495,9,FALSE),0)</f>
        <v>0</v>
      </c>
      <c r="H97" s="362">
        <f>IFERROR(VLOOKUP(C97,'تقرير المصروفات حسب الشهر'!$C$512:$AD$620,9,FALSE),0)</f>
        <v>0</v>
      </c>
      <c r="I97" s="362">
        <f>IFERROR(VLOOKUP(C97,'تقرير المصروفات حسب الشهر'!$C$637:$AD$746,9,FALSE),0)</f>
        <v>0</v>
      </c>
      <c r="J97" s="362">
        <f>IFERROR(VLOOKUP(C97,'تقرير المصروفات حسب الشهر'!$C$763:$AD$872,9,FALSE),0)</f>
        <v>0</v>
      </c>
      <c r="K97" s="362">
        <f>IFERROR(VLOOKUP(C97,'تقرير المصروفات حسب الشهر'!$C$890:$AD$999,9,FALSE),0)</f>
        <v>0</v>
      </c>
      <c r="L97" s="362">
        <f>IFERROR(VLOOKUP(C97,'تقرير المصروفات حسب الشهر'!$C$1016:$AD$1126,9,FALSE),0)</f>
        <v>0</v>
      </c>
      <c r="M97" s="376">
        <f>IFERROR(VLOOKUP(C97,'تقرير المصروفات حسب الشهر'!$C$1143:$AD$1254,9,FALSE),0)</f>
        <v>0</v>
      </c>
      <c r="N97" s="376">
        <f>IFERROR(VLOOKUP(C97,'تقرير المصروفات حسب الشهر'!$C$1270:$AD$1381,9,FALSE),0)</f>
        <v>0</v>
      </c>
      <c r="O97" s="376">
        <f>IFERROR(VLOOKUP(C97,'تقرير المصروفات حسب الشهر'!$C$1397:$AD$1512,9,FALSE),0)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الشهر'!$C$10:$AD$119,9,FALSE),0)</f>
        <v>0</v>
      </c>
      <c r="E98" s="362">
        <f>IFERROR(VLOOKUP(C98,'تقرير المصروفات حسب الشهر'!$C$135:$AD$244,9,FALSE),0)</f>
        <v>0</v>
      </c>
      <c r="F98" s="362">
        <f>IFERROR(VLOOKUP(C98,'تقرير المصروفات حسب الشهر'!$C$261:$AD$368,9,FALSE),0)</f>
        <v>0</v>
      </c>
      <c r="G98" s="362">
        <f>IFERROR(VLOOKUP(C98,'تقرير المصروفات حسب الشهر'!$C$387:$AD$495,9,FALSE),0)</f>
        <v>0</v>
      </c>
      <c r="H98" s="362">
        <f>IFERROR(VLOOKUP(C98,'تقرير المصروفات حسب الشهر'!$C$512:$AD$620,9,FALSE),0)</f>
        <v>0</v>
      </c>
      <c r="I98" s="362">
        <f>IFERROR(VLOOKUP(C98,'تقرير المصروفات حسب الشهر'!$C$637:$AD$746,9,FALSE),0)</f>
        <v>0</v>
      </c>
      <c r="J98" s="362">
        <f>IFERROR(VLOOKUP(C98,'تقرير المصروفات حسب الشهر'!$C$763:$AD$872,9,FALSE),0)</f>
        <v>0</v>
      </c>
      <c r="K98" s="362">
        <f>IFERROR(VLOOKUP(C98,'تقرير المصروفات حسب الشهر'!$C$890:$AD$999,9,FALSE),0)</f>
        <v>0</v>
      </c>
      <c r="L98" s="362">
        <f>IFERROR(VLOOKUP(C98,'تقرير المصروفات حسب الشهر'!$C$1016:$AD$1126,9,FALSE),0)</f>
        <v>0</v>
      </c>
      <c r="M98" s="376">
        <f>IFERROR(VLOOKUP(C98,'تقرير المصروفات حسب الشهر'!$C$1143:$AD$1254,9,FALSE),0)</f>
        <v>0</v>
      </c>
      <c r="N98" s="376">
        <f>IFERROR(VLOOKUP(C98,'تقرير المصروفات حسب الشهر'!$C$1270:$AD$1381,9,FALSE),0)</f>
        <v>0</v>
      </c>
      <c r="O98" s="376">
        <f>IFERROR(VLOOKUP(C98,'تقرير المصروفات حسب الشهر'!$C$1397:$AD$1512,9,FALSE),0)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الشهر'!$C$10:$AD$119,9,FALSE),0)</f>
        <v>0</v>
      </c>
      <c r="E99" s="362">
        <f>IFERROR(VLOOKUP(C99,'تقرير المصروفات حسب الشهر'!$C$135:$AD$244,9,FALSE),0)</f>
        <v>0</v>
      </c>
      <c r="F99" s="362">
        <f>IFERROR(VLOOKUP(C99,'تقرير المصروفات حسب الشهر'!$C$261:$AD$368,9,FALSE),0)</f>
        <v>0</v>
      </c>
      <c r="G99" s="362">
        <f>IFERROR(VLOOKUP(C99,'تقرير المصروفات حسب الشهر'!$C$387:$AD$495,9,FALSE),0)</f>
        <v>0</v>
      </c>
      <c r="H99" s="362">
        <f>IFERROR(VLOOKUP(C99,'تقرير المصروفات حسب الشهر'!$C$512:$AD$620,9,FALSE),0)</f>
        <v>0</v>
      </c>
      <c r="I99" s="362">
        <f>IFERROR(VLOOKUP(C99,'تقرير المصروفات حسب الشهر'!$C$637:$AD$746,9,FALSE),0)</f>
        <v>0</v>
      </c>
      <c r="J99" s="362">
        <f>IFERROR(VLOOKUP(C99,'تقرير المصروفات حسب الشهر'!$C$763:$AD$872,9,FALSE),0)</f>
        <v>0</v>
      </c>
      <c r="K99" s="362">
        <f>IFERROR(VLOOKUP(C99,'تقرير المصروفات حسب الشهر'!$C$890:$AD$999,9,FALSE),0)</f>
        <v>0</v>
      </c>
      <c r="L99" s="362">
        <f>IFERROR(VLOOKUP(C99,'تقرير المصروفات حسب الشهر'!$C$1016:$AD$1126,9,FALSE),0)</f>
        <v>0</v>
      </c>
      <c r="M99" s="376">
        <f>IFERROR(VLOOKUP(C99,'تقرير المصروفات حسب الشهر'!$C$1143:$AD$1254,9,FALSE),0)</f>
        <v>0</v>
      </c>
      <c r="N99" s="376">
        <f>IFERROR(VLOOKUP(C99,'تقرير المصروفات حسب الشهر'!$C$1270:$AD$1381,9,FALSE),0)</f>
        <v>0</v>
      </c>
      <c r="O99" s="376">
        <f>IFERROR(VLOOKUP(C99,'تقرير المصروفات حسب الشهر'!$C$1397:$AD$1512,9,FALSE),0)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الشهر'!$C$10:$AD$119,9,FALSE),0)</f>
        <v>412.09</v>
      </c>
      <c r="E100" s="362">
        <f>IFERROR(VLOOKUP(C100,'تقرير المصروفات حسب الشهر'!$C$135:$AD$244,9,FALSE),0)</f>
        <v>418.63</v>
      </c>
      <c r="F100" s="362">
        <f>IFERROR(VLOOKUP(C100,'تقرير المصروفات حسب الشهر'!$C$261:$AD$368,9,FALSE),0)</f>
        <v>407.27</v>
      </c>
      <c r="G100" s="362">
        <f>IFERROR(VLOOKUP(C100,'تقرير المصروفات حسب الشهر'!$C$387:$AD$495,9,FALSE),0)</f>
        <v>407.27</v>
      </c>
      <c r="H100" s="362">
        <f>IFERROR(VLOOKUP(C100,'تقرير المصروفات حسب الشهر'!$C$512:$AD$620,9,FALSE),0)</f>
        <v>407.27</v>
      </c>
      <c r="I100" s="362">
        <f>IFERROR(VLOOKUP(C100,'تقرير المصروفات حسب الشهر'!$C$637:$AD$746,9,FALSE),0)</f>
        <v>407.27</v>
      </c>
      <c r="J100" s="362">
        <f>IFERROR(VLOOKUP(C100,'تقرير المصروفات حسب الشهر'!$C$763:$AD$872,9,FALSE),0)</f>
        <v>455.09</v>
      </c>
      <c r="K100" s="362">
        <f>IFERROR(VLOOKUP(C100,'تقرير المصروفات حسب الشهر'!$C$890:$AD$999,9,FALSE),0)</f>
        <v>489.67</v>
      </c>
      <c r="L100" s="362">
        <f>IFERROR(VLOOKUP(C100,'تقرير المصروفات حسب الشهر'!$C$1016:$AD$1126,9,FALSE),0)</f>
        <v>489.67</v>
      </c>
      <c r="M100" s="376">
        <f>IFERROR(VLOOKUP(C100,'تقرير المصروفات حسب الشهر'!$C$1143:$AD$1254,9,FALSE),0)</f>
        <v>489.67</v>
      </c>
      <c r="N100" s="376">
        <f>IFERROR(VLOOKUP(C100,'تقرير المصروفات حسب الشهر'!$C$1270:$AD$1381,9,FALSE),0)</f>
        <v>489.67</v>
      </c>
      <c r="O100" s="376">
        <f>IFERROR(VLOOKUP(C100,'تقرير المصروفات حسب الشهر'!$C$1397:$AD$1512,9,FALSE),0)</f>
        <v>101.56</v>
      </c>
      <c r="P100" s="364">
        <f t="shared" si="6"/>
        <v>4975.13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الشهر'!$C$10:$AD$119,9,FALSE),0)</f>
        <v>53.44</v>
      </c>
      <c r="E101" s="362">
        <f>IFERROR(VLOOKUP(C101,'تقرير المصروفات حسب الشهر'!$C$135:$AD$244,9,FALSE),0)</f>
        <v>53.44</v>
      </c>
      <c r="F101" s="362">
        <f>IFERROR(VLOOKUP(C101,'تقرير المصروفات حسب الشهر'!$C$261:$AD$368,9,FALSE),0)</f>
        <v>53.44</v>
      </c>
      <c r="G101" s="362">
        <f>IFERROR(VLOOKUP(C101,'تقرير المصروفات حسب الشهر'!$C$387:$AD$495,9,FALSE),0)</f>
        <v>53.44</v>
      </c>
      <c r="H101" s="362">
        <f>IFERROR(VLOOKUP(C101,'تقرير المصروفات حسب الشهر'!$C$512:$AD$620,9,FALSE),0)</f>
        <v>53.44</v>
      </c>
      <c r="I101" s="362">
        <f>IFERROR(VLOOKUP(C101,'تقرير المصروفات حسب الشهر'!$C$637:$AD$746,9,FALSE),0)</f>
        <v>53.44</v>
      </c>
      <c r="J101" s="362">
        <f>IFERROR(VLOOKUP(C101,'تقرير المصروفات حسب الشهر'!$C$763:$AD$872,9,FALSE),0)</f>
        <v>53.44</v>
      </c>
      <c r="K101" s="362">
        <f>IFERROR(VLOOKUP(C101,'تقرير المصروفات حسب الشهر'!$C$890:$AD$999,9,FALSE),0)</f>
        <v>38.17</v>
      </c>
      <c r="L101" s="362">
        <f>IFERROR(VLOOKUP(C101,'تقرير المصروفات حسب الشهر'!$C$1016:$AD$1126,9,FALSE),0)</f>
        <v>0</v>
      </c>
      <c r="M101" s="376">
        <f>IFERROR(VLOOKUP(C101,'تقرير المصروفات حسب الشهر'!$C$1143:$AD$1254,9,FALSE),0)</f>
        <v>0</v>
      </c>
      <c r="N101" s="376">
        <f>IFERROR(VLOOKUP(C101,'تقرير المصروفات حسب الشهر'!$C$1270:$AD$1381,9,FALSE),0)</f>
        <v>0</v>
      </c>
      <c r="O101" s="376">
        <f>IFERROR(VLOOKUP(C101,'تقرير المصروفات حسب الشهر'!$C$1397:$AD$1512,9,FALSE),0)</f>
        <v>0</v>
      </c>
      <c r="P101" s="364">
        <f t="shared" si="6"/>
        <v>412.25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الشهر'!$C$10:$AD$119,9,FALSE),0)</f>
        <v>0</v>
      </c>
      <c r="E102" s="362">
        <f>IFERROR(VLOOKUP(C102,'تقرير المصروفات حسب الشهر'!$C$135:$AD$244,9,FALSE),0)</f>
        <v>0</v>
      </c>
      <c r="F102" s="362">
        <f>IFERROR(VLOOKUP(C102,'تقرير المصروفات حسب الشهر'!$C$261:$AD$368,9,FALSE),0)</f>
        <v>0</v>
      </c>
      <c r="G102" s="362">
        <f>IFERROR(VLOOKUP(C102,'تقرير المصروفات حسب الشهر'!$C$387:$AD$495,9,FALSE),0)</f>
        <v>0</v>
      </c>
      <c r="H102" s="362">
        <f>IFERROR(VLOOKUP(C102,'تقرير المصروفات حسب الشهر'!$C$512:$AD$620,9,FALSE),0)</f>
        <v>0</v>
      </c>
      <c r="I102" s="362">
        <f>IFERROR(VLOOKUP(C102,'تقرير المصروفات حسب الشهر'!$C$637:$AD$746,9,FALSE),0)</f>
        <v>0</v>
      </c>
      <c r="J102" s="362">
        <f>IFERROR(VLOOKUP(C102,'تقرير المصروفات حسب الشهر'!$C$763:$AD$872,9,FALSE),0)</f>
        <v>0</v>
      </c>
      <c r="K102" s="362">
        <f>IFERROR(VLOOKUP(C102,'تقرير المصروفات حسب الشهر'!$C$890:$AD$999,9,FALSE),0)</f>
        <v>0</v>
      </c>
      <c r="L102" s="362">
        <f>IFERROR(VLOOKUP(C102,'تقرير المصروفات حسب الشهر'!$C$1016:$AD$1126,9,FALSE),0)</f>
        <v>0</v>
      </c>
      <c r="M102" s="376">
        <f>IFERROR(VLOOKUP(C102,'تقرير المصروفات حسب الشهر'!$C$1143:$AD$1254,9,FALSE),0)</f>
        <v>0</v>
      </c>
      <c r="N102" s="376">
        <f>IFERROR(VLOOKUP(C102,'تقرير المصروفات حسب الشهر'!$C$1270:$AD$1381,9,FALSE),0)</f>
        <v>0</v>
      </c>
      <c r="O102" s="376">
        <f>IFERROR(VLOOKUP(C102,'تقرير المصروفات حسب الشهر'!$C$1397:$AD$1512,9,FALSE),0)</f>
        <v>0</v>
      </c>
      <c r="P102" s="364">
        <f t="shared" si="6"/>
        <v>0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الشهر'!$C$10:$AD$119,9,FALSE),0)</f>
        <v>33.75</v>
      </c>
      <c r="E103" s="362">
        <f>IFERROR(VLOOKUP(C103,'تقرير المصروفات حسب الشهر'!$C$135:$AD$244,9,FALSE),0)</f>
        <v>33.75</v>
      </c>
      <c r="F103" s="362">
        <f>IFERROR(VLOOKUP(C103,'تقرير المصروفات حسب الشهر'!$C$261:$AD$368,9,FALSE),0)</f>
        <v>33.75</v>
      </c>
      <c r="G103" s="362">
        <f>IFERROR(VLOOKUP(C103,'تقرير المصروفات حسب الشهر'!$C$387:$AD$495,9,FALSE),0)</f>
        <v>33.75</v>
      </c>
      <c r="H103" s="362">
        <f>IFERROR(VLOOKUP(C103,'تقرير المصروفات حسب الشهر'!$C$512:$AD$620,9,FALSE),0)</f>
        <v>33.75</v>
      </c>
      <c r="I103" s="362">
        <f>IFERROR(VLOOKUP(C103,'تقرير المصروفات حسب الشهر'!$C$637:$AD$746,9,FALSE),0)</f>
        <v>33.75</v>
      </c>
      <c r="J103" s="362">
        <f>IFERROR(VLOOKUP(C103,'تقرير المصروفات حسب الشهر'!$C$763:$AD$872,9,FALSE),0)</f>
        <v>33.75</v>
      </c>
      <c r="K103" s="362">
        <f>IFERROR(VLOOKUP(C103,'تقرير المصروفات حسب الشهر'!$C$890:$AD$999,9,FALSE),0)</f>
        <v>0</v>
      </c>
      <c r="L103" s="362">
        <f>IFERROR(VLOOKUP(C103,'تقرير المصروفات حسب الشهر'!$C$1016:$AD$1126,9,FALSE),0)</f>
        <v>0</v>
      </c>
      <c r="M103" s="376">
        <f>IFERROR(VLOOKUP(C103,'تقرير المصروفات حسب الشهر'!$C$1143:$AD$1254,9,FALSE),0)</f>
        <v>0</v>
      </c>
      <c r="N103" s="376">
        <f>IFERROR(VLOOKUP(C103,'تقرير المصروفات حسب الشهر'!$C$1270:$AD$1381,9,FALSE),0)</f>
        <v>0</v>
      </c>
      <c r="O103" s="376">
        <f>IFERROR(VLOOKUP(C103,'تقرير المصروفات حسب الشهر'!$C$1397:$AD$1512,9,FALSE),0)</f>
        <v>0</v>
      </c>
      <c r="P103" s="364">
        <f t="shared" si="6"/>
        <v>236.25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الشهر'!$C$10:$AD$119,9,FALSE),0)</f>
        <v>0</v>
      </c>
      <c r="E104" s="362">
        <f>IFERROR(VLOOKUP(C104,'تقرير المصروفات حسب الشهر'!$C$135:$AD$244,9,FALSE),0)</f>
        <v>0</v>
      </c>
      <c r="F104" s="362">
        <f>IFERROR(VLOOKUP(C104,'تقرير المصروفات حسب الشهر'!$C$261:$AD$368,9,FALSE),0)</f>
        <v>0</v>
      </c>
      <c r="G104" s="362">
        <f>IFERROR(VLOOKUP(C104,'تقرير المصروفات حسب الشهر'!$C$387:$AD$495,9,FALSE),0)</f>
        <v>0</v>
      </c>
      <c r="H104" s="362">
        <f>IFERROR(VLOOKUP(C104,'تقرير المصروفات حسب الشهر'!$C$512:$AD$620,9,FALSE),0)</f>
        <v>0</v>
      </c>
      <c r="I104" s="362">
        <f>IFERROR(VLOOKUP(C104,'تقرير المصروفات حسب الشهر'!$C$637:$AD$746,9,FALSE),0)</f>
        <v>0</v>
      </c>
      <c r="J104" s="362">
        <f>IFERROR(VLOOKUP(C104,'تقرير المصروفات حسب الشهر'!$C$763:$AD$872,9,FALSE),0)</f>
        <v>0</v>
      </c>
      <c r="K104" s="362">
        <f>IFERROR(VLOOKUP(C104,'تقرير المصروفات حسب الشهر'!$C$890:$AD$999,9,FALSE),0)</f>
        <v>0</v>
      </c>
      <c r="L104" s="362">
        <f>IFERROR(VLOOKUP(C104,'تقرير المصروفات حسب الشهر'!$C$1016:$AD$1126,9,FALSE),0)</f>
        <v>0</v>
      </c>
      <c r="M104" s="376">
        <f>IFERROR(VLOOKUP(C104,'تقرير المصروفات حسب الشهر'!$C$1143:$AD$1254,9,FALSE),0)</f>
        <v>0</v>
      </c>
      <c r="N104" s="376">
        <f>IFERROR(VLOOKUP(C104,'تقرير المصروفات حسب الشهر'!$C$1270:$AD$1381,9,FALSE),0)</f>
        <v>0</v>
      </c>
      <c r="O104" s="376">
        <f>IFERROR(VLOOKUP(C104,'تقرير المصروفات حسب الشهر'!$C$1397:$AD$1512,9,FALSE),0)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الشهر'!$C$10:$AD$119,9,FALSE),0)</f>
        <v>0</v>
      </c>
      <c r="E105" s="362">
        <f>IFERROR(VLOOKUP(C105,'تقرير المصروفات حسب الشهر'!$C$135:$AD$244,9,FALSE),0)</f>
        <v>0</v>
      </c>
      <c r="F105" s="362">
        <f>IFERROR(VLOOKUP(C105,'تقرير المصروفات حسب الشهر'!$C$261:$AD$368,9,FALSE),0)</f>
        <v>0</v>
      </c>
      <c r="G105" s="362">
        <f>IFERROR(VLOOKUP(C105,'تقرير المصروفات حسب الشهر'!$C$387:$AD$495,9,FALSE),0)</f>
        <v>0</v>
      </c>
      <c r="H105" s="362">
        <f>IFERROR(VLOOKUP(C105,'تقرير المصروفات حسب الشهر'!$C$512:$AD$620,9,FALSE),0)</f>
        <v>0</v>
      </c>
      <c r="I105" s="362">
        <f>IFERROR(VLOOKUP(C105,'تقرير المصروفات حسب الشهر'!$C$637:$AD$746,9,FALSE),0)</f>
        <v>0</v>
      </c>
      <c r="J105" s="362">
        <f>IFERROR(VLOOKUP(C105,'تقرير المصروفات حسب الشهر'!$C$763:$AD$872,9,FALSE),0)</f>
        <v>0</v>
      </c>
      <c r="K105" s="362">
        <f>IFERROR(VLOOKUP(C105,'تقرير المصروفات حسب الشهر'!$C$890:$AD$999,9,FALSE),0)</f>
        <v>0</v>
      </c>
      <c r="L105" s="362">
        <f>IFERROR(VLOOKUP(C105,'تقرير المصروفات حسب الشهر'!$C$1016:$AD$1126,9,FALSE),0)</f>
        <v>0</v>
      </c>
      <c r="M105" s="376">
        <f>IFERROR(VLOOKUP(C105,'تقرير المصروفات حسب الشهر'!$C$1143:$AD$1254,9,FALSE),0)</f>
        <v>0</v>
      </c>
      <c r="N105" s="376">
        <f>IFERROR(VLOOKUP(C105,'تقرير المصروفات حسب الشهر'!$C$1270:$AD$1381,9,FALSE),0)</f>
        <v>0</v>
      </c>
      <c r="O105" s="376">
        <f>IFERROR(VLOOKUP(C105,'تقرير المصروفات حسب الشهر'!$C$1397:$AD$1512,9,FALSE),0)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الشهر'!$C$10:$AD$119,9,FALSE),0)</f>
        <v>0</v>
      </c>
      <c r="E106" s="362">
        <f>IFERROR(VLOOKUP(C106,'تقرير المصروفات حسب الشهر'!$C$135:$AD$244,9,FALSE),0)</f>
        <v>0</v>
      </c>
      <c r="F106" s="362">
        <f>IFERROR(VLOOKUP(C106,'تقرير المصروفات حسب الشهر'!$C$261:$AD$368,9,FALSE),0)</f>
        <v>0</v>
      </c>
      <c r="G106" s="362">
        <f>IFERROR(VLOOKUP(C106,'تقرير المصروفات حسب الشهر'!$C$387:$AD$495,9,FALSE),0)</f>
        <v>0</v>
      </c>
      <c r="H106" s="362">
        <f>IFERROR(VLOOKUP(C106,'تقرير المصروفات حسب الشهر'!$C$512:$AD$620,9,FALSE),0)</f>
        <v>0</v>
      </c>
      <c r="I106" s="362">
        <f>IFERROR(VLOOKUP(C106,'تقرير المصروفات حسب الشهر'!$C$637:$AD$746,9,FALSE),0)</f>
        <v>0</v>
      </c>
      <c r="J106" s="362">
        <f>IFERROR(VLOOKUP(C106,'تقرير المصروفات حسب الشهر'!$C$763:$AD$872,9,FALSE),0)</f>
        <v>0</v>
      </c>
      <c r="K106" s="362">
        <f>IFERROR(VLOOKUP(C106,'تقرير المصروفات حسب الشهر'!$C$890:$AD$999,9,FALSE),0)</f>
        <v>0</v>
      </c>
      <c r="L106" s="362">
        <f>IFERROR(VLOOKUP(C106,'تقرير المصروفات حسب الشهر'!$C$1016:$AD$1126,9,FALSE),0)</f>
        <v>0</v>
      </c>
      <c r="M106" s="376">
        <f>IFERROR(VLOOKUP(C106,'تقرير المصروفات حسب الشهر'!$C$1143:$AD$1254,9,FALSE),0)</f>
        <v>0</v>
      </c>
      <c r="N106" s="376">
        <f>IFERROR(VLOOKUP(C106,'تقرير المصروفات حسب الشهر'!$C$1270:$AD$1381,9,FALSE),0)</f>
        <v>0</v>
      </c>
      <c r="O106" s="376">
        <f>IFERROR(VLOOKUP(C106,'تقرير المصروفات حسب الشهر'!$C$1397:$AD$1512,9,FALSE),0)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الشهر'!$C$10:$AD$119,9,FALSE),0)</f>
        <v>0</v>
      </c>
      <c r="E107" s="362">
        <f>IFERROR(VLOOKUP(C107,'تقرير المصروفات حسب الشهر'!$C$135:$AD$244,9,FALSE),0)</f>
        <v>0</v>
      </c>
      <c r="F107" s="362">
        <f>IFERROR(VLOOKUP(C107,'تقرير المصروفات حسب الشهر'!$C$261:$AD$368,9,FALSE),0)</f>
        <v>0</v>
      </c>
      <c r="G107" s="362">
        <f>IFERROR(VLOOKUP(C107,'تقرير المصروفات حسب الشهر'!$C$387:$AD$495,9,FALSE),0)</f>
        <v>0</v>
      </c>
      <c r="H107" s="362">
        <f>IFERROR(VLOOKUP(C107,'تقرير المصروفات حسب الشهر'!$C$512:$AD$620,9,FALSE),0)</f>
        <v>0</v>
      </c>
      <c r="I107" s="362">
        <f>IFERROR(VLOOKUP(C107,'تقرير المصروفات حسب الشهر'!$C$637:$AD$746,9,FALSE),0)</f>
        <v>0</v>
      </c>
      <c r="J107" s="362">
        <f>IFERROR(VLOOKUP(C107,'تقرير المصروفات حسب الشهر'!$C$763:$AD$872,9,FALSE),0)</f>
        <v>0</v>
      </c>
      <c r="K107" s="362">
        <f>IFERROR(VLOOKUP(C107,'تقرير المصروفات حسب الشهر'!$C$890:$AD$999,9,FALSE),0)</f>
        <v>0</v>
      </c>
      <c r="L107" s="362">
        <f>IFERROR(VLOOKUP(C107,'تقرير المصروفات حسب الشهر'!$C$1016:$AD$1126,9,FALSE),0)</f>
        <v>0</v>
      </c>
      <c r="M107" s="376">
        <f>IFERROR(VLOOKUP(C107,'تقرير المصروفات حسب الشهر'!$C$1143:$AD$1254,9,FALSE),0)</f>
        <v>0</v>
      </c>
      <c r="N107" s="376">
        <f>IFERROR(VLOOKUP(C107,'تقرير المصروفات حسب الشهر'!$C$1270:$AD$1381,9,FALSE),0)</f>
        <v>0</v>
      </c>
      <c r="O107" s="376">
        <f>IFERROR(VLOOKUP(C107,'تقرير المصروفات حسب الشهر'!$C$1397:$AD$1512,9,FALSE),0)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الشهر'!$C$10:$AD$119,9,FALSE),0)</f>
        <v>0</v>
      </c>
      <c r="E108" s="362">
        <f>IFERROR(VLOOKUP(C108,'تقرير المصروفات حسب الشهر'!$C$135:$AD$244,9,FALSE),0)</f>
        <v>0</v>
      </c>
      <c r="F108" s="362">
        <f>IFERROR(VLOOKUP(C108,'تقرير المصروفات حسب الشهر'!$C$261:$AD$368,9,FALSE),0)</f>
        <v>0</v>
      </c>
      <c r="G108" s="362">
        <f>IFERROR(VLOOKUP(C108,'تقرير المصروفات حسب الشهر'!$C$387:$AD$495,9,FALSE),0)</f>
        <v>0</v>
      </c>
      <c r="H108" s="362">
        <f>IFERROR(VLOOKUP(C108,'تقرير المصروفات حسب الشهر'!$C$512:$AD$620,9,FALSE),0)</f>
        <v>0</v>
      </c>
      <c r="I108" s="362">
        <f>IFERROR(VLOOKUP(C108,'تقرير المصروفات حسب الشهر'!$C$637:$AD$746,9,FALSE),0)</f>
        <v>0</v>
      </c>
      <c r="J108" s="362">
        <f>IFERROR(VLOOKUP(C108,'تقرير المصروفات حسب الشهر'!$C$763:$AD$872,9,FALSE),0)</f>
        <v>0</v>
      </c>
      <c r="K108" s="362">
        <f>IFERROR(VLOOKUP(C108,'تقرير المصروفات حسب الشهر'!$C$890:$AD$999,9,FALSE),0)</f>
        <v>0</v>
      </c>
      <c r="L108" s="362">
        <f>IFERROR(VLOOKUP(C108,'تقرير المصروفات حسب الشهر'!$C$1016:$AD$1126,9,FALSE),0)</f>
        <v>0</v>
      </c>
      <c r="M108" s="376">
        <f>IFERROR(VLOOKUP(C108,'تقرير المصروفات حسب الشهر'!$C$1143:$AD$1254,9,FALSE),0)</f>
        <v>0</v>
      </c>
      <c r="N108" s="376">
        <f>IFERROR(VLOOKUP(C108,'تقرير المصروفات حسب الشهر'!$C$1270:$AD$1381,9,FALSE),0)</f>
        <v>0</v>
      </c>
      <c r="O108" s="376">
        <f>IFERROR(VLOOKUP(C108,'تقرير المصروفات حسب الشهر'!$C$1397:$AD$1512,9,FALSE),0)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الشهر'!$C$10:$AD$119,9,FALSE),0)</f>
        <v>0</v>
      </c>
      <c r="E109" s="362">
        <f>IFERROR(VLOOKUP(C109,'تقرير المصروفات حسب الشهر'!$C$135:$AD$244,9,FALSE),0)</f>
        <v>0</v>
      </c>
      <c r="F109" s="362">
        <f>IFERROR(VLOOKUP(C109,'تقرير المصروفات حسب الشهر'!$C$261:$AD$368,9,FALSE),0)</f>
        <v>0</v>
      </c>
      <c r="G109" s="362">
        <f>IFERROR(VLOOKUP(C109,'تقرير المصروفات حسب الشهر'!$C$387:$AD$495,9,FALSE),0)</f>
        <v>0</v>
      </c>
      <c r="H109" s="362">
        <f>IFERROR(VLOOKUP(C109,'تقرير المصروفات حسب الشهر'!$C$512:$AD$620,9,FALSE),0)</f>
        <v>0</v>
      </c>
      <c r="I109" s="362">
        <f>IFERROR(VLOOKUP(C109,'تقرير المصروفات حسب الشهر'!$C$637:$AD$746,9,FALSE),0)</f>
        <v>0</v>
      </c>
      <c r="J109" s="362">
        <f>IFERROR(VLOOKUP(C109,'تقرير المصروفات حسب الشهر'!$C$763:$AD$872,9,FALSE),0)</f>
        <v>0</v>
      </c>
      <c r="K109" s="362">
        <f>IFERROR(VLOOKUP(C109,'تقرير المصروفات حسب الشهر'!$C$890:$AD$999,9,FALSE),0)</f>
        <v>0</v>
      </c>
      <c r="L109" s="362">
        <f>IFERROR(VLOOKUP(C109,'تقرير المصروفات حسب الشهر'!$C$1016:$AD$1126,9,FALSE),0)</f>
        <v>0</v>
      </c>
      <c r="M109" s="376">
        <f>IFERROR(VLOOKUP(C109,'تقرير المصروفات حسب الشهر'!$C$1143:$AD$1254,9,FALSE),0)</f>
        <v>0</v>
      </c>
      <c r="N109" s="376">
        <f>IFERROR(VLOOKUP(C109,'تقرير المصروفات حسب الشهر'!$C$1270:$AD$1381,9,FALSE),0)</f>
        <v>0</v>
      </c>
      <c r="O109" s="376">
        <f>IFERROR(VLOOKUP(C109,'تقرير المصروفات حسب الشهر'!$C$1397:$AD$1512,9,FALSE),0)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الشهر'!$C$10:$AD$119,9,FALSE),0)</f>
        <v>0</v>
      </c>
      <c r="E110" s="362">
        <f>IFERROR(VLOOKUP(C110,'تقرير المصروفات حسب الشهر'!$C$135:$AD$244,9,FALSE),0)</f>
        <v>0</v>
      </c>
      <c r="F110" s="362">
        <f>IFERROR(VLOOKUP(C110,'تقرير المصروفات حسب الشهر'!$C$261:$AD$368,9,FALSE),0)</f>
        <v>0</v>
      </c>
      <c r="G110" s="362">
        <f>IFERROR(VLOOKUP(C110,'تقرير المصروفات حسب الشهر'!$C$387:$AD$495,9,FALSE),0)</f>
        <v>0</v>
      </c>
      <c r="H110" s="362">
        <f>IFERROR(VLOOKUP(C110,'تقرير المصروفات حسب الشهر'!$C$512:$AD$620,9,FALSE),0)</f>
        <v>0</v>
      </c>
      <c r="I110" s="362">
        <f>IFERROR(VLOOKUP(C110,'تقرير المصروفات حسب الشهر'!$C$637:$AD$746,9,FALSE),0)</f>
        <v>0</v>
      </c>
      <c r="J110" s="362">
        <f>IFERROR(VLOOKUP(C110,'تقرير المصروفات حسب الشهر'!$C$763:$AD$872,9,FALSE),0)</f>
        <v>0</v>
      </c>
      <c r="K110" s="362">
        <f>IFERROR(VLOOKUP(C110,'تقرير المصروفات حسب الشهر'!$C$890:$AD$999,9,FALSE),0)</f>
        <v>0</v>
      </c>
      <c r="L110" s="362">
        <f>IFERROR(VLOOKUP(C110,'تقرير المصروفات حسب الشهر'!$C$1016:$AD$1126,9,FALSE),0)</f>
        <v>0</v>
      </c>
      <c r="M110" s="376">
        <f>IFERROR(VLOOKUP(C110,'تقرير المصروفات حسب الشهر'!$C$1143:$AD$1254,9,FALSE),0)</f>
        <v>0</v>
      </c>
      <c r="N110" s="376">
        <f>IFERROR(VLOOKUP(C110,'تقرير المصروفات حسب الشهر'!$C$1270:$AD$1381,9,FALSE),0)</f>
        <v>0</v>
      </c>
      <c r="O110" s="376">
        <f>IFERROR(VLOOKUP(C110,'تقرير المصروفات حسب الشهر'!$C$1397:$AD$1512,9,FALSE),0)</f>
        <v>0</v>
      </c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الشهر'!$C$10:$AD$119,9,FALSE),0)</f>
        <v>0</v>
      </c>
      <c r="E111" s="362">
        <f>IFERROR(VLOOKUP(C111,'تقرير المصروفات حسب الشهر'!$C$135:$AD$244,9,FALSE),0)</f>
        <v>0</v>
      </c>
      <c r="F111" s="362">
        <f>IFERROR(VLOOKUP(C111,'تقرير المصروفات حسب الشهر'!$C$261:$AD$368,9,FALSE),0)</f>
        <v>0</v>
      </c>
      <c r="G111" s="362">
        <f>IFERROR(VLOOKUP(C111,'تقرير المصروفات حسب الشهر'!$C$387:$AD$495,9,FALSE),0)</f>
        <v>0</v>
      </c>
      <c r="H111" s="362">
        <f>IFERROR(VLOOKUP(C111,'تقرير المصروفات حسب الشهر'!$C$512:$AD$620,9,FALSE),0)</f>
        <v>0</v>
      </c>
      <c r="I111" s="362">
        <f>IFERROR(VLOOKUP(C111,'تقرير المصروفات حسب الشهر'!$C$637:$AD$746,9,FALSE),0)</f>
        <v>0</v>
      </c>
      <c r="J111" s="362">
        <f>IFERROR(VLOOKUP(C111,'تقرير المصروفات حسب الشهر'!$C$763:$AD$872,9,FALSE),0)</f>
        <v>0</v>
      </c>
      <c r="K111" s="362">
        <f>IFERROR(VLOOKUP(C111,'تقرير المصروفات حسب الشهر'!$C$890:$AD$999,9,FALSE),0)</f>
        <v>0</v>
      </c>
      <c r="L111" s="362">
        <f>IFERROR(VLOOKUP(C111,'تقرير المصروفات حسب الشهر'!$C$1016:$AD$1126,9,FALSE),0)</f>
        <v>0</v>
      </c>
      <c r="M111" s="376">
        <f>IFERROR(VLOOKUP(C111,'تقرير المصروفات حسب الشهر'!$C$1143:$AD$1254,9,FALSE),0)</f>
        <v>0</v>
      </c>
      <c r="N111" s="376">
        <f>IFERROR(VLOOKUP(C111,'تقرير المصروفات حسب الشهر'!$C$1270:$AD$1381,9,FALSE),0)</f>
        <v>0</v>
      </c>
      <c r="O111" s="376">
        <f>IFERROR(VLOOKUP(C111,'تقرير المصروفات حسب الشهر'!$C$1397:$AD$1512,9,FALSE),0)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الشهر'!$C$10:$AD$119,9,FALSE),0)</f>
        <v>20</v>
      </c>
      <c r="E112" s="362">
        <f>IFERROR(VLOOKUP(C112,'تقرير المصروفات حسب الشهر'!$C$135:$AD$244,9,FALSE),0)</f>
        <v>0</v>
      </c>
      <c r="F112" s="362">
        <f>IFERROR(VLOOKUP(C112,'تقرير المصروفات حسب الشهر'!$C$261:$AD$368,9,FALSE),0)</f>
        <v>0</v>
      </c>
      <c r="G112" s="362">
        <f>IFERROR(VLOOKUP(C112,'تقرير المصروفات حسب الشهر'!$C$387:$AD$495,9,FALSE),0)</f>
        <v>0</v>
      </c>
      <c r="H112" s="362">
        <f>IFERROR(VLOOKUP(C112,'تقرير المصروفات حسب الشهر'!$C$512:$AD$620,9,FALSE),0)</f>
        <v>0</v>
      </c>
      <c r="I112" s="362">
        <f>IFERROR(VLOOKUP(C112,'تقرير المصروفات حسب الشهر'!$C$637:$AD$746,9,FALSE),0)</f>
        <v>0</v>
      </c>
      <c r="J112" s="362">
        <f>IFERROR(VLOOKUP(C112,'تقرير المصروفات حسب الشهر'!$C$763:$AD$872,9,FALSE),0)</f>
        <v>0</v>
      </c>
      <c r="K112" s="362">
        <f>IFERROR(VLOOKUP(C112,'تقرير المصروفات حسب الشهر'!$C$890:$AD$999,9,FALSE),0)</f>
        <v>0</v>
      </c>
      <c r="L112" s="362">
        <f>IFERROR(VLOOKUP(C112,'تقرير المصروفات حسب الشهر'!$C$1016:$AD$1126,9,FALSE),0)</f>
        <v>0</v>
      </c>
      <c r="M112" s="376">
        <f>IFERROR(VLOOKUP(C112,'تقرير المصروفات حسب الشهر'!$C$1143:$AD$1254,9,FALSE),0)</f>
        <v>0</v>
      </c>
      <c r="N112" s="376">
        <f>IFERROR(VLOOKUP(C112,'تقرير المصروفات حسب الشهر'!$C$1270:$AD$1381,9,FALSE),0)</f>
        <v>0</v>
      </c>
      <c r="O112" s="376">
        <f>IFERROR(VLOOKUP(C112,'تقرير المصروفات حسب الشهر'!$C$1397:$AD$1512,9,FALSE),0)</f>
        <v>0</v>
      </c>
      <c r="P112" s="364">
        <f t="shared" si="6"/>
        <v>20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الشهر'!$C$10:$AD$119,9,FALSE),0)</f>
        <v>0</v>
      </c>
      <c r="E113" s="362">
        <f>IFERROR(VLOOKUP(C113,'تقرير المصروفات حسب الشهر'!$C$135:$AD$244,9,FALSE),0)</f>
        <v>0</v>
      </c>
      <c r="F113" s="362">
        <f>IFERROR(VLOOKUP(C113,'تقرير المصروفات حسب الشهر'!$C$261:$AD$368,9,FALSE),0)</f>
        <v>0</v>
      </c>
      <c r="G113" s="362">
        <f>IFERROR(VLOOKUP(C113,'تقرير المصروفات حسب الشهر'!$C$387:$AD$495,9,FALSE),0)</f>
        <v>0</v>
      </c>
      <c r="H113" s="362">
        <f>IFERROR(VLOOKUP(C113,'تقرير المصروفات حسب الشهر'!$C$512:$AD$620,9,FALSE),0)</f>
        <v>0</v>
      </c>
      <c r="I113" s="362">
        <f>IFERROR(VLOOKUP(C113,'تقرير المصروفات حسب الشهر'!$C$637:$AD$746,9,FALSE),0)</f>
        <v>0</v>
      </c>
      <c r="J113" s="362">
        <f>IFERROR(VLOOKUP(C113,'تقرير المصروفات حسب الشهر'!$C$763:$AD$872,9,FALSE),0)</f>
        <v>0</v>
      </c>
      <c r="K113" s="362">
        <f>IFERROR(VLOOKUP(C113,'تقرير المصروفات حسب الشهر'!$C$890:$AD$999,9,FALSE),0)</f>
        <v>0</v>
      </c>
      <c r="L113" s="362">
        <f>IFERROR(VLOOKUP(C113,'تقرير المصروفات حسب الشهر'!$C$1016:$AD$1126,9,FALSE),0)</f>
        <v>0</v>
      </c>
      <c r="M113" s="376">
        <f>IFERROR(VLOOKUP(C113,'تقرير المصروفات حسب الشهر'!$C$1143:$AD$1254,9,FALSE),0)</f>
        <v>0</v>
      </c>
      <c r="N113" s="376">
        <f>IFERROR(VLOOKUP(C113,'تقرير المصروفات حسب الشهر'!$C$1270:$AD$1381,9,FALSE),0)</f>
        <v>0</v>
      </c>
      <c r="O113" s="376">
        <f>IFERROR(VLOOKUP(C113,'تقرير المصروفات حسب الشهر'!$C$1397:$AD$1512,9,FALSE),0)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الشهر'!$C$10:$AD$119,9,FALSE),0)</f>
        <v>0</v>
      </c>
      <c r="E114" s="362">
        <f>IFERROR(VLOOKUP(C114,'تقرير المصروفات حسب الشهر'!$C$135:$AD$244,9,FALSE),0)</f>
        <v>0</v>
      </c>
      <c r="F114" s="362">
        <f>IFERROR(VLOOKUP(C114,'تقرير المصروفات حسب الشهر'!$C$261:$AD$368,9,FALSE),0)</f>
        <v>0</v>
      </c>
      <c r="G114" s="362">
        <f>IFERROR(VLOOKUP(C114,'تقرير المصروفات حسب الشهر'!$C$387:$AD$495,9,FALSE),0)</f>
        <v>0</v>
      </c>
      <c r="H114" s="362">
        <f>IFERROR(VLOOKUP(C114,'تقرير المصروفات حسب الشهر'!$C$512:$AD$620,9,FALSE),0)</f>
        <v>0</v>
      </c>
      <c r="I114" s="362">
        <f>IFERROR(VLOOKUP(C114,'تقرير المصروفات حسب الشهر'!$C$637:$AD$746,9,FALSE),0)</f>
        <v>0</v>
      </c>
      <c r="J114" s="362">
        <f>IFERROR(VLOOKUP(C114,'تقرير المصروفات حسب الشهر'!$C$763:$AD$872,9,FALSE),0)</f>
        <v>0</v>
      </c>
      <c r="K114" s="362">
        <f>IFERROR(VLOOKUP(C114,'تقرير المصروفات حسب الشهر'!$C$890:$AD$999,9,FALSE),0)</f>
        <v>0</v>
      </c>
      <c r="L114" s="362">
        <f>IFERROR(VLOOKUP(C114,'تقرير المصروفات حسب الشهر'!$C$1016:$AD$1126,9,FALSE),0)</f>
        <v>0</v>
      </c>
      <c r="M114" s="376">
        <f>IFERROR(VLOOKUP(C114,'تقرير المصروفات حسب الشهر'!$C$1143:$AD$1254,9,FALSE),0)</f>
        <v>0</v>
      </c>
      <c r="N114" s="376">
        <f>IFERROR(VLOOKUP(C114,'تقرير المصروفات حسب الشهر'!$C$1270:$AD$1381,9,FALSE),0)</f>
        <v>0</v>
      </c>
      <c r="O114" s="376">
        <f>IFERROR(VLOOKUP(C114,'تقرير المصروفات حسب الشهر'!$C$1397:$AD$1512,9,FALSE),0)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الشهر'!$C$10:$AD$119,9,FALSE),0)</f>
        <v>0</v>
      </c>
      <c r="E115" s="362">
        <f>IFERROR(VLOOKUP(C115,'تقرير المصروفات حسب الشهر'!$C$135:$AD$244,9,FALSE),0)</f>
        <v>0</v>
      </c>
      <c r="F115" s="362">
        <f>IFERROR(VLOOKUP(C115,'تقرير المصروفات حسب الشهر'!$C$261:$AD$368,9,FALSE),0)</f>
        <v>0</v>
      </c>
      <c r="G115" s="362">
        <f>IFERROR(VLOOKUP(C115,'تقرير المصروفات حسب الشهر'!$C$387:$AD$495,9,FALSE),0)</f>
        <v>0</v>
      </c>
      <c r="H115" s="362">
        <f>IFERROR(VLOOKUP(C115,'تقرير المصروفات حسب الشهر'!$C$512:$AD$620,9,FALSE),0)</f>
        <v>0</v>
      </c>
      <c r="I115" s="362">
        <f>IFERROR(VLOOKUP(C115,'تقرير المصروفات حسب الشهر'!$C$637:$AD$746,9,FALSE),0)</f>
        <v>0</v>
      </c>
      <c r="J115" s="362">
        <f>IFERROR(VLOOKUP(C115,'تقرير المصروفات حسب الشهر'!$C$763:$AD$872,9,FALSE),0)</f>
        <v>0</v>
      </c>
      <c r="K115" s="362">
        <f>IFERROR(VLOOKUP(C115,'تقرير المصروفات حسب الشهر'!$C$890:$AD$999,9,FALSE),0)</f>
        <v>0</v>
      </c>
      <c r="L115" s="362">
        <f>IFERROR(VLOOKUP(C115,'تقرير المصروفات حسب الشهر'!$C$1016:$AD$1126,9,FALSE),0)</f>
        <v>0</v>
      </c>
      <c r="M115" s="376">
        <f>IFERROR(VLOOKUP(C115,'تقرير المصروفات حسب الشهر'!$C$1143:$AD$1254,9,FALSE),0)</f>
        <v>0</v>
      </c>
      <c r="N115" s="376">
        <f>IFERROR(VLOOKUP(C115,'تقرير المصروفات حسب الشهر'!$C$1270:$AD$1381,9,FALSE),0)</f>
        <v>0</v>
      </c>
      <c r="O115" s="376">
        <f>IFERROR(VLOOKUP(C115,'تقرير المصروفات حسب الشهر'!$C$1397:$AD$1512,9,FALSE),0)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الشهر'!$C$10:$AD$119,9,FALSE),0)</f>
        <v>0</v>
      </c>
      <c r="E116" s="362">
        <f>IFERROR(VLOOKUP(C116,'تقرير المصروفات حسب الشهر'!$C$135:$AD$244,9,FALSE),0)</f>
        <v>0</v>
      </c>
      <c r="F116" s="362">
        <f>IFERROR(VLOOKUP(C116,'تقرير المصروفات حسب الشهر'!$C$261:$AD$368,9,FALSE),0)</f>
        <v>0</v>
      </c>
      <c r="G116" s="362">
        <f>IFERROR(VLOOKUP(C116,'تقرير المصروفات حسب الشهر'!$C$387:$AD$495,9,FALSE),0)</f>
        <v>0</v>
      </c>
      <c r="H116" s="362">
        <f>IFERROR(VLOOKUP(C116,'تقرير المصروفات حسب الشهر'!$C$512:$AD$620,9,FALSE),0)</f>
        <v>0</v>
      </c>
      <c r="I116" s="362">
        <f>IFERROR(VLOOKUP(C116,'تقرير المصروفات حسب الشهر'!$C$637:$AD$746,9,FALSE),0)</f>
        <v>0</v>
      </c>
      <c r="J116" s="362">
        <f>IFERROR(VLOOKUP(C116,'تقرير المصروفات حسب الشهر'!$C$763:$AD$872,9,FALSE),0)</f>
        <v>0</v>
      </c>
      <c r="K116" s="362">
        <f>IFERROR(VLOOKUP(C116,'تقرير المصروفات حسب الشهر'!$C$890:$AD$999,9,FALSE),0)</f>
        <v>0</v>
      </c>
      <c r="L116" s="362">
        <f>IFERROR(VLOOKUP(C116,'تقرير المصروفات حسب الشهر'!$C$1016:$AD$1126,9,FALSE),0)</f>
        <v>0</v>
      </c>
      <c r="M116" s="376">
        <f>IFERROR(VLOOKUP(C116,'تقرير المصروفات حسب الشهر'!$C$1143:$AD$1254,9,FALSE),0)</f>
        <v>0</v>
      </c>
      <c r="N116" s="376">
        <f>IFERROR(VLOOKUP(C116,'تقرير المصروفات حسب الشهر'!$C$1270:$AD$1381,9,FALSE),0)</f>
        <v>0</v>
      </c>
      <c r="O116" s="376">
        <f>IFERROR(VLOOKUP(C116,'تقرير المصروفات حسب الشهر'!$C$1397:$AD$1512,9,FALSE),0)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الشهر'!$C$10:$AD$119,9,FALSE),0)</f>
        <v>0</v>
      </c>
      <c r="E117" s="362">
        <f>IFERROR(VLOOKUP(C117,'تقرير المصروفات حسب الشهر'!$C$135:$AD$244,9,FALSE),0)</f>
        <v>0</v>
      </c>
      <c r="F117" s="362">
        <f>IFERROR(VLOOKUP(C117,'تقرير المصروفات حسب الشهر'!$C$261:$AD$368,9,FALSE),0)</f>
        <v>0</v>
      </c>
      <c r="G117" s="362">
        <f>IFERROR(VLOOKUP(C117,'تقرير المصروفات حسب الشهر'!$C$387:$AD$495,9,FALSE),0)</f>
        <v>0</v>
      </c>
      <c r="H117" s="362">
        <f>IFERROR(VLOOKUP(C117,'تقرير المصروفات حسب الشهر'!$C$512:$AD$620,9,FALSE),0)</f>
        <v>0</v>
      </c>
      <c r="I117" s="362">
        <f>IFERROR(VLOOKUP(C117,'تقرير المصروفات حسب الشهر'!$C$637:$AD$746,9,FALSE),0)</f>
        <v>0</v>
      </c>
      <c r="J117" s="362">
        <f>IFERROR(VLOOKUP(C117,'تقرير المصروفات حسب الشهر'!$C$763:$AD$872,9,FALSE),0)</f>
        <v>0</v>
      </c>
      <c r="K117" s="362">
        <f>IFERROR(VLOOKUP(C117,'تقرير المصروفات حسب الشهر'!$C$890:$AD$999,9,FALSE),0)</f>
        <v>0</v>
      </c>
      <c r="L117" s="362">
        <f>IFERROR(VLOOKUP(C117,'تقرير المصروفات حسب الشهر'!$C$1016:$AD$1126,9,FALSE),0)</f>
        <v>0</v>
      </c>
      <c r="M117" s="376">
        <f>IFERROR(VLOOKUP(C117,'تقرير المصروفات حسب الشهر'!$C$1143:$AD$1254,9,FALSE),0)</f>
        <v>0</v>
      </c>
      <c r="N117" s="376">
        <f>IFERROR(VLOOKUP(C117,'تقرير المصروفات حسب الشهر'!$C$1270:$AD$1381,9,FALSE),0)</f>
        <v>0</v>
      </c>
      <c r="O117" s="376">
        <f>IFERROR(VLOOKUP(C117,'تقرير المصروفات حسب الشهر'!$C$1397:$AD$1512,9,FALSE),0)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الشهر'!$C$10:$AD$119,9,FALSE),0)</f>
        <v>0</v>
      </c>
      <c r="E118" s="362">
        <f>IFERROR(VLOOKUP(C118,'تقرير المصروفات حسب الشهر'!$C$135:$AD$244,9,FALSE),0)</f>
        <v>0</v>
      </c>
      <c r="F118" s="362">
        <f>IFERROR(VLOOKUP(C118,'تقرير المصروفات حسب الشهر'!$C$261:$AD$368,9,FALSE),0)</f>
        <v>0</v>
      </c>
      <c r="G118" s="362">
        <f>IFERROR(VLOOKUP(C118,'تقرير المصروفات حسب الشهر'!$C$387:$AD$495,9,FALSE),0)</f>
        <v>0</v>
      </c>
      <c r="H118" s="362">
        <f>IFERROR(VLOOKUP(C118,'تقرير المصروفات حسب الشهر'!$C$512:$AD$620,9,FALSE),0)</f>
        <v>0</v>
      </c>
      <c r="I118" s="362">
        <f>IFERROR(VLOOKUP(C118,'تقرير المصروفات حسب الشهر'!$C$637:$AD$746,9,FALSE),0)</f>
        <v>0</v>
      </c>
      <c r="J118" s="362">
        <f>IFERROR(VLOOKUP(C118,'تقرير المصروفات حسب الشهر'!$C$763:$AD$872,9,FALSE),0)</f>
        <v>0</v>
      </c>
      <c r="K118" s="362">
        <f>IFERROR(VLOOKUP(C118,'تقرير المصروفات حسب الشهر'!$C$890:$AD$999,9,FALSE),0)</f>
        <v>0</v>
      </c>
      <c r="L118" s="362">
        <f>IFERROR(VLOOKUP(C118,'تقرير المصروفات حسب الشهر'!$C$1016:$AD$1126,9,FALSE),0)</f>
        <v>0</v>
      </c>
      <c r="M118" s="376">
        <f>IFERROR(VLOOKUP(C118,'تقرير المصروفات حسب الشهر'!$C$1143:$AD$1254,9,FALSE),0)</f>
        <v>0</v>
      </c>
      <c r="N118" s="376">
        <f>IFERROR(VLOOKUP(C118,'تقرير المصروفات حسب الشهر'!$C$1270:$AD$1381,9,FALSE),0)</f>
        <v>0</v>
      </c>
      <c r="O118" s="376">
        <f>IFERROR(VLOOKUP(C118,'تقرير المصروفات حسب الشهر'!$C$1397:$AD$1512,9,FALSE),0)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الشهر'!$C$10:$AD$119,9,FALSE),0)</f>
        <v>0</v>
      </c>
      <c r="E119" s="362">
        <f>IFERROR(VLOOKUP(C119,'تقرير المصروفات حسب الشهر'!$C$135:$AD$244,9,FALSE),0)</f>
        <v>0</v>
      </c>
      <c r="F119" s="362">
        <f>IFERROR(VLOOKUP(C119,'تقرير المصروفات حسب الشهر'!$C$261:$AD$368,9,FALSE),0)</f>
        <v>0</v>
      </c>
      <c r="G119" s="362">
        <f>IFERROR(VLOOKUP(C119,'تقرير المصروفات حسب الشهر'!$C$387:$AD$495,9,FALSE),0)</f>
        <v>0</v>
      </c>
      <c r="H119" s="362">
        <f>IFERROR(VLOOKUP(C119,'تقرير المصروفات حسب الشهر'!$C$512:$AD$620,9,FALSE),0)</f>
        <v>0</v>
      </c>
      <c r="I119" s="362">
        <f>IFERROR(VLOOKUP(C119,'تقرير المصروفات حسب الشهر'!$C$637:$AD$746,9,FALSE),0)</f>
        <v>0</v>
      </c>
      <c r="J119" s="362">
        <f>IFERROR(VLOOKUP(C119,'تقرير المصروفات حسب الشهر'!$C$763:$AD$872,9,FALSE),0)</f>
        <v>0</v>
      </c>
      <c r="K119" s="362">
        <f>IFERROR(VLOOKUP(C119,'تقرير المصروفات حسب الشهر'!$C$890:$AD$999,9,FALSE),0)</f>
        <v>0</v>
      </c>
      <c r="L119" s="362">
        <f>IFERROR(VLOOKUP(C119,'تقرير المصروفات حسب الشهر'!$C$1016:$AD$1126,9,FALSE),0)</f>
        <v>0</v>
      </c>
      <c r="M119" s="376">
        <f>IFERROR(VLOOKUP(C119,'تقرير المصروفات حسب الشهر'!$C$1143:$AD$1254,9,FALSE),0)</f>
        <v>0</v>
      </c>
      <c r="N119" s="376">
        <f>IFERROR(VLOOKUP(C119,'تقرير المصروفات حسب الشهر'!$C$1270:$AD$1381,9,FALSE),0)</f>
        <v>0</v>
      </c>
      <c r="O119" s="376">
        <f>IFERROR(VLOOKUP(C119,'تقرير المصروفات حسب الشهر'!$C$1397:$AD$1512,9,FALSE),0)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الشهر'!$C$10:$AD$119,9,FALSE),0)</f>
        <v>0</v>
      </c>
      <c r="E120" s="362">
        <f>IFERROR(VLOOKUP(C120,'تقرير المصروفات حسب الشهر'!$C$135:$AD$244,9,FALSE),0)</f>
        <v>0</v>
      </c>
      <c r="F120" s="362">
        <f>IFERROR(VLOOKUP(C120,'تقرير المصروفات حسب الشهر'!$C$261:$AD$368,9,FALSE),0)</f>
        <v>0</v>
      </c>
      <c r="G120" s="362">
        <f>IFERROR(VLOOKUP(C120,'تقرير المصروفات حسب الشهر'!$C$387:$AD$495,9,FALSE),0)</f>
        <v>0</v>
      </c>
      <c r="H120" s="362">
        <f>IFERROR(VLOOKUP(C120,'تقرير المصروفات حسب الشهر'!$C$512:$AD$620,9,FALSE),0)</f>
        <v>0</v>
      </c>
      <c r="I120" s="362">
        <f>IFERROR(VLOOKUP(C120,'تقرير المصروفات حسب الشهر'!$C$637:$AD$746,9,FALSE),0)</f>
        <v>0</v>
      </c>
      <c r="J120" s="362">
        <f>IFERROR(VLOOKUP(C120,'تقرير المصروفات حسب الشهر'!$C$763:$AD$872,9,FALSE),0)</f>
        <v>0</v>
      </c>
      <c r="K120" s="362">
        <f>IFERROR(VLOOKUP(C120,'تقرير المصروفات حسب الشهر'!$C$890:$AD$999,9,FALSE),0)</f>
        <v>0</v>
      </c>
      <c r="L120" s="362">
        <f>IFERROR(VLOOKUP(C120,'تقرير المصروفات حسب الشهر'!$C$1016:$AD$1126,9,FALSE),0)</f>
        <v>0</v>
      </c>
      <c r="M120" s="376">
        <f>IFERROR(VLOOKUP(C120,'تقرير المصروفات حسب الشهر'!$C$1143:$AD$1254,9,FALSE),0)</f>
        <v>0</v>
      </c>
      <c r="N120" s="376">
        <f>IFERROR(VLOOKUP(C120,'تقرير المصروفات حسب الشهر'!$C$1270:$AD$1381,9,FALSE),0)</f>
        <v>0</v>
      </c>
      <c r="O120" s="376">
        <f>IFERROR(VLOOKUP(C120,'تقرير المصروفات حسب الشهر'!$C$1397:$AD$1512,9,FALSE),0)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الشهر'!$C$10:$AD$119,9,FALSE),0)</f>
        <v>0</v>
      </c>
      <c r="E121" s="362">
        <f>IFERROR(VLOOKUP(C121,'تقرير المصروفات حسب الشهر'!$C$135:$AD$244,9,FALSE),0)</f>
        <v>0</v>
      </c>
      <c r="F121" s="362">
        <f>IFERROR(VLOOKUP(C121,'تقرير المصروفات حسب الشهر'!$C$261:$AD$368,9,FALSE),0)</f>
        <v>0</v>
      </c>
      <c r="G121" s="362">
        <f>IFERROR(VLOOKUP(C121,'تقرير المصروفات حسب الشهر'!$C$387:$AD$495,9,FALSE),0)</f>
        <v>0</v>
      </c>
      <c r="H121" s="362">
        <f>IFERROR(VLOOKUP(C121,'تقرير المصروفات حسب الشهر'!$C$512:$AD$620,9,FALSE),0)</f>
        <v>0</v>
      </c>
      <c r="I121" s="362">
        <f>IFERROR(VLOOKUP(C121,'تقرير المصروفات حسب الشهر'!$C$637:$AD$746,9,FALSE),0)</f>
        <v>0</v>
      </c>
      <c r="J121" s="362">
        <f>IFERROR(VLOOKUP(C121,'تقرير المصروفات حسب الشهر'!$C$763:$AD$872,9,FALSE),0)</f>
        <v>0</v>
      </c>
      <c r="K121" s="362">
        <f>IFERROR(VLOOKUP(C121,'تقرير المصروفات حسب الشهر'!$C$890:$AD$999,9,FALSE),0)</f>
        <v>0</v>
      </c>
      <c r="L121" s="362">
        <f>IFERROR(VLOOKUP(C121,'تقرير المصروفات حسب الشهر'!$C$1016:$AD$1126,9,FALSE),0)</f>
        <v>0</v>
      </c>
      <c r="M121" s="376">
        <f>IFERROR(VLOOKUP(C121,'تقرير المصروفات حسب الشهر'!$C$1143:$AD$1254,9,FALSE),0)</f>
        <v>0</v>
      </c>
      <c r="N121" s="376">
        <f>IFERROR(VLOOKUP(C121,'تقرير المصروفات حسب الشهر'!$C$1270:$AD$1381,9,FALSE),0)</f>
        <v>0</v>
      </c>
      <c r="O121" s="376">
        <f>IFERROR(VLOOKUP(C121,'تقرير المصروفات حسب الشهر'!$C$1397:$AD$1512,9,FALSE),0)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الشهر'!$C$10:$AD$119,9,FALSE),0)</f>
        <v>0</v>
      </c>
      <c r="E122" s="362">
        <f>IFERROR(VLOOKUP(C122,'تقرير المصروفات حسب الشهر'!$C$135:$AD$244,9,FALSE),0)</f>
        <v>0</v>
      </c>
      <c r="F122" s="362">
        <f>IFERROR(VLOOKUP(C122,'تقرير المصروفات حسب الشهر'!$C$261:$AD$368,9,FALSE),0)</f>
        <v>0</v>
      </c>
      <c r="G122" s="362">
        <f>IFERROR(VLOOKUP(C122,'تقرير المصروفات حسب الشهر'!$C$387:$AD$495,9,FALSE),0)</f>
        <v>0</v>
      </c>
      <c r="H122" s="362">
        <f>IFERROR(VLOOKUP(C122,'تقرير المصروفات حسب الشهر'!$C$512:$AD$620,9,FALSE),0)</f>
        <v>0</v>
      </c>
      <c r="I122" s="362">
        <f>IFERROR(VLOOKUP(C122,'تقرير المصروفات حسب الشهر'!$C$637:$AD$746,9,FALSE),0)</f>
        <v>0</v>
      </c>
      <c r="J122" s="362">
        <f>IFERROR(VLOOKUP(C122,'تقرير المصروفات حسب الشهر'!$C$763:$AD$872,9,FALSE),0)</f>
        <v>0</v>
      </c>
      <c r="K122" s="362">
        <f>IFERROR(VLOOKUP(C122,'تقرير المصروفات حسب الشهر'!$C$890:$AD$999,9,FALSE),0)</f>
        <v>0</v>
      </c>
      <c r="L122" s="362">
        <f>IFERROR(VLOOKUP(C122,'تقرير المصروفات حسب الشهر'!$C$1016:$AD$1126,9,FALSE),0)</f>
        <v>0</v>
      </c>
      <c r="M122" s="376">
        <f>IFERROR(VLOOKUP(C122,'تقرير المصروفات حسب الشهر'!$C$1143:$AD$1254,9,FALSE),0)</f>
        <v>0</v>
      </c>
      <c r="N122" s="376">
        <f>IFERROR(VLOOKUP(C122,'تقرير المصروفات حسب الشهر'!$C$1270:$AD$1381,9,FALSE),0)</f>
        <v>0</v>
      </c>
      <c r="O122" s="376">
        <f>IFERROR(VLOOKUP(C122,'تقرير المصروفات حسب الشهر'!$C$1397:$AD$1512,9,FALSE),0)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الشهر'!$C$10:$AD$119,9,FALSE),0)</f>
        <v>0</v>
      </c>
      <c r="E123" s="362">
        <f>IFERROR(VLOOKUP(C123,'تقرير المصروفات حسب الشهر'!$C$135:$AD$244,9,FALSE),0)</f>
        <v>0</v>
      </c>
      <c r="F123" s="362">
        <f>IFERROR(VLOOKUP(C123,'تقرير المصروفات حسب الشهر'!$C$261:$AD$368,9,FALSE),0)</f>
        <v>0</v>
      </c>
      <c r="G123" s="362">
        <f>IFERROR(VLOOKUP(C123,'تقرير المصروفات حسب الشهر'!$C$387:$AD$495,9,FALSE),0)</f>
        <v>0</v>
      </c>
      <c r="H123" s="362">
        <f>IFERROR(VLOOKUP(C123,'تقرير المصروفات حسب الشهر'!$C$512:$AD$620,9,FALSE),0)</f>
        <v>0</v>
      </c>
      <c r="I123" s="362">
        <f>IFERROR(VLOOKUP(C123,'تقرير المصروفات حسب الشهر'!$C$637:$AD$746,9,FALSE),0)</f>
        <v>0</v>
      </c>
      <c r="J123" s="362">
        <f>IFERROR(VLOOKUP(C123,'تقرير المصروفات حسب الشهر'!$C$763:$AD$872,9,FALSE),0)</f>
        <v>0</v>
      </c>
      <c r="K123" s="362">
        <f>IFERROR(VLOOKUP(C123,'تقرير المصروفات حسب الشهر'!$C$890:$AD$999,9,FALSE),0)</f>
        <v>0</v>
      </c>
      <c r="L123" s="362">
        <f>IFERROR(VLOOKUP(C123,'تقرير المصروفات حسب الشهر'!$C$1016:$AD$1126,9,FALSE),0)</f>
        <v>0</v>
      </c>
      <c r="M123" s="376">
        <f>IFERROR(VLOOKUP(C123,'تقرير المصروفات حسب الشهر'!$C$1143:$AD$1254,9,FALSE),0)</f>
        <v>0</v>
      </c>
      <c r="N123" s="376">
        <f>IFERROR(VLOOKUP(C123,'تقرير المصروفات حسب الشهر'!$C$1270:$AD$1381,9,FALSE),0)</f>
        <v>0</v>
      </c>
      <c r="O123" s="376">
        <f>IFERROR(VLOOKUP(C123,'تقرير المصروفات حسب الشهر'!$C$1397:$AD$1512,9,FALSE),0)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الشهر'!$C$10:$AD$119,9,FALSE),0)</f>
        <v>0</v>
      </c>
      <c r="E124" s="362">
        <f>IFERROR(VLOOKUP(C124,'تقرير المصروفات حسب الشهر'!$C$135:$AD$244,9,FALSE),0)</f>
        <v>0</v>
      </c>
      <c r="F124" s="362">
        <f>IFERROR(VLOOKUP(C124,'تقرير المصروفات حسب الشهر'!$C$261:$AD$368,9,FALSE),0)</f>
        <v>0</v>
      </c>
      <c r="G124" s="362">
        <f>IFERROR(VLOOKUP(C124,'تقرير المصروفات حسب الشهر'!$C$387:$AD$495,9,FALSE),0)</f>
        <v>0</v>
      </c>
      <c r="H124" s="362">
        <f>IFERROR(VLOOKUP(C124,'تقرير المصروفات حسب الشهر'!$C$512:$AD$620,9,FALSE),0)</f>
        <v>0</v>
      </c>
      <c r="I124" s="362">
        <f>IFERROR(VLOOKUP(C124,'تقرير المصروفات حسب الشهر'!$C$637:$AD$746,9,FALSE),0)</f>
        <v>0</v>
      </c>
      <c r="J124" s="362">
        <f>IFERROR(VLOOKUP(C124,'تقرير المصروفات حسب الشهر'!$C$763:$AD$872,9,FALSE),0)</f>
        <v>0</v>
      </c>
      <c r="K124" s="362">
        <f>IFERROR(VLOOKUP(C124,'تقرير المصروفات حسب الشهر'!$C$890:$AD$999,9,FALSE),0)</f>
        <v>0</v>
      </c>
      <c r="L124" s="362">
        <f>IFERROR(VLOOKUP(C124,'تقرير المصروفات حسب الشهر'!$C$1016:$AD$1126,9,FALSE),0)</f>
        <v>0</v>
      </c>
      <c r="M124" s="376">
        <f>IFERROR(VLOOKUP(C124,'تقرير المصروفات حسب الشهر'!$C$1143:$AD$1254,9,FALSE),0)</f>
        <v>0</v>
      </c>
      <c r="N124" s="376">
        <f>IFERROR(VLOOKUP(C124,'تقرير المصروفات حسب الشهر'!$C$1270:$AD$1381,9,FALSE),0)</f>
        <v>0</v>
      </c>
      <c r="O124" s="376">
        <f>IFERROR(VLOOKUP(C124,'تقرير المصروفات حسب الشهر'!$C$1397:$AD$1512,9,FALSE),0)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الشهر'!$C$10:$AD$119,9,FALSE),0)</f>
        <v>0</v>
      </c>
      <c r="E125" s="362">
        <f>IFERROR(VLOOKUP(C125,'تقرير المصروفات حسب الشهر'!$C$135:$AD$244,9,FALSE),0)</f>
        <v>0</v>
      </c>
      <c r="F125" s="362">
        <f>IFERROR(VLOOKUP(C125,'تقرير المصروفات حسب الشهر'!$C$261:$AD$368,9,FALSE),0)</f>
        <v>0</v>
      </c>
      <c r="G125" s="362">
        <f>IFERROR(VLOOKUP(C125,'تقرير المصروفات حسب الشهر'!$C$387:$AD$495,9,FALSE),0)</f>
        <v>0</v>
      </c>
      <c r="H125" s="362">
        <f>IFERROR(VLOOKUP(C125,'تقرير المصروفات حسب الشهر'!$C$512:$AD$620,9,FALSE),0)</f>
        <v>0</v>
      </c>
      <c r="I125" s="362">
        <f>IFERROR(VLOOKUP(C125,'تقرير المصروفات حسب الشهر'!$C$637:$AD$746,9,FALSE),0)</f>
        <v>0</v>
      </c>
      <c r="J125" s="362">
        <f>IFERROR(VLOOKUP(C125,'تقرير المصروفات حسب الشهر'!$C$763:$AD$872,9,FALSE),0)</f>
        <v>0</v>
      </c>
      <c r="K125" s="362">
        <f>IFERROR(VLOOKUP(C125,'تقرير المصروفات حسب الشهر'!$C$890:$AD$999,9,FALSE),0)</f>
        <v>0</v>
      </c>
      <c r="L125" s="362">
        <f>IFERROR(VLOOKUP(C125,'تقرير المصروفات حسب الشهر'!$C$1016:$AD$1126,9,FALSE),0)</f>
        <v>0</v>
      </c>
      <c r="M125" s="376">
        <f>IFERROR(VLOOKUP(C125,'تقرير المصروفات حسب الشهر'!$C$1143:$AD$1254,9,FALSE),0)</f>
        <v>0</v>
      </c>
      <c r="N125" s="376">
        <f>IFERROR(VLOOKUP(C125,'تقرير المصروفات حسب الشهر'!$C$1270:$AD$1381,9,FALSE),0)</f>
        <v>0</v>
      </c>
      <c r="O125" s="376">
        <f>IFERROR(VLOOKUP(C125,'تقرير المصروفات حسب الشهر'!$C$1397:$AD$1512,9,FALSE),0)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الشهر'!$C$10:$AD$119,9,FALSE),0)</f>
        <v>0</v>
      </c>
      <c r="E126" s="362">
        <f>IFERROR(VLOOKUP(C126,'تقرير المصروفات حسب الشهر'!$C$135:$AD$244,9,FALSE),0)</f>
        <v>0</v>
      </c>
      <c r="F126" s="362">
        <f>IFERROR(VLOOKUP(C126,'تقرير المصروفات حسب الشهر'!$C$261:$AD$368,9,FALSE),0)</f>
        <v>0</v>
      </c>
      <c r="G126" s="362">
        <f>IFERROR(VLOOKUP(C126,'تقرير المصروفات حسب الشهر'!$C$387:$AD$495,9,FALSE),0)</f>
        <v>0</v>
      </c>
      <c r="H126" s="362">
        <f>IFERROR(VLOOKUP(C126,'تقرير المصروفات حسب الشهر'!$C$512:$AD$620,9,FALSE),0)</f>
        <v>0</v>
      </c>
      <c r="I126" s="362">
        <f>IFERROR(VLOOKUP(C126,'تقرير المصروفات حسب الشهر'!$C$637:$AD$746,9,FALSE),0)</f>
        <v>0</v>
      </c>
      <c r="J126" s="362">
        <f>IFERROR(VLOOKUP(C126,'تقرير المصروفات حسب الشهر'!$C$763:$AD$872,9,FALSE),0)</f>
        <v>0</v>
      </c>
      <c r="K126" s="362">
        <f>IFERROR(VLOOKUP(C126,'تقرير المصروفات حسب الشهر'!$C$890:$AD$999,9,FALSE),0)</f>
        <v>0</v>
      </c>
      <c r="L126" s="362">
        <f>IFERROR(VLOOKUP(C126,'تقرير المصروفات حسب الشهر'!$C$1016:$AD$1126,9,FALSE),0)</f>
        <v>0</v>
      </c>
      <c r="M126" s="376">
        <f>IFERROR(VLOOKUP(C126,'تقرير المصروفات حسب الشهر'!$C$1143:$AD$1254,9,FALSE),0)</f>
        <v>0</v>
      </c>
      <c r="N126" s="376">
        <f>IFERROR(VLOOKUP(C126,'تقرير المصروفات حسب الشهر'!$C$1270:$AD$1381,9,FALSE),0)</f>
        <v>0</v>
      </c>
      <c r="O126" s="376">
        <f>IFERROR(VLOOKUP(C126,'تقرير المصروفات حسب الشهر'!$C$1397:$AD$1512,9,FALSE),0)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الشهر'!$C$10:$AD$119,9,FALSE),0)</f>
        <v>0</v>
      </c>
      <c r="E127" s="362">
        <f>IFERROR(VLOOKUP(C127,'تقرير المصروفات حسب الشهر'!$C$135:$AD$244,9,FALSE),0)</f>
        <v>0</v>
      </c>
      <c r="F127" s="362">
        <f>IFERROR(VLOOKUP(C127,'تقرير المصروفات حسب الشهر'!$C$261:$AD$368,9,FALSE),0)</f>
        <v>0</v>
      </c>
      <c r="G127" s="362">
        <f>IFERROR(VLOOKUP(C127,'تقرير المصروفات حسب الشهر'!$C$387:$AD$495,9,FALSE),0)</f>
        <v>0</v>
      </c>
      <c r="H127" s="362">
        <f>IFERROR(VLOOKUP(C127,'تقرير المصروفات حسب الشهر'!$C$512:$AD$620,9,FALSE),0)</f>
        <v>0</v>
      </c>
      <c r="I127" s="362">
        <f>IFERROR(VLOOKUP(C127,'تقرير المصروفات حسب الشهر'!$C$637:$AD$746,9,FALSE),0)</f>
        <v>0</v>
      </c>
      <c r="J127" s="362">
        <f>IFERROR(VLOOKUP(C127,'تقرير المصروفات حسب الشهر'!$C$763:$AD$872,9,FALSE),0)</f>
        <v>0</v>
      </c>
      <c r="K127" s="362">
        <f>IFERROR(VLOOKUP(C127,'تقرير المصروفات حسب الشهر'!$C$890:$AD$999,9,FALSE),0)</f>
        <v>0</v>
      </c>
      <c r="L127" s="362">
        <f>IFERROR(VLOOKUP(C127,'تقرير المصروفات حسب الشهر'!$C$1016:$AD$1126,9,FALSE),0)</f>
        <v>0</v>
      </c>
      <c r="M127" s="376">
        <f>IFERROR(VLOOKUP(C127,'تقرير المصروفات حسب الشهر'!$C$1143:$AD$1254,9,FALSE),0)</f>
        <v>0</v>
      </c>
      <c r="N127" s="376">
        <f>IFERROR(VLOOKUP(C127,'تقرير المصروفات حسب الشهر'!$C$1270:$AD$1381,9,FALSE),0)</f>
        <v>0</v>
      </c>
      <c r="O127" s="376">
        <f>IFERROR(VLOOKUP(C127,'تقرير المصروفات حسب الشهر'!$C$1397:$AD$1512,9,FALSE),0)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الشهر'!$C$10:$AD$119,9,FALSE),0)</f>
        <v>0</v>
      </c>
      <c r="E128" s="362">
        <f>IFERROR(VLOOKUP(C128,'تقرير المصروفات حسب الشهر'!$C$135:$AD$244,9,FALSE),0)</f>
        <v>0</v>
      </c>
      <c r="F128" s="362">
        <f>IFERROR(VLOOKUP(C128,'تقرير المصروفات حسب الشهر'!$C$261:$AD$368,9,FALSE),0)</f>
        <v>0</v>
      </c>
      <c r="G128" s="362">
        <f>IFERROR(VLOOKUP(C128,'تقرير المصروفات حسب الشهر'!$C$387:$AD$495,9,FALSE),0)</f>
        <v>0</v>
      </c>
      <c r="H128" s="362">
        <f>IFERROR(VLOOKUP(C128,'تقرير المصروفات حسب الشهر'!$C$512:$AD$620,9,FALSE),0)</f>
        <v>0</v>
      </c>
      <c r="I128" s="362">
        <f>IFERROR(VLOOKUP(C128,'تقرير المصروفات حسب الشهر'!$C$637:$AD$746,9,FALSE),0)</f>
        <v>0</v>
      </c>
      <c r="J128" s="362">
        <f>IFERROR(VLOOKUP(C128,'تقرير المصروفات حسب الشهر'!$C$763:$AD$872,9,FALSE),0)</f>
        <v>0</v>
      </c>
      <c r="K128" s="362">
        <f>IFERROR(VLOOKUP(C128,'تقرير المصروفات حسب الشهر'!$C$890:$AD$999,9,FALSE),0)</f>
        <v>0</v>
      </c>
      <c r="L128" s="362">
        <f>IFERROR(VLOOKUP(C128,'تقرير المصروفات حسب الشهر'!$C$1016:$AD$1126,9,FALSE),0)</f>
        <v>0</v>
      </c>
      <c r="M128" s="376">
        <f>IFERROR(VLOOKUP(C128,'تقرير المصروفات حسب الشهر'!$C$1143:$AD$1254,9,FALSE),0)</f>
        <v>0</v>
      </c>
      <c r="N128" s="376">
        <f>IFERROR(VLOOKUP(C128,'تقرير المصروفات حسب الشهر'!$C$1270:$AD$1381,9,FALSE),0)</f>
        <v>0</v>
      </c>
      <c r="O128" s="376">
        <f>IFERROR(VLOOKUP(C128,'تقرير المصروفات حسب الشهر'!$C$1397:$AD$1512,9,FALSE),0)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الشهر'!$C$10:$AD$119,9,FALSE),0)</f>
        <v>0</v>
      </c>
      <c r="E129" s="362">
        <f>IFERROR(VLOOKUP(C129,'تقرير المصروفات حسب الشهر'!$C$135:$AD$244,9,FALSE),0)</f>
        <v>0</v>
      </c>
      <c r="F129" s="362">
        <f>IFERROR(VLOOKUP(C129,'تقرير المصروفات حسب الشهر'!$C$261:$AD$368,9,FALSE),0)</f>
        <v>0</v>
      </c>
      <c r="G129" s="362">
        <f>IFERROR(VLOOKUP(C129,'تقرير المصروفات حسب الشهر'!$C$387:$AD$495,9,FALSE),0)</f>
        <v>0</v>
      </c>
      <c r="H129" s="362">
        <f>IFERROR(VLOOKUP(C129,'تقرير المصروفات حسب الشهر'!$C$512:$AD$620,9,FALSE),0)</f>
        <v>0</v>
      </c>
      <c r="I129" s="362">
        <f>IFERROR(VLOOKUP(C129,'تقرير المصروفات حسب الشهر'!$C$637:$AD$746,9,FALSE),0)</f>
        <v>0</v>
      </c>
      <c r="J129" s="362">
        <f>IFERROR(VLOOKUP(C129,'تقرير المصروفات حسب الشهر'!$C$763:$AD$872,9,FALSE),0)</f>
        <v>0</v>
      </c>
      <c r="K129" s="362">
        <f>IFERROR(VLOOKUP(C129,'تقرير المصروفات حسب الشهر'!$C$890:$AD$999,9,FALSE),0)</f>
        <v>0</v>
      </c>
      <c r="L129" s="362">
        <f>IFERROR(VLOOKUP(C129,'تقرير المصروفات حسب الشهر'!$C$1016:$AD$1126,9,FALSE),0)</f>
        <v>0</v>
      </c>
      <c r="M129" s="376">
        <f>IFERROR(VLOOKUP(C129,'تقرير المصروفات حسب الشهر'!$C$1143:$AD$1254,9,FALSE),0)</f>
        <v>0</v>
      </c>
      <c r="N129" s="376">
        <f>IFERROR(VLOOKUP(C129,'تقرير المصروفات حسب الشهر'!$C$1270:$AD$1381,9,FALSE),0)</f>
        <v>0</v>
      </c>
      <c r="O129" s="376">
        <f>IFERROR(VLOOKUP(C129,'تقرير المصروفات حسب الشهر'!$C$1397:$AD$1512,9,FALSE),0)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الشهر'!$C$10:$AD$119,9,FALSE),0)</f>
        <v>0</v>
      </c>
      <c r="E130" s="362">
        <f>IFERROR(VLOOKUP(C130,'تقرير المصروفات حسب الشهر'!$C$135:$AD$244,9,FALSE),0)</f>
        <v>0</v>
      </c>
      <c r="F130" s="362">
        <f>IFERROR(VLOOKUP(C130,'تقرير المصروفات حسب الشهر'!$C$261:$AD$368,9,FALSE),0)</f>
        <v>0</v>
      </c>
      <c r="G130" s="362">
        <f>IFERROR(VLOOKUP(C130,'تقرير المصروفات حسب الشهر'!$C$387:$AD$495,9,FALSE),0)</f>
        <v>0</v>
      </c>
      <c r="H130" s="362">
        <f>IFERROR(VLOOKUP(C130,'تقرير المصروفات حسب الشهر'!$C$512:$AD$620,9,FALSE),0)</f>
        <v>0</v>
      </c>
      <c r="I130" s="362">
        <f>IFERROR(VLOOKUP(C130,'تقرير المصروفات حسب الشهر'!$C$637:$AD$746,9,FALSE),0)</f>
        <v>0</v>
      </c>
      <c r="J130" s="362">
        <f>IFERROR(VLOOKUP(C130,'تقرير المصروفات حسب الشهر'!$C$763:$AD$872,9,FALSE),0)</f>
        <v>0</v>
      </c>
      <c r="K130" s="362">
        <f>IFERROR(VLOOKUP(C130,'تقرير المصروفات حسب الشهر'!$C$890:$AD$999,9,FALSE),0)</f>
        <v>0</v>
      </c>
      <c r="L130" s="362">
        <f>IFERROR(VLOOKUP(C130,'تقرير المصروفات حسب الشهر'!$C$1016:$AD$1126,9,FALSE),0)</f>
        <v>0</v>
      </c>
      <c r="M130" s="376">
        <f>IFERROR(VLOOKUP(C130,'تقرير المصروفات حسب الشهر'!$C$1143:$AD$1254,9,FALSE),0)</f>
        <v>0</v>
      </c>
      <c r="N130" s="376">
        <f>IFERROR(VLOOKUP(C130,'تقرير المصروفات حسب الشهر'!$C$1270:$AD$1381,9,FALSE),0)</f>
        <v>0</v>
      </c>
      <c r="O130" s="376">
        <f>IFERROR(VLOOKUP(C130,'تقرير المصروفات حسب الشهر'!$C$1397:$AD$1512,9,FALSE),0)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الشهر'!$C$10:$AD$119,9,FALSE),0)</f>
        <v>0</v>
      </c>
      <c r="E131" s="362">
        <f>IFERROR(VLOOKUP(C131,'تقرير المصروفات حسب الشهر'!$C$135:$AD$244,9,FALSE),0)</f>
        <v>0</v>
      </c>
      <c r="F131" s="362">
        <f>IFERROR(VLOOKUP(C131,'تقرير المصروفات حسب الشهر'!$C$261:$AD$368,9,FALSE),0)</f>
        <v>0</v>
      </c>
      <c r="G131" s="362">
        <f>IFERROR(VLOOKUP(C131,'تقرير المصروفات حسب الشهر'!$C$387:$AD$495,9,FALSE),0)</f>
        <v>0</v>
      </c>
      <c r="H131" s="362">
        <f>IFERROR(VLOOKUP(C131,'تقرير المصروفات حسب الشهر'!$C$512:$AD$620,9,FALSE),0)</f>
        <v>0</v>
      </c>
      <c r="I131" s="362">
        <f>IFERROR(VLOOKUP(C131,'تقرير المصروفات حسب الشهر'!$C$637:$AD$746,9,FALSE),0)</f>
        <v>0</v>
      </c>
      <c r="J131" s="362">
        <f>IFERROR(VLOOKUP(C131,'تقرير المصروفات حسب الشهر'!$C$763:$AD$872,9,FALSE),0)</f>
        <v>0</v>
      </c>
      <c r="K131" s="362">
        <f>IFERROR(VLOOKUP(C131,'تقرير المصروفات حسب الشهر'!$C$890:$AD$999,9,FALSE),0)</f>
        <v>0</v>
      </c>
      <c r="L131" s="362">
        <f>IFERROR(VLOOKUP(C131,'تقرير المصروفات حسب الشهر'!$C$1016:$AD$1126,9,FALSE),0)</f>
        <v>0</v>
      </c>
      <c r="M131" s="376">
        <f>IFERROR(VLOOKUP(C131,'تقرير المصروفات حسب الشهر'!$C$1143:$AD$1254,9,FALSE),0)</f>
        <v>0</v>
      </c>
      <c r="N131" s="376">
        <f>IFERROR(VLOOKUP(C131,'تقرير المصروفات حسب الشهر'!$C$1270:$AD$1381,9,FALSE),0)</f>
        <v>0</v>
      </c>
      <c r="O131" s="376">
        <f>IFERROR(VLOOKUP(C131,'تقرير المصروفات حسب الشهر'!$C$1397:$AD$1512,9,FALSE),0)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16765.349999999999</v>
      </c>
      <c r="E132" s="146">
        <f t="shared" si="7"/>
        <v>23819.240000000005</v>
      </c>
      <c r="F132" s="146">
        <f t="shared" si="7"/>
        <v>24438.47</v>
      </c>
      <c r="G132" s="146">
        <f t="shared" si="7"/>
        <v>23159.38</v>
      </c>
      <c r="H132" s="146">
        <f t="shared" si="7"/>
        <v>13842.84</v>
      </c>
      <c r="I132" s="146">
        <f t="shared" si="7"/>
        <v>18945.109999999997</v>
      </c>
      <c r="J132" s="146">
        <f t="shared" si="7"/>
        <v>18190.689999999995</v>
      </c>
      <c r="K132" s="146">
        <f t="shared" si="7"/>
        <v>22077.859999999997</v>
      </c>
      <c r="L132" s="146">
        <f t="shared" si="7"/>
        <v>19485.009999999995</v>
      </c>
      <c r="M132" s="146">
        <f t="shared" si="7"/>
        <v>25037.989999999998</v>
      </c>
      <c r="N132" s="146">
        <f t="shared" si="7"/>
        <v>23362.73</v>
      </c>
      <c r="O132" s="146">
        <f t="shared" si="7"/>
        <v>29921.440000000002</v>
      </c>
      <c r="P132" s="388">
        <f t="shared" si="6"/>
        <v>259046.10999999996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60203.890000000043</v>
      </c>
      <c r="E134" s="392">
        <f t="shared" si="8"/>
        <v>46606.590000000018</v>
      </c>
      <c r="F134" s="392">
        <f t="shared" si="8"/>
        <v>30939.200000000001</v>
      </c>
      <c r="G134" s="392">
        <f t="shared" si="8"/>
        <v>38345.209999999977</v>
      </c>
      <c r="H134" s="392">
        <f t="shared" si="8"/>
        <v>30011.459999999974</v>
      </c>
      <c r="I134" s="392">
        <f t="shared" si="8"/>
        <v>44997.490000000042</v>
      </c>
      <c r="J134" s="392">
        <f t="shared" si="8"/>
        <v>38917.320000000007</v>
      </c>
      <c r="K134" s="392">
        <f t="shared" si="8"/>
        <v>41140.349999999984</v>
      </c>
      <c r="L134" s="392">
        <f t="shared" si="8"/>
        <v>38757.460000000021</v>
      </c>
      <c r="M134" s="392">
        <f t="shared" si="8"/>
        <v>42253.130000000005</v>
      </c>
      <c r="N134" s="392">
        <f t="shared" si="8"/>
        <v>39357.77999999997</v>
      </c>
      <c r="O134" s="392">
        <f t="shared" si="8"/>
        <v>51087.850000000093</v>
      </c>
      <c r="P134" s="388">
        <f t="shared" si="6"/>
        <v>502617.73000000016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43438.540000000045</v>
      </c>
      <c r="E137" s="383">
        <f t="shared" ref="E137:O137" si="9">E134-E132</f>
        <v>22787.350000000013</v>
      </c>
      <c r="F137" s="383">
        <f t="shared" si="9"/>
        <v>6500.73</v>
      </c>
      <c r="G137" s="383">
        <f t="shared" si="9"/>
        <v>15185.829999999976</v>
      </c>
      <c r="H137" s="383">
        <f t="shared" si="9"/>
        <v>16168.619999999974</v>
      </c>
      <c r="I137" s="383">
        <f t="shared" si="9"/>
        <v>26052.380000000045</v>
      </c>
      <c r="J137" s="383">
        <f t="shared" si="9"/>
        <v>20726.630000000012</v>
      </c>
      <c r="K137" s="383">
        <f t="shared" si="9"/>
        <v>19062.489999999987</v>
      </c>
      <c r="L137" s="383">
        <f t="shared" si="9"/>
        <v>19272.450000000026</v>
      </c>
      <c r="M137" s="383">
        <f t="shared" si="9"/>
        <v>17215.140000000007</v>
      </c>
      <c r="N137" s="383">
        <f t="shared" si="9"/>
        <v>15995.04999999997</v>
      </c>
      <c r="O137" s="383">
        <f t="shared" si="9"/>
        <v>21166.410000000091</v>
      </c>
      <c r="P137" s="387">
        <f>SUM(D137:O137)</f>
        <v>243571.62000000014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G141" s="238">
        <f>15185.83-G137</f>
        <v>2.3646862246096134E-11</v>
      </c>
      <c r="H141" s="113">
        <v>16161.59</v>
      </c>
    </row>
    <row r="142" spans="1:17">
      <c r="H142" s="415">
        <f>H141-H137</f>
        <v>-7.02999999997337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6">
    <tabColor rgb="FFFFC000"/>
  </sheetPr>
  <dimension ref="A1:T142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352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123</v>
      </c>
      <c r="B8" s="390"/>
      <c r="C8" s="369" t="s">
        <v>114</v>
      </c>
      <c r="D8" s="364">
        <f>D9+D10+D11</f>
        <v>527388.46</v>
      </c>
      <c r="E8" s="364">
        <f t="shared" ref="E8:O8" si="0">E9+E10+E11</f>
        <v>484113.71</v>
      </c>
      <c r="F8" s="364">
        <f t="shared" si="0"/>
        <v>465462.28</v>
      </c>
      <c r="G8" s="364">
        <f t="shared" si="0"/>
        <v>435641.31999999995</v>
      </c>
      <c r="H8" s="364">
        <f t="shared" si="0"/>
        <v>554518.51</v>
      </c>
      <c r="I8" s="364">
        <f t="shared" si="0"/>
        <v>507174.98</v>
      </c>
      <c r="J8" s="364">
        <f t="shared" si="0"/>
        <v>520267.57</v>
      </c>
      <c r="K8" s="364">
        <f t="shared" si="0"/>
        <v>505070.58999999997</v>
      </c>
      <c r="L8" s="364">
        <f t="shared" si="0"/>
        <v>367087.35999999999</v>
      </c>
      <c r="M8" s="364">
        <f t="shared" si="0"/>
        <v>161822</v>
      </c>
      <c r="N8" s="364">
        <f t="shared" si="0"/>
        <v>164049.96</v>
      </c>
      <c r="O8" s="364">
        <f t="shared" si="0"/>
        <v>177687.61</v>
      </c>
      <c r="P8" s="364">
        <f>SUM(D8:O8)</f>
        <v>4870284.3500000006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16012.399999999974</v>
      </c>
      <c r="E9" s="365">
        <f>VLOOKUP($A$8,'تقرير إحصائية بحجم المبيعات'!$B$42:$G$73,2,FALSE)</f>
        <v>1727.5099999999929</v>
      </c>
      <c r="F9" s="365">
        <f>VLOOKUP($A$8,'تقرير إحصائية بحجم المبيعات'!$B$78:$E$103,2,FALSE)</f>
        <v>-943.89999999996508</v>
      </c>
      <c r="G9" s="365">
        <f>VLOOKUP($A$8,'تقرير إحصائية بحجم المبيعات'!$B$112:$G$137,2,FALSE)</f>
        <v>7172.3699999999626</v>
      </c>
      <c r="H9" s="365">
        <f>VLOOKUP($A$8,'تقرير إحصائية بحجم المبيعات'!$B$147:$G$177,2,FALSE)</f>
        <v>27897.839999999967</v>
      </c>
      <c r="I9" s="365">
        <f>VLOOKUP($A$8,'تقرير إحصائية بحجم المبيعات'!$B$182:$G$212,2,FALSE)</f>
        <v>21824.25</v>
      </c>
      <c r="J9" s="365">
        <f>VLOOKUP($A$8,'تقرير إحصائية بحجم المبيعات'!$B$217:$L$243,2,FALSE)</f>
        <v>21508.479999999981</v>
      </c>
      <c r="K9" s="365">
        <f>VLOOKUP($A$8,'تقرير إحصائية بحجم المبيعات'!$B$252:$L$278,2,FALSE)</f>
        <v>19938.929999999993</v>
      </c>
      <c r="L9" s="365">
        <f>VLOOKUP($A$8,'تقرير إحصائية بحجم المبيعات'!$B$287:$L$313,2,FALSE)</f>
        <v>10042.52999999997</v>
      </c>
      <c r="M9" s="365">
        <f>VLOOKUP($A$8,'تقرير إحصائية بحجم المبيعات'!$B$322:$L$347,2,FALSE)</f>
        <v>14040.660000000003</v>
      </c>
      <c r="N9" s="365">
        <f>VLOOKUP($A$8,'تقرير إحصائية بحجم المبيعات'!$B$357:$L$383,2,FALSE)</f>
        <v>17070.579999999998</v>
      </c>
      <c r="O9" s="365">
        <f>VLOOKUP($A$8,'تقرير إحصائية بحجم المبيعات'!$B$391:$L$420,2,FALSE)</f>
        <v>5951.6299999999756</v>
      </c>
      <c r="P9" s="364">
        <f t="shared" ref="P9:P18" si="1">SUM(D9:O9)</f>
        <v>162243.27999999985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117.92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117.92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511376.06</v>
      </c>
      <c r="E11" s="365">
        <f>VLOOKUP($A$8,'تقرير إحصائية بحجم المبيعات'!$B$42:$G$73,4,FALSE)</f>
        <v>482268.28</v>
      </c>
      <c r="F11" s="365">
        <f>VLOOKUP($A$8,'تقرير إحصائية بحجم المبيعات'!$B$78:$E$103,4,FALSE)</f>
        <v>466406.18</v>
      </c>
      <c r="G11" s="365">
        <f>VLOOKUP($A$8,'تقرير إحصائية بحجم المبيعات'!$B$112:$G$137,4,FALSE)</f>
        <v>428468.95</v>
      </c>
      <c r="H11" s="365">
        <f>VLOOKUP($A$8,'تقرير إحصائية بحجم المبيعات'!$B$147:$G$177,4,FALSE)</f>
        <v>526620.67000000004</v>
      </c>
      <c r="I11" s="365">
        <f>VLOOKUP($A$8,'تقرير إحصائية بحجم المبيعات'!$B$182:$G$212,4,FALSE)</f>
        <v>485350.73</v>
      </c>
      <c r="J11" s="365">
        <f>VLOOKUP($A$8,'تقرير إحصائية بحجم المبيعات'!$B$217:$L$243,4,FALSE)</f>
        <v>498759.09</v>
      </c>
      <c r="K11" s="365">
        <f>VLOOKUP($A$8,'تقرير إحصائية بحجم المبيعات'!$B$252:$L$278,4,FALSE)</f>
        <v>485131.66</v>
      </c>
      <c r="L11" s="365">
        <f>VLOOKUP($A$8,'تقرير إحصائية بحجم المبيعات'!$B$287:$L$313,4,FALSE)</f>
        <v>357044.83</v>
      </c>
      <c r="M11" s="365">
        <f>VLOOKUP($A$8,'تقرير إحصائية بحجم المبيعات'!$B$322:$L$347,4,FALSE)</f>
        <v>147781.34</v>
      </c>
      <c r="N11" s="365">
        <f>VLOOKUP($A$8,'تقرير إحصائية بحجم المبيعات'!$B$357:$L$383,4,FALSE)</f>
        <v>146979.38</v>
      </c>
      <c r="O11" s="365">
        <f>VLOOKUP($A$8,'تقرير إحصائية بحجم المبيعات'!$B$391:$L$420,4,FALSE)</f>
        <v>171735.98</v>
      </c>
      <c r="P11" s="364">
        <f t="shared" si="1"/>
        <v>4707923.1500000004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446682.03</v>
      </c>
      <c r="E12" s="364">
        <f>VLOOKUP($A$8,'تقرير إحصائية بحجم المبيعات'!$B$42:$L$73,11,FALSE)</f>
        <v>412638.59</v>
      </c>
      <c r="F12" s="364">
        <f>VLOOKUP($A$8,'تقرير إحصائية بحجم المبيعات'!$B$78:$L$103,11,FALSE)</f>
        <v>394941.15</v>
      </c>
      <c r="G12" s="364">
        <f>VLOOKUP($A$8,'تقرير إحصائية بحجم المبيعات'!$B$112:$L$137,11,FALSE)</f>
        <v>368227.28</v>
      </c>
      <c r="H12" s="364">
        <f>VLOOKUP($A$8,'تقرير إحصائية بحجم المبيعات'!$B$147:$L$177,11,FALSE)</f>
        <v>472710.41</v>
      </c>
      <c r="I12" s="364">
        <f>VLOOKUP($A$8,'تقرير إحصائية بحجم المبيعات'!$B$182:$L$212,11,FALSE)</f>
        <v>436179.36</v>
      </c>
      <c r="J12" s="365">
        <f>VLOOKUP($A$8,'تقرير إحصائية بحجم المبيعات'!$B$217:$L$243,11,FALSE)</f>
        <v>445860.4</v>
      </c>
      <c r="K12" s="364">
        <f>VLOOKUP($A$8,'تقرير إحصائية بحجم المبيعات'!$B$252:$L$278,11,FALSE)</f>
        <v>434841.96</v>
      </c>
      <c r="L12" s="364">
        <f>VLOOKUP($A$8,'تقرير إحصائية بحجم المبيعات'!$B$287:$L$313,11,FALSE)</f>
        <v>318613.48</v>
      </c>
      <c r="M12" s="365">
        <f>VLOOKUP($A$8,'تقرير إحصائية بحجم المبيعات'!$B$322:$L$347,11,FALSE)</f>
        <v>141444.53</v>
      </c>
      <c r="N12" s="365">
        <f>VLOOKUP($A$8,'تقرير إحصائية بحجم المبيعات'!$B$357:$L$383,11,FALSE)</f>
        <v>142780.76</v>
      </c>
      <c r="O12" s="365">
        <f>VLOOKUP($A$8,'تقرير إحصائية بحجم المبيعات'!$B$391:$L$420,11,FALSE)</f>
        <v>156393.9</v>
      </c>
      <c r="P12" s="364">
        <f t="shared" si="1"/>
        <v>4171313.8499999992</v>
      </c>
    </row>
    <row r="13" spans="1:20" ht="18" customHeight="1">
      <c r="B13" s="124"/>
      <c r="C13" s="371" t="s">
        <v>14</v>
      </c>
      <c r="D13" s="366">
        <f t="shared" ref="D13:O13" si="2">D8-D12</f>
        <v>80706.429999999935</v>
      </c>
      <c r="E13" s="366">
        <f t="shared" si="2"/>
        <v>71475.12</v>
      </c>
      <c r="F13" s="366">
        <f t="shared" si="2"/>
        <v>70521.13</v>
      </c>
      <c r="G13" s="366">
        <f t="shared" si="2"/>
        <v>67414.039999999921</v>
      </c>
      <c r="H13" s="366">
        <f t="shared" si="2"/>
        <v>81808.100000000035</v>
      </c>
      <c r="I13" s="366">
        <f t="shared" si="2"/>
        <v>70995.62</v>
      </c>
      <c r="J13" s="366">
        <f t="shared" si="2"/>
        <v>74407.169999999984</v>
      </c>
      <c r="K13" s="366">
        <f t="shared" si="2"/>
        <v>70228.629999999946</v>
      </c>
      <c r="L13" s="366">
        <f t="shared" si="2"/>
        <v>48473.880000000005</v>
      </c>
      <c r="M13" s="366">
        <f t="shared" si="2"/>
        <v>20377.47</v>
      </c>
      <c r="N13" s="366">
        <f t="shared" si="2"/>
        <v>21269.199999999983</v>
      </c>
      <c r="O13" s="366">
        <f t="shared" si="2"/>
        <v>21293.709999999992</v>
      </c>
      <c r="P13" s="366">
        <f t="shared" si="1"/>
        <v>698970.49999999965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9131.9699999999993</v>
      </c>
      <c r="E16" s="367">
        <v>-1.9</v>
      </c>
      <c r="F16" s="367">
        <v>2859.1599999999989</v>
      </c>
      <c r="G16" s="367">
        <v>1823.2700000000004</v>
      </c>
      <c r="H16" s="367"/>
      <c r="I16" s="367">
        <v>7641.94</v>
      </c>
      <c r="J16" s="367">
        <v>1208.9799999999996</v>
      </c>
      <c r="K16" s="367">
        <v>136.21</v>
      </c>
      <c r="L16" s="367">
        <v>4332.08</v>
      </c>
      <c r="M16" s="367">
        <v>3269.3799999999997</v>
      </c>
      <c r="N16" s="367">
        <v>3811.9400000000014</v>
      </c>
      <c r="O16" s="367">
        <v>430.67</v>
      </c>
      <c r="P16" s="364">
        <f t="shared" si="1"/>
        <v>34643.699999999997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9131.9699999999993</v>
      </c>
      <c r="E18" s="363">
        <f t="shared" ref="E18:O18" si="3">SUM(E14:E17)</f>
        <v>-1.9</v>
      </c>
      <c r="F18" s="363">
        <f t="shared" si="3"/>
        <v>2859.1599999999989</v>
      </c>
      <c r="G18" s="363">
        <f t="shared" si="3"/>
        <v>1823.2700000000004</v>
      </c>
      <c r="H18" s="363">
        <f t="shared" si="3"/>
        <v>0</v>
      </c>
      <c r="I18" s="363">
        <f t="shared" si="3"/>
        <v>7641.94</v>
      </c>
      <c r="J18" s="363">
        <f t="shared" si="3"/>
        <v>1208.9799999999996</v>
      </c>
      <c r="K18" s="363">
        <f t="shared" si="3"/>
        <v>136.21</v>
      </c>
      <c r="L18" s="363">
        <f t="shared" si="3"/>
        <v>4332.08</v>
      </c>
      <c r="M18" s="368">
        <f t="shared" si="3"/>
        <v>3269.3799999999997</v>
      </c>
      <c r="N18" s="368">
        <f t="shared" si="3"/>
        <v>3811.9400000000014</v>
      </c>
      <c r="O18" s="368">
        <f t="shared" si="3"/>
        <v>430.67</v>
      </c>
      <c r="P18" s="364">
        <f t="shared" si="1"/>
        <v>34643.699999999997</v>
      </c>
    </row>
    <row r="19" spans="2:16" ht="18" customHeight="1">
      <c r="B19" s="124"/>
      <c r="C19" s="386" t="s">
        <v>14</v>
      </c>
      <c r="D19" s="374">
        <f t="shared" ref="D19:O19" si="4">D13+D18</f>
        <v>89838.399999999936</v>
      </c>
      <c r="E19" s="374">
        <f t="shared" si="4"/>
        <v>71473.22</v>
      </c>
      <c r="F19" s="374">
        <f t="shared" si="4"/>
        <v>73380.290000000008</v>
      </c>
      <c r="G19" s="374">
        <f t="shared" si="4"/>
        <v>69237.309999999925</v>
      </c>
      <c r="H19" s="374">
        <f t="shared" si="4"/>
        <v>81808.100000000035</v>
      </c>
      <c r="I19" s="374">
        <f t="shared" si="4"/>
        <v>78637.56</v>
      </c>
      <c r="J19" s="374">
        <f t="shared" si="4"/>
        <v>75616.14999999998</v>
      </c>
      <c r="K19" s="374">
        <f t="shared" si="4"/>
        <v>70364.839999999953</v>
      </c>
      <c r="L19" s="374">
        <f t="shared" si="4"/>
        <v>52805.960000000006</v>
      </c>
      <c r="M19" s="374">
        <f t="shared" si="4"/>
        <v>23646.850000000002</v>
      </c>
      <c r="N19" s="374">
        <f t="shared" si="4"/>
        <v>25081.139999999985</v>
      </c>
      <c r="O19" s="374">
        <f t="shared" si="4"/>
        <v>21724.37999999999</v>
      </c>
      <c r="P19" s="382">
        <f>SUM(D19:O19)</f>
        <v>733614.19999999984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الشهر'!$C$10:$AD$119,10,FALSE),0)</f>
        <v>0</v>
      </c>
      <c r="E22" s="362">
        <f>IFERROR(VLOOKUP(C22,'تقرير المصروفات حسب الشهر'!$C$135:$AD$244,10,FALSE),0)</f>
        <v>0</v>
      </c>
      <c r="F22" s="362">
        <f>IFERROR(VLOOKUP(C22,'تقرير المصروفات حسب الشهر'!$C$261:$AD$368,10,FALSE),0)</f>
        <v>0</v>
      </c>
      <c r="G22" s="362">
        <f>IFERROR(VLOOKUP(C22,'تقرير المصروفات حسب الشهر'!$C$387:$AD$495,10,FALSE),0)</f>
        <v>0</v>
      </c>
      <c r="H22" s="362">
        <f>IFERROR(VLOOKUP(C22,'تقرير المصروفات حسب الشهر'!$C$512:$AD$620,10,FALSE),0)</f>
        <v>0</v>
      </c>
      <c r="I22" s="362">
        <f>IFERROR(VLOOKUP(C22,'تقرير المصروفات حسب الشهر'!$C$637:$AD$746,10,FALSE),0)</f>
        <v>0</v>
      </c>
      <c r="J22" s="362">
        <f>IFERROR(VLOOKUP(C22,'تقرير المصروفات حسب الشهر'!$C$763:$AD$872,10,FALSE),0)</f>
        <v>0</v>
      </c>
      <c r="K22" s="362">
        <f>IFERROR(VLOOKUP(C22,'تقرير المصروفات حسب الشهر'!$C$890:$AD$999,10,FALSE),0)</f>
        <v>0</v>
      </c>
      <c r="L22" s="362">
        <f>IFERROR(VLOOKUP(C22,'تقرير المصروفات حسب الشهر'!$C$1016:$AD$1126,10,FALSE),0)</f>
        <v>0</v>
      </c>
      <c r="M22" s="376">
        <f>IFERROR(VLOOKUP(C22,'تقرير المصروفات حسب الشهر'!$C$1143:$AD$1254,10,FALSE),0)</f>
        <v>0</v>
      </c>
      <c r="N22" s="376">
        <f>IFERROR(VLOOKUP(C22,'تقرير المصروفات حسب الشهر'!$C$1270:$AD$1381,10,FALSE),0)</f>
        <v>0</v>
      </c>
      <c r="O22" s="376">
        <f>IFERROR(VLOOKUP(C22,'تقرير المصروفات حسب الشهر'!$C$1397:$AD$1512,10,FALSE),0)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الشهر'!$C$10:$AD$119,10,FALSE),0)</f>
        <v>17656.900000000001</v>
      </c>
      <c r="E23" s="362">
        <f>IFERROR(VLOOKUP(C23,'تقرير المصروفات حسب الشهر'!$C$135:$AD$244,10,FALSE),0)</f>
        <v>17968.12</v>
      </c>
      <c r="F23" s="362">
        <f>IFERROR(VLOOKUP(C23,'تقرير المصروفات حسب الشهر'!$C$261:$AD$368,10,FALSE),0)</f>
        <v>16804.39</v>
      </c>
      <c r="G23" s="362">
        <f>IFERROR(VLOOKUP(C23,'تقرير المصروفات حسب الشهر'!$C$387:$AD$495,10,FALSE),0)</f>
        <v>16878.650000000001</v>
      </c>
      <c r="H23" s="362">
        <f>IFERROR(VLOOKUP(C23,'تقرير المصروفات حسب الشهر'!$C$512:$AD$620,10,FALSE),0)</f>
        <v>18403.32</v>
      </c>
      <c r="I23" s="362">
        <f>IFERROR(VLOOKUP(C23,'تقرير المصروفات حسب الشهر'!$C$637:$AD$746,10,FALSE),0)</f>
        <v>18955.45</v>
      </c>
      <c r="J23" s="362">
        <f>IFERROR(VLOOKUP(C23,'تقرير المصروفات حسب الشهر'!$C$763:$AD$872,10,FALSE),0)</f>
        <v>19326.59</v>
      </c>
      <c r="K23" s="362">
        <f>IFERROR(VLOOKUP(C23,'تقرير المصروفات حسب الشهر'!$C$890:$AD$999,10,FALSE),0)</f>
        <v>19712.740000000002</v>
      </c>
      <c r="L23" s="362">
        <f>IFERROR(VLOOKUP(C23,'تقرير المصروفات حسب الشهر'!$C$1016:$AD$1126,10,FALSE),0)</f>
        <v>18081.86</v>
      </c>
      <c r="M23" s="376">
        <f>IFERROR(VLOOKUP(C23,'تقرير المصروفات حسب الشهر'!$C$1143:$AD$1254,10,FALSE),0)</f>
        <v>11173.6</v>
      </c>
      <c r="N23" s="376">
        <f>IFERROR(VLOOKUP(C23,'تقرير المصروفات حسب الشهر'!$C$1270:$AD$1381,10,FALSE),0)</f>
        <v>15475.33</v>
      </c>
      <c r="O23" s="376">
        <f>IFERROR(VLOOKUP(C23,'تقرير المصروفات حسب الشهر'!$C$1397:$AD$1512,10,FALSE),0)</f>
        <v>10935.68</v>
      </c>
      <c r="P23" s="364">
        <f t="shared" ref="P23:P86" si="5">SUM(D23:O23)</f>
        <v>201372.63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الشهر'!$C$10:$AD$119,10,FALSE),0)</f>
        <v>0</v>
      </c>
      <c r="E24" s="362">
        <f>IFERROR(VLOOKUP(C24,'تقرير المصروفات حسب الشهر'!$C$135:$AD$244,10,FALSE),0)</f>
        <v>0</v>
      </c>
      <c r="F24" s="362">
        <f>IFERROR(VLOOKUP(C24,'تقرير المصروفات حسب الشهر'!$C$261:$AD$368,10,FALSE),0)</f>
        <v>0</v>
      </c>
      <c r="G24" s="362">
        <f>IFERROR(VLOOKUP(C24,'تقرير المصروفات حسب الشهر'!$C$387:$AD$495,10,FALSE),0)</f>
        <v>0</v>
      </c>
      <c r="H24" s="362">
        <f>IFERROR(VLOOKUP(C24,'تقرير المصروفات حسب الشهر'!$C$512:$AD$620,10,FALSE),0)</f>
        <v>0</v>
      </c>
      <c r="I24" s="362">
        <f>IFERROR(VLOOKUP(C24,'تقرير المصروفات حسب الشهر'!$C$637:$AD$746,10,FALSE),0)</f>
        <v>0</v>
      </c>
      <c r="J24" s="362">
        <f>IFERROR(VLOOKUP(C24,'تقرير المصروفات حسب الشهر'!$C$763:$AD$872,10,FALSE),0)</f>
        <v>0</v>
      </c>
      <c r="K24" s="362">
        <f>IFERROR(VLOOKUP(C24,'تقرير المصروفات حسب الشهر'!$C$890:$AD$999,10,FALSE),0)</f>
        <v>0</v>
      </c>
      <c r="L24" s="362">
        <f>IFERROR(VLOOKUP(C24,'تقرير المصروفات حسب الشهر'!$C$1016:$AD$1126,10,FALSE),0)</f>
        <v>0</v>
      </c>
      <c r="M24" s="376">
        <f>IFERROR(VLOOKUP(C24,'تقرير المصروفات حسب الشهر'!$C$1143:$AD$1254,10,FALSE),0)</f>
        <v>0</v>
      </c>
      <c r="N24" s="376">
        <f>IFERROR(VLOOKUP(C24,'تقرير المصروفات حسب الشهر'!$C$1270:$AD$1381,10,FALSE),0)</f>
        <v>0</v>
      </c>
      <c r="O24" s="376">
        <f>IFERROR(VLOOKUP(C24,'تقرير المصروفات حسب الشهر'!$C$1397:$AD$1512,10,FALSE),0)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الشهر'!$C$10:$AD$119,10,FALSE),0)</f>
        <v>0</v>
      </c>
      <c r="E25" s="362">
        <f>IFERROR(VLOOKUP(C25,'تقرير المصروفات حسب الشهر'!$C$135:$AD$244,10,FALSE),0)</f>
        <v>0</v>
      </c>
      <c r="F25" s="362">
        <f>IFERROR(VLOOKUP(C25,'تقرير المصروفات حسب الشهر'!$C$261:$AD$368,10,FALSE),0)</f>
        <v>0</v>
      </c>
      <c r="G25" s="362">
        <f>IFERROR(VLOOKUP(C25,'تقرير المصروفات حسب الشهر'!$C$387:$AD$495,10,FALSE),0)</f>
        <v>0</v>
      </c>
      <c r="H25" s="362">
        <f>IFERROR(VLOOKUP(C25,'تقرير المصروفات حسب الشهر'!$C$512:$AD$620,10,FALSE),0)</f>
        <v>0</v>
      </c>
      <c r="I25" s="362">
        <f>IFERROR(VLOOKUP(C25,'تقرير المصروفات حسب الشهر'!$C$637:$AD$746,10,FALSE),0)</f>
        <v>0</v>
      </c>
      <c r="J25" s="362">
        <f>IFERROR(VLOOKUP(C25,'تقرير المصروفات حسب الشهر'!$C$763:$AD$872,10,FALSE),0)</f>
        <v>0</v>
      </c>
      <c r="K25" s="362">
        <f>IFERROR(VLOOKUP(C25,'تقرير المصروفات حسب الشهر'!$C$890:$AD$999,10,FALSE),0)</f>
        <v>0</v>
      </c>
      <c r="L25" s="362">
        <f>IFERROR(VLOOKUP(C25,'تقرير المصروفات حسب الشهر'!$C$1016:$AD$1126,10,FALSE),0)</f>
        <v>0</v>
      </c>
      <c r="M25" s="376">
        <f>IFERROR(VLOOKUP(C25,'تقرير المصروفات حسب الشهر'!$C$1143:$AD$1254,10,FALSE),0)</f>
        <v>0</v>
      </c>
      <c r="N25" s="376">
        <f>IFERROR(VLOOKUP(C25,'تقرير المصروفات حسب الشهر'!$C$1270:$AD$1381,10,FALSE),0)</f>
        <v>0</v>
      </c>
      <c r="O25" s="376">
        <f>IFERROR(VLOOKUP(C25,'تقرير المصروفات حسب الشهر'!$C$1397:$AD$1512,10,FALSE),0)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الشهر'!$C$10:$AD$119,10,FALSE),0)</f>
        <v>0</v>
      </c>
      <c r="E26" s="362">
        <f>IFERROR(VLOOKUP(C26,'تقرير المصروفات حسب الشهر'!$C$135:$AD$244,10,FALSE),0)</f>
        <v>0</v>
      </c>
      <c r="F26" s="362">
        <f>IFERROR(VLOOKUP(C26,'تقرير المصروفات حسب الشهر'!$C$261:$AD$368,10,FALSE),0)</f>
        <v>0</v>
      </c>
      <c r="G26" s="362">
        <f>IFERROR(VLOOKUP(C26,'تقرير المصروفات حسب الشهر'!$C$387:$AD$495,10,FALSE),0)</f>
        <v>0</v>
      </c>
      <c r="H26" s="362">
        <f>IFERROR(VLOOKUP(C26,'تقرير المصروفات حسب الشهر'!$C$512:$AD$620,10,FALSE),0)</f>
        <v>0</v>
      </c>
      <c r="I26" s="362">
        <f>IFERROR(VLOOKUP(C26,'تقرير المصروفات حسب الشهر'!$C$637:$AD$746,10,FALSE),0)</f>
        <v>0</v>
      </c>
      <c r="J26" s="362">
        <f>IFERROR(VLOOKUP(C26,'تقرير المصروفات حسب الشهر'!$C$763:$AD$872,10,FALSE),0)</f>
        <v>0</v>
      </c>
      <c r="K26" s="362">
        <f>IFERROR(VLOOKUP(C26,'تقرير المصروفات حسب الشهر'!$C$890:$AD$999,10,FALSE),0)</f>
        <v>0</v>
      </c>
      <c r="L26" s="362">
        <f>IFERROR(VLOOKUP(C26,'تقرير المصروفات حسب الشهر'!$C$1016:$AD$1126,10,FALSE),0)</f>
        <v>0</v>
      </c>
      <c r="M26" s="376">
        <f>IFERROR(VLOOKUP(C26,'تقرير المصروفات حسب الشهر'!$C$1143:$AD$1254,10,FALSE),0)</f>
        <v>0</v>
      </c>
      <c r="N26" s="376">
        <f>IFERROR(VLOOKUP(C26,'تقرير المصروفات حسب الشهر'!$C$1270:$AD$1381,10,FALSE),0)</f>
        <v>0</v>
      </c>
      <c r="O26" s="376">
        <f>IFERROR(VLOOKUP(C26,'تقرير المصروفات حسب الشهر'!$C$1397:$AD$1512,10,FALSE),0)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الشهر'!$C$10:$AD$119,10,FALSE),0)</f>
        <v>0</v>
      </c>
      <c r="E27" s="362">
        <f>IFERROR(VLOOKUP(C27,'تقرير المصروفات حسب الشهر'!$C$135:$AD$244,10,FALSE),0)</f>
        <v>0</v>
      </c>
      <c r="F27" s="362">
        <f>IFERROR(VLOOKUP(C27,'تقرير المصروفات حسب الشهر'!$C$261:$AD$368,10,FALSE),0)</f>
        <v>0</v>
      </c>
      <c r="G27" s="362">
        <f>IFERROR(VLOOKUP(C27,'تقرير المصروفات حسب الشهر'!$C$387:$AD$495,10,FALSE),0)</f>
        <v>0</v>
      </c>
      <c r="H27" s="362">
        <f>IFERROR(VLOOKUP(C27,'تقرير المصروفات حسب الشهر'!$C$512:$AD$620,10,FALSE),0)</f>
        <v>0</v>
      </c>
      <c r="I27" s="362">
        <f>IFERROR(VLOOKUP(C27,'تقرير المصروفات حسب الشهر'!$C$637:$AD$746,10,FALSE),0)</f>
        <v>0</v>
      </c>
      <c r="J27" s="362">
        <f>IFERROR(VLOOKUP(C27,'تقرير المصروفات حسب الشهر'!$C$763:$AD$872,10,FALSE),0)</f>
        <v>0</v>
      </c>
      <c r="K27" s="362">
        <f>IFERROR(VLOOKUP(C27,'تقرير المصروفات حسب الشهر'!$C$890:$AD$999,10,FALSE),0)</f>
        <v>0</v>
      </c>
      <c r="L27" s="362">
        <f>IFERROR(VLOOKUP(C27,'تقرير المصروفات حسب الشهر'!$C$1016:$AD$1126,10,FALSE),0)</f>
        <v>0</v>
      </c>
      <c r="M27" s="376">
        <f>IFERROR(VLOOKUP(C27,'تقرير المصروفات حسب الشهر'!$C$1143:$AD$1254,10,FALSE),0)</f>
        <v>0</v>
      </c>
      <c r="N27" s="376">
        <f>IFERROR(VLOOKUP(C27,'تقرير المصروفات حسب الشهر'!$C$1270:$AD$1381,10,FALSE),0)</f>
        <v>0</v>
      </c>
      <c r="O27" s="376">
        <f>IFERROR(VLOOKUP(C27,'تقرير المصروفات حسب الشهر'!$C$1397:$AD$1512,10,FALSE),0)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الشهر'!$C$10:$AD$119,10,FALSE),0)</f>
        <v>0</v>
      </c>
      <c r="E28" s="362">
        <f>IFERROR(VLOOKUP(C28,'تقرير المصروفات حسب الشهر'!$C$135:$AD$244,10,FALSE),0)</f>
        <v>0</v>
      </c>
      <c r="F28" s="362">
        <f>IFERROR(VLOOKUP(C28,'تقرير المصروفات حسب الشهر'!$C$261:$AD$368,10,FALSE),0)</f>
        <v>0</v>
      </c>
      <c r="G28" s="362">
        <f>IFERROR(VLOOKUP(C28,'تقرير المصروفات حسب الشهر'!$C$387:$AD$495,10,FALSE),0)</f>
        <v>0</v>
      </c>
      <c r="H28" s="362">
        <f>IFERROR(VLOOKUP(C28,'تقرير المصروفات حسب الشهر'!$C$512:$AD$620,10,FALSE),0)</f>
        <v>0</v>
      </c>
      <c r="I28" s="362">
        <f>IFERROR(VLOOKUP(C28,'تقرير المصروفات حسب الشهر'!$C$637:$AD$746,10,FALSE),0)</f>
        <v>0</v>
      </c>
      <c r="J28" s="362">
        <f>IFERROR(VLOOKUP(C28,'تقرير المصروفات حسب الشهر'!$C$763:$AD$872,10,FALSE),0)</f>
        <v>0</v>
      </c>
      <c r="K28" s="362">
        <f>IFERROR(VLOOKUP(C28,'تقرير المصروفات حسب الشهر'!$C$890:$AD$999,10,FALSE),0)</f>
        <v>0</v>
      </c>
      <c r="L28" s="362">
        <f>IFERROR(VLOOKUP(C28,'تقرير المصروفات حسب الشهر'!$C$1016:$AD$1126,10,FALSE),0)</f>
        <v>0</v>
      </c>
      <c r="M28" s="376">
        <f>IFERROR(VLOOKUP(C28,'تقرير المصروفات حسب الشهر'!$C$1143:$AD$1254,10,FALSE),0)</f>
        <v>0</v>
      </c>
      <c r="N28" s="376">
        <f>IFERROR(VLOOKUP(C28,'تقرير المصروفات حسب الشهر'!$C$1270:$AD$1381,10,FALSE),0)</f>
        <v>0</v>
      </c>
      <c r="O28" s="376">
        <f>IFERROR(VLOOKUP(C28,'تقرير المصروفات حسب الشهر'!$C$1397:$AD$1512,10,FALSE),0)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الشهر'!$C$10:$AD$119,10,FALSE),0)</f>
        <v>0</v>
      </c>
      <c r="E29" s="362">
        <f>IFERROR(VLOOKUP(C29,'تقرير المصروفات حسب الشهر'!$C$135:$AD$244,10,FALSE),0)</f>
        <v>0</v>
      </c>
      <c r="F29" s="362">
        <f>IFERROR(VLOOKUP(C29,'تقرير المصروفات حسب الشهر'!$C$261:$AD$368,10,FALSE),0)</f>
        <v>0</v>
      </c>
      <c r="G29" s="362">
        <f>IFERROR(VLOOKUP(C29,'تقرير المصروفات حسب الشهر'!$C$387:$AD$495,10,FALSE),0)</f>
        <v>0</v>
      </c>
      <c r="H29" s="362">
        <f>IFERROR(VLOOKUP(C29,'تقرير المصروفات حسب الشهر'!$C$512:$AD$620,10,FALSE),0)</f>
        <v>0</v>
      </c>
      <c r="I29" s="362">
        <f>IFERROR(VLOOKUP(C29,'تقرير المصروفات حسب الشهر'!$C$637:$AD$746,10,FALSE),0)</f>
        <v>0</v>
      </c>
      <c r="J29" s="362">
        <f>IFERROR(VLOOKUP(C29,'تقرير المصروفات حسب الشهر'!$C$763:$AD$872,10,FALSE),0)</f>
        <v>0</v>
      </c>
      <c r="K29" s="362">
        <f>IFERROR(VLOOKUP(C29,'تقرير المصروفات حسب الشهر'!$C$890:$AD$999,10,FALSE),0)</f>
        <v>0</v>
      </c>
      <c r="L29" s="362">
        <f>IFERROR(VLOOKUP(C29,'تقرير المصروفات حسب الشهر'!$C$1016:$AD$1126,10,FALSE),0)</f>
        <v>0</v>
      </c>
      <c r="M29" s="376">
        <f>IFERROR(VLOOKUP(C29,'تقرير المصروفات حسب الشهر'!$C$1143:$AD$1254,10,FALSE),0)</f>
        <v>0</v>
      </c>
      <c r="N29" s="376">
        <f>IFERROR(VLOOKUP(C29,'تقرير المصروفات حسب الشهر'!$C$1270:$AD$1381,10,FALSE),0)</f>
        <v>0</v>
      </c>
      <c r="O29" s="376">
        <f>IFERROR(VLOOKUP(C29,'تقرير المصروفات حسب الشهر'!$C$1397:$AD$1512,10,FALSE),0)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الشهر'!$C$10:$AD$119,10,FALSE),0)</f>
        <v>0</v>
      </c>
      <c r="E30" s="362">
        <f>IFERROR(VLOOKUP(C30,'تقرير المصروفات حسب الشهر'!$C$135:$AD$244,10,FALSE),0)</f>
        <v>0</v>
      </c>
      <c r="F30" s="362">
        <f>IFERROR(VLOOKUP(C30,'تقرير المصروفات حسب الشهر'!$C$261:$AD$368,10,FALSE),0)</f>
        <v>0</v>
      </c>
      <c r="G30" s="362">
        <f>IFERROR(VLOOKUP(C30,'تقرير المصروفات حسب الشهر'!$C$387:$AD$495,10,FALSE),0)</f>
        <v>0</v>
      </c>
      <c r="H30" s="362">
        <f>IFERROR(VLOOKUP(C30,'تقرير المصروفات حسب الشهر'!$C$512:$AD$620,10,FALSE),0)</f>
        <v>0</v>
      </c>
      <c r="I30" s="362">
        <f>IFERROR(VLOOKUP(C30,'تقرير المصروفات حسب الشهر'!$C$637:$AD$746,10,FALSE),0)</f>
        <v>0</v>
      </c>
      <c r="J30" s="362">
        <f>IFERROR(VLOOKUP(C30,'تقرير المصروفات حسب الشهر'!$C$763:$AD$872,10,FALSE),0)</f>
        <v>0</v>
      </c>
      <c r="K30" s="362">
        <f>IFERROR(VLOOKUP(C30,'تقرير المصروفات حسب الشهر'!$C$890:$AD$999,10,FALSE),0)</f>
        <v>0</v>
      </c>
      <c r="L30" s="362">
        <f>IFERROR(VLOOKUP(C30,'تقرير المصروفات حسب الشهر'!$C$1016:$AD$1126,10,FALSE),0)</f>
        <v>0</v>
      </c>
      <c r="M30" s="376">
        <f>IFERROR(VLOOKUP(C30,'تقرير المصروفات حسب الشهر'!$C$1143:$AD$1254,10,FALSE),0)</f>
        <v>0</v>
      </c>
      <c r="N30" s="376">
        <f>IFERROR(VLOOKUP(C30,'تقرير المصروفات حسب الشهر'!$C$1270:$AD$1381,10,FALSE),0)</f>
        <v>0</v>
      </c>
      <c r="O30" s="376">
        <f>IFERROR(VLOOKUP(C30,'تقرير المصروفات حسب الشهر'!$C$1397:$AD$1512,10,FALSE),0)</f>
        <v>0</v>
      </c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الشهر'!$C$10:$AD$119,10,FALSE),0)</f>
        <v>65.87</v>
      </c>
      <c r="E31" s="362">
        <f>IFERROR(VLOOKUP(C31,'تقرير المصروفات حسب الشهر'!$C$135:$AD$244,10,FALSE),0)</f>
        <v>65.87</v>
      </c>
      <c r="F31" s="362">
        <f>IFERROR(VLOOKUP(C31,'تقرير المصروفات حسب الشهر'!$C$261:$AD$368,10,FALSE),0)</f>
        <v>65.87</v>
      </c>
      <c r="G31" s="362">
        <f>IFERROR(VLOOKUP(C31,'تقرير المصروفات حسب الشهر'!$C$387:$AD$495,10,FALSE),0)</f>
        <v>65.87</v>
      </c>
      <c r="H31" s="362">
        <f>IFERROR(VLOOKUP(C31,'تقرير المصروفات حسب الشهر'!$C$512:$AD$620,10,FALSE),0)</f>
        <v>65.87</v>
      </c>
      <c r="I31" s="362">
        <f>IFERROR(VLOOKUP(C31,'تقرير المصروفات حسب الشهر'!$C$637:$AD$746,10,FALSE),0)</f>
        <v>65.87</v>
      </c>
      <c r="J31" s="362">
        <f>IFERROR(VLOOKUP(C31,'تقرير المصروفات حسب الشهر'!$C$763:$AD$872,10,FALSE),0)</f>
        <v>65.87</v>
      </c>
      <c r="K31" s="362">
        <f>IFERROR(VLOOKUP(C31,'تقرير المصروفات حسب الشهر'!$C$890:$AD$999,10,FALSE),0)</f>
        <v>65.87</v>
      </c>
      <c r="L31" s="362">
        <f>IFERROR(VLOOKUP(C31,'تقرير المصروفات حسب الشهر'!$C$1016:$AD$1126,10,FALSE),0)</f>
        <v>65.87</v>
      </c>
      <c r="M31" s="376">
        <f>IFERROR(VLOOKUP(C31,'تقرير المصروفات حسب الشهر'!$C$1143:$AD$1254,10,FALSE),0)</f>
        <v>65.88</v>
      </c>
      <c r="N31" s="376">
        <f>IFERROR(VLOOKUP(C31,'تقرير المصروفات حسب الشهر'!$C$1270:$AD$1381,10,FALSE),0)</f>
        <v>65.87</v>
      </c>
      <c r="O31" s="376">
        <f>IFERROR(VLOOKUP(C31,'تقرير المصروفات حسب الشهر'!$C$1397:$AD$1512,10,FALSE),0)</f>
        <v>65.87</v>
      </c>
      <c r="P31" s="364">
        <f t="shared" si="5"/>
        <v>790.45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الشهر'!$C$10:$AD$119,10,FALSE),0)</f>
        <v>0</v>
      </c>
      <c r="E32" s="362">
        <f>IFERROR(VLOOKUP(C32,'تقرير المصروفات حسب الشهر'!$C$135:$AD$244,10,FALSE),0)</f>
        <v>0</v>
      </c>
      <c r="F32" s="362">
        <f>IFERROR(VLOOKUP(C32,'تقرير المصروفات حسب الشهر'!$C$261:$AD$368,10,FALSE),0)</f>
        <v>0</v>
      </c>
      <c r="G32" s="362">
        <f>IFERROR(VLOOKUP(C32,'تقرير المصروفات حسب الشهر'!$C$387:$AD$495,10,FALSE),0)</f>
        <v>0</v>
      </c>
      <c r="H32" s="362">
        <f>IFERROR(VLOOKUP(C32,'تقرير المصروفات حسب الشهر'!$C$512:$AD$620,10,FALSE),0)</f>
        <v>0</v>
      </c>
      <c r="I32" s="362">
        <f>IFERROR(VLOOKUP(C32,'تقرير المصروفات حسب الشهر'!$C$637:$AD$746,10,FALSE),0)</f>
        <v>0</v>
      </c>
      <c r="J32" s="362">
        <f>IFERROR(VLOOKUP(C32,'تقرير المصروفات حسب الشهر'!$C$763:$AD$872,10,FALSE),0)</f>
        <v>0</v>
      </c>
      <c r="K32" s="362">
        <f>IFERROR(VLOOKUP(C32,'تقرير المصروفات حسب الشهر'!$C$890:$AD$999,10,FALSE),0)</f>
        <v>0</v>
      </c>
      <c r="L32" s="362">
        <f>IFERROR(VLOOKUP(C32,'تقرير المصروفات حسب الشهر'!$C$1016:$AD$1126,10,FALSE),0)</f>
        <v>0</v>
      </c>
      <c r="M32" s="376">
        <f>IFERROR(VLOOKUP(C32,'تقرير المصروفات حسب الشهر'!$C$1143:$AD$1254,10,FALSE),0)</f>
        <v>0</v>
      </c>
      <c r="N32" s="376">
        <f>IFERROR(VLOOKUP(C32,'تقرير المصروفات حسب الشهر'!$C$1270:$AD$1381,10,FALSE),0)</f>
        <v>0</v>
      </c>
      <c r="O32" s="376">
        <f>IFERROR(VLOOKUP(C32,'تقرير المصروفات حسب الشهر'!$C$1397:$AD$1512,10,FALSE),0)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الشهر'!$C$10:$AD$119,10,FALSE),0)</f>
        <v>0</v>
      </c>
      <c r="E33" s="362">
        <f>IFERROR(VLOOKUP(C33,'تقرير المصروفات حسب الشهر'!$C$135:$AD$244,10,FALSE),0)</f>
        <v>0</v>
      </c>
      <c r="F33" s="362">
        <f>IFERROR(VLOOKUP(C33,'تقرير المصروفات حسب الشهر'!$C$261:$AD$368,10,FALSE),0)</f>
        <v>0</v>
      </c>
      <c r="G33" s="362">
        <f>IFERROR(VLOOKUP(C33,'تقرير المصروفات حسب الشهر'!$C$387:$AD$495,10,FALSE),0)</f>
        <v>0</v>
      </c>
      <c r="H33" s="362">
        <f>IFERROR(VLOOKUP(C33,'تقرير المصروفات حسب الشهر'!$C$512:$AD$620,10,FALSE),0)</f>
        <v>0</v>
      </c>
      <c r="I33" s="362">
        <f>IFERROR(VLOOKUP(C33,'تقرير المصروفات حسب الشهر'!$C$637:$AD$746,10,FALSE),0)</f>
        <v>0</v>
      </c>
      <c r="J33" s="362">
        <f>IFERROR(VLOOKUP(C33,'تقرير المصروفات حسب الشهر'!$C$763:$AD$872,10,FALSE),0)</f>
        <v>0</v>
      </c>
      <c r="K33" s="362">
        <f>IFERROR(VLOOKUP(C33,'تقرير المصروفات حسب الشهر'!$C$890:$AD$999,10,FALSE),0)</f>
        <v>0</v>
      </c>
      <c r="L33" s="362">
        <f>IFERROR(VLOOKUP(C33,'تقرير المصروفات حسب الشهر'!$C$1016:$AD$1126,10,FALSE),0)</f>
        <v>0</v>
      </c>
      <c r="M33" s="376">
        <f>IFERROR(VLOOKUP(C33,'تقرير المصروفات حسب الشهر'!$C$1143:$AD$1254,10,FALSE),0)</f>
        <v>0</v>
      </c>
      <c r="N33" s="376">
        <f>IFERROR(VLOOKUP(C33,'تقرير المصروفات حسب الشهر'!$C$1270:$AD$1381,10,FALSE),0)</f>
        <v>0</v>
      </c>
      <c r="O33" s="376">
        <f>IFERROR(VLOOKUP(C33,'تقرير المصروفات حسب الشهر'!$C$1397:$AD$1512,10,FALSE),0)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الشهر'!$C$10:$AD$119,10,FALSE),0)</f>
        <v>0</v>
      </c>
      <c r="E34" s="362">
        <f>IFERROR(VLOOKUP(C34,'تقرير المصروفات حسب الشهر'!$C$135:$AD$244,10,FALSE),0)</f>
        <v>0</v>
      </c>
      <c r="F34" s="362">
        <f>IFERROR(VLOOKUP(C34,'تقرير المصروفات حسب الشهر'!$C$261:$AD$368,10,FALSE),0)</f>
        <v>0</v>
      </c>
      <c r="G34" s="362">
        <f>IFERROR(VLOOKUP(C34,'تقرير المصروفات حسب الشهر'!$C$387:$AD$495,10,FALSE),0)</f>
        <v>0</v>
      </c>
      <c r="H34" s="362">
        <f>IFERROR(VLOOKUP(C34,'تقرير المصروفات حسب الشهر'!$C$512:$AD$620,10,FALSE),0)</f>
        <v>0</v>
      </c>
      <c r="I34" s="362">
        <f>IFERROR(VLOOKUP(C34,'تقرير المصروفات حسب الشهر'!$C$637:$AD$746,10,FALSE),0)</f>
        <v>0</v>
      </c>
      <c r="J34" s="362">
        <f>IFERROR(VLOOKUP(C34,'تقرير المصروفات حسب الشهر'!$C$763:$AD$872,10,FALSE),0)</f>
        <v>0</v>
      </c>
      <c r="K34" s="362">
        <f>IFERROR(VLOOKUP(C34,'تقرير المصروفات حسب الشهر'!$C$890:$AD$999,10,FALSE),0)</f>
        <v>0</v>
      </c>
      <c r="L34" s="362">
        <f>IFERROR(VLOOKUP(C34,'تقرير المصروفات حسب الشهر'!$C$1016:$AD$1126,10,FALSE),0)</f>
        <v>0</v>
      </c>
      <c r="M34" s="376">
        <f>IFERROR(VLOOKUP(C34,'تقرير المصروفات حسب الشهر'!$C$1143:$AD$1254,10,FALSE),0)</f>
        <v>0</v>
      </c>
      <c r="N34" s="376">
        <f>IFERROR(VLOOKUP(C34,'تقرير المصروفات حسب الشهر'!$C$1270:$AD$1381,10,FALSE),0)</f>
        <v>0</v>
      </c>
      <c r="O34" s="376">
        <f>IFERROR(VLOOKUP(C34,'تقرير المصروفات حسب الشهر'!$C$1397:$AD$1512,10,FALSE),0)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الشهر'!$C$10:$AD$119,10,FALSE),0)</f>
        <v>0</v>
      </c>
      <c r="E35" s="362">
        <f>IFERROR(VLOOKUP(C35,'تقرير المصروفات حسب الشهر'!$C$135:$AD$244,10,FALSE),0)</f>
        <v>0</v>
      </c>
      <c r="F35" s="362">
        <f>IFERROR(VLOOKUP(C35,'تقرير المصروفات حسب الشهر'!$C$261:$AD$368,10,FALSE),0)</f>
        <v>0</v>
      </c>
      <c r="G35" s="362">
        <f>IFERROR(VLOOKUP(C35,'تقرير المصروفات حسب الشهر'!$C$387:$AD$495,10,FALSE),0)</f>
        <v>0</v>
      </c>
      <c r="H35" s="362">
        <f>IFERROR(VLOOKUP(C35,'تقرير المصروفات حسب الشهر'!$C$512:$AD$620,10,FALSE),0)</f>
        <v>0</v>
      </c>
      <c r="I35" s="362">
        <f>IFERROR(VLOOKUP(C35,'تقرير المصروفات حسب الشهر'!$C$637:$AD$746,10,FALSE),0)</f>
        <v>0</v>
      </c>
      <c r="J35" s="362">
        <f>IFERROR(VLOOKUP(C35,'تقرير المصروفات حسب الشهر'!$C$763:$AD$872,10,FALSE),0)</f>
        <v>0</v>
      </c>
      <c r="K35" s="362">
        <f>IFERROR(VLOOKUP(C35,'تقرير المصروفات حسب الشهر'!$C$890:$AD$999,10,FALSE),0)</f>
        <v>0</v>
      </c>
      <c r="L35" s="362">
        <f>IFERROR(VLOOKUP(C35,'تقرير المصروفات حسب الشهر'!$C$1016:$AD$1126,10,FALSE),0)</f>
        <v>0</v>
      </c>
      <c r="M35" s="376">
        <f>IFERROR(VLOOKUP(C35,'تقرير المصروفات حسب الشهر'!$C$1143:$AD$1254,10,FALSE),0)</f>
        <v>0</v>
      </c>
      <c r="N35" s="376">
        <f>IFERROR(VLOOKUP(C35,'تقرير المصروفات حسب الشهر'!$C$1270:$AD$1381,10,FALSE),0)</f>
        <v>0</v>
      </c>
      <c r="O35" s="376">
        <f>IFERROR(VLOOKUP(C35,'تقرير المصروفات حسب الشهر'!$C$1397:$AD$1512,10,FALSE),0)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الشهر'!$C$10:$AD$119,10,FALSE),0)</f>
        <v>1500</v>
      </c>
      <c r="E36" s="362">
        <f>IFERROR(VLOOKUP(C36,'تقرير المصروفات حسب الشهر'!$C$135:$AD$244,10,FALSE),0)</f>
        <v>0</v>
      </c>
      <c r="F36" s="362">
        <f>IFERROR(VLOOKUP(C36,'تقرير المصروفات حسب الشهر'!$C$261:$AD$368,10,FALSE),0)</f>
        <v>1500</v>
      </c>
      <c r="G36" s="362">
        <f>IFERROR(VLOOKUP(C36,'تقرير المصروفات حسب الشهر'!$C$387:$AD$495,10,FALSE),0)</f>
        <v>750</v>
      </c>
      <c r="H36" s="362">
        <f>IFERROR(VLOOKUP(C36,'تقرير المصروفات حسب الشهر'!$C$512:$AD$620,10,FALSE),0)</f>
        <v>0</v>
      </c>
      <c r="I36" s="362">
        <f>IFERROR(VLOOKUP(C36,'تقرير المصروفات حسب الشهر'!$C$637:$AD$746,10,FALSE),0)</f>
        <v>0</v>
      </c>
      <c r="J36" s="362">
        <f>IFERROR(VLOOKUP(C36,'تقرير المصروفات حسب الشهر'!$C$763:$AD$872,10,FALSE),0)</f>
        <v>0</v>
      </c>
      <c r="K36" s="362">
        <f>IFERROR(VLOOKUP(C36,'تقرير المصروفات حسب الشهر'!$C$890:$AD$999,10,FALSE),0)</f>
        <v>770</v>
      </c>
      <c r="L36" s="362">
        <f>IFERROR(VLOOKUP(C36,'تقرير المصروفات حسب الشهر'!$C$1016:$AD$1126,10,FALSE),0)</f>
        <v>0</v>
      </c>
      <c r="M36" s="376">
        <f>IFERROR(VLOOKUP(C36,'تقرير المصروفات حسب الشهر'!$C$1143:$AD$1254,10,FALSE),0)</f>
        <v>770</v>
      </c>
      <c r="N36" s="376">
        <f>IFERROR(VLOOKUP(C36,'تقرير المصروفات حسب الشهر'!$C$1270:$AD$1381,10,FALSE),0)</f>
        <v>0</v>
      </c>
      <c r="O36" s="376">
        <f>IFERROR(VLOOKUP(C36,'تقرير المصروفات حسب الشهر'!$C$1397:$AD$1512,10,FALSE),0)</f>
        <v>770</v>
      </c>
      <c r="P36" s="364">
        <f t="shared" si="5"/>
        <v>6060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الشهر'!$C$10:$AD$119,10,FALSE),0)</f>
        <v>0</v>
      </c>
      <c r="E37" s="362">
        <f>IFERROR(VLOOKUP(C37,'تقرير المصروفات حسب الشهر'!$C$135:$AD$244,10,FALSE),0)</f>
        <v>0</v>
      </c>
      <c r="F37" s="362">
        <f>IFERROR(VLOOKUP(C37,'تقرير المصروفات حسب الشهر'!$C$261:$AD$368,10,FALSE),0)</f>
        <v>0</v>
      </c>
      <c r="G37" s="362">
        <f>IFERROR(VLOOKUP(C37,'تقرير المصروفات حسب الشهر'!$C$387:$AD$495,10,FALSE),0)</f>
        <v>2250</v>
      </c>
      <c r="H37" s="362">
        <f>IFERROR(VLOOKUP(C37,'تقرير المصروفات حسب الشهر'!$C$512:$AD$620,10,FALSE),0)</f>
        <v>0</v>
      </c>
      <c r="I37" s="362">
        <f>IFERROR(VLOOKUP(C37,'تقرير المصروفات حسب الشهر'!$C$637:$AD$746,10,FALSE),0)</f>
        <v>0</v>
      </c>
      <c r="J37" s="362">
        <f>IFERROR(VLOOKUP(C37,'تقرير المصروفات حسب الشهر'!$C$763:$AD$872,10,FALSE),0)</f>
        <v>0</v>
      </c>
      <c r="K37" s="362">
        <f>IFERROR(VLOOKUP(C37,'تقرير المصروفات حسب الشهر'!$C$890:$AD$999,10,FALSE),0)</f>
        <v>0</v>
      </c>
      <c r="L37" s="362">
        <f>IFERROR(VLOOKUP(C37,'تقرير المصروفات حسب الشهر'!$C$1016:$AD$1126,10,FALSE),0)</f>
        <v>0</v>
      </c>
      <c r="M37" s="376">
        <f>IFERROR(VLOOKUP(C37,'تقرير المصروفات حسب الشهر'!$C$1143:$AD$1254,10,FALSE),0)</f>
        <v>0</v>
      </c>
      <c r="N37" s="376">
        <f>IFERROR(VLOOKUP(C37,'تقرير المصروفات حسب الشهر'!$C$1270:$AD$1381,10,FALSE),0)</f>
        <v>0</v>
      </c>
      <c r="O37" s="376">
        <f>IFERROR(VLOOKUP(C37,'تقرير المصروفات حسب الشهر'!$C$1397:$AD$1512,10,FALSE),0)</f>
        <v>0</v>
      </c>
      <c r="P37" s="364">
        <f t="shared" si="5"/>
        <v>2250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الشهر'!$C$10:$AD$119,10,FALSE),0)</f>
        <v>0</v>
      </c>
      <c r="E38" s="362">
        <f>IFERROR(VLOOKUP(C38,'تقرير المصروفات حسب الشهر'!$C$135:$AD$244,10,FALSE),0)</f>
        <v>0</v>
      </c>
      <c r="F38" s="362">
        <f>IFERROR(VLOOKUP(C38,'تقرير المصروفات حسب الشهر'!$C$261:$AD$368,10,FALSE),0)</f>
        <v>0</v>
      </c>
      <c r="G38" s="362">
        <f>IFERROR(VLOOKUP(C38,'تقرير المصروفات حسب الشهر'!$C$387:$AD$495,10,FALSE),0)</f>
        <v>0</v>
      </c>
      <c r="H38" s="362">
        <f>IFERROR(VLOOKUP(C38,'تقرير المصروفات حسب الشهر'!$C$512:$AD$620,10,FALSE),0)</f>
        <v>0</v>
      </c>
      <c r="I38" s="362">
        <f>IFERROR(VLOOKUP(C38,'تقرير المصروفات حسب الشهر'!$C$637:$AD$746,10,FALSE),0)</f>
        <v>0</v>
      </c>
      <c r="J38" s="362">
        <f>IFERROR(VLOOKUP(C38,'تقرير المصروفات حسب الشهر'!$C$763:$AD$872,10,FALSE),0)</f>
        <v>0</v>
      </c>
      <c r="K38" s="362">
        <f>IFERROR(VLOOKUP(C38,'تقرير المصروفات حسب الشهر'!$C$890:$AD$999,10,FALSE),0)</f>
        <v>0</v>
      </c>
      <c r="L38" s="362">
        <f>IFERROR(VLOOKUP(C38,'تقرير المصروفات حسب الشهر'!$C$1016:$AD$1126,10,FALSE),0)</f>
        <v>0</v>
      </c>
      <c r="M38" s="376">
        <f>IFERROR(VLOOKUP(C38,'تقرير المصروفات حسب الشهر'!$C$1143:$AD$1254,10,FALSE),0)</f>
        <v>0</v>
      </c>
      <c r="N38" s="376">
        <f>IFERROR(VLOOKUP(C38,'تقرير المصروفات حسب الشهر'!$C$1270:$AD$1381,10,FALSE),0)</f>
        <v>0</v>
      </c>
      <c r="O38" s="376">
        <f>IFERROR(VLOOKUP(C38,'تقرير المصروفات حسب الشهر'!$C$1397:$AD$1512,10,FALSE),0)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الشهر'!$C$10:$AD$119,10,FALSE),0)</f>
        <v>0</v>
      </c>
      <c r="E39" s="362">
        <f>IFERROR(VLOOKUP(C39,'تقرير المصروفات حسب الشهر'!$C$135:$AD$244,10,FALSE),0)</f>
        <v>833</v>
      </c>
      <c r="F39" s="362">
        <f>IFERROR(VLOOKUP(C39,'تقرير المصروفات حسب الشهر'!$C$261:$AD$368,10,FALSE),0)</f>
        <v>648</v>
      </c>
      <c r="G39" s="362">
        <f>IFERROR(VLOOKUP(C39,'تقرير المصروفات حسب الشهر'!$C$387:$AD$495,10,FALSE),0)</f>
        <v>793</v>
      </c>
      <c r="H39" s="362">
        <f>IFERROR(VLOOKUP(C39,'تقرير المصروفات حسب الشهر'!$C$512:$AD$620,10,FALSE),0)</f>
        <v>0</v>
      </c>
      <c r="I39" s="362">
        <f>IFERROR(VLOOKUP(C39,'تقرير المصروفات حسب الشهر'!$C$637:$AD$746,10,FALSE),0)</f>
        <v>0</v>
      </c>
      <c r="J39" s="362">
        <f>IFERROR(VLOOKUP(C39,'تقرير المصروفات حسب الشهر'!$C$763:$AD$872,10,FALSE),0)</f>
        <v>0</v>
      </c>
      <c r="K39" s="362">
        <f>IFERROR(VLOOKUP(C39,'تقرير المصروفات حسب الشهر'!$C$890:$AD$999,10,FALSE),0)</f>
        <v>0</v>
      </c>
      <c r="L39" s="362">
        <f>IFERROR(VLOOKUP(C39,'تقرير المصروفات حسب الشهر'!$C$1016:$AD$1126,10,FALSE),0)</f>
        <v>0</v>
      </c>
      <c r="M39" s="376">
        <f>IFERROR(VLOOKUP(C39,'تقرير المصروفات حسب الشهر'!$C$1143:$AD$1254,10,FALSE),0)</f>
        <v>0</v>
      </c>
      <c r="N39" s="376">
        <f>IFERROR(VLOOKUP(C39,'تقرير المصروفات حسب الشهر'!$C$1270:$AD$1381,10,FALSE),0)</f>
        <v>506</v>
      </c>
      <c r="O39" s="376">
        <f>IFERROR(VLOOKUP(C39,'تقرير المصروفات حسب الشهر'!$C$1397:$AD$1512,10,FALSE),0)</f>
        <v>831</v>
      </c>
      <c r="P39" s="364">
        <f t="shared" si="5"/>
        <v>3611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الشهر'!$C$10:$AD$119,10,FALSE),0)</f>
        <v>0</v>
      </c>
      <c r="E40" s="362">
        <f>IFERROR(VLOOKUP(C40,'تقرير المصروفات حسب الشهر'!$C$135:$AD$244,10,FALSE),0)</f>
        <v>0</v>
      </c>
      <c r="F40" s="362">
        <f>IFERROR(VLOOKUP(C40,'تقرير المصروفات حسب الشهر'!$C$261:$AD$368,10,FALSE),0)</f>
        <v>0</v>
      </c>
      <c r="G40" s="362">
        <f>IFERROR(VLOOKUP(C40,'تقرير المصروفات حسب الشهر'!$C$387:$AD$495,10,FALSE),0)</f>
        <v>0</v>
      </c>
      <c r="H40" s="362">
        <f>IFERROR(VLOOKUP(C40,'تقرير المصروفات حسب الشهر'!$C$512:$AD$620,10,FALSE),0)</f>
        <v>0</v>
      </c>
      <c r="I40" s="362">
        <f>IFERROR(VLOOKUP(C40,'تقرير المصروفات حسب الشهر'!$C$637:$AD$746,10,FALSE),0)</f>
        <v>0</v>
      </c>
      <c r="J40" s="362">
        <f>IFERROR(VLOOKUP(C40,'تقرير المصروفات حسب الشهر'!$C$763:$AD$872,10,FALSE),0)</f>
        <v>0</v>
      </c>
      <c r="K40" s="362">
        <f>IFERROR(VLOOKUP(C40,'تقرير المصروفات حسب الشهر'!$C$890:$AD$999,10,FALSE),0)</f>
        <v>0</v>
      </c>
      <c r="L40" s="362">
        <f>IFERROR(VLOOKUP(C40,'تقرير المصروفات حسب الشهر'!$C$1016:$AD$1126,10,FALSE),0)</f>
        <v>0</v>
      </c>
      <c r="M40" s="376">
        <f>IFERROR(VLOOKUP(C40,'تقرير المصروفات حسب الشهر'!$C$1143:$AD$1254,10,FALSE),0)</f>
        <v>0</v>
      </c>
      <c r="N40" s="376">
        <f>IFERROR(VLOOKUP(C40,'تقرير المصروفات حسب الشهر'!$C$1270:$AD$1381,10,FALSE),0)</f>
        <v>0</v>
      </c>
      <c r="O40" s="376">
        <f>IFERROR(VLOOKUP(C40,'تقرير المصروفات حسب الشهر'!$C$1397:$AD$1512,10,FALSE),0)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الشهر'!$C$10:$AD$119,10,FALSE),0)</f>
        <v>0</v>
      </c>
      <c r="E41" s="362">
        <f>IFERROR(VLOOKUP(C41,'تقرير المصروفات حسب الشهر'!$C$135:$AD$244,10,FALSE),0)</f>
        <v>0</v>
      </c>
      <c r="F41" s="362">
        <f>IFERROR(VLOOKUP(C41,'تقرير المصروفات حسب الشهر'!$C$261:$AD$368,10,FALSE),0)</f>
        <v>0</v>
      </c>
      <c r="G41" s="362">
        <f>IFERROR(VLOOKUP(C41,'تقرير المصروفات حسب الشهر'!$C$387:$AD$495,10,FALSE),0)</f>
        <v>0</v>
      </c>
      <c r="H41" s="362">
        <f>IFERROR(VLOOKUP(C41,'تقرير المصروفات حسب الشهر'!$C$512:$AD$620,10,FALSE),0)</f>
        <v>0</v>
      </c>
      <c r="I41" s="362">
        <f>IFERROR(VLOOKUP(C41,'تقرير المصروفات حسب الشهر'!$C$637:$AD$746,10,FALSE),0)</f>
        <v>0</v>
      </c>
      <c r="J41" s="362">
        <f>IFERROR(VLOOKUP(C41,'تقرير المصروفات حسب الشهر'!$C$763:$AD$872,10,FALSE),0)</f>
        <v>0</v>
      </c>
      <c r="K41" s="362">
        <f>IFERROR(VLOOKUP(C41,'تقرير المصروفات حسب الشهر'!$C$890:$AD$999,10,FALSE),0)</f>
        <v>0</v>
      </c>
      <c r="L41" s="362">
        <f>IFERROR(VLOOKUP(C41,'تقرير المصروفات حسب الشهر'!$C$1016:$AD$1126,10,FALSE),0)</f>
        <v>0</v>
      </c>
      <c r="M41" s="376">
        <f>IFERROR(VLOOKUP(C41,'تقرير المصروفات حسب الشهر'!$C$1143:$AD$1254,10,FALSE),0)</f>
        <v>0</v>
      </c>
      <c r="N41" s="376">
        <f>IFERROR(VLOOKUP(C41,'تقرير المصروفات حسب الشهر'!$C$1270:$AD$1381,10,FALSE),0)</f>
        <v>0</v>
      </c>
      <c r="O41" s="376">
        <f>IFERROR(VLOOKUP(C41,'تقرير المصروفات حسب الشهر'!$C$1397:$AD$1512,10,FALSE),0)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الشهر'!$C$10:$AD$119,10,FALSE),0)</f>
        <v>0</v>
      </c>
      <c r="E42" s="362">
        <f>IFERROR(VLOOKUP(C42,'تقرير المصروفات حسب الشهر'!$C$135:$AD$244,10,FALSE),0)</f>
        <v>0</v>
      </c>
      <c r="F42" s="362">
        <f>IFERROR(VLOOKUP(C42,'تقرير المصروفات حسب الشهر'!$C$261:$AD$368,10,FALSE),0)</f>
        <v>0</v>
      </c>
      <c r="G42" s="362">
        <f>IFERROR(VLOOKUP(C42,'تقرير المصروفات حسب الشهر'!$C$387:$AD$495,10,FALSE),0)</f>
        <v>0</v>
      </c>
      <c r="H42" s="362">
        <f>IFERROR(VLOOKUP(C42,'تقرير المصروفات حسب الشهر'!$C$512:$AD$620,10,FALSE),0)</f>
        <v>0</v>
      </c>
      <c r="I42" s="362">
        <f>IFERROR(VLOOKUP(C42,'تقرير المصروفات حسب الشهر'!$C$637:$AD$746,10,FALSE),0)</f>
        <v>0</v>
      </c>
      <c r="J42" s="362">
        <f>IFERROR(VLOOKUP(C42,'تقرير المصروفات حسب الشهر'!$C$763:$AD$872,10,FALSE),0)</f>
        <v>0</v>
      </c>
      <c r="K42" s="362">
        <f>IFERROR(VLOOKUP(C42,'تقرير المصروفات حسب الشهر'!$C$890:$AD$999,10,FALSE),0)</f>
        <v>0</v>
      </c>
      <c r="L42" s="362">
        <f>IFERROR(VLOOKUP(C42,'تقرير المصروفات حسب الشهر'!$C$1016:$AD$1126,10,FALSE),0)</f>
        <v>0</v>
      </c>
      <c r="M42" s="376">
        <f>IFERROR(VLOOKUP(C42,'تقرير المصروفات حسب الشهر'!$C$1143:$AD$1254,10,FALSE),0)</f>
        <v>0</v>
      </c>
      <c r="N42" s="376">
        <f>IFERROR(VLOOKUP(C42,'تقرير المصروفات حسب الشهر'!$C$1270:$AD$1381,10,FALSE),0)</f>
        <v>0</v>
      </c>
      <c r="O42" s="376">
        <f>IFERROR(VLOOKUP(C42,'تقرير المصروفات حسب الشهر'!$C$1397:$AD$1512,10,FALSE),0)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الشهر'!$C$10:$AD$119,10,FALSE),0)</f>
        <v>0</v>
      </c>
      <c r="E43" s="362">
        <f>IFERROR(VLOOKUP(C43,'تقرير المصروفات حسب الشهر'!$C$135:$AD$244,10,FALSE),0)</f>
        <v>0</v>
      </c>
      <c r="F43" s="362">
        <f>IFERROR(VLOOKUP(C43,'تقرير المصروفات حسب الشهر'!$C$261:$AD$368,10,FALSE),0)</f>
        <v>0</v>
      </c>
      <c r="G43" s="362">
        <f>IFERROR(VLOOKUP(C43,'تقرير المصروفات حسب الشهر'!$C$387:$AD$495,10,FALSE),0)</f>
        <v>0</v>
      </c>
      <c r="H43" s="362">
        <f>IFERROR(VLOOKUP(C43,'تقرير المصروفات حسب الشهر'!$C$512:$AD$620,10,FALSE),0)</f>
        <v>0</v>
      </c>
      <c r="I43" s="362">
        <f>IFERROR(VLOOKUP(C43,'تقرير المصروفات حسب الشهر'!$C$637:$AD$746,10,FALSE),0)</f>
        <v>0</v>
      </c>
      <c r="J43" s="362">
        <f>IFERROR(VLOOKUP(C43,'تقرير المصروفات حسب الشهر'!$C$763:$AD$872,10,FALSE),0)</f>
        <v>0</v>
      </c>
      <c r="K43" s="362">
        <f>IFERROR(VLOOKUP(C43,'تقرير المصروفات حسب الشهر'!$C$890:$AD$999,10,FALSE),0)</f>
        <v>0</v>
      </c>
      <c r="L43" s="362">
        <f>IFERROR(VLOOKUP(C43,'تقرير المصروفات حسب الشهر'!$C$1016:$AD$1126,10,FALSE),0)</f>
        <v>0</v>
      </c>
      <c r="M43" s="376">
        <f>IFERROR(VLOOKUP(C43,'تقرير المصروفات حسب الشهر'!$C$1143:$AD$1254,10,FALSE),0)</f>
        <v>0</v>
      </c>
      <c r="N43" s="376">
        <f>IFERROR(VLOOKUP(C43,'تقرير المصروفات حسب الشهر'!$C$1270:$AD$1381,10,FALSE),0)</f>
        <v>0</v>
      </c>
      <c r="O43" s="376">
        <f>IFERROR(VLOOKUP(C43,'تقرير المصروفات حسب الشهر'!$C$1397:$AD$1512,10,FALSE),0)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الشهر'!$C$10:$AD$119,10,FALSE),0)</f>
        <v>0</v>
      </c>
      <c r="E44" s="362">
        <f>IFERROR(VLOOKUP(C44,'تقرير المصروفات حسب الشهر'!$C$135:$AD$244,10,FALSE),0)</f>
        <v>0</v>
      </c>
      <c r="F44" s="362">
        <f>IFERROR(VLOOKUP(C44,'تقرير المصروفات حسب الشهر'!$C$261:$AD$368,10,FALSE),0)</f>
        <v>0</v>
      </c>
      <c r="G44" s="362">
        <f>IFERROR(VLOOKUP(C44,'تقرير المصروفات حسب الشهر'!$C$387:$AD$495,10,FALSE),0)</f>
        <v>0</v>
      </c>
      <c r="H44" s="362">
        <f>IFERROR(VLOOKUP(C44,'تقرير المصروفات حسب الشهر'!$C$512:$AD$620,10,FALSE),0)</f>
        <v>0</v>
      </c>
      <c r="I44" s="362">
        <f>IFERROR(VLOOKUP(C44,'تقرير المصروفات حسب الشهر'!$C$637:$AD$746,10,FALSE),0)</f>
        <v>0</v>
      </c>
      <c r="J44" s="362">
        <f>IFERROR(VLOOKUP(C44,'تقرير المصروفات حسب الشهر'!$C$763:$AD$872,10,FALSE),0)</f>
        <v>0</v>
      </c>
      <c r="K44" s="362">
        <f>IFERROR(VLOOKUP(C44,'تقرير المصروفات حسب الشهر'!$C$890:$AD$999,10,FALSE),0)</f>
        <v>0</v>
      </c>
      <c r="L44" s="362">
        <f>IFERROR(VLOOKUP(C44,'تقرير المصروفات حسب الشهر'!$C$1016:$AD$1126,10,FALSE),0)</f>
        <v>0</v>
      </c>
      <c r="M44" s="376">
        <f>IFERROR(VLOOKUP(C44,'تقرير المصروفات حسب الشهر'!$C$1143:$AD$1254,10,FALSE),0)</f>
        <v>0</v>
      </c>
      <c r="N44" s="376">
        <f>IFERROR(VLOOKUP(C44,'تقرير المصروفات حسب الشهر'!$C$1270:$AD$1381,10,FALSE),0)</f>
        <v>0</v>
      </c>
      <c r="O44" s="376">
        <f>IFERROR(VLOOKUP(C44,'تقرير المصروفات حسب الشهر'!$C$1397:$AD$1512,10,FALSE),0)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الشهر'!$C$10:$AD$119,10,FALSE),0)</f>
        <v>0</v>
      </c>
      <c r="E45" s="362">
        <f>IFERROR(VLOOKUP(C45,'تقرير المصروفات حسب الشهر'!$C$135:$AD$244,10,FALSE),0)</f>
        <v>0</v>
      </c>
      <c r="F45" s="362">
        <f>IFERROR(VLOOKUP(C45,'تقرير المصروفات حسب الشهر'!$C$261:$AD$368,10,FALSE),0)</f>
        <v>0</v>
      </c>
      <c r="G45" s="362">
        <f>IFERROR(VLOOKUP(C45,'تقرير المصروفات حسب الشهر'!$C$387:$AD$495,10,FALSE),0)</f>
        <v>0</v>
      </c>
      <c r="H45" s="362">
        <f>IFERROR(VLOOKUP(C45,'تقرير المصروفات حسب الشهر'!$C$512:$AD$620,10,FALSE),0)</f>
        <v>0</v>
      </c>
      <c r="I45" s="362">
        <f>IFERROR(VLOOKUP(C45,'تقرير المصروفات حسب الشهر'!$C$637:$AD$746,10,FALSE),0)</f>
        <v>0</v>
      </c>
      <c r="J45" s="362">
        <f>IFERROR(VLOOKUP(C45,'تقرير المصروفات حسب الشهر'!$C$763:$AD$872,10,FALSE),0)</f>
        <v>0</v>
      </c>
      <c r="K45" s="362">
        <f>IFERROR(VLOOKUP(C45,'تقرير المصروفات حسب الشهر'!$C$890:$AD$999,10,FALSE),0)</f>
        <v>0</v>
      </c>
      <c r="L45" s="362">
        <f>IFERROR(VLOOKUP(C45,'تقرير المصروفات حسب الشهر'!$C$1016:$AD$1126,10,FALSE),0)</f>
        <v>0</v>
      </c>
      <c r="M45" s="376">
        <f>IFERROR(VLOOKUP(C45,'تقرير المصروفات حسب الشهر'!$C$1143:$AD$1254,10,FALSE),0)</f>
        <v>0</v>
      </c>
      <c r="N45" s="376">
        <f>IFERROR(VLOOKUP(C45,'تقرير المصروفات حسب الشهر'!$C$1270:$AD$1381,10,FALSE),0)</f>
        <v>0</v>
      </c>
      <c r="O45" s="376">
        <f>IFERROR(VLOOKUP(C45,'تقرير المصروفات حسب الشهر'!$C$1397:$AD$1512,10,FALSE),0)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الشهر'!$C$10:$AD$119,10,FALSE),0)</f>
        <v>0</v>
      </c>
      <c r="E46" s="362">
        <f>IFERROR(VLOOKUP(C46,'تقرير المصروفات حسب الشهر'!$C$135:$AD$244,10,FALSE),0)</f>
        <v>0</v>
      </c>
      <c r="F46" s="362">
        <f>IFERROR(VLOOKUP(C46,'تقرير المصروفات حسب الشهر'!$C$261:$AD$368,10,FALSE),0)</f>
        <v>0</v>
      </c>
      <c r="G46" s="362">
        <f>IFERROR(VLOOKUP(C46,'تقرير المصروفات حسب الشهر'!$C$387:$AD$495,10,FALSE),0)</f>
        <v>0</v>
      </c>
      <c r="H46" s="362">
        <f>IFERROR(VLOOKUP(C46,'تقرير المصروفات حسب الشهر'!$C$512:$AD$620,10,FALSE),0)</f>
        <v>0</v>
      </c>
      <c r="I46" s="362">
        <f>IFERROR(VLOOKUP(C46,'تقرير المصروفات حسب الشهر'!$C$637:$AD$746,10,FALSE),0)</f>
        <v>0</v>
      </c>
      <c r="J46" s="362">
        <f>IFERROR(VLOOKUP(C46,'تقرير المصروفات حسب الشهر'!$C$763:$AD$872,10,FALSE),0)</f>
        <v>0</v>
      </c>
      <c r="K46" s="362">
        <f>IFERROR(VLOOKUP(C46,'تقرير المصروفات حسب الشهر'!$C$890:$AD$999,10,FALSE),0)</f>
        <v>0</v>
      </c>
      <c r="L46" s="362">
        <f>IFERROR(VLOOKUP(C46,'تقرير المصروفات حسب الشهر'!$C$1016:$AD$1126,10,FALSE),0)</f>
        <v>0</v>
      </c>
      <c r="M46" s="376">
        <f>IFERROR(VLOOKUP(C46,'تقرير المصروفات حسب الشهر'!$C$1143:$AD$1254,10,FALSE),0)</f>
        <v>0</v>
      </c>
      <c r="N46" s="376">
        <f>IFERROR(VLOOKUP(C46,'تقرير المصروفات حسب الشهر'!$C$1270:$AD$1381,10,FALSE),0)</f>
        <v>0</v>
      </c>
      <c r="O46" s="376">
        <f>IFERROR(VLOOKUP(C46,'تقرير المصروفات حسب الشهر'!$C$1397:$AD$1512,10,FALSE),0)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الشهر'!$C$10:$AD$119,10,FALSE),0)</f>
        <v>0</v>
      </c>
      <c r="E47" s="362">
        <f>IFERROR(VLOOKUP(C47,'تقرير المصروفات حسب الشهر'!$C$135:$AD$244,10,FALSE),0)</f>
        <v>0</v>
      </c>
      <c r="F47" s="362">
        <f>IFERROR(VLOOKUP(C47,'تقرير المصروفات حسب الشهر'!$C$261:$AD$368,10,FALSE),0)</f>
        <v>0</v>
      </c>
      <c r="G47" s="362">
        <f>IFERROR(VLOOKUP(C47,'تقرير المصروفات حسب الشهر'!$C$387:$AD$495,10,FALSE),0)</f>
        <v>0</v>
      </c>
      <c r="H47" s="362">
        <f>IFERROR(VLOOKUP(C47,'تقرير المصروفات حسب الشهر'!$C$512:$AD$620,10,FALSE),0)</f>
        <v>0</v>
      </c>
      <c r="I47" s="362">
        <f>IFERROR(VLOOKUP(C47,'تقرير المصروفات حسب الشهر'!$C$637:$AD$746,10,FALSE),0)</f>
        <v>0</v>
      </c>
      <c r="J47" s="362">
        <f>IFERROR(VLOOKUP(C47,'تقرير المصروفات حسب الشهر'!$C$763:$AD$872,10,FALSE),0)</f>
        <v>0</v>
      </c>
      <c r="K47" s="362">
        <f>IFERROR(VLOOKUP(C47,'تقرير المصروفات حسب الشهر'!$C$890:$AD$999,10,FALSE),0)</f>
        <v>0</v>
      </c>
      <c r="L47" s="362">
        <f>IFERROR(VLOOKUP(C47,'تقرير المصروفات حسب الشهر'!$C$1016:$AD$1126,10,FALSE),0)</f>
        <v>0</v>
      </c>
      <c r="M47" s="376">
        <f>IFERROR(VLOOKUP(C47,'تقرير المصروفات حسب الشهر'!$C$1143:$AD$1254,10,FALSE),0)</f>
        <v>0</v>
      </c>
      <c r="N47" s="376">
        <f>IFERROR(VLOOKUP(C47,'تقرير المصروفات حسب الشهر'!$C$1270:$AD$1381,10,FALSE),0)</f>
        <v>0</v>
      </c>
      <c r="O47" s="376">
        <f>IFERROR(VLOOKUP(C47,'تقرير المصروفات حسب الشهر'!$C$1397:$AD$1512,10,FALSE),0)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الشهر'!$C$10:$AD$119,10,FALSE),0)</f>
        <v>0</v>
      </c>
      <c r="E48" s="362">
        <f>IFERROR(VLOOKUP(C48,'تقرير المصروفات حسب الشهر'!$C$135:$AD$244,10,FALSE),0)</f>
        <v>0</v>
      </c>
      <c r="F48" s="362">
        <f>IFERROR(VLOOKUP(C48,'تقرير المصروفات حسب الشهر'!$C$261:$AD$368,10,FALSE),0)</f>
        <v>0</v>
      </c>
      <c r="G48" s="362">
        <f>IFERROR(VLOOKUP(C48,'تقرير المصروفات حسب الشهر'!$C$387:$AD$495,10,FALSE),0)</f>
        <v>0</v>
      </c>
      <c r="H48" s="362">
        <f>IFERROR(VLOOKUP(C48,'تقرير المصروفات حسب الشهر'!$C$512:$AD$620,10,FALSE),0)</f>
        <v>0</v>
      </c>
      <c r="I48" s="362">
        <f>IFERROR(VLOOKUP(C48,'تقرير المصروفات حسب الشهر'!$C$637:$AD$746,10,FALSE),0)</f>
        <v>0</v>
      </c>
      <c r="J48" s="362">
        <f>IFERROR(VLOOKUP(C48,'تقرير المصروفات حسب الشهر'!$C$763:$AD$872,10,FALSE),0)</f>
        <v>0</v>
      </c>
      <c r="K48" s="362">
        <f>IFERROR(VLOOKUP(C48,'تقرير المصروفات حسب الشهر'!$C$890:$AD$999,10,FALSE),0)</f>
        <v>0</v>
      </c>
      <c r="L48" s="362">
        <f>IFERROR(VLOOKUP(C48,'تقرير المصروفات حسب الشهر'!$C$1016:$AD$1126,10,FALSE),0)</f>
        <v>0</v>
      </c>
      <c r="M48" s="376">
        <f>IFERROR(VLOOKUP(C48,'تقرير المصروفات حسب الشهر'!$C$1143:$AD$1254,10,FALSE),0)</f>
        <v>0</v>
      </c>
      <c r="N48" s="376">
        <f>IFERROR(VLOOKUP(C48,'تقرير المصروفات حسب الشهر'!$C$1270:$AD$1381,10,FALSE),0)</f>
        <v>0</v>
      </c>
      <c r="O48" s="376">
        <f>IFERROR(VLOOKUP(C48,'تقرير المصروفات حسب الشهر'!$C$1397:$AD$1512,10,FALSE),0)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الشهر'!$C$10:$AD$119,10,FALSE),0)</f>
        <v>0</v>
      </c>
      <c r="E49" s="362">
        <f>IFERROR(VLOOKUP(C49,'تقرير المصروفات حسب الشهر'!$C$135:$AD$244,10,FALSE),0)</f>
        <v>0</v>
      </c>
      <c r="F49" s="362">
        <f>IFERROR(VLOOKUP(C49,'تقرير المصروفات حسب الشهر'!$C$261:$AD$368,10,FALSE),0)</f>
        <v>0</v>
      </c>
      <c r="G49" s="362">
        <f>IFERROR(VLOOKUP(C49,'تقرير المصروفات حسب الشهر'!$C$387:$AD$495,10,FALSE),0)</f>
        <v>0</v>
      </c>
      <c r="H49" s="362">
        <f>IFERROR(VLOOKUP(C49,'تقرير المصروفات حسب الشهر'!$C$512:$AD$620,10,FALSE),0)</f>
        <v>0</v>
      </c>
      <c r="I49" s="362">
        <f>IFERROR(VLOOKUP(C49,'تقرير المصروفات حسب الشهر'!$C$637:$AD$746,10,FALSE),0)</f>
        <v>0</v>
      </c>
      <c r="J49" s="362">
        <f>IFERROR(VLOOKUP(C49,'تقرير المصروفات حسب الشهر'!$C$763:$AD$872,10,FALSE),0)</f>
        <v>0</v>
      </c>
      <c r="K49" s="362">
        <f>IFERROR(VLOOKUP(C49,'تقرير المصروفات حسب الشهر'!$C$890:$AD$999,10,FALSE),0)</f>
        <v>0</v>
      </c>
      <c r="L49" s="362">
        <f>IFERROR(VLOOKUP(C49,'تقرير المصروفات حسب الشهر'!$C$1016:$AD$1126,10,FALSE),0)</f>
        <v>0</v>
      </c>
      <c r="M49" s="376">
        <f>IFERROR(VLOOKUP(C49,'تقرير المصروفات حسب الشهر'!$C$1143:$AD$1254,10,FALSE),0)</f>
        <v>0</v>
      </c>
      <c r="N49" s="376">
        <f>IFERROR(VLOOKUP(C49,'تقرير المصروفات حسب الشهر'!$C$1270:$AD$1381,10,FALSE),0)</f>
        <v>0</v>
      </c>
      <c r="O49" s="376">
        <f>IFERROR(VLOOKUP(C49,'تقرير المصروفات حسب الشهر'!$C$1397:$AD$1512,10,FALSE),0)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الشهر'!$C$10:$AD$119,10,FALSE),0)</f>
        <v>0</v>
      </c>
      <c r="E50" s="362">
        <f>IFERROR(VLOOKUP(C50,'تقرير المصروفات حسب الشهر'!$C$135:$AD$244,10,FALSE),0)</f>
        <v>0</v>
      </c>
      <c r="F50" s="362">
        <f>IFERROR(VLOOKUP(C50,'تقرير المصروفات حسب الشهر'!$C$261:$AD$368,10,FALSE),0)</f>
        <v>0</v>
      </c>
      <c r="G50" s="362">
        <f>IFERROR(VLOOKUP(C50,'تقرير المصروفات حسب الشهر'!$C$387:$AD$495,10,FALSE),0)</f>
        <v>0</v>
      </c>
      <c r="H50" s="362">
        <f>IFERROR(VLOOKUP(C50,'تقرير المصروفات حسب الشهر'!$C$512:$AD$620,10,FALSE),0)</f>
        <v>0</v>
      </c>
      <c r="I50" s="362">
        <f>IFERROR(VLOOKUP(C50,'تقرير المصروفات حسب الشهر'!$C$637:$AD$746,10,FALSE),0)</f>
        <v>0</v>
      </c>
      <c r="J50" s="362">
        <f>IFERROR(VLOOKUP(C50,'تقرير المصروفات حسب الشهر'!$C$763:$AD$872,10,FALSE),0)</f>
        <v>0</v>
      </c>
      <c r="K50" s="362">
        <f>IFERROR(VLOOKUP(C50,'تقرير المصروفات حسب الشهر'!$C$890:$AD$999,10,FALSE),0)</f>
        <v>0</v>
      </c>
      <c r="L50" s="362">
        <f>IFERROR(VLOOKUP(C50,'تقرير المصروفات حسب الشهر'!$C$1016:$AD$1126,10,FALSE),0)</f>
        <v>0</v>
      </c>
      <c r="M50" s="376">
        <f>IFERROR(VLOOKUP(C50,'تقرير المصروفات حسب الشهر'!$C$1143:$AD$1254,10,FALSE),0)</f>
        <v>0</v>
      </c>
      <c r="N50" s="376">
        <f>IFERROR(VLOOKUP(C50,'تقرير المصروفات حسب الشهر'!$C$1270:$AD$1381,10,FALSE),0)</f>
        <v>0</v>
      </c>
      <c r="O50" s="376">
        <f>IFERROR(VLOOKUP(C50,'تقرير المصروفات حسب الشهر'!$C$1397:$AD$1512,10,FALSE),0)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الشهر'!$C$10:$AD$119,10,FALSE),0)</f>
        <v>0</v>
      </c>
      <c r="E51" s="362">
        <f>IFERROR(VLOOKUP(C51,'تقرير المصروفات حسب الشهر'!$C$135:$AD$244,10,FALSE),0)</f>
        <v>0</v>
      </c>
      <c r="F51" s="362">
        <f>IFERROR(VLOOKUP(C51,'تقرير المصروفات حسب الشهر'!$C$261:$AD$368,10,FALSE),0)</f>
        <v>0</v>
      </c>
      <c r="G51" s="362">
        <f>IFERROR(VLOOKUP(C51,'تقرير المصروفات حسب الشهر'!$C$387:$AD$495,10,FALSE),0)</f>
        <v>0</v>
      </c>
      <c r="H51" s="362">
        <f>IFERROR(VLOOKUP(C51,'تقرير المصروفات حسب الشهر'!$C$512:$AD$620,10,FALSE),0)</f>
        <v>0</v>
      </c>
      <c r="I51" s="362">
        <f>IFERROR(VLOOKUP(C51,'تقرير المصروفات حسب الشهر'!$C$637:$AD$746,10,FALSE),0)</f>
        <v>0</v>
      </c>
      <c r="J51" s="362">
        <f>IFERROR(VLOOKUP(C51,'تقرير المصروفات حسب الشهر'!$C$763:$AD$872,10,FALSE),0)</f>
        <v>175</v>
      </c>
      <c r="K51" s="362">
        <f>IFERROR(VLOOKUP(C51,'تقرير المصروفات حسب الشهر'!$C$890:$AD$999,10,FALSE),0)</f>
        <v>0</v>
      </c>
      <c r="L51" s="362">
        <f>IFERROR(VLOOKUP(C51,'تقرير المصروفات حسب الشهر'!$C$1016:$AD$1126,10,FALSE),0)</f>
        <v>0</v>
      </c>
      <c r="M51" s="376">
        <f>IFERROR(VLOOKUP(C51,'تقرير المصروفات حسب الشهر'!$C$1143:$AD$1254,10,FALSE),0)</f>
        <v>0</v>
      </c>
      <c r="N51" s="376">
        <f>IFERROR(VLOOKUP(C51,'تقرير المصروفات حسب الشهر'!$C$1270:$AD$1381,10,FALSE),0)</f>
        <v>0</v>
      </c>
      <c r="O51" s="376">
        <f>IFERROR(VLOOKUP(C51,'تقرير المصروفات حسب الشهر'!$C$1397:$AD$1512,10,FALSE),0)</f>
        <v>0</v>
      </c>
      <c r="P51" s="364">
        <f t="shared" si="5"/>
        <v>175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الشهر'!$C$10:$AD$119,10,FALSE),0)</f>
        <v>500</v>
      </c>
      <c r="E52" s="362">
        <f>IFERROR(VLOOKUP(C52,'تقرير المصروفات حسب الشهر'!$C$135:$AD$244,10,FALSE),0)</f>
        <v>0</v>
      </c>
      <c r="F52" s="362">
        <f>IFERROR(VLOOKUP(C52,'تقرير المصروفات حسب الشهر'!$C$261:$AD$368,10,FALSE),0)</f>
        <v>0</v>
      </c>
      <c r="G52" s="362">
        <f>IFERROR(VLOOKUP(C52,'تقرير المصروفات حسب الشهر'!$C$387:$AD$495,10,FALSE),0)</f>
        <v>0</v>
      </c>
      <c r="H52" s="362">
        <f>IFERROR(VLOOKUP(C52,'تقرير المصروفات حسب الشهر'!$C$512:$AD$620,10,FALSE),0)</f>
        <v>0</v>
      </c>
      <c r="I52" s="362">
        <f>IFERROR(VLOOKUP(C52,'تقرير المصروفات حسب الشهر'!$C$637:$AD$746,10,FALSE),0)</f>
        <v>0</v>
      </c>
      <c r="J52" s="362">
        <f>IFERROR(VLOOKUP(C52,'تقرير المصروفات حسب الشهر'!$C$763:$AD$872,10,FALSE),0)</f>
        <v>0</v>
      </c>
      <c r="K52" s="362">
        <f>IFERROR(VLOOKUP(C52,'تقرير المصروفات حسب الشهر'!$C$890:$AD$999,10,FALSE),0)</f>
        <v>0</v>
      </c>
      <c r="L52" s="362">
        <f>IFERROR(VLOOKUP(C52,'تقرير المصروفات حسب الشهر'!$C$1016:$AD$1126,10,FALSE),0)</f>
        <v>0</v>
      </c>
      <c r="M52" s="376">
        <f>IFERROR(VLOOKUP(C52,'تقرير المصروفات حسب الشهر'!$C$1143:$AD$1254,10,FALSE),0)</f>
        <v>0</v>
      </c>
      <c r="N52" s="376">
        <f>IFERROR(VLOOKUP(C52,'تقرير المصروفات حسب الشهر'!$C$1270:$AD$1381,10,FALSE),0)</f>
        <v>0</v>
      </c>
      <c r="O52" s="376">
        <f>IFERROR(VLOOKUP(C52,'تقرير المصروفات حسب الشهر'!$C$1397:$AD$1512,10,FALSE),0)</f>
        <v>0</v>
      </c>
      <c r="P52" s="364">
        <f t="shared" si="5"/>
        <v>500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الشهر'!$C$10:$AD$119,10,FALSE),0)</f>
        <v>0</v>
      </c>
      <c r="E53" s="362">
        <f>IFERROR(VLOOKUP(C53,'تقرير المصروفات حسب الشهر'!$C$135:$AD$244,10,FALSE),0)</f>
        <v>0</v>
      </c>
      <c r="F53" s="362">
        <f>IFERROR(VLOOKUP(C53,'تقرير المصروفات حسب الشهر'!$C$261:$AD$368,10,FALSE),0)</f>
        <v>0</v>
      </c>
      <c r="G53" s="362">
        <f>IFERROR(VLOOKUP(C53,'تقرير المصروفات حسب الشهر'!$C$387:$AD$495,10,FALSE),0)</f>
        <v>0</v>
      </c>
      <c r="H53" s="362">
        <f>IFERROR(VLOOKUP(C53,'تقرير المصروفات حسب الشهر'!$C$512:$AD$620,10,FALSE),0)</f>
        <v>0</v>
      </c>
      <c r="I53" s="362">
        <f>IFERROR(VLOOKUP(C53,'تقرير المصروفات حسب الشهر'!$C$637:$AD$746,10,FALSE),0)</f>
        <v>0</v>
      </c>
      <c r="J53" s="362">
        <f>IFERROR(VLOOKUP(C53,'تقرير المصروفات حسب الشهر'!$C$763:$AD$872,10,FALSE),0)</f>
        <v>0</v>
      </c>
      <c r="K53" s="362">
        <f>IFERROR(VLOOKUP(C53,'تقرير المصروفات حسب الشهر'!$C$890:$AD$999,10,FALSE),0)</f>
        <v>0</v>
      </c>
      <c r="L53" s="362">
        <f>IFERROR(VLOOKUP(C53,'تقرير المصروفات حسب الشهر'!$C$1016:$AD$1126,10,FALSE),0)</f>
        <v>0</v>
      </c>
      <c r="M53" s="376">
        <f>IFERROR(VLOOKUP(C53,'تقرير المصروفات حسب الشهر'!$C$1143:$AD$1254,10,FALSE),0)</f>
        <v>0</v>
      </c>
      <c r="N53" s="376">
        <f>IFERROR(VLOOKUP(C53,'تقرير المصروفات حسب الشهر'!$C$1270:$AD$1381,10,FALSE),0)</f>
        <v>0</v>
      </c>
      <c r="O53" s="376">
        <f>IFERROR(VLOOKUP(C53,'تقرير المصروفات حسب الشهر'!$C$1397:$AD$1512,10,FALSE),0)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الشهر'!$C$10:$AD$119,10,FALSE),0)</f>
        <v>525</v>
      </c>
      <c r="E54" s="362">
        <f>IFERROR(VLOOKUP(C54,'تقرير المصروفات حسب الشهر'!$C$135:$AD$244,10,FALSE),0)</f>
        <v>0</v>
      </c>
      <c r="F54" s="362">
        <f>IFERROR(VLOOKUP(C54,'تقرير المصروفات حسب الشهر'!$C$261:$AD$368,10,FALSE),0)</f>
        <v>0</v>
      </c>
      <c r="G54" s="362">
        <f>IFERROR(VLOOKUP(C54,'تقرير المصروفات حسب الشهر'!$C$387:$AD$495,10,FALSE),0)</f>
        <v>175</v>
      </c>
      <c r="H54" s="362">
        <f>IFERROR(VLOOKUP(C54,'تقرير المصروفات حسب الشهر'!$C$512:$AD$620,10,FALSE),0)</f>
        <v>0</v>
      </c>
      <c r="I54" s="362">
        <f>IFERROR(VLOOKUP(C54,'تقرير المصروفات حسب الشهر'!$C$637:$AD$746,10,FALSE),0)</f>
        <v>0</v>
      </c>
      <c r="J54" s="362">
        <f>IFERROR(VLOOKUP(C54,'تقرير المصروفات حسب الشهر'!$C$763:$AD$872,10,FALSE),0)</f>
        <v>525</v>
      </c>
      <c r="K54" s="362">
        <f>IFERROR(VLOOKUP(C54,'تقرير المصروفات حسب الشهر'!$C$890:$AD$999,10,FALSE),0)</f>
        <v>0</v>
      </c>
      <c r="L54" s="362">
        <f>IFERROR(VLOOKUP(C54,'تقرير المصروفات حسب الشهر'!$C$1016:$AD$1126,10,FALSE),0)</f>
        <v>0</v>
      </c>
      <c r="M54" s="376">
        <f>IFERROR(VLOOKUP(C54,'تقرير المصروفات حسب الشهر'!$C$1143:$AD$1254,10,FALSE),0)</f>
        <v>0</v>
      </c>
      <c r="N54" s="376">
        <f>IFERROR(VLOOKUP(C54,'تقرير المصروفات حسب الشهر'!$C$1270:$AD$1381,10,FALSE),0)</f>
        <v>0</v>
      </c>
      <c r="O54" s="376">
        <f>IFERROR(VLOOKUP(C54,'تقرير المصروفات حسب الشهر'!$C$1397:$AD$1512,10,FALSE),0)</f>
        <v>0</v>
      </c>
      <c r="P54" s="364">
        <f t="shared" si="5"/>
        <v>1225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الشهر'!$C$10:$AD$119,10,FALSE),0)</f>
        <v>0</v>
      </c>
      <c r="E55" s="362">
        <f>IFERROR(VLOOKUP(C55,'تقرير المصروفات حسب الشهر'!$C$135:$AD$244,10,FALSE),0)</f>
        <v>0</v>
      </c>
      <c r="F55" s="362">
        <f>IFERROR(VLOOKUP(C55,'تقرير المصروفات حسب الشهر'!$C$261:$AD$368,10,FALSE),0)</f>
        <v>0</v>
      </c>
      <c r="G55" s="362">
        <f>IFERROR(VLOOKUP(C55,'تقرير المصروفات حسب الشهر'!$C$387:$AD$495,10,FALSE),0)</f>
        <v>0</v>
      </c>
      <c r="H55" s="362">
        <f>IFERROR(VLOOKUP(C55,'تقرير المصروفات حسب الشهر'!$C$512:$AD$620,10,FALSE),0)</f>
        <v>0</v>
      </c>
      <c r="I55" s="362">
        <f>IFERROR(VLOOKUP(C55,'تقرير المصروفات حسب الشهر'!$C$637:$AD$746,10,FALSE),0)</f>
        <v>0</v>
      </c>
      <c r="J55" s="362">
        <f>IFERROR(VLOOKUP(C55,'تقرير المصروفات حسب الشهر'!$C$763:$AD$872,10,FALSE),0)</f>
        <v>0</v>
      </c>
      <c r="K55" s="362">
        <f>IFERROR(VLOOKUP(C55,'تقرير المصروفات حسب الشهر'!$C$890:$AD$999,10,FALSE),0)</f>
        <v>0</v>
      </c>
      <c r="L55" s="362">
        <f>IFERROR(VLOOKUP(C55,'تقرير المصروفات حسب الشهر'!$C$1016:$AD$1126,10,FALSE),0)</f>
        <v>0</v>
      </c>
      <c r="M55" s="376">
        <f>IFERROR(VLOOKUP(C55,'تقرير المصروفات حسب الشهر'!$C$1143:$AD$1254,10,FALSE),0)</f>
        <v>0</v>
      </c>
      <c r="N55" s="376">
        <f>IFERROR(VLOOKUP(C55,'تقرير المصروفات حسب الشهر'!$C$1270:$AD$1381,10,FALSE),0)</f>
        <v>0</v>
      </c>
      <c r="O55" s="376">
        <f>IFERROR(VLOOKUP(C55,'تقرير المصروفات حسب الشهر'!$C$1397:$AD$1512,10,FALSE),0)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الشهر'!$C$10:$AD$119,10,FALSE),0)</f>
        <v>0</v>
      </c>
      <c r="E56" s="362">
        <f>IFERROR(VLOOKUP(C56,'تقرير المصروفات حسب الشهر'!$C$135:$AD$244,10,FALSE),0)</f>
        <v>0</v>
      </c>
      <c r="F56" s="362">
        <f>IFERROR(VLOOKUP(C56,'تقرير المصروفات حسب الشهر'!$C$261:$AD$368,10,FALSE),0)</f>
        <v>0</v>
      </c>
      <c r="G56" s="362">
        <f>IFERROR(VLOOKUP(C56,'تقرير المصروفات حسب الشهر'!$C$387:$AD$495,10,FALSE),0)</f>
        <v>0</v>
      </c>
      <c r="H56" s="362">
        <f>IFERROR(VLOOKUP(C56,'تقرير المصروفات حسب الشهر'!$C$512:$AD$620,10,FALSE),0)</f>
        <v>0</v>
      </c>
      <c r="I56" s="362">
        <f>IFERROR(VLOOKUP(C56,'تقرير المصروفات حسب الشهر'!$C$637:$AD$746,10,FALSE),0)</f>
        <v>0</v>
      </c>
      <c r="J56" s="362">
        <f>IFERROR(VLOOKUP(C56,'تقرير المصروفات حسب الشهر'!$C$763:$AD$872,10,FALSE),0)</f>
        <v>0</v>
      </c>
      <c r="K56" s="362">
        <f>IFERROR(VLOOKUP(C56,'تقرير المصروفات حسب الشهر'!$C$890:$AD$999,10,FALSE),0)</f>
        <v>0</v>
      </c>
      <c r="L56" s="362">
        <f>IFERROR(VLOOKUP(C56,'تقرير المصروفات حسب الشهر'!$C$1016:$AD$1126,10,FALSE),0)</f>
        <v>0</v>
      </c>
      <c r="M56" s="376">
        <f>IFERROR(VLOOKUP(C56,'تقرير المصروفات حسب الشهر'!$C$1143:$AD$1254,10,FALSE),0)</f>
        <v>0</v>
      </c>
      <c r="N56" s="376">
        <f>IFERROR(VLOOKUP(C56,'تقرير المصروفات حسب الشهر'!$C$1270:$AD$1381,10,FALSE),0)</f>
        <v>0</v>
      </c>
      <c r="O56" s="376">
        <f>IFERROR(VLOOKUP(C56,'تقرير المصروفات حسب الشهر'!$C$1397:$AD$1512,10,FALSE),0)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الشهر'!$C$10:$AD$119,10,FALSE),0)</f>
        <v>0</v>
      </c>
      <c r="E57" s="362">
        <f>IFERROR(VLOOKUP(C57,'تقرير المصروفات حسب الشهر'!$C$135:$AD$244,10,FALSE),0)</f>
        <v>0</v>
      </c>
      <c r="F57" s="362">
        <f>IFERROR(VLOOKUP(C57,'تقرير المصروفات حسب الشهر'!$C$261:$AD$368,10,FALSE),0)</f>
        <v>0</v>
      </c>
      <c r="G57" s="362">
        <f>IFERROR(VLOOKUP(C57,'تقرير المصروفات حسب الشهر'!$C$387:$AD$495,10,FALSE),0)</f>
        <v>0</v>
      </c>
      <c r="H57" s="362">
        <f>IFERROR(VLOOKUP(C57,'تقرير المصروفات حسب الشهر'!$C$512:$AD$620,10,FALSE),0)</f>
        <v>0</v>
      </c>
      <c r="I57" s="362">
        <f>IFERROR(VLOOKUP(C57,'تقرير المصروفات حسب الشهر'!$C$637:$AD$746,10,FALSE),0)</f>
        <v>0</v>
      </c>
      <c r="J57" s="362">
        <f>IFERROR(VLOOKUP(C57,'تقرير المصروفات حسب الشهر'!$C$763:$AD$872,10,FALSE),0)</f>
        <v>0</v>
      </c>
      <c r="K57" s="362">
        <f>IFERROR(VLOOKUP(C57,'تقرير المصروفات حسب الشهر'!$C$890:$AD$999,10,FALSE),0)</f>
        <v>0</v>
      </c>
      <c r="L57" s="362">
        <f>IFERROR(VLOOKUP(C57,'تقرير المصروفات حسب الشهر'!$C$1016:$AD$1126,10,FALSE),0)</f>
        <v>0</v>
      </c>
      <c r="M57" s="376">
        <f>IFERROR(VLOOKUP(C57,'تقرير المصروفات حسب الشهر'!$C$1143:$AD$1254,10,FALSE),0)</f>
        <v>0</v>
      </c>
      <c r="N57" s="376">
        <f>IFERROR(VLOOKUP(C57,'تقرير المصروفات حسب الشهر'!$C$1270:$AD$1381,10,FALSE),0)</f>
        <v>0</v>
      </c>
      <c r="O57" s="376">
        <f>IFERROR(VLOOKUP(C57,'تقرير المصروفات حسب الشهر'!$C$1397:$AD$1512,10,FALSE),0)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الشهر'!$C$10:$AD$119,10,FALSE),0)</f>
        <v>0</v>
      </c>
      <c r="E58" s="362">
        <f>IFERROR(VLOOKUP(C58,'تقرير المصروفات حسب الشهر'!$C$135:$AD$244,10,FALSE),0)</f>
        <v>0</v>
      </c>
      <c r="F58" s="362">
        <f>IFERROR(VLOOKUP(C58,'تقرير المصروفات حسب الشهر'!$C$261:$AD$368,10,FALSE),0)</f>
        <v>0</v>
      </c>
      <c r="G58" s="362">
        <f>IFERROR(VLOOKUP(C58,'تقرير المصروفات حسب الشهر'!$C$387:$AD$495,10,FALSE),0)</f>
        <v>0</v>
      </c>
      <c r="H58" s="362">
        <f>IFERROR(VLOOKUP(C58,'تقرير المصروفات حسب الشهر'!$C$512:$AD$620,10,FALSE),0)</f>
        <v>0</v>
      </c>
      <c r="I58" s="362">
        <f>IFERROR(VLOOKUP(C58,'تقرير المصروفات حسب الشهر'!$C$637:$AD$746,10,FALSE),0)</f>
        <v>0</v>
      </c>
      <c r="J58" s="362">
        <f>IFERROR(VLOOKUP(C58,'تقرير المصروفات حسب الشهر'!$C$763:$AD$872,10,FALSE),0)</f>
        <v>0</v>
      </c>
      <c r="K58" s="362">
        <f>IFERROR(VLOOKUP(C58,'تقرير المصروفات حسب الشهر'!$C$890:$AD$999,10,FALSE),0)</f>
        <v>0</v>
      </c>
      <c r="L58" s="362">
        <f>IFERROR(VLOOKUP(C58,'تقرير المصروفات حسب الشهر'!$C$1016:$AD$1126,10,FALSE),0)</f>
        <v>0</v>
      </c>
      <c r="M58" s="376">
        <f>IFERROR(VLOOKUP(C58,'تقرير المصروفات حسب الشهر'!$C$1143:$AD$1254,10,FALSE),0)</f>
        <v>0</v>
      </c>
      <c r="N58" s="376">
        <f>IFERROR(VLOOKUP(C58,'تقرير المصروفات حسب الشهر'!$C$1270:$AD$1381,10,FALSE),0)</f>
        <v>0</v>
      </c>
      <c r="O58" s="376">
        <f>IFERROR(VLOOKUP(C58,'تقرير المصروفات حسب الشهر'!$C$1397:$AD$1512,10,FALSE),0)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الشهر'!$C$10:$AD$119,10,FALSE),0)</f>
        <v>0</v>
      </c>
      <c r="E59" s="362">
        <f>IFERROR(VLOOKUP(C59,'تقرير المصروفات حسب الشهر'!$C$135:$AD$244,10,FALSE),0)</f>
        <v>0</v>
      </c>
      <c r="F59" s="362">
        <f>IFERROR(VLOOKUP(C59,'تقرير المصروفات حسب الشهر'!$C$261:$AD$368,10,FALSE),0)</f>
        <v>0</v>
      </c>
      <c r="G59" s="362">
        <f>IFERROR(VLOOKUP(C59,'تقرير المصروفات حسب الشهر'!$C$387:$AD$495,10,FALSE),0)</f>
        <v>0</v>
      </c>
      <c r="H59" s="362">
        <f>IFERROR(VLOOKUP(C59,'تقرير المصروفات حسب الشهر'!$C$512:$AD$620,10,FALSE),0)</f>
        <v>0</v>
      </c>
      <c r="I59" s="362">
        <f>IFERROR(VLOOKUP(C59,'تقرير المصروفات حسب الشهر'!$C$637:$AD$746,10,FALSE),0)</f>
        <v>0</v>
      </c>
      <c r="J59" s="362">
        <f>IFERROR(VLOOKUP(C59,'تقرير المصروفات حسب الشهر'!$C$763:$AD$872,10,FALSE),0)</f>
        <v>0</v>
      </c>
      <c r="K59" s="362">
        <f>IFERROR(VLOOKUP(C59,'تقرير المصروفات حسب الشهر'!$C$890:$AD$999,10,FALSE),0)</f>
        <v>0</v>
      </c>
      <c r="L59" s="362">
        <f>IFERROR(VLOOKUP(C59,'تقرير المصروفات حسب الشهر'!$C$1016:$AD$1126,10,FALSE),0)</f>
        <v>0</v>
      </c>
      <c r="M59" s="376">
        <f>IFERROR(VLOOKUP(C59,'تقرير المصروفات حسب الشهر'!$C$1143:$AD$1254,10,FALSE),0)</f>
        <v>0</v>
      </c>
      <c r="N59" s="376">
        <f>IFERROR(VLOOKUP(C59,'تقرير المصروفات حسب الشهر'!$C$1270:$AD$1381,10,FALSE),0)</f>
        <v>0</v>
      </c>
      <c r="O59" s="376">
        <f>IFERROR(VLOOKUP(C59,'تقرير المصروفات حسب الشهر'!$C$1397:$AD$1512,10,FALSE),0)</f>
        <v>0</v>
      </c>
      <c r="P59" s="364">
        <f t="shared" si="5"/>
        <v>0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الشهر'!$C$10:$AD$119,10,FALSE),0)</f>
        <v>3120</v>
      </c>
      <c r="E60" s="362">
        <f>IFERROR(VLOOKUP(C60,'تقرير المصروفات حسب الشهر'!$C$135:$AD$244,10,FALSE),0)</f>
        <v>0</v>
      </c>
      <c r="F60" s="362">
        <f>IFERROR(VLOOKUP(C60,'تقرير المصروفات حسب الشهر'!$C$261:$AD$368,10,FALSE),0)</f>
        <v>3000</v>
      </c>
      <c r="G60" s="362">
        <f>IFERROR(VLOOKUP(C60,'تقرير المصروفات حسب الشهر'!$C$387:$AD$495,10,FALSE),0)</f>
        <v>0</v>
      </c>
      <c r="H60" s="362">
        <f>IFERROR(VLOOKUP(C60,'تقرير المصروفات حسب الشهر'!$C$512:$AD$620,10,FALSE),0)</f>
        <v>0</v>
      </c>
      <c r="I60" s="362">
        <f>IFERROR(VLOOKUP(C60,'تقرير المصروفات حسب الشهر'!$C$637:$AD$746,10,FALSE),0)</f>
        <v>1550</v>
      </c>
      <c r="J60" s="362">
        <f>IFERROR(VLOOKUP(C60,'تقرير المصروفات حسب الشهر'!$C$763:$AD$872,10,FALSE),0)</f>
        <v>0</v>
      </c>
      <c r="K60" s="362">
        <f>IFERROR(VLOOKUP(C60,'تقرير المصروفات حسب الشهر'!$C$890:$AD$999,10,FALSE),0)</f>
        <v>1650</v>
      </c>
      <c r="L60" s="362">
        <f>IFERROR(VLOOKUP(C60,'تقرير المصروفات حسب الشهر'!$C$1016:$AD$1126,10,FALSE),0)</f>
        <v>0</v>
      </c>
      <c r="M60" s="376">
        <f>IFERROR(VLOOKUP(C60,'تقرير المصروفات حسب الشهر'!$C$1143:$AD$1254,10,FALSE),0)</f>
        <v>3696</v>
      </c>
      <c r="N60" s="376">
        <f>IFERROR(VLOOKUP(C60,'تقرير المصروفات حسب الشهر'!$C$1270:$AD$1381,10,FALSE),0)</f>
        <v>0</v>
      </c>
      <c r="O60" s="376">
        <f>IFERROR(VLOOKUP(C60,'تقرير المصروفات حسب الشهر'!$C$1397:$AD$1512,10,FALSE),0)</f>
        <v>4290</v>
      </c>
      <c r="P60" s="364">
        <f t="shared" si="5"/>
        <v>17306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الشهر'!$C$10:$AD$119,10,FALSE),0)</f>
        <v>0</v>
      </c>
      <c r="E61" s="362">
        <f>IFERROR(VLOOKUP(C61,'تقرير المصروفات حسب الشهر'!$C$135:$AD$244,10,FALSE),0)</f>
        <v>0</v>
      </c>
      <c r="F61" s="362">
        <f>IFERROR(VLOOKUP(C61,'تقرير المصروفات حسب الشهر'!$C$261:$AD$368,10,FALSE),0)</f>
        <v>0</v>
      </c>
      <c r="G61" s="362">
        <f>IFERROR(VLOOKUP(C61,'تقرير المصروفات حسب الشهر'!$C$387:$AD$495,10,FALSE),0)</f>
        <v>0</v>
      </c>
      <c r="H61" s="362">
        <f>IFERROR(VLOOKUP(C61,'تقرير المصروفات حسب الشهر'!$C$512:$AD$620,10,FALSE),0)</f>
        <v>0</v>
      </c>
      <c r="I61" s="362">
        <f>IFERROR(VLOOKUP(C61,'تقرير المصروفات حسب الشهر'!$C$637:$AD$746,10,FALSE),0)</f>
        <v>0</v>
      </c>
      <c r="J61" s="362">
        <f>IFERROR(VLOOKUP(C61,'تقرير المصروفات حسب الشهر'!$C$763:$AD$872,10,FALSE),0)</f>
        <v>0</v>
      </c>
      <c r="K61" s="362">
        <f>IFERROR(VLOOKUP(C61,'تقرير المصروفات حسب الشهر'!$C$890:$AD$999,10,FALSE),0)</f>
        <v>0</v>
      </c>
      <c r="L61" s="362">
        <f>IFERROR(VLOOKUP(C61,'تقرير المصروفات حسب الشهر'!$C$1016:$AD$1126,10,FALSE),0)</f>
        <v>350</v>
      </c>
      <c r="M61" s="376">
        <f>IFERROR(VLOOKUP(C61,'تقرير المصروفات حسب الشهر'!$C$1143:$AD$1254,10,FALSE),0)</f>
        <v>0</v>
      </c>
      <c r="N61" s="376">
        <f>IFERROR(VLOOKUP(C61,'تقرير المصروفات حسب الشهر'!$C$1270:$AD$1381,10,FALSE),0)</f>
        <v>0</v>
      </c>
      <c r="O61" s="376">
        <f>IFERROR(VLOOKUP(C61,'تقرير المصروفات حسب الشهر'!$C$1397:$AD$1512,10,FALSE),0)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الشهر'!$C$10:$AD$119,10,FALSE),0)</f>
        <v>0</v>
      </c>
      <c r="E62" s="362">
        <f>IFERROR(VLOOKUP(C62,'تقرير المصروفات حسب الشهر'!$C$135:$AD$244,10,FALSE),0)</f>
        <v>0</v>
      </c>
      <c r="F62" s="362">
        <f>IFERROR(VLOOKUP(C62,'تقرير المصروفات حسب الشهر'!$C$261:$AD$368,10,FALSE),0)</f>
        <v>0</v>
      </c>
      <c r="G62" s="362">
        <f>IFERROR(VLOOKUP(C62,'تقرير المصروفات حسب الشهر'!$C$387:$AD$495,10,FALSE),0)</f>
        <v>0</v>
      </c>
      <c r="H62" s="362">
        <f>IFERROR(VLOOKUP(C62,'تقرير المصروفات حسب الشهر'!$C$512:$AD$620,10,FALSE),0)</f>
        <v>0</v>
      </c>
      <c r="I62" s="362">
        <f>IFERROR(VLOOKUP(C62,'تقرير المصروفات حسب الشهر'!$C$637:$AD$746,10,FALSE),0)</f>
        <v>0</v>
      </c>
      <c r="J62" s="362">
        <f>IFERROR(VLOOKUP(C62,'تقرير المصروفات حسب الشهر'!$C$763:$AD$872,10,FALSE),0)</f>
        <v>0</v>
      </c>
      <c r="K62" s="362">
        <f>IFERROR(VLOOKUP(C62,'تقرير المصروفات حسب الشهر'!$C$890:$AD$999,10,FALSE),0)</f>
        <v>0</v>
      </c>
      <c r="L62" s="362">
        <f>IFERROR(VLOOKUP(C62,'تقرير المصروفات حسب الشهر'!$C$1016:$AD$1126,10,FALSE),0)</f>
        <v>0</v>
      </c>
      <c r="M62" s="376">
        <f>IFERROR(VLOOKUP(C62,'تقرير المصروفات حسب الشهر'!$C$1143:$AD$1254,10,FALSE),0)</f>
        <v>0</v>
      </c>
      <c r="N62" s="376">
        <f>IFERROR(VLOOKUP(C62,'تقرير المصروفات حسب الشهر'!$C$1270:$AD$1381,10,FALSE),0)</f>
        <v>0</v>
      </c>
      <c r="O62" s="376">
        <f>IFERROR(VLOOKUP(C62,'تقرير المصروفات حسب الشهر'!$C$1397:$AD$1512,10,FALSE),0)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الشهر'!$C$10:$AD$119,10,FALSE),0)</f>
        <v>0</v>
      </c>
      <c r="E63" s="362">
        <f>IFERROR(VLOOKUP(C63,'تقرير المصروفات حسب الشهر'!$C$135:$AD$244,10,FALSE),0)</f>
        <v>0</v>
      </c>
      <c r="F63" s="362">
        <f>IFERROR(VLOOKUP(C63,'تقرير المصروفات حسب الشهر'!$C$261:$AD$368,10,FALSE),0)</f>
        <v>0</v>
      </c>
      <c r="G63" s="362">
        <f>IFERROR(VLOOKUP(C63,'تقرير المصروفات حسب الشهر'!$C$387:$AD$495,10,FALSE),0)</f>
        <v>0</v>
      </c>
      <c r="H63" s="362">
        <f>IFERROR(VLOOKUP(C63,'تقرير المصروفات حسب الشهر'!$C$512:$AD$620,10,FALSE),0)</f>
        <v>0</v>
      </c>
      <c r="I63" s="362">
        <f>IFERROR(VLOOKUP(C63,'تقرير المصروفات حسب الشهر'!$C$637:$AD$746,10,FALSE),0)</f>
        <v>0</v>
      </c>
      <c r="J63" s="362">
        <f>IFERROR(VLOOKUP(C63,'تقرير المصروفات حسب الشهر'!$C$763:$AD$872,10,FALSE),0)</f>
        <v>0</v>
      </c>
      <c r="K63" s="362">
        <f>IFERROR(VLOOKUP(C63,'تقرير المصروفات حسب الشهر'!$C$890:$AD$999,10,FALSE),0)</f>
        <v>0</v>
      </c>
      <c r="L63" s="362">
        <f>IFERROR(VLOOKUP(C63,'تقرير المصروفات حسب الشهر'!$C$1016:$AD$1126,10,FALSE),0)</f>
        <v>0</v>
      </c>
      <c r="M63" s="376">
        <f>IFERROR(VLOOKUP(C63,'تقرير المصروفات حسب الشهر'!$C$1143:$AD$1254,10,FALSE),0)</f>
        <v>0</v>
      </c>
      <c r="N63" s="376">
        <f>IFERROR(VLOOKUP(C63,'تقرير المصروفات حسب الشهر'!$C$1270:$AD$1381,10,FALSE),0)</f>
        <v>0</v>
      </c>
      <c r="O63" s="376">
        <f>IFERROR(VLOOKUP(C63,'تقرير المصروفات حسب الشهر'!$C$1397:$AD$1512,10,FALSE),0)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الشهر'!$C$10:$AD$119,10,FALSE),0)</f>
        <v>0</v>
      </c>
      <c r="E64" s="362">
        <f>IFERROR(VLOOKUP(C64,'تقرير المصروفات حسب الشهر'!$C$135:$AD$244,10,FALSE),0)</f>
        <v>0</v>
      </c>
      <c r="F64" s="362">
        <f>IFERROR(VLOOKUP(C64,'تقرير المصروفات حسب الشهر'!$C$261:$AD$368,10,FALSE),0)</f>
        <v>0</v>
      </c>
      <c r="G64" s="362">
        <f>IFERROR(VLOOKUP(C64,'تقرير المصروفات حسب الشهر'!$C$387:$AD$495,10,FALSE),0)</f>
        <v>0</v>
      </c>
      <c r="H64" s="362">
        <f>IFERROR(VLOOKUP(C64,'تقرير المصروفات حسب الشهر'!$C$512:$AD$620,10,FALSE),0)</f>
        <v>0</v>
      </c>
      <c r="I64" s="362">
        <f>IFERROR(VLOOKUP(C64,'تقرير المصروفات حسب الشهر'!$C$637:$AD$746,10,FALSE),0)</f>
        <v>0</v>
      </c>
      <c r="J64" s="362">
        <f>IFERROR(VLOOKUP(C64,'تقرير المصروفات حسب الشهر'!$C$763:$AD$872,10,FALSE),0)</f>
        <v>0</v>
      </c>
      <c r="K64" s="362">
        <f>IFERROR(VLOOKUP(C64,'تقرير المصروفات حسب الشهر'!$C$890:$AD$999,10,FALSE),0)</f>
        <v>0</v>
      </c>
      <c r="L64" s="362">
        <f>IFERROR(VLOOKUP(C64,'تقرير المصروفات حسب الشهر'!$C$1016:$AD$1126,10,FALSE),0)</f>
        <v>0</v>
      </c>
      <c r="M64" s="376">
        <f>IFERROR(VLOOKUP(C64,'تقرير المصروفات حسب الشهر'!$C$1143:$AD$1254,10,FALSE),0)</f>
        <v>0</v>
      </c>
      <c r="N64" s="376">
        <f>IFERROR(VLOOKUP(C64,'تقرير المصروفات حسب الشهر'!$C$1270:$AD$1381,10,FALSE),0)</f>
        <v>0</v>
      </c>
      <c r="O64" s="376">
        <f>IFERROR(VLOOKUP(C64,'تقرير المصروفات حسب الشهر'!$C$1397:$AD$1512,10,FALSE),0)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الشهر'!$C$10:$AD$119,10,FALSE),0)</f>
        <v>0</v>
      </c>
      <c r="E65" s="362">
        <f>IFERROR(VLOOKUP(C65,'تقرير المصروفات حسب الشهر'!$C$135:$AD$244,10,FALSE),0)</f>
        <v>0</v>
      </c>
      <c r="F65" s="362">
        <f>IFERROR(VLOOKUP(C65,'تقرير المصروفات حسب الشهر'!$C$261:$AD$368,10,FALSE),0)</f>
        <v>0</v>
      </c>
      <c r="G65" s="362">
        <f>IFERROR(VLOOKUP(C65,'تقرير المصروفات حسب الشهر'!$C$387:$AD$495,10,FALSE),0)</f>
        <v>0</v>
      </c>
      <c r="H65" s="362">
        <f>IFERROR(VLOOKUP(C65,'تقرير المصروفات حسب الشهر'!$C$512:$AD$620,10,FALSE),0)</f>
        <v>0</v>
      </c>
      <c r="I65" s="362">
        <f>IFERROR(VLOOKUP(C65,'تقرير المصروفات حسب الشهر'!$C$637:$AD$746,10,FALSE),0)</f>
        <v>0</v>
      </c>
      <c r="J65" s="362">
        <f>IFERROR(VLOOKUP(C65,'تقرير المصروفات حسب الشهر'!$C$763:$AD$872,10,FALSE),0)</f>
        <v>0</v>
      </c>
      <c r="K65" s="362">
        <f>IFERROR(VLOOKUP(C65,'تقرير المصروفات حسب الشهر'!$C$890:$AD$999,10,FALSE),0)</f>
        <v>0</v>
      </c>
      <c r="L65" s="362">
        <f>IFERROR(VLOOKUP(C65,'تقرير المصروفات حسب الشهر'!$C$1016:$AD$1126,10,FALSE),0)</f>
        <v>0</v>
      </c>
      <c r="M65" s="376">
        <f>IFERROR(VLOOKUP(C65,'تقرير المصروفات حسب الشهر'!$C$1143:$AD$1254,10,FALSE),0)</f>
        <v>0</v>
      </c>
      <c r="N65" s="376">
        <f>IFERROR(VLOOKUP(C65,'تقرير المصروفات حسب الشهر'!$C$1270:$AD$1381,10,FALSE),0)</f>
        <v>0</v>
      </c>
      <c r="O65" s="376">
        <f>IFERROR(VLOOKUP(C65,'تقرير المصروفات حسب الشهر'!$C$1397:$AD$1512,10,FALSE),0)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الشهر'!$C$10:$AD$119,10,FALSE),0)</f>
        <v>0</v>
      </c>
      <c r="E66" s="362">
        <f>IFERROR(VLOOKUP(C66,'تقرير المصروفات حسب الشهر'!$C$135:$AD$244,10,FALSE),0)</f>
        <v>0</v>
      </c>
      <c r="F66" s="362">
        <f>IFERROR(VLOOKUP(C66,'تقرير المصروفات حسب الشهر'!$C$261:$AD$368,10,FALSE),0)</f>
        <v>0</v>
      </c>
      <c r="G66" s="362">
        <f>IFERROR(VLOOKUP(C66,'تقرير المصروفات حسب الشهر'!$C$387:$AD$495,10,FALSE),0)</f>
        <v>0</v>
      </c>
      <c r="H66" s="362">
        <f>IFERROR(VLOOKUP(C66,'تقرير المصروفات حسب الشهر'!$C$512:$AD$620,10,FALSE),0)</f>
        <v>0</v>
      </c>
      <c r="I66" s="362">
        <f>IFERROR(VLOOKUP(C66,'تقرير المصروفات حسب الشهر'!$C$637:$AD$746,10,FALSE),0)</f>
        <v>0</v>
      </c>
      <c r="J66" s="362">
        <f>IFERROR(VLOOKUP(C66,'تقرير المصروفات حسب الشهر'!$C$763:$AD$872,10,FALSE),0)</f>
        <v>0</v>
      </c>
      <c r="K66" s="362">
        <f>IFERROR(VLOOKUP(C66,'تقرير المصروفات حسب الشهر'!$C$890:$AD$999,10,FALSE),0)</f>
        <v>0</v>
      </c>
      <c r="L66" s="362">
        <f>IFERROR(VLOOKUP(C66,'تقرير المصروفات حسب الشهر'!$C$1016:$AD$1126,10,FALSE),0)</f>
        <v>0</v>
      </c>
      <c r="M66" s="376">
        <f>IFERROR(VLOOKUP(C66,'تقرير المصروفات حسب الشهر'!$C$1143:$AD$1254,10,FALSE),0)</f>
        <v>0</v>
      </c>
      <c r="N66" s="376">
        <f>IFERROR(VLOOKUP(C66,'تقرير المصروفات حسب الشهر'!$C$1270:$AD$1381,10,FALSE),0)</f>
        <v>0</v>
      </c>
      <c r="O66" s="376">
        <f>IFERROR(VLOOKUP(C66,'تقرير المصروفات حسب الشهر'!$C$1397:$AD$1512,10,FALSE),0)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الشهر'!$C$10:$AD$119,10,FALSE),0)</f>
        <v>0</v>
      </c>
      <c r="E67" s="362">
        <f>IFERROR(VLOOKUP(C67,'تقرير المصروفات حسب الشهر'!$C$135:$AD$244,10,FALSE),0)</f>
        <v>0</v>
      </c>
      <c r="F67" s="362">
        <f>IFERROR(VLOOKUP(C67,'تقرير المصروفات حسب الشهر'!$C$261:$AD$368,10,FALSE),0)</f>
        <v>0</v>
      </c>
      <c r="G67" s="362">
        <f>IFERROR(VLOOKUP(C67,'تقرير المصروفات حسب الشهر'!$C$387:$AD$495,10,FALSE),0)</f>
        <v>0</v>
      </c>
      <c r="H67" s="362">
        <f>IFERROR(VLOOKUP(C67,'تقرير المصروفات حسب الشهر'!$C$512:$AD$620,10,FALSE),0)</f>
        <v>0</v>
      </c>
      <c r="I67" s="362">
        <f>IFERROR(VLOOKUP(C67,'تقرير المصروفات حسب الشهر'!$C$637:$AD$746,10,FALSE),0)</f>
        <v>0</v>
      </c>
      <c r="J67" s="362">
        <f>IFERROR(VLOOKUP(C67,'تقرير المصروفات حسب الشهر'!$C$763:$AD$872,10,FALSE),0)</f>
        <v>0</v>
      </c>
      <c r="K67" s="362">
        <f>IFERROR(VLOOKUP(C67,'تقرير المصروفات حسب الشهر'!$C$890:$AD$999,10,FALSE),0)</f>
        <v>0</v>
      </c>
      <c r="L67" s="362">
        <f>IFERROR(VLOOKUP(C67,'تقرير المصروفات حسب الشهر'!$C$1016:$AD$1126,10,FALSE),0)</f>
        <v>0</v>
      </c>
      <c r="M67" s="376">
        <f>IFERROR(VLOOKUP(C67,'تقرير المصروفات حسب الشهر'!$C$1143:$AD$1254,10,FALSE),0)</f>
        <v>0</v>
      </c>
      <c r="N67" s="376">
        <f>IFERROR(VLOOKUP(C67,'تقرير المصروفات حسب الشهر'!$C$1270:$AD$1381,10,FALSE),0)</f>
        <v>0</v>
      </c>
      <c r="O67" s="376">
        <f>IFERROR(VLOOKUP(C67,'تقرير المصروفات حسب الشهر'!$C$1397:$AD$1512,10,FALSE),0)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الشهر'!$C$10:$AD$119,10,FALSE),0)</f>
        <v>0</v>
      </c>
      <c r="E68" s="362">
        <f>IFERROR(VLOOKUP(C68,'تقرير المصروفات حسب الشهر'!$C$135:$AD$244,10,FALSE),0)</f>
        <v>0</v>
      </c>
      <c r="F68" s="362">
        <f>IFERROR(VLOOKUP(C68,'تقرير المصروفات حسب الشهر'!$C$261:$AD$368,10,FALSE),0)</f>
        <v>0</v>
      </c>
      <c r="G68" s="362">
        <f>IFERROR(VLOOKUP(C68,'تقرير المصروفات حسب الشهر'!$C$387:$AD$495,10,FALSE),0)</f>
        <v>0</v>
      </c>
      <c r="H68" s="362">
        <f>IFERROR(VLOOKUP(C68,'تقرير المصروفات حسب الشهر'!$C$512:$AD$620,10,FALSE),0)</f>
        <v>0</v>
      </c>
      <c r="I68" s="362">
        <f>IFERROR(VLOOKUP(C68,'تقرير المصروفات حسب الشهر'!$C$637:$AD$746,10,FALSE),0)</f>
        <v>0</v>
      </c>
      <c r="J68" s="362">
        <f>IFERROR(VLOOKUP(C68,'تقرير المصروفات حسب الشهر'!$C$763:$AD$872,10,FALSE),0)</f>
        <v>0</v>
      </c>
      <c r="K68" s="362">
        <f>IFERROR(VLOOKUP(C68,'تقرير المصروفات حسب الشهر'!$C$890:$AD$999,10,FALSE),0)</f>
        <v>0</v>
      </c>
      <c r="L68" s="362">
        <f>IFERROR(VLOOKUP(C68,'تقرير المصروفات حسب الشهر'!$C$1016:$AD$1126,10,FALSE),0)</f>
        <v>0</v>
      </c>
      <c r="M68" s="376">
        <f>IFERROR(VLOOKUP(C68,'تقرير المصروفات حسب الشهر'!$C$1143:$AD$1254,10,FALSE),0)</f>
        <v>0</v>
      </c>
      <c r="N68" s="376">
        <f>IFERROR(VLOOKUP(C68,'تقرير المصروفات حسب الشهر'!$C$1270:$AD$1381,10,FALSE),0)</f>
        <v>0</v>
      </c>
      <c r="O68" s="376">
        <f>IFERROR(VLOOKUP(C68,'تقرير المصروفات حسب الشهر'!$C$1397:$AD$1512,10,FALSE),0)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الشهر'!$C$10:$AD$119,10,FALSE),0)</f>
        <v>0</v>
      </c>
      <c r="E69" s="362">
        <f>IFERROR(VLOOKUP(C69,'تقرير المصروفات حسب الشهر'!$C$135:$AD$244,10,FALSE),0)</f>
        <v>0</v>
      </c>
      <c r="F69" s="362">
        <f>IFERROR(VLOOKUP(C69,'تقرير المصروفات حسب الشهر'!$C$261:$AD$368,10,FALSE),0)</f>
        <v>0</v>
      </c>
      <c r="G69" s="362">
        <f>IFERROR(VLOOKUP(C69,'تقرير المصروفات حسب الشهر'!$C$387:$AD$495,10,FALSE),0)</f>
        <v>0</v>
      </c>
      <c r="H69" s="362">
        <f>IFERROR(VLOOKUP(C69,'تقرير المصروفات حسب الشهر'!$C$512:$AD$620,10,FALSE),0)</f>
        <v>0</v>
      </c>
      <c r="I69" s="362">
        <f>IFERROR(VLOOKUP(C69,'تقرير المصروفات حسب الشهر'!$C$637:$AD$746,10,FALSE),0)</f>
        <v>0</v>
      </c>
      <c r="J69" s="362">
        <f>IFERROR(VLOOKUP(C69,'تقرير المصروفات حسب الشهر'!$C$763:$AD$872,10,FALSE),0)</f>
        <v>0</v>
      </c>
      <c r="K69" s="362">
        <f>IFERROR(VLOOKUP(C69,'تقرير المصروفات حسب الشهر'!$C$890:$AD$999,10,FALSE),0)</f>
        <v>0</v>
      </c>
      <c r="L69" s="362">
        <f>IFERROR(VLOOKUP(C69,'تقرير المصروفات حسب الشهر'!$C$1016:$AD$1126,10,FALSE),0)</f>
        <v>0</v>
      </c>
      <c r="M69" s="376">
        <f>IFERROR(VLOOKUP(C69,'تقرير المصروفات حسب الشهر'!$C$1143:$AD$1254,10,FALSE),0)</f>
        <v>0</v>
      </c>
      <c r="N69" s="376">
        <f>IFERROR(VLOOKUP(C69,'تقرير المصروفات حسب الشهر'!$C$1270:$AD$1381,10,FALSE),0)</f>
        <v>0</v>
      </c>
      <c r="O69" s="376">
        <f>IFERROR(VLOOKUP(C69,'تقرير المصروفات حسب الشهر'!$C$1397:$AD$1512,10,FALSE),0)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الشهر'!$C$10:$AD$119,10,FALSE),0)</f>
        <v>0</v>
      </c>
      <c r="E70" s="362">
        <f>IFERROR(VLOOKUP(C70,'تقرير المصروفات حسب الشهر'!$C$135:$AD$244,10,FALSE),0)</f>
        <v>0</v>
      </c>
      <c r="F70" s="362">
        <f>IFERROR(VLOOKUP(C70,'تقرير المصروفات حسب الشهر'!$C$261:$AD$368,10,FALSE),0)</f>
        <v>0</v>
      </c>
      <c r="G70" s="362">
        <f>IFERROR(VLOOKUP(C70,'تقرير المصروفات حسب الشهر'!$C$387:$AD$495,10,FALSE),0)</f>
        <v>0</v>
      </c>
      <c r="H70" s="362">
        <f>IFERROR(VLOOKUP(C70,'تقرير المصروفات حسب الشهر'!$C$512:$AD$620,10,FALSE),0)</f>
        <v>0</v>
      </c>
      <c r="I70" s="362">
        <f>IFERROR(VLOOKUP(C70,'تقرير المصروفات حسب الشهر'!$C$637:$AD$746,10,FALSE),0)</f>
        <v>0</v>
      </c>
      <c r="J70" s="362">
        <f>IFERROR(VLOOKUP(C70,'تقرير المصروفات حسب الشهر'!$C$763:$AD$872,10,FALSE),0)</f>
        <v>0</v>
      </c>
      <c r="K70" s="362">
        <f>IFERROR(VLOOKUP(C70,'تقرير المصروفات حسب الشهر'!$C$890:$AD$999,10,FALSE),0)</f>
        <v>0</v>
      </c>
      <c r="L70" s="362">
        <f>IFERROR(VLOOKUP(C70,'تقرير المصروفات حسب الشهر'!$C$1016:$AD$1126,10,FALSE),0)</f>
        <v>0</v>
      </c>
      <c r="M70" s="376">
        <f>IFERROR(VLOOKUP(C70,'تقرير المصروفات حسب الشهر'!$C$1143:$AD$1254,10,FALSE),0)</f>
        <v>0</v>
      </c>
      <c r="N70" s="376">
        <f>IFERROR(VLOOKUP(C70,'تقرير المصروفات حسب الشهر'!$C$1270:$AD$1381,10,FALSE),0)</f>
        <v>0</v>
      </c>
      <c r="O70" s="376">
        <f>IFERROR(VLOOKUP(C70,'تقرير المصروفات حسب الشهر'!$C$1397:$AD$1512,10,FALSE),0)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الشهر'!$C$10:$AD$119,10,FALSE),0)</f>
        <v>0</v>
      </c>
      <c r="E71" s="362">
        <f>IFERROR(VLOOKUP(C71,'تقرير المصروفات حسب الشهر'!$C$135:$AD$244,10,FALSE),0)</f>
        <v>0</v>
      </c>
      <c r="F71" s="362">
        <f>IFERROR(VLOOKUP(C71,'تقرير المصروفات حسب الشهر'!$C$261:$AD$368,10,FALSE),0)</f>
        <v>0</v>
      </c>
      <c r="G71" s="362">
        <f>IFERROR(VLOOKUP(C71,'تقرير المصروفات حسب الشهر'!$C$387:$AD$495,10,FALSE),0)</f>
        <v>0</v>
      </c>
      <c r="H71" s="362">
        <f>IFERROR(VLOOKUP(C71,'تقرير المصروفات حسب الشهر'!$C$512:$AD$620,10,FALSE),0)</f>
        <v>0</v>
      </c>
      <c r="I71" s="362">
        <f>IFERROR(VLOOKUP(C71,'تقرير المصروفات حسب الشهر'!$C$637:$AD$746,10,FALSE),0)</f>
        <v>0</v>
      </c>
      <c r="J71" s="362">
        <f>IFERROR(VLOOKUP(C71,'تقرير المصروفات حسب الشهر'!$C$763:$AD$872,10,FALSE),0)</f>
        <v>0</v>
      </c>
      <c r="K71" s="362">
        <f>IFERROR(VLOOKUP(C71,'تقرير المصروفات حسب الشهر'!$C$890:$AD$999,10,FALSE),0)</f>
        <v>0</v>
      </c>
      <c r="L71" s="362">
        <f>IFERROR(VLOOKUP(C71,'تقرير المصروفات حسب الشهر'!$C$1016:$AD$1126,10,FALSE),0)</f>
        <v>0</v>
      </c>
      <c r="M71" s="376">
        <f>IFERROR(VLOOKUP(C71,'تقرير المصروفات حسب الشهر'!$C$1143:$AD$1254,10,FALSE),0)</f>
        <v>0</v>
      </c>
      <c r="N71" s="376">
        <f>IFERROR(VLOOKUP(C71,'تقرير المصروفات حسب الشهر'!$C$1270:$AD$1381,10,FALSE),0)</f>
        <v>0</v>
      </c>
      <c r="O71" s="376">
        <f>IFERROR(VLOOKUP(C71,'تقرير المصروفات حسب الشهر'!$C$1397:$AD$1512,10,FALSE),0)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الشهر'!$C$10:$AD$119,10,FALSE),0)</f>
        <v>0</v>
      </c>
      <c r="E72" s="362">
        <f>IFERROR(VLOOKUP(C72,'تقرير المصروفات حسب الشهر'!$C$135:$AD$244,10,FALSE),0)</f>
        <v>0</v>
      </c>
      <c r="F72" s="362">
        <f>IFERROR(VLOOKUP(C72,'تقرير المصروفات حسب الشهر'!$C$261:$AD$368,10,FALSE),0)</f>
        <v>0</v>
      </c>
      <c r="G72" s="362">
        <f>IFERROR(VLOOKUP(C72,'تقرير المصروفات حسب الشهر'!$C$387:$AD$495,10,FALSE),0)</f>
        <v>0</v>
      </c>
      <c r="H72" s="362">
        <f>IFERROR(VLOOKUP(C72,'تقرير المصروفات حسب الشهر'!$C$512:$AD$620,10,FALSE),0)</f>
        <v>0</v>
      </c>
      <c r="I72" s="362">
        <f>IFERROR(VLOOKUP(C72,'تقرير المصروفات حسب الشهر'!$C$637:$AD$746,10,FALSE),0)</f>
        <v>0</v>
      </c>
      <c r="J72" s="362">
        <f>IFERROR(VLOOKUP(C72,'تقرير المصروفات حسب الشهر'!$C$763:$AD$872,10,FALSE),0)</f>
        <v>0</v>
      </c>
      <c r="K72" s="362">
        <f>IFERROR(VLOOKUP(C72,'تقرير المصروفات حسب الشهر'!$C$890:$AD$999,10,FALSE),0)</f>
        <v>0</v>
      </c>
      <c r="L72" s="362">
        <f>IFERROR(VLOOKUP(C72,'تقرير المصروفات حسب الشهر'!$C$1016:$AD$1126,10,FALSE),0)</f>
        <v>0</v>
      </c>
      <c r="M72" s="376">
        <f>IFERROR(VLOOKUP(C72,'تقرير المصروفات حسب الشهر'!$C$1143:$AD$1254,10,FALSE),0)</f>
        <v>0</v>
      </c>
      <c r="N72" s="376">
        <f>IFERROR(VLOOKUP(C72,'تقرير المصروفات حسب الشهر'!$C$1270:$AD$1381,10,FALSE),0)</f>
        <v>0</v>
      </c>
      <c r="O72" s="376">
        <f>IFERROR(VLOOKUP(C72,'تقرير المصروفات حسب الشهر'!$C$1397:$AD$1512,10,FALSE),0)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الشهر'!$C$10:$AD$119,10,FALSE),0)</f>
        <v>0</v>
      </c>
      <c r="E73" s="362">
        <f>IFERROR(VLOOKUP(C73,'تقرير المصروفات حسب الشهر'!$C$135:$AD$244,10,FALSE),0)</f>
        <v>0</v>
      </c>
      <c r="F73" s="362">
        <f>IFERROR(VLOOKUP(C73,'تقرير المصروفات حسب الشهر'!$C$261:$AD$368,10,FALSE),0)</f>
        <v>0</v>
      </c>
      <c r="G73" s="362">
        <f>IFERROR(VLOOKUP(C73,'تقرير المصروفات حسب الشهر'!$C$387:$AD$495,10,FALSE),0)</f>
        <v>0</v>
      </c>
      <c r="H73" s="362">
        <f>IFERROR(VLOOKUP(C73,'تقرير المصروفات حسب الشهر'!$C$512:$AD$620,10,FALSE),0)</f>
        <v>0</v>
      </c>
      <c r="I73" s="362">
        <f>IFERROR(VLOOKUP(C73,'تقرير المصروفات حسب الشهر'!$C$637:$AD$746,10,FALSE),0)</f>
        <v>0</v>
      </c>
      <c r="J73" s="362">
        <f>IFERROR(VLOOKUP(C73,'تقرير المصروفات حسب الشهر'!$C$763:$AD$872,10,FALSE),0)</f>
        <v>0</v>
      </c>
      <c r="K73" s="362">
        <f>IFERROR(VLOOKUP(C73,'تقرير المصروفات حسب الشهر'!$C$890:$AD$999,10,FALSE),0)</f>
        <v>0</v>
      </c>
      <c r="L73" s="362">
        <f>IFERROR(VLOOKUP(C73,'تقرير المصروفات حسب الشهر'!$C$1016:$AD$1126,10,FALSE),0)</f>
        <v>0</v>
      </c>
      <c r="M73" s="376">
        <f>IFERROR(VLOOKUP(C73,'تقرير المصروفات حسب الشهر'!$C$1143:$AD$1254,10,FALSE),0)</f>
        <v>0</v>
      </c>
      <c r="N73" s="376">
        <f>IFERROR(VLOOKUP(C73,'تقرير المصروفات حسب الشهر'!$C$1270:$AD$1381,10,FALSE),0)</f>
        <v>0</v>
      </c>
      <c r="O73" s="376">
        <f>IFERROR(VLOOKUP(C73,'تقرير المصروفات حسب الشهر'!$C$1397:$AD$1512,10,FALSE),0)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الشهر'!$C$10:$AD$119,10,FALSE),0)</f>
        <v>0</v>
      </c>
      <c r="E74" s="362">
        <f>IFERROR(VLOOKUP(C74,'تقرير المصروفات حسب الشهر'!$C$135:$AD$244,10,FALSE),0)</f>
        <v>0</v>
      </c>
      <c r="F74" s="362">
        <f>IFERROR(VLOOKUP(C74,'تقرير المصروفات حسب الشهر'!$C$261:$AD$368,10,FALSE),0)</f>
        <v>0</v>
      </c>
      <c r="G74" s="362">
        <f>IFERROR(VLOOKUP(C74,'تقرير المصروفات حسب الشهر'!$C$387:$AD$495,10,FALSE),0)</f>
        <v>0</v>
      </c>
      <c r="H74" s="362">
        <f>IFERROR(VLOOKUP(C74,'تقرير المصروفات حسب الشهر'!$C$512:$AD$620,10,FALSE),0)</f>
        <v>0</v>
      </c>
      <c r="I74" s="362">
        <f>IFERROR(VLOOKUP(C74,'تقرير المصروفات حسب الشهر'!$C$637:$AD$746,10,FALSE),0)</f>
        <v>0</v>
      </c>
      <c r="J74" s="362">
        <f>IFERROR(VLOOKUP(C74,'تقرير المصروفات حسب الشهر'!$C$763:$AD$872,10,FALSE),0)</f>
        <v>0</v>
      </c>
      <c r="K74" s="362">
        <f>IFERROR(VLOOKUP(C74,'تقرير المصروفات حسب الشهر'!$C$890:$AD$999,10,FALSE),0)</f>
        <v>0</v>
      </c>
      <c r="L74" s="362">
        <f>IFERROR(VLOOKUP(C74,'تقرير المصروفات حسب الشهر'!$C$1016:$AD$1126,10,FALSE),0)</f>
        <v>0</v>
      </c>
      <c r="M74" s="376">
        <f>IFERROR(VLOOKUP(C74,'تقرير المصروفات حسب الشهر'!$C$1143:$AD$1254,10,FALSE),0)</f>
        <v>0</v>
      </c>
      <c r="N74" s="376">
        <f>IFERROR(VLOOKUP(C74,'تقرير المصروفات حسب الشهر'!$C$1270:$AD$1381,10,FALSE),0)</f>
        <v>0</v>
      </c>
      <c r="O74" s="376">
        <f>IFERROR(VLOOKUP(C74,'تقرير المصروفات حسب الشهر'!$C$1397:$AD$1512,10,FALSE),0)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الشهر'!$C$10:$AD$119,10,FALSE),0)</f>
        <v>0</v>
      </c>
      <c r="E75" s="362">
        <f>IFERROR(VLOOKUP(C75,'تقرير المصروفات حسب الشهر'!$C$135:$AD$244,10,FALSE),0)</f>
        <v>0</v>
      </c>
      <c r="F75" s="362">
        <f>IFERROR(VLOOKUP(C75,'تقرير المصروفات حسب الشهر'!$C$261:$AD$368,10,FALSE),0)</f>
        <v>0</v>
      </c>
      <c r="G75" s="362">
        <f>IFERROR(VLOOKUP(C75,'تقرير المصروفات حسب الشهر'!$C$387:$AD$495,10,FALSE),0)</f>
        <v>0</v>
      </c>
      <c r="H75" s="362">
        <f>IFERROR(VLOOKUP(C75,'تقرير المصروفات حسب الشهر'!$C$512:$AD$620,10,FALSE),0)</f>
        <v>0</v>
      </c>
      <c r="I75" s="362">
        <f>IFERROR(VLOOKUP(C75,'تقرير المصروفات حسب الشهر'!$C$637:$AD$746,10,FALSE),0)</f>
        <v>0</v>
      </c>
      <c r="J75" s="362">
        <f>IFERROR(VLOOKUP(C75,'تقرير المصروفات حسب الشهر'!$C$763:$AD$872,10,FALSE),0)</f>
        <v>0</v>
      </c>
      <c r="K75" s="362">
        <f>IFERROR(VLOOKUP(C75,'تقرير المصروفات حسب الشهر'!$C$890:$AD$999,10,FALSE),0)</f>
        <v>0</v>
      </c>
      <c r="L75" s="362">
        <f>IFERROR(VLOOKUP(C75,'تقرير المصروفات حسب الشهر'!$C$1016:$AD$1126,10,FALSE),0)</f>
        <v>0</v>
      </c>
      <c r="M75" s="376">
        <f>IFERROR(VLOOKUP(C75,'تقرير المصروفات حسب الشهر'!$C$1143:$AD$1254,10,FALSE),0)</f>
        <v>0</v>
      </c>
      <c r="N75" s="376">
        <f>IFERROR(VLOOKUP(C75,'تقرير المصروفات حسب الشهر'!$C$1270:$AD$1381,10,FALSE),0)</f>
        <v>0</v>
      </c>
      <c r="O75" s="376">
        <f>IFERROR(VLOOKUP(C75,'تقرير المصروفات حسب الشهر'!$C$1397:$AD$1512,10,FALSE),0)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الشهر'!$C$10:$AD$119,10,FALSE),0)</f>
        <v>0</v>
      </c>
      <c r="E76" s="362">
        <f>IFERROR(VLOOKUP(C76,'تقرير المصروفات حسب الشهر'!$C$135:$AD$244,10,FALSE),0)</f>
        <v>0</v>
      </c>
      <c r="F76" s="362">
        <f>IFERROR(VLOOKUP(C76,'تقرير المصروفات حسب الشهر'!$C$261:$AD$368,10,FALSE),0)</f>
        <v>0</v>
      </c>
      <c r="G76" s="362">
        <f>IFERROR(VLOOKUP(C76,'تقرير المصروفات حسب الشهر'!$C$387:$AD$495,10,FALSE),0)</f>
        <v>0</v>
      </c>
      <c r="H76" s="362">
        <f>IFERROR(VLOOKUP(C76,'تقرير المصروفات حسب الشهر'!$C$512:$AD$620,10,FALSE),0)</f>
        <v>0</v>
      </c>
      <c r="I76" s="362">
        <f>IFERROR(VLOOKUP(C76,'تقرير المصروفات حسب الشهر'!$C$637:$AD$746,10,FALSE),0)</f>
        <v>0</v>
      </c>
      <c r="J76" s="362">
        <f>IFERROR(VLOOKUP(C76,'تقرير المصروفات حسب الشهر'!$C$763:$AD$872,10,FALSE),0)</f>
        <v>0</v>
      </c>
      <c r="K76" s="362">
        <f>IFERROR(VLOOKUP(C76,'تقرير المصروفات حسب الشهر'!$C$890:$AD$999,10,FALSE),0)</f>
        <v>0</v>
      </c>
      <c r="L76" s="362">
        <f>IFERROR(VLOOKUP(C76,'تقرير المصروفات حسب الشهر'!$C$1016:$AD$1126,10,FALSE),0)</f>
        <v>0</v>
      </c>
      <c r="M76" s="376">
        <f>IFERROR(VLOOKUP(C76,'تقرير المصروفات حسب الشهر'!$C$1143:$AD$1254,10,FALSE),0)</f>
        <v>0</v>
      </c>
      <c r="N76" s="376">
        <f>IFERROR(VLOOKUP(C76,'تقرير المصروفات حسب الشهر'!$C$1270:$AD$1381,10,FALSE),0)</f>
        <v>0</v>
      </c>
      <c r="O76" s="376">
        <f>IFERROR(VLOOKUP(C76,'تقرير المصروفات حسب الشهر'!$C$1397:$AD$1512,10,FALSE),0)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الشهر'!$C$10:$AD$119,10,FALSE),0)</f>
        <v>0</v>
      </c>
      <c r="E77" s="362">
        <f>IFERROR(VLOOKUP(C77,'تقرير المصروفات حسب الشهر'!$C$135:$AD$244,10,FALSE),0)</f>
        <v>0</v>
      </c>
      <c r="F77" s="362">
        <f>IFERROR(VLOOKUP(C77,'تقرير المصروفات حسب الشهر'!$C$261:$AD$368,10,FALSE),0)</f>
        <v>0</v>
      </c>
      <c r="G77" s="362">
        <f>IFERROR(VLOOKUP(C77,'تقرير المصروفات حسب الشهر'!$C$387:$AD$495,10,FALSE),0)</f>
        <v>0</v>
      </c>
      <c r="H77" s="362">
        <f>IFERROR(VLOOKUP(C77,'تقرير المصروفات حسب الشهر'!$C$512:$AD$620,10,FALSE),0)</f>
        <v>0</v>
      </c>
      <c r="I77" s="362">
        <f>IFERROR(VLOOKUP(C77,'تقرير المصروفات حسب الشهر'!$C$637:$AD$746,10,FALSE),0)</f>
        <v>0</v>
      </c>
      <c r="J77" s="362">
        <f>IFERROR(VLOOKUP(C77,'تقرير المصروفات حسب الشهر'!$C$763:$AD$872,10,FALSE),0)</f>
        <v>0</v>
      </c>
      <c r="K77" s="362">
        <f>IFERROR(VLOOKUP(C77,'تقرير المصروفات حسب الشهر'!$C$890:$AD$999,10,FALSE),0)</f>
        <v>0</v>
      </c>
      <c r="L77" s="362">
        <f>IFERROR(VLOOKUP(C77,'تقرير المصروفات حسب الشهر'!$C$1016:$AD$1126,10,FALSE),0)</f>
        <v>0</v>
      </c>
      <c r="M77" s="376">
        <f>IFERROR(VLOOKUP(C77,'تقرير المصروفات حسب الشهر'!$C$1143:$AD$1254,10,FALSE),0)</f>
        <v>0</v>
      </c>
      <c r="N77" s="376">
        <f>IFERROR(VLOOKUP(C77,'تقرير المصروفات حسب الشهر'!$C$1270:$AD$1381,10,FALSE),0)</f>
        <v>0</v>
      </c>
      <c r="O77" s="376">
        <f>IFERROR(VLOOKUP(C77,'تقرير المصروفات حسب الشهر'!$C$1397:$AD$1512,10,FALSE),0)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الشهر'!$C$10:$AD$119,10,FALSE),0)</f>
        <v>0</v>
      </c>
      <c r="E78" s="362">
        <f>IFERROR(VLOOKUP(C78,'تقرير المصروفات حسب الشهر'!$C$135:$AD$244,10,FALSE),0)</f>
        <v>0</v>
      </c>
      <c r="F78" s="362">
        <f>IFERROR(VLOOKUP(C78,'تقرير المصروفات حسب الشهر'!$C$261:$AD$368,10,FALSE),0)</f>
        <v>0</v>
      </c>
      <c r="G78" s="362">
        <f>IFERROR(VLOOKUP(C78,'تقرير المصروفات حسب الشهر'!$C$387:$AD$495,10,FALSE),0)</f>
        <v>0</v>
      </c>
      <c r="H78" s="362">
        <f>IFERROR(VLOOKUP(C78,'تقرير المصروفات حسب الشهر'!$C$512:$AD$620,10,FALSE),0)</f>
        <v>0</v>
      </c>
      <c r="I78" s="362">
        <f>IFERROR(VLOOKUP(C78,'تقرير المصروفات حسب الشهر'!$C$637:$AD$746,10,FALSE),0)</f>
        <v>0</v>
      </c>
      <c r="J78" s="362">
        <f>IFERROR(VLOOKUP(C78,'تقرير المصروفات حسب الشهر'!$C$763:$AD$872,10,FALSE),0)</f>
        <v>0</v>
      </c>
      <c r="K78" s="362">
        <f>IFERROR(VLOOKUP(C78,'تقرير المصروفات حسب الشهر'!$C$890:$AD$999,10,FALSE),0)</f>
        <v>0</v>
      </c>
      <c r="L78" s="362">
        <f>IFERROR(VLOOKUP(C78,'تقرير المصروفات حسب الشهر'!$C$1016:$AD$1126,10,FALSE),0)</f>
        <v>0</v>
      </c>
      <c r="M78" s="376">
        <f>IFERROR(VLOOKUP(C78,'تقرير المصروفات حسب الشهر'!$C$1143:$AD$1254,10,FALSE),0)</f>
        <v>0</v>
      </c>
      <c r="N78" s="376">
        <f>IFERROR(VLOOKUP(C78,'تقرير المصروفات حسب الشهر'!$C$1270:$AD$1381,10,FALSE),0)</f>
        <v>0</v>
      </c>
      <c r="O78" s="376">
        <f>IFERROR(VLOOKUP(C78,'تقرير المصروفات حسب الشهر'!$C$1397:$AD$1512,10,FALSE),0)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الشهر'!$C$10:$AD$119,10,FALSE),0)</f>
        <v>0</v>
      </c>
      <c r="E79" s="362">
        <f>IFERROR(VLOOKUP(C79,'تقرير المصروفات حسب الشهر'!$C$135:$AD$244,10,FALSE),0)</f>
        <v>0</v>
      </c>
      <c r="F79" s="362">
        <f>IFERROR(VLOOKUP(C79,'تقرير المصروفات حسب الشهر'!$C$261:$AD$368,10,FALSE),0)</f>
        <v>0</v>
      </c>
      <c r="G79" s="362">
        <f>IFERROR(VLOOKUP(C79,'تقرير المصروفات حسب الشهر'!$C$387:$AD$495,10,FALSE),0)</f>
        <v>0</v>
      </c>
      <c r="H79" s="362">
        <f>IFERROR(VLOOKUP(C79,'تقرير المصروفات حسب الشهر'!$C$512:$AD$620,10,FALSE),0)</f>
        <v>0</v>
      </c>
      <c r="I79" s="362">
        <f>IFERROR(VLOOKUP(C79,'تقرير المصروفات حسب الشهر'!$C$637:$AD$746,10,FALSE),0)</f>
        <v>0</v>
      </c>
      <c r="J79" s="362">
        <f>IFERROR(VLOOKUP(C79,'تقرير المصروفات حسب الشهر'!$C$763:$AD$872,10,FALSE),0)</f>
        <v>0</v>
      </c>
      <c r="K79" s="362">
        <f>IFERROR(VLOOKUP(C79,'تقرير المصروفات حسب الشهر'!$C$890:$AD$999,10,FALSE),0)</f>
        <v>0</v>
      </c>
      <c r="L79" s="362">
        <f>IFERROR(VLOOKUP(C79,'تقرير المصروفات حسب الشهر'!$C$1016:$AD$1126,10,FALSE),0)</f>
        <v>0</v>
      </c>
      <c r="M79" s="376">
        <f>IFERROR(VLOOKUP(C79,'تقرير المصروفات حسب الشهر'!$C$1143:$AD$1254,10,FALSE),0)</f>
        <v>0</v>
      </c>
      <c r="N79" s="376">
        <f>IFERROR(VLOOKUP(C79,'تقرير المصروفات حسب الشهر'!$C$1270:$AD$1381,10,FALSE),0)</f>
        <v>0</v>
      </c>
      <c r="O79" s="376">
        <f>IFERROR(VLOOKUP(C79,'تقرير المصروفات حسب الشهر'!$C$1397:$AD$1512,10,FALSE),0)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الشهر'!$C$10:$AD$119,10,FALSE),0)</f>
        <v>0</v>
      </c>
      <c r="E80" s="362">
        <f>IFERROR(VLOOKUP(C80,'تقرير المصروفات حسب الشهر'!$C$135:$AD$244,10,FALSE),0)</f>
        <v>0</v>
      </c>
      <c r="F80" s="362">
        <f>IFERROR(VLOOKUP(C80,'تقرير المصروفات حسب الشهر'!$C$261:$AD$368,10,FALSE),0)</f>
        <v>0</v>
      </c>
      <c r="G80" s="362">
        <f>IFERROR(VLOOKUP(C80,'تقرير المصروفات حسب الشهر'!$C$387:$AD$495,10,FALSE),0)</f>
        <v>0</v>
      </c>
      <c r="H80" s="362">
        <f>IFERROR(VLOOKUP(C80,'تقرير المصروفات حسب الشهر'!$C$512:$AD$620,10,FALSE),0)</f>
        <v>0</v>
      </c>
      <c r="I80" s="362">
        <f>IFERROR(VLOOKUP(C80,'تقرير المصروفات حسب الشهر'!$C$637:$AD$746,10,FALSE),0)</f>
        <v>0</v>
      </c>
      <c r="J80" s="362">
        <f>IFERROR(VLOOKUP(C80,'تقرير المصروفات حسب الشهر'!$C$763:$AD$872,10,FALSE),0)</f>
        <v>0</v>
      </c>
      <c r="K80" s="362">
        <f>IFERROR(VLOOKUP(C80,'تقرير المصروفات حسب الشهر'!$C$890:$AD$999,10,FALSE),0)</f>
        <v>0</v>
      </c>
      <c r="L80" s="362">
        <f>IFERROR(VLOOKUP(C80,'تقرير المصروفات حسب الشهر'!$C$1016:$AD$1126,10,FALSE),0)</f>
        <v>0</v>
      </c>
      <c r="M80" s="376">
        <f>IFERROR(VLOOKUP(C80,'تقرير المصروفات حسب الشهر'!$C$1143:$AD$1254,10,FALSE),0)</f>
        <v>0</v>
      </c>
      <c r="N80" s="376">
        <f>IFERROR(VLOOKUP(C80,'تقرير المصروفات حسب الشهر'!$C$1270:$AD$1381,10,FALSE),0)</f>
        <v>0</v>
      </c>
      <c r="O80" s="376">
        <f>IFERROR(VLOOKUP(C80,'تقرير المصروفات حسب الشهر'!$C$1397:$AD$1512,10,FALSE),0)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الشهر'!$C$10:$AD$119,10,FALSE),0)</f>
        <v>316</v>
      </c>
      <c r="E81" s="362">
        <f>IFERROR(VLOOKUP(C81,'تقرير المصروفات حسب الشهر'!$C$135:$AD$244,10,FALSE),0)</f>
        <v>100</v>
      </c>
      <c r="F81" s="362">
        <f>IFERROR(VLOOKUP(C81,'تقرير المصروفات حسب الشهر'!$C$261:$AD$368,10,FALSE),0)</f>
        <v>100</v>
      </c>
      <c r="G81" s="362">
        <f>IFERROR(VLOOKUP(C81,'تقرير المصروفات حسب الشهر'!$C$387:$AD$495,10,FALSE),0)</f>
        <v>100</v>
      </c>
      <c r="H81" s="362">
        <f>IFERROR(VLOOKUP(C81,'تقرير المصروفات حسب الشهر'!$C$512:$AD$620,10,FALSE),0)</f>
        <v>100</v>
      </c>
      <c r="I81" s="362">
        <f>IFERROR(VLOOKUP(C81,'تقرير المصروفات حسب الشهر'!$C$637:$AD$746,10,FALSE),0)</f>
        <v>100</v>
      </c>
      <c r="J81" s="362">
        <f>IFERROR(VLOOKUP(C81,'تقرير المصروفات حسب الشهر'!$C$763:$AD$872,10,FALSE),0)</f>
        <v>0</v>
      </c>
      <c r="K81" s="362">
        <f>IFERROR(VLOOKUP(C81,'تقرير المصروفات حسب الشهر'!$C$890:$AD$999,10,FALSE),0)</f>
        <v>300</v>
      </c>
      <c r="L81" s="362">
        <f>IFERROR(VLOOKUP(C81,'تقرير المصروفات حسب الشهر'!$C$1016:$AD$1126,10,FALSE),0)</f>
        <v>200</v>
      </c>
      <c r="M81" s="376">
        <f>IFERROR(VLOOKUP(C81,'تقرير المصروفات حسب الشهر'!$C$1143:$AD$1254,10,FALSE),0)</f>
        <v>200</v>
      </c>
      <c r="N81" s="376">
        <f>IFERROR(VLOOKUP(C81,'تقرير المصروفات حسب الشهر'!$C$1270:$AD$1381,10,FALSE),0)</f>
        <v>200</v>
      </c>
      <c r="O81" s="376">
        <f>IFERROR(VLOOKUP(C81,'تقرير المصروفات حسب الشهر'!$C$1397:$AD$1512,10,FALSE),0)</f>
        <v>200</v>
      </c>
      <c r="P81" s="364">
        <f t="shared" si="5"/>
        <v>1916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الشهر'!$C$10:$AD$119,10,FALSE),0)</f>
        <v>0</v>
      </c>
      <c r="E82" s="362">
        <f>IFERROR(VLOOKUP(C82,'تقرير المصروفات حسب الشهر'!$C$135:$AD$244,10,FALSE),0)</f>
        <v>0</v>
      </c>
      <c r="F82" s="362">
        <f>IFERROR(VLOOKUP(C82,'تقرير المصروفات حسب الشهر'!$C$261:$AD$368,10,FALSE),0)</f>
        <v>0</v>
      </c>
      <c r="G82" s="362">
        <f>IFERROR(VLOOKUP(C82,'تقرير المصروفات حسب الشهر'!$C$387:$AD$495,10,FALSE),0)</f>
        <v>0</v>
      </c>
      <c r="H82" s="362">
        <f>IFERROR(VLOOKUP(C82,'تقرير المصروفات حسب الشهر'!$C$512:$AD$620,10,FALSE),0)</f>
        <v>0</v>
      </c>
      <c r="I82" s="362">
        <f>IFERROR(VLOOKUP(C82,'تقرير المصروفات حسب الشهر'!$C$637:$AD$746,10,FALSE),0)</f>
        <v>0</v>
      </c>
      <c r="J82" s="362">
        <f>IFERROR(VLOOKUP(C82,'تقرير المصروفات حسب الشهر'!$C$763:$AD$872,10,FALSE),0)</f>
        <v>0</v>
      </c>
      <c r="K82" s="362">
        <f>IFERROR(VLOOKUP(C82,'تقرير المصروفات حسب الشهر'!$C$890:$AD$999,10,FALSE),0)</f>
        <v>0</v>
      </c>
      <c r="L82" s="362">
        <f>IFERROR(VLOOKUP(C82,'تقرير المصروفات حسب الشهر'!$C$1016:$AD$1126,10,FALSE),0)</f>
        <v>0</v>
      </c>
      <c r="M82" s="376">
        <f>IFERROR(VLOOKUP(C82,'تقرير المصروفات حسب الشهر'!$C$1143:$AD$1254,10,FALSE),0)</f>
        <v>0</v>
      </c>
      <c r="N82" s="376">
        <f>IFERROR(VLOOKUP(C82,'تقرير المصروفات حسب الشهر'!$C$1270:$AD$1381,10,FALSE),0)</f>
        <v>0</v>
      </c>
      <c r="O82" s="376">
        <f>IFERROR(VLOOKUP(C82,'تقرير المصروفات حسب الشهر'!$C$1397:$AD$1512,10,FALSE),0)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الشهر'!$C$10:$AD$119,10,FALSE),0)</f>
        <v>0</v>
      </c>
      <c r="E83" s="362">
        <f>IFERROR(VLOOKUP(C83,'تقرير المصروفات حسب الشهر'!$C$135:$AD$244,10,FALSE),0)</f>
        <v>0</v>
      </c>
      <c r="F83" s="362">
        <f>IFERROR(VLOOKUP(C83,'تقرير المصروفات حسب الشهر'!$C$261:$AD$368,10,FALSE),0)</f>
        <v>0</v>
      </c>
      <c r="G83" s="362">
        <f>IFERROR(VLOOKUP(C83,'تقرير المصروفات حسب الشهر'!$C$387:$AD$495,10,FALSE),0)</f>
        <v>0</v>
      </c>
      <c r="H83" s="362">
        <f>IFERROR(VLOOKUP(C83,'تقرير المصروفات حسب الشهر'!$C$512:$AD$620,10,FALSE),0)</f>
        <v>0</v>
      </c>
      <c r="I83" s="362">
        <f>IFERROR(VLOOKUP(C83,'تقرير المصروفات حسب الشهر'!$C$637:$AD$746,10,FALSE),0)</f>
        <v>0</v>
      </c>
      <c r="J83" s="362">
        <f>IFERROR(VLOOKUP(C83,'تقرير المصروفات حسب الشهر'!$C$763:$AD$872,10,FALSE),0)</f>
        <v>0</v>
      </c>
      <c r="K83" s="362">
        <f>IFERROR(VLOOKUP(C83,'تقرير المصروفات حسب الشهر'!$C$890:$AD$999,10,FALSE),0)</f>
        <v>0</v>
      </c>
      <c r="L83" s="362">
        <f>IFERROR(VLOOKUP(C83,'تقرير المصروفات حسب الشهر'!$C$1016:$AD$1126,10,FALSE),0)</f>
        <v>0</v>
      </c>
      <c r="M83" s="376">
        <f>IFERROR(VLOOKUP(C83,'تقرير المصروفات حسب الشهر'!$C$1143:$AD$1254,10,FALSE),0)</f>
        <v>0</v>
      </c>
      <c r="N83" s="376">
        <f>IFERROR(VLOOKUP(C83,'تقرير المصروفات حسب الشهر'!$C$1270:$AD$1381,10,FALSE),0)</f>
        <v>0</v>
      </c>
      <c r="O83" s="376">
        <f>IFERROR(VLOOKUP(C83,'تقرير المصروفات حسب الشهر'!$C$1397:$AD$1512,10,FALSE),0)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الشهر'!$C$10:$AD$119,10,FALSE),0)</f>
        <v>0</v>
      </c>
      <c r="E84" s="362">
        <f>IFERROR(VLOOKUP(C84,'تقرير المصروفات حسب الشهر'!$C$135:$AD$244,10,FALSE),0)</f>
        <v>0</v>
      </c>
      <c r="F84" s="362">
        <f>IFERROR(VLOOKUP(C84,'تقرير المصروفات حسب الشهر'!$C$261:$AD$368,10,FALSE),0)</f>
        <v>0</v>
      </c>
      <c r="G84" s="362">
        <f>IFERROR(VLOOKUP(C84,'تقرير المصروفات حسب الشهر'!$C$387:$AD$495,10,FALSE),0)</f>
        <v>0</v>
      </c>
      <c r="H84" s="362">
        <f>IFERROR(VLOOKUP(C84,'تقرير المصروفات حسب الشهر'!$C$512:$AD$620,10,FALSE),0)</f>
        <v>0</v>
      </c>
      <c r="I84" s="362">
        <f>IFERROR(VLOOKUP(C84,'تقرير المصروفات حسب الشهر'!$C$637:$AD$746,10,FALSE),0)</f>
        <v>0</v>
      </c>
      <c r="J84" s="362">
        <f>IFERROR(VLOOKUP(C84,'تقرير المصروفات حسب الشهر'!$C$763:$AD$872,10,FALSE),0)</f>
        <v>0</v>
      </c>
      <c r="K84" s="362">
        <f>IFERROR(VLOOKUP(C84,'تقرير المصروفات حسب الشهر'!$C$890:$AD$999,10,FALSE),0)</f>
        <v>0</v>
      </c>
      <c r="L84" s="362">
        <f>IFERROR(VLOOKUP(C84,'تقرير المصروفات حسب الشهر'!$C$1016:$AD$1126,10,FALSE),0)</f>
        <v>0</v>
      </c>
      <c r="M84" s="376">
        <f>IFERROR(VLOOKUP(C84,'تقرير المصروفات حسب الشهر'!$C$1143:$AD$1254,10,FALSE),0)</f>
        <v>0</v>
      </c>
      <c r="N84" s="376">
        <f>IFERROR(VLOOKUP(C84,'تقرير المصروفات حسب الشهر'!$C$1270:$AD$1381,10,FALSE),0)</f>
        <v>0</v>
      </c>
      <c r="O84" s="376">
        <f>IFERROR(VLOOKUP(C84,'تقرير المصروفات حسب الشهر'!$C$1397:$AD$1512,10,FALSE),0)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الشهر'!$C$10:$AD$119,10,FALSE),0)</f>
        <v>0</v>
      </c>
      <c r="E85" s="362">
        <f>IFERROR(VLOOKUP(C85,'تقرير المصروفات حسب الشهر'!$C$135:$AD$244,10,FALSE),0)</f>
        <v>0</v>
      </c>
      <c r="F85" s="362">
        <f>IFERROR(VLOOKUP(C85,'تقرير المصروفات حسب الشهر'!$C$261:$AD$368,10,FALSE),0)</f>
        <v>0</v>
      </c>
      <c r="G85" s="362">
        <f>IFERROR(VLOOKUP(C85,'تقرير المصروفات حسب الشهر'!$C$387:$AD$495,10,FALSE),0)</f>
        <v>0</v>
      </c>
      <c r="H85" s="362">
        <f>IFERROR(VLOOKUP(C85,'تقرير المصروفات حسب الشهر'!$C$512:$AD$620,10,FALSE),0)</f>
        <v>0</v>
      </c>
      <c r="I85" s="362">
        <f>IFERROR(VLOOKUP(C85,'تقرير المصروفات حسب الشهر'!$C$637:$AD$746,10,FALSE),0)</f>
        <v>0</v>
      </c>
      <c r="J85" s="362">
        <f>IFERROR(VLOOKUP(C85,'تقرير المصروفات حسب الشهر'!$C$763:$AD$872,10,FALSE),0)</f>
        <v>0</v>
      </c>
      <c r="K85" s="362">
        <f>IFERROR(VLOOKUP(C85,'تقرير المصروفات حسب الشهر'!$C$890:$AD$999,10,FALSE),0)</f>
        <v>0</v>
      </c>
      <c r="L85" s="362">
        <f>IFERROR(VLOOKUP(C85,'تقرير المصروفات حسب الشهر'!$C$1016:$AD$1126,10,FALSE),0)</f>
        <v>0</v>
      </c>
      <c r="M85" s="376">
        <f>IFERROR(VLOOKUP(C85,'تقرير المصروفات حسب الشهر'!$C$1143:$AD$1254,10,FALSE),0)</f>
        <v>0</v>
      </c>
      <c r="N85" s="376">
        <f>IFERROR(VLOOKUP(C85,'تقرير المصروفات حسب الشهر'!$C$1270:$AD$1381,10,FALSE),0)</f>
        <v>0</v>
      </c>
      <c r="O85" s="376">
        <f>IFERROR(VLOOKUP(C85,'تقرير المصروفات حسب الشهر'!$C$1397:$AD$1512,10,FALSE),0)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الشهر'!$C$10:$AD$119,10,FALSE),0)</f>
        <v>0</v>
      </c>
      <c r="E86" s="362">
        <f>IFERROR(VLOOKUP(C86,'تقرير المصروفات حسب الشهر'!$C$135:$AD$244,10,FALSE),0)</f>
        <v>1959.65</v>
      </c>
      <c r="F86" s="362">
        <f>IFERROR(VLOOKUP(C86,'تقرير المصروفات حسب الشهر'!$C$261:$AD$368,10,FALSE),0)</f>
        <v>0</v>
      </c>
      <c r="G86" s="362">
        <f>IFERROR(VLOOKUP(C86,'تقرير المصروفات حسب الشهر'!$C$387:$AD$495,10,FALSE),0)</f>
        <v>653</v>
      </c>
      <c r="H86" s="362">
        <f>IFERROR(VLOOKUP(C86,'تقرير المصروفات حسب الشهر'!$C$512:$AD$620,10,FALSE),0)</f>
        <v>0</v>
      </c>
      <c r="I86" s="362">
        <f>IFERROR(VLOOKUP(C86,'تقرير المصروفات حسب الشهر'!$C$637:$AD$746,10,FALSE),0)</f>
        <v>0</v>
      </c>
      <c r="J86" s="362">
        <f>IFERROR(VLOOKUP(C86,'تقرير المصروفات حسب الشهر'!$C$763:$AD$872,10,FALSE),0)</f>
        <v>979</v>
      </c>
      <c r="K86" s="362">
        <f>IFERROR(VLOOKUP(C86,'تقرير المصروفات حسب الشهر'!$C$890:$AD$999,10,FALSE),0)</f>
        <v>0</v>
      </c>
      <c r="L86" s="362">
        <f>IFERROR(VLOOKUP(C86,'تقرير المصروفات حسب الشهر'!$C$1016:$AD$1126,10,FALSE),0)</f>
        <v>0</v>
      </c>
      <c r="M86" s="376">
        <f>IFERROR(VLOOKUP(C86,'تقرير المصروفات حسب الشهر'!$C$1143:$AD$1254,10,FALSE),0)</f>
        <v>1075.76</v>
      </c>
      <c r="N86" s="376">
        <f>IFERROR(VLOOKUP(C86,'تقرير المصروفات حسب الشهر'!$C$1270:$AD$1381,10,FALSE),0)</f>
        <v>2207.5700000000002</v>
      </c>
      <c r="O86" s="376">
        <f>IFERROR(VLOOKUP(C86,'تقرير المصروفات حسب الشهر'!$C$1397:$AD$1512,10,FALSE),0)</f>
        <v>0</v>
      </c>
      <c r="P86" s="364">
        <f t="shared" si="5"/>
        <v>6874.98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الشهر'!$C$10:$AD$119,10,FALSE),0)</f>
        <v>0</v>
      </c>
      <c r="E87" s="362">
        <f>IFERROR(VLOOKUP(C87,'تقرير المصروفات حسب الشهر'!$C$135:$AD$244,10,FALSE),0)</f>
        <v>0</v>
      </c>
      <c r="F87" s="362">
        <f>IFERROR(VLOOKUP(C87,'تقرير المصروفات حسب الشهر'!$C$261:$AD$368,10,FALSE),0)</f>
        <v>0</v>
      </c>
      <c r="G87" s="362">
        <f>IFERROR(VLOOKUP(C87,'تقرير المصروفات حسب الشهر'!$C$387:$AD$495,10,FALSE),0)</f>
        <v>0</v>
      </c>
      <c r="H87" s="362">
        <f>IFERROR(VLOOKUP(C87,'تقرير المصروفات حسب الشهر'!$C$512:$AD$620,10,FALSE),0)</f>
        <v>0</v>
      </c>
      <c r="I87" s="362">
        <f>IFERROR(VLOOKUP(C87,'تقرير المصروفات حسب الشهر'!$C$637:$AD$746,10,FALSE),0)</f>
        <v>0</v>
      </c>
      <c r="J87" s="362">
        <f>IFERROR(VLOOKUP(C87,'تقرير المصروفات حسب الشهر'!$C$763:$AD$872,10,FALSE),0)</f>
        <v>0</v>
      </c>
      <c r="K87" s="362">
        <f>IFERROR(VLOOKUP(C87,'تقرير المصروفات حسب الشهر'!$C$890:$AD$999,10,FALSE),0)</f>
        <v>0</v>
      </c>
      <c r="L87" s="362">
        <f>IFERROR(VLOOKUP(C87,'تقرير المصروفات حسب الشهر'!$C$1016:$AD$1126,10,FALSE),0)</f>
        <v>0</v>
      </c>
      <c r="M87" s="376">
        <f>IFERROR(VLOOKUP(C87,'تقرير المصروفات حسب الشهر'!$C$1143:$AD$1254,10,FALSE),0)</f>
        <v>0</v>
      </c>
      <c r="N87" s="376">
        <f>IFERROR(VLOOKUP(C87,'تقرير المصروفات حسب الشهر'!$C$1270:$AD$1381,10,FALSE),0)</f>
        <v>0</v>
      </c>
      <c r="O87" s="376">
        <f>IFERROR(VLOOKUP(C87,'تقرير المصروفات حسب الشهر'!$C$1397:$AD$1512,10,FALSE),0)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الشهر'!$C$10:$AD$119,10,FALSE),0)</f>
        <v>0</v>
      </c>
      <c r="E88" s="362">
        <f>IFERROR(VLOOKUP(C88,'تقرير المصروفات حسب الشهر'!$C$135:$AD$244,10,FALSE),0)</f>
        <v>0</v>
      </c>
      <c r="F88" s="362">
        <f>IFERROR(VLOOKUP(C88,'تقرير المصروفات حسب الشهر'!$C$261:$AD$368,10,FALSE),0)</f>
        <v>0</v>
      </c>
      <c r="G88" s="362">
        <f>IFERROR(VLOOKUP(C88,'تقرير المصروفات حسب الشهر'!$C$387:$AD$495,10,FALSE),0)</f>
        <v>0</v>
      </c>
      <c r="H88" s="362">
        <f>IFERROR(VLOOKUP(C88,'تقرير المصروفات حسب الشهر'!$C$512:$AD$620,10,FALSE),0)</f>
        <v>333</v>
      </c>
      <c r="I88" s="362">
        <f>IFERROR(VLOOKUP(C88,'تقرير المصروفات حسب الشهر'!$C$637:$AD$746,10,FALSE),0)</f>
        <v>0</v>
      </c>
      <c r="J88" s="362">
        <f>IFERROR(VLOOKUP(C88,'تقرير المصروفات حسب الشهر'!$C$763:$AD$872,10,FALSE),0)</f>
        <v>0</v>
      </c>
      <c r="K88" s="362">
        <f>IFERROR(VLOOKUP(C88,'تقرير المصروفات حسب الشهر'!$C$890:$AD$999,10,FALSE),0)</f>
        <v>0</v>
      </c>
      <c r="L88" s="362">
        <f>IFERROR(VLOOKUP(C88,'تقرير المصروفات حسب الشهر'!$C$1016:$AD$1126,10,FALSE),0)</f>
        <v>0</v>
      </c>
      <c r="M88" s="376">
        <f>IFERROR(VLOOKUP(C88,'تقرير المصروفات حسب الشهر'!$C$1143:$AD$1254,10,FALSE),0)</f>
        <v>0</v>
      </c>
      <c r="N88" s="376">
        <f>IFERROR(VLOOKUP(C88,'تقرير المصروفات حسب الشهر'!$C$1270:$AD$1381,10,FALSE),0)</f>
        <v>0</v>
      </c>
      <c r="O88" s="376">
        <f>IFERROR(VLOOKUP(C88,'تقرير المصروفات حسب الشهر'!$C$1397:$AD$1512,10,FALSE),0)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الشهر'!$C$10:$AD$119,10,FALSE),0)</f>
        <v>0</v>
      </c>
      <c r="E89" s="362">
        <f>IFERROR(VLOOKUP(C89,'تقرير المصروفات حسب الشهر'!$C$135:$AD$244,10,FALSE),0)</f>
        <v>0</v>
      </c>
      <c r="F89" s="362">
        <f>IFERROR(VLOOKUP(C89,'تقرير المصروفات حسب الشهر'!$C$261:$AD$368,10,FALSE),0)</f>
        <v>0</v>
      </c>
      <c r="G89" s="362">
        <f>IFERROR(VLOOKUP(C89,'تقرير المصروفات حسب الشهر'!$C$387:$AD$495,10,FALSE),0)</f>
        <v>0</v>
      </c>
      <c r="H89" s="362">
        <f>IFERROR(VLOOKUP(C89,'تقرير المصروفات حسب الشهر'!$C$512:$AD$620,10,FALSE),0)</f>
        <v>0</v>
      </c>
      <c r="I89" s="362">
        <f>IFERROR(VLOOKUP(C89,'تقرير المصروفات حسب الشهر'!$C$637:$AD$746,10,FALSE),0)</f>
        <v>0</v>
      </c>
      <c r="J89" s="362">
        <f>IFERROR(VLOOKUP(C89,'تقرير المصروفات حسب الشهر'!$C$763:$AD$872,10,FALSE),0)</f>
        <v>0</v>
      </c>
      <c r="K89" s="362">
        <f>IFERROR(VLOOKUP(C89,'تقرير المصروفات حسب الشهر'!$C$890:$AD$999,10,FALSE),0)</f>
        <v>0</v>
      </c>
      <c r="L89" s="362">
        <f>IFERROR(VLOOKUP(C89,'تقرير المصروفات حسب الشهر'!$C$1016:$AD$1126,10,FALSE),0)</f>
        <v>0</v>
      </c>
      <c r="M89" s="376">
        <f>IFERROR(VLOOKUP(C89,'تقرير المصروفات حسب الشهر'!$C$1143:$AD$1254,10,FALSE),0)</f>
        <v>0</v>
      </c>
      <c r="N89" s="376">
        <f>IFERROR(VLOOKUP(C89,'تقرير المصروفات حسب الشهر'!$C$1270:$AD$1381,10,FALSE),0)</f>
        <v>0</v>
      </c>
      <c r="O89" s="376">
        <f>IFERROR(VLOOKUP(C89,'تقرير المصروفات حسب الشهر'!$C$1397:$AD$1512,10,FALSE),0)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الشهر'!$C$10:$AD$119,10,FALSE),0)</f>
        <v>0</v>
      </c>
      <c r="E90" s="362">
        <f>IFERROR(VLOOKUP(C90,'تقرير المصروفات حسب الشهر'!$C$135:$AD$244,10,FALSE),0)</f>
        <v>0</v>
      </c>
      <c r="F90" s="362">
        <f>IFERROR(VLOOKUP(C90,'تقرير المصروفات حسب الشهر'!$C$261:$AD$368,10,FALSE),0)</f>
        <v>0</v>
      </c>
      <c r="G90" s="362">
        <f>IFERROR(VLOOKUP(C90,'تقرير المصروفات حسب الشهر'!$C$387:$AD$495,10,FALSE),0)</f>
        <v>0</v>
      </c>
      <c r="H90" s="362">
        <f>IFERROR(VLOOKUP(C90,'تقرير المصروفات حسب الشهر'!$C$512:$AD$620,10,FALSE),0)</f>
        <v>0</v>
      </c>
      <c r="I90" s="362">
        <f>IFERROR(VLOOKUP(C90,'تقرير المصروفات حسب الشهر'!$C$637:$AD$746,10,FALSE),0)</f>
        <v>0</v>
      </c>
      <c r="J90" s="362">
        <f>IFERROR(VLOOKUP(C90,'تقرير المصروفات حسب الشهر'!$C$763:$AD$872,10,FALSE),0)</f>
        <v>0</v>
      </c>
      <c r="K90" s="362">
        <f>IFERROR(VLOOKUP(C90,'تقرير المصروفات حسب الشهر'!$C$890:$AD$999,10,FALSE),0)</f>
        <v>0</v>
      </c>
      <c r="L90" s="362">
        <f>IFERROR(VLOOKUP(C90,'تقرير المصروفات حسب الشهر'!$C$1016:$AD$1126,10,FALSE),0)</f>
        <v>0</v>
      </c>
      <c r="M90" s="376">
        <f>IFERROR(VLOOKUP(C90,'تقرير المصروفات حسب الشهر'!$C$1143:$AD$1254,10,FALSE),0)</f>
        <v>0</v>
      </c>
      <c r="N90" s="376">
        <f>IFERROR(VLOOKUP(C90,'تقرير المصروفات حسب الشهر'!$C$1270:$AD$1381,10,FALSE),0)</f>
        <v>0</v>
      </c>
      <c r="O90" s="376">
        <f>IFERROR(VLOOKUP(C90,'تقرير المصروفات حسب الشهر'!$C$1397:$AD$1512,10,FALSE),0)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الشهر'!$C$10:$AD$119,10,FALSE),0)</f>
        <v>0</v>
      </c>
      <c r="E91" s="362">
        <f>IFERROR(VLOOKUP(C91,'تقرير المصروفات حسب الشهر'!$C$135:$AD$244,10,FALSE),0)</f>
        <v>0</v>
      </c>
      <c r="F91" s="362">
        <f>IFERROR(VLOOKUP(C91,'تقرير المصروفات حسب الشهر'!$C$261:$AD$368,10,FALSE),0)</f>
        <v>1820</v>
      </c>
      <c r="G91" s="362">
        <f>IFERROR(VLOOKUP(C91,'تقرير المصروفات حسب الشهر'!$C$387:$AD$495,10,FALSE),0)</f>
        <v>0</v>
      </c>
      <c r="H91" s="362">
        <f>IFERROR(VLOOKUP(C91,'تقرير المصروفات حسب الشهر'!$C$512:$AD$620,10,FALSE),0)</f>
        <v>0</v>
      </c>
      <c r="I91" s="362">
        <f>IFERROR(VLOOKUP(C91,'تقرير المصروفات حسب الشهر'!$C$637:$AD$746,10,FALSE),0)</f>
        <v>0</v>
      </c>
      <c r="J91" s="362">
        <f>IFERROR(VLOOKUP(C91,'تقرير المصروفات حسب الشهر'!$C$763:$AD$872,10,FALSE),0)</f>
        <v>0</v>
      </c>
      <c r="K91" s="362">
        <f>IFERROR(VLOOKUP(C91,'تقرير المصروفات حسب الشهر'!$C$890:$AD$999,10,FALSE),0)</f>
        <v>0</v>
      </c>
      <c r="L91" s="362">
        <f>IFERROR(VLOOKUP(C91,'تقرير المصروفات حسب الشهر'!$C$1016:$AD$1126,10,FALSE),0)</f>
        <v>600</v>
      </c>
      <c r="M91" s="376">
        <f>IFERROR(VLOOKUP(C91,'تقرير المصروفات حسب الشهر'!$C$1143:$AD$1254,10,FALSE),0)</f>
        <v>0</v>
      </c>
      <c r="N91" s="376">
        <f>IFERROR(VLOOKUP(C91,'تقرير المصروفات حسب الشهر'!$C$1270:$AD$1381,10,FALSE),0)</f>
        <v>0</v>
      </c>
      <c r="O91" s="376">
        <f>IFERROR(VLOOKUP(C91,'تقرير المصروفات حسب الشهر'!$C$1397:$AD$1512,10,FALSE),0)</f>
        <v>0</v>
      </c>
      <c r="P91" s="364">
        <f t="shared" si="6"/>
        <v>2420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الشهر'!$C$10:$AD$119,10,FALSE),0)</f>
        <v>0</v>
      </c>
      <c r="E92" s="362">
        <f>IFERROR(VLOOKUP(C92,'تقرير المصروفات حسب الشهر'!$C$135:$AD$244,10,FALSE),0)</f>
        <v>0</v>
      </c>
      <c r="F92" s="362">
        <f>IFERROR(VLOOKUP(C92,'تقرير المصروفات حسب الشهر'!$C$261:$AD$368,10,FALSE),0)</f>
        <v>0</v>
      </c>
      <c r="G92" s="362">
        <f>IFERROR(VLOOKUP(C92,'تقرير المصروفات حسب الشهر'!$C$387:$AD$495,10,FALSE),0)</f>
        <v>0</v>
      </c>
      <c r="H92" s="362">
        <f>IFERROR(VLOOKUP(C92,'تقرير المصروفات حسب الشهر'!$C$512:$AD$620,10,FALSE),0)</f>
        <v>0</v>
      </c>
      <c r="I92" s="362">
        <f>IFERROR(VLOOKUP(C92,'تقرير المصروفات حسب الشهر'!$C$637:$AD$746,10,FALSE),0)</f>
        <v>0</v>
      </c>
      <c r="J92" s="362">
        <f>IFERROR(VLOOKUP(C92,'تقرير المصروفات حسب الشهر'!$C$763:$AD$872,10,FALSE),0)</f>
        <v>0</v>
      </c>
      <c r="K92" s="362">
        <f>IFERROR(VLOOKUP(C92,'تقرير المصروفات حسب الشهر'!$C$890:$AD$999,10,FALSE),0)</f>
        <v>0</v>
      </c>
      <c r="L92" s="362">
        <f>IFERROR(VLOOKUP(C92,'تقرير المصروفات حسب الشهر'!$C$1016:$AD$1126,10,FALSE),0)</f>
        <v>0</v>
      </c>
      <c r="M92" s="376">
        <f>IFERROR(VLOOKUP(C92,'تقرير المصروفات حسب الشهر'!$C$1143:$AD$1254,10,FALSE),0)</f>
        <v>0</v>
      </c>
      <c r="N92" s="376">
        <f>IFERROR(VLOOKUP(C92,'تقرير المصروفات حسب الشهر'!$C$1270:$AD$1381,10,FALSE),0)</f>
        <v>0</v>
      </c>
      <c r="O92" s="376">
        <f>IFERROR(VLOOKUP(C92,'تقرير المصروفات حسب الشهر'!$C$1397:$AD$1512,10,FALSE),0)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الشهر'!$C$10:$AD$119,10,FALSE),0)</f>
        <v>0</v>
      </c>
      <c r="E93" s="362">
        <f>IFERROR(VLOOKUP(C93,'تقرير المصروفات حسب الشهر'!$C$135:$AD$244,10,FALSE),0)</f>
        <v>0</v>
      </c>
      <c r="F93" s="362">
        <f>IFERROR(VLOOKUP(C93,'تقرير المصروفات حسب الشهر'!$C$261:$AD$368,10,FALSE),0)</f>
        <v>0</v>
      </c>
      <c r="G93" s="362">
        <f>IFERROR(VLOOKUP(C93,'تقرير المصروفات حسب الشهر'!$C$387:$AD$495,10,FALSE),0)</f>
        <v>621.5</v>
      </c>
      <c r="H93" s="362">
        <f>IFERROR(VLOOKUP(C93,'تقرير المصروفات حسب الشهر'!$C$512:$AD$620,10,FALSE),0)</f>
        <v>0</v>
      </c>
      <c r="I93" s="362">
        <f>IFERROR(VLOOKUP(C93,'تقرير المصروفات حسب الشهر'!$C$637:$AD$746,10,FALSE),0)</f>
        <v>0</v>
      </c>
      <c r="J93" s="362">
        <f>IFERROR(VLOOKUP(C93,'تقرير المصروفات حسب الشهر'!$C$763:$AD$872,10,FALSE),0)</f>
        <v>668</v>
      </c>
      <c r="K93" s="362">
        <f>IFERROR(VLOOKUP(C93,'تقرير المصروفات حسب الشهر'!$C$890:$AD$999,10,FALSE),0)</f>
        <v>0</v>
      </c>
      <c r="L93" s="362">
        <f>IFERROR(VLOOKUP(C93,'تقرير المصروفات حسب الشهر'!$C$1016:$AD$1126,10,FALSE),0)</f>
        <v>0</v>
      </c>
      <c r="M93" s="376">
        <f>IFERROR(VLOOKUP(C93,'تقرير المصروفات حسب الشهر'!$C$1143:$AD$1254,10,FALSE),0)</f>
        <v>0</v>
      </c>
      <c r="N93" s="376">
        <f>IFERROR(VLOOKUP(C93,'تقرير المصروفات حسب الشهر'!$C$1270:$AD$1381,10,FALSE),0)</f>
        <v>0</v>
      </c>
      <c r="O93" s="376">
        <f>IFERROR(VLOOKUP(C93,'تقرير المصروفات حسب الشهر'!$C$1397:$AD$1512,10,FALSE),0)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الشهر'!$C$10:$AD$119,10,FALSE),0)</f>
        <v>0</v>
      </c>
      <c r="E94" s="362">
        <f>IFERROR(VLOOKUP(C94,'تقرير المصروفات حسب الشهر'!$C$135:$AD$244,10,FALSE),0)</f>
        <v>0</v>
      </c>
      <c r="F94" s="362">
        <f>IFERROR(VLOOKUP(C94,'تقرير المصروفات حسب الشهر'!$C$261:$AD$368,10,FALSE),0)</f>
        <v>0</v>
      </c>
      <c r="G94" s="362">
        <f>IFERROR(VLOOKUP(C94,'تقرير المصروفات حسب الشهر'!$C$387:$AD$495,10,FALSE),0)</f>
        <v>0</v>
      </c>
      <c r="H94" s="362">
        <f>IFERROR(VLOOKUP(C94,'تقرير المصروفات حسب الشهر'!$C$512:$AD$620,10,FALSE),0)</f>
        <v>0</v>
      </c>
      <c r="I94" s="362">
        <f>IFERROR(VLOOKUP(C94,'تقرير المصروفات حسب الشهر'!$C$637:$AD$746,10,FALSE),0)</f>
        <v>0</v>
      </c>
      <c r="J94" s="362">
        <f>IFERROR(VLOOKUP(C94,'تقرير المصروفات حسب الشهر'!$C$763:$AD$872,10,FALSE),0)</f>
        <v>0</v>
      </c>
      <c r="K94" s="362">
        <f>IFERROR(VLOOKUP(C94,'تقرير المصروفات حسب الشهر'!$C$890:$AD$999,10,FALSE),0)</f>
        <v>0</v>
      </c>
      <c r="L94" s="362">
        <f>IFERROR(VLOOKUP(C94,'تقرير المصروفات حسب الشهر'!$C$1016:$AD$1126,10,FALSE),0)</f>
        <v>0</v>
      </c>
      <c r="M94" s="376">
        <f>IFERROR(VLOOKUP(C94,'تقرير المصروفات حسب الشهر'!$C$1143:$AD$1254,10,FALSE),0)</f>
        <v>0</v>
      </c>
      <c r="N94" s="376">
        <f>IFERROR(VLOOKUP(C94,'تقرير المصروفات حسب الشهر'!$C$1270:$AD$1381,10,FALSE),0)</f>
        <v>0</v>
      </c>
      <c r="O94" s="376">
        <f>IFERROR(VLOOKUP(C94,'تقرير المصروفات حسب الشهر'!$C$1397:$AD$1512,10,FALSE),0)</f>
        <v>0</v>
      </c>
      <c r="P94" s="364">
        <f t="shared" si="6"/>
        <v>0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الشهر'!$C$10:$AD$119,10,FALSE),0)</f>
        <v>0</v>
      </c>
      <c r="E95" s="362">
        <f>IFERROR(VLOOKUP(C95,'تقرير المصروفات حسب الشهر'!$C$135:$AD$244,10,FALSE),0)</f>
        <v>0</v>
      </c>
      <c r="F95" s="362">
        <f>IFERROR(VLOOKUP(C95,'تقرير المصروفات حسب الشهر'!$C$261:$AD$368,10,FALSE),0)</f>
        <v>0</v>
      </c>
      <c r="G95" s="362">
        <f>IFERROR(VLOOKUP(C95,'تقرير المصروفات حسب الشهر'!$C$387:$AD$495,10,FALSE),0)</f>
        <v>0</v>
      </c>
      <c r="H95" s="362">
        <f>IFERROR(VLOOKUP(C95,'تقرير المصروفات حسب الشهر'!$C$512:$AD$620,10,FALSE),0)</f>
        <v>0</v>
      </c>
      <c r="I95" s="362">
        <f>IFERROR(VLOOKUP(C95,'تقرير المصروفات حسب الشهر'!$C$637:$AD$746,10,FALSE),0)</f>
        <v>0</v>
      </c>
      <c r="J95" s="362">
        <f>IFERROR(VLOOKUP(C95,'تقرير المصروفات حسب الشهر'!$C$763:$AD$872,10,FALSE),0)</f>
        <v>0</v>
      </c>
      <c r="K95" s="362">
        <f>IFERROR(VLOOKUP(C95,'تقرير المصروفات حسب الشهر'!$C$890:$AD$999,10,FALSE),0)</f>
        <v>0</v>
      </c>
      <c r="L95" s="362">
        <f>IFERROR(VLOOKUP(C95,'تقرير المصروفات حسب الشهر'!$C$1016:$AD$1126,10,FALSE),0)</f>
        <v>2130</v>
      </c>
      <c r="M95" s="376">
        <f>IFERROR(VLOOKUP(C95,'تقرير المصروفات حسب الشهر'!$C$1143:$AD$1254,10,FALSE),0)</f>
        <v>1065</v>
      </c>
      <c r="N95" s="376">
        <f>IFERROR(VLOOKUP(C95,'تقرير المصروفات حسب الشهر'!$C$1270:$AD$1381,10,FALSE),0)</f>
        <v>1065</v>
      </c>
      <c r="O95" s="376">
        <f>IFERROR(VLOOKUP(C95,'تقرير المصروفات حسب الشهر'!$C$1397:$AD$1512,10,FALSE),0)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الشهر'!$C$10:$AD$119,10,FALSE),0)</f>
        <v>0</v>
      </c>
      <c r="E96" s="362">
        <f>IFERROR(VLOOKUP(C96,'تقرير المصروفات حسب الشهر'!$C$135:$AD$244,10,FALSE),0)</f>
        <v>0</v>
      </c>
      <c r="F96" s="362">
        <f>IFERROR(VLOOKUP(C96,'تقرير المصروفات حسب الشهر'!$C$261:$AD$368,10,FALSE),0)</f>
        <v>0</v>
      </c>
      <c r="G96" s="362">
        <f>IFERROR(VLOOKUP(C96,'تقرير المصروفات حسب الشهر'!$C$387:$AD$495,10,FALSE),0)</f>
        <v>0</v>
      </c>
      <c r="H96" s="362">
        <f>IFERROR(VLOOKUP(C96,'تقرير المصروفات حسب الشهر'!$C$512:$AD$620,10,FALSE),0)</f>
        <v>0</v>
      </c>
      <c r="I96" s="362">
        <f>IFERROR(VLOOKUP(C96,'تقرير المصروفات حسب الشهر'!$C$637:$AD$746,10,FALSE),0)</f>
        <v>0</v>
      </c>
      <c r="J96" s="362">
        <f>IFERROR(VLOOKUP(C96,'تقرير المصروفات حسب الشهر'!$C$763:$AD$872,10,FALSE),0)</f>
        <v>0</v>
      </c>
      <c r="K96" s="362">
        <f>IFERROR(VLOOKUP(C96,'تقرير المصروفات حسب الشهر'!$C$890:$AD$999,10,FALSE),0)</f>
        <v>0</v>
      </c>
      <c r="L96" s="362">
        <f>IFERROR(VLOOKUP(C96,'تقرير المصروفات حسب الشهر'!$C$1016:$AD$1126,10,FALSE),0)</f>
        <v>0</v>
      </c>
      <c r="M96" s="376">
        <f>IFERROR(VLOOKUP(C96,'تقرير المصروفات حسب الشهر'!$C$1143:$AD$1254,10,FALSE),0)</f>
        <v>0</v>
      </c>
      <c r="N96" s="376">
        <f>IFERROR(VLOOKUP(C96,'تقرير المصروفات حسب الشهر'!$C$1270:$AD$1381,10,FALSE),0)</f>
        <v>0</v>
      </c>
      <c r="O96" s="376">
        <f>IFERROR(VLOOKUP(C96,'تقرير المصروفات حسب الشهر'!$C$1397:$AD$1512,10,FALSE),0)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الشهر'!$C$10:$AD$119,10,FALSE),0)</f>
        <v>0</v>
      </c>
      <c r="E97" s="362">
        <f>IFERROR(VLOOKUP(C97,'تقرير المصروفات حسب الشهر'!$C$135:$AD$244,10,FALSE),0)</f>
        <v>0</v>
      </c>
      <c r="F97" s="362">
        <f>IFERROR(VLOOKUP(C97,'تقرير المصروفات حسب الشهر'!$C$261:$AD$368,10,FALSE),0)</f>
        <v>0</v>
      </c>
      <c r="G97" s="362">
        <f>IFERROR(VLOOKUP(C97,'تقرير المصروفات حسب الشهر'!$C$387:$AD$495,10,FALSE),0)</f>
        <v>0</v>
      </c>
      <c r="H97" s="362">
        <f>IFERROR(VLOOKUP(C97,'تقرير المصروفات حسب الشهر'!$C$512:$AD$620,10,FALSE),0)</f>
        <v>0</v>
      </c>
      <c r="I97" s="362">
        <f>IFERROR(VLOOKUP(C97,'تقرير المصروفات حسب الشهر'!$C$637:$AD$746,10,FALSE),0)</f>
        <v>2.46</v>
      </c>
      <c r="J97" s="362">
        <f>IFERROR(VLOOKUP(C97,'تقرير المصروفات حسب الشهر'!$C$763:$AD$872,10,FALSE),0)</f>
        <v>73.33</v>
      </c>
      <c r="K97" s="362">
        <f>IFERROR(VLOOKUP(C97,'تقرير المصروفات حسب الشهر'!$C$890:$AD$999,10,FALSE),0)</f>
        <v>73.33</v>
      </c>
      <c r="L97" s="362">
        <f>IFERROR(VLOOKUP(C97,'تقرير المصروفات حسب الشهر'!$C$1016:$AD$1126,10,FALSE),0)</f>
        <v>73.33</v>
      </c>
      <c r="M97" s="376">
        <f>IFERROR(VLOOKUP(C97,'تقرير المصروفات حسب الشهر'!$C$1143:$AD$1254,10,FALSE),0)</f>
        <v>73.33</v>
      </c>
      <c r="N97" s="376">
        <f>IFERROR(VLOOKUP(C97,'تقرير المصروفات حسب الشهر'!$C$1270:$AD$1381,10,FALSE),0)</f>
        <v>73.33</v>
      </c>
      <c r="O97" s="376">
        <f>IFERROR(VLOOKUP(C97,'تقرير المصروفات حسب الشهر'!$C$1397:$AD$1512,10,FALSE),0)</f>
        <v>73.33</v>
      </c>
      <c r="P97" s="364">
        <f t="shared" si="6"/>
        <v>442.43999999999994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الشهر'!$C$10:$AD$119,10,FALSE),0)</f>
        <v>0</v>
      </c>
      <c r="E98" s="362">
        <f>IFERROR(VLOOKUP(C98,'تقرير المصروفات حسب الشهر'!$C$135:$AD$244,10,FALSE),0)</f>
        <v>0</v>
      </c>
      <c r="F98" s="362">
        <f>IFERROR(VLOOKUP(C98,'تقرير المصروفات حسب الشهر'!$C$261:$AD$368,10,FALSE),0)</f>
        <v>0</v>
      </c>
      <c r="G98" s="362">
        <f>IFERROR(VLOOKUP(C98,'تقرير المصروفات حسب الشهر'!$C$387:$AD$495,10,FALSE),0)</f>
        <v>0</v>
      </c>
      <c r="H98" s="362">
        <f>IFERROR(VLOOKUP(C98,'تقرير المصروفات حسب الشهر'!$C$512:$AD$620,10,FALSE),0)</f>
        <v>0</v>
      </c>
      <c r="I98" s="362">
        <f>IFERROR(VLOOKUP(C98,'تقرير المصروفات حسب الشهر'!$C$637:$AD$746,10,FALSE),0)</f>
        <v>0</v>
      </c>
      <c r="J98" s="362">
        <f>IFERROR(VLOOKUP(C98,'تقرير المصروفات حسب الشهر'!$C$763:$AD$872,10,FALSE),0)</f>
        <v>0</v>
      </c>
      <c r="K98" s="362">
        <f>IFERROR(VLOOKUP(C98,'تقرير المصروفات حسب الشهر'!$C$890:$AD$999,10,FALSE),0)</f>
        <v>0</v>
      </c>
      <c r="L98" s="362">
        <f>IFERROR(VLOOKUP(C98,'تقرير المصروفات حسب الشهر'!$C$1016:$AD$1126,10,FALSE),0)</f>
        <v>0</v>
      </c>
      <c r="M98" s="376">
        <f>IFERROR(VLOOKUP(C98,'تقرير المصروفات حسب الشهر'!$C$1143:$AD$1254,10,FALSE),0)</f>
        <v>0</v>
      </c>
      <c r="N98" s="376">
        <f>IFERROR(VLOOKUP(C98,'تقرير المصروفات حسب الشهر'!$C$1270:$AD$1381,10,FALSE),0)</f>
        <v>0</v>
      </c>
      <c r="O98" s="376">
        <f>IFERROR(VLOOKUP(C98,'تقرير المصروفات حسب الشهر'!$C$1397:$AD$1512,10,FALSE),0)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الشهر'!$C$10:$AD$119,10,FALSE),0)</f>
        <v>0</v>
      </c>
      <c r="E99" s="362">
        <f>IFERROR(VLOOKUP(C99,'تقرير المصروفات حسب الشهر'!$C$135:$AD$244,10,FALSE),0)</f>
        <v>0</v>
      </c>
      <c r="F99" s="362">
        <f>IFERROR(VLOOKUP(C99,'تقرير المصروفات حسب الشهر'!$C$261:$AD$368,10,FALSE),0)</f>
        <v>0</v>
      </c>
      <c r="G99" s="362">
        <f>IFERROR(VLOOKUP(C99,'تقرير المصروفات حسب الشهر'!$C$387:$AD$495,10,FALSE),0)</f>
        <v>0</v>
      </c>
      <c r="H99" s="362">
        <f>IFERROR(VLOOKUP(C99,'تقرير المصروفات حسب الشهر'!$C$512:$AD$620,10,FALSE),0)</f>
        <v>0</v>
      </c>
      <c r="I99" s="362">
        <f>IFERROR(VLOOKUP(C99,'تقرير المصروفات حسب الشهر'!$C$637:$AD$746,10,FALSE),0)</f>
        <v>0</v>
      </c>
      <c r="J99" s="362">
        <f>IFERROR(VLOOKUP(C99,'تقرير المصروفات حسب الشهر'!$C$763:$AD$872,10,FALSE),0)</f>
        <v>0</v>
      </c>
      <c r="K99" s="362">
        <f>IFERROR(VLOOKUP(C99,'تقرير المصروفات حسب الشهر'!$C$890:$AD$999,10,FALSE),0)</f>
        <v>0</v>
      </c>
      <c r="L99" s="362">
        <f>IFERROR(VLOOKUP(C99,'تقرير المصروفات حسب الشهر'!$C$1016:$AD$1126,10,FALSE),0)</f>
        <v>0</v>
      </c>
      <c r="M99" s="376">
        <f>IFERROR(VLOOKUP(C99,'تقرير المصروفات حسب الشهر'!$C$1143:$AD$1254,10,FALSE),0)</f>
        <v>0</v>
      </c>
      <c r="N99" s="376">
        <f>IFERROR(VLOOKUP(C99,'تقرير المصروفات حسب الشهر'!$C$1270:$AD$1381,10,FALSE),0)</f>
        <v>0</v>
      </c>
      <c r="O99" s="376">
        <f>IFERROR(VLOOKUP(C99,'تقرير المصروفات حسب الشهر'!$C$1397:$AD$1512,10,FALSE),0)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الشهر'!$C$10:$AD$119,10,FALSE),0)</f>
        <v>313.52999999999997</v>
      </c>
      <c r="E100" s="362">
        <f>IFERROR(VLOOKUP(C100,'تقرير المصروفات حسب الشهر'!$C$135:$AD$244,10,FALSE),0)</f>
        <v>300.93</v>
      </c>
      <c r="F100" s="362">
        <f>IFERROR(VLOOKUP(C100,'تقرير المصروفات حسب الشهر'!$C$261:$AD$368,10,FALSE),0)</f>
        <v>289.57</v>
      </c>
      <c r="G100" s="362">
        <f>IFERROR(VLOOKUP(C100,'تقرير المصروفات حسب الشهر'!$C$387:$AD$495,10,FALSE),0)</f>
        <v>289.57</v>
      </c>
      <c r="H100" s="362">
        <f>IFERROR(VLOOKUP(C100,'تقرير المصروفات حسب الشهر'!$C$512:$AD$620,10,FALSE),0)</f>
        <v>289.57</v>
      </c>
      <c r="I100" s="362">
        <f>IFERROR(VLOOKUP(C100,'تقرير المصروفات حسب الشهر'!$C$637:$AD$746,10,FALSE),0)</f>
        <v>289.57</v>
      </c>
      <c r="J100" s="362">
        <f>IFERROR(VLOOKUP(C100,'تقرير المصروفات حسب الشهر'!$C$763:$AD$872,10,FALSE),0)</f>
        <v>337.39</v>
      </c>
      <c r="K100" s="362">
        <f>IFERROR(VLOOKUP(C100,'تقرير المصروفات حسب الشهر'!$C$890:$AD$999,10,FALSE),0)</f>
        <v>371.97</v>
      </c>
      <c r="L100" s="362">
        <f>IFERROR(VLOOKUP(C100,'تقرير المصروفات حسب الشهر'!$C$1016:$AD$1126,10,FALSE),0)</f>
        <v>371.97</v>
      </c>
      <c r="M100" s="376">
        <f>IFERROR(VLOOKUP(C100,'تقرير المصروفات حسب الشهر'!$C$1143:$AD$1254,10,FALSE),0)</f>
        <v>371.97</v>
      </c>
      <c r="N100" s="376">
        <f>IFERROR(VLOOKUP(C100,'تقرير المصروفات حسب الشهر'!$C$1270:$AD$1381,10,FALSE),0)</f>
        <v>371.88</v>
      </c>
      <c r="O100" s="376">
        <f>IFERROR(VLOOKUP(C100,'تقرير المصروفات حسب الشهر'!$C$1397:$AD$1512,10,FALSE),0)</f>
        <v>82.4</v>
      </c>
      <c r="P100" s="364">
        <f t="shared" si="6"/>
        <v>3680.32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الشهر'!$C$10:$AD$119,10,FALSE),0)</f>
        <v>53.44</v>
      </c>
      <c r="E101" s="362">
        <f>IFERROR(VLOOKUP(C101,'تقرير المصروفات حسب الشهر'!$C$135:$AD$244,10,FALSE),0)</f>
        <v>53.44</v>
      </c>
      <c r="F101" s="362">
        <f>IFERROR(VLOOKUP(C101,'تقرير المصروفات حسب الشهر'!$C$261:$AD$368,10,FALSE),0)</f>
        <v>53.44</v>
      </c>
      <c r="G101" s="362">
        <f>IFERROR(VLOOKUP(C101,'تقرير المصروفات حسب الشهر'!$C$387:$AD$495,10,FALSE),0)</f>
        <v>53.44</v>
      </c>
      <c r="H101" s="362">
        <f>IFERROR(VLOOKUP(C101,'تقرير المصروفات حسب الشهر'!$C$512:$AD$620,10,FALSE),0)</f>
        <v>53.44</v>
      </c>
      <c r="I101" s="362">
        <f>IFERROR(VLOOKUP(C101,'تقرير المصروفات حسب الشهر'!$C$637:$AD$746,10,FALSE),0)</f>
        <v>53.44</v>
      </c>
      <c r="J101" s="362">
        <f>IFERROR(VLOOKUP(C101,'تقرير المصروفات حسب الشهر'!$C$763:$AD$872,10,FALSE),0)</f>
        <v>53.44</v>
      </c>
      <c r="K101" s="362">
        <f>IFERROR(VLOOKUP(C101,'تقرير المصروفات حسب الشهر'!$C$890:$AD$999,10,FALSE),0)</f>
        <v>38.17</v>
      </c>
      <c r="L101" s="362">
        <f>IFERROR(VLOOKUP(C101,'تقرير المصروفات حسب الشهر'!$C$1016:$AD$1126,10,FALSE),0)</f>
        <v>0</v>
      </c>
      <c r="M101" s="376">
        <f>IFERROR(VLOOKUP(C101,'تقرير المصروفات حسب الشهر'!$C$1143:$AD$1254,10,FALSE),0)</f>
        <v>0</v>
      </c>
      <c r="N101" s="376">
        <f>IFERROR(VLOOKUP(C101,'تقرير المصروفات حسب الشهر'!$C$1270:$AD$1381,10,FALSE),0)</f>
        <v>0</v>
      </c>
      <c r="O101" s="376">
        <f>IFERROR(VLOOKUP(C101,'تقرير المصروفات حسب الشهر'!$C$1397:$AD$1512,10,FALSE),0)</f>
        <v>0</v>
      </c>
      <c r="P101" s="364">
        <f t="shared" si="6"/>
        <v>412.25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الشهر'!$C$10:$AD$119,10,FALSE),0)</f>
        <v>45.81</v>
      </c>
      <c r="E102" s="362">
        <f>IFERROR(VLOOKUP(C102,'تقرير المصروفات حسب الشهر'!$C$135:$AD$244,10,FALSE),0)</f>
        <v>3.44</v>
      </c>
      <c r="F102" s="362">
        <f>IFERROR(VLOOKUP(C102,'تقرير المصروفات حسب الشهر'!$C$261:$AD$368,10,FALSE),0)</f>
        <v>0</v>
      </c>
      <c r="G102" s="362">
        <f>IFERROR(VLOOKUP(C102,'تقرير المصروفات حسب الشهر'!$C$387:$AD$495,10,FALSE),0)</f>
        <v>0</v>
      </c>
      <c r="H102" s="362">
        <f>IFERROR(VLOOKUP(C102,'تقرير المصروفات حسب الشهر'!$C$512:$AD$620,10,FALSE),0)</f>
        <v>0</v>
      </c>
      <c r="I102" s="362">
        <f>IFERROR(VLOOKUP(C102,'تقرير المصروفات حسب الشهر'!$C$637:$AD$746,10,FALSE),0)</f>
        <v>0</v>
      </c>
      <c r="J102" s="362">
        <f>IFERROR(VLOOKUP(C102,'تقرير المصروفات حسب الشهر'!$C$763:$AD$872,10,FALSE),0)</f>
        <v>0</v>
      </c>
      <c r="K102" s="362">
        <f>IFERROR(VLOOKUP(C102,'تقرير المصروفات حسب الشهر'!$C$890:$AD$999,10,FALSE),0)</f>
        <v>0</v>
      </c>
      <c r="L102" s="362">
        <f>IFERROR(VLOOKUP(C102,'تقرير المصروفات حسب الشهر'!$C$1016:$AD$1126,10,FALSE),0)</f>
        <v>0</v>
      </c>
      <c r="M102" s="376">
        <f>IFERROR(VLOOKUP(C102,'تقرير المصروفات حسب الشهر'!$C$1143:$AD$1254,10,FALSE),0)</f>
        <v>0</v>
      </c>
      <c r="N102" s="376">
        <f>IFERROR(VLOOKUP(C102,'تقرير المصروفات حسب الشهر'!$C$1270:$AD$1381,10,FALSE),0)</f>
        <v>0</v>
      </c>
      <c r="O102" s="376">
        <f>IFERROR(VLOOKUP(C102,'تقرير المصروفات حسب الشهر'!$C$1397:$AD$1512,10,FALSE),0)</f>
        <v>0</v>
      </c>
      <c r="P102" s="364">
        <f t="shared" si="6"/>
        <v>49.25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الشهر'!$C$10:$AD$119,10,FALSE),0)</f>
        <v>0</v>
      </c>
      <c r="E103" s="362">
        <f>IFERROR(VLOOKUP(C103,'تقرير المصروفات حسب الشهر'!$C$135:$AD$244,10,FALSE),0)</f>
        <v>6.88</v>
      </c>
      <c r="F103" s="362">
        <f>IFERROR(VLOOKUP(C103,'تقرير المصروفات حسب الشهر'!$C$261:$AD$368,10,FALSE),0)</f>
        <v>0</v>
      </c>
      <c r="G103" s="362">
        <f>IFERROR(VLOOKUP(C103,'تقرير المصروفات حسب الشهر'!$C$387:$AD$495,10,FALSE),0)</f>
        <v>0</v>
      </c>
      <c r="H103" s="362">
        <f>IFERROR(VLOOKUP(C103,'تقرير المصروفات حسب الشهر'!$C$512:$AD$620,10,FALSE),0)</f>
        <v>0</v>
      </c>
      <c r="I103" s="362">
        <f>IFERROR(VLOOKUP(C103,'تقرير المصروفات حسب الشهر'!$C$637:$AD$746,10,FALSE),0)</f>
        <v>0</v>
      </c>
      <c r="J103" s="362">
        <f>IFERROR(VLOOKUP(C103,'تقرير المصروفات حسب الشهر'!$C$763:$AD$872,10,FALSE),0)</f>
        <v>0</v>
      </c>
      <c r="K103" s="362">
        <f>IFERROR(VLOOKUP(C103,'تقرير المصروفات حسب الشهر'!$C$890:$AD$999,10,FALSE),0)</f>
        <v>0</v>
      </c>
      <c r="L103" s="362">
        <f>IFERROR(VLOOKUP(C103,'تقرير المصروفات حسب الشهر'!$C$1016:$AD$1126,10,FALSE),0)</f>
        <v>0</v>
      </c>
      <c r="M103" s="376">
        <f>IFERROR(VLOOKUP(C103,'تقرير المصروفات حسب الشهر'!$C$1143:$AD$1254,10,FALSE),0)</f>
        <v>0</v>
      </c>
      <c r="N103" s="376">
        <f>IFERROR(VLOOKUP(C103,'تقرير المصروفات حسب الشهر'!$C$1270:$AD$1381,10,FALSE),0)</f>
        <v>0</v>
      </c>
      <c r="O103" s="376">
        <f>IFERROR(VLOOKUP(C103,'تقرير المصروفات حسب الشهر'!$C$1397:$AD$1512,10,FALSE),0)</f>
        <v>0</v>
      </c>
      <c r="P103" s="364">
        <f t="shared" si="6"/>
        <v>6.88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الشهر'!$C$10:$AD$119,10,FALSE),0)</f>
        <v>0</v>
      </c>
      <c r="E104" s="362">
        <f>IFERROR(VLOOKUP(C104,'تقرير المصروفات حسب الشهر'!$C$135:$AD$244,10,FALSE),0)</f>
        <v>0</v>
      </c>
      <c r="F104" s="362">
        <f>IFERROR(VLOOKUP(C104,'تقرير المصروفات حسب الشهر'!$C$261:$AD$368,10,FALSE),0)</f>
        <v>0</v>
      </c>
      <c r="G104" s="362">
        <f>IFERROR(VLOOKUP(C104,'تقرير المصروفات حسب الشهر'!$C$387:$AD$495,10,FALSE),0)</f>
        <v>0</v>
      </c>
      <c r="H104" s="362">
        <f>IFERROR(VLOOKUP(C104,'تقرير المصروفات حسب الشهر'!$C$512:$AD$620,10,FALSE),0)</f>
        <v>0</v>
      </c>
      <c r="I104" s="362">
        <f>IFERROR(VLOOKUP(C104,'تقرير المصروفات حسب الشهر'!$C$637:$AD$746,10,FALSE),0)</f>
        <v>0</v>
      </c>
      <c r="J104" s="362">
        <f>IFERROR(VLOOKUP(C104,'تقرير المصروفات حسب الشهر'!$C$763:$AD$872,10,FALSE),0)</f>
        <v>0</v>
      </c>
      <c r="K104" s="362">
        <f>IFERROR(VLOOKUP(C104,'تقرير المصروفات حسب الشهر'!$C$890:$AD$999,10,FALSE),0)</f>
        <v>0</v>
      </c>
      <c r="L104" s="362">
        <f>IFERROR(VLOOKUP(C104,'تقرير المصروفات حسب الشهر'!$C$1016:$AD$1126,10,FALSE),0)</f>
        <v>0</v>
      </c>
      <c r="M104" s="376">
        <f>IFERROR(VLOOKUP(C104,'تقرير المصروفات حسب الشهر'!$C$1143:$AD$1254,10,FALSE),0)</f>
        <v>0</v>
      </c>
      <c r="N104" s="376">
        <f>IFERROR(VLOOKUP(C104,'تقرير المصروفات حسب الشهر'!$C$1270:$AD$1381,10,FALSE),0)</f>
        <v>0</v>
      </c>
      <c r="O104" s="376">
        <f>IFERROR(VLOOKUP(C104,'تقرير المصروفات حسب الشهر'!$C$1397:$AD$1512,10,FALSE),0)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الشهر'!$C$10:$AD$119,10,FALSE),0)</f>
        <v>0</v>
      </c>
      <c r="E105" s="362">
        <f>IFERROR(VLOOKUP(C105,'تقرير المصروفات حسب الشهر'!$C$135:$AD$244,10,FALSE),0)</f>
        <v>0</v>
      </c>
      <c r="F105" s="362">
        <f>IFERROR(VLOOKUP(C105,'تقرير المصروفات حسب الشهر'!$C$261:$AD$368,10,FALSE),0)</f>
        <v>0</v>
      </c>
      <c r="G105" s="362">
        <f>IFERROR(VLOOKUP(C105,'تقرير المصروفات حسب الشهر'!$C$387:$AD$495,10,FALSE),0)</f>
        <v>0</v>
      </c>
      <c r="H105" s="362">
        <f>IFERROR(VLOOKUP(C105,'تقرير المصروفات حسب الشهر'!$C$512:$AD$620,10,FALSE),0)</f>
        <v>0</v>
      </c>
      <c r="I105" s="362">
        <f>IFERROR(VLOOKUP(C105,'تقرير المصروفات حسب الشهر'!$C$637:$AD$746,10,FALSE),0)</f>
        <v>0</v>
      </c>
      <c r="J105" s="362">
        <f>IFERROR(VLOOKUP(C105,'تقرير المصروفات حسب الشهر'!$C$763:$AD$872,10,FALSE),0)</f>
        <v>0</v>
      </c>
      <c r="K105" s="362">
        <f>IFERROR(VLOOKUP(C105,'تقرير المصروفات حسب الشهر'!$C$890:$AD$999,10,FALSE),0)</f>
        <v>0</v>
      </c>
      <c r="L105" s="362">
        <f>IFERROR(VLOOKUP(C105,'تقرير المصروفات حسب الشهر'!$C$1016:$AD$1126,10,FALSE),0)</f>
        <v>0</v>
      </c>
      <c r="M105" s="376">
        <f>IFERROR(VLOOKUP(C105,'تقرير المصروفات حسب الشهر'!$C$1143:$AD$1254,10,FALSE),0)</f>
        <v>0</v>
      </c>
      <c r="N105" s="376">
        <f>IFERROR(VLOOKUP(C105,'تقرير المصروفات حسب الشهر'!$C$1270:$AD$1381,10,FALSE),0)</f>
        <v>0</v>
      </c>
      <c r="O105" s="376">
        <f>IFERROR(VLOOKUP(C105,'تقرير المصروفات حسب الشهر'!$C$1397:$AD$1512,10,FALSE),0)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الشهر'!$C$10:$AD$119,10,FALSE),0)</f>
        <v>0</v>
      </c>
      <c r="E106" s="362">
        <f>IFERROR(VLOOKUP(C106,'تقرير المصروفات حسب الشهر'!$C$135:$AD$244,10,FALSE),0)</f>
        <v>0</v>
      </c>
      <c r="F106" s="362">
        <f>IFERROR(VLOOKUP(C106,'تقرير المصروفات حسب الشهر'!$C$261:$AD$368,10,FALSE),0)</f>
        <v>0</v>
      </c>
      <c r="G106" s="362">
        <f>IFERROR(VLOOKUP(C106,'تقرير المصروفات حسب الشهر'!$C$387:$AD$495,10,FALSE),0)</f>
        <v>0</v>
      </c>
      <c r="H106" s="362">
        <f>IFERROR(VLOOKUP(C106,'تقرير المصروفات حسب الشهر'!$C$512:$AD$620,10,FALSE),0)</f>
        <v>0</v>
      </c>
      <c r="I106" s="362">
        <f>IFERROR(VLOOKUP(C106,'تقرير المصروفات حسب الشهر'!$C$637:$AD$746,10,FALSE),0)</f>
        <v>0</v>
      </c>
      <c r="J106" s="362">
        <f>IFERROR(VLOOKUP(C106,'تقرير المصروفات حسب الشهر'!$C$763:$AD$872,10,FALSE),0)</f>
        <v>0</v>
      </c>
      <c r="K106" s="362">
        <f>IFERROR(VLOOKUP(C106,'تقرير المصروفات حسب الشهر'!$C$890:$AD$999,10,FALSE),0)</f>
        <v>0</v>
      </c>
      <c r="L106" s="362">
        <f>IFERROR(VLOOKUP(C106,'تقرير المصروفات حسب الشهر'!$C$1016:$AD$1126,10,FALSE),0)</f>
        <v>0</v>
      </c>
      <c r="M106" s="376">
        <f>IFERROR(VLOOKUP(C106,'تقرير المصروفات حسب الشهر'!$C$1143:$AD$1254,10,FALSE),0)</f>
        <v>0</v>
      </c>
      <c r="N106" s="376">
        <f>IFERROR(VLOOKUP(C106,'تقرير المصروفات حسب الشهر'!$C$1270:$AD$1381,10,FALSE),0)</f>
        <v>0</v>
      </c>
      <c r="O106" s="376">
        <f>IFERROR(VLOOKUP(C106,'تقرير المصروفات حسب الشهر'!$C$1397:$AD$1512,10,FALSE),0)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الشهر'!$C$10:$AD$119,10,FALSE),0)</f>
        <v>0</v>
      </c>
      <c r="E107" s="362">
        <f>IFERROR(VLOOKUP(C107,'تقرير المصروفات حسب الشهر'!$C$135:$AD$244,10,FALSE),0)</f>
        <v>0</v>
      </c>
      <c r="F107" s="362">
        <f>IFERROR(VLOOKUP(C107,'تقرير المصروفات حسب الشهر'!$C$261:$AD$368,10,FALSE),0)</f>
        <v>0</v>
      </c>
      <c r="G107" s="362">
        <f>IFERROR(VLOOKUP(C107,'تقرير المصروفات حسب الشهر'!$C$387:$AD$495,10,FALSE),0)</f>
        <v>0</v>
      </c>
      <c r="H107" s="362">
        <f>IFERROR(VLOOKUP(C107,'تقرير المصروفات حسب الشهر'!$C$512:$AD$620,10,FALSE),0)</f>
        <v>0</v>
      </c>
      <c r="I107" s="362">
        <f>IFERROR(VLOOKUP(C107,'تقرير المصروفات حسب الشهر'!$C$637:$AD$746,10,FALSE),0)</f>
        <v>0</v>
      </c>
      <c r="J107" s="362">
        <f>IFERROR(VLOOKUP(C107,'تقرير المصروفات حسب الشهر'!$C$763:$AD$872,10,FALSE),0)</f>
        <v>0</v>
      </c>
      <c r="K107" s="362">
        <f>IFERROR(VLOOKUP(C107,'تقرير المصروفات حسب الشهر'!$C$890:$AD$999,10,FALSE),0)</f>
        <v>0</v>
      </c>
      <c r="L107" s="362">
        <f>IFERROR(VLOOKUP(C107,'تقرير المصروفات حسب الشهر'!$C$1016:$AD$1126,10,FALSE),0)</f>
        <v>0</v>
      </c>
      <c r="M107" s="376">
        <f>IFERROR(VLOOKUP(C107,'تقرير المصروفات حسب الشهر'!$C$1143:$AD$1254,10,FALSE),0)</f>
        <v>0</v>
      </c>
      <c r="N107" s="376">
        <f>IFERROR(VLOOKUP(C107,'تقرير المصروفات حسب الشهر'!$C$1270:$AD$1381,10,FALSE),0)</f>
        <v>0</v>
      </c>
      <c r="O107" s="376">
        <f>IFERROR(VLOOKUP(C107,'تقرير المصروفات حسب الشهر'!$C$1397:$AD$1512,10,FALSE),0)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الشهر'!$C$10:$AD$119,10,FALSE),0)</f>
        <v>0</v>
      </c>
      <c r="E108" s="362">
        <f>IFERROR(VLOOKUP(C108,'تقرير المصروفات حسب الشهر'!$C$135:$AD$244,10,FALSE),0)</f>
        <v>0</v>
      </c>
      <c r="F108" s="362">
        <f>IFERROR(VLOOKUP(C108,'تقرير المصروفات حسب الشهر'!$C$261:$AD$368,10,FALSE),0)</f>
        <v>0</v>
      </c>
      <c r="G108" s="362">
        <f>IFERROR(VLOOKUP(C108,'تقرير المصروفات حسب الشهر'!$C$387:$AD$495,10,FALSE),0)</f>
        <v>0</v>
      </c>
      <c r="H108" s="362">
        <f>IFERROR(VLOOKUP(C108,'تقرير المصروفات حسب الشهر'!$C$512:$AD$620,10,FALSE),0)</f>
        <v>0</v>
      </c>
      <c r="I108" s="362">
        <f>IFERROR(VLOOKUP(C108,'تقرير المصروفات حسب الشهر'!$C$637:$AD$746,10,FALSE),0)</f>
        <v>0</v>
      </c>
      <c r="J108" s="362">
        <f>IFERROR(VLOOKUP(C108,'تقرير المصروفات حسب الشهر'!$C$763:$AD$872,10,FALSE),0)</f>
        <v>0</v>
      </c>
      <c r="K108" s="362">
        <f>IFERROR(VLOOKUP(C108,'تقرير المصروفات حسب الشهر'!$C$890:$AD$999,10,FALSE),0)</f>
        <v>0</v>
      </c>
      <c r="L108" s="362">
        <f>IFERROR(VLOOKUP(C108,'تقرير المصروفات حسب الشهر'!$C$1016:$AD$1126,10,FALSE),0)</f>
        <v>0</v>
      </c>
      <c r="M108" s="376">
        <f>IFERROR(VLOOKUP(C108,'تقرير المصروفات حسب الشهر'!$C$1143:$AD$1254,10,FALSE),0)</f>
        <v>0</v>
      </c>
      <c r="N108" s="376">
        <f>IFERROR(VLOOKUP(C108,'تقرير المصروفات حسب الشهر'!$C$1270:$AD$1381,10,FALSE),0)</f>
        <v>0</v>
      </c>
      <c r="O108" s="376">
        <f>IFERROR(VLOOKUP(C108,'تقرير المصروفات حسب الشهر'!$C$1397:$AD$1512,10,FALSE),0)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الشهر'!$C$10:$AD$119,10,FALSE),0)</f>
        <v>0</v>
      </c>
      <c r="E109" s="362">
        <f>IFERROR(VLOOKUP(C109,'تقرير المصروفات حسب الشهر'!$C$135:$AD$244,10,FALSE),0)</f>
        <v>0</v>
      </c>
      <c r="F109" s="362">
        <f>IFERROR(VLOOKUP(C109,'تقرير المصروفات حسب الشهر'!$C$261:$AD$368,10,FALSE),0)</f>
        <v>0</v>
      </c>
      <c r="G109" s="362">
        <f>IFERROR(VLOOKUP(C109,'تقرير المصروفات حسب الشهر'!$C$387:$AD$495,10,FALSE),0)</f>
        <v>0</v>
      </c>
      <c r="H109" s="362">
        <f>IFERROR(VLOOKUP(C109,'تقرير المصروفات حسب الشهر'!$C$512:$AD$620,10,FALSE),0)</f>
        <v>0</v>
      </c>
      <c r="I109" s="362">
        <f>IFERROR(VLOOKUP(C109,'تقرير المصروفات حسب الشهر'!$C$637:$AD$746,10,FALSE),0)</f>
        <v>0</v>
      </c>
      <c r="J109" s="362">
        <f>IFERROR(VLOOKUP(C109,'تقرير المصروفات حسب الشهر'!$C$763:$AD$872,10,FALSE),0)</f>
        <v>0</v>
      </c>
      <c r="K109" s="362">
        <f>IFERROR(VLOOKUP(C109,'تقرير المصروفات حسب الشهر'!$C$890:$AD$999,10,FALSE),0)</f>
        <v>0</v>
      </c>
      <c r="L109" s="362">
        <f>IFERROR(VLOOKUP(C109,'تقرير المصروفات حسب الشهر'!$C$1016:$AD$1126,10,FALSE),0)</f>
        <v>0</v>
      </c>
      <c r="M109" s="376">
        <f>IFERROR(VLOOKUP(C109,'تقرير المصروفات حسب الشهر'!$C$1143:$AD$1254,10,FALSE),0)</f>
        <v>0</v>
      </c>
      <c r="N109" s="376">
        <f>IFERROR(VLOOKUP(C109,'تقرير المصروفات حسب الشهر'!$C$1270:$AD$1381,10,FALSE),0)</f>
        <v>0</v>
      </c>
      <c r="O109" s="376">
        <f>IFERROR(VLOOKUP(C109,'تقرير المصروفات حسب الشهر'!$C$1397:$AD$1512,10,FALSE),0)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الشهر'!$C$10:$AD$119,10,FALSE),0)</f>
        <v>1.72</v>
      </c>
      <c r="E110" s="362">
        <f>IFERROR(VLOOKUP(C110,'تقرير المصروفات حسب الشهر'!$C$135:$AD$244,10,FALSE),0)</f>
        <v>0</v>
      </c>
      <c r="F110" s="362">
        <f>IFERROR(VLOOKUP(C110,'تقرير المصروفات حسب الشهر'!$C$261:$AD$368,10,FALSE),0)</f>
        <v>0</v>
      </c>
      <c r="G110" s="362">
        <f>IFERROR(VLOOKUP(C110,'تقرير المصروفات حسب الشهر'!$C$387:$AD$495,10,FALSE),0)</f>
        <v>0</v>
      </c>
      <c r="H110" s="362">
        <f>IFERROR(VLOOKUP(C110,'تقرير المصروفات حسب الشهر'!$C$512:$AD$620,10,FALSE),0)</f>
        <v>1150.53</v>
      </c>
      <c r="I110" s="362">
        <f>IFERROR(VLOOKUP(C110,'تقرير المصروفات حسب الشهر'!$C$637:$AD$746,10,FALSE),0)</f>
        <v>0</v>
      </c>
      <c r="J110" s="362">
        <f>IFERROR(VLOOKUP(C110,'تقرير المصروفات حسب الشهر'!$C$763:$AD$872,10,FALSE),0)</f>
        <v>0</v>
      </c>
      <c r="K110" s="362">
        <f>IFERROR(VLOOKUP(C110,'تقرير المصروفات حسب الشهر'!$C$890:$AD$999,10,FALSE),0)</f>
        <v>0</v>
      </c>
      <c r="L110" s="362">
        <f>IFERROR(VLOOKUP(C110,'تقرير المصروفات حسب الشهر'!$C$1016:$AD$1126,10,FALSE),0)</f>
        <v>0</v>
      </c>
      <c r="M110" s="376">
        <f>IFERROR(VLOOKUP(C110,'تقرير المصروفات حسب الشهر'!$C$1143:$AD$1254,10,FALSE),0)</f>
        <v>0</v>
      </c>
      <c r="N110" s="376">
        <f>IFERROR(VLOOKUP(C110,'تقرير المصروفات حسب الشهر'!$C$1270:$AD$1381,10,FALSE),0)</f>
        <v>0</v>
      </c>
      <c r="O110" s="376">
        <f>IFERROR(VLOOKUP(C110,'تقرير المصروفات حسب الشهر'!$C$1397:$AD$1512,10,FALSE),0)</f>
        <v>0</v>
      </c>
      <c r="P110" s="364">
        <f t="shared" si="6"/>
        <v>1152.25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الشهر'!$C$10:$AD$119,10,FALSE),0)</f>
        <v>0</v>
      </c>
      <c r="E111" s="362">
        <f>IFERROR(VLOOKUP(C111,'تقرير المصروفات حسب الشهر'!$C$135:$AD$244,10,FALSE),0)</f>
        <v>0</v>
      </c>
      <c r="F111" s="362">
        <f>IFERROR(VLOOKUP(C111,'تقرير المصروفات حسب الشهر'!$C$261:$AD$368,10,FALSE),0)</f>
        <v>0</v>
      </c>
      <c r="G111" s="362">
        <f>IFERROR(VLOOKUP(C111,'تقرير المصروفات حسب الشهر'!$C$387:$AD$495,10,FALSE),0)</f>
        <v>0</v>
      </c>
      <c r="H111" s="362">
        <f>IFERROR(VLOOKUP(C111,'تقرير المصروفات حسب الشهر'!$C$512:$AD$620,10,FALSE),0)</f>
        <v>0</v>
      </c>
      <c r="I111" s="362">
        <f>IFERROR(VLOOKUP(C111,'تقرير المصروفات حسب الشهر'!$C$637:$AD$746,10,FALSE),0)</f>
        <v>0</v>
      </c>
      <c r="J111" s="362">
        <f>IFERROR(VLOOKUP(C111,'تقرير المصروفات حسب الشهر'!$C$763:$AD$872,10,FALSE),0)</f>
        <v>0</v>
      </c>
      <c r="K111" s="362">
        <f>IFERROR(VLOOKUP(C111,'تقرير المصروفات حسب الشهر'!$C$890:$AD$999,10,FALSE),0)</f>
        <v>0</v>
      </c>
      <c r="L111" s="362">
        <f>IFERROR(VLOOKUP(C111,'تقرير المصروفات حسب الشهر'!$C$1016:$AD$1126,10,FALSE),0)</f>
        <v>0</v>
      </c>
      <c r="M111" s="376">
        <f>IFERROR(VLOOKUP(C111,'تقرير المصروفات حسب الشهر'!$C$1143:$AD$1254,10,FALSE),0)</f>
        <v>0</v>
      </c>
      <c r="N111" s="376">
        <f>IFERROR(VLOOKUP(C111,'تقرير المصروفات حسب الشهر'!$C$1270:$AD$1381,10,FALSE),0)</f>
        <v>0</v>
      </c>
      <c r="O111" s="376">
        <f>IFERROR(VLOOKUP(C111,'تقرير المصروفات حسب الشهر'!$C$1397:$AD$1512,10,FALSE),0)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الشهر'!$C$10:$AD$119,10,FALSE),0)</f>
        <v>0</v>
      </c>
      <c r="E112" s="362">
        <f>IFERROR(VLOOKUP(C112,'تقرير المصروفات حسب الشهر'!$C$135:$AD$244,10,FALSE),0)</f>
        <v>1169</v>
      </c>
      <c r="F112" s="362">
        <f>IFERROR(VLOOKUP(C112,'تقرير المصروفات حسب الشهر'!$C$261:$AD$368,10,FALSE),0)</f>
        <v>1172</v>
      </c>
      <c r="G112" s="362">
        <f>IFERROR(VLOOKUP(C112,'تقرير المصروفات حسب الشهر'!$C$387:$AD$495,10,FALSE),0)</f>
        <v>1279</v>
      </c>
      <c r="H112" s="362">
        <f>IFERROR(VLOOKUP(C112,'تقرير المصروفات حسب الشهر'!$C$512:$AD$620,10,FALSE),0)</f>
        <v>1194</v>
      </c>
      <c r="I112" s="362">
        <f>IFERROR(VLOOKUP(C112,'تقرير المصروفات حسب الشهر'!$C$637:$AD$746,10,FALSE),0)</f>
        <v>1228</v>
      </c>
      <c r="J112" s="362">
        <f>IFERROR(VLOOKUP(C112,'تقرير المصروفات حسب الشهر'!$C$763:$AD$872,10,FALSE),0)</f>
        <v>2284</v>
      </c>
      <c r="K112" s="362">
        <f>IFERROR(VLOOKUP(C112,'تقرير المصروفات حسب الشهر'!$C$890:$AD$999,10,FALSE),0)</f>
        <v>1897</v>
      </c>
      <c r="L112" s="362">
        <f>IFERROR(VLOOKUP(C112,'تقرير المصروفات حسب الشهر'!$C$1016:$AD$1126,10,FALSE),0)</f>
        <v>890</v>
      </c>
      <c r="M112" s="376">
        <f>IFERROR(VLOOKUP(C112,'تقرير المصروفات حسب الشهر'!$C$1143:$AD$1254,10,FALSE),0)</f>
        <v>1414</v>
      </c>
      <c r="N112" s="376">
        <f>IFERROR(VLOOKUP(C112,'تقرير المصروفات حسب الشهر'!$C$1270:$AD$1381,10,FALSE),0)</f>
        <v>949</v>
      </c>
      <c r="O112" s="376">
        <f>IFERROR(VLOOKUP(C112,'تقرير المصروفات حسب الشهر'!$C$1397:$AD$1512,10,FALSE),0)</f>
        <v>2556</v>
      </c>
      <c r="P112" s="364">
        <f t="shared" si="6"/>
        <v>16032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الشهر'!$C$10:$AD$119,10,FALSE),0)</f>
        <v>0</v>
      </c>
      <c r="E113" s="362">
        <f>IFERROR(VLOOKUP(C113,'تقرير المصروفات حسب الشهر'!$C$135:$AD$244,10,FALSE),0)</f>
        <v>0</v>
      </c>
      <c r="F113" s="362">
        <f>IFERROR(VLOOKUP(C113,'تقرير المصروفات حسب الشهر'!$C$261:$AD$368,10,FALSE),0)</f>
        <v>0</v>
      </c>
      <c r="G113" s="362">
        <f>IFERROR(VLOOKUP(C113,'تقرير المصروفات حسب الشهر'!$C$387:$AD$495,10,FALSE),0)</f>
        <v>0</v>
      </c>
      <c r="H113" s="362">
        <f>IFERROR(VLOOKUP(C113,'تقرير المصروفات حسب الشهر'!$C$512:$AD$620,10,FALSE),0)</f>
        <v>0</v>
      </c>
      <c r="I113" s="362">
        <f>IFERROR(VLOOKUP(C113,'تقرير المصروفات حسب الشهر'!$C$637:$AD$746,10,FALSE),0)</f>
        <v>0</v>
      </c>
      <c r="J113" s="362">
        <f>IFERROR(VLOOKUP(C113,'تقرير المصروفات حسب الشهر'!$C$763:$AD$872,10,FALSE),0)</f>
        <v>0</v>
      </c>
      <c r="K113" s="362">
        <f>IFERROR(VLOOKUP(C113,'تقرير المصروفات حسب الشهر'!$C$890:$AD$999,10,FALSE),0)</f>
        <v>0</v>
      </c>
      <c r="L113" s="362">
        <f>IFERROR(VLOOKUP(C113,'تقرير المصروفات حسب الشهر'!$C$1016:$AD$1126,10,FALSE),0)</f>
        <v>0</v>
      </c>
      <c r="M113" s="376">
        <f>IFERROR(VLOOKUP(C113,'تقرير المصروفات حسب الشهر'!$C$1143:$AD$1254,10,FALSE),0)</f>
        <v>0</v>
      </c>
      <c r="N113" s="376">
        <f>IFERROR(VLOOKUP(C113,'تقرير المصروفات حسب الشهر'!$C$1270:$AD$1381,10,FALSE),0)</f>
        <v>0</v>
      </c>
      <c r="O113" s="376">
        <f>IFERROR(VLOOKUP(C113,'تقرير المصروفات حسب الشهر'!$C$1397:$AD$1512,10,FALSE),0)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الشهر'!$C$10:$AD$119,10,FALSE),0)</f>
        <v>0</v>
      </c>
      <c r="E114" s="362">
        <f>IFERROR(VLOOKUP(C114,'تقرير المصروفات حسب الشهر'!$C$135:$AD$244,10,FALSE),0)</f>
        <v>0</v>
      </c>
      <c r="F114" s="362">
        <f>IFERROR(VLOOKUP(C114,'تقرير المصروفات حسب الشهر'!$C$261:$AD$368,10,FALSE),0)</f>
        <v>0</v>
      </c>
      <c r="G114" s="362">
        <f>IFERROR(VLOOKUP(C114,'تقرير المصروفات حسب الشهر'!$C$387:$AD$495,10,FALSE),0)</f>
        <v>0</v>
      </c>
      <c r="H114" s="362">
        <f>IFERROR(VLOOKUP(C114,'تقرير المصروفات حسب الشهر'!$C$512:$AD$620,10,FALSE),0)</f>
        <v>0</v>
      </c>
      <c r="I114" s="362">
        <f>IFERROR(VLOOKUP(C114,'تقرير المصروفات حسب الشهر'!$C$637:$AD$746,10,FALSE),0)</f>
        <v>0</v>
      </c>
      <c r="J114" s="362">
        <f>IFERROR(VLOOKUP(C114,'تقرير المصروفات حسب الشهر'!$C$763:$AD$872,10,FALSE),0)</f>
        <v>0</v>
      </c>
      <c r="K114" s="362">
        <f>IFERROR(VLOOKUP(C114,'تقرير المصروفات حسب الشهر'!$C$890:$AD$999,10,FALSE),0)</f>
        <v>0</v>
      </c>
      <c r="L114" s="362">
        <f>IFERROR(VLOOKUP(C114,'تقرير المصروفات حسب الشهر'!$C$1016:$AD$1126,10,FALSE),0)</f>
        <v>0</v>
      </c>
      <c r="M114" s="376">
        <f>IFERROR(VLOOKUP(C114,'تقرير المصروفات حسب الشهر'!$C$1143:$AD$1254,10,FALSE),0)</f>
        <v>0</v>
      </c>
      <c r="N114" s="376">
        <f>IFERROR(VLOOKUP(C114,'تقرير المصروفات حسب الشهر'!$C$1270:$AD$1381,10,FALSE),0)</f>
        <v>0</v>
      </c>
      <c r="O114" s="376">
        <f>IFERROR(VLOOKUP(C114,'تقرير المصروفات حسب الشهر'!$C$1397:$AD$1512,10,FALSE),0)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الشهر'!$C$10:$AD$119,10,FALSE),0)</f>
        <v>0</v>
      </c>
      <c r="E115" s="362">
        <f>IFERROR(VLOOKUP(C115,'تقرير المصروفات حسب الشهر'!$C$135:$AD$244,10,FALSE),0)</f>
        <v>0</v>
      </c>
      <c r="F115" s="362">
        <f>IFERROR(VLOOKUP(C115,'تقرير المصروفات حسب الشهر'!$C$261:$AD$368,10,FALSE),0)</f>
        <v>0</v>
      </c>
      <c r="G115" s="362">
        <f>IFERROR(VLOOKUP(C115,'تقرير المصروفات حسب الشهر'!$C$387:$AD$495,10,FALSE),0)</f>
        <v>0</v>
      </c>
      <c r="H115" s="362">
        <f>IFERROR(VLOOKUP(C115,'تقرير المصروفات حسب الشهر'!$C$512:$AD$620,10,FALSE),0)</f>
        <v>0</v>
      </c>
      <c r="I115" s="362">
        <f>IFERROR(VLOOKUP(C115,'تقرير المصروفات حسب الشهر'!$C$637:$AD$746,10,FALSE),0)</f>
        <v>0</v>
      </c>
      <c r="J115" s="362">
        <f>IFERROR(VLOOKUP(C115,'تقرير المصروفات حسب الشهر'!$C$763:$AD$872,10,FALSE),0)</f>
        <v>0</v>
      </c>
      <c r="K115" s="362">
        <f>IFERROR(VLOOKUP(C115,'تقرير المصروفات حسب الشهر'!$C$890:$AD$999,10,FALSE),0)</f>
        <v>0</v>
      </c>
      <c r="L115" s="362">
        <f>IFERROR(VLOOKUP(C115,'تقرير المصروفات حسب الشهر'!$C$1016:$AD$1126,10,FALSE),0)</f>
        <v>0</v>
      </c>
      <c r="M115" s="376">
        <f>IFERROR(VLOOKUP(C115,'تقرير المصروفات حسب الشهر'!$C$1143:$AD$1254,10,FALSE),0)</f>
        <v>0</v>
      </c>
      <c r="N115" s="376">
        <f>IFERROR(VLOOKUP(C115,'تقرير المصروفات حسب الشهر'!$C$1270:$AD$1381,10,FALSE),0)</f>
        <v>0</v>
      </c>
      <c r="O115" s="376">
        <f>IFERROR(VLOOKUP(C115,'تقرير المصروفات حسب الشهر'!$C$1397:$AD$1512,10,FALSE),0)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الشهر'!$C$10:$AD$119,10,FALSE),0)</f>
        <v>0</v>
      </c>
      <c r="E116" s="362">
        <f>IFERROR(VLOOKUP(C116,'تقرير المصروفات حسب الشهر'!$C$135:$AD$244,10,FALSE),0)</f>
        <v>0</v>
      </c>
      <c r="F116" s="362">
        <f>IFERROR(VLOOKUP(C116,'تقرير المصروفات حسب الشهر'!$C$261:$AD$368,10,FALSE),0)</f>
        <v>0</v>
      </c>
      <c r="G116" s="362">
        <f>IFERROR(VLOOKUP(C116,'تقرير المصروفات حسب الشهر'!$C$387:$AD$495,10,FALSE),0)</f>
        <v>0</v>
      </c>
      <c r="H116" s="362">
        <f>IFERROR(VLOOKUP(C116,'تقرير المصروفات حسب الشهر'!$C$512:$AD$620,10,FALSE),0)</f>
        <v>0</v>
      </c>
      <c r="I116" s="362">
        <f>IFERROR(VLOOKUP(C116,'تقرير المصروفات حسب الشهر'!$C$637:$AD$746,10,FALSE),0)</f>
        <v>0</v>
      </c>
      <c r="J116" s="362">
        <f>IFERROR(VLOOKUP(C116,'تقرير المصروفات حسب الشهر'!$C$763:$AD$872,10,FALSE),0)</f>
        <v>0</v>
      </c>
      <c r="K116" s="362">
        <f>IFERROR(VLOOKUP(C116,'تقرير المصروفات حسب الشهر'!$C$890:$AD$999,10,FALSE),0)</f>
        <v>0</v>
      </c>
      <c r="L116" s="362">
        <f>IFERROR(VLOOKUP(C116,'تقرير المصروفات حسب الشهر'!$C$1016:$AD$1126,10,FALSE),0)</f>
        <v>0</v>
      </c>
      <c r="M116" s="376">
        <f>IFERROR(VLOOKUP(C116,'تقرير المصروفات حسب الشهر'!$C$1143:$AD$1254,10,FALSE),0)</f>
        <v>0</v>
      </c>
      <c r="N116" s="376">
        <f>IFERROR(VLOOKUP(C116,'تقرير المصروفات حسب الشهر'!$C$1270:$AD$1381,10,FALSE),0)</f>
        <v>0</v>
      </c>
      <c r="O116" s="376">
        <f>IFERROR(VLOOKUP(C116,'تقرير المصروفات حسب الشهر'!$C$1397:$AD$1512,10,FALSE),0)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الشهر'!$C$10:$AD$119,10,FALSE),0)</f>
        <v>0</v>
      </c>
      <c r="E117" s="362">
        <f>IFERROR(VLOOKUP(C117,'تقرير المصروفات حسب الشهر'!$C$135:$AD$244,10,FALSE),0)</f>
        <v>0</v>
      </c>
      <c r="F117" s="362">
        <f>IFERROR(VLOOKUP(C117,'تقرير المصروفات حسب الشهر'!$C$261:$AD$368,10,FALSE),0)</f>
        <v>0</v>
      </c>
      <c r="G117" s="362">
        <f>IFERROR(VLOOKUP(C117,'تقرير المصروفات حسب الشهر'!$C$387:$AD$495,10,FALSE),0)</f>
        <v>0</v>
      </c>
      <c r="H117" s="362">
        <f>IFERROR(VLOOKUP(C117,'تقرير المصروفات حسب الشهر'!$C$512:$AD$620,10,FALSE),0)</f>
        <v>0</v>
      </c>
      <c r="I117" s="362">
        <f>IFERROR(VLOOKUP(C117,'تقرير المصروفات حسب الشهر'!$C$637:$AD$746,10,FALSE),0)</f>
        <v>0</v>
      </c>
      <c r="J117" s="362">
        <f>IFERROR(VLOOKUP(C117,'تقرير المصروفات حسب الشهر'!$C$763:$AD$872,10,FALSE),0)</f>
        <v>0</v>
      </c>
      <c r="K117" s="362">
        <f>IFERROR(VLOOKUP(C117,'تقرير المصروفات حسب الشهر'!$C$890:$AD$999,10,FALSE),0)</f>
        <v>0</v>
      </c>
      <c r="L117" s="362">
        <f>IFERROR(VLOOKUP(C117,'تقرير المصروفات حسب الشهر'!$C$1016:$AD$1126,10,FALSE),0)</f>
        <v>0</v>
      </c>
      <c r="M117" s="376">
        <f>IFERROR(VLOOKUP(C117,'تقرير المصروفات حسب الشهر'!$C$1143:$AD$1254,10,FALSE),0)</f>
        <v>0</v>
      </c>
      <c r="N117" s="376">
        <f>IFERROR(VLOOKUP(C117,'تقرير المصروفات حسب الشهر'!$C$1270:$AD$1381,10,FALSE),0)</f>
        <v>0</v>
      </c>
      <c r="O117" s="376">
        <f>IFERROR(VLOOKUP(C117,'تقرير المصروفات حسب الشهر'!$C$1397:$AD$1512,10,FALSE),0)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الشهر'!$C$10:$AD$119,10,FALSE),0)</f>
        <v>0</v>
      </c>
      <c r="E118" s="362">
        <f>IFERROR(VLOOKUP(C118,'تقرير المصروفات حسب الشهر'!$C$135:$AD$244,10,FALSE),0)</f>
        <v>0</v>
      </c>
      <c r="F118" s="362">
        <f>IFERROR(VLOOKUP(C118,'تقرير المصروفات حسب الشهر'!$C$261:$AD$368,10,FALSE),0)</f>
        <v>0</v>
      </c>
      <c r="G118" s="362">
        <f>IFERROR(VLOOKUP(C118,'تقرير المصروفات حسب الشهر'!$C$387:$AD$495,10,FALSE),0)</f>
        <v>0</v>
      </c>
      <c r="H118" s="362">
        <f>IFERROR(VLOOKUP(C118,'تقرير المصروفات حسب الشهر'!$C$512:$AD$620,10,FALSE),0)</f>
        <v>0</v>
      </c>
      <c r="I118" s="362">
        <f>IFERROR(VLOOKUP(C118,'تقرير المصروفات حسب الشهر'!$C$637:$AD$746,10,FALSE),0)</f>
        <v>0</v>
      </c>
      <c r="J118" s="362">
        <f>IFERROR(VLOOKUP(C118,'تقرير المصروفات حسب الشهر'!$C$763:$AD$872,10,FALSE),0)</f>
        <v>0</v>
      </c>
      <c r="K118" s="362">
        <f>IFERROR(VLOOKUP(C118,'تقرير المصروفات حسب الشهر'!$C$890:$AD$999,10,FALSE),0)</f>
        <v>0</v>
      </c>
      <c r="L118" s="362">
        <f>IFERROR(VLOOKUP(C118,'تقرير المصروفات حسب الشهر'!$C$1016:$AD$1126,10,FALSE),0)</f>
        <v>0</v>
      </c>
      <c r="M118" s="376">
        <f>IFERROR(VLOOKUP(C118,'تقرير المصروفات حسب الشهر'!$C$1143:$AD$1254,10,FALSE),0)</f>
        <v>0</v>
      </c>
      <c r="N118" s="376">
        <f>IFERROR(VLOOKUP(C118,'تقرير المصروفات حسب الشهر'!$C$1270:$AD$1381,10,FALSE),0)</f>
        <v>0</v>
      </c>
      <c r="O118" s="376">
        <f>IFERROR(VLOOKUP(C118,'تقرير المصروفات حسب الشهر'!$C$1397:$AD$1512,10,FALSE),0)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الشهر'!$C$10:$AD$119,10,FALSE),0)</f>
        <v>0</v>
      </c>
      <c r="E119" s="362">
        <f>IFERROR(VLOOKUP(C119,'تقرير المصروفات حسب الشهر'!$C$135:$AD$244,10,FALSE),0)</f>
        <v>0</v>
      </c>
      <c r="F119" s="362">
        <f>IFERROR(VLOOKUP(C119,'تقرير المصروفات حسب الشهر'!$C$261:$AD$368,10,FALSE),0)</f>
        <v>0</v>
      </c>
      <c r="G119" s="362">
        <f>IFERROR(VLOOKUP(C119,'تقرير المصروفات حسب الشهر'!$C$387:$AD$495,10,FALSE),0)</f>
        <v>0</v>
      </c>
      <c r="H119" s="362">
        <f>IFERROR(VLOOKUP(C119,'تقرير المصروفات حسب الشهر'!$C$512:$AD$620,10,FALSE),0)</f>
        <v>0</v>
      </c>
      <c r="I119" s="362">
        <f>IFERROR(VLOOKUP(C119,'تقرير المصروفات حسب الشهر'!$C$637:$AD$746,10,FALSE),0)</f>
        <v>0</v>
      </c>
      <c r="J119" s="362">
        <f>IFERROR(VLOOKUP(C119,'تقرير المصروفات حسب الشهر'!$C$763:$AD$872,10,FALSE),0)</f>
        <v>0</v>
      </c>
      <c r="K119" s="362">
        <f>IFERROR(VLOOKUP(C119,'تقرير المصروفات حسب الشهر'!$C$890:$AD$999,10,FALSE),0)</f>
        <v>0</v>
      </c>
      <c r="L119" s="362">
        <f>IFERROR(VLOOKUP(C119,'تقرير المصروفات حسب الشهر'!$C$1016:$AD$1126,10,FALSE),0)</f>
        <v>0</v>
      </c>
      <c r="M119" s="376">
        <f>IFERROR(VLOOKUP(C119,'تقرير المصروفات حسب الشهر'!$C$1143:$AD$1254,10,FALSE),0)</f>
        <v>0</v>
      </c>
      <c r="N119" s="376">
        <f>IFERROR(VLOOKUP(C119,'تقرير المصروفات حسب الشهر'!$C$1270:$AD$1381,10,FALSE),0)</f>
        <v>0</v>
      </c>
      <c r="O119" s="376">
        <f>IFERROR(VLOOKUP(C119,'تقرير المصروفات حسب الشهر'!$C$1397:$AD$1512,10,FALSE),0)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الشهر'!$C$10:$AD$119,10,FALSE),0)</f>
        <v>0</v>
      </c>
      <c r="E120" s="362">
        <f>IFERROR(VLOOKUP(C120,'تقرير المصروفات حسب الشهر'!$C$135:$AD$244,10,FALSE),0)</f>
        <v>0</v>
      </c>
      <c r="F120" s="362">
        <f>IFERROR(VLOOKUP(C120,'تقرير المصروفات حسب الشهر'!$C$261:$AD$368,10,FALSE),0)</f>
        <v>0</v>
      </c>
      <c r="G120" s="362">
        <f>IFERROR(VLOOKUP(C120,'تقرير المصروفات حسب الشهر'!$C$387:$AD$495,10,FALSE),0)</f>
        <v>0</v>
      </c>
      <c r="H120" s="362">
        <f>IFERROR(VLOOKUP(C120,'تقرير المصروفات حسب الشهر'!$C$512:$AD$620,10,FALSE),0)</f>
        <v>0</v>
      </c>
      <c r="I120" s="362">
        <f>IFERROR(VLOOKUP(C120,'تقرير المصروفات حسب الشهر'!$C$637:$AD$746,10,FALSE),0)</f>
        <v>0</v>
      </c>
      <c r="J120" s="362">
        <f>IFERROR(VLOOKUP(C120,'تقرير المصروفات حسب الشهر'!$C$763:$AD$872,10,FALSE),0)</f>
        <v>0</v>
      </c>
      <c r="K120" s="362">
        <f>IFERROR(VLOOKUP(C120,'تقرير المصروفات حسب الشهر'!$C$890:$AD$999,10,FALSE),0)</f>
        <v>0</v>
      </c>
      <c r="L120" s="362">
        <f>IFERROR(VLOOKUP(C120,'تقرير المصروفات حسب الشهر'!$C$1016:$AD$1126,10,FALSE),0)</f>
        <v>0</v>
      </c>
      <c r="M120" s="376">
        <f>IFERROR(VLOOKUP(C120,'تقرير المصروفات حسب الشهر'!$C$1143:$AD$1254,10,FALSE),0)</f>
        <v>0</v>
      </c>
      <c r="N120" s="376">
        <f>IFERROR(VLOOKUP(C120,'تقرير المصروفات حسب الشهر'!$C$1270:$AD$1381,10,FALSE),0)</f>
        <v>0</v>
      </c>
      <c r="O120" s="376">
        <f>IFERROR(VLOOKUP(C120,'تقرير المصروفات حسب الشهر'!$C$1397:$AD$1512,10,FALSE),0)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الشهر'!$C$10:$AD$119,10,FALSE),0)</f>
        <v>0</v>
      </c>
      <c r="E121" s="362">
        <f>IFERROR(VLOOKUP(C121,'تقرير المصروفات حسب الشهر'!$C$135:$AD$244,10,FALSE),0)</f>
        <v>0</v>
      </c>
      <c r="F121" s="362">
        <f>IFERROR(VLOOKUP(C121,'تقرير المصروفات حسب الشهر'!$C$261:$AD$368,10,FALSE),0)</f>
        <v>0</v>
      </c>
      <c r="G121" s="362">
        <f>IFERROR(VLOOKUP(C121,'تقرير المصروفات حسب الشهر'!$C$387:$AD$495,10,FALSE),0)</f>
        <v>0</v>
      </c>
      <c r="H121" s="362">
        <f>IFERROR(VLOOKUP(C121,'تقرير المصروفات حسب الشهر'!$C$512:$AD$620,10,FALSE),0)</f>
        <v>0</v>
      </c>
      <c r="I121" s="362">
        <f>IFERROR(VLOOKUP(C121,'تقرير المصروفات حسب الشهر'!$C$637:$AD$746,10,FALSE),0)</f>
        <v>0</v>
      </c>
      <c r="J121" s="362">
        <f>IFERROR(VLOOKUP(C121,'تقرير المصروفات حسب الشهر'!$C$763:$AD$872,10,FALSE),0)</f>
        <v>0</v>
      </c>
      <c r="K121" s="362">
        <f>IFERROR(VLOOKUP(C121,'تقرير المصروفات حسب الشهر'!$C$890:$AD$999,10,FALSE),0)</f>
        <v>0</v>
      </c>
      <c r="L121" s="362">
        <f>IFERROR(VLOOKUP(C121,'تقرير المصروفات حسب الشهر'!$C$1016:$AD$1126,10,FALSE),0)</f>
        <v>0</v>
      </c>
      <c r="M121" s="376">
        <f>IFERROR(VLOOKUP(C121,'تقرير المصروفات حسب الشهر'!$C$1143:$AD$1254,10,FALSE),0)</f>
        <v>0</v>
      </c>
      <c r="N121" s="376">
        <f>IFERROR(VLOOKUP(C121,'تقرير المصروفات حسب الشهر'!$C$1270:$AD$1381,10,FALSE),0)</f>
        <v>0</v>
      </c>
      <c r="O121" s="376">
        <f>IFERROR(VLOOKUP(C121,'تقرير المصروفات حسب الشهر'!$C$1397:$AD$1512,10,FALSE),0)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الشهر'!$C$10:$AD$119,10,FALSE),0)</f>
        <v>0</v>
      </c>
      <c r="E122" s="362">
        <f>IFERROR(VLOOKUP(C122,'تقرير المصروفات حسب الشهر'!$C$135:$AD$244,10,FALSE),0)</f>
        <v>0</v>
      </c>
      <c r="F122" s="362">
        <f>IFERROR(VLOOKUP(C122,'تقرير المصروفات حسب الشهر'!$C$261:$AD$368,10,FALSE),0)</f>
        <v>0</v>
      </c>
      <c r="G122" s="362">
        <f>IFERROR(VLOOKUP(C122,'تقرير المصروفات حسب الشهر'!$C$387:$AD$495,10,FALSE),0)</f>
        <v>0</v>
      </c>
      <c r="H122" s="362">
        <f>IFERROR(VLOOKUP(C122,'تقرير المصروفات حسب الشهر'!$C$512:$AD$620,10,FALSE),0)</f>
        <v>0</v>
      </c>
      <c r="I122" s="362">
        <f>IFERROR(VLOOKUP(C122,'تقرير المصروفات حسب الشهر'!$C$637:$AD$746,10,FALSE),0)</f>
        <v>0</v>
      </c>
      <c r="J122" s="362">
        <f>IFERROR(VLOOKUP(C122,'تقرير المصروفات حسب الشهر'!$C$763:$AD$872,10,FALSE),0)</f>
        <v>0</v>
      </c>
      <c r="K122" s="362">
        <f>IFERROR(VLOOKUP(C122,'تقرير المصروفات حسب الشهر'!$C$890:$AD$999,10,FALSE),0)</f>
        <v>0</v>
      </c>
      <c r="L122" s="362">
        <f>IFERROR(VLOOKUP(C122,'تقرير المصروفات حسب الشهر'!$C$1016:$AD$1126,10,FALSE),0)</f>
        <v>0</v>
      </c>
      <c r="M122" s="376">
        <f>IFERROR(VLOOKUP(C122,'تقرير المصروفات حسب الشهر'!$C$1143:$AD$1254,10,FALSE),0)</f>
        <v>0</v>
      </c>
      <c r="N122" s="376">
        <f>IFERROR(VLOOKUP(C122,'تقرير المصروفات حسب الشهر'!$C$1270:$AD$1381,10,FALSE),0)</f>
        <v>0</v>
      </c>
      <c r="O122" s="376">
        <f>IFERROR(VLOOKUP(C122,'تقرير المصروفات حسب الشهر'!$C$1397:$AD$1512,10,FALSE),0)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الشهر'!$C$10:$AD$119,10,FALSE),0)</f>
        <v>0</v>
      </c>
      <c r="E123" s="362">
        <f>IFERROR(VLOOKUP(C123,'تقرير المصروفات حسب الشهر'!$C$135:$AD$244,10,FALSE),0)</f>
        <v>0</v>
      </c>
      <c r="F123" s="362">
        <f>IFERROR(VLOOKUP(C123,'تقرير المصروفات حسب الشهر'!$C$261:$AD$368,10,FALSE),0)</f>
        <v>0</v>
      </c>
      <c r="G123" s="362">
        <f>IFERROR(VLOOKUP(C123,'تقرير المصروفات حسب الشهر'!$C$387:$AD$495,10,FALSE),0)</f>
        <v>0</v>
      </c>
      <c r="H123" s="362">
        <f>IFERROR(VLOOKUP(C123,'تقرير المصروفات حسب الشهر'!$C$512:$AD$620,10,FALSE),0)</f>
        <v>0</v>
      </c>
      <c r="I123" s="362">
        <f>IFERROR(VLOOKUP(C123,'تقرير المصروفات حسب الشهر'!$C$637:$AD$746,10,FALSE),0)</f>
        <v>0</v>
      </c>
      <c r="J123" s="362">
        <f>IFERROR(VLOOKUP(C123,'تقرير المصروفات حسب الشهر'!$C$763:$AD$872,10,FALSE),0)</f>
        <v>0</v>
      </c>
      <c r="K123" s="362">
        <f>IFERROR(VLOOKUP(C123,'تقرير المصروفات حسب الشهر'!$C$890:$AD$999,10,FALSE),0)</f>
        <v>0</v>
      </c>
      <c r="L123" s="362">
        <f>IFERROR(VLOOKUP(C123,'تقرير المصروفات حسب الشهر'!$C$1016:$AD$1126,10,FALSE),0)</f>
        <v>0</v>
      </c>
      <c r="M123" s="376">
        <f>IFERROR(VLOOKUP(C123,'تقرير المصروفات حسب الشهر'!$C$1143:$AD$1254,10,FALSE),0)</f>
        <v>0</v>
      </c>
      <c r="N123" s="376">
        <f>IFERROR(VLOOKUP(C123,'تقرير المصروفات حسب الشهر'!$C$1270:$AD$1381,10,FALSE),0)</f>
        <v>0</v>
      </c>
      <c r="O123" s="376">
        <f>IFERROR(VLOOKUP(C123,'تقرير المصروفات حسب الشهر'!$C$1397:$AD$1512,10,FALSE),0)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الشهر'!$C$10:$AD$119,10,FALSE),0)</f>
        <v>0</v>
      </c>
      <c r="E124" s="362">
        <f>IFERROR(VLOOKUP(C124,'تقرير المصروفات حسب الشهر'!$C$135:$AD$244,10,FALSE),0)</f>
        <v>0</v>
      </c>
      <c r="F124" s="362">
        <f>IFERROR(VLOOKUP(C124,'تقرير المصروفات حسب الشهر'!$C$261:$AD$368,10,FALSE),0)</f>
        <v>0</v>
      </c>
      <c r="G124" s="362">
        <f>IFERROR(VLOOKUP(C124,'تقرير المصروفات حسب الشهر'!$C$387:$AD$495,10,FALSE),0)</f>
        <v>0</v>
      </c>
      <c r="H124" s="362">
        <f>IFERROR(VLOOKUP(C124,'تقرير المصروفات حسب الشهر'!$C$512:$AD$620,10,FALSE),0)</f>
        <v>0</v>
      </c>
      <c r="I124" s="362">
        <f>IFERROR(VLOOKUP(C124,'تقرير المصروفات حسب الشهر'!$C$637:$AD$746,10,FALSE),0)</f>
        <v>0</v>
      </c>
      <c r="J124" s="362">
        <f>IFERROR(VLOOKUP(C124,'تقرير المصروفات حسب الشهر'!$C$763:$AD$872,10,FALSE),0)</f>
        <v>0</v>
      </c>
      <c r="K124" s="362">
        <f>IFERROR(VLOOKUP(C124,'تقرير المصروفات حسب الشهر'!$C$890:$AD$999,10,FALSE),0)</f>
        <v>0</v>
      </c>
      <c r="L124" s="362">
        <f>IFERROR(VLOOKUP(C124,'تقرير المصروفات حسب الشهر'!$C$1016:$AD$1126,10,FALSE),0)</f>
        <v>0</v>
      </c>
      <c r="M124" s="376">
        <f>IFERROR(VLOOKUP(C124,'تقرير المصروفات حسب الشهر'!$C$1143:$AD$1254,10,FALSE),0)</f>
        <v>0</v>
      </c>
      <c r="N124" s="376">
        <f>IFERROR(VLOOKUP(C124,'تقرير المصروفات حسب الشهر'!$C$1270:$AD$1381,10,FALSE),0)</f>
        <v>0</v>
      </c>
      <c r="O124" s="376">
        <f>IFERROR(VLOOKUP(C124,'تقرير المصروفات حسب الشهر'!$C$1397:$AD$1512,10,FALSE),0)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الشهر'!$C$10:$AD$119,10,FALSE),0)</f>
        <v>0</v>
      </c>
      <c r="E125" s="362">
        <f>IFERROR(VLOOKUP(C125,'تقرير المصروفات حسب الشهر'!$C$135:$AD$244,10,FALSE),0)</f>
        <v>0</v>
      </c>
      <c r="F125" s="362">
        <f>IFERROR(VLOOKUP(C125,'تقرير المصروفات حسب الشهر'!$C$261:$AD$368,10,FALSE),0)</f>
        <v>0</v>
      </c>
      <c r="G125" s="362">
        <f>IFERROR(VLOOKUP(C125,'تقرير المصروفات حسب الشهر'!$C$387:$AD$495,10,FALSE),0)</f>
        <v>0</v>
      </c>
      <c r="H125" s="362">
        <f>IFERROR(VLOOKUP(C125,'تقرير المصروفات حسب الشهر'!$C$512:$AD$620,10,FALSE),0)</f>
        <v>0</v>
      </c>
      <c r="I125" s="362">
        <f>IFERROR(VLOOKUP(C125,'تقرير المصروفات حسب الشهر'!$C$637:$AD$746,10,FALSE),0)</f>
        <v>0</v>
      </c>
      <c r="J125" s="362">
        <f>IFERROR(VLOOKUP(C125,'تقرير المصروفات حسب الشهر'!$C$763:$AD$872,10,FALSE),0)</f>
        <v>0</v>
      </c>
      <c r="K125" s="362">
        <f>IFERROR(VLOOKUP(C125,'تقرير المصروفات حسب الشهر'!$C$890:$AD$999,10,FALSE),0)</f>
        <v>0</v>
      </c>
      <c r="L125" s="362">
        <f>IFERROR(VLOOKUP(C125,'تقرير المصروفات حسب الشهر'!$C$1016:$AD$1126,10,FALSE),0)</f>
        <v>0</v>
      </c>
      <c r="M125" s="376">
        <f>IFERROR(VLOOKUP(C125,'تقرير المصروفات حسب الشهر'!$C$1143:$AD$1254,10,FALSE),0)</f>
        <v>0</v>
      </c>
      <c r="N125" s="376">
        <f>IFERROR(VLOOKUP(C125,'تقرير المصروفات حسب الشهر'!$C$1270:$AD$1381,10,FALSE),0)</f>
        <v>0</v>
      </c>
      <c r="O125" s="376">
        <f>IFERROR(VLOOKUP(C125,'تقرير المصروفات حسب الشهر'!$C$1397:$AD$1512,10,FALSE),0)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الشهر'!$C$10:$AD$119,10,FALSE),0)</f>
        <v>0</v>
      </c>
      <c r="E126" s="362">
        <f>IFERROR(VLOOKUP(C126,'تقرير المصروفات حسب الشهر'!$C$135:$AD$244,10,FALSE),0)</f>
        <v>0</v>
      </c>
      <c r="F126" s="362">
        <f>IFERROR(VLOOKUP(C126,'تقرير المصروفات حسب الشهر'!$C$261:$AD$368,10,FALSE),0)</f>
        <v>0</v>
      </c>
      <c r="G126" s="362">
        <f>IFERROR(VLOOKUP(C126,'تقرير المصروفات حسب الشهر'!$C$387:$AD$495,10,FALSE),0)</f>
        <v>0</v>
      </c>
      <c r="H126" s="362">
        <f>IFERROR(VLOOKUP(C126,'تقرير المصروفات حسب الشهر'!$C$512:$AD$620,10,FALSE),0)</f>
        <v>0</v>
      </c>
      <c r="I126" s="362">
        <f>IFERROR(VLOOKUP(C126,'تقرير المصروفات حسب الشهر'!$C$637:$AD$746,10,FALSE),0)</f>
        <v>0</v>
      </c>
      <c r="J126" s="362">
        <f>IFERROR(VLOOKUP(C126,'تقرير المصروفات حسب الشهر'!$C$763:$AD$872,10,FALSE),0)</f>
        <v>0</v>
      </c>
      <c r="K126" s="362">
        <f>IFERROR(VLOOKUP(C126,'تقرير المصروفات حسب الشهر'!$C$890:$AD$999,10,FALSE),0)</f>
        <v>0</v>
      </c>
      <c r="L126" s="362">
        <f>IFERROR(VLOOKUP(C126,'تقرير المصروفات حسب الشهر'!$C$1016:$AD$1126,10,FALSE),0)</f>
        <v>0</v>
      </c>
      <c r="M126" s="376">
        <f>IFERROR(VLOOKUP(C126,'تقرير المصروفات حسب الشهر'!$C$1143:$AD$1254,10,FALSE),0)</f>
        <v>0</v>
      </c>
      <c r="N126" s="376">
        <f>IFERROR(VLOOKUP(C126,'تقرير المصروفات حسب الشهر'!$C$1270:$AD$1381,10,FALSE),0)</f>
        <v>0</v>
      </c>
      <c r="O126" s="376">
        <f>IFERROR(VLOOKUP(C126,'تقرير المصروفات حسب الشهر'!$C$1397:$AD$1512,10,FALSE),0)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الشهر'!$C$10:$AD$119,10,FALSE),0)</f>
        <v>0</v>
      </c>
      <c r="E127" s="362">
        <f>IFERROR(VLOOKUP(C127,'تقرير المصروفات حسب الشهر'!$C$135:$AD$244,10,FALSE),0)</f>
        <v>0</v>
      </c>
      <c r="F127" s="362">
        <f>IFERROR(VLOOKUP(C127,'تقرير المصروفات حسب الشهر'!$C$261:$AD$368,10,FALSE),0)</f>
        <v>0</v>
      </c>
      <c r="G127" s="362">
        <f>IFERROR(VLOOKUP(C127,'تقرير المصروفات حسب الشهر'!$C$387:$AD$495,10,FALSE),0)</f>
        <v>0</v>
      </c>
      <c r="H127" s="362">
        <f>IFERROR(VLOOKUP(C127,'تقرير المصروفات حسب الشهر'!$C$512:$AD$620,10,FALSE),0)</f>
        <v>0</v>
      </c>
      <c r="I127" s="362">
        <f>IFERROR(VLOOKUP(C127,'تقرير المصروفات حسب الشهر'!$C$637:$AD$746,10,FALSE),0)</f>
        <v>0</v>
      </c>
      <c r="J127" s="362">
        <f>IFERROR(VLOOKUP(C127,'تقرير المصروفات حسب الشهر'!$C$763:$AD$872,10,FALSE),0)</f>
        <v>0</v>
      </c>
      <c r="K127" s="362">
        <f>IFERROR(VLOOKUP(C127,'تقرير المصروفات حسب الشهر'!$C$890:$AD$999,10,FALSE),0)</f>
        <v>0</v>
      </c>
      <c r="L127" s="362">
        <f>IFERROR(VLOOKUP(C127,'تقرير المصروفات حسب الشهر'!$C$1016:$AD$1126,10,FALSE),0)</f>
        <v>0</v>
      </c>
      <c r="M127" s="376">
        <f>IFERROR(VLOOKUP(C127,'تقرير المصروفات حسب الشهر'!$C$1143:$AD$1254,10,FALSE),0)</f>
        <v>0</v>
      </c>
      <c r="N127" s="376">
        <f>IFERROR(VLOOKUP(C127,'تقرير المصروفات حسب الشهر'!$C$1270:$AD$1381,10,FALSE),0)</f>
        <v>0</v>
      </c>
      <c r="O127" s="376">
        <f>IFERROR(VLOOKUP(C127,'تقرير المصروفات حسب الشهر'!$C$1397:$AD$1512,10,FALSE),0)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الشهر'!$C$10:$AD$119,10,FALSE),0)</f>
        <v>0</v>
      </c>
      <c r="E128" s="362">
        <f>IFERROR(VLOOKUP(C128,'تقرير المصروفات حسب الشهر'!$C$135:$AD$244,10,FALSE),0)</f>
        <v>0</v>
      </c>
      <c r="F128" s="362">
        <f>IFERROR(VLOOKUP(C128,'تقرير المصروفات حسب الشهر'!$C$261:$AD$368,10,FALSE),0)</f>
        <v>0</v>
      </c>
      <c r="G128" s="362">
        <f>IFERROR(VLOOKUP(C128,'تقرير المصروفات حسب الشهر'!$C$387:$AD$495,10,FALSE),0)</f>
        <v>0</v>
      </c>
      <c r="H128" s="362">
        <f>IFERROR(VLOOKUP(C128,'تقرير المصروفات حسب الشهر'!$C$512:$AD$620,10,FALSE),0)</f>
        <v>0</v>
      </c>
      <c r="I128" s="362">
        <f>IFERROR(VLOOKUP(C128,'تقرير المصروفات حسب الشهر'!$C$637:$AD$746,10,FALSE),0)</f>
        <v>0</v>
      </c>
      <c r="J128" s="362">
        <f>IFERROR(VLOOKUP(C128,'تقرير المصروفات حسب الشهر'!$C$763:$AD$872,10,FALSE),0)</f>
        <v>0</v>
      </c>
      <c r="K128" s="362">
        <f>IFERROR(VLOOKUP(C128,'تقرير المصروفات حسب الشهر'!$C$890:$AD$999,10,FALSE),0)</f>
        <v>0</v>
      </c>
      <c r="L128" s="362">
        <f>IFERROR(VLOOKUP(C128,'تقرير المصروفات حسب الشهر'!$C$1016:$AD$1126,10,FALSE),0)</f>
        <v>0</v>
      </c>
      <c r="M128" s="376">
        <f>IFERROR(VLOOKUP(C128,'تقرير المصروفات حسب الشهر'!$C$1143:$AD$1254,10,FALSE),0)</f>
        <v>0</v>
      </c>
      <c r="N128" s="376">
        <f>IFERROR(VLOOKUP(C128,'تقرير المصروفات حسب الشهر'!$C$1270:$AD$1381,10,FALSE),0)</f>
        <v>0</v>
      </c>
      <c r="O128" s="376">
        <f>IFERROR(VLOOKUP(C128,'تقرير المصروفات حسب الشهر'!$C$1397:$AD$1512,10,FALSE),0)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الشهر'!$C$10:$AD$119,10,FALSE),0)</f>
        <v>862.5</v>
      </c>
      <c r="E129" s="362">
        <f>IFERROR(VLOOKUP(C129,'تقرير المصروفات حسب الشهر'!$C$135:$AD$244,10,FALSE),0)</f>
        <v>862.5</v>
      </c>
      <c r="F129" s="362">
        <f>IFERROR(VLOOKUP(C129,'تقرير المصروفات حسب الشهر'!$C$261:$AD$368,10,FALSE),0)</f>
        <v>862.5</v>
      </c>
      <c r="G129" s="362">
        <f>IFERROR(VLOOKUP(C129,'تقرير المصروفات حسب الشهر'!$C$387:$AD$495,10,FALSE),0)</f>
        <v>862.5</v>
      </c>
      <c r="H129" s="362">
        <f>IFERROR(VLOOKUP(C129,'تقرير المصروفات حسب الشهر'!$C$512:$AD$620,10,FALSE),0)</f>
        <v>862.5</v>
      </c>
      <c r="I129" s="362">
        <f>IFERROR(VLOOKUP(C129,'تقرير المصروفات حسب الشهر'!$C$637:$AD$746,10,FALSE),0)</f>
        <v>863</v>
      </c>
      <c r="J129" s="362">
        <f>IFERROR(VLOOKUP(C129,'تقرير المصروفات حسب الشهر'!$C$763:$AD$872,10,FALSE),0)</f>
        <v>862.5</v>
      </c>
      <c r="K129" s="362">
        <f>IFERROR(VLOOKUP(C129,'تقرير المصروفات حسب الشهر'!$C$890:$AD$999,10,FALSE),0)</f>
        <v>862.5</v>
      </c>
      <c r="L129" s="362">
        <f>IFERROR(VLOOKUP(C129,'تقرير المصروفات حسب الشهر'!$C$1016:$AD$1126,10,FALSE),0)</f>
        <v>862.5</v>
      </c>
      <c r="M129" s="376">
        <f>IFERROR(VLOOKUP(C129,'تقرير المصروفات حسب الشهر'!$C$1143:$AD$1254,10,FALSE),0)</f>
        <v>431.25</v>
      </c>
      <c r="N129" s="376">
        <f>IFERROR(VLOOKUP(C129,'تقرير المصروفات حسب الشهر'!$C$1270:$AD$1381,10,FALSE),0)</f>
        <v>431.25</v>
      </c>
      <c r="O129" s="376">
        <f>IFERROR(VLOOKUP(C129,'تقرير المصروفات حسب الشهر'!$C$1397:$AD$1512,10,FALSE),0)</f>
        <v>431.25</v>
      </c>
      <c r="P129" s="364">
        <f t="shared" si="6"/>
        <v>9056.75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الشهر'!$C$10:$AD$119,10,FALSE),0)</f>
        <v>0</v>
      </c>
      <c r="E130" s="362">
        <f>IFERROR(VLOOKUP(C130,'تقرير المصروفات حسب الشهر'!$C$135:$AD$244,10,FALSE),0)</f>
        <v>0</v>
      </c>
      <c r="F130" s="362">
        <f>IFERROR(VLOOKUP(C130,'تقرير المصروفات حسب الشهر'!$C$261:$AD$368,10,FALSE),0)</f>
        <v>0</v>
      </c>
      <c r="G130" s="362">
        <f>IFERROR(VLOOKUP(C130,'تقرير المصروفات حسب الشهر'!$C$387:$AD$495,10,FALSE),0)</f>
        <v>0</v>
      </c>
      <c r="H130" s="362">
        <f>IFERROR(VLOOKUP(C130,'تقرير المصروفات حسب الشهر'!$C$512:$AD$620,10,FALSE),0)</f>
        <v>0</v>
      </c>
      <c r="I130" s="362">
        <f>IFERROR(VLOOKUP(C130,'تقرير المصروفات حسب الشهر'!$C$637:$AD$746,10,FALSE),0)</f>
        <v>0</v>
      </c>
      <c r="J130" s="362">
        <f>IFERROR(VLOOKUP(C130,'تقرير المصروفات حسب الشهر'!$C$763:$AD$872,10,FALSE),0)</f>
        <v>0</v>
      </c>
      <c r="K130" s="362">
        <f>IFERROR(VLOOKUP(C130,'تقرير المصروفات حسب الشهر'!$C$890:$AD$999,10,FALSE),0)</f>
        <v>0</v>
      </c>
      <c r="L130" s="362">
        <f>IFERROR(VLOOKUP(C130,'تقرير المصروفات حسب الشهر'!$C$1016:$AD$1126,10,FALSE),0)</f>
        <v>0</v>
      </c>
      <c r="M130" s="376">
        <f>IFERROR(VLOOKUP(C130,'تقرير المصروفات حسب الشهر'!$C$1143:$AD$1254,10,FALSE),0)</f>
        <v>0</v>
      </c>
      <c r="N130" s="376">
        <f>IFERROR(VLOOKUP(C130,'تقرير المصروفات حسب الشهر'!$C$1270:$AD$1381,10,FALSE),0)</f>
        <v>0</v>
      </c>
      <c r="O130" s="376">
        <f>IFERROR(VLOOKUP(C130,'تقرير المصروفات حسب الشهر'!$C$1397:$AD$1512,10,FALSE),0)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الشهر'!$C$10:$AD$119,10,FALSE),0)</f>
        <v>0</v>
      </c>
      <c r="E131" s="362">
        <f>IFERROR(VLOOKUP(C131,'تقرير المصروفات حسب الشهر'!$C$135:$AD$244,10,FALSE),0)</f>
        <v>0</v>
      </c>
      <c r="F131" s="362">
        <f>IFERROR(VLOOKUP(C131,'تقرير المصروفات حسب الشهر'!$C$261:$AD$368,10,FALSE),0)</f>
        <v>0</v>
      </c>
      <c r="G131" s="362">
        <f>IFERROR(VLOOKUP(C131,'تقرير المصروفات حسب الشهر'!$C$387:$AD$495,10,FALSE),0)</f>
        <v>0</v>
      </c>
      <c r="H131" s="362">
        <f>IFERROR(VLOOKUP(C131,'تقرير المصروفات حسب الشهر'!$C$512:$AD$620,10,FALSE),0)</f>
        <v>0</v>
      </c>
      <c r="I131" s="362">
        <f>IFERROR(VLOOKUP(C131,'تقرير المصروفات حسب الشهر'!$C$637:$AD$746,10,FALSE),0)</f>
        <v>0</v>
      </c>
      <c r="J131" s="362">
        <f>IFERROR(VLOOKUP(C131,'تقرير المصروفات حسب الشهر'!$C$763:$AD$872,10,FALSE),0)</f>
        <v>0</v>
      </c>
      <c r="K131" s="362">
        <f>IFERROR(VLOOKUP(C131,'تقرير المصروفات حسب الشهر'!$C$890:$AD$999,10,FALSE),0)</f>
        <v>0</v>
      </c>
      <c r="L131" s="362">
        <f>IFERROR(VLOOKUP(C131,'تقرير المصروفات حسب الشهر'!$C$1016:$AD$1126,10,FALSE),0)</f>
        <v>0</v>
      </c>
      <c r="M131" s="376">
        <f>IFERROR(VLOOKUP(C131,'تقرير المصروفات حسب الشهر'!$C$1143:$AD$1254,10,FALSE),0)</f>
        <v>0</v>
      </c>
      <c r="N131" s="376">
        <f>IFERROR(VLOOKUP(C131,'تقرير المصروفات حسب الشهر'!$C$1270:$AD$1381,10,FALSE),0)</f>
        <v>0</v>
      </c>
      <c r="O131" s="376">
        <f>IFERROR(VLOOKUP(C131,'تقرير المصروفات حسب الشهر'!$C$1397:$AD$1512,10,FALSE),0)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24960.77</v>
      </c>
      <c r="E132" s="146">
        <f t="shared" si="7"/>
        <v>23322.829999999998</v>
      </c>
      <c r="F132" s="146">
        <f t="shared" si="7"/>
        <v>26315.769999999997</v>
      </c>
      <c r="G132" s="146">
        <f t="shared" si="7"/>
        <v>24771.53</v>
      </c>
      <c r="H132" s="146">
        <f t="shared" si="7"/>
        <v>22452.229999999996</v>
      </c>
      <c r="I132" s="146">
        <f t="shared" si="7"/>
        <v>23107.789999999997</v>
      </c>
      <c r="J132" s="146">
        <f t="shared" si="7"/>
        <v>25350.12</v>
      </c>
      <c r="K132" s="146">
        <f t="shared" si="7"/>
        <v>25741.58</v>
      </c>
      <c r="L132" s="146">
        <f t="shared" si="7"/>
        <v>23625.530000000002</v>
      </c>
      <c r="M132" s="146">
        <f t="shared" si="7"/>
        <v>20336.79</v>
      </c>
      <c r="N132" s="146">
        <f t="shared" si="7"/>
        <v>21345.230000000003</v>
      </c>
      <c r="O132" s="146">
        <f t="shared" si="7"/>
        <v>25672.530000000006</v>
      </c>
      <c r="P132" s="388">
        <f t="shared" si="6"/>
        <v>287002.7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89838.399999999936</v>
      </c>
      <c r="E134" s="392">
        <f t="shared" si="8"/>
        <v>71473.22</v>
      </c>
      <c r="F134" s="392">
        <f t="shared" si="8"/>
        <v>73380.290000000008</v>
      </c>
      <c r="G134" s="392">
        <f t="shared" si="8"/>
        <v>69237.309999999925</v>
      </c>
      <c r="H134" s="392">
        <f t="shared" si="8"/>
        <v>81808.100000000035</v>
      </c>
      <c r="I134" s="392">
        <f t="shared" si="8"/>
        <v>78637.56</v>
      </c>
      <c r="J134" s="392">
        <f t="shared" si="8"/>
        <v>75616.14999999998</v>
      </c>
      <c r="K134" s="392">
        <f t="shared" si="8"/>
        <v>70364.839999999953</v>
      </c>
      <c r="L134" s="392">
        <f t="shared" si="8"/>
        <v>52805.960000000006</v>
      </c>
      <c r="M134" s="392">
        <f t="shared" si="8"/>
        <v>23646.850000000002</v>
      </c>
      <c r="N134" s="392">
        <f t="shared" si="8"/>
        <v>25081.139999999985</v>
      </c>
      <c r="O134" s="392">
        <f t="shared" si="8"/>
        <v>21724.37999999999</v>
      </c>
      <c r="P134" s="388">
        <f t="shared" si="6"/>
        <v>733614.19999999984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64877.629999999932</v>
      </c>
      <c r="E137" s="383">
        <f t="shared" ref="E137:O137" si="9">E134-E132</f>
        <v>48150.39</v>
      </c>
      <c r="F137" s="383">
        <f t="shared" si="9"/>
        <v>47064.520000000011</v>
      </c>
      <c r="G137" s="383">
        <f t="shared" si="9"/>
        <v>44465.779999999926</v>
      </c>
      <c r="H137" s="383">
        <f t="shared" si="9"/>
        <v>59355.870000000039</v>
      </c>
      <c r="I137" s="383">
        <f t="shared" si="9"/>
        <v>55529.770000000004</v>
      </c>
      <c r="J137" s="383">
        <f t="shared" si="9"/>
        <v>50266.029999999984</v>
      </c>
      <c r="K137" s="383">
        <f t="shared" si="9"/>
        <v>44623.259999999951</v>
      </c>
      <c r="L137" s="383">
        <f t="shared" si="9"/>
        <v>29180.430000000004</v>
      </c>
      <c r="M137" s="383">
        <f t="shared" si="9"/>
        <v>3310.0600000000013</v>
      </c>
      <c r="N137" s="383">
        <f t="shared" si="9"/>
        <v>3735.9099999999817</v>
      </c>
      <c r="O137" s="383">
        <f t="shared" si="9"/>
        <v>-3948.150000000016</v>
      </c>
      <c r="P137" s="387">
        <f>SUM(D137:O137)</f>
        <v>446611.49999999983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G141" s="238">
        <f>44463.54-G137</f>
        <v>-2.2399999999252032</v>
      </c>
      <c r="H141" s="113">
        <v>59352.55</v>
      </c>
    </row>
    <row r="142" spans="1:17">
      <c r="H142" s="415">
        <f>H137-H141</f>
        <v>3.3200000000360887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8">
    <tabColor rgb="FFFFC000"/>
  </sheetPr>
  <dimension ref="A1:T145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351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145</v>
      </c>
      <c r="B8" s="390"/>
      <c r="C8" s="369" t="s">
        <v>114</v>
      </c>
      <c r="D8" s="364">
        <f>D9+D10+D11</f>
        <v>1773946.02</v>
      </c>
      <c r="E8" s="364">
        <f t="shared" ref="E8:O8" si="0">E9+E10+E11</f>
        <v>2093377.8000000003</v>
      </c>
      <c r="F8" s="364">
        <f t="shared" si="0"/>
        <v>2004529.2200000002</v>
      </c>
      <c r="G8" s="364">
        <f t="shared" si="0"/>
        <v>1762516.7400000002</v>
      </c>
      <c r="H8" s="364">
        <f t="shared" si="0"/>
        <v>2227079.02</v>
      </c>
      <c r="I8" s="364">
        <f t="shared" si="0"/>
        <v>2329203.62</v>
      </c>
      <c r="J8" s="364">
        <f t="shared" si="0"/>
        <v>2004433.9899999998</v>
      </c>
      <c r="K8" s="364">
        <f t="shared" si="0"/>
        <v>2425423.2799999998</v>
      </c>
      <c r="L8" s="364">
        <f t="shared" si="0"/>
        <v>2381268.5699999998</v>
      </c>
      <c r="M8" s="364">
        <f t="shared" si="0"/>
        <v>2480330.44</v>
      </c>
      <c r="N8" s="364">
        <f t="shared" si="0"/>
        <v>2668068.1999999997</v>
      </c>
      <c r="O8" s="364">
        <f t="shared" si="0"/>
        <v>2766831.67</v>
      </c>
      <c r="P8" s="364">
        <f>SUM(D8:O8)</f>
        <v>26917008.57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593135.84</v>
      </c>
      <c r="E9" s="365">
        <f>VLOOKUP($A$8,'تقرير إحصائية بحجم المبيعات'!$B$42:$G$73,2,FALSE)</f>
        <v>535492.08000000054</v>
      </c>
      <c r="F9" s="365">
        <f>VLOOKUP($A$8,'تقرير إحصائية بحجم المبيعات'!$B$78:$E$103,2,FALSE)</f>
        <v>603524.36000000034</v>
      </c>
      <c r="G9" s="365">
        <f>VLOOKUP($A$8,'تقرير إحصائية بحجم المبيعات'!$B$112:$G$137,2,FALSE)</f>
        <v>663621.37000000023</v>
      </c>
      <c r="H9" s="365">
        <f>VLOOKUP($A$8,'تقرير إحصائية بحجم المبيعات'!$B$147:$G$177,2,FALSE)</f>
        <v>751429.51</v>
      </c>
      <c r="I9" s="365">
        <f>VLOOKUP($A$8,'تقرير إحصائية بحجم المبيعات'!$B$182:$G$212,2,FALSE)</f>
        <v>890227.8899999999</v>
      </c>
      <c r="J9" s="365">
        <f>VLOOKUP($A$8,'تقرير إحصائية بحجم المبيعات'!$B$217:$L$243,2,FALSE)</f>
        <v>812266.62999999989</v>
      </c>
      <c r="K9" s="365">
        <f>VLOOKUP($A$8,'تقرير إحصائية بحجم المبيعات'!$B$252:$L$278,2,FALSE)</f>
        <v>941454.91999999993</v>
      </c>
      <c r="L9" s="365">
        <f>VLOOKUP($A$8,'تقرير إحصائية بحجم المبيعات'!$B$287:$L$313,2,FALSE)</f>
        <v>837872.22999999975</v>
      </c>
      <c r="M9" s="365">
        <f>VLOOKUP($A$8,'تقرير إحصائية بحجم المبيعات'!$B$322:$L$347,2,FALSE)</f>
        <v>934951.84999999986</v>
      </c>
      <c r="N9" s="365">
        <f>VLOOKUP($A$8,'تقرير إحصائية بحجم المبيعات'!$B$357:$L$383,2,FALSE)</f>
        <v>965790.24999999977</v>
      </c>
      <c r="O9" s="365">
        <f>VLOOKUP($A$8,'تقرير إحصائية بحجم المبيعات'!$B$391:$L$420,2,FALSE)</f>
        <v>1100015.8800000001</v>
      </c>
      <c r="P9" s="364">
        <f t="shared" ref="P9:P18" si="1">SUM(D9:O9)</f>
        <v>9629782.8100000005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5654.05</v>
      </c>
      <c r="E10" s="365">
        <f>VLOOKUP($A$8,'تقرير إحصائية بحجم المبيعات'!$B$42:$G$73,3,FALSE)</f>
        <v>3291.84</v>
      </c>
      <c r="F10" s="365">
        <f>VLOOKUP($A$8,'تقرير إحصائية بحجم المبيعات'!$B$78:$E$103,3,FALSE)</f>
        <v>3291.98</v>
      </c>
      <c r="G10" s="365">
        <f>VLOOKUP($A$8,'تقرير إحصائية بحجم المبيعات'!$B$112:$G$137,3,FALSE)</f>
        <v>8324.74</v>
      </c>
      <c r="H10" s="365">
        <f>VLOOKUP($A$8,'تقرير إحصائية بحجم المبيعات'!$B$147:$G$177,3,FALSE)</f>
        <v>3227.27</v>
      </c>
      <c r="I10" s="365">
        <f>VLOOKUP($A$8,'تقرير إحصائية بحجم المبيعات'!$B$182:$G$212,3,FALSE)</f>
        <v>6584.24</v>
      </c>
      <c r="J10" s="365">
        <f>VLOOKUP($A$8,'تقرير إحصائية بحجم المبيعات'!$B$217:$L$243,3,FALSE)</f>
        <v>4353.95</v>
      </c>
      <c r="K10" s="365">
        <f>VLOOKUP($A$8,'تقرير إحصائية بحجم المبيعات'!$B$252:$L$278,3,FALSE)</f>
        <v>2943.65</v>
      </c>
      <c r="L10" s="365">
        <f>VLOOKUP($A$8,'تقرير إحصائية بحجم المبيعات'!$B$287:$L$313,3,FALSE)</f>
        <v>2993.98</v>
      </c>
      <c r="M10" s="365">
        <f>VLOOKUP($A$8,'تقرير إحصائية بحجم المبيعات'!$B$322:$L$347,3,FALSE)</f>
        <v>3320</v>
      </c>
      <c r="N10" s="365">
        <f>VLOOKUP($A$8,'تقرير إحصائية بحجم المبيعات'!$B$357:$L$383,3,FALSE)</f>
        <v>1226.71</v>
      </c>
      <c r="O10" s="365">
        <f>VLOOKUP($A$8,'تقرير إحصائية بحجم المبيعات'!$B$391:$L$420,3,FALSE)</f>
        <v>1731.3</v>
      </c>
      <c r="P10" s="364">
        <f t="shared" si="1"/>
        <v>46943.710000000006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1175156.1299999999</v>
      </c>
      <c r="E11" s="365">
        <f>VLOOKUP($A$8,'تقرير إحصائية بحجم المبيعات'!$B$42:$G$73,4,FALSE)</f>
        <v>1554593.88</v>
      </c>
      <c r="F11" s="365">
        <f>VLOOKUP($A$8,'تقرير إحصائية بحجم المبيعات'!$B$78:$E$103,4,FALSE)</f>
        <v>1397712.88</v>
      </c>
      <c r="G11" s="365">
        <f>VLOOKUP($A$8,'تقرير إحصائية بحجم المبيعات'!$B$112:$G$137,4,FALSE)</f>
        <v>1090570.6299999999</v>
      </c>
      <c r="H11" s="365">
        <f>VLOOKUP($A$8,'تقرير إحصائية بحجم المبيعات'!$B$147:$G$177,4,FALSE)</f>
        <v>1472422.24</v>
      </c>
      <c r="I11" s="365">
        <f>VLOOKUP($A$8,'تقرير إحصائية بحجم المبيعات'!$B$182:$G$212,4,FALSE)</f>
        <v>1432391.49</v>
      </c>
      <c r="J11" s="365">
        <f>VLOOKUP($A$8,'تقرير إحصائية بحجم المبيعات'!$B$217:$L$243,4,FALSE)</f>
        <v>1187813.4099999999</v>
      </c>
      <c r="K11" s="365">
        <f>VLOOKUP($A$8,'تقرير إحصائية بحجم المبيعات'!$B$252:$L$278,4,FALSE)</f>
        <v>1481024.71</v>
      </c>
      <c r="L11" s="365">
        <f>VLOOKUP($A$8,'تقرير إحصائية بحجم المبيعات'!$B$287:$L$313,4,FALSE)</f>
        <v>1540402.36</v>
      </c>
      <c r="M11" s="365">
        <f>VLOOKUP($A$8,'تقرير إحصائية بحجم المبيعات'!$B$322:$L$347,4,FALSE)</f>
        <v>1542058.59</v>
      </c>
      <c r="N11" s="365">
        <f>VLOOKUP($A$8,'تقرير إحصائية بحجم المبيعات'!$B$357:$L$383,4,FALSE)</f>
        <v>1701051.24</v>
      </c>
      <c r="O11" s="365">
        <f>VLOOKUP($A$8,'تقرير إحصائية بحجم المبيعات'!$B$391:$L$420,4,FALSE)</f>
        <v>1665084.49</v>
      </c>
      <c r="P11" s="364">
        <f t="shared" si="1"/>
        <v>17240282.050000001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1451170.22</v>
      </c>
      <c r="E12" s="364">
        <f>VLOOKUP($A$8,'تقرير إحصائية بحجم المبيعات'!$B$42:$L$73,11,FALSE)</f>
        <v>1757485.23</v>
      </c>
      <c r="F12" s="364">
        <f>VLOOKUP($A$8,'تقرير إحصائية بحجم المبيعات'!$B$78:$L$103,11,FALSE)</f>
        <v>1670161.09</v>
      </c>
      <c r="G12" s="364">
        <f>VLOOKUP($A$8,'تقرير إحصائية بحجم المبيعات'!$B$112:$L$137,11,FALSE)</f>
        <v>1446784.64</v>
      </c>
      <c r="H12" s="364">
        <f>VLOOKUP($A$8,'تقرير إحصائية بحجم المبيعات'!$B$147:$L$177,11,FALSE)</f>
        <v>1848430.11</v>
      </c>
      <c r="I12" s="364">
        <f>VLOOKUP($A$8,'تقرير إحصائية بحجم المبيعات'!$B$182:$L$212,11,FALSE)</f>
        <v>1911568.68</v>
      </c>
      <c r="J12" s="365">
        <f>VLOOKUP($A$8,'تقرير إحصائية بحجم المبيعات'!$B$217:$L$243,11,FALSE)</f>
        <v>1662373.53</v>
      </c>
      <c r="K12" s="364">
        <f>VLOOKUP($A$8,'تقرير إحصائية بحجم المبيعات'!$B$252:$L$278,11,FALSE)</f>
        <v>2001187.86</v>
      </c>
      <c r="L12" s="364">
        <f>VLOOKUP($A$8,'تقرير إحصائية بحجم المبيعات'!$B$287:$L$313,11,FALSE)</f>
        <v>1952987.41</v>
      </c>
      <c r="M12" s="365">
        <f>VLOOKUP($A$8,'تقرير إحصائية بحجم المبيعات'!$B$322:$L$347,11,FALSE)</f>
        <v>2029268.78</v>
      </c>
      <c r="N12" s="365">
        <f>VLOOKUP($A$8,'تقرير إحصائية بحجم المبيعات'!$B$357:$L$383,11,FALSE)</f>
        <v>2165758.2999999998</v>
      </c>
      <c r="O12" s="365">
        <f>VLOOKUP($A$8,'تقرير إحصائية بحجم المبيعات'!$B$391:$L$420,11,FALSE)</f>
        <v>2192599.7400000002</v>
      </c>
      <c r="P12" s="364">
        <f t="shared" si="1"/>
        <v>22089775.590000004</v>
      </c>
    </row>
    <row r="13" spans="1:20" ht="18" customHeight="1">
      <c r="B13" s="124"/>
      <c r="C13" s="371" t="s">
        <v>14</v>
      </c>
      <c r="D13" s="366">
        <f t="shared" ref="D13:O13" si="2">D8-D12</f>
        <v>322775.80000000005</v>
      </c>
      <c r="E13" s="366">
        <f t="shared" si="2"/>
        <v>335892.5700000003</v>
      </c>
      <c r="F13" s="366">
        <f t="shared" si="2"/>
        <v>334368.13000000012</v>
      </c>
      <c r="G13" s="366">
        <f t="shared" si="2"/>
        <v>315732.10000000033</v>
      </c>
      <c r="H13" s="366">
        <f t="shared" si="2"/>
        <v>378648.90999999992</v>
      </c>
      <c r="I13" s="366">
        <f t="shared" si="2"/>
        <v>417634.94000000018</v>
      </c>
      <c r="J13" s="366">
        <f t="shared" si="2"/>
        <v>342060.45999999973</v>
      </c>
      <c r="K13" s="366">
        <f t="shared" si="2"/>
        <v>424235.41999999969</v>
      </c>
      <c r="L13" s="366">
        <f t="shared" si="2"/>
        <v>428281.15999999992</v>
      </c>
      <c r="M13" s="366">
        <f t="shared" si="2"/>
        <v>451061.65999999992</v>
      </c>
      <c r="N13" s="366">
        <f t="shared" si="2"/>
        <v>502309.89999999991</v>
      </c>
      <c r="O13" s="366">
        <f t="shared" si="2"/>
        <v>574231.9299999997</v>
      </c>
      <c r="P13" s="366">
        <f t="shared" si="1"/>
        <v>4827232.9800000004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>
        <v>-757.65999999999985</v>
      </c>
      <c r="G16" s="367"/>
      <c r="H16" s="367">
        <v>153538.21000000002</v>
      </c>
      <c r="I16" s="367"/>
      <c r="J16" s="367"/>
      <c r="K16" s="367"/>
      <c r="L16" s="367"/>
      <c r="M16" s="367">
        <v>411.78000000000065</v>
      </c>
      <c r="N16" s="367"/>
      <c r="O16" s="367">
        <v>10090.110000000008</v>
      </c>
      <c r="P16" s="364">
        <f t="shared" si="1"/>
        <v>163282.44000000003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-757.65999999999985</v>
      </c>
      <c r="G18" s="363">
        <f t="shared" si="3"/>
        <v>0</v>
      </c>
      <c r="H18" s="363">
        <f t="shared" si="3"/>
        <v>153538.21000000002</v>
      </c>
      <c r="I18" s="363">
        <f t="shared" si="3"/>
        <v>0</v>
      </c>
      <c r="J18" s="363">
        <f t="shared" si="3"/>
        <v>0</v>
      </c>
      <c r="K18" s="363">
        <f t="shared" si="3"/>
        <v>0</v>
      </c>
      <c r="L18" s="363">
        <f t="shared" si="3"/>
        <v>0</v>
      </c>
      <c r="M18" s="368">
        <f t="shared" si="3"/>
        <v>411.78000000000065</v>
      </c>
      <c r="N18" s="368">
        <f t="shared" si="3"/>
        <v>0</v>
      </c>
      <c r="O18" s="368">
        <f t="shared" si="3"/>
        <v>10090.110000000008</v>
      </c>
      <c r="P18" s="364">
        <f t="shared" si="1"/>
        <v>163282.44000000003</v>
      </c>
    </row>
    <row r="19" spans="2:16" ht="18" customHeight="1">
      <c r="B19" s="124"/>
      <c r="C19" s="386" t="s">
        <v>14</v>
      </c>
      <c r="D19" s="374">
        <f t="shared" ref="D19:O19" si="4">D13+D18</f>
        <v>322775.80000000005</v>
      </c>
      <c r="E19" s="374">
        <f t="shared" si="4"/>
        <v>335892.5700000003</v>
      </c>
      <c r="F19" s="374">
        <f t="shared" si="4"/>
        <v>333610.47000000015</v>
      </c>
      <c r="G19" s="374">
        <f t="shared" si="4"/>
        <v>315732.10000000033</v>
      </c>
      <c r="H19" s="374">
        <f t="shared" si="4"/>
        <v>532187.11999999988</v>
      </c>
      <c r="I19" s="374">
        <f t="shared" si="4"/>
        <v>417634.94000000018</v>
      </c>
      <c r="J19" s="374">
        <f t="shared" si="4"/>
        <v>342060.45999999973</v>
      </c>
      <c r="K19" s="374">
        <f t="shared" si="4"/>
        <v>424235.41999999969</v>
      </c>
      <c r="L19" s="374">
        <f t="shared" si="4"/>
        <v>428281.15999999992</v>
      </c>
      <c r="M19" s="374">
        <f t="shared" si="4"/>
        <v>451473.43999999994</v>
      </c>
      <c r="N19" s="374">
        <f t="shared" si="4"/>
        <v>502309.89999999991</v>
      </c>
      <c r="O19" s="374">
        <f t="shared" si="4"/>
        <v>584322.03999999969</v>
      </c>
      <c r="P19" s="382">
        <f>SUM(D19:O19)</f>
        <v>4990515.4200000009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الشهر'!$C$10:$AD$119,11,FALSE),0)</f>
        <v>0</v>
      </c>
      <c r="E22" s="362">
        <f>IFERROR(VLOOKUP(C22,'تقرير المصروفات حسب الشهر'!$C$135:$AD$244,11,FALSE),0)</f>
        <v>0</v>
      </c>
      <c r="F22" s="362">
        <v>0</v>
      </c>
      <c r="G22" s="362">
        <f>IFERROR(VLOOKUP(C22,'تقرير المصروفات حسب الشهر'!$C$387:$AD$495,11,FALSE),0)</f>
        <v>0</v>
      </c>
      <c r="H22" s="362">
        <f>IFERROR(VLOOKUP(C22,'تقرير المصروفات حسب الشهر'!$C$512:$AD$620,11,FALSE),0)</f>
        <v>0</v>
      </c>
      <c r="I22" s="362">
        <f>IFERROR(VLOOKUP(C22,'تقرير المصروفات حسب الشهر'!$C$637:$AD$746,11,FALSE),0)</f>
        <v>0</v>
      </c>
      <c r="J22" s="362">
        <f>IFERROR(VLOOKUP(C22,'تقرير المصروفات حسب الشهر'!$C$763:$AD$872,11,FALSE),0)</f>
        <v>0</v>
      </c>
      <c r="K22" s="362">
        <f>IFERROR(VLOOKUP(C22,'تقرير المصروفات حسب الشهر'!$C$890:$AD$999,11,FALSE),0)</f>
        <v>0</v>
      </c>
      <c r="L22" s="362">
        <f>IFERROR(VLOOKUP(C22,'تقرير المصروفات حسب الشهر'!$C$1016:$AD$1126,11,FALSE),0)</f>
        <v>0</v>
      </c>
      <c r="M22" s="376">
        <f>IFERROR(VLOOKUP(C22,'تقرير المصروفات حسب الشهر'!$C$1143:$AD$1254,11,FALSE),0)</f>
        <v>0</v>
      </c>
      <c r="N22" s="376">
        <f>IFERROR(VLOOKUP(C22,'تقرير المصروفات حسب الشهر'!$C$1270:$AD$1381,11,FALSE),0)</f>
        <v>0</v>
      </c>
      <c r="O22" s="376">
        <f>IFERROR(VLOOKUP(C22,'تقرير المصروفات حسب الشهر'!$C$1397:$AD$1512,11,FALSE),0)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الشهر'!$C$10:$AD$119,11,FALSE),0)</f>
        <v>155895.58000000002</v>
      </c>
      <c r="E23" s="362">
        <f>IFERROR(VLOOKUP(C23,'تقرير المصروفات حسب الشهر'!$C$135:$AD$244,11,FALSE),0)</f>
        <v>208792.35000000003</v>
      </c>
      <c r="F23" s="362">
        <v>171741.38</v>
      </c>
      <c r="G23" s="362">
        <f>IFERROR(VLOOKUP(C23,'تقرير المصروفات حسب الشهر'!$C$387:$AD$495,11,FALSE),0)</f>
        <v>189497.33000000002</v>
      </c>
      <c r="H23" s="362">
        <f>IFERROR(VLOOKUP(C23,'تقرير المصروفات حسب الشهر'!$C$512:$AD$620,11,FALSE),0)</f>
        <v>186069.95</v>
      </c>
      <c r="I23" s="362">
        <f>IFERROR(VLOOKUP(C23,'تقرير المصروفات حسب الشهر'!$C$637:$AD$746,11,FALSE),0)</f>
        <v>203459.95</v>
      </c>
      <c r="J23" s="362">
        <f>IFERROR(VLOOKUP(C23,'تقرير المصروفات حسب الشهر'!$C$763:$AD$872,11,FALSE),0)</f>
        <v>211855.72999999998</v>
      </c>
      <c r="K23" s="362">
        <f>IFERROR(VLOOKUP(C23,'تقرير المصروفات حسب الشهر'!$C$890:$AD$999,11,FALSE),0)</f>
        <v>230937.76</v>
      </c>
      <c r="L23" s="362">
        <f>IFERROR(VLOOKUP(C23,'تقرير المصروفات حسب الشهر'!$C$1016:$AD$1126,11,FALSE),0)</f>
        <v>208408.04</v>
      </c>
      <c r="M23" s="376">
        <f>IFERROR(VLOOKUP(C23,'تقرير المصروفات حسب الشهر'!$C$1143:$AD$1254,11,FALSE),0)</f>
        <v>200288.33000000002</v>
      </c>
      <c r="N23" s="413">
        <f>IFERROR(VLOOKUP(C23,'تقرير المصروفات حسب الشهر'!$C$1270:$AD$1381,11,FALSE),0)</f>
        <v>228166.5</v>
      </c>
      <c r="O23" s="376">
        <f>IFERROR(VLOOKUP(C23,'تقرير المصروفات حسب الشهر'!$C$1397:$AD$1512,11,FALSE),0)</f>
        <v>217132.4</v>
      </c>
      <c r="P23" s="364">
        <f t="shared" ref="P23:P86" si="5">SUM(D23:O23)</f>
        <v>2412245.3000000003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الشهر'!$C$10:$AD$119,11,FALSE),0)</f>
        <v>0</v>
      </c>
      <c r="E24" s="362">
        <f>IFERROR(VLOOKUP(C24,'تقرير المصروفات حسب الشهر'!$C$135:$AD$244,11,FALSE),0)</f>
        <v>0</v>
      </c>
      <c r="F24" s="362">
        <v>0</v>
      </c>
      <c r="G24" s="362">
        <f>IFERROR(VLOOKUP(C24,'تقرير المصروفات حسب الشهر'!$C$387:$AD$495,11,FALSE),0)</f>
        <v>0</v>
      </c>
      <c r="H24" s="362">
        <f>IFERROR(VLOOKUP(C24,'تقرير المصروفات حسب الشهر'!$C$512:$AD$620,11,FALSE),0)</f>
        <v>0</v>
      </c>
      <c r="I24" s="362">
        <f>IFERROR(VLOOKUP(C24,'تقرير المصروفات حسب الشهر'!$C$637:$AD$746,11,FALSE),0)</f>
        <v>0</v>
      </c>
      <c r="J24" s="362">
        <f>IFERROR(VLOOKUP(C24,'تقرير المصروفات حسب الشهر'!$C$763:$AD$872,11,FALSE),0)</f>
        <v>0</v>
      </c>
      <c r="K24" s="362">
        <f>IFERROR(VLOOKUP(C24,'تقرير المصروفات حسب الشهر'!$C$890:$AD$999,11,FALSE),0)</f>
        <v>0</v>
      </c>
      <c r="L24" s="362">
        <f>IFERROR(VLOOKUP(C24,'تقرير المصروفات حسب الشهر'!$C$1016:$AD$1126,11,FALSE),0)</f>
        <v>10000</v>
      </c>
      <c r="M24" s="376">
        <f>IFERROR(VLOOKUP(C24,'تقرير المصروفات حسب الشهر'!$C$1143:$AD$1254,11,FALSE),0)</f>
        <v>20000</v>
      </c>
      <c r="N24" s="376">
        <f>IFERROR(VLOOKUP(C24,'تقرير المصروفات حسب الشهر'!$C$1270:$AD$1381,11,FALSE),0)</f>
        <v>20000</v>
      </c>
      <c r="O24" s="376">
        <f>IFERROR(VLOOKUP(C24,'تقرير المصروفات حسب الشهر'!$C$1397:$AD$1512,11,FALSE),0)</f>
        <v>14827</v>
      </c>
      <c r="P24" s="364">
        <f t="shared" si="5"/>
        <v>64827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الشهر'!$C$10:$AD$119,11,FALSE),0)</f>
        <v>0</v>
      </c>
      <c r="E25" s="362">
        <f>IFERROR(VLOOKUP(C25,'تقرير المصروفات حسب الشهر'!$C$135:$AD$244,11,FALSE),0)</f>
        <v>0</v>
      </c>
      <c r="F25" s="362">
        <v>0</v>
      </c>
      <c r="G25" s="362">
        <f>IFERROR(VLOOKUP(C25,'تقرير المصروفات حسب الشهر'!$C$387:$AD$495,11,FALSE),0)</f>
        <v>0</v>
      </c>
      <c r="H25" s="362">
        <f>IFERROR(VLOOKUP(C25,'تقرير المصروفات حسب الشهر'!$C$512:$AD$620,11,FALSE),0)</f>
        <v>0</v>
      </c>
      <c r="I25" s="362">
        <f>IFERROR(VLOOKUP(C25,'تقرير المصروفات حسب الشهر'!$C$637:$AD$746,11,FALSE),0)</f>
        <v>0</v>
      </c>
      <c r="J25" s="362">
        <f>IFERROR(VLOOKUP(C25,'تقرير المصروفات حسب الشهر'!$C$763:$AD$872,11,FALSE),0)</f>
        <v>0</v>
      </c>
      <c r="K25" s="362">
        <f>IFERROR(VLOOKUP(C25,'تقرير المصروفات حسب الشهر'!$C$890:$AD$999,11,FALSE),0)</f>
        <v>0</v>
      </c>
      <c r="L25" s="362">
        <f>IFERROR(VLOOKUP(C25,'تقرير المصروفات حسب الشهر'!$C$1016:$AD$1126,11,FALSE),0)</f>
        <v>0</v>
      </c>
      <c r="M25" s="376">
        <f>IFERROR(VLOOKUP(C25,'تقرير المصروفات حسب الشهر'!$C$1143:$AD$1254,11,FALSE),0)</f>
        <v>0</v>
      </c>
      <c r="N25" s="376">
        <f>IFERROR(VLOOKUP(C25,'تقرير المصروفات حسب الشهر'!$C$1270:$AD$1381,11,FALSE),0)</f>
        <v>0</v>
      </c>
      <c r="O25" s="376">
        <f>IFERROR(VLOOKUP(C25,'تقرير المصروفات حسب الشهر'!$C$1397:$AD$1512,11,FALSE),0)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الشهر'!$C$10:$AD$119,11,FALSE),0)</f>
        <v>350</v>
      </c>
      <c r="E26" s="362">
        <f>IFERROR(VLOOKUP(C26,'تقرير المصروفات حسب الشهر'!$C$135:$AD$244,11,FALSE),0)</f>
        <v>0</v>
      </c>
      <c r="F26" s="362">
        <v>350</v>
      </c>
      <c r="G26" s="362">
        <f>IFERROR(VLOOKUP(C26,'تقرير المصروفات حسب الشهر'!$C$387:$AD$495,11,FALSE),0)</f>
        <v>0</v>
      </c>
      <c r="H26" s="362">
        <f>IFERROR(VLOOKUP(C26,'تقرير المصروفات حسب الشهر'!$C$512:$AD$620,11,FALSE),0)</f>
        <v>0</v>
      </c>
      <c r="I26" s="362">
        <f>IFERROR(VLOOKUP(C26,'تقرير المصروفات حسب الشهر'!$C$637:$AD$746,11,FALSE),0)</f>
        <v>0</v>
      </c>
      <c r="J26" s="362">
        <f>IFERROR(VLOOKUP(C26,'تقرير المصروفات حسب الشهر'!$C$763:$AD$872,11,FALSE),0)</f>
        <v>0</v>
      </c>
      <c r="K26" s="362">
        <f>IFERROR(VLOOKUP(C26,'تقرير المصروفات حسب الشهر'!$C$890:$AD$999,11,FALSE),0)</f>
        <v>0</v>
      </c>
      <c r="L26" s="362">
        <f>IFERROR(VLOOKUP(C26,'تقرير المصروفات حسب الشهر'!$C$1016:$AD$1126,11,FALSE),0)</f>
        <v>0</v>
      </c>
      <c r="M26" s="376">
        <f>IFERROR(VLOOKUP(C26,'تقرير المصروفات حسب الشهر'!$C$1143:$AD$1254,11,FALSE),0)</f>
        <v>0</v>
      </c>
      <c r="N26" s="376">
        <f>IFERROR(VLOOKUP(C26,'تقرير المصروفات حسب الشهر'!$C$1270:$AD$1381,11,FALSE),0)</f>
        <v>0</v>
      </c>
      <c r="O26" s="376">
        <f>IFERROR(VLOOKUP(C26,'تقرير المصروفات حسب الشهر'!$C$1397:$AD$1512,11,FALSE),0)</f>
        <v>0</v>
      </c>
      <c r="P26" s="364">
        <f t="shared" si="5"/>
        <v>700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الشهر'!$C$10:$AD$119,11,FALSE),0)</f>
        <v>0</v>
      </c>
      <c r="E27" s="362">
        <f>IFERROR(VLOOKUP(C27,'تقرير المصروفات حسب الشهر'!$C$135:$AD$244,11,FALSE),0)</f>
        <v>0</v>
      </c>
      <c r="F27" s="362">
        <v>0</v>
      </c>
      <c r="G27" s="362">
        <f>IFERROR(VLOOKUP(C27,'تقرير المصروفات حسب الشهر'!$C$387:$AD$495,11,FALSE),0)</f>
        <v>0</v>
      </c>
      <c r="H27" s="362">
        <f>IFERROR(VLOOKUP(C27,'تقرير المصروفات حسب الشهر'!$C$512:$AD$620,11,FALSE),0)</f>
        <v>0</v>
      </c>
      <c r="I27" s="362">
        <f>IFERROR(VLOOKUP(C27,'تقرير المصروفات حسب الشهر'!$C$637:$AD$746,11,FALSE),0)</f>
        <v>0</v>
      </c>
      <c r="J27" s="362">
        <f>IFERROR(VLOOKUP(C27,'تقرير المصروفات حسب الشهر'!$C$763:$AD$872,11,FALSE),0)</f>
        <v>0</v>
      </c>
      <c r="K27" s="362">
        <f>IFERROR(VLOOKUP(C27,'تقرير المصروفات حسب الشهر'!$C$890:$AD$999,11,FALSE),0)</f>
        <v>0</v>
      </c>
      <c r="L27" s="362">
        <f>IFERROR(VLOOKUP(C27,'تقرير المصروفات حسب الشهر'!$C$1016:$AD$1126,11,FALSE),0)</f>
        <v>0</v>
      </c>
      <c r="M27" s="376">
        <f>IFERROR(VLOOKUP(C27,'تقرير المصروفات حسب الشهر'!$C$1143:$AD$1254,11,FALSE),0)</f>
        <v>0</v>
      </c>
      <c r="N27" s="376">
        <f>IFERROR(VLOOKUP(C27,'تقرير المصروفات حسب الشهر'!$C$1270:$AD$1381,11,FALSE),0)</f>
        <v>0</v>
      </c>
      <c r="O27" s="376">
        <f>IFERROR(VLOOKUP(C27,'تقرير المصروفات حسب الشهر'!$C$1397:$AD$1512,11,FALSE),0)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الشهر'!$C$10:$AD$119,11,FALSE),0)</f>
        <v>0</v>
      </c>
      <c r="E28" s="362">
        <f>IFERROR(VLOOKUP(C28,'تقرير المصروفات حسب الشهر'!$C$135:$AD$244,11,FALSE),0)</f>
        <v>0</v>
      </c>
      <c r="F28" s="362">
        <v>0</v>
      </c>
      <c r="G28" s="362">
        <f>IFERROR(VLOOKUP(C28,'تقرير المصروفات حسب الشهر'!$C$387:$AD$495,11,FALSE),0)</f>
        <v>0</v>
      </c>
      <c r="H28" s="362">
        <f>IFERROR(VLOOKUP(C28,'تقرير المصروفات حسب الشهر'!$C$512:$AD$620,11,FALSE),0)</f>
        <v>0</v>
      </c>
      <c r="I28" s="362">
        <f>IFERROR(VLOOKUP(C28,'تقرير المصروفات حسب الشهر'!$C$637:$AD$746,11,FALSE),0)</f>
        <v>0</v>
      </c>
      <c r="J28" s="362">
        <f>IFERROR(VLOOKUP(C28,'تقرير المصروفات حسب الشهر'!$C$763:$AD$872,11,FALSE),0)</f>
        <v>0</v>
      </c>
      <c r="K28" s="362">
        <f>IFERROR(VLOOKUP(C28,'تقرير المصروفات حسب الشهر'!$C$890:$AD$999,11,FALSE),0)</f>
        <v>0</v>
      </c>
      <c r="L28" s="362">
        <f>IFERROR(VLOOKUP(C28,'تقرير المصروفات حسب الشهر'!$C$1016:$AD$1126,11,FALSE),0)</f>
        <v>0</v>
      </c>
      <c r="M28" s="376">
        <f>IFERROR(VLOOKUP(C28,'تقرير المصروفات حسب الشهر'!$C$1143:$AD$1254,11,FALSE),0)</f>
        <v>0</v>
      </c>
      <c r="N28" s="376">
        <f>IFERROR(VLOOKUP(C28,'تقرير المصروفات حسب الشهر'!$C$1270:$AD$1381,11,FALSE),0)</f>
        <v>0</v>
      </c>
      <c r="O28" s="376">
        <f>IFERROR(VLOOKUP(C28,'تقرير المصروفات حسب الشهر'!$C$1397:$AD$1512,11,FALSE),0)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الشهر'!$C$10:$AD$119,11,FALSE),0)</f>
        <v>11000</v>
      </c>
      <c r="E29" s="362">
        <f>IFERROR(VLOOKUP(C29,'تقرير المصروفات حسب الشهر'!$C$135:$AD$244,11,FALSE),0)</f>
        <v>11000</v>
      </c>
      <c r="F29" s="362">
        <v>11000</v>
      </c>
      <c r="G29" s="362">
        <f>IFERROR(VLOOKUP(C29,'تقرير المصروفات حسب الشهر'!$C$387:$AD$495,11,FALSE),0)</f>
        <v>11000</v>
      </c>
      <c r="H29" s="362">
        <f>IFERROR(VLOOKUP(C29,'تقرير المصروفات حسب الشهر'!$C$512:$AD$620,11,FALSE),0)</f>
        <v>11000</v>
      </c>
      <c r="I29" s="362">
        <f>IFERROR(VLOOKUP(C29,'تقرير المصروفات حسب الشهر'!$C$637:$AD$746,11,FALSE),0)</f>
        <v>16000</v>
      </c>
      <c r="J29" s="362">
        <f>IFERROR(VLOOKUP(C29,'تقرير المصروفات حسب الشهر'!$C$763:$AD$872,11,FALSE),0)</f>
        <v>16000</v>
      </c>
      <c r="K29" s="362">
        <f>IFERROR(VLOOKUP(C29,'تقرير المصروفات حسب الشهر'!$C$890:$AD$999,11,FALSE),0)</f>
        <v>16000</v>
      </c>
      <c r="L29" s="362">
        <f>IFERROR(VLOOKUP(C29,'تقرير المصروفات حسب الشهر'!$C$1016:$AD$1126,11,FALSE),0)</f>
        <v>16000</v>
      </c>
      <c r="M29" s="376">
        <f>IFERROR(VLOOKUP(C29,'تقرير المصروفات حسب الشهر'!$C$1143:$AD$1254,11,FALSE),0)</f>
        <v>16000</v>
      </c>
      <c r="N29" s="413">
        <f>IFERROR(VLOOKUP(C29,'تقرير المصروفات حسب الشهر'!$C$1270:$AD$1381,11,FALSE),0)</f>
        <v>16000</v>
      </c>
      <c r="O29" s="376">
        <f>IFERROR(VLOOKUP(C29,'تقرير المصروفات حسب الشهر'!$C$1397:$AD$1512,11,FALSE),0)</f>
        <v>16000</v>
      </c>
      <c r="P29" s="364">
        <f t="shared" si="5"/>
        <v>167000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الشهر'!$C$10:$AD$119,11,FALSE),0)</f>
        <v>0</v>
      </c>
      <c r="E30" s="362">
        <f>IFERROR(VLOOKUP(C30,'تقرير المصروفات حسب الشهر'!$C$135:$AD$244,11,FALSE),0)</f>
        <v>0</v>
      </c>
      <c r="F30" s="362">
        <v>655.5</v>
      </c>
      <c r="G30" s="362">
        <f>IFERROR(VLOOKUP(C30,'تقرير المصروفات حسب الشهر'!$C$387:$AD$495,11,FALSE),0)</f>
        <v>0</v>
      </c>
      <c r="H30" s="362">
        <f>IFERROR(VLOOKUP(C30,'تقرير المصروفات حسب الشهر'!$C$512:$AD$620,11,FALSE),0)</f>
        <v>0</v>
      </c>
      <c r="I30" s="362">
        <f>IFERROR(VLOOKUP(C30,'تقرير المصروفات حسب الشهر'!$C$637:$AD$746,11,FALSE),0)</f>
        <v>625.25</v>
      </c>
      <c r="J30" s="362">
        <f>IFERROR(VLOOKUP(C30,'تقرير المصروفات حسب الشهر'!$C$763:$AD$872,11,FALSE),0)</f>
        <v>0</v>
      </c>
      <c r="K30" s="362">
        <f>IFERROR(VLOOKUP(C30,'تقرير المصروفات حسب الشهر'!$C$890:$AD$999,11,FALSE),0)</f>
        <v>0</v>
      </c>
      <c r="L30" s="362">
        <f>IFERROR(VLOOKUP(C30,'تقرير المصروفات حسب الشهر'!$C$1016:$AD$1126,11,FALSE),0)</f>
        <v>0</v>
      </c>
      <c r="M30" s="376">
        <f>IFERROR(VLOOKUP(C30,'تقرير المصروفات حسب الشهر'!$C$1143:$AD$1254,11,FALSE),0)</f>
        <v>339.25</v>
      </c>
      <c r="N30" s="376">
        <f>IFERROR(VLOOKUP(C30,'تقرير المصروفات حسب الشهر'!$C$1270:$AD$1381,11,FALSE),0)</f>
        <v>0</v>
      </c>
      <c r="O30" s="376">
        <f>IFERROR(VLOOKUP(C30,'تقرير المصروفات حسب الشهر'!$C$1397:$AD$1512,11,FALSE),0)</f>
        <v>250</v>
      </c>
      <c r="P30" s="364">
        <f t="shared" si="5"/>
        <v>1870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الشهر'!$C$10:$AD$119,11,FALSE),0)</f>
        <v>694.41</v>
      </c>
      <c r="E31" s="362">
        <f>IFERROR(VLOOKUP(C31,'تقرير المصروفات حسب الشهر'!$C$135:$AD$244,11,FALSE),0)</f>
        <v>694.41</v>
      </c>
      <c r="F31" s="362">
        <v>694.4</v>
      </c>
      <c r="G31" s="362">
        <f>IFERROR(VLOOKUP(C31,'تقرير المصروفات حسب الشهر'!$C$387:$AD$495,11,FALSE),0)</f>
        <v>694.4</v>
      </c>
      <c r="H31" s="362">
        <f>IFERROR(VLOOKUP(C31,'تقرير المصروفات حسب الشهر'!$C$512:$AD$620,11,FALSE),0)</f>
        <v>694.4</v>
      </c>
      <c r="I31" s="362">
        <f>IFERROR(VLOOKUP(C31,'تقرير المصروفات حسب الشهر'!$C$637:$AD$746,11,FALSE),0)</f>
        <v>694.4</v>
      </c>
      <c r="J31" s="362">
        <f>IFERROR(VLOOKUP(C31,'تقرير المصروفات حسب الشهر'!$C$763:$AD$872,11,FALSE),0)</f>
        <v>694.4</v>
      </c>
      <c r="K31" s="362">
        <f>IFERROR(VLOOKUP(C31,'تقرير المصروفات حسب الشهر'!$C$890:$AD$999,11,FALSE),0)</f>
        <v>844.4</v>
      </c>
      <c r="L31" s="362">
        <f>IFERROR(VLOOKUP(C31,'تقرير المصروفات حسب الشهر'!$C$1016:$AD$1126,11,FALSE),0)</f>
        <v>836.97</v>
      </c>
      <c r="M31" s="376">
        <f>IFERROR(VLOOKUP(C31,'تقرير المصروفات حسب الشهر'!$C$1143:$AD$1254,11,FALSE),0)</f>
        <v>836.97</v>
      </c>
      <c r="N31" s="376">
        <f>IFERROR(VLOOKUP(C31,'تقرير المصروفات حسب الشهر'!$C$1270:$AD$1381,11,FALSE),0)</f>
        <v>836.97</v>
      </c>
      <c r="O31" s="376">
        <f>IFERROR(VLOOKUP(C31,'تقرير المصروفات حسب الشهر'!$C$1397:$AD$1512,11,FALSE),0)</f>
        <v>829.83</v>
      </c>
      <c r="P31" s="364">
        <f t="shared" si="5"/>
        <v>9045.9599999999991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الشهر'!$C$10:$AD$119,11,FALSE),0)</f>
        <v>0</v>
      </c>
      <c r="E32" s="362">
        <f>IFERROR(VLOOKUP(C32,'تقرير المصروفات حسب الشهر'!$C$135:$AD$244,11,FALSE),0)</f>
        <v>0</v>
      </c>
      <c r="F32" s="362">
        <v>0</v>
      </c>
      <c r="G32" s="362">
        <f>IFERROR(VLOOKUP(C32,'تقرير المصروفات حسب الشهر'!$C$387:$AD$495,11,FALSE),0)</f>
        <v>0</v>
      </c>
      <c r="H32" s="362">
        <f>IFERROR(VLOOKUP(C32,'تقرير المصروفات حسب الشهر'!$C$512:$AD$620,11,FALSE),0)</f>
        <v>0</v>
      </c>
      <c r="I32" s="362">
        <f>IFERROR(VLOOKUP(C32,'تقرير المصروفات حسب الشهر'!$C$637:$AD$746,11,FALSE),0)</f>
        <v>0</v>
      </c>
      <c r="J32" s="362">
        <f>IFERROR(VLOOKUP(C32,'تقرير المصروفات حسب الشهر'!$C$763:$AD$872,11,FALSE),0)</f>
        <v>0</v>
      </c>
      <c r="K32" s="362">
        <f>IFERROR(VLOOKUP(C32,'تقرير المصروفات حسب الشهر'!$C$890:$AD$999,11,FALSE),0)</f>
        <v>0</v>
      </c>
      <c r="L32" s="362">
        <f>IFERROR(VLOOKUP(C32,'تقرير المصروفات حسب الشهر'!$C$1016:$AD$1126,11,FALSE),0)</f>
        <v>0</v>
      </c>
      <c r="M32" s="376">
        <f>IFERROR(VLOOKUP(C32,'تقرير المصروفات حسب الشهر'!$C$1143:$AD$1254,11,FALSE),0)</f>
        <v>0</v>
      </c>
      <c r="N32" s="376">
        <f>IFERROR(VLOOKUP(C32,'تقرير المصروفات حسب الشهر'!$C$1270:$AD$1381,11,FALSE),0)</f>
        <v>0</v>
      </c>
      <c r="O32" s="376">
        <f>IFERROR(VLOOKUP(C32,'تقرير المصروفات حسب الشهر'!$C$1397:$AD$1512,11,FALSE),0)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الشهر'!$C$10:$AD$119,11,FALSE),0)</f>
        <v>750</v>
      </c>
      <c r="E33" s="362">
        <f>IFERROR(VLOOKUP(C33,'تقرير المصروفات حسب الشهر'!$C$135:$AD$244,11,FALSE),0)</f>
        <v>500</v>
      </c>
      <c r="F33" s="362">
        <v>750</v>
      </c>
      <c r="G33" s="362">
        <f>IFERROR(VLOOKUP(C33,'تقرير المصروفات حسب الشهر'!$C$387:$AD$495,11,FALSE),0)</f>
        <v>500</v>
      </c>
      <c r="H33" s="362">
        <f>IFERROR(VLOOKUP(C33,'تقرير المصروفات حسب الشهر'!$C$512:$AD$620,11,FALSE),0)</f>
        <v>500</v>
      </c>
      <c r="I33" s="362">
        <f>IFERROR(VLOOKUP(C33,'تقرير المصروفات حسب الشهر'!$C$637:$AD$746,11,FALSE),0)</f>
        <v>1815</v>
      </c>
      <c r="J33" s="362">
        <f>IFERROR(VLOOKUP(C33,'تقرير المصروفات حسب الشهر'!$C$763:$AD$872,11,FALSE),0)</f>
        <v>900</v>
      </c>
      <c r="K33" s="362">
        <f>IFERROR(VLOOKUP(C33,'تقرير المصروفات حسب الشهر'!$C$890:$AD$999,11,FALSE),0)</f>
        <v>0</v>
      </c>
      <c r="L33" s="362">
        <f>IFERROR(VLOOKUP(C33,'تقرير المصروفات حسب الشهر'!$C$1016:$AD$1126,11,FALSE),0)</f>
        <v>0</v>
      </c>
      <c r="M33" s="376">
        <f>IFERROR(VLOOKUP(C33,'تقرير المصروفات حسب الشهر'!$C$1143:$AD$1254,11,FALSE),0)</f>
        <v>0</v>
      </c>
      <c r="N33" s="376">
        <f>IFERROR(VLOOKUP(C33,'تقرير المصروفات حسب الشهر'!$C$1270:$AD$1381,11,FALSE),0)</f>
        <v>750</v>
      </c>
      <c r="O33" s="376">
        <f>IFERROR(VLOOKUP(C33,'تقرير المصروفات حسب الشهر'!$C$1397:$AD$1512,11,FALSE),0)</f>
        <v>0</v>
      </c>
      <c r="P33" s="364">
        <f t="shared" si="5"/>
        <v>6465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الشهر'!$C$10:$AD$119,11,FALSE),0)</f>
        <v>0</v>
      </c>
      <c r="E34" s="362">
        <f>IFERROR(VLOOKUP(C34,'تقرير المصروفات حسب الشهر'!$C$135:$AD$244,11,FALSE),0)</f>
        <v>0</v>
      </c>
      <c r="F34" s="362">
        <v>0</v>
      </c>
      <c r="G34" s="362">
        <f>IFERROR(VLOOKUP(C34,'تقرير المصروفات حسب الشهر'!$C$387:$AD$495,11,FALSE),0)</f>
        <v>0</v>
      </c>
      <c r="H34" s="362">
        <f>IFERROR(VLOOKUP(C34,'تقرير المصروفات حسب الشهر'!$C$512:$AD$620,11,FALSE),0)</f>
        <v>0</v>
      </c>
      <c r="I34" s="362">
        <f>IFERROR(VLOOKUP(C34,'تقرير المصروفات حسب الشهر'!$C$637:$AD$746,11,FALSE),0)</f>
        <v>0</v>
      </c>
      <c r="J34" s="362">
        <f>IFERROR(VLOOKUP(C34,'تقرير المصروفات حسب الشهر'!$C$763:$AD$872,11,FALSE),0)</f>
        <v>0</v>
      </c>
      <c r="K34" s="362">
        <f>IFERROR(VLOOKUP(C34,'تقرير المصروفات حسب الشهر'!$C$890:$AD$999,11,FALSE),0)</f>
        <v>0</v>
      </c>
      <c r="L34" s="362">
        <f>IFERROR(VLOOKUP(C34,'تقرير المصروفات حسب الشهر'!$C$1016:$AD$1126,11,FALSE),0)</f>
        <v>0</v>
      </c>
      <c r="M34" s="376">
        <f>IFERROR(VLOOKUP(C34,'تقرير المصروفات حسب الشهر'!$C$1143:$AD$1254,11,FALSE),0)</f>
        <v>0</v>
      </c>
      <c r="N34" s="376">
        <f>IFERROR(VLOOKUP(C34,'تقرير المصروفات حسب الشهر'!$C$1270:$AD$1381,11,FALSE),0)</f>
        <v>0</v>
      </c>
      <c r="O34" s="376">
        <f>IFERROR(VLOOKUP(C34,'تقرير المصروفات حسب الشهر'!$C$1397:$AD$1512,11,FALSE),0)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الشهر'!$C$10:$AD$119,11,FALSE),0)</f>
        <v>0</v>
      </c>
      <c r="E35" s="362">
        <f>IFERROR(VLOOKUP(C35,'تقرير المصروفات حسب الشهر'!$C$135:$AD$244,11,FALSE),0)</f>
        <v>0</v>
      </c>
      <c r="F35" s="362">
        <v>0</v>
      </c>
      <c r="G35" s="362">
        <f>IFERROR(VLOOKUP(C35,'تقرير المصروفات حسب الشهر'!$C$387:$AD$495,11,FALSE),0)</f>
        <v>0</v>
      </c>
      <c r="H35" s="362">
        <f>IFERROR(VLOOKUP(C35,'تقرير المصروفات حسب الشهر'!$C$512:$AD$620,11,FALSE),0)</f>
        <v>0</v>
      </c>
      <c r="I35" s="362">
        <f>IFERROR(VLOOKUP(C35,'تقرير المصروفات حسب الشهر'!$C$637:$AD$746,11,FALSE),0)</f>
        <v>0</v>
      </c>
      <c r="J35" s="362">
        <f>IFERROR(VLOOKUP(C35,'تقرير المصروفات حسب الشهر'!$C$763:$AD$872,11,FALSE),0)</f>
        <v>0</v>
      </c>
      <c r="K35" s="362">
        <f>IFERROR(VLOOKUP(C35,'تقرير المصروفات حسب الشهر'!$C$890:$AD$999,11,FALSE),0)</f>
        <v>2105</v>
      </c>
      <c r="L35" s="362">
        <f>IFERROR(VLOOKUP(C35,'تقرير المصروفات حسب الشهر'!$C$1016:$AD$1126,11,FALSE),0)</f>
        <v>0</v>
      </c>
      <c r="M35" s="376">
        <f>IFERROR(VLOOKUP(C35,'تقرير المصروفات حسب الشهر'!$C$1143:$AD$1254,11,FALSE),0)</f>
        <v>0</v>
      </c>
      <c r="N35" s="376">
        <f>IFERROR(VLOOKUP(C35,'تقرير المصروفات حسب الشهر'!$C$1270:$AD$1381,11,FALSE),0)</f>
        <v>0</v>
      </c>
      <c r="O35" s="376">
        <f>IFERROR(VLOOKUP(C35,'تقرير المصروفات حسب الشهر'!$C$1397:$AD$1512,11,FALSE),0)</f>
        <v>915</v>
      </c>
      <c r="P35" s="364">
        <f t="shared" si="5"/>
        <v>3020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الشهر'!$C$10:$AD$119,11,FALSE),0)</f>
        <v>750</v>
      </c>
      <c r="E36" s="362">
        <f>IFERROR(VLOOKUP(C36,'تقرير المصروفات حسب الشهر'!$C$135:$AD$244,11,FALSE),0)</f>
        <v>0</v>
      </c>
      <c r="F36" s="362">
        <v>750</v>
      </c>
      <c r="G36" s="362">
        <f>IFERROR(VLOOKUP(C36,'تقرير المصروفات حسب الشهر'!$C$387:$AD$495,11,FALSE),0)</f>
        <v>750</v>
      </c>
      <c r="H36" s="362">
        <f>IFERROR(VLOOKUP(C36,'تقرير المصروفات حسب الشهر'!$C$512:$AD$620,11,FALSE),0)</f>
        <v>0</v>
      </c>
      <c r="I36" s="362">
        <f>IFERROR(VLOOKUP(C36,'تقرير المصروفات حسب الشهر'!$C$637:$AD$746,11,FALSE),0)</f>
        <v>770</v>
      </c>
      <c r="J36" s="362">
        <f>IFERROR(VLOOKUP(C36,'تقرير المصروفات حسب الشهر'!$C$763:$AD$872,11,FALSE),0)</f>
        <v>0</v>
      </c>
      <c r="K36" s="362">
        <f>IFERROR(VLOOKUP(C36,'تقرير المصروفات حسب الشهر'!$C$890:$AD$999,11,FALSE),0)</f>
        <v>2310</v>
      </c>
      <c r="L36" s="362">
        <f>IFERROR(VLOOKUP(C36,'تقرير المصروفات حسب الشهر'!$C$1016:$AD$1126,11,FALSE),0)</f>
        <v>0</v>
      </c>
      <c r="M36" s="376">
        <f>IFERROR(VLOOKUP(C36,'تقرير المصروفات حسب الشهر'!$C$1143:$AD$1254,11,FALSE),0)</f>
        <v>2310</v>
      </c>
      <c r="N36" s="376">
        <f>IFERROR(VLOOKUP(C36,'تقرير المصروفات حسب الشهر'!$C$1270:$AD$1381,11,FALSE),0)</f>
        <v>0</v>
      </c>
      <c r="O36" s="376">
        <f>IFERROR(VLOOKUP(C36,'تقرير المصروفات حسب الشهر'!$C$1397:$AD$1512,11,FALSE),0)</f>
        <v>2310</v>
      </c>
      <c r="P36" s="364">
        <f t="shared" si="5"/>
        <v>9950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الشهر'!$C$10:$AD$119,11,FALSE),0)</f>
        <v>0</v>
      </c>
      <c r="E37" s="362">
        <f>IFERROR(VLOOKUP(C37,'تقرير المصروفات حسب الشهر'!$C$135:$AD$244,11,FALSE),0)</f>
        <v>0</v>
      </c>
      <c r="F37" s="362">
        <v>0</v>
      </c>
      <c r="G37" s="362">
        <f>IFERROR(VLOOKUP(C37,'تقرير المصروفات حسب الشهر'!$C$387:$AD$495,11,FALSE),0)</f>
        <v>4500</v>
      </c>
      <c r="H37" s="362">
        <f>IFERROR(VLOOKUP(C37,'تقرير المصروفات حسب الشهر'!$C$512:$AD$620,11,FALSE),0)</f>
        <v>0</v>
      </c>
      <c r="I37" s="362">
        <f>IFERROR(VLOOKUP(C37,'تقرير المصروفات حسب الشهر'!$C$637:$AD$746,11,FALSE),0)</f>
        <v>2250</v>
      </c>
      <c r="J37" s="362">
        <f>IFERROR(VLOOKUP(C37,'تقرير المصروفات حسب الشهر'!$C$763:$AD$872,11,FALSE),0)</f>
        <v>0</v>
      </c>
      <c r="K37" s="362">
        <f>IFERROR(VLOOKUP(C37,'تقرير المصروفات حسب الشهر'!$C$890:$AD$999,11,FALSE),0)</f>
        <v>4500</v>
      </c>
      <c r="L37" s="362">
        <f>IFERROR(VLOOKUP(C37,'تقرير المصروفات حسب الشهر'!$C$1016:$AD$1126,11,FALSE),0)</f>
        <v>0</v>
      </c>
      <c r="M37" s="376">
        <f>IFERROR(VLOOKUP(C37,'تقرير المصروفات حسب الشهر'!$C$1143:$AD$1254,11,FALSE),0)</f>
        <v>4500</v>
      </c>
      <c r="N37" s="376">
        <f>IFERROR(VLOOKUP(C37,'تقرير المصروفات حسب الشهر'!$C$1270:$AD$1381,11,FALSE),0)</f>
        <v>0</v>
      </c>
      <c r="O37" s="376">
        <f>IFERROR(VLOOKUP(C37,'تقرير المصروفات حسب الشهر'!$C$1397:$AD$1512,11,FALSE),0)</f>
        <v>2260</v>
      </c>
      <c r="P37" s="364">
        <f t="shared" si="5"/>
        <v>18010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الشهر'!$C$10:$AD$119,11,FALSE),0)</f>
        <v>0</v>
      </c>
      <c r="E38" s="362">
        <f>IFERROR(VLOOKUP(C38,'تقرير المصروفات حسب الشهر'!$C$135:$AD$244,11,FALSE),0)</f>
        <v>0</v>
      </c>
      <c r="F38" s="362">
        <v>0</v>
      </c>
      <c r="G38" s="362">
        <f>IFERROR(VLOOKUP(C38,'تقرير المصروفات حسب الشهر'!$C$387:$AD$495,11,FALSE),0)</f>
        <v>0</v>
      </c>
      <c r="H38" s="362">
        <f>IFERROR(VLOOKUP(C38,'تقرير المصروفات حسب الشهر'!$C$512:$AD$620,11,FALSE),0)</f>
        <v>0</v>
      </c>
      <c r="I38" s="362">
        <f>IFERROR(VLOOKUP(C38,'تقرير المصروفات حسب الشهر'!$C$637:$AD$746,11,FALSE),0)</f>
        <v>0</v>
      </c>
      <c r="J38" s="362">
        <f>IFERROR(VLOOKUP(C38,'تقرير المصروفات حسب الشهر'!$C$763:$AD$872,11,FALSE),0)</f>
        <v>0</v>
      </c>
      <c r="K38" s="362">
        <f>IFERROR(VLOOKUP(C38,'تقرير المصروفات حسب الشهر'!$C$890:$AD$999,11,FALSE),0)</f>
        <v>0</v>
      </c>
      <c r="L38" s="362">
        <f>IFERROR(VLOOKUP(C38,'تقرير المصروفات حسب الشهر'!$C$1016:$AD$1126,11,FALSE),0)</f>
        <v>0</v>
      </c>
      <c r="M38" s="376">
        <f>IFERROR(VLOOKUP(C38,'تقرير المصروفات حسب الشهر'!$C$1143:$AD$1254,11,FALSE),0)</f>
        <v>0</v>
      </c>
      <c r="N38" s="376">
        <f>IFERROR(VLOOKUP(C38,'تقرير المصروفات حسب الشهر'!$C$1270:$AD$1381,11,FALSE),0)</f>
        <v>0</v>
      </c>
      <c r="O38" s="376">
        <f>IFERROR(VLOOKUP(C38,'تقرير المصروفات حسب الشهر'!$C$1397:$AD$1512,11,FALSE),0)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الشهر'!$C$10:$AD$119,11,FALSE),0)</f>
        <v>4422.5</v>
      </c>
      <c r="E39" s="362">
        <f>IFERROR(VLOOKUP(C39,'تقرير المصروفات حسب الشهر'!$C$135:$AD$244,11,FALSE),0)</f>
        <v>4442.1000000000004</v>
      </c>
      <c r="F39" s="362">
        <v>3952.5</v>
      </c>
      <c r="G39" s="362">
        <f>IFERROR(VLOOKUP(C39,'تقرير المصروفات حسب الشهر'!$C$387:$AD$495,11,FALSE),0)</f>
        <v>3436.9</v>
      </c>
      <c r="H39" s="362">
        <f>IFERROR(VLOOKUP(C39,'تقرير المصروفات حسب الشهر'!$C$512:$AD$620,11,FALSE),0)</f>
        <v>4803</v>
      </c>
      <c r="I39" s="362">
        <f>IFERROR(VLOOKUP(C39,'تقرير المصروفات حسب الشهر'!$C$637:$AD$746,11,FALSE),0)</f>
        <v>3787</v>
      </c>
      <c r="J39" s="362">
        <f>IFERROR(VLOOKUP(C39,'تقرير المصروفات حسب الشهر'!$C$763:$AD$872,11,FALSE),0)</f>
        <v>2478</v>
      </c>
      <c r="K39" s="362">
        <f>IFERROR(VLOOKUP(C39,'تقرير المصروفات حسب الشهر'!$C$890:$AD$999,11,FALSE),0)</f>
        <v>2072</v>
      </c>
      <c r="L39" s="362">
        <f>IFERROR(VLOOKUP(C39,'تقرير المصروفات حسب الشهر'!$C$1016:$AD$1126,11,FALSE),0)</f>
        <v>1868</v>
      </c>
      <c r="M39" s="376">
        <f>IFERROR(VLOOKUP(C39,'تقرير المصروفات حسب الشهر'!$C$1143:$AD$1254,11,FALSE),0)</f>
        <v>1382</v>
      </c>
      <c r="N39" s="376">
        <f>IFERROR(VLOOKUP(C39,'تقرير المصروفات حسب الشهر'!$C$1270:$AD$1381,11,FALSE),0)</f>
        <v>2906</v>
      </c>
      <c r="O39" s="376">
        <f>IFERROR(VLOOKUP(C39,'تقرير المصروفات حسب الشهر'!$C$1397:$AD$1512,11,FALSE),0)</f>
        <v>4605</v>
      </c>
      <c r="P39" s="364">
        <f t="shared" si="5"/>
        <v>40155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الشهر'!$C$10:$AD$119,11,FALSE),0)</f>
        <v>0</v>
      </c>
      <c r="E40" s="362">
        <f>IFERROR(VLOOKUP(C40,'تقرير المصروفات حسب الشهر'!$C$135:$AD$244,11,FALSE),0)</f>
        <v>0</v>
      </c>
      <c r="F40" s="362">
        <v>0</v>
      </c>
      <c r="G40" s="362">
        <f>IFERROR(VLOOKUP(C40,'تقرير المصروفات حسب الشهر'!$C$387:$AD$495,11,FALSE),0)</f>
        <v>0</v>
      </c>
      <c r="H40" s="362">
        <f>IFERROR(VLOOKUP(C40,'تقرير المصروفات حسب الشهر'!$C$512:$AD$620,11,FALSE),0)</f>
        <v>0</v>
      </c>
      <c r="I40" s="362">
        <f>IFERROR(VLOOKUP(C40,'تقرير المصروفات حسب الشهر'!$C$637:$AD$746,11,FALSE),0)</f>
        <v>0</v>
      </c>
      <c r="J40" s="362">
        <f>IFERROR(VLOOKUP(C40,'تقرير المصروفات حسب الشهر'!$C$763:$AD$872,11,FALSE),0)</f>
        <v>0</v>
      </c>
      <c r="K40" s="362">
        <f>IFERROR(VLOOKUP(C40,'تقرير المصروفات حسب الشهر'!$C$890:$AD$999,11,FALSE),0)</f>
        <v>0</v>
      </c>
      <c r="L40" s="362">
        <f>IFERROR(VLOOKUP(C40,'تقرير المصروفات حسب الشهر'!$C$1016:$AD$1126,11,FALSE),0)</f>
        <v>0</v>
      </c>
      <c r="M40" s="376">
        <f>IFERROR(VLOOKUP(C40,'تقرير المصروفات حسب الشهر'!$C$1143:$AD$1254,11,FALSE),0)</f>
        <v>0</v>
      </c>
      <c r="N40" s="376">
        <f>IFERROR(VLOOKUP(C40,'تقرير المصروفات حسب الشهر'!$C$1270:$AD$1381,11,FALSE),0)</f>
        <v>0</v>
      </c>
      <c r="O40" s="376">
        <f>IFERROR(VLOOKUP(C40,'تقرير المصروفات حسب الشهر'!$C$1397:$AD$1512,11,FALSE),0)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الشهر'!$C$10:$AD$119,11,FALSE),0)</f>
        <v>0</v>
      </c>
      <c r="E41" s="362">
        <f>IFERROR(VLOOKUP(C41,'تقرير المصروفات حسب الشهر'!$C$135:$AD$244,11,FALSE),0)</f>
        <v>0</v>
      </c>
      <c r="F41" s="362">
        <v>0</v>
      </c>
      <c r="G41" s="362">
        <f>IFERROR(VLOOKUP(C41,'تقرير المصروفات حسب الشهر'!$C$387:$AD$495,11,FALSE),0)</f>
        <v>0</v>
      </c>
      <c r="H41" s="362">
        <f>IFERROR(VLOOKUP(C41,'تقرير المصروفات حسب الشهر'!$C$512:$AD$620,11,FALSE),0)</f>
        <v>0</v>
      </c>
      <c r="I41" s="362">
        <f>IFERROR(VLOOKUP(C41,'تقرير المصروفات حسب الشهر'!$C$637:$AD$746,11,FALSE),0)</f>
        <v>0</v>
      </c>
      <c r="J41" s="362">
        <f>IFERROR(VLOOKUP(C41,'تقرير المصروفات حسب الشهر'!$C$763:$AD$872,11,FALSE),0)</f>
        <v>0</v>
      </c>
      <c r="K41" s="362">
        <f>IFERROR(VLOOKUP(C41,'تقرير المصروفات حسب الشهر'!$C$890:$AD$999,11,FALSE),0)</f>
        <v>0</v>
      </c>
      <c r="L41" s="362">
        <f>IFERROR(VLOOKUP(C41,'تقرير المصروفات حسب الشهر'!$C$1016:$AD$1126,11,FALSE),0)</f>
        <v>0</v>
      </c>
      <c r="M41" s="376">
        <f>IFERROR(VLOOKUP(C41,'تقرير المصروفات حسب الشهر'!$C$1143:$AD$1254,11,FALSE),0)</f>
        <v>0</v>
      </c>
      <c r="N41" s="376">
        <f>IFERROR(VLOOKUP(C41,'تقرير المصروفات حسب الشهر'!$C$1270:$AD$1381,11,FALSE),0)</f>
        <v>0</v>
      </c>
      <c r="O41" s="376">
        <f>IFERROR(VLOOKUP(C41,'تقرير المصروفات حسب الشهر'!$C$1397:$AD$1512,11,FALSE),0)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الشهر'!$C$10:$AD$119,11,FALSE),0)</f>
        <v>0</v>
      </c>
      <c r="E42" s="362">
        <f>IFERROR(VLOOKUP(C42,'تقرير المصروفات حسب الشهر'!$C$135:$AD$244,11,FALSE),0)</f>
        <v>0</v>
      </c>
      <c r="F42" s="362">
        <v>0</v>
      </c>
      <c r="G42" s="362">
        <f>IFERROR(VLOOKUP(C42,'تقرير المصروفات حسب الشهر'!$C$387:$AD$495,11,FALSE),0)</f>
        <v>0</v>
      </c>
      <c r="H42" s="362">
        <f>IFERROR(VLOOKUP(C42,'تقرير المصروفات حسب الشهر'!$C$512:$AD$620,11,FALSE),0)</f>
        <v>0</v>
      </c>
      <c r="I42" s="362">
        <f>IFERROR(VLOOKUP(C42,'تقرير المصروفات حسب الشهر'!$C$637:$AD$746,11,FALSE),0)</f>
        <v>0</v>
      </c>
      <c r="J42" s="362">
        <f>IFERROR(VLOOKUP(C42,'تقرير المصروفات حسب الشهر'!$C$763:$AD$872,11,FALSE),0)</f>
        <v>0</v>
      </c>
      <c r="K42" s="362">
        <f>IFERROR(VLOOKUP(C42,'تقرير المصروفات حسب الشهر'!$C$890:$AD$999,11,FALSE),0)</f>
        <v>0</v>
      </c>
      <c r="L42" s="362">
        <f>IFERROR(VLOOKUP(C42,'تقرير المصروفات حسب الشهر'!$C$1016:$AD$1126,11,FALSE),0)</f>
        <v>0</v>
      </c>
      <c r="M42" s="376">
        <f>IFERROR(VLOOKUP(C42,'تقرير المصروفات حسب الشهر'!$C$1143:$AD$1254,11,FALSE),0)</f>
        <v>0</v>
      </c>
      <c r="N42" s="376">
        <f>IFERROR(VLOOKUP(C42,'تقرير المصروفات حسب الشهر'!$C$1270:$AD$1381,11,FALSE),0)</f>
        <v>0</v>
      </c>
      <c r="O42" s="376">
        <f>IFERROR(VLOOKUP(C42,'تقرير المصروفات حسب الشهر'!$C$1397:$AD$1512,11,FALSE),0)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الشهر'!$C$10:$AD$119,11,FALSE),0)</f>
        <v>0</v>
      </c>
      <c r="E43" s="362">
        <f>IFERROR(VLOOKUP(C43,'تقرير المصروفات حسب الشهر'!$C$135:$AD$244,11,FALSE),0)</f>
        <v>0</v>
      </c>
      <c r="F43" s="362">
        <v>0</v>
      </c>
      <c r="G43" s="362">
        <f>IFERROR(VLOOKUP(C43,'تقرير المصروفات حسب الشهر'!$C$387:$AD$495,11,FALSE),0)</f>
        <v>0</v>
      </c>
      <c r="H43" s="362">
        <f>IFERROR(VLOOKUP(C43,'تقرير المصروفات حسب الشهر'!$C$512:$AD$620,11,FALSE),0)</f>
        <v>0</v>
      </c>
      <c r="I43" s="362">
        <f>IFERROR(VLOOKUP(C43,'تقرير المصروفات حسب الشهر'!$C$637:$AD$746,11,FALSE),0)</f>
        <v>0</v>
      </c>
      <c r="J43" s="362">
        <f>IFERROR(VLOOKUP(C43,'تقرير المصروفات حسب الشهر'!$C$763:$AD$872,11,FALSE),0)</f>
        <v>0</v>
      </c>
      <c r="K43" s="362">
        <f>IFERROR(VLOOKUP(C43,'تقرير المصروفات حسب الشهر'!$C$890:$AD$999,11,FALSE),0)</f>
        <v>0</v>
      </c>
      <c r="L43" s="362">
        <f>IFERROR(VLOOKUP(C43,'تقرير المصروفات حسب الشهر'!$C$1016:$AD$1126,11,FALSE),0)</f>
        <v>0</v>
      </c>
      <c r="M43" s="376">
        <f>IFERROR(VLOOKUP(C43,'تقرير المصروفات حسب الشهر'!$C$1143:$AD$1254,11,FALSE),0)</f>
        <v>0</v>
      </c>
      <c r="N43" s="413">
        <f>IFERROR(VLOOKUP(C43,'تقرير المصروفات حسب الشهر'!$C$1270:$AD$1381,11,FALSE),0)</f>
        <v>0</v>
      </c>
      <c r="O43" s="376">
        <f>IFERROR(VLOOKUP(C43,'تقرير المصروفات حسب الشهر'!$C$1397:$AD$1512,11,FALSE),0)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الشهر'!$C$10:$AD$119,11,FALSE),0)</f>
        <v>200</v>
      </c>
      <c r="E44" s="362">
        <f>IFERROR(VLOOKUP(C44,'تقرير المصروفات حسب الشهر'!$C$135:$AD$244,11,FALSE),0)</f>
        <v>0</v>
      </c>
      <c r="F44" s="362">
        <v>325</v>
      </c>
      <c r="G44" s="362">
        <f>IFERROR(VLOOKUP(C44,'تقرير المصروفات حسب الشهر'!$C$387:$AD$495,11,FALSE),0)</f>
        <v>413</v>
      </c>
      <c r="H44" s="362">
        <f>IFERROR(VLOOKUP(C44,'تقرير المصروفات حسب الشهر'!$C$512:$AD$620,11,FALSE),0)</f>
        <v>330</v>
      </c>
      <c r="I44" s="362">
        <f>IFERROR(VLOOKUP(C44,'تقرير المصروفات حسب الشهر'!$C$637:$AD$746,11,FALSE),0)</f>
        <v>189</v>
      </c>
      <c r="J44" s="362">
        <f>IFERROR(VLOOKUP(C44,'تقرير المصروفات حسب الشهر'!$C$763:$AD$872,11,FALSE),0)</f>
        <v>0</v>
      </c>
      <c r="K44" s="362">
        <f>IFERROR(VLOOKUP(C44,'تقرير المصروفات حسب الشهر'!$C$890:$AD$999,11,FALSE),0)</f>
        <v>300</v>
      </c>
      <c r="L44" s="362">
        <f>IFERROR(VLOOKUP(C44,'تقرير المصروفات حسب الشهر'!$C$1016:$AD$1126,11,FALSE),0)</f>
        <v>175</v>
      </c>
      <c r="M44" s="376">
        <f>IFERROR(VLOOKUP(C44,'تقرير المصروفات حسب الشهر'!$C$1143:$AD$1254,11,FALSE),0)</f>
        <v>0</v>
      </c>
      <c r="N44" s="376">
        <f>IFERROR(VLOOKUP(C44,'تقرير المصروفات حسب الشهر'!$C$1270:$AD$1381,11,FALSE),0)</f>
        <v>730</v>
      </c>
      <c r="O44" s="376">
        <f>IFERROR(VLOOKUP(C44,'تقرير المصروفات حسب الشهر'!$C$1397:$AD$1512,11,FALSE),0)</f>
        <v>0</v>
      </c>
      <c r="P44" s="364">
        <f t="shared" si="5"/>
        <v>2662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الشهر'!$C$10:$AD$119,11,FALSE),0)</f>
        <v>0</v>
      </c>
      <c r="E45" s="362">
        <f>IFERROR(VLOOKUP(C45,'تقرير المصروفات حسب الشهر'!$C$135:$AD$244,11,FALSE),0)</f>
        <v>0</v>
      </c>
      <c r="F45" s="362">
        <v>0</v>
      </c>
      <c r="G45" s="362">
        <f>IFERROR(VLOOKUP(C45,'تقرير المصروفات حسب الشهر'!$C$387:$AD$495,11,FALSE),0)</f>
        <v>0</v>
      </c>
      <c r="H45" s="362">
        <f>IFERROR(VLOOKUP(C45,'تقرير المصروفات حسب الشهر'!$C$512:$AD$620,11,FALSE),0)</f>
        <v>0</v>
      </c>
      <c r="I45" s="362">
        <f>IFERROR(VLOOKUP(C45,'تقرير المصروفات حسب الشهر'!$C$637:$AD$746,11,FALSE),0)</f>
        <v>0</v>
      </c>
      <c r="J45" s="362">
        <f>IFERROR(VLOOKUP(C45,'تقرير المصروفات حسب الشهر'!$C$763:$AD$872,11,FALSE),0)</f>
        <v>0</v>
      </c>
      <c r="K45" s="362">
        <f>IFERROR(VLOOKUP(C45,'تقرير المصروفات حسب الشهر'!$C$890:$AD$999,11,FALSE),0)</f>
        <v>0</v>
      </c>
      <c r="L45" s="362">
        <f>IFERROR(VLOOKUP(C45,'تقرير المصروفات حسب الشهر'!$C$1016:$AD$1126,11,FALSE),0)</f>
        <v>0</v>
      </c>
      <c r="M45" s="376">
        <f>IFERROR(VLOOKUP(C45,'تقرير المصروفات حسب الشهر'!$C$1143:$AD$1254,11,FALSE),0)</f>
        <v>0</v>
      </c>
      <c r="N45" s="376">
        <f>IFERROR(VLOOKUP(C45,'تقرير المصروفات حسب الشهر'!$C$1270:$AD$1381,11,FALSE),0)</f>
        <v>0</v>
      </c>
      <c r="O45" s="376">
        <f>IFERROR(VLOOKUP(C45,'تقرير المصروفات حسب الشهر'!$C$1397:$AD$1512,11,FALSE),0)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الشهر'!$C$10:$AD$119,11,FALSE),0)</f>
        <v>0</v>
      </c>
      <c r="E46" s="362">
        <f>IFERROR(VLOOKUP(C46,'تقرير المصروفات حسب الشهر'!$C$135:$AD$244,11,FALSE),0)</f>
        <v>0</v>
      </c>
      <c r="F46" s="362">
        <v>0</v>
      </c>
      <c r="G46" s="362">
        <f>IFERROR(VLOOKUP(C46,'تقرير المصروفات حسب الشهر'!$C$387:$AD$495,11,FALSE),0)</f>
        <v>0</v>
      </c>
      <c r="H46" s="362">
        <f>IFERROR(VLOOKUP(C46,'تقرير المصروفات حسب الشهر'!$C$512:$AD$620,11,FALSE),0)</f>
        <v>0</v>
      </c>
      <c r="I46" s="362">
        <f>IFERROR(VLOOKUP(C46,'تقرير المصروفات حسب الشهر'!$C$637:$AD$746,11,FALSE),0)</f>
        <v>0</v>
      </c>
      <c r="J46" s="362">
        <f>IFERROR(VLOOKUP(C46,'تقرير المصروفات حسب الشهر'!$C$763:$AD$872,11,FALSE),0)</f>
        <v>0</v>
      </c>
      <c r="K46" s="362">
        <f>IFERROR(VLOOKUP(C46,'تقرير المصروفات حسب الشهر'!$C$890:$AD$999,11,FALSE),0)</f>
        <v>0</v>
      </c>
      <c r="L46" s="362">
        <f>IFERROR(VLOOKUP(C46,'تقرير المصروفات حسب الشهر'!$C$1016:$AD$1126,11,FALSE),0)</f>
        <v>0</v>
      </c>
      <c r="M46" s="376">
        <f>IFERROR(VLOOKUP(C46,'تقرير المصروفات حسب الشهر'!$C$1143:$AD$1254,11,FALSE),0)</f>
        <v>0</v>
      </c>
      <c r="N46" s="376">
        <f>IFERROR(VLOOKUP(C46,'تقرير المصروفات حسب الشهر'!$C$1270:$AD$1381,11,FALSE),0)</f>
        <v>0</v>
      </c>
      <c r="O46" s="376">
        <f>IFERROR(VLOOKUP(C46,'تقرير المصروفات حسب الشهر'!$C$1397:$AD$1512,11,FALSE),0)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الشهر'!$C$10:$AD$119,11,FALSE),0)</f>
        <v>0</v>
      </c>
      <c r="E47" s="362">
        <f>IFERROR(VLOOKUP(C47,'تقرير المصروفات حسب الشهر'!$C$135:$AD$244,11,FALSE),0)</f>
        <v>0</v>
      </c>
      <c r="F47" s="362">
        <v>0</v>
      </c>
      <c r="G47" s="362">
        <f>IFERROR(VLOOKUP(C47,'تقرير المصروفات حسب الشهر'!$C$387:$AD$495,11,FALSE),0)</f>
        <v>1100</v>
      </c>
      <c r="H47" s="362">
        <f>IFERROR(VLOOKUP(C47,'تقرير المصروفات حسب الشهر'!$C$512:$AD$620,11,FALSE),0)</f>
        <v>0</v>
      </c>
      <c r="I47" s="362">
        <f>IFERROR(VLOOKUP(C47,'تقرير المصروفات حسب الشهر'!$C$637:$AD$746,11,FALSE),0)</f>
        <v>0</v>
      </c>
      <c r="J47" s="362">
        <f>IFERROR(VLOOKUP(C47,'تقرير المصروفات حسب الشهر'!$C$763:$AD$872,11,FALSE),0)</f>
        <v>0</v>
      </c>
      <c r="K47" s="362">
        <f>IFERROR(VLOOKUP(C47,'تقرير المصروفات حسب الشهر'!$C$890:$AD$999,11,FALSE),0)</f>
        <v>0</v>
      </c>
      <c r="L47" s="362">
        <f>IFERROR(VLOOKUP(C47,'تقرير المصروفات حسب الشهر'!$C$1016:$AD$1126,11,FALSE),0)</f>
        <v>0</v>
      </c>
      <c r="M47" s="376">
        <f>IFERROR(VLOOKUP(C47,'تقرير المصروفات حسب الشهر'!$C$1143:$AD$1254,11,FALSE),0)</f>
        <v>0</v>
      </c>
      <c r="N47" s="376">
        <f>IFERROR(VLOOKUP(C47,'تقرير المصروفات حسب الشهر'!$C$1270:$AD$1381,11,FALSE),0)</f>
        <v>0</v>
      </c>
      <c r="O47" s="376">
        <f>IFERROR(VLOOKUP(C47,'تقرير المصروفات حسب الشهر'!$C$1397:$AD$1512,11,FALSE),0)</f>
        <v>0</v>
      </c>
      <c r="P47" s="364">
        <f t="shared" si="5"/>
        <v>1100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الشهر'!$C$10:$AD$119,11,FALSE),0)</f>
        <v>0</v>
      </c>
      <c r="E48" s="362">
        <f>IFERROR(VLOOKUP(C48,'تقرير المصروفات حسب الشهر'!$C$135:$AD$244,11,FALSE),0)</f>
        <v>0</v>
      </c>
      <c r="F48" s="362">
        <v>0</v>
      </c>
      <c r="G48" s="362">
        <f>IFERROR(VLOOKUP(C48,'تقرير المصروفات حسب الشهر'!$C$387:$AD$495,11,FALSE),0)</f>
        <v>0</v>
      </c>
      <c r="H48" s="362">
        <f>IFERROR(VLOOKUP(C48,'تقرير المصروفات حسب الشهر'!$C$512:$AD$620,11,FALSE),0)</f>
        <v>5000</v>
      </c>
      <c r="I48" s="362">
        <f>IFERROR(VLOOKUP(C48,'تقرير المصروفات حسب الشهر'!$C$637:$AD$746,11,FALSE),0)</f>
        <v>0</v>
      </c>
      <c r="J48" s="362">
        <f>IFERROR(VLOOKUP(C48,'تقرير المصروفات حسب الشهر'!$C$763:$AD$872,11,FALSE),0)</f>
        <v>0</v>
      </c>
      <c r="K48" s="362">
        <f>IFERROR(VLOOKUP(C48,'تقرير المصروفات حسب الشهر'!$C$890:$AD$999,11,FALSE),0)</f>
        <v>0</v>
      </c>
      <c r="L48" s="362">
        <f>IFERROR(VLOOKUP(C48,'تقرير المصروفات حسب الشهر'!$C$1016:$AD$1126,11,FALSE),0)</f>
        <v>700</v>
      </c>
      <c r="M48" s="376">
        <f>IFERROR(VLOOKUP(C48,'تقرير المصروفات حسب الشهر'!$C$1143:$AD$1254,11,FALSE),0)</f>
        <v>0</v>
      </c>
      <c r="N48" s="376">
        <f>IFERROR(VLOOKUP(C48,'تقرير المصروفات حسب الشهر'!$C$1270:$AD$1381,11,FALSE),0)</f>
        <v>0</v>
      </c>
      <c r="O48" s="376">
        <f>IFERROR(VLOOKUP(C48,'تقرير المصروفات حسب الشهر'!$C$1397:$AD$1512,11,FALSE),0)</f>
        <v>0</v>
      </c>
      <c r="P48" s="364">
        <f t="shared" si="5"/>
        <v>5700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الشهر'!$C$10:$AD$119,11,FALSE),0)</f>
        <v>0</v>
      </c>
      <c r="E49" s="362">
        <f>IFERROR(VLOOKUP(C49,'تقرير المصروفات حسب الشهر'!$C$135:$AD$244,11,FALSE),0)</f>
        <v>0</v>
      </c>
      <c r="F49" s="362">
        <v>0</v>
      </c>
      <c r="G49" s="362">
        <f>IFERROR(VLOOKUP(C49,'تقرير المصروفات حسب الشهر'!$C$387:$AD$495,11,FALSE),0)</f>
        <v>0</v>
      </c>
      <c r="H49" s="362">
        <f>IFERROR(VLOOKUP(C49,'تقرير المصروفات حسب الشهر'!$C$512:$AD$620,11,FALSE),0)</f>
        <v>0</v>
      </c>
      <c r="I49" s="362">
        <f>IFERROR(VLOOKUP(C49,'تقرير المصروفات حسب الشهر'!$C$637:$AD$746,11,FALSE),0)</f>
        <v>0</v>
      </c>
      <c r="J49" s="362">
        <f>IFERROR(VLOOKUP(C49,'تقرير المصروفات حسب الشهر'!$C$763:$AD$872,11,FALSE),0)</f>
        <v>100</v>
      </c>
      <c r="K49" s="362">
        <f>IFERROR(VLOOKUP(C49,'تقرير المصروفات حسب الشهر'!$C$890:$AD$999,11,FALSE),0)</f>
        <v>0</v>
      </c>
      <c r="L49" s="362">
        <f>IFERROR(VLOOKUP(C49,'تقرير المصروفات حسب الشهر'!$C$1016:$AD$1126,11,FALSE),0)</f>
        <v>0</v>
      </c>
      <c r="M49" s="376">
        <f>IFERROR(VLOOKUP(C49,'تقرير المصروفات حسب الشهر'!$C$1143:$AD$1254,11,FALSE),0)</f>
        <v>0</v>
      </c>
      <c r="N49" s="376">
        <f>IFERROR(VLOOKUP(C49,'تقرير المصروفات حسب الشهر'!$C$1270:$AD$1381,11,FALSE),0)</f>
        <v>0</v>
      </c>
      <c r="O49" s="376">
        <f>IFERROR(VLOOKUP(C49,'تقرير المصروفات حسب الشهر'!$C$1397:$AD$1512,11,FALSE),0)</f>
        <v>0</v>
      </c>
      <c r="P49" s="364">
        <f t="shared" si="5"/>
        <v>100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الشهر'!$C$10:$AD$119,11,FALSE),0)</f>
        <v>0</v>
      </c>
      <c r="E50" s="362">
        <f>IFERROR(VLOOKUP(C50,'تقرير المصروفات حسب الشهر'!$C$135:$AD$244,11,FALSE),0)</f>
        <v>0</v>
      </c>
      <c r="F50" s="362">
        <v>0</v>
      </c>
      <c r="G50" s="362">
        <f>IFERROR(VLOOKUP(C50,'تقرير المصروفات حسب الشهر'!$C$387:$AD$495,11,FALSE),0)</f>
        <v>0</v>
      </c>
      <c r="H50" s="362">
        <f>IFERROR(VLOOKUP(C50,'تقرير المصروفات حسب الشهر'!$C$512:$AD$620,11,FALSE),0)</f>
        <v>0</v>
      </c>
      <c r="I50" s="362">
        <f>IFERROR(VLOOKUP(C50,'تقرير المصروفات حسب الشهر'!$C$637:$AD$746,11,FALSE),0)</f>
        <v>0</v>
      </c>
      <c r="J50" s="362">
        <f>IFERROR(VLOOKUP(C50,'تقرير المصروفات حسب الشهر'!$C$763:$AD$872,11,FALSE),0)</f>
        <v>0</v>
      </c>
      <c r="K50" s="362">
        <f>IFERROR(VLOOKUP(C50,'تقرير المصروفات حسب الشهر'!$C$890:$AD$999,11,FALSE),0)</f>
        <v>0</v>
      </c>
      <c r="L50" s="362">
        <f>IFERROR(VLOOKUP(C50,'تقرير المصروفات حسب الشهر'!$C$1016:$AD$1126,11,FALSE),0)</f>
        <v>0</v>
      </c>
      <c r="M50" s="376">
        <f>IFERROR(VLOOKUP(C50,'تقرير المصروفات حسب الشهر'!$C$1143:$AD$1254,11,FALSE),0)</f>
        <v>0</v>
      </c>
      <c r="N50" s="376">
        <f>IFERROR(VLOOKUP(C50,'تقرير المصروفات حسب الشهر'!$C$1270:$AD$1381,11,FALSE),0)</f>
        <v>0</v>
      </c>
      <c r="O50" s="376">
        <f>IFERROR(VLOOKUP(C50,'تقرير المصروفات حسب الشهر'!$C$1397:$AD$1512,11,FALSE),0)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الشهر'!$C$10:$AD$119,11,FALSE),0)</f>
        <v>625</v>
      </c>
      <c r="E51" s="362">
        <f>IFERROR(VLOOKUP(C51,'تقرير المصروفات حسب الشهر'!$C$135:$AD$244,11,FALSE),0)</f>
        <v>0</v>
      </c>
      <c r="F51" s="362">
        <v>0</v>
      </c>
      <c r="G51" s="362">
        <f>IFERROR(VLOOKUP(C51,'تقرير المصروفات حسب الشهر'!$C$387:$AD$495,11,FALSE),0)</f>
        <v>0</v>
      </c>
      <c r="H51" s="362">
        <f>IFERROR(VLOOKUP(C51,'تقرير المصروفات حسب الشهر'!$C$512:$AD$620,11,FALSE),0)</f>
        <v>400</v>
      </c>
      <c r="I51" s="362">
        <f>IFERROR(VLOOKUP(C51,'تقرير المصروفات حسب الشهر'!$C$637:$AD$746,11,FALSE),0)</f>
        <v>400</v>
      </c>
      <c r="J51" s="362">
        <f>IFERROR(VLOOKUP(C51,'تقرير المصروفات حسب الشهر'!$C$763:$AD$872,11,FALSE),0)</f>
        <v>199.5</v>
      </c>
      <c r="K51" s="362">
        <f>IFERROR(VLOOKUP(C51,'تقرير المصروفات حسب الشهر'!$C$890:$AD$999,11,FALSE),0)</f>
        <v>0</v>
      </c>
      <c r="L51" s="362">
        <f>IFERROR(VLOOKUP(C51,'تقرير المصروفات حسب الشهر'!$C$1016:$AD$1126,11,FALSE),0)</f>
        <v>700</v>
      </c>
      <c r="M51" s="376">
        <f>IFERROR(VLOOKUP(C51,'تقرير المصروفات حسب الشهر'!$C$1143:$AD$1254,11,FALSE),0)</f>
        <v>2000</v>
      </c>
      <c r="N51" s="376">
        <f>IFERROR(VLOOKUP(C51,'تقرير المصروفات حسب الشهر'!$C$1270:$AD$1381,11,FALSE),0)</f>
        <v>0</v>
      </c>
      <c r="O51" s="376">
        <f>IFERROR(VLOOKUP(C51,'تقرير المصروفات حسب الشهر'!$C$1397:$AD$1512,11,FALSE),0)</f>
        <v>3245</v>
      </c>
      <c r="P51" s="364">
        <f t="shared" si="5"/>
        <v>7569.5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الشهر'!$C$10:$AD$119,11,FALSE),0)</f>
        <v>0</v>
      </c>
      <c r="E52" s="362">
        <f>IFERROR(VLOOKUP(C52,'تقرير المصروفات حسب الشهر'!$C$135:$AD$244,11,FALSE),0)</f>
        <v>0</v>
      </c>
      <c r="F52" s="362">
        <v>0</v>
      </c>
      <c r="G52" s="362">
        <f>IFERROR(VLOOKUP(C52,'تقرير المصروفات حسب الشهر'!$C$387:$AD$495,11,FALSE),0)</f>
        <v>0</v>
      </c>
      <c r="H52" s="362">
        <f>IFERROR(VLOOKUP(C52,'تقرير المصروفات حسب الشهر'!$C$512:$AD$620,11,FALSE),0)</f>
        <v>0</v>
      </c>
      <c r="I52" s="362">
        <f>IFERROR(VLOOKUP(C52,'تقرير المصروفات حسب الشهر'!$C$637:$AD$746,11,FALSE),0)</f>
        <v>0</v>
      </c>
      <c r="J52" s="362">
        <f>IFERROR(VLOOKUP(C52,'تقرير المصروفات حسب الشهر'!$C$763:$AD$872,11,FALSE),0)</f>
        <v>0</v>
      </c>
      <c r="K52" s="362">
        <f>IFERROR(VLOOKUP(C52,'تقرير المصروفات حسب الشهر'!$C$890:$AD$999,11,FALSE),0)</f>
        <v>0</v>
      </c>
      <c r="L52" s="362">
        <f>IFERROR(VLOOKUP(C52,'تقرير المصروفات حسب الشهر'!$C$1016:$AD$1126,11,FALSE),0)</f>
        <v>0</v>
      </c>
      <c r="M52" s="376">
        <f>IFERROR(VLOOKUP(C52,'تقرير المصروفات حسب الشهر'!$C$1143:$AD$1254,11,FALSE),0)</f>
        <v>0</v>
      </c>
      <c r="N52" s="376">
        <f>IFERROR(VLOOKUP(C52,'تقرير المصروفات حسب الشهر'!$C$1270:$AD$1381,11,FALSE),0)</f>
        <v>0</v>
      </c>
      <c r="O52" s="376">
        <f>IFERROR(VLOOKUP(C52,'تقرير المصروفات حسب الشهر'!$C$1397:$AD$1512,11,FALSE),0)</f>
        <v>0</v>
      </c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الشهر'!$C$10:$AD$119,11,FALSE),0)</f>
        <v>0</v>
      </c>
      <c r="E53" s="362">
        <f>IFERROR(VLOOKUP(C53,'تقرير المصروفات حسب الشهر'!$C$135:$AD$244,11,FALSE),0)</f>
        <v>0</v>
      </c>
      <c r="F53" s="362">
        <v>0</v>
      </c>
      <c r="G53" s="362">
        <f>IFERROR(VLOOKUP(C53,'تقرير المصروفات حسب الشهر'!$C$387:$AD$495,11,FALSE),0)</f>
        <v>0</v>
      </c>
      <c r="H53" s="362">
        <f>IFERROR(VLOOKUP(C53,'تقرير المصروفات حسب الشهر'!$C$512:$AD$620,11,FALSE),0)</f>
        <v>0</v>
      </c>
      <c r="I53" s="362">
        <f>IFERROR(VLOOKUP(C53,'تقرير المصروفات حسب الشهر'!$C$637:$AD$746,11,FALSE),0)</f>
        <v>0</v>
      </c>
      <c r="J53" s="362">
        <f>IFERROR(VLOOKUP(C53,'تقرير المصروفات حسب الشهر'!$C$763:$AD$872,11,FALSE),0)</f>
        <v>0</v>
      </c>
      <c r="K53" s="362">
        <f>IFERROR(VLOOKUP(C53,'تقرير المصروفات حسب الشهر'!$C$890:$AD$999,11,FALSE),0)</f>
        <v>0</v>
      </c>
      <c r="L53" s="362">
        <f>IFERROR(VLOOKUP(C53,'تقرير المصروفات حسب الشهر'!$C$1016:$AD$1126,11,FALSE),0)</f>
        <v>0</v>
      </c>
      <c r="M53" s="376">
        <f>IFERROR(VLOOKUP(C53,'تقرير المصروفات حسب الشهر'!$C$1143:$AD$1254,11,FALSE),0)</f>
        <v>0</v>
      </c>
      <c r="N53" s="376">
        <f>IFERROR(VLOOKUP(C53,'تقرير المصروفات حسب الشهر'!$C$1270:$AD$1381,11,FALSE),0)</f>
        <v>0</v>
      </c>
      <c r="O53" s="376">
        <f>IFERROR(VLOOKUP(C53,'تقرير المصروفات حسب الشهر'!$C$1397:$AD$1512,11,FALSE),0)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الشهر'!$C$10:$AD$119,11,FALSE),0)</f>
        <v>3950</v>
      </c>
      <c r="E54" s="362">
        <f>IFERROR(VLOOKUP(C54,'تقرير المصروفات حسب الشهر'!$C$135:$AD$244,11,FALSE),0)</f>
        <v>0</v>
      </c>
      <c r="F54" s="362">
        <v>8700</v>
      </c>
      <c r="G54" s="362">
        <f>IFERROR(VLOOKUP(C54,'تقرير المصروفات حسب الشهر'!$C$387:$AD$495,11,FALSE),0)</f>
        <v>4300</v>
      </c>
      <c r="H54" s="362">
        <f>IFERROR(VLOOKUP(C54,'تقرير المصروفات حسب الشهر'!$C$512:$AD$620,11,FALSE),0)</f>
        <v>0</v>
      </c>
      <c r="I54" s="362">
        <f>IFERROR(VLOOKUP(C54,'تقرير المصروفات حسب الشهر'!$C$637:$AD$746,11,FALSE),0)</f>
        <v>4900</v>
      </c>
      <c r="J54" s="362">
        <f>IFERROR(VLOOKUP(C54,'تقرير المصروفات حسب الشهر'!$C$763:$AD$872,11,FALSE),0)</f>
        <v>5400</v>
      </c>
      <c r="K54" s="362">
        <f>IFERROR(VLOOKUP(C54,'تقرير المصروفات حسب الشهر'!$C$890:$AD$999,11,FALSE),0)</f>
        <v>0</v>
      </c>
      <c r="L54" s="362">
        <f>IFERROR(VLOOKUP(C54,'تقرير المصروفات حسب الشهر'!$C$1016:$AD$1126,11,FALSE),0)</f>
        <v>0</v>
      </c>
      <c r="M54" s="376">
        <f>IFERROR(VLOOKUP(C54,'تقرير المصروفات حسب الشهر'!$C$1143:$AD$1254,11,FALSE),0)</f>
        <v>1500</v>
      </c>
      <c r="N54" s="376">
        <f>IFERROR(VLOOKUP(C54,'تقرير المصروفات حسب الشهر'!$C$1270:$AD$1381,11,FALSE),0)</f>
        <v>0</v>
      </c>
      <c r="O54" s="376">
        <f>IFERROR(VLOOKUP(C54,'تقرير المصروفات حسب الشهر'!$C$1397:$AD$1512,11,FALSE),0)</f>
        <v>11700</v>
      </c>
      <c r="P54" s="364">
        <f t="shared" si="5"/>
        <v>40450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الشهر'!$C$10:$AD$119,11,FALSE),0)</f>
        <v>0</v>
      </c>
      <c r="E55" s="362">
        <f>IFERROR(VLOOKUP(C55,'تقرير المصروفات حسب الشهر'!$C$135:$AD$244,11,FALSE),0)</f>
        <v>0</v>
      </c>
      <c r="F55" s="362">
        <v>0</v>
      </c>
      <c r="G55" s="362">
        <f>IFERROR(VLOOKUP(C55,'تقرير المصروفات حسب الشهر'!$C$387:$AD$495,11,FALSE),0)</f>
        <v>0</v>
      </c>
      <c r="H55" s="362">
        <f>IFERROR(VLOOKUP(C55,'تقرير المصروفات حسب الشهر'!$C$512:$AD$620,11,FALSE),0)</f>
        <v>0</v>
      </c>
      <c r="I55" s="362">
        <f>IFERROR(VLOOKUP(C55,'تقرير المصروفات حسب الشهر'!$C$637:$AD$746,11,FALSE),0)</f>
        <v>0</v>
      </c>
      <c r="J55" s="362">
        <f>IFERROR(VLOOKUP(C55,'تقرير المصروفات حسب الشهر'!$C$763:$AD$872,11,FALSE),0)</f>
        <v>0</v>
      </c>
      <c r="K55" s="362">
        <f>IFERROR(VLOOKUP(C55,'تقرير المصروفات حسب الشهر'!$C$890:$AD$999,11,FALSE),0)</f>
        <v>0</v>
      </c>
      <c r="L55" s="362">
        <f>IFERROR(VLOOKUP(C55,'تقرير المصروفات حسب الشهر'!$C$1016:$AD$1126,11,FALSE),0)</f>
        <v>0</v>
      </c>
      <c r="M55" s="376">
        <f>IFERROR(VLOOKUP(C55,'تقرير المصروفات حسب الشهر'!$C$1143:$AD$1254,11,FALSE),0)</f>
        <v>0</v>
      </c>
      <c r="N55" s="376">
        <f>IFERROR(VLOOKUP(C55,'تقرير المصروفات حسب الشهر'!$C$1270:$AD$1381,11,FALSE),0)</f>
        <v>0</v>
      </c>
      <c r="O55" s="376">
        <f>IFERROR(VLOOKUP(C55,'تقرير المصروفات حسب الشهر'!$C$1397:$AD$1512,11,FALSE),0)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الشهر'!$C$10:$AD$119,11,FALSE),0)</f>
        <v>0</v>
      </c>
      <c r="E56" s="362">
        <f>IFERROR(VLOOKUP(C56,'تقرير المصروفات حسب الشهر'!$C$135:$AD$244,11,FALSE),0)</f>
        <v>0</v>
      </c>
      <c r="F56" s="362">
        <v>0</v>
      </c>
      <c r="G56" s="362">
        <f>IFERROR(VLOOKUP(C56,'تقرير المصروفات حسب الشهر'!$C$387:$AD$495,11,FALSE),0)</f>
        <v>0</v>
      </c>
      <c r="H56" s="362">
        <f>IFERROR(VLOOKUP(C56,'تقرير المصروفات حسب الشهر'!$C$512:$AD$620,11,FALSE),0)</f>
        <v>0</v>
      </c>
      <c r="I56" s="362">
        <f>IFERROR(VLOOKUP(C56,'تقرير المصروفات حسب الشهر'!$C$637:$AD$746,11,FALSE),0)</f>
        <v>0</v>
      </c>
      <c r="J56" s="362">
        <f>IFERROR(VLOOKUP(C56,'تقرير المصروفات حسب الشهر'!$C$763:$AD$872,11,FALSE),0)</f>
        <v>0</v>
      </c>
      <c r="K56" s="362">
        <f>IFERROR(VLOOKUP(C56,'تقرير المصروفات حسب الشهر'!$C$890:$AD$999,11,FALSE),0)</f>
        <v>0</v>
      </c>
      <c r="L56" s="362">
        <f>IFERROR(VLOOKUP(C56,'تقرير المصروفات حسب الشهر'!$C$1016:$AD$1126,11,FALSE),0)</f>
        <v>0</v>
      </c>
      <c r="M56" s="376">
        <f>IFERROR(VLOOKUP(C56,'تقرير المصروفات حسب الشهر'!$C$1143:$AD$1254,11,FALSE),0)</f>
        <v>0</v>
      </c>
      <c r="N56" s="376">
        <f>IFERROR(VLOOKUP(C56,'تقرير المصروفات حسب الشهر'!$C$1270:$AD$1381,11,FALSE),0)</f>
        <v>0</v>
      </c>
      <c r="O56" s="376">
        <f>IFERROR(VLOOKUP(C56,'تقرير المصروفات حسب الشهر'!$C$1397:$AD$1512,11,FALSE),0)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الشهر'!$C$10:$AD$119,11,FALSE),0)</f>
        <v>0</v>
      </c>
      <c r="E57" s="362">
        <f>IFERROR(VLOOKUP(C57,'تقرير المصروفات حسب الشهر'!$C$135:$AD$244,11,FALSE),0)</f>
        <v>0</v>
      </c>
      <c r="F57" s="362">
        <v>0</v>
      </c>
      <c r="G57" s="362">
        <f>IFERROR(VLOOKUP(C57,'تقرير المصروفات حسب الشهر'!$C$387:$AD$495,11,FALSE),0)</f>
        <v>0</v>
      </c>
      <c r="H57" s="362">
        <f>IFERROR(VLOOKUP(C57,'تقرير المصروفات حسب الشهر'!$C$512:$AD$620,11,FALSE),0)</f>
        <v>0</v>
      </c>
      <c r="I57" s="362">
        <f>IFERROR(VLOOKUP(C57,'تقرير المصروفات حسب الشهر'!$C$637:$AD$746,11,FALSE),0)</f>
        <v>0</v>
      </c>
      <c r="J57" s="362">
        <f>IFERROR(VLOOKUP(C57,'تقرير المصروفات حسب الشهر'!$C$763:$AD$872,11,FALSE),0)</f>
        <v>0</v>
      </c>
      <c r="K57" s="362">
        <f>IFERROR(VLOOKUP(C57,'تقرير المصروفات حسب الشهر'!$C$890:$AD$999,11,FALSE),0)</f>
        <v>0</v>
      </c>
      <c r="L57" s="362">
        <f>IFERROR(VLOOKUP(C57,'تقرير المصروفات حسب الشهر'!$C$1016:$AD$1126,11,FALSE),0)</f>
        <v>0</v>
      </c>
      <c r="M57" s="376">
        <f>IFERROR(VLOOKUP(C57,'تقرير المصروفات حسب الشهر'!$C$1143:$AD$1254,11,FALSE),0)</f>
        <v>0</v>
      </c>
      <c r="N57" s="376">
        <f>IFERROR(VLOOKUP(C57,'تقرير المصروفات حسب الشهر'!$C$1270:$AD$1381,11,FALSE),0)</f>
        <v>0</v>
      </c>
      <c r="O57" s="376">
        <f>IFERROR(VLOOKUP(C57,'تقرير المصروفات حسب الشهر'!$C$1397:$AD$1512,11,FALSE),0)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الشهر'!$C$10:$AD$119,11,FALSE),0)</f>
        <v>0</v>
      </c>
      <c r="E58" s="362">
        <f>IFERROR(VLOOKUP(C58,'تقرير المصروفات حسب الشهر'!$C$135:$AD$244,11,FALSE),0)</f>
        <v>0</v>
      </c>
      <c r="F58" s="362">
        <v>0</v>
      </c>
      <c r="G58" s="362">
        <f>IFERROR(VLOOKUP(C58,'تقرير المصروفات حسب الشهر'!$C$387:$AD$495,11,FALSE),0)</f>
        <v>0</v>
      </c>
      <c r="H58" s="362">
        <f>IFERROR(VLOOKUP(C58,'تقرير المصروفات حسب الشهر'!$C$512:$AD$620,11,FALSE),0)</f>
        <v>0</v>
      </c>
      <c r="I58" s="362">
        <f>IFERROR(VLOOKUP(C58,'تقرير المصروفات حسب الشهر'!$C$637:$AD$746,11,FALSE),0)</f>
        <v>0</v>
      </c>
      <c r="J58" s="362">
        <f>IFERROR(VLOOKUP(C58,'تقرير المصروفات حسب الشهر'!$C$763:$AD$872,11,FALSE),0)</f>
        <v>0</v>
      </c>
      <c r="K58" s="362">
        <f>IFERROR(VLOOKUP(C58,'تقرير المصروفات حسب الشهر'!$C$890:$AD$999,11,FALSE),0)</f>
        <v>0</v>
      </c>
      <c r="L58" s="362">
        <f>IFERROR(VLOOKUP(C58,'تقرير المصروفات حسب الشهر'!$C$1016:$AD$1126,11,FALSE),0)</f>
        <v>0</v>
      </c>
      <c r="M58" s="376">
        <f>IFERROR(VLOOKUP(C58,'تقرير المصروفات حسب الشهر'!$C$1143:$AD$1254,11,FALSE),0)</f>
        <v>0</v>
      </c>
      <c r="N58" s="376">
        <f>IFERROR(VLOOKUP(C58,'تقرير المصروفات حسب الشهر'!$C$1270:$AD$1381,11,FALSE),0)</f>
        <v>0</v>
      </c>
      <c r="O58" s="376">
        <f>IFERROR(VLOOKUP(C58,'تقرير المصروفات حسب الشهر'!$C$1397:$AD$1512,11,FALSE),0)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الشهر'!$C$10:$AD$119,11,FALSE),0)</f>
        <v>0</v>
      </c>
      <c r="E59" s="362">
        <f>IFERROR(VLOOKUP(C59,'تقرير المصروفات حسب الشهر'!$C$135:$AD$244,11,FALSE),0)</f>
        <v>2700.25</v>
      </c>
      <c r="F59" s="362">
        <v>1800.25</v>
      </c>
      <c r="G59" s="362">
        <f>IFERROR(VLOOKUP(C59,'تقرير المصروفات حسب الشهر'!$C$387:$AD$495,11,FALSE),0)</f>
        <v>3225.25</v>
      </c>
      <c r="H59" s="362">
        <f>IFERROR(VLOOKUP(C59,'تقرير المصروفات حسب الشهر'!$C$512:$AD$620,11,FALSE),0)</f>
        <v>0</v>
      </c>
      <c r="I59" s="362">
        <f>IFERROR(VLOOKUP(C59,'تقرير المصروفات حسب الشهر'!$C$637:$AD$746,11,FALSE),0)</f>
        <v>3747.5</v>
      </c>
      <c r="J59" s="362">
        <f>IFERROR(VLOOKUP(C59,'تقرير المصروفات حسب الشهر'!$C$763:$AD$872,11,FALSE),0)</f>
        <v>3666.26</v>
      </c>
      <c r="K59" s="362">
        <f>IFERROR(VLOOKUP(C59,'تقرير المصروفات حسب الشهر'!$C$890:$AD$999,11,FALSE),0)</f>
        <v>0</v>
      </c>
      <c r="L59" s="362">
        <f>IFERROR(VLOOKUP(C59,'تقرير المصروفات حسب الشهر'!$C$1016:$AD$1126,11,FALSE),0)</f>
        <v>4222.25</v>
      </c>
      <c r="M59" s="376">
        <f>IFERROR(VLOOKUP(C59,'تقرير المصروفات حسب الشهر'!$C$1143:$AD$1254,11,FALSE),0)</f>
        <v>2252.25</v>
      </c>
      <c r="N59" s="376">
        <f>IFERROR(VLOOKUP(C59,'تقرير المصروفات حسب الشهر'!$C$1270:$AD$1381,11,FALSE),0)</f>
        <v>7888.25</v>
      </c>
      <c r="O59" s="376">
        <f>IFERROR(VLOOKUP(C59,'تقرير المصروفات حسب الشهر'!$C$1397:$AD$1512,11,FALSE),0)</f>
        <v>4900.25</v>
      </c>
      <c r="P59" s="364">
        <f t="shared" si="5"/>
        <v>34402.51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الشهر'!$C$10:$AD$119,11,FALSE),0)</f>
        <v>6240</v>
      </c>
      <c r="E60" s="362">
        <f>IFERROR(VLOOKUP(C60,'تقرير المصروفات حسب الشهر'!$C$135:$AD$244,11,FALSE),0)</f>
        <v>0</v>
      </c>
      <c r="F60" s="362">
        <v>7500</v>
      </c>
      <c r="G60" s="362">
        <f>IFERROR(VLOOKUP(C60,'تقرير المصروفات حسب الشهر'!$C$387:$AD$495,11,FALSE),0)</f>
        <v>0</v>
      </c>
      <c r="H60" s="362">
        <f>IFERROR(VLOOKUP(C60,'تقرير المصروفات حسب الشهر'!$C$512:$AD$620,11,FALSE),0)</f>
        <v>0</v>
      </c>
      <c r="I60" s="362">
        <f>IFERROR(VLOOKUP(C60,'تقرير المصروفات حسب الشهر'!$C$637:$AD$746,11,FALSE),0)</f>
        <v>5270</v>
      </c>
      <c r="J60" s="362">
        <f>IFERROR(VLOOKUP(C60,'تقرير المصروفات حسب الشهر'!$C$763:$AD$872,11,FALSE),0)</f>
        <v>0</v>
      </c>
      <c r="K60" s="362">
        <f>IFERROR(VLOOKUP(C60,'تقرير المصروفات حسب الشهر'!$C$890:$AD$999,11,FALSE),0)</f>
        <v>13530</v>
      </c>
      <c r="L60" s="362">
        <f>IFERROR(VLOOKUP(C60,'تقرير المصروفات حسب الشهر'!$C$1016:$AD$1126,11,FALSE),0)</f>
        <v>0</v>
      </c>
      <c r="M60" s="376">
        <f>IFERROR(VLOOKUP(C60,'تقرير المصروفات حسب الشهر'!$C$1143:$AD$1254,11,FALSE),0)</f>
        <v>11880</v>
      </c>
      <c r="N60" s="376">
        <f>IFERROR(VLOOKUP(C60,'تقرير المصروفات حسب الشهر'!$C$1270:$AD$1381,11,FALSE),0)</f>
        <v>0</v>
      </c>
      <c r="O60" s="376">
        <f>IFERROR(VLOOKUP(C60,'تقرير المصروفات حسب الشهر'!$C$1397:$AD$1512,11,FALSE),0)</f>
        <v>4950</v>
      </c>
      <c r="P60" s="364">
        <f t="shared" si="5"/>
        <v>49370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الشهر'!$C$10:$AD$119,11,FALSE),0)</f>
        <v>0</v>
      </c>
      <c r="E61" s="362">
        <f>IFERROR(VLOOKUP(C61,'تقرير المصروفات حسب الشهر'!$C$135:$AD$244,11,FALSE),0)</f>
        <v>0</v>
      </c>
      <c r="F61" s="362">
        <v>0</v>
      </c>
      <c r="G61" s="362">
        <f>IFERROR(VLOOKUP(C61,'تقرير المصروفات حسب الشهر'!$C$387:$AD$495,11,FALSE),0)</f>
        <v>0</v>
      </c>
      <c r="H61" s="362">
        <f>IFERROR(VLOOKUP(C61,'تقرير المصروفات حسب الشهر'!$C$512:$AD$620,11,FALSE),0)</f>
        <v>0</v>
      </c>
      <c r="I61" s="362">
        <f>IFERROR(VLOOKUP(C61,'تقرير المصروفات حسب الشهر'!$C$637:$AD$746,11,FALSE),0)</f>
        <v>0</v>
      </c>
      <c r="J61" s="362">
        <f>IFERROR(VLOOKUP(C61,'تقرير المصروفات حسب الشهر'!$C$763:$AD$872,11,FALSE),0)</f>
        <v>0</v>
      </c>
      <c r="K61" s="362">
        <f>IFERROR(VLOOKUP(C61,'تقرير المصروفات حسب الشهر'!$C$890:$AD$999,11,FALSE),0)</f>
        <v>0</v>
      </c>
      <c r="L61" s="362">
        <f>IFERROR(VLOOKUP(C61,'تقرير المصروفات حسب الشهر'!$C$1016:$AD$1126,11,FALSE),0)</f>
        <v>450</v>
      </c>
      <c r="M61" s="376">
        <f>IFERROR(VLOOKUP(C61,'تقرير المصروفات حسب الشهر'!$C$1143:$AD$1254,11,FALSE),0)</f>
        <v>0</v>
      </c>
      <c r="N61" s="376">
        <f>IFERROR(VLOOKUP(C61,'تقرير المصروفات حسب الشهر'!$C$1270:$AD$1381,11,FALSE),0)</f>
        <v>0</v>
      </c>
      <c r="O61" s="376">
        <f>IFERROR(VLOOKUP(C61,'تقرير المصروفات حسب الشهر'!$C$1397:$AD$1512,11,FALSE),0)</f>
        <v>0</v>
      </c>
      <c r="P61" s="364">
        <f t="shared" si="5"/>
        <v>450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الشهر'!$C$10:$AD$119,11,FALSE),0)</f>
        <v>0</v>
      </c>
      <c r="E62" s="362">
        <f>IFERROR(VLOOKUP(C62,'تقرير المصروفات حسب الشهر'!$C$135:$AD$244,11,FALSE),0)</f>
        <v>0</v>
      </c>
      <c r="F62" s="362">
        <v>3420</v>
      </c>
      <c r="G62" s="362">
        <f>IFERROR(VLOOKUP(C62,'تقرير المصروفات حسب الشهر'!$C$387:$AD$495,11,FALSE),0)</f>
        <v>0</v>
      </c>
      <c r="H62" s="362">
        <f>IFERROR(VLOOKUP(C62,'تقرير المصروفات حسب الشهر'!$C$512:$AD$620,11,FALSE),0)</f>
        <v>3110</v>
      </c>
      <c r="I62" s="362">
        <f>IFERROR(VLOOKUP(C62,'تقرير المصروفات حسب الشهر'!$C$637:$AD$746,11,FALSE),0)</f>
        <v>0</v>
      </c>
      <c r="J62" s="362">
        <f>IFERROR(VLOOKUP(C62,'تقرير المصروفات حسب الشهر'!$C$763:$AD$872,11,FALSE),0)</f>
        <v>0</v>
      </c>
      <c r="K62" s="362">
        <f>IFERROR(VLOOKUP(C62,'تقرير المصروفات حسب الشهر'!$C$890:$AD$999,11,FALSE),0)</f>
        <v>0</v>
      </c>
      <c r="L62" s="362">
        <f>IFERROR(VLOOKUP(C62,'تقرير المصروفات حسب الشهر'!$C$1016:$AD$1126,11,FALSE),0)</f>
        <v>3608</v>
      </c>
      <c r="M62" s="376">
        <f>IFERROR(VLOOKUP(C62,'تقرير المصروفات حسب الشهر'!$C$1143:$AD$1254,11,FALSE),0)</f>
        <v>0</v>
      </c>
      <c r="N62" s="376">
        <f>IFERROR(VLOOKUP(C62,'تقرير المصروفات حسب الشهر'!$C$1270:$AD$1381,11,FALSE),0)</f>
        <v>0</v>
      </c>
      <c r="O62" s="376">
        <f>IFERROR(VLOOKUP(C62,'تقرير المصروفات حسب الشهر'!$C$1397:$AD$1512,11,FALSE),0)</f>
        <v>0</v>
      </c>
      <c r="P62" s="364">
        <f t="shared" si="5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الشهر'!$C$10:$AD$119,11,FALSE),0)</f>
        <v>1600</v>
      </c>
      <c r="E63" s="362">
        <f>IFERROR(VLOOKUP(C63,'تقرير المصروفات حسب الشهر'!$C$135:$AD$244,11,FALSE),0)</f>
        <v>0</v>
      </c>
      <c r="F63" s="362">
        <v>0</v>
      </c>
      <c r="G63" s="362">
        <f>IFERROR(VLOOKUP(C63,'تقرير المصروفات حسب الشهر'!$C$387:$AD$495,11,FALSE),0)</f>
        <v>0</v>
      </c>
      <c r="H63" s="362">
        <f>IFERROR(VLOOKUP(C63,'تقرير المصروفات حسب الشهر'!$C$512:$AD$620,11,FALSE),0)</f>
        <v>0</v>
      </c>
      <c r="I63" s="362">
        <f>IFERROR(VLOOKUP(C63,'تقرير المصروفات حسب الشهر'!$C$637:$AD$746,11,FALSE),0)</f>
        <v>0</v>
      </c>
      <c r="J63" s="362">
        <f>IFERROR(VLOOKUP(C63,'تقرير المصروفات حسب الشهر'!$C$763:$AD$872,11,FALSE),0)</f>
        <v>1600</v>
      </c>
      <c r="K63" s="362">
        <f>IFERROR(VLOOKUP(C63,'تقرير المصروفات حسب الشهر'!$C$890:$AD$999,11,FALSE),0)</f>
        <v>0</v>
      </c>
      <c r="L63" s="362">
        <f>IFERROR(VLOOKUP(C63,'تقرير المصروفات حسب الشهر'!$C$1016:$AD$1126,11,FALSE),0)</f>
        <v>0</v>
      </c>
      <c r="M63" s="376">
        <f>IFERROR(VLOOKUP(C63,'تقرير المصروفات حسب الشهر'!$C$1143:$AD$1254,11,FALSE),0)</f>
        <v>0</v>
      </c>
      <c r="N63" s="376">
        <f>IFERROR(VLOOKUP(C63,'تقرير المصروفات حسب الشهر'!$C$1270:$AD$1381,11,FALSE),0)</f>
        <v>0</v>
      </c>
      <c r="O63" s="376">
        <f>IFERROR(VLOOKUP(C63,'تقرير المصروفات حسب الشهر'!$C$1397:$AD$1512,11,FALSE),0)</f>
        <v>0</v>
      </c>
      <c r="P63" s="364">
        <f t="shared" si="5"/>
        <v>3200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الشهر'!$C$10:$AD$119,11,FALSE),0)</f>
        <v>0</v>
      </c>
      <c r="E64" s="362">
        <f>IFERROR(VLOOKUP(C64,'تقرير المصروفات حسب الشهر'!$C$135:$AD$244,11,FALSE),0)</f>
        <v>0</v>
      </c>
      <c r="F64" s="362">
        <v>9120</v>
      </c>
      <c r="G64" s="362">
        <f>IFERROR(VLOOKUP(C64,'تقرير المصروفات حسب الشهر'!$C$387:$AD$495,11,FALSE),0)</f>
        <v>5280</v>
      </c>
      <c r="H64" s="362">
        <f>IFERROR(VLOOKUP(C64,'تقرير المصروفات حسب الشهر'!$C$512:$AD$620,11,FALSE),0)</f>
        <v>0</v>
      </c>
      <c r="I64" s="362">
        <f>IFERROR(VLOOKUP(C64,'تقرير المصروفات حسب الشهر'!$C$637:$AD$746,11,FALSE),0)</f>
        <v>0</v>
      </c>
      <c r="J64" s="362">
        <f>IFERROR(VLOOKUP(C64,'تقرير المصروفات حسب الشهر'!$C$763:$AD$872,11,FALSE),0)</f>
        <v>0</v>
      </c>
      <c r="K64" s="362">
        <f>IFERROR(VLOOKUP(C64,'تقرير المصروفات حسب الشهر'!$C$890:$AD$999,11,FALSE),0)</f>
        <v>0</v>
      </c>
      <c r="L64" s="362">
        <f>IFERROR(VLOOKUP(C64,'تقرير المصروفات حسب الشهر'!$C$1016:$AD$1126,11,FALSE),0)</f>
        <v>0</v>
      </c>
      <c r="M64" s="376">
        <f>IFERROR(VLOOKUP(C64,'تقرير المصروفات حسب الشهر'!$C$1143:$AD$1254,11,FALSE),0)</f>
        <v>0</v>
      </c>
      <c r="N64" s="376">
        <f>IFERROR(VLOOKUP(C64,'تقرير المصروفات حسب الشهر'!$C$1270:$AD$1381,11,FALSE),0)</f>
        <v>0</v>
      </c>
      <c r="O64" s="376">
        <f>IFERROR(VLOOKUP(C64,'تقرير المصروفات حسب الشهر'!$C$1397:$AD$1512,11,FALSE),0)</f>
        <v>0</v>
      </c>
      <c r="P64" s="364">
        <f t="shared" si="5"/>
        <v>14400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الشهر'!$C$10:$AD$119,11,FALSE),0)</f>
        <v>0</v>
      </c>
      <c r="E65" s="362">
        <f>IFERROR(VLOOKUP(C65,'تقرير المصروفات حسب الشهر'!$C$135:$AD$244,11,FALSE),0)</f>
        <v>0</v>
      </c>
      <c r="F65" s="362">
        <v>0</v>
      </c>
      <c r="G65" s="362">
        <f>IFERROR(VLOOKUP(C65,'تقرير المصروفات حسب الشهر'!$C$387:$AD$495,11,FALSE),0)</f>
        <v>0</v>
      </c>
      <c r="H65" s="362">
        <f>IFERROR(VLOOKUP(C65,'تقرير المصروفات حسب الشهر'!$C$512:$AD$620,11,FALSE),0)</f>
        <v>0</v>
      </c>
      <c r="I65" s="362">
        <f>IFERROR(VLOOKUP(C65,'تقرير المصروفات حسب الشهر'!$C$637:$AD$746,11,FALSE),0)</f>
        <v>0</v>
      </c>
      <c r="J65" s="362">
        <f>IFERROR(VLOOKUP(C65,'تقرير المصروفات حسب الشهر'!$C$763:$AD$872,11,FALSE),0)</f>
        <v>0</v>
      </c>
      <c r="K65" s="362">
        <f>IFERROR(VLOOKUP(C65,'تقرير المصروفات حسب الشهر'!$C$890:$AD$999,11,FALSE),0)</f>
        <v>0</v>
      </c>
      <c r="L65" s="362">
        <f>IFERROR(VLOOKUP(C65,'تقرير المصروفات حسب الشهر'!$C$1016:$AD$1126,11,FALSE),0)</f>
        <v>0</v>
      </c>
      <c r="M65" s="376">
        <f>IFERROR(VLOOKUP(C65,'تقرير المصروفات حسب الشهر'!$C$1143:$AD$1254,11,FALSE),0)</f>
        <v>0</v>
      </c>
      <c r="N65" s="376">
        <f>IFERROR(VLOOKUP(C65,'تقرير المصروفات حسب الشهر'!$C$1270:$AD$1381,11,FALSE),0)</f>
        <v>0</v>
      </c>
      <c r="O65" s="376">
        <f>IFERROR(VLOOKUP(C65,'تقرير المصروفات حسب الشهر'!$C$1397:$AD$1512,11,FALSE),0)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الشهر'!$C$10:$AD$119,11,FALSE),0)</f>
        <v>0</v>
      </c>
      <c r="E66" s="362">
        <f>IFERROR(VLOOKUP(C66,'تقرير المصروفات حسب الشهر'!$C$135:$AD$244,11,FALSE),0)</f>
        <v>0</v>
      </c>
      <c r="F66" s="362">
        <v>0</v>
      </c>
      <c r="G66" s="362">
        <f>IFERROR(VLOOKUP(C66,'تقرير المصروفات حسب الشهر'!$C$387:$AD$495,11,FALSE),0)</f>
        <v>0</v>
      </c>
      <c r="H66" s="362">
        <f>IFERROR(VLOOKUP(C66,'تقرير المصروفات حسب الشهر'!$C$512:$AD$620,11,FALSE),0)</f>
        <v>0</v>
      </c>
      <c r="I66" s="362">
        <f>IFERROR(VLOOKUP(C66,'تقرير المصروفات حسب الشهر'!$C$637:$AD$746,11,FALSE),0)</f>
        <v>0</v>
      </c>
      <c r="J66" s="362">
        <f>IFERROR(VLOOKUP(C66,'تقرير المصروفات حسب الشهر'!$C$763:$AD$872,11,FALSE),0)</f>
        <v>0</v>
      </c>
      <c r="K66" s="362">
        <f>IFERROR(VLOOKUP(C66,'تقرير المصروفات حسب الشهر'!$C$890:$AD$999,11,FALSE),0)</f>
        <v>0</v>
      </c>
      <c r="L66" s="362">
        <f>IFERROR(VLOOKUP(C66,'تقرير المصروفات حسب الشهر'!$C$1016:$AD$1126,11,FALSE),0)</f>
        <v>0</v>
      </c>
      <c r="M66" s="376">
        <f>IFERROR(VLOOKUP(C66,'تقرير المصروفات حسب الشهر'!$C$1143:$AD$1254,11,FALSE),0)</f>
        <v>0</v>
      </c>
      <c r="N66" s="376">
        <f>IFERROR(VLOOKUP(C66,'تقرير المصروفات حسب الشهر'!$C$1270:$AD$1381,11,FALSE),0)</f>
        <v>0</v>
      </c>
      <c r="O66" s="376">
        <f>IFERROR(VLOOKUP(C66,'تقرير المصروفات حسب الشهر'!$C$1397:$AD$1512,11,FALSE),0)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الشهر'!$C$10:$AD$119,11,FALSE),0)</f>
        <v>0</v>
      </c>
      <c r="E67" s="362">
        <f>IFERROR(VLOOKUP(C67,'تقرير المصروفات حسب الشهر'!$C$135:$AD$244,11,FALSE),0)</f>
        <v>0</v>
      </c>
      <c r="F67" s="362">
        <v>0</v>
      </c>
      <c r="G67" s="362">
        <f>IFERROR(VLOOKUP(C67,'تقرير المصروفات حسب الشهر'!$C$387:$AD$495,11,FALSE),0)</f>
        <v>0</v>
      </c>
      <c r="H67" s="362">
        <f>IFERROR(VLOOKUP(C67,'تقرير المصروفات حسب الشهر'!$C$512:$AD$620,11,FALSE),0)</f>
        <v>0</v>
      </c>
      <c r="I67" s="362">
        <f>IFERROR(VLOOKUP(C67,'تقرير المصروفات حسب الشهر'!$C$637:$AD$746,11,FALSE),0)</f>
        <v>0</v>
      </c>
      <c r="J67" s="362">
        <f>IFERROR(VLOOKUP(C67,'تقرير المصروفات حسب الشهر'!$C$763:$AD$872,11,FALSE),0)</f>
        <v>0</v>
      </c>
      <c r="K67" s="362">
        <f>IFERROR(VLOOKUP(C67,'تقرير المصروفات حسب الشهر'!$C$890:$AD$999,11,FALSE),0)</f>
        <v>0</v>
      </c>
      <c r="L67" s="362">
        <f>IFERROR(VLOOKUP(C67,'تقرير المصروفات حسب الشهر'!$C$1016:$AD$1126,11,FALSE),0)</f>
        <v>0</v>
      </c>
      <c r="M67" s="376">
        <f>IFERROR(VLOOKUP(C67,'تقرير المصروفات حسب الشهر'!$C$1143:$AD$1254,11,FALSE),0)</f>
        <v>0</v>
      </c>
      <c r="N67" s="376">
        <f>IFERROR(VLOOKUP(C67,'تقرير المصروفات حسب الشهر'!$C$1270:$AD$1381,11,FALSE),0)</f>
        <v>0</v>
      </c>
      <c r="O67" s="376">
        <f>IFERROR(VLOOKUP(C67,'تقرير المصروفات حسب الشهر'!$C$1397:$AD$1512,11,FALSE),0)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الشهر'!$C$10:$AD$119,11,FALSE),0)</f>
        <v>0</v>
      </c>
      <c r="E68" s="362">
        <f>IFERROR(VLOOKUP(C68,'تقرير المصروفات حسب الشهر'!$C$135:$AD$244,11,FALSE),0)</f>
        <v>0</v>
      </c>
      <c r="F68" s="362">
        <v>0</v>
      </c>
      <c r="G68" s="362">
        <f>IFERROR(VLOOKUP(C68,'تقرير المصروفات حسب الشهر'!$C$387:$AD$495,11,FALSE),0)</f>
        <v>0</v>
      </c>
      <c r="H68" s="362">
        <f>IFERROR(VLOOKUP(C68,'تقرير المصروفات حسب الشهر'!$C$512:$AD$620,11,FALSE),0)</f>
        <v>0</v>
      </c>
      <c r="I68" s="362">
        <f>IFERROR(VLOOKUP(C68,'تقرير المصروفات حسب الشهر'!$C$637:$AD$746,11,FALSE),0)</f>
        <v>0</v>
      </c>
      <c r="J68" s="362">
        <f>IFERROR(VLOOKUP(C68,'تقرير المصروفات حسب الشهر'!$C$763:$AD$872,11,FALSE),0)</f>
        <v>0</v>
      </c>
      <c r="K68" s="362">
        <f>IFERROR(VLOOKUP(C68,'تقرير المصروفات حسب الشهر'!$C$890:$AD$999,11,FALSE),0)</f>
        <v>0</v>
      </c>
      <c r="L68" s="362">
        <f>IFERROR(VLOOKUP(C68,'تقرير المصروفات حسب الشهر'!$C$1016:$AD$1126,11,FALSE),0)</f>
        <v>0</v>
      </c>
      <c r="M68" s="376">
        <f>IFERROR(VLOOKUP(C68,'تقرير المصروفات حسب الشهر'!$C$1143:$AD$1254,11,FALSE),0)</f>
        <v>0</v>
      </c>
      <c r="N68" s="376">
        <f>IFERROR(VLOOKUP(C68,'تقرير المصروفات حسب الشهر'!$C$1270:$AD$1381,11,FALSE),0)</f>
        <v>0</v>
      </c>
      <c r="O68" s="376">
        <f>IFERROR(VLOOKUP(C68,'تقرير المصروفات حسب الشهر'!$C$1397:$AD$1512,11,FALSE),0)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الشهر'!$C$10:$AD$119,11,FALSE),0)</f>
        <v>0</v>
      </c>
      <c r="E69" s="362">
        <f>IFERROR(VLOOKUP(C69,'تقرير المصروفات حسب الشهر'!$C$135:$AD$244,11,FALSE),0)</f>
        <v>0</v>
      </c>
      <c r="F69" s="362">
        <v>0</v>
      </c>
      <c r="G69" s="362">
        <f>IFERROR(VLOOKUP(C69,'تقرير المصروفات حسب الشهر'!$C$387:$AD$495,11,FALSE),0)</f>
        <v>0</v>
      </c>
      <c r="H69" s="362">
        <f>IFERROR(VLOOKUP(C69,'تقرير المصروفات حسب الشهر'!$C$512:$AD$620,11,FALSE),0)</f>
        <v>0</v>
      </c>
      <c r="I69" s="362">
        <f>IFERROR(VLOOKUP(C69,'تقرير المصروفات حسب الشهر'!$C$637:$AD$746,11,FALSE),0)</f>
        <v>0</v>
      </c>
      <c r="J69" s="362">
        <f>IFERROR(VLOOKUP(C69,'تقرير المصروفات حسب الشهر'!$C$763:$AD$872,11,FALSE),0)</f>
        <v>0</v>
      </c>
      <c r="K69" s="362">
        <f>IFERROR(VLOOKUP(C69,'تقرير المصروفات حسب الشهر'!$C$890:$AD$999,11,FALSE),0)</f>
        <v>0</v>
      </c>
      <c r="L69" s="362">
        <f>IFERROR(VLOOKUP(C69,'تقرير المصروفات حسب الشهر'!$C$1016:$AD$1126,11,FALSE),0)</f>
        <v>0</v>
      </c>
      <c r="M69" s="376">
        <f>IFERROR(VLOOKUP(C69,'تقرير المصروفات حسب الشهر'!$C$1143:$AD$1254,11,FALSE),0)</f>
        <v>0</v>
      </c>
      <c r="N69" s="376">
        <f>IFERROR(VLOOKUP(C69,'تقرير المصروفات حسب الشهر'!$C$1270:$AD$1381,11,FALSE),0)</f>
        <v>0</v>
      </c>
      <c r="O69" s="376">
        <f>IFERROR(VLOOKUP(C69,'تقرير المصروفات حسب الشهر'!$C$1397:$AD$1512,11,FALSE),0)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الشهر'!$C$10:$AD$119,11,FALSE),0)</f>
        <v>0</v>
      </c>
      <c r="E70" s="362">
        <f>IFERROR(VLOOKUP(C70,'تقرير المصروفات حسب الشهر'!$C$135:$AD$244,11,FALSE),0)</f>
        <v>0</v>
      </c>
      <c r="F70" s="362">
        <v>0</v>
      </c>
      <c r="G70" s="362">
        <f>IFERROR(VLOOKUP(C70,'تقرير المصروفات حسب الشهر'!$C$387:$AD$495,11,FALSE),0)</f>
        <v>0</v>
      </c>
      <c r="H70" s="362">
        <f>IFERROR(VLOOKUP(C70,'تقرير المصروفات حسب الشهر'!$C$512:$AD$620,11,FALSE),0)</f>
        <v>0</v>
      </c>
      <c r="I70" s="362">
        <f>IFERROR(VLOOKUP(C70,'تقرير المصروفات حسب الشهر'!$C$637:$AD$746,11,FALSE),0)</f>
        <v>0</v>
      </c>
      <c r="J70" s="362">
        <f>IFERROR(VLOOKUP(C70,'تقرير المصروفات حسب الشهر'!$C$763:$AD$872,11,FALSE),0)</f>
        <v>0</v>
      </c>
      <c r="K70" s="362">
        <f>IFERROR(VLOOKUP(C70,'تقرير المصروفات حسب الشهر'!$C$890:$AD$999,11,FALSE),0)</f>
        <v>0</v>
      </c>
      <c r="L70" s="362">
        <f>IFERROR(VLOOKUP(C70,'تقرير المصروفات حسب الشهر'!$C$1016:$AD$1126,11,FALSE),0)</f>
        <v>0</v>
      </c>
      <c r="M70" s="376">
        <f>IFERROR(VLOOKUP(C70,'تقرير المصروفات حسب الشهر'!$C$1143:$AD$1254,11,FALSE),0)</f>
        <v>0</v>
      </c>
      <c r="N70" s="376">
        <f>IFERROR(VLOOKUP(C70,'تقرير المصروفات حسب الشهر'!$C$1270:$AD$1381,11,FALSE),0)</f>
        <v>0</v>
      </c>
      <c r="O70" s="376">
        <f>IFERROR(VLOOKUP(C70,'تقرير المصروفات حسب الشهر'!$C$1397:$AD$1512,11,FALSE),0)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الشهر'!$C$10:$AD$119,11,FALSE),0)</f>
        <v>0</v>
      </c>
      <c r="E71" s="362">
        <f>IFERROR(VLOOKUP(C71,'تقرير المصروفات حسب الشهر'!$C$135:$AD$244,11,FALSE),0)</f>
        <v>0</v>
      </c>
      <c r="F71" s="362">
        <v>0</v>
      </c>
      <c r="G71" s="362">
        <f>IFERROR(VLOOKUP(C71,'تقرير المصروفات حسب الشهر'!$C$387:$AD$495,11,FALSE),0)</f>
        <v>0</v>
      </c>
      <c r="H71" s="362">
        <f>IFERROR(VLOOKUP(C71,'تقرير المصروفات حسب الشهر'!$C$512:$AD$620,11,FALSE),0)</f>
        <v>0</v>
      </c>
      <c r="I71" s="362">
        <f>IFERROR(VLOOKUP(C71,'تقرير المصروفات حسب الشهر'!$C$637:$AD$746,11,FALSE),0)</f>
        <v>0</v>
      </c>
      <c r="J71" s="362">
        <f>IFERROR(VLOOKUP(C71,'تقرير المصروفات حسب الشهر'!$C$763:$AD$872,11,FALSE),0)</f>
        <v>0</v>
      </c>
      <c r="K71" s="362">
        <f>IFERROR(VLOOKUP(C71,'تقرير المصروفات حسب الشهر'!$C$890:$AD$999,11,FALSE),0)</f>
        <v>0</v>
      </c>
      <c r="L71" s="362">
        <f>IFERROR(VLOOKUP(C71,'تقرير المصروفات حسب الشهر'!$C$1016:$AD$1126,11,FALSE),0)</f>
        <v>0</v>
      </c>
      <c r="M71" s="376">
        <f>IFERROR(VLOOKUP(C71,'تقرير المصروفات حسب الشهر'!$C$1143:$AD$1254,11,FALSE),0)</f>
        <v>0</v>
      </c>
      <c r="N71" s="376">
        <f>IFERROR(VLOOKUP(C71,'تقرير المصروفات حسب الشهر'!$C$1270:$AD$1381,11,FALSE),0)</f>
        <v>0</v>
      </c>
      <c r="O71" s="376">
        <f>IFERROR(VLOOKUP(C71,'تقرير المصروفات حسب الشهر'!$C$1397:$AD$1512,11,FALSE),0)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الشهر'!$C$10:$AD$119,11,FALSE),0)</f>
        <v>0</v>
      </c>
      <c r="E72" s="362">
        <f>IFERROR(VLOOKUP(C72,'تقرير المصروفات حسب الشهر'!$C$135:$AD$244,11,FALSE),0)</f>
        <v>0</v>
      </c>
      <c r="F72" s="362">
        <v>0</v>
      </c>
      <c r="G72" s="362">
        <f>IFERROR(VLOOKUP(C72,'تقرير المصروفات حسب الشهر'!$C$387:$AD$495,11,FALSE),0)</f>
        <v>0</v>
      </c>
      <c r="H72" s="362">
        <f>IFERROR(VLOOKUP(C72,'تقرير المصروفات حسب الشهر'!$C$512:$AD$620,11,FALSE),0)</f>
        <v>0</v>
      </c>
      <c r="I72" s="362">
        <f>IFERROR(VLOOKUP(C72,'تقرير المصروفات حسب الشهر'!$C$637:$AD$746,11,FALSE),0)</f>
        <v>0</v>
      </c>
      <c r="J72" s="362">
        <f>IFERROR(VLOOKUP(C72,'تقرير المصروفات حسب الشهر'!$C$763:$AD$872,11,FALSE),0)</f>
        <v>0</v>
      </c>
      <c r="K72" s="362">
        <f>IFERROR(VLOOKUP(C72,'تقرير المصروفات حسب الشهر'!$C$890:$AD$999,11,FALSE),0)</f>
        <v>0</v>
      </c>
      <c r="L72" s="362">
        <f>IFERROR(VLOOKUP(C72,'تقرير المصروفات حسب الشهر'!$C$1016:$AD$1126,11,FALSE),0)</f>
        <v>0</v>
      </c>
      <c r="M72" s="376">
        <f>IFERROR(VLOOKUP(C72,'تقرير المصروفات حسب الشهر'!$C$1143:$AD$1254,11,FALSE),0)</f>
        <v>0</v>
      </c>
      <c r="N72" s="376">
        <f>IFERROR(VLOOKUP(C72,'تقرير المصروفات حسب الشهر'!$C$1270:$AD$1381,11,FALSE),0)</f>
        <v>0</v>
      </c>
      <c r="O72" s="376">
        <f>IFERROR(VLOOKUP(C72,'تقرير المصروفات حسب الشهر'!$C$1397:$AD$1512,11,FALSE),0)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الشهر'!$C$10:$AD$119,11,FALSE),0)</f>
        <v>0</v>
      </c>
      <c r="E73" s="362">
        <f>IFERROR(VLOOKUP(C73,'تقرير المصروفات حسب الشهر'!$C$135:$AD$244,11,FALSE),0)</f>
        <v>0</v>
      </c>
      <c r="F73" s="362">
        <v>0</v>
      </c>
      <c r="G73" s="362">
        <f>IFERROR(VLOOKUP(C73,'تقرير المصروفات حسب الشهر'!$C$387:$AD$495,11,FALSE),0)</f>
        <v>0</v>
      </c>
      <c r="H73" s="362">
        <f>IFERROR(VLOOKUP(C73,'تقرير المصروفات حسب الشهر'!$C$512:$AD$620,11,FALSE),0)</f>
        <v>0</v>
      </c>
      <c r="I73" s="362">
        <f>IFERROR(VLOOKUP(C73,'تقرير المصروفات حسب الشهر'!$C$637:$AD$746,11,FALSE),0)</f>
        <v>0</v>
      </c>
      <c r="J73" s="362">
        <f>IFERROR(VLOOKUP(C73,'تقرير المصروفات حسب الشهر'!$C$763:$AD$872,11,FALSE),0)</f>
        <v>0</v>
      </c>
      <c r="K73" s="362">
        <f>IFERROR(VLOOKUP(C73,'تقرير المصروفات حسب الشهر'!$C$890:$AD$999,11,FALSE),0)</f>
        <v>0</v>
      </c>
      <c r="L73" s="362">
        <f>IFERROR(VLOOKUP(C73,'تقرير المصروفات حسب الشهر'!$C$1016:$AD$1126,11,FALSE),0)</f>
        <v>0</v>
      </c>
      <c r="M73" s="376">
        <f>IFERROR(VLOOKUP(C73,'تقرير المصروفات حسب الشهر'!$C$1143:$AD$1254,11,FALSE),0)</f>
        <v>0</v>
      </c>
      <c r="N73" s="376">
        <f>IFERROR(VLOOKUP(C73,'تقرير المصروفات حسب الشهر'!$C$1270:$AD$1381,11,FALSE),0)</f>
        <v>0</v>
      </c>
      <c r="O73" s="376">
        <f>IFERROR(VLOOKUP(C73,'تقرير المصروفات حسب الشهر'!$C$1397:$AD$1512,11,FALSE),0)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الشهر'!$C$10:$AD$119,11,FALSE),0)</f>
        <v>0</v>
      </c>
      <c r="E74" s="362">
        <f>IFERROR(VLOOKUP(C74,'تقرير المصروفات حسب الشهر'!$C$135:$AD$244,11,FALSE),0)</f>
        <v>0</v>
      </c>
      <c r="F74" s="362">
        <v>0</v>
      </c>
      <c r="G74" s="362">
        <f>IFERROR(VLOOKUP(C74,'تقرير المصروفات حسب الشهر'!$C$387:$AD$495,11,FALSE),0)</f>
        <v>0</v>
      </c>
      <c r="H74" s="362">
        <f>IFERROR(VLOOKUP(C74,'تقرير المصروفات حسب الشهر'!$C$512:$AD$620,11,FALSE),0)</f>
        <v>0</v>
      </c>
      <c r="I74" s="362">
        <f>IFERROR(VLOOKUP(C74,'تقرير المصروفات حسب الشهر'!$C$637:$AD$746,11,FALSE),0)</f>
        <v>0</v>
      </c>
      <c r="J74" s="362">
        <f>IFERROR(VLOOKUP(C74,'تقرير المصروفات حسب الشهر'!$C$763:$AD$872,11,FALSE),0)</f>
        <v>0</v>
      </c>
      <c r="K74" s="362">
        <f>IFERROR(VLOOKUP(C74,'تقرير المصروفات حسب الشهر'!$C$890:$AD$999,11,FALSE),0)</f>
        <v>0</v>
      </c>
      <c r="L74" s="362">
        <f>IFERROR(VLOOKUP(C74,'تقرير المصروفات حسب الشهر'!$C$1016:$AD$1126,11,FALSE),0)</f>
        <v>0</v>
      </c>
      <c r="M74" s="376">
        <f>IFERROR(VLOOKUP(C74,'تقرير المصروفات حسب الشهر'!$C$1143:$AD$1254,11,FALSE),0)</f>
        <v>0</v>
      </c>
      <c r="N74" s="376">
        <f>IFERROR(VLOOKUP(C74,'تقرير المصروفات حسب الشهر'!$C$1270:$AD$1381,11,FALSE),0)</f>
        <v>0</v>
      </c>
      <c r="O74" s="376">
        <f>IFERROR(VLOOKUP(C74,'تقرير المصروفات حسب الشهر'!$C$1397:$AD$1512,11,FALSE),0)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الشهر'!$C$10:$AD$119,11,FALSE),0)</f>
        <v>0</v>
      </c>
      <c r="E75" s="362">
        <f>IFERROR(VLOOKUP(C75,'تقرير المصروفات حسب الشهر'!$C$135:$AD$244,11,FALSE),0)</f>
        <v>0</v>
      </c>
      <c r="F75" s="362">
        <v>0</v>
      </c>
      <c r="G75" s="362">
        <f>IFERROR(VLOOKUP(C75,'تقرير المصروفات حسب الشهر'!$C$387:$AD$495,11,FALSE),0)</f>
        <v>0</v>
      </c>
      <c r="H75" s="362">
        <f>IFERROR(VLOOKUP(C75,'تقرير المصروفات حسب الشهر'!$C$512:$AD$620,11,FALSE),0)</f>
        <v>0</v>
      </c>
      <c r="I75" s="362">
        <f>IFERROR(VLOOKUP(C75,'تقرير المصروفات حسب الشهر'!$C$637:$AD$746,11,FALSE),0)</f>
        <v>0</v>
      </c>
      <c r="J75" s="362">
        <f>IFERROR(VLOOKUP(C75,'تقرير المصروفات حسب الشهر'!$C$763:$AD$872,11,FALSE),0)</f>
        <v>0</v>
      </c>
      <c r="K75" s="362">
        <f>IFERROR(VLOOKUP(C75,'تقرير المصروفات حسب الشهر'!$C$890:$AD$999,11,FALSE),0)</f>
        <v>0</v>
      </c>
      <c r="L75" s="362">
        <f>IFERROR(VLOOKUP(C75,'تقرير المصروفات حسب الشهر'!$C$1016:$AD$1126,11,FALSE),0)</f>
        <v>0</v>
      </c>
      <c r="M75" s="376">
        <f>IFERROR(VLOOKUP(C75,'تقرير المصروفات حسب الشهر'!$C$1143:$AD$1254,11,FALSE),0)</f>
        <v>0</v>
      </c>
      <c r="N75" s="376">
        <f>IFERROR(VLOOKUP(C75,'تقرير المصروفات حسب الشهر'!$C$1270:$AD$1381,11,FALSE),0)</f>
        <v>0</v>
      </c>
      <c r="O75" s="376">
        <f>IFERROR(VLOOKUP(C75,'تقرير المصروفات حسب الشهر'!$C$1397:$AD$1512,11,FALSE),0)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الشهر'!$C$10:$AD$119,11,FALSE),0)</f>
        <v>0</v>
      </c>
      <c r="E76" s="362">
        <f>IFERROR(VLOOKUP(C76,'تقرير المصروفات حسب الشهر'!$C$135:$AD$244,11,FALSE),0)</f>
        <v>0</v>
      </c>
      <c r="F76" s="362">
        <v>0</v>
      </c>
      <c r="G76" s="362">
        <f>IFERROR(VLOOKUP(C76,'تقرير المصروفات حسب الشهر'!$C$387:$AD$495,11,FALSE),0)</f>
        <v>0</v>
      </c>
      <c r="H76" s="362">
        <f>IFERROR(VLOOKUP(C76,'تقرير المصروفات حسب الشهر'!$C$512:$AD$620,11,FALSE),0)</f>
        <v>0</v>
      </c>
      <c r="I76" s="362">
        <f>IFERROR(VLOOKUP(C76,'تقرير المصروفات حسب الشهر'!$C$637:$AD$746,11,FALSE),0)</f>
        <v>0</v>
      </c>
      <c r="J76" s="362">
        <f>IFERROR(VLOOKUP(C76,'تقرير المصروفات حسب الشهر'!$C$763:$AD$872,11,FALSE),0)</f>
        <v>0</v>
      </c>
      <c r="K76" s="362">
        <f>IFERROR(VLOOKUP(C76,'تقرير المصروفات حسب الشهر'!$C$890:$AD$999,11,FALSE),0)</f>
        <v>0</v>
      </c>
      <c r="L76" s="362">
        <f>IFERROR(VLOOKUP(C76,'تقرير المصروفات حسب الشهر'!$C$1016:$AD$1126,11,FALSE),0)</f>
        <v>0</v>
      </c>
      <c r="M76" s="376">
        <f>IFERROR(VLOOKUP(C76,'تقرير المصروفات حسب الشهر'!$C$1143:$AD$1254,11,FALSE),0)</f>
        <v>0</v>
      </c>
      <c r="N76" s="376">
        <f>IFERROR(VLOOKUP(C76,'تقرير المصروفات حسب الشهر'!$C$1270:$AD$1381,11,FALSE),0)</f>
        <v>0</v>
      </c>
      <c r="O76" s="376">
        <f>IFERROR(VLOOKUP(C76,'تقرير المصروفات حسب الشهر'!$C$1397:$AD$1512,11,FALSE),0)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الشهر'!$C$10:$AD$119,11,FALSE),0)</f>
        <v>0</v>
      </c>
      <c r="E77" s="362">
        <f>IFERROR(VLOOKUP(C77,'تقرير المصروفات حسب الشهر'!$C$135:$AD$244,11,FALSE),0)</f>
        <v>0</v>
      </c>
      <c r="F77" s="362">
        <v>0</v>
      </c>
      <c r="G77" s="362">
        <f>IFERROR(VLOOKUP(C77,'تقرير المصروفات حسب الشهر'!$C$387:$AD$495,11,FALSE),0)</f>
        <v>0</v>
      </c>
      <c r="H77" s="362">
        <f>IFERROR(VLOOKUP(C77,'تقرير المصروفات حسب الشهر'!$C$512:$AD$620,11,FALSE),0)</f>
        <v>0</v>
      </c>
      <c r="I77" s="362">
        <f>IFERROR(VLOOKUP(C77,'تقرير المصروفات حسب الشهر'!$C$637:$AD$746,11,FALSE),0)</f>
        <v>0</v>
      </c>
      <c r="J77" s="362">
        <f>IFERROR(VLOOKUP(C77,'تقرير المصروفات حسب الشهر'!$C$763:$AD$872,11,FALSE),0)</f>
        <v>0</v>
      </c>
      <c r="K77" s="362">
        <f>IFERROR(VLOOKUP(C77,'تقرير المصروفات حسب الشهر'!$C$890:$AD$999,11,FALSE),0)</f>
        <v>0</v>
      </c>
      <c r="L77" s="362">
        <f>IFERROR(VLOOKUP(C77,'تقرير المصروفات حسب الشهر'!$C$1016:$AD$1126,11,FALSE),0)</f>
        <v>0</v>
      </c>
      <c r="M77" s="376">
        <f>IFERROR(VLOOKUP(C77,'تقرير المصروفات حسب الشهر'!$C$1143:$AD$1254,11,FALSE),0)</f>
        <v>0</v>
      </c>
      <c r="N77" s="376">
        <f>IFERROR(VLOOKUP(C77,'تقرير المصروفات حسب الشهر'!$C$1270:$AD$1381,11,FALSE),0)</f>
        <v>0</v>
      </c>
      <c r="O77" s="376">
        <f>IFERROR(VLOOKUP(C77,'تقرير المصروفات حسب الشهر'!$C$1397:$AD$1512,11,FALSE),0)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الشهر'!$C$10:$AD$119,11,FALSE),0)</f>
        <v>0</v>
      </c>
      <c r="E78" s="362">
        <f>IFERROR(VLOOKUP(C78,'تقرير المصروفات حسب الشهر'!$C$135:$AD$244,11,FALSE),0)</f>
        <v>0</v>
      </c>
      <c r="F78" s="362">
        <v>0</v>
      </c>
      <c r="G78" s="362">
        <f>IFERROR(VLOOKUP(C78,'تقرير المصروفات حسب الشهر'!$C$387:$AD$495,11,FALSE),0)</f>
        <v>0</v>
      </c>
      <c r="H78" s="362">
        <f>IFERROR(VLOOKUP(C78,'تقرير المصروفات حسب الشهر'!$C$512:$AD$620,11,FALSE),0)</f>
        <v>0</v>
      </c>
      <c r="I78" s="362">
        <f>IFERROR(VLOOKUP(C78,'تقرير المصروفات حسب الشهر'!$C$637:$AD$746,11,FALSE),0)</f>
        <v>0</v>
      </c>
      <c r="J78" s="362">
        <f>IFERROR(VLOOKUP(C78,'تقرير المصروفات حسب الشهر'!$C$763:$AD$872,11,FALSE),0)</f>
        <v>0</v>
      </c>
      <c r="K78" s="362">
        <f>IFERROR(VLOOKUP(C78,'تقرير المصروفات حسب الشهر'!$C$890:$AD$999,11,FALSE),0)</f>
        <v>0</v>
      </c>
      <c r="L78" s="362">
        <f>IFERROR(VLOOKUP(C78,'تقرير المصروفات حسب الشهر'!$C$1016:$AD$1126,11,FALSE),0)</f>
        <v>0</v>
      </c>
      <c r="M78" s="376">
        <f>IFERROR(VLOOKUP(C78,'تقرير المصروفات حسب الشهر'!$C$1143:$AD$1254,11,FALSE),0)</f>
        <v>0</v>
      </c>
      <c r="N78" s="376">
        <f>IFERROR(VLOOKUP(C78,'تقرير المصروفات حسب الشهر'!$C$1270:$AD$1381,11,FALSE),0)</f>
        <v>0</v>
      </c>
      <c r="O78" s="376">
        <f>IFERROR(VLOOKUP(C78,'تقرير المصروفات حسب الشهر'!$C$1397:$AD$1512,11,FALSE),0)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الشهر'!$C$10:$AD$119,11,FALSE),0)</f>
        <v>0</v>
      </c>
      <c r="E79" s="362">
        <f>IFERROR(VLOOKUP(C79,'تقرير المصروفات حسب الشهر'!$C$135:$AD$244,11,FALSE),0)</f>
        <v>0</v>
      </c>
      <c r="F79" s="362">
        <v>0</v>
      </c>
      <c r="G79" s="362">
        <f>IFERROR(VLOOKUP(C79,'تقرير المصروفات حسب الشهر'!$C$387:$AD$495,11,FALSE),0)</f>
        <v>0</v>
      </c>
      <c r="H79" s="362">
        <f>IFERROR(VLOOKUP(C79,'تقرير المصروفات حسب الشهر'!$C$512:$AD$620,11,FALSE),0)</f>
        <v>0</v>
      </c>
      <c r="I79" s="362">
        <f>IFERROR(VLOOKUP(C79,'تقرير المصروفات حسب الشهر'!$C$637:$AD$746,11,FALSE),0)</f>
        <v>0</v>
      </c>
      <c r="J79" s="362">
        <f>IFERROR(VLOOKUP(C79,'تقرير المصروفات حسب الشهر'!$C$763:$AD$872,11,FALSE),0)</f>
        <v>0</v>
      </c>
      <c r="K79" s="362">
        <f>IFERROR(VLOOKUP(C79,'تقرير المصروفات حسب الشهر'!$C$890:$AD$999,11,FALSE),0)</f>
        <v>0</v>
      </c>
      <c r="L79" s="362">
        <f>IFERROR(VLOOKUP(C79,'تقرير المصروفات حسب الشهر'!$C$1016:$AD$1126,11,FALSE),0)</f>
        <v>0</v>
      </c>
      <c r="M79" s="376">
        <f>IFERROR(VLOOKUP(C79,'تقرير المصروفات حسب الشهر'!$C$1143:$AD$1254,11,FALSE),0)</f>
        <v>0</v>
      </c>
      <c r="N79" s="376">
        <f>IFERROR(VLOOKUP(C79,'تقرير المصروفات حسب الشهر'!$C$1270:$AD$1381,11,FALSE),0)</f>
        <v>0</v>
      </c>
      <c r="O79" s="376">
        <f>IFERROR(VLOOKUP(C79,'تقرير المصروفات حسب الشهر'!$C$1397:$AD$1512,11,FALSE),0)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الشهر'!$C$10:$AD$119,11,FALSE),0)</f>
        <v>0</v>
      </c>
      <c r="E80" s="362">
        <f>IFERROR(VLOOKUP(C80,'تقرير المصروفات حسب الشهر'!$C$135:$AD$244,11,FALSE),0)</f>
        <v>0</v>
      </c>
      <c r="F80" s="362">
        <v>0</v>
      </c>
      <c r="G80" s="362">
        <f>IFERROR(VLOOKUP(C80,'تقرير المصروفات حسب الشهر'!$C$387:$AD$495,11,FALSE),0)</f>
        <v>0</v>
      </c>
      <c r="H80" s="362">
        <f>IFERROR(VLOOKUP(C80,'تقرير المصروفات حسب الشهر'!$C$512:$AD$620,11,FALSE),0)</f>
        <v>0</v>
      </c>
      <c r="I80" s="362">
        <f>IFERROR(VLOOKUP(C80,'تقرير المصروفات حسب الشهر'!$C$637:$AD$746,11,FALSE),0)</f>
        <v>0</v>
      </c>
      <c r="J80" s="362">
        <f>IFERROR(VLOOKUP(C80,'تقرير المصروفات حسب الشهر'!$C$763:$AD$872,11,FALSE),0)</f>
        <v>0</v>
      </c>
      <c r="K80" s="362">
        <f>IFERROR(VLOOKUP(C80,'تقرير المصروفات حسب الشهر'!$C$890:$AD$999,11,FALSE),0)</f>
        <v>0</v>
      </c>
      <c r="L80" s="362">
        <f>IFERROR(VLOOKUP(C80,'تقرير المصروفات حسب الشهر'!$C$1016:$AD$1126,11,FALSE),0)</f>
        <v>0</v>
      </c>
      <c r="M80" s="376">
        <f>IFERROR(VLOOKUP(C80,'تقرير المصروفات حسب الشهر'!$C$1143:$AD$1254,11,FALSE),0)</f>
        <v>0</v>
      </c>
      <c r="N80" s="376">
        <f>IFERROR(VLOOKUP(C80,'تقرير المصروفات حسب الشهر'!$C$1270:$AD$1381,11,FALSE),0)</f>
        <v>0</v>
      </c>
      <c r="O80" s="376">
        <f>IFERROR(VLOOKUP(C80,'تقرير المصروفات حسب الشهر'!$C$1397:$AD$1512,11,FALSE),0)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الشهر'!$C$10:$AD$119,11,FALSE),0)</f>
        <v>316</v>
      </c>
      <c r="E81" s="362">
        <f>IFERROR(VLOOKUP(C81,'تقرير المصروفات حسب الشهر'!$C$135:$AD$244,11,FALSE),0)</f>
        <v>100</v>
      </c>
      <c r="F81" s="362">
        <v>100</v>
      </c>
      <c r="G81" s="362">
        <f>IFERROR(VLOOKUP(C81,'تقرير المصروفات حسب الشهر'!$C$387:$AD$495,11,FALSE),0)</f>
        <v>100</v>
      </c>
      <c r="H81" s="362">
        <f>IFERROR(VLOOKUP(C81,'تقرير المصروفات حسب الشهر'!$C$512:$AD$620,11,FALSE),0)</f>
        <v>100</v>
      </c>
      <c r="I81" s="362">
        <f>IFERROR(VLOOKUP(C81,'تقرير المصروفات حسب الشهر'!$C$637:$AD$746,11,FALSE),0)</f>
        <v>100</v>
      </c>
      <c r="J81" s="362">
        <f>IFERROR(VLOOKUP(C81,'تقرير المصروفات حسب الشهر'!$C$763:$AD$872,11,FALSE),0)</f>
        <v>0</v>
      </c>
      <c r="K81" s="362">
        <f>IFERROR(VLOOKUP(C81,'تقرير المصروفات حسب الشهر'!$C$890:$AD$999,11,FALSE),0)</f>
        <v>300</v>
      </c>
      <c r="L81" s="362">
        <f>IFERROR(VLOOKUP(C81,'تقرير المصروفات حسب الشهر'!$C$1016:$AD$1126,11,FALSE),0)</f>
        <v>200</v>
      </c>
      <c r="M81" s="376">
        <f>IFERROR(VLOOKUP(C81,'تقرير المصروفات حسب الشهر'!$C$1143:$AD$1254,11,FALSE),0)</f>
        <v>200</v>
      </c>
      <c r="N81" s="376">
        <f>IFERROR(VLOOKUP(C81,'تقرير المصروفات حسب الشهر'!$C$1270:$AD$1381,11,FALSE),0)</f>
        <v>200</v>
      </c>
      <c r="O81" s="376">
        <f>IFERROR(VLOOKUP(C81,'تقرير المصروفات حسب الشهر'!$C$1397:$AD$1512,11,FALSE),0)</f>
        <v>200</v>
      </c>
      <c r="P81" s="364">
        <f t="shared" si="5"/>
        <v>1916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الشهر'!$C$10:$AD$119,11,FALSE),0)</f>
        <v>0</v>
      </c>
      <c r="E82" s="362">
        <f>IFERROR(VLOOKUP(C82,'تقرير المصروفات حسب الشهر'!$C$135:$AD$244,11,FALSE),0)</f>
        <v>0</v>
      </c>
      <c r="F82" s="362">
        <v>0</v>
      </c>
      <c r="G82" s="362">
        <f>IFERROR(VLOOKUP(C82,'تقرير المصروفات حسب الشهر'!$C$387:$AD$495,11,FALSE),0)</f>
        <v>0</v>
      </c>
      <c r="H82" s="362">
        <f>IFERROR(VLOOKUP(C82,'تقرير المصروفات حسب الشهر'!$C$512:$AD$620,11,FALSE),0)</f>
        <v>0</v>
      </c>
      <c r="I82" s="362">
        <f>IFERROR(VLOOKUP(C82,'تقرير المصروفات حسب الشهر'!$C$637:$AD$746,11,FALSE),0)</f>
        <v>0</v>
      </c>
      <c r="J82" s="362">
        <f>IFERROR(VLOOKUP(C82,'تقرير المصروفات حسب الشهر'!$C$763:$AD$872,11,FALSE),0)</f>
        <v>0</v>
      </c>
      <c r="K82" s="362">
        <f>IFERROR(VLOOKUP(C82,'تقرير المصروفات حسب الشهر'!$C$890:$AD$999,11,FALSE),0)</f>
        <v>0</v>
      </c>
      <c r="L82" s="362">
        <f>IFERROR(VLOOKUP(C82,'تقرير المصروفات حسب الشهر'!$C$1016:$AD$1126,11,FALSE),0)</f>
        <v>0</v>
      </c>
      <c r="M82" s="376">
        <f>IFERROR(VLOOKUP(C82,'تقرير المصروفات حسب الشهر'!$C$1143:$AD$1254,11,FALSE),0)</f>
        <v>0</v>
      </c>
      <c r="N82" s="376">
        <f>IFERROR(VLOOKUP(C82,'تقرير المصروفات حسب الشهر'!$C$1270:$AD$1381,11,FALSE),0)</f>
        <v>0</v>
      </c>
      <c r="O82" s="376">
        <f>IFERROR(VLOOKUP(C82,'تقرير المصروفات حسب الشهر'!$C$1397:$AD$1512,11,FALSE),0)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الشهر'!$C$10:$AD$119,11,FALSE),0)</f>
        <v>0</v>
      </c>
      <c r="E83" s="362">
        <f>IFERROR(VLOOKUP(C83,'تقرير المصروفات حسب الشهر'!$C$135:$AD$244,11,FALSE),0)</f>
        <v>0</v>
      </c>
      <c r="F83" s="362">
        <v>0</v>
      </c>
      <c r="G83" s="362">
        <f>IFERROR(VLOOKUP(C83,'تقرير المصروفات حسب الشهر'!$C$387:$AD$495,11,FALSE),0)</f>
        <v>0</v>
      </c>
      <c r="H83" s="362">
        <f>IFERROR(VLOOKUP(C83,'تقرير المصروفات حسب الشهر'!$C$512:$AD$620,11,FALSE),0)</f>
        <v>0</v>
      </c>
      <c r="I83" s="362">
        <f>IFERROR(VLOOKUP(C83,'تقرير المصروفات حسب الشهر'!$C$637:$AD$746,11,FALSE),0)</f>
        <v>0</v>
      </c>
      <c r="J83" s="362">
        <f>IFERROR(VLOOKUP(C83,'تقرير المصروفات حسب الشهر'!$C$763:$AD$872,11,FALSE),0)</f>
        <v>0</v>
      </c>
      <c r="K83" s="362">
        <f>IFERROR(VLOOKUP(C83,'تقرير المصروفات حسب الشهر'!$C$890:$AD$999,11,FALSE),0)</f>
        <v>0</v>
      </c>
      <c r="L83" s="362">
        <f>IFERROR(VLOOKUP(C83,'تقرير المصروفات حسب الشهر'!$C$1016:$AD$1126,11,FALSE),0)</f>
        <v>0</v>
      </c>
      <c r="M83" s="376">
        <f>IFERROR(VLOOKUP(C83,'تقرير المصروفات حسب الشهر'!$C$1143:$AD$1254,11,FALSE),0)</f>
        <v>0</v>
      </c>
      <c r="N83" s="376">
        <f>IFERROR(VLOOKUP(C83,'تقرير المصروفات حسب الشهر'!$C$1270:$AD$1381,11,FALSE),0)</f>
        <v>0</v>
      </c>
      <c r="O83" s="376">
        <f>IFERROR(VLOOKUP(C83,'تقرير المصروفات حسب الشهر'!$C$1397:$AD$1512,11,FALSE),0)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الشهر'!$C$10:$AD$119,11,FALSE),0)</f>
        <v>0</v>
      </c>
      <c r="E84" s="362">
        <f>IFERROR(VLOOKUP(C84,'تقرير المصروفات حسب الشهر'!$C$135:$AD$244,11,FALSE),0)</f>
        <v>0</v>
      </c>
      <c r="F84" s="362">
        <v>0</v>
      </c>
      <c r="G84" s="362">
        <f>IFERROR(VLOOKUP(C84,'تقرير المصروفات حسب الشهر'!$C$387:$AD$495,11,FALSE),0)</f>
        <v>0</v>
      </c>
      <c r="H84" s="362">
        <f>IFERROR(VLOOKUP(C84,'تقرير المصروفات حسب الشهر'!$C$512:$AD$620,11,FALSE),0)</f>
        <v>0</v>
      </c>
      <c r="I84" s="362">
        <f>IFERROR(VLOOKUP(C84,'تقرير المصروفات حسب الشهر'!$C$637:$AD$746,11,FALSE),0)</f>
        <v>0</v>
      </c>
      <c r="J84" s="362">
        <f>IFERROR(VLOOKUP(C84,'تقرير المصروفات حسب الشهر'!$C$763:$AD$872,11,FALSE),0)</f>
        <v>0</v>
      </c>
      <c r="K84" s="362">
        <f>IFERROR(VLOOKUP(C84,'تقرير المصروفات حسب الشهر'!$C$890:$AD$999,11,FALSE),0)</f>
        <v>0</v>
      </c>
      <c r="L84" s="362">
        <f>IFERROR(VLOOKUP(C84,'تقرير المصروفات حسب الشهر'!$C$1016:$AD$1126,11,FALSE),0)</f>
        <v>0</v>
      </c>
      <c r="M84" s="376">
        <f>IFERROR(VLOOKUP(C84,'تقرير المصروفات حسب الشهر'!$C$1143:$AD$1254,11,FALSE),0)</f>
        <v>0</v>
      </c>
      <c r="N84" s="376">
        <f>IFERROR(VLOOKUP(C84,'تقرير المصروفات حسب الشهر'!$C$1270:$AD$1381,11,FALSE),0)</f>
        <v>0</v>
      </c>
      <c r="O84" s="376">
        <f>IFERROR(VLOOKUP(C84,'تقرير المصروفات حسب الشهر'!$C$1397:$AD$1512,11,FALSE),0)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الشهر'!$C$10:$AD$119,11,FALSE),0)</f>
        <v>0</v>
      </c>
      <c r="E85" s="362">
        <f>IFERROR(VLOOKUP(C85,'تقرير المصروفات حسب الشهر'!$C$135:$AD$244,11,FALSE),0)</f>
        <v>0</v>
      </c>
      <c r="F85" s="362">
        <v>0</v>
      </c>
      <c r="G85" s="362">
        <f>IFERROR(VLOOKUP(C85,'تقرير المصروفات حسب الشهر'!$C$387:$AD$495,11,FALSE),0)</f>
        <v>0</v>
      </c>
      <c r="H85" s="362">
        <f>IFERROR(VLOOKUP(C85,'تقرير المصروفات حسب الشهر'!$C$512:$AD$620,11,FALSE),0)</f>
        <v>0</v>
      </c>
      <c r="I85" s="362">
        <f>IFERROR(VLOOKUP(C85,'تقرير المصروفات حسب الشهر'!$C$637:$AD$746,11,FALSE),0)</f>
        <v>0</v>
      </c>
      <c r="J85" s="362">
        <f>IFERROR(VLOOKUP(C85,'تقرير المصروفات حسب الشهر'!$C$763:$AD$872,11,FALSE),0)</f>
        <v>0</v>
      </c>
      <c r="K85" s="362">
        <f>IFERROR(VLOOKUP(C85,'تقرير المصروفات حسب الشهر'!$C$890:$AD$999,11,FALSE),0)</f>
        <v>0</v>
      </c>
      <c r="L85" s="362">
        <f>IFERROR(VLOOKUP(C85,'تقرير المصروفات حسب الشهر'!$C$1016:$AD$1126,11,FALSE),0)</f>
        <v>0</v>
      </c>
      <c r="M85" s="376">
        <f>IFERROR(VLOOKUP(C85,'تقرير المصروفات حسب الشهر'!$C$1143:$AD$1254,11,FALSE),0)</f>
        <v>0</v>
      </c>
      <c r="N85" s="376">
        <f>IFERROR(VLOOKUP(C85,'تقرير المصروفات حسب الشهر'!$C$1270:$AD$1381,11,FALSE),0)</f>
        <v>0</v>
      </c>
      <c r="O85" s="376">
        <f>IFERROR(VLOOKUP(C85,'تقرير المصروفات حسب الشهر'!$C$1397:$AD$1512,11,FALSE),0)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الشهر'!$C$10:$AD$119,11,FALSE),0)</f>
        <v>0</v>
      </c>
      <c r="E86" s="362">
        <f>IFERROR(VLOOKUP(C86,'تقرير المصروفات حسب الشهر'!$C$135:$AD$244,11,FALSE),0)</f>
        <v>1959.65</v>
      </c>
      <c r="F86" s="362">
        <v>0</v>
      </c>
      <c r="G86" s="362">
        <f>IFERROR(VLOOKUP(C86,'تقرير المصروفات حسب الشهر'!$C$387:$AD$495,11,FALSE),0)</f>
        <v>653</v>
      </c>
      <c r="H86" s="362">
        <f>IFERROR(VLOOKUP(C86,'تقرير المصروفات حسب الشهر'!$C$512:$AD$620,11,FALSE),0)</f>
        <v>0</v>
      </c>
      <c r="I86" s="362">
        <f>IFERROR(VLOOKUP(C86,'تقرير المصروفات حسب الشهر'!$C$637:$AD$746,11,FALSE),0)</f>
        <v>1101.5</v>
      </c>
      <c r="J86" s="362">
        <f>IFERROR(VLOOKUP(C86,'تقرير المصروفات حسب الشهر'!$C$763:$AD$872,11,FALSE),0)</f>
        <v>979</v>
      </c>
      <c r="K86" s="362">
        <f>IFERROR(VLOOKUP(C86,'تقرير المصروفات حسب الشهر'!$C$890:$AD$999,11,FALSE),0)</f>
        <v>4439.3999999999996</v>
      </c>
      <c r="L86" s="362">
        <f>IFERROR(VLOOKUP(C86,'تقرير المصروفات حسب الشهر'!$C$1016:$AD$1126,11,FALSE),0)</f>
        <v>0</v>
      </c>
      <c r="M86" s="376">
        <f>IFERROR(VLOOKUP(C86,'تقرير المصروفات حسب الشهر'!$C$1143:$AD$1254,11,FALSE),0)</f>
        <v>260</v>
      </c>
      <c r="N86" s="376">
        <f>IFERROR(VLOOKUP(C86,'تقرير المصروفات حسب الشهر'!$C$1270:$AD$1381,11,FALSE),0)</f>
        <v>1105.82</v>
      </c>
      <c r="O86" s="376">
        <f>IFERROR(VLOOKUP(C86,'تقرير المصروفات حسب الشهر'!$C$1397:$AD$1512,11,FALSE),0)</f>
        <v>0</v>
      </c>
      <c r="P86" s="364">
        <f t="shared" si="5"/>
        <v>10498.369999999999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الشهر'!$C$10:$AD$119,11,FALSE),0)</f>
        <v>0</v>
      </c>
      <c r="E87" s="362">
        <f>IFERROR(VLOOKUP(C87,'تقرير المصروفات حسب الشهر'!$C$135:$AD$244,11,FALSE),0)</f>
        <v>0</v>
      </c>
      <c r="F87" s="362">
        <v>0</v>
      </c>
      <c r="G87" s="362">
        <f>IFERROR(VLOOKUP(C87,'تقرير المصروفات حسب الشهر'!$C$387:$AD$495,11,FALSE),0)</f>
        <v>0</v>
      </c>
      <c r="H87" s="362">
        <f>IFERROR(VLOOKUP(C87,'تقرير المصروفات حسب الشهر'!$C$512:$AD$620,11,FALSE),0)</f>
        <v>0</v>
      </c>
      <c r="I87" s="362">
        <f>IFERROR(VLOOKUP(C87,'تقرير المصروفات حسب الشهر'!$C$637:$AD$746,11,FALSE),0)</f>
        <v>0</v>
      </c>
      <c r="J87" s="362">
        <f>IFERROR(VLOOKUP(C87,'تقرير المصروفات حسب الشهر'!$C$763:$AD$872,11,FALSE),0)</f>
        <v>0</v>
      </c>
      <c r="K87" s="362">
        <f>IFERROR(VLOOKUP(C87,'تقرير المصروفات حسب الشهر'!$C$890:$AD$999,11,FALSE),0)</f>
        <v>0</v>
      </c>
      <c r="L87" s="362">
        <f>IFERROR(VLOOKUP(C87,'تقرير المصروفات حسب الشهر'!$C$1016:$AD$1126,11,FALSE),0)</f>
        <v>0</v>
      </c>
      <c r="M87" s="376">
        <f>IFERROR(VLOOKUP(C87,'تقرير المصروفات حسب الشهر'!$C$1143:$AD$1254,11,FALSE),0)</f>
        <v>0</v>
      </c>
      <c r="N87" s="376">
        <f>IFERROR(VLOOKUP(C87,'تقرير المصروفات حسب الشهر'!$C$1270:$AD$1381,11,FALSE),0)</f>
        <v>0</v>
      </c>
      <c r="O87" s="376">
        <f>IFERROR(VLOOKUP(C87,'تقرير المصروفات حسب الشهر'!$C$1397:$AD$1512,11,FALSE),0)</f>
        <v>4372</v>
      </c>
      <c r="P87" s="364">
        <f t="shared" ref="P87:P136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الشهر'!$C$10:$AD$119,11,FALSE),0)</f>
        <v>0</v>
      </c>
      <c r="E88" s="362">
        <f>IFERROR(VLOOKUP(C88,'تقرير المصروفات حسب الشهر'!$C$135:$AD$244,11,FALSE),0)</f>
        <v>0</v>
      </c>
      <c r="F88" s="362">
        <v>0</v>
      </c>
      <c r="G88" s="362">
        <f>IFERROR(VLOOKUP(C88,'تقرير المصروفات حسب الشهر'!$C$387:$AD$495,11,FALSE),0)</f>
        <v>0</v>
      </c>
      <c r="H88" s="362">
        <f>IFERROR(VLOOKUP(C88,'تقرير المصروفات حسب الشهر'!$C$512:$AD$620,11,FALSE),0)</f>
        <v>333</v>
      </c>
      <c r="I88" s="362">
        <f>IFERROR(VLOOKUP(C88,'تقرير المصروفات حسب الشهر'!$C$637:$AD$746,11,FALSE),0)</f>
        <v>120</v>
      </c>
      <c r="J88" s="362">
        <f>IFERROR(VLOOKUP(C88,'تقرير المصروفات حسب الشهر'!$C$763:$AD$872,11,FALSE),0)</f>
        <v>0</v>
      </c>
      <c r="K88" s="362">
        <f>IFERROR(VLOOKUP(C88,'تقرير المصروفات حسب الشهر'!$C$890:$AD$999,11,FALSE),0)</f>
        <v>0</v>
      </c>
      <c r="L88" s="362">
        <f>IFERROR(VLOOKUP(C88,'تقرير المصروفات حسب الشهر'!$C$1016:$AD$1126,11,FALSE),0)</f>
        <v>0</v>
      </c>
      <c r="M88" s="376">
        <f>IFERROR(VLOOKUP(C88,'تقرير المصروفات حسب الشهر'!$C$1143:$AD$1254,11,FALSE),0)</f>
        <v>0</v>
      </c>
      <c r="N88" s="376">
        <f>IFERROR(VLOOKUP(C88,'تقرير المصروفات حسب الشهر'!$C$1270:$AD$1381,11,FALSE),0)</f>
        <v>0</v>
      </c>
      <c r="O88" s="376">
        <f>IFERROR(VLOOKUP(C88,'تقرير المصروفات حسب الشهر'!$C$1397:$AD$1512,11,FALSE),0)</f>
        <v>0</v>
      </c>
      <c r="P88" s="364">
        <f t="shared" si="6"/>
        <v>453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الشهر'!$C$10:$AD$119,11,FALSE),0)</f>
        <v>0</v>
      </c>
      <c r="E89" s="362">
        <f>IFERROR(VLOOKUP(C89,'تقرير المصروفات حسب الشهر'!$C$135:$AD$244,11,FALSE),0)</f>
        <v>0</v>
      </c>
      <c r="F89" s="362">
        <v>0</v>
      </c>
      <c r="G89" s="362">
        <f>IFERROR(VLOOKUP(C89,'تقرير المصروفات حسب الشهر'!$C$387:$AD$495,11,FALSE),0)</f>
        <v>0</v>
      </c>
      <c r="H89" s="362">
        <f>IFERROR(VLOOKUP(C89,'تقرير المصروفات حسب الشهر'!$C$512:$AD$620,11,FALSE),0)</f>
        <v>0</v>
      </c>
      <c r="I89" s="362">
        <f>IFERROR(VLOOKUP(C89,'تقرير المصروفات حسب الشهر'!$C$637:$AD$746,11,FALSE),0)</f>
        <v>0</v>
      </c>
      <c r="J89" s="362">
        <f>IFERROR(VLOOKUP(C89,'تقرير المصروفات حسب الشهر'!$C$763:$AD$872,11,FALSE),0)</f>
        <v>0</v>
      </c>
      <c r="K89" s="362">
        <f>IFERROR(VLOOKUP(C89,'تقرير المصروفات حسب الشهر'!$C$890:$AD$999,11,FALSE),0)</f>
        <v>0</v>
      </c>
      <c r="L89" s="362">
        <f>IFERROR(VLOOKUP(C89,'تقرير المصروفات حسب الشهر'!$C$1016:$AD$1126,11,FALSE),0)</f>
        <v>0</v>
      </c>
      <c r="M89" s="376">
        <f>IFERROR(VLOOKUP(C89,'تقرير المصروفات حسب الشهر'!$C$1143:$AD$1254,11,FALSE),0)</f>
        <v>0</v>
      </c>
      <c r="N89" s="376">
        <f>IFERROR(VLOOKUP(C89,'تقرير المصروفات حسب الشهر'!$C$1270:$AD$1381,11,FALSE),0)</f>
        <v>0</v>
      </c>
      <c r="O89" s="376">
        <f>IFERROR(VLOOKUP(C89,'تقرير المصروفات حسب الشهر'!$C$1397:$AD$1512,11,FALSE),0)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الشهر'!$C$10:$AD$119,11,FALSE),0)</f>
        <v>0</v>
      </c>
      <c r="E90" s="362">
        <f>IFERROR(VLOOKUP(C90,'تقرير المصروفات حسب الشهر'!$C$135:$AD$244,11,FALSE),0)</f>
        <v>0</v>
      </c>
      <c r="F90" s="362">
        <v>0</v>
      </c>
      <c r="G90" s="362">
        <f>IFERROR(VLOOKUP(C90,'تقرير المصروفات حسب الشهر'!$C$387:$AD$495,11,FALSE),0)</f>
        <v>0</v>
      </c>
      <c r="H90" s="362">
        <f>IFERROR(VLOOKUP(C90,'تقرير المصروفات حسب الشهر'!$C$512:$AD$620,11,FALSE),0)</f>
        <v>0</v>
      </c>
      <c r="I90" s="362">
        <f>IFERROR(VLOOKUP(C90,'تقرير المصروفات حسب الشهر'!$C$637:$AD$746,11,FALSE),0)</f>
        <v>0</v>
      </c>
      <c r="J90" s="362">
        <f>IFERROR(VLOOKUP(C90,'تقرير المصروفات حسب الشهر'!$C$763:$AD$872,11,FALSE),0)</f>
        <v>0</v>
      </c>
      <c r="K90" s="362">
        <f>IFERROR(VLOOKUP(C90,'تقرير المصروفات حسب الشهر'!$C$890:$AD$999,11,FALSE),0)</f>
        <v>0</v>
      </c>
      <c r="L90" s="362">
        <f>IFERROR(VLOOKUP(C90,'تقرير المصروفات حسب الشهر'!$C$1016:$AD$1126,11,FALSE),0)</f>
        <v>0</v>
      </c>
      <c r="M90" s="376">
        <f>IFERROR(VLOOKUP(C90,'تقرير المصروفات حسب الشهر'!$C$1143:$AD$1254,11,FALSE),0)</f>
        <v>0</v>
      </c>
      <c r="N90" s="376">
        <f>IFERROR(VLOOKUP(C90,'تقرير المصروفات حسب الشهر'!$C$1270:$AD$1381,11,FALSE),0)</f>
        <v>0</v>
      </c>
      <c r="O90" s="376">
        <f>IFERROR(VLOOKUP(C90,'تقرير المصروفات حسب الشهر'!$C$1397:$AD$1512,11,FALSE),0)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الشهر'!$C$10:$AD$119,11,FALSE),0)</f>
        <v>2000</v>
      </c>
      <c r="E91" s="362">
        <f>IFERROR(VLOOKUP(C91,'تقرير المصروفات حسب الشهر'!$C$135:$AD$244,11,FALSE),0)</f>
        <v>2000</v>
      </c>
      <c r="F91" s="362">
        <v>2665</v>
      </c>
      <c r="G91" s="362">
        <f>IFERROR(VLOOKUP(C91,'تقرير المصروفات حسب الشهر'!$C$387:$AD$495,11,FALSE),0)</f>
        <v>2000</v>
      </c>
      <c r="H91" s="362">
        <f>IFERROR(VLOOKUP(C91,'تقرير المصروفات حسب الشهر'!$C$512:$AD$620,11,FALSE),0)</f>
        <v>2000</v>
      </c>
      <c r="I91" s="362">
        <f>IFERROR(VLOOKUP(C91,'تقرير المصروفات حسب الشهر'!$C$637:$AD$746,11,FALSE),0)</f>
        <v>2000</v>
      </c>
      <c r="J91" s="362">
        <f>IFERROR(VLOOKUP(C91,'تقرير المصروفات حسب الشهر'!$C$763:$AD$872,11,FALSE),0)</f>
        <v>2000</v>
      </c>
      <c r="K91" s="362">
        <f>IFERROR(VLOOKUP(C91,'تقرير المصروفات حسب الشهر'!$C$890:$AD$999,11,FALSE),0)</f>
        <v>2000</v>
      </c>
      <c r="L91" s="362">
        <f>IFERROR(VLOOKUP(C91,'تقرير المصروفات حسب الشهر'!$C$1016:$AD$1126,11,FALSE),0)</f>
        <v>2000</v>
      </c>
      <c r="M91" s="376">
        <f>IFERROR(VLOOKUP(C91,'تقرير المصروفات حسب الشهر'!$C$1143:$AD$1254,11,FALSE),0)</f>
        <v>2000</v>
      </c>
      <c r="N91" s="376">
        <f>IFERROR(VLOOKUP(C91,'تقرير المصروفات حسب الشهر'!$C$1270:$AD$1381,11,FALSE),0)</f>
        <v>2000</v>
      </c>
      <c r="O91" s="376">
        <f>IFERROR(VLOOKUP(C91,'تقرير المصروفات حسب الشهر'!$C$1397:$AD$1512,11,FALSE),0)</f>
        <v>2000</v>
      </c>
      <c r="P91" s="364">
        <f t="shared" si="6"/>
        <v>24665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الشهر'!$C$10:$AD$119,11,FALSE),0)</f>
        <v>0</v>
      </c>
      <c r="E92" s="362">
        <f>IFERROR(VLOOKUP(C92,'تقرير المصروفات حسب الشهر'!$C$135:$AD$244,11,FALSE),0)</f>
        <v>0</v>
      </c>
      <c r="F92" s="362">
        <v>0</v>
      </c>
      <c r="G92" s="362">
        <f>IFERROR(VLOOKUP(C92,'تقرير المصروفات حسب الشهر'!$C$387:$AD$495,11,FALSE),0)</f>
        <v>0</v>
      </c>
      <c r="H92" s="362">
        <f>IFERROR(VLOOKUP(C92,'تقرير المصروفات حسب الشهر'!$C$512:$AD$620,11,FALSE),0)</f>
        <v>0</v>
      </c>
      <c r="I92" s="362">
        <f>IFERROR(VLOOKUP(C92,'تقرير المصروفات حسب الشهر'!$C$637:$AD$746,11,FALSE),0)</f>
        <v>0</v>
      </c>
      <c r="J92" s="362">
        <f>IFERROR(VLOOKUP(C92,'تقرير المصروفات حسب الشهر'!$C$763:$AD$872,11,FALSE),0)</f>
        <v>0</v>
      </c>
      <c r="K92" s="362">
        <f>IFERROR(VLOOKUP(C92,'تقرير المصروفات حسب الشهر'!$C$890:$AD$999,11,FALSE),0)</f>
        <v>0</v>
      </c>
      <c r="L92" s="362">
        <f>IFERROR(VLOOKUP(C92,'تقرير المصروفات حسب الشهر'!$C$1016:$AD$1126,11,FALSE),0)</f>
        <v>0</v>
      </c>
      <c r="M92" s="376">
        <f>IFERROR(VLOOKUP(C92,'تقرير المصروفات حسب الشهر'!$C$1143:$AD$1254,11,FALSE),0)</f>
        <v>0</v>
      </c>
      <c r="N92" s="376">
        <f>IFERROR(VLOOKUP(C92,'تقرير المصروفات حسب الشهر'!$C$1270:$AD$1381,11,FALSE),0)</f>
        <v>0</v>
      </c>
      <c r="O92" s="376">
        <f>IFERROR(VLOOKUP(C92,'تقرير المصروفات حسب الشهر'!$C$1397:$AD$1512,11,FALSE),0)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الشهر'!$C$10:$AD$119,11,FALSE),0)</f>
        <v>0</v>
      </c>
      <c r="E93" s="362">
        <f>IFERROR(VLOOKUP(C93,'تقرير المصروفات حسب الشهر'!$C$135:$AD$244,11,FALSE),0)</f>
        <v>706</v>
      </c>
      <c r="F93" s="362">
        <v>0</v>
      </c>
      <c r="G93" s="362">
        <f>IFERROR(VLOOKUP(C93,'تقرير المصروفات حسب الشهر'!$C$387:$AD$495,11,FALSE),0)</f>
        <v>1243</v>
      </c>
      <c r="H93" s="362">
        <f>IFERROR(VLOOKUP(C93,'تقرير المصروفات حسب الشهر'!$C$512:$AD$620,11,FALSE),0)</f>
        <v>0</v>
      </c>
      <c r="I93" s="362">
        <f>IFERROR(VLOOKUP(C93,'تقرير المصروفات حسب الشهر'!$C$637:$AD$746,11,FALSE),0)</f>
        <v>0</v>
      </c>
      <c r="J93" s="362">
        <f>IFERROR(VLOOKUP(C93,'تقرير المصروفات حسب الشهر'!$C$763:$AD$872,11,FALSE),0)</f>
        <v>668</v>
      </c>
      <c r="K93" s="362">
        <f>IFERROR(VLOOKUP(C93,'تقرير المصروفات حسب الشهر'!$C$890:$AD$999,11,FALSE),0)</f>
        <v>1331.8</v>
      </c>
      <c r="L93" s="362">
        <f>IFERROR(VLOOKUP(C93,'تقرير المصروفات حسب الشهر'!$C$1016:$AD$1126,11,FALSE),0)</f>
        <v>0</v>
      </c>
      <c r="M93" s="376">
        <f>IFERROR(VLOOKUP(C93,'تقرير المصروفات حسب الشهر'!$C$1143:$AD$1254,11,FALSE),0)</f>
        <v>0</v>
      </c>
      <c r="N93" s="376">
        <f>IFERROR(VLOOKUP(C93,'تقرير المصروفات حسب الشهر'!$C$1270:$AD$1381,11,FALSE),0)</f>
        <v>0</v>
      </c>
      <c r="O93" s="376">
        <f>IFERROR(VLOOKUP(C93,'تقرير المصروفات حسب الشهر'!$C$1397:$AD$1512,11,FALSE),0)</f>
        <v>0</v>
      </c>
      <c r="P93" s="364">
        <f t="shared" si="6"/>
        <v>3948.8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الشهر'!$C$10:$AD$119,11,FALSE),0)</f>
        <v>296.31</v>
      </c>
      <c r="E94" s="362">
        <f>IFERROR(VLOOKUP(C94,'تقرير المصروفات حسب الشهر'!$C$135:$AD$244,11,FALSE),0)</f>
        <v>296.31</v>
      </c>
      <c r="F94" s="362">
        <v>296.31</v>
      </c>
      <c r="G94" s="362">
        <f>IFERROR(VLOOKUP(C94,'تقرير المصروفات حسب الشهر'!$C$387:$AD$495,11,FALSE),0)</f>
        <v>296.31</v>
      </c>
      <c r="H94" s="362">
        <f>IFERROR(VLOOKUP(C94,'تقرير المصروفات حسب الشهر'!$C$512:$AD$620,11,FALSE),0)</f>
        <v>296.31</v>
      </c>
      <c r="I94" s="362">
        <f>IFERROR(VLOOKUP(C94,'تقرير المصروفات حسب الشهر'!$C$637:$AD$746,11,FALSE),0)</f>
        <v>296.3</v>
      </c>
      <c r="J94" s="362">
        <f>IFERROR(VLOOKUP(C94,'تقرير المصروفات حسب الشهر'!$C$763:$AD$872,11,FALSE),0)</f>
        <v>400.96</v>
      </c>
      <c r="K94" s="362">
        <f>IFERROR(VLOOKUP(C94,'تقرير المصروفات حسب الشهر'!$C$890:$AD$999,11,FALSE),0)</f>
        <v>813.75</v>
      </c>
      <c r="L94" s="362">
        <f>IFERROR(VLOOKUP(C94,'تقرير المصروفات حسب الشهر'!$C$1016:$AD$1126,11,FALSE),0)</f>
        <v>808.24</v>
      </c>
      <c r="M94" s="376">
        <f>IFERROR(VLOOKUP(C94,'تقرير المصروفات حسب الشهر'!$C$1143:$AD$1254,11,FALSE),0)</f>
        <v>808.24</v>
      </c>
      <c r="N94" s="376">
        <f>IFERROR(VLOOKUP(C94,'تقرير المصروفات حسب الشهر'!$C$1270:$AD$1381,11,FALSE),0)</f>
        <v>808.24</v>
      </c>
      <c r="O94" s="376">
        <f>IFERROR(VLOOKUP(C94,'تقرير المصروفات حسب الشهر'!$C$1397:$AD$1512,11,FALSE),0)</f>
        <v>801.1</v>
      </c>
      <c r="P94" s="364">
        <f t="shared" si="6"/>
        <v>6218.38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الشهر'!$C$10:$AD$119,11,FALSE),0)</f>
        <v>0</v>
      </c>
      <c r="E95" s="362">
        <f>IFERROR(VLOOKUP(C95,'تقرير المصروفات حسب الشهر'!$C$135:$AD$244,11,FALSE),0)</f>
        <v>0</v>
      </c>
      <c r="F95" s="362">
        <v>0</v>
      </c>
      <c r="G95" s="362">
        <f>IFERROR(VLOOKUP(C95,'تقرير المصروفات حسب الشهر'!$C$387:$AD$495,11,FALSE),0)</f>
        <v>0</v>
      </c>
      <c r="H95" s="362">
        <f>IFERROR(VLOOKUP(C95,'تقرير المصروفات حسب الشهر'!$C$512:$AD$620,11,FALSE),0)</f>
        <v>0</v>
      </c>
      <c r="I95" s="362">
        <f>IFERROR(VLOOKUP(C95,'تقرير المصروفات حسب الشهر'!$C$637:$AD$746,11,FALSE),0)</f>
        <v>0</v>
      </c>
      <c r="J95" s="362">
        <f>IFERROR(VLOOKUP(C95,'تقرير المصروفات حسب الشهر'!$C$763:$AD$872,11,FALSE),0)</f>
        <v>0</v>
      </c>
      <c r="K95" s="362">
        <f>IFERROR(VLOOKUP(C95,'تقرير المصروفات حسب الشهر'!$C$890:$AD$999,11,FALSE),0)</f>
        <v>0</v>
      </c>
      <c r="L95" s="362">
        <f>IFERROR(VLOOKUP(C95,'تقرير المصروفات حسب الشهر'!$C$1016:$AD$1126,11,FALSE),0)</f>
        <v>2130</v>
      </c>
      <c r="M95" s="376">
        <f>IFERROR(VLOOKUP(C95,'تقرير المصروفات حسب الشهر'!$C$1143:$AD$1254,11,FALSE),0)</f>
        <v>1065</v>
      </c>
      <c r="N95" s="376">
        <f>IFERROR(VLOOKUP(C95,'تقرير المصروفات حسب الشهر'!$C$1270:$AD$1381,11,FALSE),0)</f>
        <v>1065</v>
      </c>
      <c r="O95" s="376">
        <f>IFERROR(VLOOKUP(C95,'تقرير المصروفات حسب الشهر'!$C$1397:$AD$1512,11,FALSE),0)</f>
        <v>15759</v>
      </c>
      <c r="P95" s="364">
        <f t="shared" si="6"/>
        <v>20019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الشهر'!$C$10:$AD$119,11,FALSE),0)</f>
        <v>0</v>
      </c>
      <c r="E96" s="362">
        <f>IFERROR(VLOOKUP(C96,'تقرير المصروفات حسب الشهر'!$C$135:$AD$244,11,FALSE),0)</f>
        <v>0</v>
      </c>
      <c r="F96" s="362">
        <v>0</v>
      </c>
      <c r="G96" s="362">
        <f>IFERROR(VLOOKUP(C96,'تقرير المصروفات حسب الشهر'!$C$387:$AD$495,11,FALSE),0)</f>
        <v>0</v>
      </c>
      <c r="H96" s="362">
        <f>IFERROR(VLOOKUP(C96,'تقرير المصروفات حسب الشهر'!$C$512:$AD$620,11,FALSE),0)</f>
        <v>0</v>
      </c>
      <c r="I96" s="362">
        <f>IFERROR(VLOOKUP(C96,'تقرير المصروفات حسب الشهر'!$C$637:$AD$746,11,FALSE),0)</f>
        <v>0</v>
      </c>
      <c r="J96" s="362">
        <f>IFERROR(VLOOKUP(C96,'تقرير المصروفات حسب الشهر'!$C$763:$AD$872,11,FALSE),0)</f>
        <v>0</v>
      </c>
      <c r="K96" s="362">
        <f>IFERROR(VLOOKUP(C96,'تقرير المصروفات حسب الشهر'!$C$890:$AD$999,11,FALSE),0)</f>
        <v>0</v>
      </c>
      <c r="L96" s="362">
        <f>IFERROR(VLOOKUP(C96,'تقرير المصروفات حسب الشهر'!$C$1016:$AD$1126,11,FALSE),0)</f>
        <v>0</v>
      </c>
      <c r="M96" s="376">
        <f>IFERROR(VLOOKUP(C96,'تقرير المصروفات حسب الشهر'!$C$1143:$AD$1254,11,FALSE),0)</f>
        <v>0</v>
      </c>
      <c r="N96" s="376">
        <f>IFERROR(VLOOKUP(C96,'تقرير المصروفات حسب الشهر'!$C$1270:$AD$1381,11,FALSE),0)</f>
        <v>0</v>
      </c>
      <c r="O96" s="376">
        <f>IFERROR(VLOOKUP(C96,'تقرير المصروفات حسب الشهر'!$C$1397:$AD$1512,11,FALSE),0)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الشهر'!$C$10:$AD$119,11,FALSE),0)</f>
        <v>0</v>
      </c>
      <c r="E97" s="362">
        <f>IFERROR(VLOOKUP(C97,'تقرير المصروفات حسب الشهر'!$C$135:$AD$244,11,FALSE),0)</f>
        <v>0</v>
      </c>
      <c r="F97" s="362">
        <v>0</v>
      </c>
      <c r="G97" s="362">
        <f>IFERROR(VLOOKUP(C97,'تقرير المصروفات حسب الشهر'!$C$387:$AD$495,11,FALSE),0)</f>
        <v>0</v>
      </c>
      <c r="H97" s="362">
        <f>IFERROR(VLOOKUP(C97,'تقرير المصروفات حسب الشهر'!$C$512:$AD$620,11,FALSE),0)</f>
        <v>0</v>
      </c>
      <c r="I97" s="362">
        <f>IFERROR(VLOOKUP(C97,'تقرير المصروفات حسب الشهر'!$C$637:$AD$746,11,FALSE),0)</f>
        <v>0</v>
      </c>
      <c r="J97" s="362">
        <f>IFERROR(VLOOKUP(C97,'تقرير المصروفات حسب الشهر'!$C$763:$AD$872,11,FALSE),0)</f>
        <v>0</v>
      </c>
      <c r="K97" s="362">
        <f>IFERROR(VLOOKUP(C97,'تقرير المصروفات حسب الشهر'!$C$890:$AD$999,11,FALSE),0)</f>
        <v>0</v>
      </c>
      <c r="L97" s="362">
        <f>IFERROR(VLOOKUP(C97,'تقرير المصروفات حسب الشهر'!$C$1016:$AD$1126,11,FALSE),0)</f>
        <v>0</v>
      </c>
      <c r="M97" s="376">
        <f>IFERROR(VLOOKUP(C97,'تقرير المصروفات حسب الشهر'!$C$1143:$AD$1254,11,FALSE),0)</f>
        <v>0</v>
      </c>
      <c r="N97" s="376">
        <f>IFERROR(VLOOKUP(C97,'تقرير المصروفات حسب الشهر'!$C$1270:$AD$1381,11,FALSE),0)</f>
        <v>0</v>
      </c>
      <c r="O97" s="376">
        <f>IFERROR(VLOOKUP(C97,'تقرير المصروفات حسب الشهر'!$C$1397:$AD$1512,11,FALSE),0)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الشهر'!$C$10:$AD$119,11,FALSE),0)</f>
        <v>0</v>
      </c>
      <c r="E98" s="362">
        <f>IFERROR(VLOOKUP(C98,'تقرير المصروفات حسب الشهر'!$C$135:$AD$244,11,FALSE),0)</f>
        <v>0</v>
      </c>
      <c r="F98" s="362">
        <v>0</v>
      </c>
      <c r="G98" s="362">
        <f>IFERROR(VLOOKUP(C98,'تقرير المصروفات حسب الشهر'!$C$387:$AD$495,11,FALSE),0)</f>
        <v>0</v>
      </c>
      <c r="H98" s="362">
        <f>IFERROR(VLOOKUP(C98,'تقرير المصروفات حسب الشهر'!$C$512:$AD$620,11,FALSE),0)</f>
        <v>0</v>
      </c>
      <c r="I98" s="362">
        <f>IFERROR(VLOOKUP(C98,'تقرير المصروفات حسب الشهر'!$C$637:$AD$746,11,FALSE),0)</f>
        <v>0</v>
      </c>
      <c r="J98" s="362">
        <f>IFERROR(VLOOKUP(C98,'تقرير المصروفات حسب الشهر'!$C$763:$AD$872,11,FALSE),0)</f>
        <v>0</v>
      </c>
      <c r="K98" s="362">
        <f>IFERROR(VLOOKUP(C98,'تقرير المصروفات حسب الشهر'!$C$890:$AD$999,11,FALSE),0)</f>
        <v>0</v>
      </c>
      <c r="L98" s="362">
        <f>IFERROR(VLOOKUP(C98,'تقرير المصروفات حسب الشهر'!$C$1016:$AD$1126,11,FALSE),0)</f>
        <v>0</v>
      </c>
      <c r="M98" s="376">
        <f>IFERROR(VLOOKUP(C98,'تقرير المصروفات حسب الشهر'!$C$1143:$AD$1254,11,FALSE),0)</f>
        <v>0</v>
      </c>
      <c r="N98" s="376">
        <f>IFERROR(VLOOKUP(C98,'تقرير المصروفات حسب الشهر'!$C$1270:$AD$1381,11,FALSE),0)</f>
        <v>0</v>
      </c>
      <c r="O98" s="376">
        <f>IFERROR(VLOOKUP(C98,'تقرير المصروفات حسب الشهر'!$C$1397:$AD$1512,11,FALSE),0)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الشهر'!$C$10:$AD$119,11,FALSE),0)</f>
        <v>0</v>
      </c>
      <c r="E99" s="362">
        <f>IFERROR(VLOOKUP(C99,'تقرير المصروفات حسب الشهر'!$C$135:$AD$244,11,FALSE),0)</f>
        <v>0</v>
      </c>
      <c r="F99" s="362">
        <v>0</v>
      </c>
      <c r="G99" s="362">
        <f>IFERROR(VLOOKUP(C99,'تقرير المصروفات حسب الشهر'!$C$387:$AD$495,11,FALSE),0)</f>
        <v>0</v>
      </c>
      <c r="H99" s="362">
        <f>IFERROR(VLOOKUP(C99,'تقرير المصروفات حسب الشهر'!$C$512:$AD$620,11,FALSE),0)</f>
        <v>0</v>
      </c>
      <c r="I99" s="362">
        <f>IFERROR(VLOOKUP(C99,'تقرير المصروفات حسب الشهر'!$C$637:$AD$746,11,FALSE),0)</f>
        <v>0</v>
      </c>
      <c r="J99" s="362">
        <f>IFERROR(VLOOKUP(C99,'تقرير المصروفات حسب الشهر'!$C$763:$AD$872,11,FALSE),0)</f>
        <v>0</v>
      </c>
      <c r="K99" s="362">
        <f>IFERROR(VLOOKUP(C99,'تقرير المصروفات حسب الشهر'!$C$890:$AD$999,11,FALSE),0)</f>
        <v>0</v>
      </c>
      <c r="L99" s="362">
        <f>IFERROR(VLOOKUP(C99,'تقرير المصروفات حسب الشهر'!$C$1016:$AD$1126,11,FALSE),0)</f>
        <v>0</v>
      </c>
      <c r="M99" s="376">
        <f>IFERROR(VLOOKUP(C99,'تقرير المصروفات حسب الشهر'!$C$1143:$AD$1254,11,FALSE),0)</f>
        <v>0</v>
      </c>
      <c r="N99" s="376">
        <f>IFERROR(VLOOKUP(C99,'تقرير المصروفات حسب الشهر'!$C$1270:$AD$1381,11,FALSE),0)</f>
        <v>0</v>
      </c>
      <c r="O99" s="376">
        <f>IFERROR(VLOOKUP(C99,'تقرير المصروفات حسب الشهر'!$C$1397:$AD$1512,11,FALSE),0)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الشهر'!$C$10:$AD$119,11,FALSE),0)</f>
        <v>895.73</v>
      </c>
      <c r="E100" s="362">
        <f>IFERROR(VLOOKUP(C100,'تقرير المصروفات حسب الشهر'!$C$135:$AD$244,11,FALSE),0)</f>
        <v>895.73</v>
      </c>
      <c r="F100" s="362">
        <v>895.73</v>
      </c>
      <c r="G100" s="362">
        <f>IFERROR(VLOOKUP(C100,'تقرير المصروفات حسب الشهر'!$C$387:$AD$495,11,FALSE),0)</f>
        <v>1003.62</v>
      </c>
      <c r="H100" s="362">
        <f>IFERROR(VLOOKUP(C100,'تقرير المصروفات حسب الشهر'!$C$512:$AD$620,11,FALSE),0)</f>
        <v>1025.21</v>
      </c>
      <c r="I100" s="362">
        <f>IFERROR(VLOOKUP(C100,'تقرير المصروفات حسب الشهر'!$C$637:$AD$746,11,FALSE),0)</f>
        <v>1539.54</v>
      </c>
      <c r="J100" s="362">
        <f>IFERROR(VLOOKUP(C100,'تقرير المصروفات حسب الشهر'!$C$763:$AD$872,11,FALSE),0)</f>
        <v>1557.25</v>
      </c>
      <c r="K100" s="362">
        <f>IFERROR(VLOOKUP(C100,'تقرير المصروفات حسب الشهر'!$C$890:$AD$999,11,FALSE),0)</f>
        <v>1726.56</v>
      </c>
      <c r="L100" s="362">
        <f>IFERROR(VLOOKUP(C100,'تقرير المصروفات حسب الشهر'!$C$1016:$AD$1126,11,FALSE),0)</f>
        <v>2113.11</v>
      </c>
      <c r="M100" s="376">
        <f>IFERROR(VLOOKUP(C100,'تقرير المصروفات حسب الشهر'!$C$1143:$AD$1254,11,FALSE),0)</f>
        <v>2141.98</v>
      </c>
      <c r="N100" s="376">
        <f>IFERROR(VLOOKUP(C100,'تقرير المصروفات حسب الشهر'!$C$1270:$AD$1381,11,FALSE),0)</f>
        <v>2305.2800000000002</v>
      </c>
      <c r="O100" s="376">
        <f>IFERROR(VLOOKUP(C100,'تقرير المصروفات حسب الشهر'!$C$1397:$AD$1512,11,FALSE),0)</f>
        <v>1811.89</v>
      </c>
      <c r="P100" s="364">
        <f t="shared" si="6"/>
        <v>17911.63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الشهر'!$C$10:$AD$119,11,FALSE),0)</f>
        <v>0</v>
      </c>
      <c r="E101" s="362">
        <f>IFERROR(VLOOKUP(C101,'تقرير المصروفات حسب الشهر'!$C$135:$AD$244,11,FALSE),0)</f>
        <v>0</v>
      </c>
      <c r="F101" s="362">
        <v>0</v>
      </c>
      <c r="G101" s="362">
        <f>IFERROR(VLOOKUP(C101,'تقرير المصروفات حسب الشهر'!$C$387:$AD$495,11,FALSE),0)</f>
        <v>0</v>
      </c>
      <c r="H101" s="362">
        <f>IFERROR(VLOOKUP(C101,'تقرير المصروفات حسب الشهر'!$C$512:$AD$620,11,FALSE),0)</f>
        <v>0</v>
      </c>
      <c r="I101" s="362">
        <f>IFERROR(VLOOKUP(C101,'تقرير المصروفات حسب الشهر'!$C$637:$AD$746,11,FALSE),0)</f>
        <v>0</v>
      </c>
      <c r="J101" s="362">
        <f>IFERROR(VLOOKUP(C101,'تقرير المصروفات حسب الشهر'!$C$763:$AD$872,11,FALSE),0)</f>
        <v>0</v>
      </c>
      <c r="K101" s="362">
        <f>IFERROR(VLOOKUP(C101,'تقرير المصروفات حسب الشهر'!$C$890:$AD$999,11,FALSE),0)</f>
        <v>0</v>
      </c>
      <c r="L101" s="362">
        <f>IFERROR(VLOOKUP(C101,'تقرير المصروفات حسب الشهر'!$C$1016:$AD$1126,11,FALSE),0)</f>
        <v>0</v>
      </c>
      <c r="M101" s="376">
        <f>IFERROR(VLOOKUP(C101,'تقرير المصروفات حسب الشهر'!$C$1143:$AD$1254,11,FALSE),0)</f>
        <v>0</v>
      </c>
      <c r="N101" s="376">
        <f>IFERROR(VLOOKUP(C101,'تقرير المصروفات حسب الشهر'!$C$1270:$AD$1381,11,FALSE),0)</f>
        <v>0</v>
      </c>
      <c r="O101" s="376">
        <f>IFERROR(VLOOKUP(C101,'تقرير المصروفات حسب الشهر'!$C$1397:$AD$1512,11,FALSE),0)</f>
        <v>0</v>
      </c>
      <c r="P101" s="364">
        <f t="shared" si="6"/>
        <v>0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الشهر'!$C$10:$AD$119,11,FALSE),0)</f>
        <v>417.72</v>
      </c>
      <c r="E102" s="362">
        <f>IFERROR(VLOOKUP(C102,'تقرير المصروفات حسب الشهر'!$C$135:$AD$244,11,FALSE),0)</f>
        <v>417.72</v>
      </c>
      <c r="F102" s="362">
        <v>417.72</v>
      </c>
      <c r="G102" s="362">
        <f>IFERROR(VLOOKUP(C102,'تقرير المصروفات حسب الشهر'!$C$387:$AD$495,11,FALSE),0)</f>
        <v>417.72</v>
      </c>
      <c r="H102" s="362">
        <f>IFERROR(VLOOKUP(C102,'تقرير المصروفات حسب الشهر'!$C$512:$AD$620,11,FALSE),0)</f>
        <v>417.72</v>
      </c>
      <c r="I102" s="362">
        <f>IFERROR(VLOOKUP(C102,'تقرير المصروفات حسب الشهر'!$C$637:$AD$746,11,FALSE),0)</f>
        <v>417.72</v>
      </c>
      <c r="J102" s="362">
        <f>IFERROR(VLOOKUP(C102,'تقرير المصروفات حسب الشهر'!$C$763:$AD$872,11,FALSE),0)</f>
        <v>417.72</v>
      </c>
      <c r="K102" s="362">
        <f>IFERROR(VLOOKUP(C102,'تقرير المصروفات حسب الشهر'!$C$890:$AD$999,11,FALSE),0)</f>
        <v>615.29999999999995</v>
      </c>
      <c r="L102" s="362">
        <f>IFERROR(VLOOKUP(C102,'تقرير المصروفات حسب الشهر'!$C$1016:$AD$1126,11,FALSE),0)</f>
        <v>818.9</v>
      </c>
      <c r="M102" s="376">
        <f>IFERROR(VLOOKUP(C102,'تقرير المصروفات حسب الشهر'!$C$1143:$AD$1254,11,FALSE),0)</f>
        <v>842.58</v>
      </c>
      <c r="N102" s="376">
        <f>IFERROR(VLOOKUP(C102,'تقرير المصروفات حسب الشهر'!$C$1270:$AD$1381,11,FALSE),0)</f>
        <v>842.44</v>
      </c>
      <c r="O102" s="376">
        <f>IFERROR(VLOOKUP(C102,'تقرير المصروفات حسب الشهر'!$C$1397:$AD$1512,11,FALSE),0)</f>
        <v>424.86</v>
      </c>
      <c r="P102" s="364">
        <f t="shared" si="6"/>
        <v>6468.12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الشهر'!$C$10:$AD$119,11,FALSE),0)</f>
        <v>1025</v>
      </c>
      <c r="E103" s="362">
        <f>IFERROR(VLOOKUP(C103,'تقرير المصروفات حسب الشهر'!$C$135:$AD$244,11,FALSE),0)</f>
        <v>1025</v>
      </c>
      <c r="F103" s="362">
        <v>1025</v>
      </c>
      <c r="G103" s="362">
        <f>IFERROR(VLOOKUP(C103,'تقرير المصروفات حسب الشهر'!$C$387:$AD$495,11,FALSE),0)</f>
        <v>1025</v>
      </c>
      <c r="H103" s="362">
        <f>IFERROR(VLOOKUP(C103,'تقرير المصروفات حسب الشهر'!$C$512:$AD$620,11,FALSE),0)</f>
        <v>1162.8900000000001</v>
      </c>
      <c r="I103" s="362">
        <f>IFERROR(VLOOKUP(C103,'تقرير المصروفات حسب الشهر'!$C$637:$AD$746,11,FALSE),0)</f>
        <v>1500</v>
      </c>
      <c r="J103" s="362">
        <f>IFERROR(VLOOKUP(C103,'تقرير المصروفات حسب الشهر'!$C$763:$AD$872,11,FALSE),0)</f>
        <v>1500</v>
      </c>
      <c r="K103" s="362">
        <f>IFERROR(VLOOKUP(C103,'تقرير المصروفات حسب الشهر'!$C$890:$AD$999,11,FALSE),0)</f>
        <v>1500</v>
      </c>
      <c r="L103" s="362">
        <f>IFERROR(VLOOKUP(C103,'تقرير المصروفات حسب الشهر'!$C$1016:$AD$1126,11,FALSE),0)</f>
        <v>1500</v>
      </c>
      <c r="M103" s="376">
        <f>IFERROR(VLOOKUP(C103,'تقرير المصروفات حسب الشهر'!$C$1143:$AD$1254,11,FALSE),0)</f>
        <v>1500</v>
      </c>
      <c r="N103" s="376">
        <f>IFERROR(VLOOKUP(C103,'تقرير المصروفات حسب الشهر'!$C$1270:$AD$1381,11,FALSE),0)</f>
        <v>1499.96</v>
      </c>
      <c r="O103" s="376">
        <f>IFERROR(VLOOKUP(C103,'تقرير المصروفات حسب الشهر'!$C$1397:$AD$1512,11,FALSE),0)</f>
        <v>497.3</v>
      </c>
      <c r="P103" s="364">
        <f t="shared" si="6"/>
        <v>14760.149999999998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الشهر'!$C$10:$AD$119,11,FALSE),0)</f>
        <v>0</v>
      </c>
      <c r="E104" s="362">
        <f>IFERROR(VLOOKUP(C104,'تقرير المصروفات حسب الشهر'!$C$135:$AD$244,11,FALSE),0)</f>
        <v>0</v>
      </c>
      <c r="F104" s="362">
        <v>0</v>
      </c>
      <c r="G104" s="362">
        <f>IFERROR(VLOOKUP(C104,'تقرير المصروفات حسب الشهر'!$C$387:$AD$495,11,FALSE),0)</f>
        <v>0</v>
      </c>
      <c r="H104" s="362">
        <f>IFERROR(VLOOKUP(C104,'تقرير المصروفات حسب الشهر'!$C$512:$AD$620,11,FALSE),0)</f>
        <v>0</v>
      </c>
      <c r="I104" s="362">
        <f>IFERROR(VLOOKUP(C104,'تقرير المصروفات حسب الشهر'!$C$637:$AD$746,11,FALSE),0)</f>
        <v>0</v>
      </c>
      <c r="J104" s="362">
        <f>IFERROR(VLOOKUP(C104,'تقرير المصروفات حسب الشهر'!$C$763:$AD$872,11,FALSE),0)</f>
        <v>0</v>
      </c>
      <c r="K104" s="362">
        <f>IFERROR(VLOOKUP(C104,'تقرير المصروفات حسب الشهر'!$C$890:$AD$999,11,FALSE),0)</f>
        <v>0</v>
      </c>
      <c r="L104" s="362">
        <f>IFERROR(VLOOKUP(C104,'تقرير المصروفات حسب الشهر'!$C$1016:$AD$1126,11,FALSE),0)</f>
        <v>0</v>
      </c>
      <c r="M104" s="376">
        <f>IFERROR(VLOOKUP(C104,'تقرير المصروفات حسب الشهر'!$C$1143:$AD$1254,11,FALSE),0)</f>
        <v>0</v>
      </c>
      <c r="N104" s="376">
        <f>IFERROR(VLOOKUP(C104,'تقرير المصروفات حسب الشهر'!$C$1270:$AD$1381,11,FALSE),0)</f>
        <v>0</v>
      </c>
      <c r="O104" s="376">
        <f>IFERROR(VLOOKUP(C104,'تقرير المصروفات حسب الشهر'!$C$1397:$AD$1512,11,FALSE),0)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الشهر'!$C$10:$AD$119,11,FALSE),0)</f>
        <v>0</v>
      </c>
      <c r="E105" s="362">
        <f>IFERROR(VLOOKUP(C105,'تقرير المصروفات حسب الشهر'!$C$135:$AD$244,11,FALSE),0)</f>
        <v>0</v>
      </c>
      <c r="F105" s="362">
        <v>0</v>
      </c>
      <c r="G105" s="362">
        <f>IFERROR(VLOOKUP(C105,'تقرير المصروفات حسب الشهر'!$C$387:$AD$495,11,FALSE),0)</f>
        <v>0</v>
      </c>
      <c r="H105" s="362">
        <f>IFERROR(VLOOKUP(C105,'تقرير المصروفات حسب الشهر'!$C$512:$AD$620,11,FALSE),0)</f>
        <v>0</v>
      </c>
      <c r="I105" s="362">
        <f>IFERROR(VLOOKUP(C105,'تقرير المصروفات حسب الشهر'!$C$637:$AD$746,11,FALSE),0)</f>
        <v>0</v>
      </c>
      <c r="J105" s="362">
        <f>IFERROR(VLOOKUP(C105,'تقرير المصروفات حسب الشهر'!$C$763:$AD$872,11,FALSE),0)</f>
        <v>0</v>
      </c>
      <c r="K105" s="362">
        <f>IFERROR(VLOOKUP(C105,'تقرير المصروفات حسب الشهر'!$C$890:$AD$999,11,FALSE),0)</f>
        <v>0</v>
      </c>
      <c r="L105" s="362">
        <f>IFERROR(VLOOKUP(C105,'تقرير المصروفات حسب الشهر'!$C$1016:$AD$1126,11,FALSE),0)</f>
        <v>0</v>
      </c>
      <c r="M105" s="376">
        <f>IFERROR(VLOOKUP(C105,'تقرير المصروفات حسب الشهر'!$C$1143:$AD$1254,11,FALSE),0)</f>
        <v>0</v>
      </c>
      <c r="N105" s="376">
        <f>IFERROR(VLOOKUP(C105,'تقرير المصروفات حسب الشهر'!$C$1270:$AD$1381,11,FALSE),0)</f>
        <v>0</v>
      </c>
      <c r="O105" s="376">
        <f>IFERROR(VLOOKUP(C105,'تقرير المصروفات حسب الشهر'!$C$1397:$AD$1512,11,FALSE),0)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الشهر'!$C$10:$AD$119,11,FALSE),0)</f>
        <v>377</v>
      </c>
      <c r="E106" s="362">
        <f>IFERROR(VLOOKUP(C106,'تقرير المصروفات حسب الشهر'!$C$135:$AD$244,11,FALSE),0)</f>
        <v>205</v>
      </c>
      <c r="F106" s="362">
        <v>142</v>
      </c>
      <c r="G106" s="362">
        <f>IFERROR(VLOOKUP(C106,'تقرير المصروفات حسب الشهر'!$C$387:$AD$495,11,FALSE),0)</f>
        <v>357</v>
      </c>
      <c r="H106" s="362">
        <f>IFERROR(VLOOKUP(C106,'تقرير المصروفات حسب الشهر'!$C$512:$AD$620,11,FALSE),0)</f>
        <v>181</v>
      </c>
      <c r="I106" s="362">
        <f>IFERROR(VLOOKUP(C106,'تقرير المصروفات حسب الشهر'!$C$637:$AD$746,11,FALSE),0)</f>
        <v>391</v>
      </c>
      <c r="J106" s="362">
        <f>IFERROR(VLOOKUP(C106,'تقرير المصروفات حسب الشهر'!$C$763:$AD$872,11,FALSE),0)</f>
        <v>351</v>
      </c>
      <c r="K106" s="362">
        <f>IFERROR(VLOOKUP(C106,'تقرير المصروفات حسب الشهر'!$C$890:$AD$999,11,FALSE),0)</f>
        <v>266</v>
      </c>
      <c r="L106" s="362">
        <f>IFERROR(VLOOKUP(C106,'تقرير المصروفات حسب الشهر'!$C$1016:$AD$1126,11,FALSE),0)</f>
        <v>150</v>
      </c>
      <c r="M106" s="376">
        <f>IFERROR(VLOOKUP(C106,'تقرير المصروفات حسب الشهر'!$C$1143:$AD$1254,11,FALSE),0)</f>
        <v>229</v>
      </c>
      <c r="N106" s="376">
        <f>IFERROR(VLOOKUP(C106,'تقرير المصروفات حسب الشهر'!$C$1270:$AD$1381,11,FALSE),0)</f>
        <v>149</v>
      </c>
      <c r="O106" s="376">
        <f>IFERROR(VLOOKUP(C106,'تقرير المصروفات حسب الشهر'!$C$1397:$AD$1512,11,FALSE),0)</f>
        <v>97</v>
      </c>
      <c r="P106" s="364">
        <f t="shared" si="6"/>
        <v>2895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الشهر'!$C$10:$AD$119,11,FALSE),0)</f>
        <v>0</v>
      </c>
      <c r="E107" s="362">
        <f>IFERROR(VLOOKUP(C107,'تقرير المصروفات حسب الشهر'!$C$135:$AD$244,11,FALSE),0)</f>
        <v>0</v>
      </c>
      <c r="F107" s="362">
        <v>0</v>
      </c>
      <c r="G107" s="362">
        <f>IFERROR(VLOOKUP(C107,'تقرير المصروفات حسب الشهر'!$C$387:$AD$495,11,FALSE),0)</f>
        <v>0</v>
      </c>
      <c r="H107" s="362">
        <f>IFERROR(VLOOKUP(C107,'تقرير المصروفات حسب الشهر'!$C$512:$AD$620,11,FALSE),0)</f>
        <v>0</v>
      </c>
      <c r="I107" s="362">
        <f>IFERROR(VLOOKUP(C107,'تقرير المصروفات حسب الشهر'!$C$637:$AD$746,11,FALSE),0)</f>
        <v>0</v>
      </c>
      <c r="J107" s="362">
        <f>IFERROR(VLOOKUP(C107,'تقرير المصروفات حسب الشهر'!$C$763:$AD$872,11,FALSE),0)</f>
        <v>0</v>
      </c>
      <c r="K107" s="362">
        <f>IFERROR(VLOOKUP(C107,'تقرير المصروفات حسب الشهر'!$C$890:$AD$999,11,FALSE),0)</f>
        <v>0</v>
      </c>
      <c r="L107" s="362">
        <f>IFERROR(VLOOKUP(C107,'تقرير المصروفات حسب الشهر'!$C$1016:$AD$1126,11,FALSE),0)</f>
        <v>0</v>
      </c>
      <c r="M107" s="376">
        <f>IFERROR(VLOOKUP(C107,'تقرير المصروفات حسب الشهر'!$C$1143:$AD$1254,11,FALSE),0)</f>
        <v>0</v>
      </c>
      <c r="N107" s="376">
        <f>IFERROR(VLOOKUP(C107,'تقرير المصروفات حسب الشهر'!$C$1270:$AD$1381,11,FALSE),0)</f>
        <v>0</v>
      </c>
      <c r="O107" s="376">
        <f>IFERROR(VLOOKUP(C107,'تقرير المصروفات حسب الشهر'!$C$1397:$AD$1512,11,FALSE),0)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الشهر'!$C$10:$AD$119,11,FALSE),0)</f>
        <v>0</v>
      </c>
      <c r="E108" s="362">
        <f>IFERROR(VLOOKUP(C108,'تقرير المصروفات حسب الشهر'!$C$135:$AD$244,11,FALSE),0)</f>
        <v>0</v>
      </c>
      <c r="F108" s="362">
        <v>0</v>
      </c>
      <c r="G108" s="362">
        <f>IFERROR(VLOOKUP(C108,'تقرير المصروفات حسب الشهر'!$C$387:$AD$495,11,FALSE),0)</f>
        <v>0</v>
      </c>
      <c r="H108" s="362">
        <f>IFERROR(VLOOKUP(C108,'تقرير المصروفات حسب الشهر'!$C$512:$AD$620,11,FALSE),0)</f>
        <v>0</v>
      </c>
      <c r="I108" s="362">
        <f>IFERROR(VLOOKUP(C108,'تقرير المصروفات حسب الشهر'!$C$637:$AD$746,11,FALSE),0)</f>
        <v>0</v>
      </c>
      <c r="J108" s="362">
        <f>IFERROR(VLOOKUP(C108,'تقرير المصروفات حسب الشهر'!$C$763:$AD$872,11,FALSE),0)</f>
        <v>0</v>
      </c>
      <c r="K108" s="362">
        <f>IFERROR(VLOOKUP(C108,'تقرير المصروفات حسب الشهر'!$C$890:$AD$999,11,FALSE),0)</f>
        <v>0</v>
      </c>
      <c r="L108" s="362">
        <f>IFERROR(VLOOKUP(C108,'تقرير المصروفات حسب الشهر'!$C$1016:$AD$1126,11,FALSE),0)</f>
        <v>0</v>
      </c>
      <c r="M108" s="376">
        <f>IFERROR(VLOOKUP(C108,'تقرير المصروفات حسب الشهر'!$C$1143:$AD$1254,11,FALSE),0)</f>
        <v>0</v>
      </c>
      <c r="N108" s="376">
        <f>IFERROR(VLOOKUP(C108,'تقرير المصروفات حسب الشهر'!$C$1270:$AD$1381,11,FALSE),0)</f>
        <v>0</v>
      </c>
      <c r="O108" s="376">
        <f>IFERROR(VLOOKUP(C108,'تقرير المصروفات حسب الشهر'!$C$1397:$AD$1512,11,FALSE),0)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الشهر'!$C$10:$AD$119,11,FALSE),0)</f>
        <v>0</v>
      </c>
      <c r="E109" s="362">
        <f>IFERROR(VLOOKUP(C109,'تقرير المصروفات حسب الشهر'!$C$135:$AD$244,11,FALSE),0)</f>
        <v>0</v>
      </c>
      <c r="F109" s="362">
        <v>768.5</v>
      </c>
      <c r="G109" s="362">
        <f>IFERROR(VLOOKUP(C109,'تقرير المصروفات حسب الشهر'!$C$387:$AD$495,11,FALSE),0)</f>
        <v>0</v>
      </c>
      <c r="H109" s="362">
        <f>IFERROR(VLOOKUP(C109,'تقرير المصروفات حسب الشهر'!$C$512:$AD$620,11,FALSE),0)</f>
        <v>0</v>
      </c>
      <c r="I109" s="362">
        <f>IFERROR(VLOOKUP(C109,'تقرير المصروفات حسب الشهر'!$C$637:$AD$746,11,FALSE),0)</f>
        <v>0</v>
      </c>
      <c r="J109" s="362">
        <f>IFERROR(VLOOKUP(C109,'تقرير المصروفات حسب الشهر'!$C$763:$AD$872,11,FALSE),0)</f>
        <v>0</v>
      </c>
      <c r="K109" s="362">
        <f>IFERROR(VLOOKUP(C109,'تقرير المصروفات حسب الشهر'!$C$890:$AD$999,11,FALSE),0)</f>
        <v>0</v>
      </c>
      <c r="L109" s="362">
        <f>IFERROR(VLOOKUP(C109,'تقرير المصروفات حسب الشهر'!$C$1016:$AD$1126,11,FALSE),0)</f>
        <v>0</v>
      </c>
      <c r="M109" s="376">
        <f>IFERROR(VLOOKUP(C109,'تقرير المصروفات حسب الشهر'!$C$1143:$AD$1254,11,FALSE),0)</f>
        <v>0</v>
      </c>
      <c r="N109" s="376">
        <f>IFERROR(VLOOKUP(C109,'تقرير المصروفات حسب الشهر'!$C$1270:$AD$1381,11,FALSE),0)</f>
        <v>0</v>
      </c>
      <c r="O109" s="376">
        <f>IFERROR(VLOOKUP(C109,'تقرير المصروفات حسب الشهر'!$C$1397:$AD$1512,11,FALSE),0)</f>
        <v>0</v>
      </c>
      <c r="P109" s="364">
        <f t="shared" si="6"/>
        <v>768.5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الشهر'!$C$10:$AD$119,11,FALSE),0)</f>
        <v>3216.32</v>
      </c>
      <c r="E110" s="362">
        <f>IFERROR(VLOOKUP(C110,'تقرير المصروفات حسب الشهر'!$C$135:$AD$244,11,FALSE),0)</f>
        <v>0</v>
      </c>
      <c r="F110" s="362">
        <v>0</v>
      </c>
      <c r="G110" s="362">
        <f>IFERROR(VLOOKUP(C110,'تقرير المصروفات حسب الشهر'!$C$387:$AD$495,11,FALSE),0)</f>
        <v>469</v>
      </c>
      <c r="H110" s="362">
        <f>IFERROR(VLOOKUP(C110,'تقرير المصروفات حسب الشهر'!$C$512:$AD$620,11,FALSE),0)</f>
        <v>0</v>
      </c>
      <c r="I110" s="362">
        <v>3513.8400000000101</v>
      </c>
      <c r="J110" s="362">
        <f>IFERROR(VLOOKUP(C110,'تقرير المصروفات حسب الشهر'!$C$763:$AD$872,11,FALSE),0)</f>
        <v>0</v>
      </c>
      <c r="K110" s="362">
        <f>IFERROR(VLOOKUP(C110,'تقرير المصروفات حسب الشهر'!$C$890:$AD$999,11,FALSE),0)</f>
        <v>0</v>
      </c>
      <c r="L110" s="362">
        <f>IFERROR(VLOOKUP(C110,'تقرير المصروفات حسب الشهر'!$C$1016:$AD$1126,11,FALSE),0)</f>
        <v>3.5</v>
      </c>
      <c r="M110" s="376">
        <f>IFERROR(VLOOKUP(C110,'تقرير المصروفات حسب الشهر'!$C$1143:$AD$1254,11,FALSE),0)</f>
        <v>0</v>
      </c>
      <c r="N110" s="376">
        <f>IFERROR(VLOOKUP(C110,'تقرير المصروفات حسب الشهر'!$C$1270:$AD$1381,11,FALSE),0)</f>
        <v>0</v>
      </c>
      <c r="O110" s="376">
        <f>IFERROR(VLOOKUP(C110,'تقرير المصروفات حسب الشهر'!$C$1397:$AD$1512,11,FALSE),0)</f>
        <v>0</v>
      </c>
      <c r="P110" s="364">
        <f t="shared" si="6"/>
        <v>7202.6600000000108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الشهر'!$C$10:$AD$119,11,FALSE),0)</f>
        <v>0</v>
      </c>
      <c r="E111" s="362">
        <f>IFERROR(VLOOKUP(C111,'تقرير المصروفات حسب الشهر'!$C$135:$AD$244,11,FALSE),0)</f>
        <v>0</v>
      </c>
      <c r="F111" s="362">
        <v>0</v>
      </c>
      <c r="G111" s="362">
        <f>IFERROR(VLOOKUP(C111,'تقرير المصروفات حسب الشهر'!$C$387:$AD$495,11,FALSE),0)</f>
        <v>0</v>
      </c>
      <c r="H111" s="362">
        <f>IFERROR(VLOOKUP(C111,'تقرير المصروفات حسب الشهر'!$C$512:$AD$620,11,FALSE),0)</f>
        <v>0</v>
      </c>
      <c r="I111" s="362">
        <f>IFERROR(VLOOKUP(C111,'تقرير المصروفات حسب الشهر'!$C$637:$AD$746,11,FALSE),0)</f>
        <v>0</v>
      </c>
      <c r="J111" s="362">
        <f>IFERROR(VLOOKUP(C111,'تقرير المصروفات حسب الشهر'!$C$763:$AD$872,11,FALSE),0)</f>
        <v>0</v>
      </c>
      <c r="K111" s="362">
        <f>IFERROR(VLOOKUP(C111,'تقرير المصروفات حسب الشهر'!$C$890:$AD$999,11,FALSE),0)</f>
        <v>0</v>
      </c>
      <c r="L111" s="362">
        <f>IFERROR(VLOOKUP(C111,'تقرير المصروفات حسب الشهر'!$C$1016:$AD$1126,11,FALSE),0)</f>
        <v>0</v>
      </c>
      <c r="M111" s="376">
        <f>IFERROR(VLOOKUP(C111,'تقرير المصروفات حسب الشهر'!$C$1143:$AD$1254,11,FALSE),0)</f>
        <v>0</v>
      </c>
      <c r="N111" s="376">
        <f>IFERROR(VLOOKUP(C111,'تقرير المصروفات حسب الشهر'!$C$1270:$AD$1381,11,FALSE),0)</f>
        <v>0</v>
      </c>
      <c r="O111" s="376">
        <f>IFERROR(VLOOKUP(C111,'تقرير المصروفات حسب الشهر'!$C$1397:$AD$1512,11,FALSE),0)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الشهر'!$C$10:$AD$119,11,FALSE),0)</f>
        <v>0</v>
      </c>
      <c r="E112" s="362">
        <f>IFERROR(VLOOKUP(C112,'تقرير المصروفات حسب الشهر'!$C$135:$AD$244,11,FALSE),0)</f>
        <v>0</v>
      </c>
      <c r="F112" s="362">
        <v>0</v>
      </c>
      <c r="G112" s="362">
        <f>IFERROR(VLOOKUP(C112,'تقرير المصروفات حسب الشهر'!$C$387:$AD$495,11,FALSE),0)</f>
        <v>157</v>
      </c>
      <c r="H112" s="362">
        <f>IFERROR(VLOOKUP(C112,'تقرير المصروفات حسب الشهر'!$C$512:$AD$620,11,FALSE),0)</f>
        <v>0</v>
      </c>
      <c r="I112" s="362">
        <f>IFERROR(VLOOKUP(C112,'تقرير المصروفات حسب الشهر'!$C$637:$AD$746,11,FALSE),0)</f>
        <v>0</v>
      </c>
      <c r="J112" s="362">
        <f>IFERROR(VLOOKUP(C112,'تقرير المصروفات حسب الشهر'!$C$763:$AD$872,11,FALSE),0)</f>
        <v>0</v>
      </c>
      <c r="K112" s="362">
        <f>IFERROR(VLOOKUP(C112,'تقرير المصروفات حسب الشهر'!$C$890:$AD$999,11,FALSE),0)</f>
        <v>0</v>
      </c>
      <c r="L112" s="362">
        <f>IFERROR(VLOOKUP(C112,'تقرير المصروفات حسب الشهر'!$C$1016:$AD$1126,11,FALSE),0)</f>
        <v>0</v>
      </c>
      <c r="M112" s="376">
        <f>IFERROR(VLOOKUP(C112,'تقرير المصروفات حسب الشهر'!$C$1143:$AD$1254,11,FALSE),0)</f>
        <v>0</v>
      </c>
      <c r="N112" s="376">
        <f>IFERROR(VLOOKUP(C112,'تقرير المصروفات حسب الشهر'!$C$1270:$AD$1381,11,FALSE),0)</f>
        <v>0</v>
      </c>
      <c r="O112" s="376">
        <f>IFERROR(VLOOKUP(C112,'تقرير المصروفات حسب الشهر'!$C$1397:$AD$1512,11,FALSE),0)</f>
        <v>0</v>
      </c>
      <c r="P112" s="364">
        <f t="shared" si="6"/>
        <v>157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الشهر'!$C$10:$AD$119,11,FALSE),0)</f>
        <v>0</v>
      </c>
      <c r="E113" s="362">
        <f>IFERROR(VLOOKUP(C113,'تقرير المصروفات حسب الشهر'!$C$135:$AD$244,11,FALSE),0)</f>
        <v>0</v>
      </c>
      <c r="F113" s="362">
        <v>0</v>
      </c>
      <c r="G113" s="362">
        <f>IFERROR(VLOOKUP(C113,'تقرير المصروفات حسب الشهر'!$C$387:$AD$495,11,FALSE),0)</f>
        <v>0</v>
      </c>
      <c r="H113" s="362">
        <f>IFERROR(VLOOKUP(C113,'تقرير المصروفات حسب الشهر'!$C$512:$AD$620,11,FALSE),0)</f>
        <v>0</v>
      </c>
      <c r="I113" s="362">
        <f>IFERROR(VLOOKUP(C113,'تقرير المصروفات حسب الشهر'!$C$637:$AD$746,11,FALSE),0)</f>
        <v>0</v>
      </c>
      <c r="J113" s="362">
        <f>IFERROR(VLOOKUP(C113,'تقرير المصروفات حسب الشهر'!$C$763:$AD$872,11,FALSE),0)</f>
        <v>0</v>
      </c>
      <c r="K113" s="362">
        <f>IFERROR(VLOOKUP(C113,'تقرير المصروفات حسب الشهر'!$C$890:$AD$999,11,FALSE),0)</f>
        <v>0</v>
      </c>
      <c r="L113" s="362">
        <f>IFERROR(VLOOKUP(C113,'تقرير المصروفات حسب الشهر'!$C$1016:$AD$1126,11,FALSE),0)</f>
        <v>0</v>
      </c>
      <c r="M113" s="376">
        <f>IFERROR(VLOOKUP(C113,'تقرير المصروفات حسب الشهر'!$C$1143:$AD$1254,11,FALSE),0)</f>
        <v>0</v>
      </c>
      <c r="N113" s="376">
        <f>IFERROR(VLOOKUP(C113,'تقرير المصروفات حسب الشهر'!$C$1270:$AD$1381,11,FALSE),0)</f>
        <v>0</v>
      </c>
      <c r="O113" s="376">
        <f>IFERROR(VLOOKUP(C113,'تقرير المصروفات حسب الشهر'!$C$1397:$AD$1512,11,FALSE),0)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الشهر'!$C$10:$AD$119,11,FALSE),0)</f>
        <v>0</v>
      </c>
      <c r="E114" s="362">
        <f>IFERROR(VLOOKUP(C114,'تقرير المصروفات حسب الشهر'!$C$135:$AD$244,11,FALSE),0)</f>
        <v>0</v>
      </c>
      <c r="F114" s="362">
        <v>0</v>
      </c>
      <c r="G114" s="362">
        <f>IFERROR(VLOOKUP(C114,'تقرير المصروفات حسب الشهر'!$C$387:$AD$495,11,FALSE),0)</f>
        <v>0</v>
      </c>
      <c r="H114" s="362">
        <f>IFERROR(VLOOKUP(C114,'تقرير المصروفات حسب الشهر'!$C$512:$AD$620,11,FALSE),0)</f>
        <v>0</v>
      </c>
      <c r="I114" s="362">
        <f>IFERROR(VLOOKUP(C114,'تقرير المصروفات حسب الشهر'!$C$637:$AD$746,11,FALSE),0)</f>
        <v>0</v>
      </c>
      <c r="J114" s="362">
        <f>IFERROR(VLOOKUP(C114,'تقرير المصروفات حسب الشهر'!$C$763:$AD$872,11,FALSE),0)</f>
        <v>0</v>
      </c>
      <c r="K114" s="362">
        <f>IFERROR(VLOOKUP(C114,'تقرير المصروفات حسب الشهر'!$C$890:$AD$999,11,FALSE),0)</f>
        <v>0</v>
      </c>
      <c r="L114" s="362">
        <f>IFERROR(VLOOKUP(C114,'تقرير المصروفات حسب الشهر'!$C$1016:$AD$1126,11,FALSE),0)</f>
        <v>0</v>
      </c>
      <c r="M114" s="376">
        <f>IFERROR(VLOOKUP(C114,'تقرير المصروفات حسب الشهر'!$C$1143:$AD$1254,11,FALSE),0)</f>
        <v>0</v>
      </c>
      <c r="N114" s="376">
        <f>IFERROR(VLOOKUP(C114,'تقرير المصروفات حسب الشهر'!$C$1270:$AD$1381,11,FALSE),0)</f>
        <v>0</v>
      </c>
      <c r="O114" s="376">
        <f>IFERROR(VLOOKUP(C114,'تقرير المصروفات حسب الشهر'!$C$1397:$AD$1512,11,FALSE),0)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الشهر'!$C$10:$AD$119,11,FALSE),0)</f>
        <v>0</v>
      </c>
      <c r="E115" s="362">
        <f>IFERROR(VLOOKUP(C115,'تقرير المصروفات حسب الشهر'!$C$135:$AD$244,11,FALSE),0)</f>
        <v>0</v>
      </c>
      <c r="F115" s="362">
        <v>0</v>
      </c>
      <c r="G115" s="362">
        <f>IFERROR(VLOOKUP(C115,'تقرير المصروفات حسب الشهر'!$C$387:$AD$495,11,FALSE),0)</f>
        <v>0</v>
      </c>
      <c r="H115" s="362">
        <f>IFERROR(VLOOKUP(C115,'تقرير المصروفات حسب الشهر'!$C$512:$AD$620,11,FALSE),0)</f>
        <v>0</v>
      </c>
      <c r="I115" s="362">
        <f>IFERROR(VLOOKUP(C115,'تقرير المصروفات حسب الشهر'!$C$637:$AD$746,11,FALSE),0)</f>
        <v>0</v>
      </c>
      <c r="J115" s="362">
        <f>IFERROR(VLOOKUP(C115,'تقرير المصروفات حسب الشهر'!$C$763:$AD$872,11,FALSE),0)</f>
        <v>0</v>
      </c>
      <c r="K115" s="362">
        <f>IFERROR(VLOOKUP(C115,'تقرير المصروفات حسب الشهر'!$C$890:$AD$999,11,FALSE),0)</f>
        <v>0</v>
      </c>
      <c r="L115" s="362">
        <f>IFERROR(VLOOKUP(C115,'تقرير المصروفات حسب الشهر'!$C$1016:$AD$1126,11,FALSE),0)</f>
        <v>0</v>
      </c>
      <c r="M115" s="376">
        <f>IFERROR(VLOOKUP(C115,'تقرير المصروفات حسب الشهر'!$C$1143:$AD$1254,11,FALSE),0)</f>
        <v>0</v>
      </c>
      <c r="N115" s="376">
        <f>IFERROR(VLOOKUP(C115,'تقرير المصروفات حسب الشهر'!$C$1270:$AD$1381,11,FALSE),0)</f>
        <v>0</v>
      </c>
      <c r="O115" s="376">
        <f>IFERROR(VLOOKUP(C115,'تقرير المصروفات حسب الشهر'!$C$1397:$AD$1512,11,FALSE),0)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الشهر'!$C$10:$AD$119,11,FALSE),0)</f>
        <v>0</v>
      </c>
      <c r="E116" s="362">
        <f>IFERROR(VLOOKUP(C116,'تقرير المصروفات حسب الشهر'!$C$135:$AD$244,11,FALSE),0)</f>
        <v>0</v>
      </c>
      <c r="F116" s="362">
        <v>0</v>
      </c>
      <c r="G116" s="362">
        <f>IFERROR(VLOOKUP(C116,'تقرير المصروفات حسب الشهر'!$C$387:$AD$495,11,FALSE),0)</f>
        <v>0</v>
      </c>
      <c r="H116" s="362">
        <f>IFERROR(VLOOKUP(C116,'تقرير المصروفات حسب الشهر'!$C$512:$AD$620,11,FALSE),0)</f>
        <v>0</v>
      </c>
      <c r="I116" s="362">
        <f>IFERROR(VLOOKUP(C116,'تقرير المصروفات حسب الشهر'!$C$637:$AD$746,11,FALSE),0)</f>
        <v>0</v>
      </c>
      <c r="J116" s="362">
        <f>IFERROR(VLOOKUP(C116,'تقرير المصروفات حسب الشهر'!$C$763:$AD$872,11,FALSE),0)</f>
        <v>0</v>
      </c>
      <c r="K116" s="362">
        <f>IFERROR(VLOOKUP(C116,'تقرير المصروفات حسب الشهر'!$C$890:$AD$999,11,FALSE),0)</f>
        <v>0</v>
      </c>
      <c r="L116" s="362">
        <f>IFERROR(VLOOKUP(C116,'تقرير المصروفات حسب الشهر'!$C$1016:$AD$1126,11,FALSE),0)</f>
        <v>0</v>
      </c>
      <c r="M116" s="376">
        <f>IFERROR(VLOOKUP(C116,'تقرير المصروفات حسب الشهر'!$C$1143:$AD$1254,11,FALSE),0)</f>
        <v>0</v>
      </c>
      <c r="N116" s="376">
        <f>IFERROR(VLOOKUP(C116,'تقرير المصروفات حسب الشهر'!$C$1270:$AD$1381,11,FALSE),0)</f>
        <v>0</v>
      </c>
      <c r="O116" s="376">
        <f>IFERROR(VLOOKUP(C116,'تقرير المصروفات حسب الشهر'!$C$1397:$AD$1512,11,FALSE),0)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الشهر'!$C$10:$AD$119,11,FALSE),0)</f>
        <v>0</v>
      </c>
      <c r="E117" s="362">
        <f>IFERROR(VLOOKUP(C117,'تقرير المصروفات حسب الشهر'!$C$135:$AD$244,11,FALSE),0)</f>
        <v>0</v>
      </c>
      <c r="F117" s="362">
        <v>0</v>
      </c>
      <c r="G117" s="362">
        <f>IFERROR(VLOOKUP(C117,'تقرير المصروفات حسب الشهر'!$C$387:$AD$495,11,FALSE),0)</f>
        <v>0</v>
      </c>
      <c r="H117" s="362">
        <f>IFERROR(VLOOKUP(C117,'تقرير المصروفات حسب الشهر'!$C$512:$AD$620,11,FALSE),0)</f>
        <v>0</v>
      </c>
      <c r="I117" s="362">
        <f>IFERROR(VLOOKUP(C117,'تقرير المصروفات حسب الشهر'!$C$637:$AD$746,11,FALSE),0)</f>
        <v>0</v>
      </c>
      <c r="J117" s="362">
        <f>IFERROR(VLOOKUP(C117,'تقرير المصروفات حسب الشهر'!$C$763:$AD$872,11,FALSE),0)</f>
        <v>0</v>
      </c>
      <c r="K117" s="362">
        <f>IFERROR(VLOOKUP(C117,'تقرير المصروفات حسب الشهر'!$C$890:$AD$999,11,FALSE),0)</f>
        <v>0</v>
      </c>
      <c r="L117" s="362">
        <f>IFERROR(VLOOKUP(C117,'تقرير المصروفات حسب الشهر'!$C$1016:$AD$1126,11,FALSE),0)</f>
        <v>0</v>
      </c>
      <c r="M117" s="376">
        <f>IFERROR(VLOOKUP(C117,'تقرير المصروفات حسب الشهر'!$C$1143:$AD$1254,11,FALSE),0)</f>
        <v>0</v>
      </c>
      <c r="N117" s="376">
        <f>IFERROR(VLOOKUP(C117,'تقرير المصروفات حسب الشهر'!$C$1270:$AD$1381,11,FALSE),0)</f>
        <v>0</v>
      </c>
      <c r="O117" s="376">
        <f>IFERROR(VLOOKUP(C117,'تقرير المصروفات حسب الشهر'!$C$1397:$AD$1512,11,FALSE),0)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الشهر'!$C$10:$AD$119,11,FALSE),0)</f>
        <v>0</v>
      </c>
      <c r="E118" s="362">
        <f>IFERROR(VLOOKUP(C118,'تقرير المصروفات حسب الشهر'!$C$135:$AD$244,11,FALSE),0)</f>
        <v>0</v>
      </c>
      <c r="F118" s="362">
        <v>0</v>
      </c>
      <c r="G118" s="362">
        <f>IFERROR(VLOOKUP(C118,'تقرير المصروفات حسب الشهر'!$C$387:$AD$495,11,FALSE),0)</f>
        <v>0</v>
      </c>
      <c r="H118" s="362">
        <f>IFERROR(VLOOKUP(C118,'تقرير المصروفات حسب الشهر'!$C$512:$AD$620,11,FALSE),0)</f>
        <v>0</v>
      </c>
      <c r="I118" s="362">
        <f>IFERROR(VLOOKUP(C118,'تقرير المصروفات حسب الشهر'!$C$637:$AD$746,11,FALSE),0)</f>
        <v>0</v>
      </c>
      <c r="J118" s="362">
        <f>IFERROR(VLOOKUP(C118,'تقرير المصروفات حسب الشهر'!$C$763:$AD$872,11,FALSE),0)</f>
        <v>0</v>
      </c>
      <c r="K118" s="362">
        <f>IFERROR(VLOOKUP(C118,'تقرير المصروفات حسب الشهر'!$C$890:$AD$999,11,FALSE),0)</f>
        <v>0</v>
      </c>
      <c r="L118" s="362">
        <f>IFERROR(VLOOKUP(C118,'تقرير المصروفات حسب الشهر'!$C$1016:$AD$1126,11,FALSE),0)</f>
        <v>0</v>
      </c>
      <c r="M118" s="376">
        <f>IFERROR(VLOOKUP(C118,'تقرير المصروفات حسب الشهر'!$C$1143:$AD$1254,11,FALSE),0)</f>
        <v>0</v>
      </c>
      <c r="N118" s="376">
        <f>IFERROR(VLOOKUP(C118,'تقرير المصروفات حسب الشهر'!$C$1270:$AD$1381,11,FALSE),0)</f>
        <v>0</v>
      </c>
      <c r="O118" s="376">
        <f>IFERROR(VLOOKUP(C118,'تقرير المصروفات حسب الشهر'!$C$1397:$AD$1512,11,FALSE),0)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الشهر'!$C$10:$AD$119,11,FALSE),0)</f>
        <v>0</v>
      </c>
      <c r="E119" s="362">
        <f>IFERROR(VLOOKUP(C119,'تقرير المصروفات حسب الشهر'!$C$135:$AD$244,11,FALSE),0)</f>
        <v>187</v>
      </c>
      <c r="F119" s="362">
        <v>0</v>
      </c>
      <c r="G119" s="362">
        <f>IFERROR(VLOOKUP(C119,'تقرير المصروفات حسب الشهر'!$C$387:$AD$495,11,FALSE),0)</f>
        <v>0</v>
      </c>
      <c r="H119" s="362">
        <f>IFERROR(VLOOKUP(C119,'تقرير المصروفات حسب الشهر'!$C$512:$AD$620,11,FALSE),0)</f>
        <v>365</v>
      </c>
      <c r="I119" s="362">
        <f>IFERROR(VLOOKUP(C119,'تقرير المصروفات حسب الشهر'!$C$637:$AD$746,11,FALSE),0)</f>
        <v>291.43</v>
      </c>
      <c r="J119" s="362">
        <f>IFERROR(VLOOKUP(C119,'تقرير المصروفات حسب الشهر'!$C$763:$AD$872,11,FALSE),0)</f>
        <v>190</v>
      </c>
      <c r="K119" s="362">
        <f>IFERROR(VLOOKUP(C119,'تقرير المصروفات حسب الشهر'!$C$890:$AD$999,11,FALSE),0)</f>
        <v>97</v>
      </c>
      <c r="L119" s="362">
        <f>IFERROR(VLOOKUP(C119,'تقرير المصروفات حسب الشهر'!$C$1016:$AD$1126,11,FALSE),0)</f>
        <v>0</v>
      </c>
      <c r="M119" s="376">
        <f>IFERROR(VLOOKUP(C119,'تقرير المصروفات حسب الشهر'!$C$1143:$AD$1254,11,FALSE),0)</f>
        <v>0</v>
      </c>
      <c r="N119" s="376">
        <f>IFERROR(VLOOKUP(C119,'تقرير المصروفات حسب الشهر'!$C$1270:$AD$1381,11,FALSE),0)</f>
        <v>0</v>
      </c>
      <c r="O119" s="376">
        <f>IFERROR(VLOOKUP(C119,'تقرير المصروفات حسب الشهر'!$C$1397:$AD$1512,11,FALSE),0)</f>
        <v>155</v>
      </c>
      <c r="P119" s="364">
        <f t="shared" si="6"/>
        <v>1285.43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الشهر'!$C$10:$AD$119,11,FALSE),0)</f>
        <v>0</v>
      </c>
      <c r="E120" s="362">
        <f>IFERROR(VLOOKUP(C120,'تقرير المصروفات حسب الشهر'!$C$135:$AD$244,11,FALSE),0)</f>
        <v>0</v>
      </c>
      <c r="F120" s="362">
        <v>0</v>
      </c>
      <c r="G120" s="362">
        <f>IFERROR(VLOOKUP(C120,'تقرير المصروفات حسب الشهر'!$C$387:$AD$495,11,FALSE),0)</f>
        <v>0</v>
      </c>
      <c r="H120" s="362">
        <f>IFERROR(VLOOKUP(C120,'تقرير المصروفات حسب الشهر'!$C$512:$AD$620,11,FALSE),0)</f>
        <v>0</v>
      </c>
      <c r="I120" s="362">
        <f>IFERROR(VLOOKUP(C120,'تقرير المصروفات حسب الشهر'!$C$637:$AD$746,11,FALSE),0)</f>
        <v>0</v>
      </c>
      <c r="J120" s="362">
        <f>IFERROR(VLOOKUP(C120,'تقرير المصروفات حسب الشهر'!$C$763:$AD$872,11,FALSE),0)</f>
        <v>0</v>
      </c>
      <c r="K120" s="362">
        <f>IFERROR(VLOOKUP(C120,'تقرير المصروفات حسب الشهر'!$C$890:$AD$999,11,FALSE),0)</f>
        <v>0</v>
      </c>
      <c r="L120" s="362">
        <f>IFERROR(VLOOKUP(C120,'تقرير المصروفات حسب الشهر'!$C$1016:$AD$1126,11,FALSE),0)</f>
        <v>0</v>
      </c>
      <c r="M120" s="376">
        <f>IFERROR(VLOOKUP(C120,'تقرير المصروفات حسب الشهر'!$C$1143:$AD$1254,11,FALSE),0)</f>
        <v>0</v>
      </c>
      <c r="N120" s="376">
        <f>IFERROR(VLOOKUP(C120,'تقرير المصروفات حسب الشهر'!$C$1270:$AD$1381,11,FALSE),0)</f>
        <v>0</v>
      </c>
      <c r="O120" s="376">
        <f>IFERROR(VLOOKUP(C120,'تقرير المصروفات حسب الشهر'!$C$1397:$AD$1512,11,FALSE),0)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الشهر'!$C$10:$AD$119,11,FALSE),0)</f>
        <v>0</v>
      </c>
      <c r="E121" s="362">
        <f>IFERROR(VLOOKUP(C121,'تقرير المصروفات حسب الشهر'!$C$135:$AD$244,11,FALSE),0)</f>
        <v>0</v>
      </c>
      <c r="F121" s="362">
        <v>0</v>
      </c>
      <c r="G121" s="362">
        <f>IFERROR(VLOOKUP(C121,'تقرير المصروفات حسب الشهر'!$C$387:$AD$495,11,FALSE),0)</f>
        <v>0</v>
      </c>
      <c r="H121" s="362">
        <f>IFERROR(VLOOKUP(C121,'تقرير المصروفات حسب الشهر'!$C$512:$AD$620,11,FALSE),0)</f>
        <v>0</v>
      </c>
      <c r="I121" s="362">
        <f>IFERROR(VLOOKUP(C121,'تقرير المصروفات حسب الشهر'!$C$637:$AD$746,11,FALSE),0)</f>
        <v>0</v>
      </c>
      <c r="J121" s="362">
        <f>IFERROR(VLOOKUP(C121,'تقرير المصروفات حسب الشهر'!$C$763:$AD$872,11,FALSE),0)</f>
        <v>0</v>
      </c>
      <c r="K121" s="362">
        <f>IFERROR(VLOOKUP(C121,'تقرير المصروفات حسب الشهر'!$C$890:$AD$999,11,FALSE),0)</f>
        <v>0</v>
      </c>
      <c r="L121" s="362">
        <f>IFERROR(VLOOKUP(C121,'تقرير المصروفات حسب الشهر'!$C$1016:$AD$1126,11,FALSE),0)</f>
        <v>0</v>
      </c>
      <c r="M121" s="376">
        <f>IFERROR(VLOOKUP(C121,'تقرير المصروفات حسب الشهر'!$C$1143:$AD$1254,11,FALSE),0)</f>
        <v>0</v>
      </c>
      <c r="N121" s="376">
        <f>IFERROR(VLOOKUP(C121,'تقرير المصروفات حسب الشهر'!$C$1270:$AD$1381,11,FALSE),0)</f>
        <v>0</v>
      </c>
      <c r="O121" s="376">
        <f>IFERROR(VLOOKUP(C121,'تقرير المصروفات حسب الشهر'!$C$1397:$AD$1512,11,FALSE),0)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الشهر'!$C$10:$AD$119,11,FALSE),0)</f>
        <v>0</v>
      </c>
      <c r="E122" s="362">
        <f>IFERROR(VLOOKUP(C122,'تقرير المصروفات حسب الشهر'!$C$135:$AD$244,11,FALSE),0)</f>
        <v>0</v>
      </c>
      <c r="F122" s="362">
        <v>0</v>
      </c>
      <c r="G122" s="362">
        <f>IFERROR(VLOOKUP(C122,'تقرير المصروفات حسب الشهر'!$C$387:$AD$495,11,FALSE),0)</f>
        <v>0</v>
      </c>
      <c r="H122" s="362">
        <f>IFERROR(VLOOKUP(C122,'تقرير المصروفات حسب الشهر'!$C$512:$AD$620,11,FALSE),0)</f>
        <v>0</v>
      </c>
      <c r="I122" s="362">
        <f>IFERROR(VLOOKUP(C122,'تقرير المصروفات حسب الشهر'!$C$637:$AD$746,11,FALSE),0)</f>
        <v>0</v>
      </c>
      <c r="J122" s="362">
        <f>IFERROR(VLOOKUP(C122,'تقرير المصروفات حسب الشهر'!$C$763:$AD$872,11,FALSE),0)</f>
        <v>0</v>
      </c>
      <c r="K122" s="362">
        <f>IFERROR(VLOOKUP(C122,'تقرير المصروفات حسب الشهر'!$C$890:$AD$999,11,FALSE),0)</f>
        <v>0</v>
      </c>
      <c r="L122" s="362">
        <f>IFERROR(VLOOKUP(C122,'تقرير المصروفات حسب الشهر'!$C$1016:$AD$1126,11,FALSE),0)</f>
        <v>0</v>
      </c>
      <c r="M122" s="376">
        <f>IFERROR(VLOOKUP(C122,'تقرير المصروفات حسب الشهر'!$C$1143:$AD$1254,11,FALSE),0)</f>
        <v>0</v>
      </c>
      <c r="N122" s="376">
        <f>IFERROR(VLOOKUP(C122,'تقرير المصروفات حسب الشهر'!$C$1270:$AD$1381,11,FALSE),0)</f>
        <v>0</v>
      </c>
      <c r="O122" s="376">
        <f>IFERROR(VLOOKUP(C122,'تقرير المصروفات حسب الشهر'!$C$1397:$AD$1512,11,FALSE),0)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الشهر'!$C$10:$AD$119,11,FALSE),0)</f>
        <v>0</v>
      </c>
      <c r="E123" s="362">
        <f>IFERROR(VLOOKUP(C123,'تقرير المصروفات حسب الشهر'!$C$135:$AD$244,11,FALSE),0)</f>
        <v>0</v>
      </c>
      <c r="F123" s="362">
        <v>0</v>
      </c>
      <c r="G123" s="362">
        <f>IFERROR(VLOOKUP(C123,'تقرير المصروفات حسب الشهر'!$C$387:$AD$495,11,FALSE),0)</f>
        <v>0</v>
      </c>
      <c r="H123" s="362">
        <f>IFERROR(VLOOKUP(C123,'تقرير المصروفات حسب الشهر'!$C$512:$AD$620,11,FALSE),0)</f>
        <v>0</v>
      </c>
      <c r="I123" s="362">
        <f>IFERROR(VLOOKUP(C123,'تقرير المصروفات حسب الشهر'!$C$637:$AD$746,11,FALSE),0)</f>
        <v>0</v>
      </c>
      <c r="J123" s="362">
        <f>IFERROR(VLOOKUP(C123,'تقرير المصروفات حسب الشهر'!$C$763:$AD$872,11,FALSE),0)</f>
        <v>0</v>
      </c>
      <c r="K123" s="362">
        <f>IFERROR(VLOOKUP(C123,'تقرير المصروفات حسب الشهر'!$C$890:$AD$999,11,FALSE),0)</f>
        <v>0</v>
      </c>
      <c r="L123" s="362">
        <f>IFERROR(VLOOKUP(C123,'تقرير المصروفات حسب الشهر'!$C$1016:$AD$1126,11,FALSE),0)</f>
        <v>0</v>
      </c>
      <c r="M123" s="376">
        <f>IFERROR(VLOOKUP(C123,'تقرير المصروفات حسب الشهر'!$C$1143:$AD$1254,11,FALSE),0)</f>
        <v>0</v>
      </c>
      <c r="N123" s="376">
        <f>IFERROR(VLOOKUP(C123,'تقرير المصروفات حسب الشهر'!$C$1270:$AD$1381,11,FALSE),0)</f>
        <v>0</v>
      </c>
      <c r="O123" s="376">
        <f>IFERROR(VLOOKUP(C123,'تقرير المصروفات حسب الشهر'!$C$1397:$AD$1512,11,FALSE),0)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الشهر'!$C$10:$AD$119,11,FALSE),0)</f>
        <v>0</v>
      </c>
      <c r="E124" s="362">
        <f>IFERROR(VLOOKUP(C124,'تقرير المصروفات حسب الشهر'!$C$135:$AD$244,11,FALSE),0)</f>
        <v>0</v>
      </c>
      <c r="F124" s="362">
        <v>0</v>
      </c>
      <c r="G124" s="362">
        <f>IFERROR(VLOOKUP(C124,'تقرير المصروفات حسب الشهر'!$C$387:$AD$495,11,FALSE),0)</f>
        <v>0</v>
      </c>
      <c r="H124" s="362">
        <f>IFERROR(VLOOKUP(C124,'تقرير المصروفات حسب الشهر'!$C$512:$AD$620,11,FALSE),0)</f>
        <v>0</v>
      </c>
      <c r="I124" s="362">
        <f>IFERROR(VLOOKUP(C124,'تقرير المصروفات حسب الشهر'!$C$637:$AD$746,11,FALSE),0)</f>
        <v>0</v>
      </c>
      <c r="J124" s="362">
        <f>IFERROR(VLOOKUP(C124,'تقرير المصروفات حسب الشهر'!$C$763:$AD$872,11,FALSE),0)</f>
        <v>0</v>
      </c>
      <c r="K124" s="362">
        <f>IFERROR(VLOOKUP(C124,'تقرير المصروفات حسب الشهر'!$C$890:$AD$999,11,FALSE),0)</f>
        <v>0</v>
      </c>
      <c r="L124" s="362">
        <f>IFERROR(VLOOKUP(C124,'تقرير المصروفات حسب الشهر'!$C$1016:$AD$1126,11,FALSE),0)</f>
        <v>0</v>
      </c>
      <c r="M124" s="376">
        <f>IFERROR(VLOOKUP(C124,'تقرير المصروفات حسب الشهر'!$C$1143:$AD$1254,11,FALSE),0)</f>
        <v>0</v>
      </c>
      <c r="N124" s="376">
        <f>IFERROR(VLOOKUP(C124,'تقرير المصروفات حسب الشهر'!$C$1270:$AD$1381,11,FALSE),0)</f>
        <v>0</v>
      </c>
      <c r="O124" s="376">
        <f>IFERROR(VLOOKUP(C124,'تقرير المصروفات حسب الشهر'!$C$1397:$AD$1512,11,FALSE),0)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الشهر'!$C$10:$AD$119,11,FALSE),0)</f>
        <v>0</v>
      </c>
      <c r="E125" s="362">
        <f>IFERROR(VLOOKUP(C125,'تقرير المصروفات حسب الشهر'!$C$135:$AD$244,11,FALSE),0)</f>
        <v>0</v>
      </c>
      <c r="F125" s="362">
        <v>0</v>
      </c>
      <c r="G125" s="362">
        <f>IFERROR(VLOOKUP(C125,'تقرير المصروفات حسب الشهر'!$C$387:$AD$495,11,FALSE),0)</f>
        <v>0</v>
      </c>
      <c r="H125" s="362">
        <f>IFERROR(VLOOKUP(C125,'تقرير المصروفات حسب الشهر'!$C$512:$AD$620,11,FALSE),0)</f>
        <v>0</v>
      </c>
      <c r="I125" s="362">
        <f>IFERROR(VLOOKUP(C125,'تقرير المصروفات حسب الشهر'!$C$637:$AD$746,11,FALSE),0)</f>
        <v>0</v>
      </c>
      <c r="J125" s="362">
        <f>IFERROR(VLOOKUP(C125,'تقرير المصروفات حسب الشهر'!$C$763:$AD$872,11,FALSE),0)</f>
        <v>0</v>
      </c>
      <c r="K125" s="362">
        <f>IFERROR(VLOOKUP(C125,'تقرير المصروفات حسب الشهر'!$C$890:$AD$999,11,FALSE),0)</f>
        <v>0</v>
      </c>
      <c r="L125" s="362">
        <f>IFERROR(VLOOKUP(C125,'تقرير المصروفات حسب الشهر'!$C$1016:$AD$1126,11,FALSE),0)</f>
        <v>0</v>
      </c>
      <c r="M125" s="376">
        <f>IFERROR(VLOOKUP(C125,'تقرير المصروفات حسب الشهر'!$C$1143:$AD$1254,11,FALSE),0)</f>
        <v>0</v>
      </c>
      <c r="N125" s="376">
        <f>IFERROR(VLOOKUP(C125,'تقرير المصروفات حسب الشهر'!$C$1270:$AD$1381,11,FALSE),0)</f>
        <v>0</v>
      </c>
      <c r="O125" s="376">
        <f>IFERROR(VLOOKUP(C125,'تقرير المصروفات حسب الشهر'!$C$1397:$AD$1512,11,FALSE),0)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الشهر'!$C$10:$AD$119,11,FALSE),0)</f>
        <v>0</v>
      </c>
      <c r="E126" s="362">
        <f>IFERROR(VLOOKUP(C126,'تقرير المصروفات حسب الشهر'!$C$135:$AD$244,11,FALSE),0)</f>
        <v>0</v>
      </c>
      <c r="F126" s="362">
        <v>0</v>
      </c>
      <c r="G126" s="362">
        <f>IFERROR(VLOOKUP(C126,'تقرير المصروفات حسب الشهر'!$C$387:$AD$495,11,FALSE),0)</f>
        <v>0</v>
      </c>
      <c r="H126" s="362">
        <f>IFERROR(VLOOKUP(C126,'تقرير المصروفات حسب الشهر'!$C$512:$AD$620,11,FALSE),0)</f>
        <v>0</v>
      </c>
      <c r="I126" s="362">
        <f>IFERROR(VLOOKUP(C126,'تقرير المصروفات حسب الشهر'!$C$637:$AD$746,11,FALSE),0)</f>
        <v>0</v>
      </c>
      <c r="J126" s="362">
        <f>IFERROR(VLOOKUP(C126,'تقرير المصروفات حسب الشهر'!$C$763:$AD$872,11,FALSE),0)</f>
        <v>0</v>
      </c>
      <c r="K126" s="362">
        <f>IFERROR(VLOOKUP(C126,'تقرير المصروفات حسب الشهر'!$C$890:$AD$999,11,FALSE),0)</f>
        <v>0</v>
      </c>
      <c r="L126" s="362">
        <f>IFERROR(VLOOKUP(C126,'تقرير المصروفات حسب الشهر'!$C$1016:$AD$1126,11,FALSE),0)</f>
        <v>0</v>
      </c>
      <c r="M126" s="376">
        <f>IFERROR(VLOOKUP(C126,'تقرير المصروفات حسب الشهر'!$C$1143:$AD$1254,11,FALSE),0)</f>
        <v>0</v>
      </c>
      <c r="N126" s="376">
        <f>IFERROR(VLOOKUP(C126,'تقرير المصروفات حسب الشهر'!$C$1270:$AD$1381,11,FALSE),0)</f>
        <v>0</v>
      </c>
      <c r="O126" s="376">
        <f>IFERROR(VLOOKUP(C126,'تقرير المصروفات حسب الشهر'!$C$1397:$AD$1512,11,FALSE),0)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الشهر'!$C$10:$AD$119,11,FALSE),0)</f>
        <v>0</v>
      </c>
      <c r="E127" s="362">
        <f>IFERROR(VLOOKUP(C127,'تقرير المصروفات حسب الشهر'!$C$135:$AD$244,11,FALSE),0)</f>
        <v>0</v>
      </c>
      <c r="F127" s="362">
        <v>0</v>
      </c>
      <c r="G127" s="362">
        <f>IFERROR(VLOOKUP(C127,'تقرير المصروفات حسب الشهر'!$C$387:$AD$495,11,FALSE),0)</f>
        <v>0</v>
      </c>
      <c r="H127" s="362">
        <f>IFERROR(VLOOKUP(C127,'تقرير المصروفات حسب الشهر'!$C$512:$AD$620,11,FALSE),0)</f>
        <v>0</v>
      </c>
      <c r="I127" s="362">
        <f>IFERROR(VLOOKUP(C127,'تقرير المصروفات حسب الشهر'!$C$637:$AD$746,11,FALSE),0)</f>
        <v>0</v>
      </c>
      <c r="J127" s="362">
        <f>IFERROR(VLOOKUP(C127,'تقرير المصروفات حسب الشهر'!$C$763:$AD$872,11,FALSE),0)</f>
        <v>0</v>
      </c>
      <c r="K127" s="362">
        <f>IFERROR(VLOOKUP(C127,'تقرير المصروفات حسب الشهر'!$C$890:$AD$999,11,FALSE),0)</f>
        <v>0</v>
      </c>
      <c r="L127" s="362">
        <f>IFERROR(VLOOKUP(C127,'تقرير المصروفات حسب الشهر'!$C$1016:$AD$1126,11,FALSE),0)</f>
        <v>0</v>
      </c>
      <c r="M127" s="376">
        <f>IFERROR(VLOOKUP(C127,'تقرير المصروفات حسب الشهر'!$C$1143:$AD$1254,11,FALSE),0)</f>
        <v>0</v>
      </c>
      <c r="N127" s="376">
        <f>IFERROR(VLOOKUP(C127,'تقرير المصروفات حسب الشهر'!$C$1270:$AD$1381,11,FALSE),0)</f>
        <v>0</v>
      </c>
      <c r="O127" s="376">
        <f>IFERROR(VLOOKUP(C127,'تقرير المصروفات حسب الشهر'!$C$1397:$AD$1512,11,FALSE),0)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الشهر'!$C$10:$AD$119,11,FALSE),0)</f>
        <v>0</v>
      </c>
      <c r="E128" s="362">
        <f>IFERROR(VLOOKUP(C128,'تقرير المصروفات حسب الشهر'!$C$135:$AD$244,11,FALSE),0)</f>
        <v>0</v>
      </c>
      <c r="F128" s="362">
        <v>0</v>
      </c>
      <c r="G128" s="362">
        <f>IFERROR(VLOOKUP(C128,'تقرير المصروفات حسب الشهر'!$C$387:$AD$495,11,FALSE),0)</f>
        <v>0</v>
      </c>
      <c r="H128" s="362">
        <f>IFERROR(VLOOKUP(C128,'تقرير المصروفات حسب الشهر'!$C$512:$AD$620,11,FALSE),0)</f>
        <v>0</v>
      </c>
      <c r="I128" s="362">
        <f>IFERROR(VLOOKUP(C128,'تقرير المصروفات حسب الشهر'!$C$637:$AD$746,11,FALSE),0)</f>
        <v>0</v>
      </c>
      <c r="J128" s="362">
        <f>IFERROR(VLOOKUP(C128,'تقرير المصروفات حسب الشهر'!$C$763:$AD$872,11,FALSE),0)</f>
        <v>0</v>
      </c>
      <c r="K128" s="362">
        <f>IFERROR(VLOOKUP(C128,'تقرير المصروفات حسب الشهر'!$C$890:$AD$999,11,FALSE),0)</f>
        <v>0</v>
      </c>
      <c r="L128" s="362">
        <f>IFERROR(VLOOKUP(C128,'تقرير المصروفات حسب الشهر'!$C$1016:$AD$1126,11,FALSE),0)</f>
        <v>0</v>
      </c>
      <c r="M128" s="376">
        <f>IFERROR(VLOOKUP(C128,'تقرير المصروفات حسب الشهر'!$C$1143:$AD$1254,11,FALSE),0)</f>
        <v>0</v>
      </c>
      <c r="N128" s="376">
        <f>IFERROR(VLOOKUP(C128,'تقرير المصروفات حسب الشهر'!$C$1270:$AD$1381,11,FALSE),0)</f>
        <v>0</v>
      </c>
      <c r="O128" s="376">
        <f>IFERROR(VLOOKUP(C128,'تقرير المصروفات حسب الشهر'!$C$1397:$AD$1512,11,FALSE),0)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الشهر'!$C$10:$AD$119,11,FALSE),0)</f>
        <v>1293.75</v>
      </c>
      <c r="E129" s="362">
        <f>IFERROR(VLOOKUP(C129,'تقرير المصروفات حسب الشهر'!$C$135:$AD$244,11,FALSE),0)</f>
        <v>1293.75</v>
      </c>
      <c r="F129" s="362">
        <v>1293.75</v>
      </c>
      <c r="G129" s="362">
        <f>IFERROR(VLOOKUP(C129,'تقرير المصروفات حسب الشهر'!$C$387:$AD$495,11,FALSE),0)</f>
        <v>1293.75</v>
      </c>
      <c r="H129" s="362">
        <f>IFERROR(VLOOKUP(C129,'تقرير المصروفات حسب الشهر'!$C$512:$AD$620,11,FALSE),0)</f>
        <v>1293.75</v>
      </c>
      <c r="I129" s="362">
        <f>IFERROR(VLOOKUP(C129,'تقرير المصروفات حسب الشهر'!$C$637:$AD$746,11,FALSE),0)</f>
        <v>1294</v>
      </c>
      <c r="J129" s="362">
        <f>IFERROR(VLOOKUP(C129,'تقرير المصروفات حسب الشهر'!$C$763:$AD$872,11,FALSE),0)</f>
        <v>1293.75</v>
      </c>
      <c r="K129" s="362">
        <f>IFERROR(VLOOKUP(C129,'تقرير المصروفات حسب الشهر'!$C$890:$AD$999,11,FALSE),0)</f>
        <v>1293.75</v>
      </c>
      <c r="L129" s="362">
        <f>IFERROR(VLOOKUP(C129,'تقرير المصروفات حسب الشهر'!$C$1016:$AD$1126,11,FALSE),0)</f>
        <v>1293.75</v>
      </c>
      <c r="M129" s="376">
        <f>IFERROR(VLOOKUP(C129,'تقرير المصروفات حسب الشهر'!$C$1143:$AD$1254,11,FALSE),0)</f>
        <v>1293.75</v>
      </c>
      <c r="N129" s="376">
        <f>IFERROR(VLOOKUP(C129,'تقرير المصروفات حسب الشهر'!$C$1270:$AD$1381,11,FALSE),0)</f>
        <v>1293.75</v>
      </c>
      <c r="O129" s="376">
        <f>IFERROR(VLOOKUP(C129,'تقرير المصروفات حسب الشهر'!$C$1397:$AD$1512,11,FALSE),0)</f>
        <v>1293.75</v>
      </c>
      <c r="P129" s="364">
        <f t="shared" si="6"/>
        <v>15525.25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الشهر'!$C$10:$AD$119,11,FALSE),0)</f>
        <v>0</v>
      </c>
      <c r="E130" s="362">
        <f>IFERROR(VLOOKUP(C130,'تقرير المصروفات حسب الشهر'!$C$135:$AD$244,11,FALSE),0)</f>
        <v>0</v>
      </c>
      <c r="F130" s="362">
        <v>0</v>
      </c>
      <c r="G130" s="362">
        <f>IFERROR(VLOOKUP(C130,'تقرير المصروفات حسب الشهر'!$C$387:$AD$495,11,FALSE),0)</f>
        <v>0</v>
      </c>
      <c r="H130" s="362">
        <f>IFERROR(VLOOKUP(C130,'تقرير المصروفات حسب الشهر'!$C$512:$AD$620,11,FALSE),0)</f>
        <v>0</v>
      </c>
      <c r="I130" s="362">
        <f>IFERROR(VLOOKUP(C130,'تقرير المصروفات حسب الشهر'!$C$637:$AD$746,11,FALSE),0)</f>
        <v>0</v>
      </c>
      <c r="J130" s="362">
        <f>IFERROR(VLOOKUP(C130,'تقرير المصروفات حسب الشهر'!$C$763:$AD$872,11,FALSE),0)</f>
        <v>0</v>
      </c>
      <c r="K130" s="362">
        <f>IFERROR(VLOOKUP(C130,'تقرير المصروفات حسب الشهر'!$C$890:$AD$999,11,FALSE),0)</f>
        <v>0</v>
      </c>
      <c r="L130" s="362">
        <f>IFERROR(VLOOKUP(C130,'تقرير المصروفات حسب الشهر'!$C$1016:$AI$1131,11,FALSE),0)</f>
        <v>0</v>
      </c>
      <c r="M130" s="376">
        <f>IFERROR(VLOOKUP(C130,'تقرير المصروفات حسب الشهر'!$C$1143:$AD$1254,11,FALSE),0)</f>
        <v>0</v>
      </c>
      <c r="N130" s="376">
        <f>IFERROR(VLOOKUP(C130,'تقرير المصروفات حسب الشهر'!$C$1270:$AD$1381,11,FALSE),0)</f>
        <v>0</v>
      </c>
      <c r="O130" s="376">
        <f>IFERROR(VLOOKUP(C130,'تقرير المصروفات حسب الشهر'!$C$1397:$AD$1512,11,FALSE),0)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الشهر'!$C$10:$AD$119,11,FALSE),0)</f>
        <v>0</v>
      </c>
      <c r="E131" s="362">
        <f>IFERROR(VLOOKUP(C131,'تقرير المصروفات حسب الشهر'!$C$135:$AD$244,11,FALSE),0)</f>
        <v>0</v>
      </c>
      <c r="F131" s="362">
        <v>0</v>
      </c>
      <c r="G131" s="362">
        <f>IFERROR(VLOOKUP(C131,'تقرير المصروفات حسب الشهر'!$C$387:$AD$495,11,FALSE),0)</f>
        <v>0</v>
      </c>
      <c r="H131" s="362">
        <f>IFERROR(VLOOKUP(C131,'تقرير المصروفات حسب الشهر'!$C$512:$AD$620,11,FALSE),0)</f>
        <v>0</v>
      </c>
      <c r="I131" s="362">
        <f>IFERROR(VLOOKUP(C131,'تقرير المصروفات حسب الشهر'!$C$637:$AD$746,11,FALSE),0)</f>
        <v>0</v>
      </c>
      <c r="J131" s="362">
        <f>IFERROR(VLOOKUP(C131,'تقرير المصروفات حسب الشهر'!$C$763:$AD$872,11,FALSE),0)</f>
        <v>0</v>
      </c>
      <c r="K131" s="362">
        <f>IFERROR(VLOOKUP(C131,'تقرير المصروفات حسب الشهر'!$C$890:$AD$999,11,FALSE),0)</f>
        <v>0</v>
      </c>
      <c r="L131" s="362">
        <f>IFERROR(VLOOKUP(C131,'تقرير المصروفات حسب الشهر'!$C$1016:$AI$1131,11,FALSE),0)</f>
        <v>0</v>
      </c>
      <c r="M131" s="376">
        <f>IFERROR(VLOOKUP(C131,'تقرير المصروفات حسب الشهر'!$C$1143:$AD$1254,11,FALSE),0)</f>
        <v>0</v>
      </c>
      <c r="N131" s="376">
        <f>IFERROR(VLOOKUP(C131,'تقرير المصروفات حسب الشهر'!$C$1270:$AD$1381,11,FALSE),0)</f>
        <v>0</v>
      </c>
      <c r="O131" s="376">
        <f>IFERROR(VLOOKUP(C131,'تقرير المصروفات حسب الشهر'!$C$1397:$AD$1512,11,FALSE),0)</f>
        <v>0</v>
      </c>
      <c r="P131" s="364">
        <f t="shared" si="6"/>
        <v>0</v>
      </c>
    </row>
    <row r="132" spans="1:17" ht="18" customHeight="1">
      <c r="B132" s="124"/>
      <c r="C132" s="150" t="s">
        <v>360</v>
      </c>
      <c r="D132" s="362">
        <f>IFERROR(VLOOKUP(C132,'تقرير المصروفات حسب الشهر'!$C$10:$AD$124,11,FALSE),0)</f>
        <v>18640.900000000001</v>
      </c>
      <c r="E132" s="362">
        <f>IFERROR(VLOOKUP(C132,'تقرير المصروفات حسب الشهر'!$C$135:$AD$252,11,FALSE),0)</f>
        <v>22269.33</v>
      </c>
      <c r="F132" s="362">
        <v>57316.67</v>
      </c>
      <c r="G132" s="362">
        <f>IFERROR(VLOOKUP(C132,'تقرير المصروفات حسب الشهر'!$C$387:$AD$503,11,FALSE),0)</f>
        <v>68941.83</v>
      </c>
      <c r="H132" s="362">
        <f>IFERROR(VLOOKUP(C132,'تقرير المصروفات حسب الشهر'!$C$512:$AD$622,11,FALSE),0)</f>
        <v>83839.5</v>
      </c>
      <c r="I132" s="362">
        <f>IFERROR(VLOOKUP(C132,'تقرير المصروفات حسب الشهر'!$C$637:$AD$750,11,FALSE),0)</f>
        <v>121894.04000000001</v>
      </c>
      <c r="J132" s="362">
        <f>IFERROR(VLOOKUP(C132,'تقرير المصروفات حسب الشهر'!$C$763:$AD$877,11,FALSE),0)</f>
        <v>103886.42</v>
      </c>
      <c r="K132" s="362">
        <f>IFERROR(VLOOKUP(C132,'تقرير المصروفات حسب الشهر'!$C$890:$AD$1007,11,FALSE),0)</f>
        <v>82815.429999999993</v>
      </c>
      <c r="L132" s="362">
        <f>IFERROR(VLOOKUP(C132,'تقرير المصروفات حسب الشهر'!$C$1016:$AI$1131,11,FALSE),0)</f>
        <v>103880.57</v>
      </c>
      <c r="M132" s="376">
        <f>IFERROR(VLOOKUP(C132,'تقرير المصروفات حسب الشهر'!$C$1143:$AD$1254,11,FALSE),0)</f>
        <v>85492.23</v>
      </c>
      <c r="N132" s="376">
        <f>IFERROR(VLOOKUP(C132,'تقرير المصروفات حسب الشهر'!$C$1270:$AD$1382,11,FALSE),0)</f>
        <v>100391.66</v>
      </c>
      <c r="O132" s="376">
        <f>IFERROR(VLOOKUP(C132,'تقرير المصروفات حسب الشهر'!$C$1397:$AD$1512,11,FALSE),0)</f>
        <v>115168.48</v>
      </c>
      <c r="P132" s="364">
        <f>SUM(D132:O132)</f>
        <v>964537.05999999994</v>
      </c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الشهر'!$C$763:$AD$877,11,FALSE),0)</f>
        <v>27532.23</v>
      </c>
      <c r="K133" s="362">
        <f>IFERROR(VLOOKUP(C133,'تقرير المصروفات حسب الشهر'!$C$890:$AD$1007,11,FALSE),0)</f>
        <v>30640.769999999997</v>
      </c>
      <c r="L133" s="362">
        <f>IFERROR(VLOOKUP(C133,'تقرير المصروفات حسب الشهر'!$C$1016:$AI$1131,11,FALSE),0)</f>
        <v>38861.339999999997</v>
      </c>
      <c r="M133" s="376">
        <f>IFERROR(VLOOKUP(C133,'تقرير المصروفات حسب الشهر'!$C$1143:$AD$1260,11,FALSE),0)</f>
        <v>37009.35</v>
      </c>
      <c r="N133" s="376">
        <f>IFERROR(VLOOKUP(C133,'تقرير المصروفات حسب الشهر'!$C$1270:$AI$1384,11,FALSE),0)</f>
        <v>19298.52</v>
      </c>
      <c r="O133" s="376">
        <f>IFERROR(VLOOKUP(C133,'تقرير المصروفات حسب الشهر'!$C$1397:$AD$1512,11,FALSE),0)</f>
        <v>25208.37</v>
      </c>
      <c r="P133" s="436"/>
    </row>
    <row r="134" spans="1:17" ht="18" customHeight="1">
      <c r="B134" s="124"/>
      <c r="C134" s="149" t="s">
        <v>270</v>
      </c>
      <c r="D134" s="146">
        <f t="shared" ref="D134:I134" si="7">SUM(D22:D132)</f>
        <v>214956.22000000003</v>
      </c>
      <c r="E134" s="146">
        <f t="shared" si="7"/>
        <v>259484.60000000003</v>
      </c>
      <c r="F134" s="146">
        <f t="shared" si="7"/>
        <v>285679.71000000002</v>
      </c>
      <c r="G134" s="146">
        <f t="shared" si="7"/>
        <v>302654.11</v>
      </c>
      <c r="H134" s="146">
        <f t="shared" si="7"/>
        <v>302921.73</v>
      </c>
      <c r="I134" s="146">
        <f t="shared" si="7"/>
        <v>378367.47</v>
      </c>
      <c r="J134" s="146">
        <f t="shared" ref="J134:O134" si="8">SUM(J22:J133)</f>
        <v>383670.22</v>
      </c>
      <c r="K134" s="146">
        <f t="shared" si="8"/>
        <v>400438.92000000004</v>
      </c>
      <c r="L134" s="146">
        <f t="shared" si="8"/>
        <v>400727.66999999993</v>
      </c>
      <c r="M134" s="146">
        <f t="shared" si="8"/>
        <v>396130.93</v>
      </c>
      <c r="N134" s="146">
        <f t="shared" si="8"/>
        <v>408237.39</v>
      </c>
      <c r="O134" s="146">
        <f t="shared" si="8"/>
        <v>451713.22999999992</v>
      </c>
      <c r="P134" s="388">
        <f t="shared" si="6"/>
        <v>4184982.2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322775.80000000005</v>
      </c>
      <c r="E136" s="392">
        <f t="shared" si="9"/>
        <v>335892.5700000003</v>
      </c>
      <c r="F136" s="392">
        <f t="shared" si="9"/>
        <v>333610.47000000015</v>
      </c>
      <c r="G136" s="392">
        <f t="shared" si="9"/>
        <v>315732.10000000033</v>
      </c>
      <c r="H136" s="392">
        <f t="shared" si="9"/>
        <v>532187.11999999988</v>
      </c>
      <c r="I136" s="392">
        <f t="shared" si="9"/>
        <v>417634.94000000018</v>
      </c>
      <c r="J136" s="392">
        <f t="shared" si="9"/>
        <v>342060.45999999973</v>
      </c>
      <c r="K136" s="392">
        <f t="shared" si="9"/>
        <v>424235.41999999969</v>
      </c>
      <c r="L136" s="392">
        <f t="shared" si="9"/>
        <v>428281.15999999992</v>
      </c>
      <c r="M136" s="392">
        <f t="shared" si="9"/>
        <v>451473.43999999994</v>
      </c>
      <c r="N136" s="392">
        <f t="shared" si="9"/>
        <v>502309.89999999991</v>
      </c>
      <c r="O136" s="392">
        <f t="shared" si="9"/>
        <v>584322.03999999969</v>
      </c>
      <c r="P136" s="388">
        <f t="shared" si="6"/>
        <v>4990515.4200000009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107819.58000000002</v>
      </c>
      <c r="E139" s="383">
        <f t="shared" ref="E139:O139" si="10">E136-E134</f>
        <v>76407.970000000263</v>
      </c>
      <c r="F139" s="383">
        <f t="shared" si="10"/>
        <v>47930.760000000126</v>
      </c>
      <c r="G139" s="383">
        <f t="shared" si="10"/>
        <v>13077.99000000034</v>
      </c>
      <c r="H139" s="383">
        <f t="shared" si="10"/>
        <v>229265.3899999999</v>
      </c>
      <c r="I139" s="383">
        <f t="shared" si="10"/>
        <v>39267.470000000205</v>
      </c>
      <c r="J139" s="383">
        <f t="shared" si="10"/>
        <v>-41609.760000000242</v>
      </c>
      <c r="K139" s="383">
        <f t="shared" si="10"/>
        <v>23796.499999999651</v>
      </c>
      <c r="L139" s="383">
        <f t="shared" si="10"/>
        <v>27553.489999999991</v>
      </c>
      <c r="M139" s="383">
        <f t="shared" si="10"/>
        <v>55342.509999999951</v>
      </c>
      <c r="N139" s="383">
        <f t="shared" si="10"/>
        <v>94072.509999999893</v>
      </c>
      <c r="O139" s="383">
        <f t="shared" si="10"/>
        <v>132608.80999999976</v>
      </c>
      <c r="P139" s="387">
        <f>SUM(D139:O139)</f>
        <v>805533.21999999974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G143" s="238">
        <f>13077.71-G139</f>
        <v>-0.28000000034080585</v>
      </c>
      <c r="H143" s="113">
        <v>229265.39</v>
      </c>
    </row>
    <row r="144" spans="1:17">
      <c r="H144" s="415">
        <f>H139-H143</f>
        <v>0</v>
      </c>
      <c r="N144" s="238"/>
    </row>
    <row r="145" spans="14:14">
      <c r="N145" s="416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0">
    <tabColor rgb="FFFFC000"/>
  </sheetPr>
  <dimension ref="A1:T144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350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124</v>
      </c>
      <c r="B8" s="390"/>
      <c r="C8" s="369" t="s">
        <v>114</v>
      </c>
      <c r="D8" s="364">
        <f>D9+D10+D11</f>
        <v>267180.53999999998</v>
      </c>
      <c r="E8" s="364">
        <f t="shared" ref="E8:O8" si="0">E9+E10+E11</f>
        <v>280040.48</v>
      </c>
      <c r="F8" s="364">
        <f t="shared" si="0"/>
        <v>239073.93</v>
      </c>
      <c r="G8" s="364">
        <f t="shared" si="0"/>
        <v>383828.99</v>
      </c>
      <c r="H8" s="364">
        <f t="shared" si="0"/>
        <v>356891.53</v>
      </c>
      <c r="I8" s="364">
        <f t="shared" si="0"/>
        <v>298625.57</v>
      </c>
      <c r="J8" s="364">
        <f t="shared" si="0"/>
        <v>460857.03</v>
      </c>
      <c r="K8" s="364">
        <f t="shared" si="0"/>
        <v>393169.14999999997</v>
      </c>
      <c r="L8" s="364">
        <f t="shared" si="0"/>
        <v>708395.13</v>
      </c>
      <c r="M8" s="364">
        <f t="shared" si="0"/>
        <v>557673.69000000018</v>
      </c>
      <c r="N8" s="364">
        <f t="shared" si="0"/>
        <v>597603.58000000007</v>
      </c>
      <c r="O8" s="364">
        <f t="shared" si="0"/>
        <v>672980.25</v>
      </c>
      <c r="P8" s="364">
        <f>SUM(D8:O8)</f>
        <v>5216319.87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155535.79999999999</v>
      </c>
      <c r="E9" s="365">
        <f>VLOOKUP($A$8,'تقرير إحصائية بحجم المبيعات'!$B$42:$G$73,2,FALSE)</f>
        <v>169764.96999999997</v>
      </c>
      <c r="F9" s="365">
        <f>VLOOKUP($A$8,'تقرير إحصائية بحجم المبيعات'!$B$78:$E$103,2,FALSE)</f>
        <v>127288.46999999999</v>
      </c>
      <c r="G9" s="365">
        <f>VLOOKUP($A$8,'تقرير إحصائية بحجم المبيعات'!$B$112:$G$137,2,FALSE)</f>
        <v>163784.40000000002</v>
      </c>
      <c r="H9" s="365">
        <f>VLOOKUP($A$8,'تقرير إحصائية بحجم المبيعات'!$B$147:$G$177,2,FALSE)</f>
        <v>189420.75000000003</v>
      </c>
      <c r="I9" s="365">
        <f>VLOOKUP($A$8,'تقرير إحصائية بحجم المبيعات'!$B$182:$G$212,2,FALSE)</f>
        <v>192457.88</v>
      </c>
      <c r="J9" s="365">
        <f>VLOOKUP($A$8,'تقرير إحصائية بحجم المبيعات'!$B$217:$L$243,2,FALSE)</f>
        <v>243417.90000000002</v>
      </c>
      <c r="K9" s="365">
        <f>VLOOKUP($A$8,'تقرير إحصائية بحجم المبيعات'!$B$252:$L$278,2,FALSE)</f>
        <v>197220.28999999998</v>
      </c>
      <c r="L9" s="365">
        <f>VLOOKUP($A$8,'تقرير إحصائية بحجم المبيعات'!$B$287:$L$313,2,FALSE)</f>
        <v>234836.15000000002</v>
      </c>
      <c r="M9" s="365">
        <f>VLOOKUP($A$8,'تقرير إحصائية بحجم المبيعات'!$B$322:$L$347,2,FALSE)</f>
        <v>179325.50000000012</v>
      </c>
      <c r="N9" s="365">
        <f>VLOOKUP($A$8,'تقرير إحصائية بحجم المبيعات'!$B$357:$L$383,2,FALSE)</f>
        <v>219358.45000000007</v>
      </c>
      <c r="O9" s="365">
        <f>VLOOKUP($A$8,'تقرير إحصائية بحجم المبيعات'!$B$391:$L$420,2,FALSE)</f>
        <v>178079.82</v>
      </c>
      <c r="P9" s="364">
        <f t="shared" ref="P9:P18" si="1">SUM(D9:O9)</f>
        <v>2250490.38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436.07</v>
      </c>
      <c r="F10" s="365">
        <f>VLOOKUP($A$8,'تقرير إحصائية بحجم المبيعات'!$B$78:$E$103,3,FALSE)</f>
        <v>177.13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325.95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879.3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1818.45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111644.74</v>
      </c>
      <c r="E11" s="365">
        <f>VLOOKUP($A$8,'تقرير إحصائية بحجم المبيعات'!$B$42:$G$73,4,FALSE)</f>
        <v>109839.44</v>
      </c>
      <c r="F11" s="365">
        <f>VLOOKUP($A$8,'تقرير إحصائية بحجم المبيعات'!$B$78:$E$103,4,FALSE)</f>
        <v>111608.33</v>
      </c>
      <c r="G11" s="365">
        <f>VLOOKUP($A$8,'تقرير إحصائية بحجم المبيعات'!$B$112:$G$137,4,FALSE)</f>
        <v>220044.59</v>
      </c>
      <c r="H11" s="365">
        <f>VLOOKUP($A$8,'تقرير إحصائية بحجم المبيعات'!$B$147:$G$177,4,FALSE)</f>
        <v>167470.78</v>
      </c>
      <c r="I11" s="365">
        <f>VLOOKUP($A$8,'تقرير إحصائية بحجم المبيعات'!$B$182:$G$212,4,FALSE)</f>
        <v>105841.74</v>
      </c>
      <c r="J11" s="365">
        <f>VLOOKUP($A$8,'تقرير إحصائية بحجم المبيعات'!$B$217:$L$243,4,FALSE)</f>
        <v>217439.13</v>
      </c>
      <c r="K11" s="365">
        <f>VLOOKUP($A$8,'تقرير إحصائية بحجم المبيعات'!$B$252:$L$278,4,FALSE)</f>
        <v>195948.86</v>
      </c>
      <c r="L11" s="365">
        <f>VLOOKUP($A$8,'تقرير إحصائية بحجم المبيعات'!$B$287:$L$313,4,FALSE)</f>
        <v>473558.98</v>
      </c>
      <c r="M11" s="365">
        <f>VLOOKUP($A$8,'تقرير إحصائية بحجم المبيعات'!$B$322:$L$347,4,FALSE)</f>
        <v>377468.89</v>
      </c>
      <c r="N11" s="365">
        <f>VLOOKUP($A$8,'تقرير إحصائية بحجم المبيعات'!$B$357:$L$383,4,FALSE)</f>
        <v>378245.13</v>
      </c>
      <c r="O11" s="365">
        <f>VLOOKUP($A$8,'تقرير إحصائية بحجم المبيعات'!$B$391:$L$420,4,FALSE)</f>
        <v>494900.43</v>
      </c>
      <c r="P11" s="364">
        <f t="shared" si="1"/>
        <v>2964011.04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225877.03</v>
      </c>
      <c r="E12" s="364">
        <f>VLOOKUP($A$8,'تقرير إحصائية بحجم المبيعات'!$B$42:$L$73,11,FALSE)</f>
        <v>238321.56</v>
      </c>
      <c r="F12" s="364">
        <f>VLOOKUP($A$8,'تقرير إحصائية بحجم المبيعات'!$B$78:$L$103,11,FALSE)</f>
        <v>204191.43</v>
      </c>
      <c r="G12" s="364">
        <f>VLOOKUP($A$8,'تقرير إحصائية بحجم المبيعات'!$B$112:$L$137,11,FALSE)</f>
        <v>332019.98</v>
      </c>
      <c r="H12" s="364">
        <f>VLOOKUP($A$8,'تقرير إحصائية بحجم المبيعات'!$B$147:$L$177,11,FALSE)</f>
        <v>283322.7</v>
      </c>
      <c r="I12" s="364">
        <f>VLOOKUP($A$8,'تقرير إحصائية بحجم المبيعات'!$B$182:$L$212,11,FALSE)</f>
        <v>251850.13</v>
      </c>
      <c r="J12" s="365">
        <f>VLOOKUP($A$8,'تقرير إحصائية بحجم المبيعات'!$B$217:$L$243,11,FALSE)</f>
        <v>375059.36</v>
      </c>
      <c r="K12" s="364">
        <f>VLOOKUP($A$8,'تقرير إحصائية بحجم المبيعات'!$B$252:$L$278,11,FALSE)</f>
        <v>334112.98</v>
      </c>
      <c r="L12" s="364">
        <f>VLOOKUP($A$8,'تقرير إحصائية بحجم المبيعات'!$B$287:$L$313,11,FALSE)</f>
        <v>596737.78</v>
      </c>
      <c r="M12" s="365">
        <f>VLOOKUP($A$8,'تقرير إحصائية بحجم المبيعات'!$B$322:$L$347,11,FALSE)</f>
        <v>478907.37</v>
      </c>
      <c r="N12" s="365">
        <f>VLOOKUP($A$8,'تقرير إحصائية بحجم المبيعات'!$B$357:$L$383,11,FALSE)</f>
        <v>510693.6</v>
      </c>
      <c r="O12" s="365">
        <f>VLOOKUP($A$8,'تقرير إحصائية بحجم المبيعات'!$B$391:$L$420,11,FALSE)</f>
        <v>577462.04</v>
      </c>
      <c r="P12" s="364">
        <f t="shared" si="1"/>
        <v>4408555.9600000009</v>
      </c>
    </row>
    <row r="13" spans="1:20" ht="18" customHeight="1">
      <c r="B13" s="124"/>
      <c r="C13" s="371" t="s">
        <v>14</v>
      </c>
      <c r="D13" s="366">
        <f t="shared" ref="D13:O13" si="2">D8-D12</f>
        <v>41303.50999999998</v>
      </c>
      <c r="E13" s="366">
        <f t="shared" si="2"/>
        <v>41718.919999999984</v>
      </c>
      <c r="F13" s="366">
        <f t="shared" si="2"/>
        <v>34882.5</v>
      </c>
      <c r="G13" s="366">
        <f t="shared" si="2"/>
        <v>51809.010000000009</v>
      </c>
      <c r="H13" s="366">
        <f t="shared" si="2"/>
        <v>73568.830000000016</v>
      </c>
      <c r="I13" s="366">
        <f t="shared" si="2"/>
        <v>46775.44</v>
      </c>
      <c r="J13" s="366">
        <f t="shared" si="2"/>
        <v>85797.670000000042</v>
      </c>
      <c r="K13" s="366">
        <f t="shared" si="2"/>
        <v>59056.169999999984</v>
      </c>
      <c r="L13" s="366">
        <f t="shared" si="2"/>
        <v>111657.34999999998</v>
      </c>
      <c r="M13" s="366">
        <f t="shared" si="2"/>
        <v>78766.320000000182</v>
      </c>
      <c r="N13" s="366">
        <f t="shared" si="2"/>
        <v>86909.980000000098</v>
      </c>
      <c r="O13" s="366">
        <f t="shared" si="2"/>
        <v>95518.209999999963</v>
      </c>
      <c r="P13" s="366">
        <f t="shared" si="1"/>
        <v>807763.91000000015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/>
      <c r="I16" s="367"/>
      <c r="J16" s="367"/>
      <c r="K16" s="367">
        <v>650.48</v>
      </c>
      <c r="L16" s="367"/>
      <c r="M16" s="367"/>
      <c r="N16" s="367"/>
      <c r="O16" s="367"/>
      <c r="P16" s="364">
        <f t="shared" si="1"/>
        <v>650.48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>
        <v>420</v>
      </c>
      <c r="P17" s="364">
        <f t="shared" si="1"/>
        <v>420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0</v>
      </c>
      <c r="I18" s="363">
        <f t="shared" si="3"/>
        <v>0</v>
      </c>
      <c r="J18" s="363">
        <f t="shared" si="3"/>
        <v>0</v>
      </c>
      <c r="K18" s="363">
        <f t="shared" si="3"/>
        <v>650.48</v>
      </c>
      <c r="L18" s="363">
        <f t="shared" si="3"/>
        <v>0</v>
      </c>
      <c r="M18" s="368">
        <f t="shared" si="3"/>
        <v>0</v>
      </c>
      <c r="N18" s="368">
        <f t="shared" si="3"/>
        <v>0</v>
      </c>
      <c r="O18" s="368">
        <f t="shared" si="3"/>
        <v>420</v>
      </c>
      <c r="P18" s="364">
        <f t="shared" si="1"/>
        <v>1070.48</v>
      </c>
    </row>
    <row r="19" spans="2:16" ht="18" customHeight="1">
      <c r="B19" s="124"/>
      <c r="C19" s="386" t="s">
        <v>14</v>
      </c>
      <c r="D19" s="374">
        <f t="shared" ref="D19:O19" si="4">D13+D18</f>
        <v>41303.50999999998</v>
      </c>
      <c r="E19" s="374">
        <f t="shared" si="4"/>
        <v>41718.919999999984</v>
      </c>
      <c r="F19" s="374">
        <f t="shared" si="4"/>
        <v>34882.5</v>
      </c>
      <c r="G19" s="374">
        <f t="shared" si="4"/>
        <v>51809.010000000009</v>
      </c>
      <c r="H19" s="374">
        <f t="shared" si="4"/>
        <v>73568.830000000016</v>
      </c>
      <c r="I19" s="374">
        <f t="shared" si="4"/>
        <v>46775.44</v>
      </c>
      <c r="J19" s="374">
        <f t="shared" si="4"/>
        <v>85797.670000000042</v>
      </c>
      <c r="K19" s="374">
        <f t="shared" si="4"/>
        <v>59706.649999999987</v>
      </c>
      <c r="L19" s="374">
        <f t="shared" si="4"/>
        <v>111657.34999999998</v>
      </c>
      <c r="M19" s="374">
        <f t="shared" si="4"/>
        <v>78766.320000000182</v>
      </c>
      <c r="N19" s="374">
        <f t="shared" si="4"/>
        <v>86909.980000000098</v>
      </c>
      <c r="O19" s="374">
        <f t="shared" si="4"/>
        <v>95938.209999999963</v>
      </c>
      <c r="P19" s="382">
        <f>SUM(D19:O19)</f>
        <v>808834.39000000013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الشهر'!$C$10:$AD$119,12,FALSE),0)</f>
        <v>0</v>
      </c>
      <c r="E22" s="362">
        <f>IFERROR(VLOOKUP(C22,'تقرير المصروفات حسب الشهر'!$C$135:$AD$244,12,FALSE),0)</f>
        <v>0</v>
      </c>
      <c r="F22" s="362">
        <v>0</v>
      </c>
      <c r="G22" s="362">
        <f>IFERROR(VLOOKUP(C22,'تقرير المصروفات حسب الشهر'!$C$387:$AD$495,12,FALSE),0)</f>
        <v>0</v>
      </c>
      <c r="H22" s="362">
        <f>IFERROR(VLOOKUP(C22,'تقرير المصروفات حسب الشهر'!$C$512:$AD$620,12,FALSE),0)</f>
        <v>0</v>
      </c>
      <c r="I22" s="362">
        <f>IFERROR(VLOOKUP(C22,'تقرير المصروفات حسب الشهر'!$C$637:$AD$746,12,FALSE),0)</f>
        <v>0</v>
      </c>
      <c r="J22" s="362">
        <f>IFERROR(VLOOKUP(C22,'تقرير المصروفات حسب الشهر'!$C$763:$AD$872,12,FALSE),0)</f>
        <v>0</v>
      </c>
      <c r="K22" s="362">
        <f>IFERROR(VLOOKUP(C22,'تقرير المصروفات حسب الشهر'!$C$890:$AD$999,12,FALSE),0)</f>
        <v>0</v>
      </c>
      <c r="L22" s="362">
        <f>IFERROR(VLOOKUP(C22,'تقرير المصروفات حسب الشهر'!$C$1016:$AD$1126,12,FALSE),0)</f>
        <v>0</v>
      </c>
      <c r="M22" s="376">
        <f>IFERROR(VLOOKUP(C22,'تقرير المصروفات حسب الشهر'!$C$1143:$AD$1254,12,FALSE),0)</f>
        <v>0</v>
      </c>
      <c r="N22" s="376">
        <f>IFERROR(VLOOKUP(C22,'تقرير المصروفات حسب الشهر'!$C$1270:$AD$1381,12,FALSE),0)</f>
        <v>0</v>
      </c>
      <c r="O22" s="376">
        <f>IFERROR(VLOOKUP(C22,'تقرير المصروفات حسب الشهر'!$C$1397:$AI$1512,12,FALSE),0)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الشهر'!$C$10:$AD$119,12,FALSE),0)</f>
        <v>19501.36</v>
      </c>
      <c r="E23" s="362">
        <f>IFERROR(VLOOKUP(C23,'تقرير المصروفات حسب الشهر'!$C$135:$AD$244,12,FALSE),0)</f>
        <v>19376.46</v>
      </c>
      <c r="F23" s="362">
        <v>19159.870000000003</v>
      </c>
      <c r="G23" s="362">
        <f>IFERROR(VLOOKUP(C23,'تقرير المصروفات حسب الشهر'!$C$387:$AD$495,12,FALSE),0)</f>
        <v>18303.330000000002</v>
      </c>
      <c r="H23" s="362">
        <f>IFERROR(VLOOKUP(C23,'تقرير المصروفات حسب الشهر'!$C$512:$AD$620,12,FALSE),0)</f>
        <v>22849</v>
      </c>
      <c r="I23" s="362">
        <f>IFERROR(VLOOKUP(C23,'تقرير المصروفات حسب الشهر'!$C$637:$AD$746,12,FALSE),0)</f>
        <v>22610</v>
      </c>
      <c r="J23" s="362">
        <f>IFERROR(VLOOKUP(C23,'تقرير المصروفات حسب الشهر'!$C$763:$AD$872,12,FALSE),0)</f>
        <v>35176.43</v>
      </c>
      <c r="K23" s="362">
        <f>IFERROR(VLOOKUP(C23,'تقرير المصروفات حسب الشهر'!$C$890:$AD$999,12,FALSE),0)</f>
        <v>33022.69</v>
      </c>
      <c r="L23" s="362">
        <f>IFERROR(VLOOKUP(C23,'تقرير المصروفات حسب الشهر'!$C$1016:$AD$1126,12,FALSE),0)</f>
        <v>33498.559999999998</v>
      </c>
      <c r="M23" s="376">
        <f>IFERROR(VLOOKUP(C23,'تقرير المصروفات حسب الشهر'!$C$1143:$AD$1254,12,FALSE),0)</f>
        <v>34155.160000000003</v>
      </c>
      <c r="N23" s="376">
        <f>IFERROR(VLOOKUP(C23,'تقرير المصروفات حسب الشهر'!$C$1270:$AD$1381,12,FALSE),0)</f>
        <v>23979.3</v>
      </c>
      <c r="O23" s="376">
        <f>IFERROR(VLOOKUP(C23,'تقرير المصروفات حسب الشهر'!$C$1397:$AI$1512,12,FALSE),0)</f>
        <v>27851.47</v>
      </c>
      <c r="P23" s="364">
        <f t="shared" ref="P23:P86" si="5">SUM(D23:O23)</f>
        <v>309483.63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الشهر'!$C$10:$AD$119,12,FALSE),0)</f>
        <v>0</v>
      </c>
      <c r="E24" s="362">
        <f>IFERROR(VLOOKUP(C24,'تقرير المصروفات حسب الشهر'!$C$135:$AD$244,12,FALSE),0)</f>
        <v>0</v>
      </c>
      <c r="F24" s="362">
        <v>0</v>
      </c>
      <c r="G24" s="362">
        <f>IFERROR(VLOOKUP(C24,'تقرير المصروفات حسب الشهر'!$C$387:$AD$495,12,FALSE),0)</f>
        <v>0</v>
      </c>
      <c r="H24" s="362">
        <f>IFERROR(VLOOKUP(C24,'تقرير المصروفات حسب الشهر'!$C$512:$AD$620,12,FALSE),0)</f>
        <v>0</v>
      </c>
      <c r="I24" s="362">
        <f>IFERROR(VLOOKUP(C24,'تقرير المصروفات حسب الشهر'!$C$637:$AD$746,12,FALSE),0)</f>
        <v>0</v>
      </c>
      <c r="J24" s="362">
        <f>IFERROR(VLOOKUP(C24,'تقرير المصروفات حسب الشهر'!$C$763:$AD$872,12,FALSE),0)</f>
        <v>0</v>
      </c>
      <c r="K24" s="362">
        <f>IFERROR(VLOOKUP(C24,'تقرير المصروفات حسب الشهر'!$C$890:$AD$999,12,FALSE),0)</f>
        <v>0</v>
      </c>
      <c r="L24" s="362">
        <f>IFERROR(VLOOKUP(C24,'تقرير المصروفات حسب الشهر'!$C$1016:$AD$1126,12,FALSE),0)</f>
        <v>0</v>
      </c>
      <c r="M24" s="376">
        <f>IFERROR(VLOOKUP(C24,'تقرير المصروفات حسب الشهر'!$C$1143:$AD$1254,12,FALSE),0)</f>
        <v>0</v>
      </c>
      <c r="N24" s="376">
        <f>IFERROR(VLOOKUP(C24,'تقرير المصروفات حسب الشهر'!$C$1270:$AD$1381,12,FALSE),0)</f>
        <v>0</v>
      </c>
      <c r="O24" s="376">
        <f>IFERROR(VLOOKUP(C24,'تقرير المصروفات حسب الشهر'!$C$1397:$AI$1512,12,FALSE),0)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الشهر'!$C$10:$AD$119,12,FALSE),0)</f>
        <v>0</v>
      </c>
      <c r="E25" s="362">
        <f>IFERROR(VLOOKUP(C25,'تقرير المصروفات حسب الشهر'!$C$135:$AD$244,12,FALSE),0)</f>
        <v>0</v>
      </c>
      <c r="F25" s="362">
        <v>0</v>
      </c>
      <c r="G25" s="362">
        <f>IFERROR(VLOOKUP(C25,'تقرير المصروفات حسب الشهر'!$C$387:$AD$495,12,FALSE),0)</f>
        <v>0</v>
      </c>
      <c r="H25" s="362">
        <f>IFERROR(VLOOKUP(C25,'تقرير المصروفات حسب الشهر'!$C$512:$AD$620,12,FALSE),0)</f>
        <v>0</v>
      </c>
      <c r="I25" s="362">
        <f>IFERROR(VLOOKUP(C25,'تقرير المصروفات حسب الشهر'!$C$637:$AD$746,12,FALSE),0)</f>
        <v>0</v>
      </c>
      <c r="J25" s="362">
        <f>IFERROR(VLOOKUP(C25,'تقرير المصروفات حسب الشهر'!$C$763:$AD$872,12,FALSE),0)</f>
        <v>0</v>
      </c>
      <c r="K25" s="362">
        <f>IFERROR(VLOOKUP(C25,'تقرير المصروفات حسب الشهر'!$C$890:$AD$999,12,FALSE),0)</f>
        <v>0</v>
      </c>
      <c r="L25" s="362">
        <f>IFERROR(VLOOKUP(C25,'تقرير المصروفات حسب الشهر'!$C$1016:$AD$1126,12,FALSE),0)</f>
        <v>0</v>
      </c>
      <c r="M25" s="376">
        <f>IFERROR(VLOOKUP(C25,'تقرير المصروفات حسب الشهر'!$C$1143:$AD$1254,12,FALSE),0)</f>
        <v>0</v>
      </c>
      <c r="N25" s="376">
        <f>IFERROR(VLOOKUP(C25,'تقرير المصروفات حسب الشهر'!$C$1270:$AD$1381,12,FALSE),0)</f>
        <v>0</v>
      </c>
      <c r="O25" s="376">
        <f>IFERROR(VLOOKUP(C25,'تقرير المصروفات حسب الشهر'!$C$1397:$AI$1512,12,FALSE),0)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الشهر'!$C$10:$AD$119,12,FALSE),0)</f>
        <v>0</v>
      </c>
      <c r="E26" s="362">
        <f>IFERROR(VLOOKUP(C26,'تقرير المصروفات حسب الشهر'!$C$135:$AD$244,12,FALSE),0)</f>
        <v>0</v>
      </c>
      <c r="F26" s="362">
        <v>0</v>
      </c>
      <c r="G26" s="362">
        <f>IFERROR(VLOOKUP(C26,'تقرير المصروفات حسب الشهر'!$C$387:$AD$495,12,FALSE),0)</f>
        <v>0</v>
      </c>
      <c r="H26" s="362">
        <f>IFERROR(VLOOKUP(C26,'تقرير المصروفات حسب الشهر'!$C$512:$AD$620,12,FALSE),0)</f>
        <v>0</v>
      </c>
      <c r="I26" s="362">
        <f>IFERROR(VLOOKUP(C26,'تقرير المصروفات حسب الشهر'!$C$637:$AD$746,12,FALSE),0)</f>
        <v>0</v>
      </c>
      <c r="J26" s="362">
        <f>IFERROR(VLOOKUP(C26,'تقرير المصروفات حسب الشهر'!$C$763:$AD$872,12,FALSE),0)</f>
        <v>0</v>
      </c>
      <c r="K26" s="362">
        <f>IFERROR(VLOOKUP(C26,'تقرير المصروفات حسب الشهر'!$C$890:$AD$999,12,FALSE),0)</f>
        <v>0</v>
      </c>
      <c r="L26" s="362">
        <f>IFERROR(VLOOKUP(C26,'تقرير المصروفات حسب الشهر'!$C$1016:$AD$1126,12,FALSE),0)</f>
        <v>0</v>
      </c>
      <c r="M26" s="376">
        <f>IFERROR(VLOOKUP(C26,'تقرير المصروفات حسب الشهر'!$C$1143:$AD$1254,12,FALSE),0)</f>
        <v>0</v>
      </c>
      <c r="N26" s="376">
        <f>IFERROR(VLOOKUP(C26,'تقرير المصروفات حسب الشهر'!$C$1270:$AD$1381,12,FALSE),0)</f>
        <v>0</v>
      </c>
      <c r="O26" s="376">
        <f>IFERROR(VLOOKUP(C26,'تقرير المصروفات حسب الشهر'!$C$1397:$AI$1512,12,FALSE),0)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الشهر'!$C$10:$AD$119,12,FALSE),0)</f>
        <v>0</v>
      </c>
      <c r="E27" s="362">
        <f>IFERROR(VLOOKUP(C27,'تقرير المصروفات حسب الشهر'!$C$135:$AD$244,12,FALSE),0)</f>
        <v>0</v>
      </c>
      <c r="F27" s="362">
        <v>0</v>
      </c>
      <c r="G27" s="362">
        <f>IFERROR(VLOOKUP(C27,'تقرير المصروفات حسب الشهر'!$C$387:$AD$495,12,FALSE),0)</f>
        <v>0</v>
      </c>
      <c r="H27" s="362">
        <f>IFERROR(VLOOKUP(C27,'تقرير المصروفات حسب الشهر'!$C$512:$AD$620,12,FALSE),0)</f>
        <v>0</v>
      </c>
      <c r="I27" s="362">
        <f>IFERROR(VLOOKUP(C27,'تقرير المصروفات حسب الشهر'!$C$637:$AD$746,12,FALSE),0)</f>
        <v>0</v>
      </c>
      <c r="J27" s="362">
        <f>IFERROR(VLOOKUP(C27,'تقرير المصروفات حسب الشهر'!$C$763:$AD$872,12,FALSE),0)</f>
        <v>0</v>
      </c>
      <c r="K27" s="362">
        <f>IFERROR(VLOOKUP(C27,'تقرير المصروفات حسب الشهر'!$C$890:$AD$999,12,FALSE),0)</f>
        <v>0</v>
      </c>
      <c r="L27" s="362">
        <f>IFERROR(VLOOKUP(C27,'تقرير المصروفات حسب الشهر'!$C$1016:$AD$1126,12,FALSE),0)</f>
        <v>0</v>
      </c>
      <c r="M27" s="376">
        <f>IFERROR(VLOOKUP(C27,'تقرير المصروفات حسب الشهر'!$C$1143:$AD$1254,12,FALSE),0)</f>
        <v>0</v>
      </c>
      <c r="N27" s="376">
        <f>IFERROR(VLOOKUP(C27,'تقرير المصروفات حسب الشهر'!$C$1270:$AD$1381,12,FALSE),0)</f>
        <v>0</v>
      </c>
      <c r="O27" s="376">
        <f>IFERROR(VLOOKUP(C27,'تقرير المصروفات حسب الشهر'!$C$1397:$AI$1512,12,FALSE),0)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الشهر'!$C$10:$AD$119,12,FALSE),0)</f>
        <v>0</v>
      </c>
      <c r="E28" s="362">
        <f>IFERROR(VLOOKUP(C28,'تقرير المصروفات حسب الشهر'!$C$135:$AD$244,12,FALSE),0)</f>
        <v>0</v>
      </c>
      <c r="F28" s="362">
        <v>0</v>
      </c>
      <c r="G28" s="362">
        <f>IFERROR(VLOOKUP(C28,'تقرير المصروفات حسب الشهر'!$C$387:$AD$495,12,FALSE),0)</f>
        <v>0</v>
      </c>
      <c r="H28" s="362">
        <f>IFERROR(VLOOKUP(C28,'تقرير المصروفات حسب الشهر'!$C$512:$AD$620,12,FALSE),0)</f>
        <v>0</v>
      </c>
      <c r="I28" s="362">
        <f>IFERROR(VLOOKUP(C28,'تقرير المصروفات حسب الشهر'!$C$637:$AD$746,12,FALSE),0)</f>
        <v>0</v>
      </c>
      <c r="J28" s="362">
        <f>IFERROR(VLOOKUP(C28,'تقرير المصروفات حسب الشهر'!$C$763:$AD$872,12,FALSE),0)</f>
        <v>0</v>
      </c>
      <c r="K28" s="362">
        <f>IFERROR(VLOOKUP(C28,'تقرير المصروفات حسب الشهر'!$C$890:$AD$999,12,FALSE),0)</f>
        <v>0</v>
      </c>
      <c r="L28" s="362">
        <f>IFERROR(VLOOKUP(C28,'تقرير المصروفات حسب الشهر'!$C$1016:$AD$1126,12,FALSE),0)</f>
        <v>0</v>
      </c>
      <c r="M28" s="376">
        <f>IFERROR(VLOOKUP(C28,'تقرير المصروفات حسب الشهر'!$C$1143:$AD$1254,12,FALSE),0)</f>
        <v>0</v>
      </c>
      <c r="N28" s="376">
        <f>IFERROR(VLOOKUP(C28,'تقرير المصروفات حسب الشهر'!$C$1270:$AD$1381,12,FALSE),0)</f>
        <v>0</v>
      </c>
      <c r="O28" s="376">
        <f>IFERROR(VLOOKUP(C28,'تقرير المصروفات حسب الشهر'!$C$1397:$AI$1512,12,FALSE),0)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الشهر'!$C$10:$AD$119,12,FALSE),0)</f>
        <v>12000</v>
      </c>
      <c r="E29" s="362">
        <f>IFERROR(VLOOKUP(C29,'تقرير المصروفات حسب الشهر'!$C$135:$AD$244,12,FALSE),0)</f>
        <v>12000</v>
      </c>
      <c r="F29" s="362">
        <v>12000</v>
      </c>
      <c r="G29" s="362">
        <f>IFERROR(VLOOKUP(C29,'تقرير المصروفات حسب الشهر'!$C$387:$AD$495,12,FALSE),0)</f>
        <v>16320</v>
      </c>
      <c r="H29" s="362">
        <f>IFERROR(VLOOKUP(C29,'تقرير المصروفات حسب الشهر'!$C$512:$AD$620,12,FALSE),0)</f>
        <v>12000</v>
      </c>
      <c r="I29" s="362">
        <f>IFERROR(VLOOKUP(C29,'تقرير المصروفات حسب الشهر'!$C$637:$AD$746,12,FALSE),0)</f>
        <v>13200</v>
      </c>
      <c r="J29" s="362">
        <f>IFERROR(VLOOKUP(C29,'تقرير المصروفات حسب الشهر'!$C$763:$AD$872,12,FALSE),0)</f>
        <v>13200</v>
      </c>
      <c r="K29" s="362">
        <f>IFERROR(VLOOKUP(C29,'تقرير المصروفات حسب الشهر'!$C$890:$AD$999,12,FALSE),0)</f>
        <v>13200</v>
      </c>
      <c r="L29" s="362">
        <f>IFERROR(VLOOKUP(C29,'تقرير المصروفات حسب الشهر'!$C$1016:$AD$1126,12,FALSE),0)</f>
        <v>13200</v>
      </c>
      <c r="M29" s="376">
        <f>IFERROR(VLOOKUP(C29,'تقرير المصروفات حسب الشهر'!$C$1143:$AD$1254,12,FALSE),0)</f>
        <v>13200</v>
      </c>
      <c r="N29" s="376">
        <f>IFERROR(VLOOKUP(C29,'تقرير المصروفات حسب الشهر'!$C$1270:$AD$1381,12,FALSE),0)</f>
        <v>13200</v>
      </c>
      <c r="O29" s="376">
        <f>IFERROR(VLOOKUP(C29,'تقرير المصروفات حسب الشهر'!$C$1397:$AI$1512,12,FALSE),0)</f>
        <v>13200</v>
      </c>
      <c r="P29" s="364">
        <f t="shared" si="5"/>
        <v>156720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الشهر'!$C$10:$AD$119,12,FALSE),0)</f>
        <v>0</v>
      </c>
      <c r="E30" s="362">
        <f>IFERROR(VLOOKUP(C30,'تقرير المصروفات حسب الشهر'!$C$135:$AD$244,12,FALSE),0)</f>
        <v>0</v>
      </c>
      <c r="F30" s="362">
        <v>0</v>
      </c>
      <c r="G30" s="362">
        <f>IFERROR(VLOOKUP(C30,'تقرير المصروفات حسب الشهر'!$C$387:$AD$495,12,FALSE),0)</f>
        <v>0</v>
      </c>
      <c r="H30" s="362">
        <f>IFERROR(VLOOKUP(C30,'تقرير المصروفات حسب الشهر'!$C$512:$AD$620,12,FALSE),0)</f>
        <v>0</v>
      </c>
      <c r="I30" s="362">
        <f>IFERROR(VLOOKUP(C30,'تقرير المصروفات حسب الشهر'!$C$637:$AD$746,12,FALSE),0)</f>
        <v>0</v>
      </c>
      <c r="J30" s="362">
        <f>IFERROR(VLOOKUP(C30,'تقرير المصروفات حسب الشهر'!$C$763:$AD$872,12,FALSE),0)</f>
        <v>0</v>
      </c>
      <c r="K30" s="362">
        <f>IFERROR(VLOOKUP(C30,'تقرير المصروفات حسب الشهر'!$C$890:$AD$999,12,FALSE),0)</f>
        <v>0</v>
      </c>
      <c r="L30" s="362">
        <f>IFERROR(VLOOKUP(C30,'تقرير المصروفات حسب الشهر'!$C$1016:$AD$1126,12,FALSE),0)</f>
        <v>0</v>
      </c>
      <c r="M30" s="376">
        <f>IFERROR(VLOOKUP(C30,'تقرير المصروفات حسب الشهر'!$C$1143:$AD$1254,12,FALSE),0)</f>
        <v>225.5</v>
      </c>
      <c r="N30" s="376">
        <f>IFERROR(VLOOKUP(C30,'تقرير المصروفات حسب الشهر'!$C$1270:$AD$1381,12,FALSE),0)</f>
        <v>0</v>
      </c>
      <c r="O30" s="376">
        <f>IFERROR(VLOOKUP(C30,'تقرير المصروفات حسب الشهر'!$C$1397:$AI$1512,12,FALSE),0)</f>
        <v>400</v>
      </c>
      <c r="P30" s="364">
        <f t="shared" si="5"/>
        <v>625.5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الشهر'!$C$10:$AD$119,12,FALSE),0)</f>
        <v>54.67</v>
      </c>
      <c r="E31" s="362">
        <f>IFERROR(VLOOKUP(C31,'تقرير المصروفات حسب الشهر'!$C$135:$AD$244,12,FALSE),0)</f>
        <v>54.67</v>
      </c>
      <c r="F31" s="362">
        <v>54.67</v>
      </c>
      <c r="G31" s="362">
        <f>IFERROR(VLOOKUP(C31,'تقرير المصروفات حسب الشهر'!$C$387:$AD$495,12,FALSE),0)</f>
        <v>54.67</v>
      </c>
      <c r="H31" s="362">
        <f>IFERROR(VLOOKUP(C31,'تقرير المصروفات حسب الشهر'!$C$512:$AD$620,12,FALSE),0)</f>
        <v>54.67</v>
      </c>
      <c r="I31" s="362">
        <f>IFERROR(VLOOKUP(C31,'تقرير المصروفات حسب الشهر'!$C$637:$AD$746,12,FALSE),0)</f>
        <v>54.67</v>
      </c>
      <c r="J31" s="362">
        <f>IFERROR(VLOOKUP(C31,'تقرير المصروفات حسب الشهر'!$C$763:$AD$872,12,FALSE),0)</f>
        <v>54.67</v>
      </c>
      <c r="K31" s="362">
        <f>IFERROR(VLOOKUP(C31,'تقرير المصروفات حسب الشهر'!$C$890:$AD$999,12,FALSE),0)</f>
        <v>54.67</v>
      </c>
      <c r="L31" s="362">
        <f>IFERROR(VLOOKUP(C31,'تقرير المصروفات حسب الشهر'!$C$1016:$AD$1126,12,FALSE),0)</f>
        <v>54.67</v>
      </c>
      <c r="M31" s="376">
        <f>IFERROR(VLOOKUP(C31,'تقرير المصروفات حسب الشهر'!$C$1143:$AD$1254,12,FALSE),0)</f>
        <v>54.67</v>
      </c>
      <c r="N31" s="376">
        <f>IFERROR(VLOOKUP(C31,'تقرير المصروفات حسب الشهر'!$C$1270:$AD$1381,12,FALSE),0)</f>
        <v>164.67</v>
      </c>
      <c r="O31" s="376">
        <f>IFERROR(VLOOKUP(C31,'تقرير المصروفات حسب الشهر'!$C$1397:$AI$1512,12,FALSE),0)</f>
        <v>54.67</v>
      </c>
      <c r="P31" s="364">
        <f t="shared" si="5"/>
        <v>766.04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الشهر'!$C$10:$AD$119,12,FALSE),0)</f>
        <v>0</v>
      </c>
      <c r="E32" s="362">
        <f>IFERROR(VLOOKUP(C32,'تقرير المصروفات حسب الشهر'!$C$135:$AD$244,12,FALSE),0)</f>
        <v>0</v>
      </c>
      <c r="F32" s="362">
        <v>0</v>
      </c>
      <c r="G32" s="362">
        <f>IFERROR(VLOOKUP(C32,'تقرير المصروفات حسب الشهر'!$C$387:$AD$495,12,FALSE),0)</f>
        <v>0</v>
      </c>
      <c r="H32" s="362">
        <f>IFERROR(VLOOKUP(C32,'تقرير المصروفات حسب الشهر'!$C$512:$AD$620,12,FALSE),0)</f>
        <v>0</v>
      </c>
      <c r="I32" s="362">
        <f>IFERROR(VLOOKUP(C32,'تقرير المصروفات حسب الشهر'!$C$637:$AD$746,12,FALSE),0)</f>
        <v>0</v>
      </c>
      <c r="J32" s="362">
        <f>IFERROR(VLOOKUP(C32,'تقرير المصروفات حسب الشهر'!$C$763:$AD$872,12,FALSE),0)</f>
        <v>0</v>
      </c>
      <c r="K32" s="362">
        <f>IFERROR(VLOOKUP(C32,'تقرير المصروفات حسب الشهر'!$C$890:$AD$999,12,FALSE),0)</f>
        <v>0</v>
      </c>
      <c r="L32" s="362">
        <f>IFERROR(VLOOKUP(C32,'تقرير المصروفات حسب الشهر'!$C$1016:$AD$1126,12,FALSE),0)</f>
        <v>0</v>
      </c>
      <c r="M32" s="376">
        <f>IFERROR(VLOOKUP(C32,'تقرير المصروفات حسب الشهر'!$C$1143:$AD$1254,12,FALSE),0)</f>
        <v>0</v>
      </c>
      <c r="N32" s="376">
        <f>IFERROR(VLOOKUP(C32,'تقرير المصروفات حسب الشهر'!$C$1270:$AD$1381,12,FALSE),0)</f>
        <v>0</v>
      </c>
      <c r="O32" s="376">
        <f>IFERROR(VLOOKUP(C32,'تقرير المصروفات حسب الشهر'!$C$1397:$AI$1512,12,FALSE),0)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الشهر'!$C$10:$AD$119,12,FALSE),0)</f>
        <v>0</v>
      </c>
      <c r="E33" s="362">
        <f>IFERROR(VLOOKUP(C33,'تقرير المصروفات حسب الشهر'!$C$135:$AD$244,12,FALSE),0)</f>
        <v>0</v>
      </c>
      <c r="F33" s="362">
        <v>0</v>
      </c>
      <c r="G33" s="362">
        <f>IFERROR(VLOOKUP(C33,'تقرير المصروفات حسب الشهر'!$C$387:$AD$495,12,FALSE),0)</f>
        <v>0</v>
      </c>
      <c r="H33" s="362">
        <f>IFERROR(VLOOKUP(C33,'تقرير المصروفات حسب الشهر'!$C$512:$AD$620,12,FALSE),0)</f>
        <v>0</v>
      </c>
      <c r="I33" s="362">
        <f>IFERROR(VLOOKUP(C33,'تقرير المصروفات حسب الشهر'!$C$637:$AD$746,12,FALSE),0)</f>
        <v>0</v>
      </c>
      <c r="J33" s="362">
        <f>IFERROR(VLOOKUP(C33,'تقرير المصروفات حسب الشهر'!$C$763:$AD$872,12,FALSE),0)</f>
        <v>0</v>
      </c>
      <c r="K33" s="362">
        <f>IFERROR(VLOOKUP(C33,'تقرير المصروفات حسب الشهر'!$C$890:$AD$999,12,FALSE),0)</f>
        <v>0</v>
      </c>
      <c r="L33" s="362">
        <f>IFERROR(VLOOKUP(C33,'تقرير المصروفات حسب الشهر'!$C$1016:$AD$1126,12,FALSE),0)</f>
        <v>0</v>
      </c>
      <c r="M33" s="376">
        <f>IFERROR(VLOOKUP(C33,'تقرير المصروفات حسب الشهر'!$C$1143:$AD$1254,12,FALSE),0)</f>
        <v>0</v>
      </c>
      <c r="N33" s="376">
        <f>IFERROR(VLOOKUP(C33,'تقرير المصروفات حسب الشهر'!$C$1270:$AD$1381,12,FALSE),0)</f>
        <v>0</v>
      </c>
      <c r="O33" s="376">
        <f>IFERROR(VLOOKUP(C33,'تقرير المصروفات حسب الشهر'!$C$1397:$AI$1512,12,FALSE),0)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الشهر'!$C$10:$AD$119,12,FALSE),0)</f>
        <v>0</v>
      </c>
      <c r="E34" s="362">
        <f>IFERROR(VLOOKUP(C34,'تقرير المصروفات حسب الشهر'!$C$135:$AD$244,12,FALSE),0)</f>
        <v>0</v>
      </c>
      <c r="F34" s="362">
        <v>0</v>
      </c>
      <c r="G34" s="362">
        <f>IFERROR(VLOOKUP(C34,'تقرير المصروفات حسب الشهر'!$C$387:$AD$495,12,FALSE),0)</f>
        <v>0</v>
      </c>
      <c r="H34" s="362">
        <f>IFERROR(VLOOKUP(C34,'تقرير المصروفات حسب الشهر'!$C$512:$AD$620,12,FALSE),0)</f>
        <v>0</v>
      </c>
      <c r="I34" s="362">
        <f>IFERROR(VLOOKUP(C34,'تقرير المصروفات حسب الشهر'!$C$637:$AD$746,12,FALSE),0)</f>
        <v>0</v>
      </c>
      <c r="J34" s="362">
        <f>IFERROR(VLOOKUP(C34,'تقرير المصروفات حسب الشهر'!$C$763:$AD$872,12,FALSE),0)</f>
        <v>0</v>
      </c>
      <c r="K34" s="362">
        <f>IFERROR(VLOOKUP(C34,'تقرير المصروفات حسب الشهر'!$C$890:$AD$999,12,FALSE),0)</f>
        <v>0</v>
      </c>
      <c r="L34" s="362">
        <f>IFERROR(VLOOKUP(C34,'تقرير المصروفات حسب الشهر'!$C$1016:$AD$1126,12,FALSE),0)</f>
        <v>0</v>
      </c>
      <c r="M34" s="376">
        <f>IFERROR(VLOOKUP(C34,'تقرير المصروفات حسب الشهر'!$C$1143:$AD$1254,12,FALSE),0)</f>
        <v>0</v>
      </c>
      <c r="N34" s="376">
        <f>IFERROR(VLOOKUP(C34,'تقرير المصروفات حسب الشهر'!$C$1270:$AD$1381,12,FALSE),0)</f>
        <v>0</v>
      </c>
      <c r="O34" s="376">
        <f>IFERROR(VLOOKUP(C34,'تقرير المصروفات حسب الشهر'!$C$1397:$AI$1512,12,FALSE),0)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الشهر'!$C$10:$AD$119,12,FALSE),0)</f>
        <v>0</v>
      </c>
      <c r="E35" s="362">
        <f>IFERROR(VLOOKUP(C35,'تقرير المصروفات حسب الشهر'!$C$135:$AD$244,12,FALSE),0)</f>
        <v>0</v>
      </c>
      <c r="F35" s="362">
        <v>0</v>
      </c>
      <c r="G35" s="362">
        <f>IFERROR(VLOOKUP(C35,'تقرير المصروفات حسب الشهر'!$C$387:$AD$495,12,FALSE),0)</f>
        <v>0</v>
      </c>
      <c r="H35" s="362">
        <f>IFERROR(VLOOKUP(C35,'تقرير المصروفات حسب الشهر'!$C$512:$AD$620,12,FALSE),0)</f>
        <v>0</v>
      </c>
      <c r="I35" s="362">
        <f>IFERROR(VLOOKUP(C35,'تقرير المصروفات حسب الشهر'!$C$637:$AD$746,12,FALSE),0)</f>
        <v>0</v>
      </c>
      <c r="J35" s="362">
        <f>IFERROR(VLOOKUP(C35,'تقرير المصروفات حسب الشهر'!$C$763:$AD$872,12,FALSE),0)</f>
        <v>0</v>
      </c>
      <c r="K35" s="362">
        <f>IFERROR(VLOOKUP(C35,'تقرير المصروفات حسب الشهر'!$C$890:$AD$999,12,FALSE),0)</f>
        <v>0</v>
      </c>
      <c r="L35" s="362">
        <f>IFERROR(VLOOKUP(C35,'تقرير المصروفات حسب الشهر'!$C$1016:$AD$1126,12,FALSE),0)</f>
        <v>0</v>
      </c>
      <c r="M35" s="376">
        <f>IFERROR(VLOOKUP(C35,'تقرير المصروفات حسب الشهر'!$C$1143:$AD$1254,12,FALSE),0)</f>
        <v>0</v>
      </c>
      <c r="N35" s="376">
        <f>IFERROR(VLOOKUP(C35,'تقرير المصروفات حسب الشهر'!$C$1270:$AD$1381,12,FALSE),0)</f>
        <v>0</v>
      </c>
      <c r="O35" s="376">
        <f>IFERROR(VLOOKUP(C35,'تقرير المصروفات حسب الشهر'!$C$1397:$AI$1512,12,FALSE),0)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الشهر'!$C$10:$AD$119,12,FALSE),0)</f>
        <v>0</v>
      </c>
      <c r="E36" s="362">
        <f>IFERROR(VLOOKUP(C36,'تقرير المصروفات حسب الشهر'!$C$135:$AD$244,12,FALSE),0)</f>
        <v>0</v>
      </c>
      <c r="F36" s="362">
        <v>750</v>
      </c>
      <c r="G36" s="362">
        <f>IFERROR(VLOOKUP(C36,'تقرير المصروفات حسب الشهر'!$C$387:$AD$495,12,FALSE),0)</f>
        <v>750</v>
      </c>
      <c r="H36" s="362">
        <f>IFERROR(VLOOKUP(C36,'تقرير المصروفات حسب الشهر'!$C$512:$AD$620,12,FALSE),0)</f>
        <v>0</v>
      </c>
      <c r="I36" s="362">
        <f>IFERROR(VLOOKUP(C36,'تقرير المصروفات حسب الشهر'!$C$637:$AD$746,12,FALSE),0)</f>
        <v>0</v>
      </c>
      <c r="J36" s="362">
        <f>IFERROR(VLOOKUP(C36,'تقرير المصروفات حسب الشهر'!$C$763:$AD$872,12,FALSE),0)</f>
        <v>0</v>
      </c>
      <c r="K36" s="362">
        <f>IFERROR(VLOOKUP(C36,'تقرير المصروفات حسب الشهر'!$C$890:$AD$999,12,FALSE),0)</f>
        <v>770</v>
      </c>
      <c r="L36" s="362">
        <f>IFERROR(VLOOKUP(C36,'تقرير المصروفات حسب الشهر'!$C$1016:$AD$1126,12,FALSE),0)</f>
        <v>0</v>
      </c>
      <c r="M36" s="376">
        <f>IFERROR(VLOOKUP(C36,'تقرير المصروفات حسب الشهر'!$C$1143:$AD$1254,12,FALSE),0)</f>
        <v>0</v>
      </c>
      <c r="N36" s="376">
        <f>IFERROR(VLOOKUP(C36,'تقرير المصروفات حسب الشهر'!$C$1270:$AD$1381,12,FALSE),0)</f>
        <v>0</v>
      </c>
      <c r="O36" s="376">
        <f>IFERROR(VLOOKUP(C36,'تقرير المصروفات حسب الشهر'!$C$1397:$AI$1512,12,FALSE),0)</f>
        <v>770</v>
      </c>
      <c r="P36" s="364">
        <f t="shared" si="5"/>
        <v>3040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الشهر'!$C$10:$AD$119,12,FALSE),0)</f>
        <v>0</v>
      </c>
      <c r="E37" s="362">
        <f>IFERROR(VLOOKUP(C37,'تقرير المصروفات حسب الشهر'!$C$135:$AD$244,12,FALSE),0)</f>
        <v>0</v>
      </c>
      <c r="F37" s="362">
        <v>0</v>
      </c>
      <c r="G37" s="362">
        <f>IFERROR(VLOOKUP(C37,'تقرير المصروفات حسب الشهر'!$C$387:$AD$495,12,FALSE),0)</f>
        <v>0</v>
      </c>
      <c r="H37" s="362">
        <f>IFERROR(VLOOKUP(C37,'تقرير المصروفات حسب الشهر'!$C$512:$AD$620,12,FALSE),0)</f>
        <v>0</v>
      </c>
      <c r="I37" s="362">
        <f>IFERROR(VLOOKUP(C37,'تقرير المصروفات حسب الشهر'!$C$637:$AD$746,12,FALSE),0)</f>
        <v>0</v>
      </c>
      <c r="J37" s="362">
        <f>IFERROR(VLOOKUP(C37,'تقرير المصروفات حسب الشهر'!$C$763:$AD$872,12,FALSE),0)</f>
        <v>0</v>
      </c>
      <c r="K37" s="362">
        <f>IFERROR(VLOOKUP(C37,'تقرير المصروفات حسب الشهر'!$C$890:$AD$999,12,FALSE),0)</f>
        <v>0</v>
      </c>
      <c r="L37" s="362">
        <f>IFERROR(VLOOKUP(C37,'تقرير المصروفات حسب الشهر'!$C$1016:$AD$1126,12,FALSE),0)</f>
        <v>0</v>
      </c>
      <c r="M37" s="376">
        <f>IFERROR(VLOOKUP(C37,'تقرير المصروفات حسب الشهر'!$C$1143:$AD$1254,12,FALSE),0)</f>
        <v>2250</v>
      </c>
      <c r="N37" s="376">
        <f>IFERROR(VLOOKUP(C37,'تقرير المصروفات حسب الشهر'!$C$1270:$AD$1381,12,FALSE),0)</f>
        <v>0</v>
      </c>
      <c r="O37" s="376">
        <f>IFERROR(VLOOKUP(C37,'تقرير المصروفات حسب الشهر'!$C$1397:$AI$1512,12,FALSE),0)</f>
        <v>0</v>
      </c>
      <c r="P37" s="364">
        <f t="shared" si="5"/>
        <v>2250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الشهر'!$C$10:$AD$119,12,FALSE),0)</f>
        <v>0</v>
      </c>
      <c r="E38" s="362">
        <f>IFERROR(VLOOKUP(C38,'تقرير المصروفات حسب الشهر'!$C$135:$AD$244,12,FALSE),0)</f>
        <v>0</v>
      </c>
      <c r="F38" s="362">
        <v>0</v>
      </c>
      <c r="G38" s="362">
        <f>IFERROR(VLOOKUP(C38,'تقرير المصروفات حسب الشهر'!$C$387:$AD$495,12,FALSE),0)</f>
        <v>0</v>
      </c>
      <c r="H38" s="362">
        <f>IFERROR(VLOOKUP(C38,'تقرير المصروفات حسب الشهر'!$C$512:$AD$620,12,FALSE),0)</f>
        <v>0</v>
      </c>
      <c r="I38" s="362">
        <f>IFERROR(VLOOKUP(C38,'تقرير المصروفات حسب الشهر'!$C$637:$AD$746,12,FALSE),0)</f>
        <v>0</v>
      </c>
      <c r="J38" s="362">
        <f>IFERROR(VLOOKUP(C38,'تقرير المصروفات حسب الشهر'!$C$763:$AD$872,12,FALSE),0)</f>
        <v>0</v>
      </c>
      <c r="K38" s="362">
        <f>IFERROR(VLOOKUP(C38,'تقرير المصروفات حسب الشهر'!$C$890:$AD$999,12,FALSE),0)</f>
        <v>0</v>
      </c>
      <c r="L38" s="362">
        <f>IFERROR(VLOOKUP(C38,'تقرير المصروفات حسب الشهر'!$C$1016:$AD$1126,12,FALSE),0)</f>
        <v>0</v>
      </c>
      <c r="M38" s="376">
        <f>IFERROR(VLOOKUP(C38,'تقرير المصروفات حسب الشهر'!$C$1143:$AD$1254,12,FALSE),0)</f>
        <v>0</v>
      </c>
      <c r="N38" s="376">
        <f>IFERROR(VLOOKUP(C38,'تقرير المصروفات حسب الشهر'!$C$1270:$AD$1381,12,FALSE),0)</f>
        <v>0</v>
      </c>
      <c r="O38" s="376">
        <f>IFERROR(VLOOKUP(C38,'تقرير المصروفات حسب الشهر'!$C$1397:$AI$1512,12,FALSE),0)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الشهر'!$C$10:$AD$119,12,FALSE),0)</f>
        <v>0</v>
      </c>
      <c r="E39" s="362">
        <f>IFERROR(VLOOKUP(C39,'تقرير المصروفات حسب الشهر'!$C$135:$AD$244,12,FALSE),0)</f>
        <v>833</v>
      </c>
      <c r="F39" s="362">
        <v>648</v>
      </c>
      <c r="G39" s="362">
        <f>IFERROR(VLOOKUP(C39,'تقرير المصروفات حسب الشهر'!$C$387:$AD$495,12,FALSE),0)</f>
        <v>793</v>
      </c>
      <c r="H39" s="362">
        <f>IFERROR(VLOOKUP(C39,'تقرير المصروفات حسب الشهر'!$C$512:$AD$620,12,FALSE),0)</f>
        <v>0</v>
      </c>
      <c r="I39" s="362">
        <f>IFERROR(VLOOKUP(C39,'تقرير المصروفات حسب الشهر'!$C$637:$AD$746,12,FALSE),0)</f>
        <v>0</v>
      </c>
      <c r="J39" s="362">
        <f>IFERROR(VLOOKUP(C39,'تقرير المصروفات حسب الشهر'!$C$763:$AD$872,12,FALSE),0)</f>
        <v>0</v>
      </c>
      <c r="K39" s="362">
        <f>IFERROR(VLOOKUP(C39,'تقرير المصروفات حسب الشهر'!$C$890:$AD$999,12,FALSE),0)</f>
        <v>0</v>
      </c>
      <c r="L39" s="362">
        <f>IFERROR(VLOOKUP(C39,'تقرير المصروفات حسب الشهر'!$C$1016:$AD$1126,12,FALSE),0)</f>
        <v>0</v>
      </c>
      <c r="M39" s="376">
        <f>IFERROR(VLOOKUP(C39,'تقرير المصروفات حسب الشهر'!$C$1143:$AD$1254,12,FALSE),0)</f>
        <v>0</v>
      </c>
      <c r="N39" s="376">
        <f>IFERROR(VLOOKUP(C39,'تقرير المصروفات حسب الشهر'!$C$1270:$AD$1381,12,FALSE),0)</f>
        <v>1206</v>
      </c>
      <c r="O39" s="376">
        <f>IFERROR(VLOOKUP(C39,'تقرير المصروفات حسب الشهر'!$C$1397:$AI$1512,12,FALSE),0)</f>
        <v>841</v>
      </c>
      <c r="P39" s="364">
        <f t="shared" si="5"/>
        <v>4321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الشهر'!$C$10:$AD$119,12,FALSE),0)</f>
        <v>0</v>
      </c>
      <c r="E40" s="362">
        <f>IFERROR(VLOOKUP(C40,'تقرير المصروفات حسب الشهر'!$C$135:$AD$244,12,FALSE),0)</f>
        <v>0</v>
      </c>
      <c r="F40" s="362">
        <v>3934</v>
      </c>
      <c r="G40" s="362">
        <f>IFERROR(VLOOKUP(C40,'تقرير المصروفات حسب الشهر'!$C$387:$AD$495,12,FALSE),0)</f>
        <v>0</v>
      </c>
      <c r="H40" s="362">
        <f>IFERROR(VLOOKUP(C40,'تقرير المصروفات حسب الشهر'!$C$512:$AD$620,12,FALSE),0)</f>
        <v>0</v>
      </c>
      <c r="I40" s="362">
        <f>IFERROR(VLOOKUP(C40,'تقرير المصروفات حسب الشهر'!$C$637:$AD$746,12,FALSE),0)</f>
        <v>355</v>
      </c>
      <c r="J40" s="362">
        <f>IFERROR(VLOOKUP(C40,'تقرير المصروفات حسب الشهر'!$C$763:$AD$872,12,FALSE),0)</f>
        <v>0</v>
      </c>
      <c r="K40" s="362">
        <f>IFERROR(VLOOKUP(C40,'تقرير المصروفات حسب الشهر'!$C$890:$AD$999,12,FALSE),0)</f>
        <v>0</v>
      </c>
      <c r="L40" s="362">
        <f>IFERROR(VLOOKUP(C40,'تقرير المصروفات حسب الشهر'!$C$1016:$AD$1126,12,FALSE),0)</f>
        <v>0</v>
      </c>
      <c r="M40" s="376">
        <f>IFERROR(VLOOKUP(C40,'تقرير المصروفات حسب الشهر'!$C$1143:$AD$1254,12,FALSE),0)</f>
        <v>0</v>
      </c>
      <c r="N40" s="376">
        <f>IFERROR(VLOOKUP(C40,'تقرير المصروفات حسب الشهر'!$C$1270:$AD$1381,12,FALSE),0)</f>
        <v>0</v>
      </c>
      <c r="O40" s="376">
        <f>IFERROR(VLOOKUP(C40,'تقرير المصروفات حسب الشهر'!$C$1397:$AI$1512,12,FALSE),0)</f>
        <v>0</v>
      </c>
      <c r="P40" s="364">
        <f t="shared" si="5"/>
        <v>4289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الشهر'!$C$10:$AD$119,12,FALSE),0)</f>
        <v>0</v>
      </c>
      <c r="E41" s="362">
        <f>IFERROR(VLOOKUP(C41,'تقرير المصروفات حسب الشهر'!$C$135:$AD$244,12,FALSE),0)</f>
        <v>0</v>
      </c>
      <c r="F41" s="362">
        <v>0</v>
      </c>
      <c r="G41" s="362">
        <f>IFERROR(VLOOKUP(C41,'تقرير المصروفات حسب الشهر'!$C$387:$AD$495,12,FALSE),0)</f>
        <v>0</v>
      </c>
      <c r="H41" s="362">
        <f>IFERROR(VLOOKUP(C41,'تقرير المصروفات حسب الشهر'!$C$512:$AD$620,12,FALSE),0)</f>
        <v>0</v>
      </c>
      <c r="I41" s="362">
        <f>IFERROR(VLOOKUP(C41,'تقرير المصروفات حسب الشهر'!$C$637:$AD$746,12,FALSE),0)</f>
        <v>0</v>
      </c>
      <c r="J41" s="362">
        <f>IFERROR(VLOOKUP(C41,'تقرير المصروفات حسب الشهر'!$C$763:$AD$872,12,FALSE),0)</f>
        <v>0</v>
      </c>
      <c r="K41" s="362">
        <f>IFERROR(VLOOKUP(C41,'تقرير المصروفات حسب الشهر'!$C$890:$AD$999,12,FALSE),0)</f>
        <v>0</v>
      </c>
      <c r="L41" s="362">
        <f>IFERROR(VLOOKUP(C41,'تقرير المصروفات حسب الشهر'!$C$1016:$AD$1126,12,FALSE),0)</f>
        <v>0</v>
      </c>
      <c r="M41" s="376">
        <f>IFERROR(VLOOKUP(C41,'تقرير المصروفات حسب الشهر'!$C$1143:$AD$1254,12,FALSE),0)</f>
        <v>0</v>
      </c>
      <c r="N41" s="376">
        <f>IFERROR(VLOOKUP(C41,'تقرير المصروفات حسب الشهر'!$C$1270:$AD$1381,12,FALSE),0)</f>
        <v>0</v>
      </c>
      <c r="O41" s="376">
        <f>IFERROR(VLOOKUP(C41,'تقرير المصروفات حسب الشهر'!$C$1397:$AI$1512,12,FALSE),0)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الشهر'!$C$10:$AD$119,12,FALSE),0)</f>
        <v>0</v>
      </c>
      <c r="E42" s="362">
        <f>IFERROR(VLOOKUP(C42,'تقرير المصروفات حسب الشهر'!$C$135:$AD$244,12,FALSE),0)</f>
        <v>0</v>
      </c>
      <c r="F42" s="362">
        <v>0</v>
      </c>
      <c r="G42" s="362">
        <f>IFERROR(VLOOKUP(C42,'تقرير المصروفات حسب الشهر'!$C$387:$AD$495,12,FALSE),0)</f>
        <v>0</v>
      </c>
      <c r="H42" s="362">
        <f>IFERROR(VLOOKUP(C42,'تقرير المصروفات حسب الشهر'!$C$512:$AD$620,12,FALSE),0)</f>
        <v>0</v>
      </c>
      <c r="I42" s="362">
        <f>IFERROR(VLOOKUP(C42,'تقرير المصروفات حسب الشهر'!$C$637:$AD$746,12,FALSE),0)</f>
        <v>0</v>
      </c>
      <c r="J42" s="362">
        <f>IFERROR(VLOOKUP(C42,'تقرير المصروفات حسب الشهر'!$C$763:$AD$872,12,FALSE),0)</f>
        <v>0</v>
      </c>
      <c r="K42" s="362">
        <f>IFERROR(VLOOKUP(C42,'تقرير المصروفات حسب الشهر'!$C$890:$AD$999,12,FALSE),0)</f>
        <v>0</v>
      </c>
      <c r="L42" s="362">
        <f>IFERROR(VLOOKUP(C42,'تقرير المصروفات حسب الشهر'!$C$1016:$AD$1126,12,FALSE),0)</f>
        <v>0</v>
      </c>
      <c r="M42" s="376">
        <f>IFERROR(VLOOKUP(C42,'تقرير المصروفات حسب الشهر'!$C$1143:$AD$1254,12,FALSE),0)</f>
        <v>0</v>
      </c>
      <c r="N42" s="376">
        <f>IFERROR(VLOOKUP(C42,'تقرير المصروفات حسب الشهر'!$C$1270:$AD$1381,12,FALSE),0)</f>
        <v>0</v>
      </c>
      <c r="O42" s="376">
        <f>IFERROR(VLOOKUP(C42,'تقرير المصروفات حسب الشهر'!$C$1397:$AI$1512,12,FALSE),0)</f>
        <v>45</v>
      </c>
      <c r="P42" s="364">
        <f t="shared" si="5"/>
        <v>45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الشهر'!$C$10:$AD$119,12,FALSE),0)</f>
        <v>0</v>
      </c>
      <c r="E43" s="362">
        <f>IFERROR(VLOOKUP(C43,'تقرير المصروفات حسب الشهر'!$C$135:$AD$244,12,FALSE),0)</f>
        <v>0</v>
      </c>
      <c r="F43" s="362">
        <v>0</v>
      </c>
      <c r="G43" s="362">
        <f>IFERROR(VLOOKUP(C43,'تقرير المصروفات حسب الشهر'!$C$387:$AD$495,12,FALSE),0)</f>
        <v>0</v>
      </c>
      <c r="H43" s="362">
        <f>IFERROR(VLOOKUP(C43,'تقرير المصروفات حسب الشهر'!$C$512:$AD$620,12,FALSE),0)</f>
        <v>0</v>
      </c>
      <c r="I43" s="362">
        <f>IFERROR(VLOOKUP(C43,'تقرير المصروفات حسب الشهر'!$C$637:$AD$746,12,FALSE),0)</f>
        <v>0</v>
      </c>
      <c r="J43" s="362">
        <f>IFERROR(VLOOKUP(C43,'تقرير المصروفات حسب الشهر'!$C$763:$AD$872,12,FALSE),0)</f>
        <v>0</v>
      </c>
      <c r="K43" s="362">
        <f>IFERROR(VLOOKUP(C43,'تقرير المصروفات حسب الشهر'!$C$890:$AD$999,12,FALSE),0)</f>
        <v>0</v>
      </c>
      <c r="L43" s="362">
        <f>IFERROR(VLOOKUP(C43,'تقرير المصروفات حسب الشهر'!$C$1016:$AD$1126,12,FALSE),0)</f>
        <v>0</v>
      </c>
      <c r="M43" s="376">
        <f>IFERROR(VLOOKUP(C43,'تقرير المصروفات حسب الشهر'!$C$1143:$AD$1254,12,FALSE),0)</f>
        <v>0</v>
      </c>
      <c r="N43" s="376">
        <f>IFERROR(VLOOKUP(C43,'تقرير المصروفات حسب الشهر'!$C$1270:$AD$1381,12,FALSE),0)</f>
        <v>0</v>
      </c>
      <c r="O43" s="376">
        <f>IFERROR(VLOOKUP(C43,'تقرير المصروفات حسب الشهر'!$C$1397:$AI$1512,12,FALSE),0)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الشهر'!$C$10:$AD$119,12,FALSE),0)</f>
        <v>0</v>
      </c>
      <c r="E44" s="362">
        <f>IFERROR(VLOOKUP(C44,'تقرير المصروفات حسب الشهر'!$C$135:$AD$244,12,FALSE),0)</f>
        <v>0</v>
      </c>
      <c r="F44" s="362">
        <v>0</v>
      </c>
      <c r="G44" s="362">
        <f>IFERROR(VLOOKUP(C44,'تقرير المصروفات حسب الشهر'!$C$387:$AD$495,12,FALSE),0)</f>
        <v>0</v>
      </c>
      <c r="H44" s="362">
        <f>IFERROR(VLOOKUP(C44,'تقرير المصروفات حسب الشهر'!$C$512:$AD$620,12,FALSE),0)</f>
        <v>0</v>
      </c>
      <c r="I44" s="362">
        <f>IFERROR(VLOOKUP(C44,'تقرير المصروفات حسب الشهر'!$C$637:$AD$746,12,FALSE),0)</f>
        <v>0</v>
      </c>
      <c r="J44" s="362">
        <f>IFERROR(VLOOKUP(C44,'تقرير المصروفات حسب الشهر'!$C$763:$AD$872,12,FALSE),0)</f>
        <v>0</v>
      </c>
      <c r="K44" s="362">
        <f>IFERROR(VLOOKUP(C44,'تقرير المصروفات حسب الشهر'!$C$890:$AD$999,12,FALSE),0)</f>
        <v>0</v>
      </c>
      <c r="L44" s="362">
        <f>IFERROR(VLOOKUP(C44,'تقرير المصروفات حسب الشهر'!$C$1016:$AD$1126,12,FALSE),0)</f>
        <v>0</v>
      </c>
      <c r="M44" s="376">
        <f>IFERROR(VLOOKUP(C44,'تقرير المصروفات حسب الشهر'!$C$1143:$AD$1254,12,FALSE),0)</f>
        <v>0</v>
      </c>
      <c r="N44" s="376">
        <f>IFERROR(VLOOKUP(C44,'تقرير المصروفات حسب الشهر'!$C$1270:$AD$1381,12,FALSE),0)</f>
        <v>0</v>
      </c>
      <c r="O44" s="376">
        <f>IFERROR(VLOOKUP(C44,'تقرير المصروفات حسب الشهر'!$C$1397:$AI$1512,12,FALSE),0)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الشهر'!$C$10:$AD$119,12,FALSE),0)</f>
        <v>0</v>
      </c>
      <c r="E45" s="362">
        <f>IFERROR(VLOOKUP(C45,'تقرير المصروفات حسب الشهر'!$C$135:$AD$244,12,FALSE),0)</f>
        <v>0</v>
      </c>
      <c r="F45" s="362">
        <v>0</v>
      </c>
      <c r="G45" s="362">
        <f>IFERROR(VLOOKUP(C45,'تقرير المصروفات حسب الشهر'!$C$387:$AD$495,12,FALSE),0)</f>
        <v>0</v>
      </c>
      <c r="H45" s="362">
        <f>IFERROR(VLOOKUP(C45,'تقرير المصروفات حسب الشهر'!$C$512:$AD$620,12,FALSE),0)</f>
        <v>0</v>
      </c>
      <c r="I45" s="362">
        <f>IFERROR(VLOOKUP(C45,'تقرير المصروفات حسب الشهر'!$C$637:$AD$746,12,FALSE),0)</f>
        <v>0</v>
      </c>
      <c r="J45" s="362">
        <f>IFERROR(VLOOKUP(C45,'تقرير المصروفات حسب الشهر'!$C$763:$AD$872,12,FALSE),0)</f>
        <v>0</v>
      </c>
      <c r="K45" s="362">
        <f>IFERROR(VLOOKUP(C45,'تقرير المصروفات حسب الشهر'!$C$890:$AD$999,12,FALSE),0)</f>
        <v>0</v>
      </c>
      <c r="L45" s="362">
        <f>IFERROR(VLOOKUP(C45,'تقرير المصروفات حسب الشهر'!$C$1016:$AD$1126,12,FALSE),0)</f>
        <v>0</v>
      </c>
      <c r="M45" s="376">
        <f>IFERROR(VLOOKUP(C45,'تقرير المصروفات حسب الشهر'!$C$1143:$AD$1254,12,FALSE),0)</f>
        <v>0</v>
      </c>
      <c r="N45" s="376">
        <f>IFERROR(VLOOKUP(C45,'تقرير المصروفات حسب الشهر'!$C$1270:$AD$1381,12,FALSE),0)</f>
        <v>0</v>
      </c>
      <c r="O45" s="376">
        <f>IFERROR(VLOOKUP(C45,'تقرير المصروفات حسب الشهر'!$C$1397:$AI$1512,12,FALSE),0)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الشهر'!$C$10:$AD$119,12,FALSE),0)</f>
        <v>0</v>
      </c>
      <c r="E46" s="362">
        <f>IFERROR(VLOOKUP(C46,'تقرير المصروفات حسب الشهر'!$C$135:$AD$244,12,FALSE),0)</f>
        <v>0</v>
      </c>
      <c r="F46" s="362">
        <v>0</v>
      </c>
      <c r="G46" s="362">
        <f>IFERROR(VLOOKUP(C46,'تقرير المصروفات حسب الشهر'!$C$387:$AD$495,12,FALSE),0)</f>
        <v>0</v>
      </c>
      <c r="H46" s="362">
        <f>IFERROR(VLOOKUP(C46,'تقرير المصروفات حسب الشهر'!$C$512:$AD$620,12,FALSE),0)</f>
        <v>0</v>
      </c>
      <c r="I46" s="362">
        <f>IFERROR(VLOOKUP(C46,'تقرير المصروفات حسب الشهر'!$C$637:$AD$746,12,FALSE),0)</f>
        <v>0</v>
      </c>
      <c r="J46" s="362">
        <f>IFERROR(VLOOKUP(C46,'تقرير المصروفات حسب الشهر'!$C$763:$AD$872,12,FALSE),0)</f>
        <v>0</v>
      </c>
      <c r="K46" s="362">
        <f>IFERROR(VLOOKUP(C46,'تقرير المصروفات حسب الشهر'!$C$890:$AD$999,12,FALSE),0)</f>
        <v>0</v>
      </c>
      <c r="L46" s="362">
        <f>IFERROR(VLOOKUP(C46,'تقرير المصروفات حسب الشهر'!$C$1016:$AD$1126,12,FALSE),0)</f>
        <v>0</v>
      </c>
      <c r="M46" s="376">
        <f>IFERROR(VLOOKUP(C46,'تقرير المصروفات حسب الشهر'!$C$1143:$AD$1254,12,FALSE),0)</f>
        <v>0</v>
      </c>
      <c r="N46" s="376">
        <f>IFERROR(VLOOKUP(C46,'تقرير المصروفات حسب الشهر'!$C$1270:$AD$1381,12,FALSE),0)</f>
        <v>0</v>
      </c>
      <c r="O46" s="376">
        <f>IFERROR(VLOOKUP(C46,'تقرير المصروفات حسب الشهر'!$C$1397:$AI$1512,12,FALSE),0)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الشهر'!$C$10:$AD$119,12,FALSE),0)</f>
        <v>0</v>
      </c>
      <c r="E47" s="362">
        <f>IFERROR(VLOOKUP(C47,'تقرير المصروفات حسب الشهر'!$C$135:$AD$244,12,FALSE),0)</f>
        <v>0</v>
      </c>
      <c r="F47" s="362">
        <v>0</v>
      </c>
      <c r="G47" s="362">
        <f>IFERROR(VLOOKUP(C47,'تقرير المصروفات حسب الشهر'!$C$387:$AD$495,12,FALSE),0)</f>
        <v>0</v>
      </c>
      <c r="H47" s="362">
        <f>IFERROR(VLOOKUP(C47,'تقرير المصروفات حسب الشهر'!$C$512:$AD$620,12,FALSE),0)</f>
        <v>0</v>
      </c>
      <c r="I47" s="362">
        <f>IFERROR(VLOOKUP(C47,'تقرير المصروفات حسب الشهر'!$C$637:$AD$746,12,FALSE),0)</f>
        <v>0</v>
      </c>
      <c r="J47" s="362">
        <f>IFERROR(VLOOKUP(C47,'تقرير المصروفات حسب الشهر'!$C$763:$AD$872,12,FALSE),0)</f>
        <v>0</v>
      </c>
      <c r="K47" s="362">
        <f>IFERROR(VLOOKUP(C47,'تقرير المصروفات حسب الشهر'!$C$890:$AD$999,12,FALSE),0)</f>
        <v>0</v>
      </c>
      <c r="L47" s="362">
        <f>IFERROR(VLOOKUP(C47,'تقرير المصروفات حسب الشهر'!$C$1016:$AD$1126,12,FALSE),0)</f>
        <v>0</v>
      </c>
      <c r="M47" s="376">
        <f>IFERROR(VLOOKUP(C47,'تقرير المصروفات حسب الشهر'!$C$1143:$AD$1254,12,FALSE),0)</f>
        <v>0</v>
      </c>
      <c r="N47" s="376">
        <f>IFERROR(VLOOKUP(C47,'تقرير المصروفات حسب الشهر'!$C$1270:$AD$1381,12,FALSE),0)</f>
        <v>0</v>
      </c>
      <c r="O47" s="376">
        <f>IFERROR(VLOOKUP(C47,'تقرير المصروفات حسب الشهر'!$C$1397:$AI$1512,12,FALSE),0)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الشهر'!$C$10:$AD$119,12,FALSE),0)</f>
        <v>0</v>
      </c>
      <c r="E48" s="362">
        <f>IFERROR(VLOOKUP(C48,'تقرير المصروفات حسب الشهر'!$C$135:$AD$244,12,FALSE),0)</f>
        <v>0</v>
      </c>
      <c r="F48" s="362">
        <v>0</v>
      </c>
      <c r="G48" s="362">
        <f>IFERROR(VLOOKUP(C48,'تقرير المصروفات حسب الشهر'!$C$387:$AD$495,12,FALSE),0)</f>
        <v>0</v>
      </c>
      <c r="H48" s="362">
        <f>IFERROR(VLOOKUP(C48,'تقرير المصروفات حسب الشهر'!$C$512:$AD$620,12,FALSE),0)</f>
        <v>0</v>
      </c>
      <c r="I48" s="362">
        <f>IFERROR(VLOOKUP(C48,'تقرير المصروفات حسب الشهر'!$C$637:$AD$746,12,FALSE),0)</f>
        <v>0</v>
      </c>
      <c r="J48" s="362">
        <f>IFERROR(VLOOKUP(C48,'تقرير المصروفات حسب الشهر'!$C$763:$AD$872,12,FALSE),0)</f>
        <v>0</v>
      </c>
      <c r="K48" s="362">
        <f>IFERROR(VLOOKUP(C48,'تقرير المصروفات حسب الشهر'!$C$890:$AD$999,12,FALSE),0)</f>
        <v>0</v>
      </c>
      <c r="L48" s="362">
        <f>IFERROR(VLOOKUP(C48,'تقرير المصروفات حسب الشهر'!$C$1016:$AD$1126,12,FALSE),0)</f>
        <v>0</v>
      </c>
      <c r="M48" s="376">
        <f>IFERROR(VLOOKUP(C48,'تقرير المصروفات حسب الشهر'!$C$1143:$AD$1254,12,FALSE),0)</f>
        <v>0</v>
      </c>
      <c r="N48" s="376">
        <f>IFERROR(VLOOKUP(C48,'تقرير المصروفات حسب الشهر'!$C$1270:$AD$1381,12,FALSE),0)</f>
        <v>0</v>
      </c>
      <c r="O48" s="376">
        <f>IFERROR(VLOOKUP(C48,'تقرير المصروفات حسب الشهر'!$C$1397:$AI$1512,12,FALSE),0)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الشهر'!$C$10:$AD$119,12,FALSE),0)</f>
        <v>0</v>
      </c>
      <c r="E49" s="362">
        <f>IFERROR(VLOOKUP(C49,'تقرير المصروفات حسب الشهر'!$C$135:$AD$244,12,FALSE),0)</f>
        <v>0</v>
      </c>
      <c r="F49" s="362">
        <v>0</v>
      </c>
      <c r="G49" s="362">
        <f>IFERROR(VLOOKUP(C49,'تقرير المصروفات حسب الشهر'!$C$387:$AD$495,12,FALSE),0)</f>
        <v>0</v>
      </c>
      <c r="H49" s="362">
        <f>IFERROR(VLOOKUP(C49,'تقرير المصروفات حسب الشهر'!$C$512:$AD$620,12,FALSE),0)</f>
        <v>0</v>
      </c>
      <c r="I49" s="362">
        <f>IFERROR(VLOOKUP(C49,'تقرير المصروفات حسب الشهر'!$C$637:$AD$746,12,FALSE),0)</f>
        <v>0</v>
      </c>
      <c r="J49" s="362">
        <f>IFERROR(VLOOKUP(C49,'تقرير المصروفات حسب الشهر'!$C$763:$AD$872,12,FALSE),0)</f>
        <v>0</v>
      </c>
      <c r="K49" s="362">
        <f>IFERROR(VLOOKUP(C49,'تقرير المصروفات حسب الشهر'!$C$890:$AD$999,12,FALSE),0)</f>
        <v>0</v>
      </c>
      <c r="L49" s="362">
        <f>IFERROR(VLOOKUP(C49,'تقرير المصروفات حسب الشهر'!$C$1016:$AD$1126,12,FALSE),0)</f>
        <v>0</v>
      </c>
      <c r="M49" s="376">
        <f>IFERROR(VLOOKUP(C49,'تقرير المصروفات حسب الشهر'!$C$1143:$AD$1254,12,FALSE),0)</f>
        <v>0</v>
      </c>
      <c r="N49" s="376">
        <f>IFERROR(VLOOKUP(C49,'تقرير المصروفات حسب الشهر'!$C$1270:$AD$1381,12,FALSE),0)</f>
        <v>0</v>
      </c>
      <c r="O49" s="376">
        <f>IFERROR(VLOOKUP(C49,'تقرير المصروفات حسب الشهر'!$C$1397:$AI$1512,12,FALSE),0)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الشهر'!$C$10:$AD$119,12,FALSE),0)</f>
        <v>0</v>
      </c>
      <c r="E50" s="362">
        <f>IFERROR(VLOOKUP(C50,'تقرير المصروفات حسب الشهر'!$C$135:$AD$244,12,FALSE),0)</f>
        <v>0</v>
      </c>
      <c r="F50" s="362">
        <v>0</v>
      </c>
      <c r="G50" s="362">
        <f>IFERROR(VLOOKUP(C50,'تقرير المصروفات حسب الشهر'!$C$387:$AD$495,12,FALSE),0)</f>
        <v>0</v>
      </c>
      <c r="H50" s="362">
        <f>IFERROR(VLOOKUP(C50,'تقرير المصروفات حسب الشهر'!$C$512:$AD$620,12,FALSE),0)</f>
        <v>0</v>
      </c>
      <c r="I50" s="362">
        <f>IFERROR(VLOOKUP(C50,'تقرير المصروفات حسب الشهر'!$C$637:$AD$746,12,FALSE),0)</f>
        <v>0</v>
      </c>
      <c r="J50" s="362">
        <f>IFERROR(VLOOKUP(C50,'تقرير المصروفات حسب الشهر'!$C$763:$AD$872,12,FALSE),0)</f>
        <v>0</v>
      </c>
      <c r="K50" s="362">
        <f>IFERROR(VLOOKUP(C50,'تقرير المصروفات حسب الشهر'!$C$890:$AD$999,12,FALSE),0)</f>
        <v>0</v>
      </c>
      <c r="L50" s="362">
        <f>IFERROR(VLOOKUP(C50,'تقرير المصروفات حسب الشهر'!$C$1016:$AD$1126,12,FALSE),0)</f>
        <v>0</v>
      </c>
      <c r="M50" s="376">
        <f>IFERROR(VLOOKUP(C50,'تقرير المصروفات حسب الشهر'!$C$1143:$AD$1254,12,FALSE),0)</f>
        <v>0</v>
      </c>
      <c r="N50" s="376">
        <f>IFERROR(VLOOKUP(C50,'تقرير المصروفات حسب الشهر'!$C$1270:$AD$1381,12,FALSE),0)</f>
        <v>0</v>
      </c>
      <c r="O50" s="376">
        <f>IFERROR(VLOOKUP(C50,'تقرير المصروفات حسب الشهر'!$C$1397:$AI$1512,12,FALSE),0)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الشهر'!$C$10:$AD$119,12,FALSE),0)</f>
        <v>0</v>
      </c>
      <c r="E51" s="362">
        <f>IFERROR(VLOOKUP(C51,'تقرير المصروفات حسب الشهر'!$C$135:$AD$244,12,FALSE),0)</f>
        <v>0</v>
      </c>
      <c r="F51" s="362">
        <v>0</v>
      </c>
      <c r="G51" s="362">
        <f>IFERROR(VLOOKUP(C51,'تقرير المصروفات حسب الشهر'!$C$387:$AD$495,12,FALSE),0)</f>
        <v>0</v>
      </c>
      <c r="H51" s="362">
        <f>IFERROR(VLOOKUP(C51,'تقرير المصروفات حسب الشهر'!$C$512:$AD$620,12,FALSE),0)</f>
        <v>750</v>
      </c>
      <c r="I51" s="362">
        <f>IFERROR(VLOOKUP(C51,'تقرير المصروفات حسب الشهر'!$C$637:$AD$746,12,FALSE),0)</f>
        <v>0</v>
      </c>
      <c r="J51" s="362">
        <f>IFERROR(VLOOKUP(C51,'تقرير المصروفات حسب الشهر'!$C$763:$AD$872,12,FALSE),0)</f>
        <v>0</v>
      </c>
      <c r="K51" s="362">
        <f>IFERROR(VLOOKUP(C51,'تقرير المصروفات حسب الشهر'!$C$890:$AD$999,12,FALSE),0)</f>
        <v>0</v>
      </c>
      <c r="L51" s="362">
        <f>IFERROR(VLOOKUP(C51,'تقرير المصروفات حسب الشهر'!$C$1016:$AD$1126,12,FALSE),0)</f>
        <v>0</v>
      </c>
      <c r="M51" s="376">
        <f>IFERROR(VLOOKUP(C51,'تقرير المصروفات حسب الشهر'!$C$1143:$AD$1254,12,FALSE),0)</f>
        <v>0</v>
      </c>
      <c r="N51" s="376">
        <f>IFERROR(VLOOKUP(C51,'تقرير المصروفات حسب الشهر'!$C$1270:$AD$1381,12,FALSE),0)</f>
        <v>0</v>
      </c>
      <c r="O51" s="376">
        <f>IFERROR(VLOOKUP(C51,'تقرير المصروفات حسب الشهر'!$C$1397:$AI$1512,12,FALSE),0)</f>
        <v>0</v>
      </c>
      <c r="P51" s="364">
        <f t="shared" si="5"/>
        <v>750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الشهر'!$C$10:$AD$119,12,FALSE),0)</f>
        <v>0</v>
      </c>
      <c r="E52" s="362">
        <f>IFERROR(VLOOKUP(C52,'تقرير المصروفات حسب الشهر'!$C$135:$AD$244,12,FALSE),0)</f>
        <v>0</v>
      </c>
      <c r="F52" s="362">
        <v>0</v>
      </c>
      <c r="G52" s="362">
        <f>IFERROR(VLOOKUP(C52,'تقرير المصروفات حسب الشهر'!$C$387:$AD$495,12,FALSE),0)</f>
        <v>0</v>
      </c>
      <c r="H52" s="362">
        <f>IFERROR(VLOOKUP(C52,'تقرير المصروفات حسب الشهر'!$C$512:$AD$620,12,FALSE),0)</f>
        <v>0</v>
      </c>
      <c r="I52" s="362">
        <f>IFERROR(VLOOKUP(C52,'تقرير المصروفات حسب الشهر'!$C$637:$AD$746,12,FALSE),0)</f>
        <v>0</v>
      </c>
      <c r="J52" s="362">
        <f>IFERROR(VLOOKUP(C52,'تقرير المصروفات حسب الشهر'!$C$763:$AD$872,12,FALSE),0)</f>
        <v>0</v>
      </c>
      <c r="K52" s="362">
        <f>IFERROR(VLOOKUP(C52,'تقرير المصروفات حسب الشهر'!$C$890:$AD$999,12,FALSE),0)</f>
        <v>0</v>
      </c>
      <c r="L52" s="362">
        <f>IFERROR(VLOOKUP(C52,'تقرير المصروفات حسب الشهر'!$C$1016:$AD$1126,12,FALSE),0)</f>
        <v>0</v>
      </c>
      <c r="M52" s="376">
        <f>IFERROR(VLOOKUP(C52,'تقرير المصروفات حسب الشهر'!$C$1143:$AD$1254,12,FALSE),0)</f>
        <v>0</v>
      </c>
      <c r="N52" s="376">
        <f>IFERROR(VLOOKUP(C52,'تقرير المصروفات حسب الشهر'!$C$1270:$AD$1381,12,FALSE),0)</f>
        <v>0</v>
      </c>
      <c r="O52" s="376">
        <f>IFERROR(VLOOKUP(C52,'تقرير المصروفات حسب الشهر'!$C$1397:$AI$1512,12,FALSE),0)</f>
        <v>0</v>
      </c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الشهر'!$C$10:$AD$119,12,FALSE),0)</f>
        <v>0</v>
      </c>
      <c r="E53" s="362">
        <f>IFERROR(VLOOKUP(C53,'تقرير المصروفات حسب الشهر'!$C$135:$AD$244,12,FALSE),0)</f>
        <v>0</v>
      </c>
      <c r="F53" s="362">
        <v>0</v>
      </c>
      <c r="G53" s="362">
        <f>IFERROR(VLOOKUP(C53,'تقرير المصروفات حسب الشهر'!$C$387:$AD$495,12,FALSE),0)</f>
        <v>0</v>
      </c>
      <c r="H53" s="362">
        <f>IFERROR(VLOOKUP(C53,'تقرير المصروفات حسب الشهر'!$C$512:$AD$620,12,FALSE),0)</f>
        <v>0</v>
      </c>
      <c r="I53" s="362">
        <f>IFERROR(VLOOKUP(C53,'تقرير المصروفات حسب الشهر'!$C$637:$AD$746,12,FALSE),0)</f>
        <v>0</v>
      </c>
      <c r="J53" s="362">
        <f>IFERROR(VLOOKUP(C53,'تقرير المصروفات حسب الشهر'!$C$763:$AD$872,12,FALSE),0)</f>
        <v>0</v>
      </c>
      <c r="K53" s="362">
        <f>IFERROR(VLOOKUP(C53,'تقرير المصروفات حسب الشهر'!$C$890:$AD$999,12,FALSE),0)</f>
        <v>0</v>
      </c>
      <c r="L53" s="362">
        <f>IFERROR(VLOOKUP(C53,'تقرير المصروفات حسب الشهر'!$C$1016:$AD$1126,12,FALSE),0)</f>
        <v>0</v>
      </c>
      <c r="M53" s="376">
        <f>IFERROR(VLOOKUP(C53,'تقرير المصروفات حسب الشهر'!$C$1143:$AD$1254,12,FALSE),0)</f>
        <v>0</v>
      </c>
      <c r="N53" s="376">
        <f>IFERROR(VLOOKUP(C53,'تقرير المصروفات حسب الشهر'!$C$1270:$AD$1381,12,FALSE),0)</f>
        <v>0</v>
      </c>
      <c r="O53" s="376">
        <f>IFERROR(VLOOKUP(C53,'تقرير المصروفات حسب الشهر'!$C$1397:$AI$1512,12,FALSE),0)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الشهر'!$C$10:$AD$119,12,FALSE),0)</f>
        <v>700</v>
      </c>
      <c r="E54" s="362">
        <f>IFERROR(VLOOKUP(C54,'تقرير المصروفات حسب الشهر'!$C$135:$AD$244,12,FALSE),0)</f>
        <v>0</v>
      </c>
      <c r="F54" s="362">
        <v>0</v>
      </c>
      <c r="G54" s="362">
        <f>IFERROR(VLOOKUP(C54,'تقرير المصروفات حسب الشهر'!$C$387:$AD$495,12,FALSE),0)</f>
        <v>0</v>
      </c>
      <c r="H54" s="362">
        <f>IFERROR(VLOOKUP(C54,'تقرير المصروفات حسب الشهر'!$C$512:$AD$620,12,FALSE),0)</f>
        <v>0</v>
      </c>
      <c r="I54" s="362">
        <f>IFERROR(VLOOKUP(C54,'تقرير المصروفات حسب الشهر'!$C$637:$AD$746,12,FALSE),0)</f>
        <v>0</v>
      </c>
      <c r="J54" s="362">
        <f>IFERROR(VLOOKUP(C54,'تقرير المصروفات حسب الشهر'!$C$763:$AD$872,12,FALSE),0)</f>
        <v>0</v>
      </c>
      <c r="K54" s="362">
        <f>IFERROR(VLOOKUP(C54,'تقرير المصروفات حسب الشهر'!$C$890:$AD$999,12,FALSE),0)</f>
        <v>0</v>
      </c>
      <c r="L54" s="362">
        <f>IFERROR(VLOOKUP(C54,'تقرير المصروفات حسب الشهر'!$C$1016:$AD$1126,12,FALSE),0)</f>
        <v>0</v>
      </c>
      <c r="M54" s="376">
        <f>IFERROR(VLOOKUP(C54,'تقرير المصروفات حسب الشهر'!$C$1143:$AD$1254,12,FALSE),0)</f>
        <v>450</v>
      </c>
      <c r="N54" s="376">
        <f>IFERROR(VLOOKUP(C54,'تقرير المصروفات حسب الشهر'!$C$1270:$AD$1381,12,FALSE),0)</f>
        <v>0</v>
      </c>
      <c r="O54" s="376">
        <f>IFERROR(VLOOKUP(C54,'تقرير المصروفات حسب الشهر'!$C$1397:$AI$1512,12,FALSE),0)</f>
        <v>0</v>
      </c>
      <c r="P54" s="364">
        <f t="shared" si="5"/>
        <v>1150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الشهر'!$C$10:$AD$119,12,FALSE),0)</f>
        <v>0</v>
      </c>
      <c r="E55" s="362">
        <f>IFERROR(VLOOKUP(C55,'تقرير المصروفات حسب الشهر'!$C$135:$AD$244,12,FALSE),0)</f>
        <v>0</v>
      </c>
      <c r="F55" s="362">
        <v>0</v>
      </c>
      <c r="G55" s="362">
        <f>IFERROR(VLOOKUP(C55,'تقرير المصروفات حسب الشهر'!$C$387:$AD$495,12,FALSE),0)</f>
        <v>0</v>
      </c>
      <c r="H55" s="362">
        <f>IFERROR(VLOOKUP(C55,'تقرير المصروفات حسب الشهر'!$C$512:$AD$620,12,FALSE),0)</f>
        <v>0</v>
      </c>
      <c r="I55" s="362">
        <f>IFERROR(VLOOKUP(C55,'تقرير المصروفات حسب الشهر'!$C$637:$AD$746,12,FALSE),0)</f>
        <v>0</v>
      </c>
      <c r="J55" s="362">
        <f>IFERROR(VLOOKUP(C55,'تقرير المصروفات حسب الشهر'!$C$763:$AD$872,12,FALSE),0)</f>
        <v>0</v>
      </c>
      <c r="K55" s="362">
        <f>IFERROR(VLOOKUP(C55,'تقرير المصروفات حسب الشهر'!$C$890:$AD$999,12,FALSE),0)</f>
        <v>0</v>
      </c>
      <c r="L55" s="362">
        <f>IFERROR(VLOOKUP(C55,'تقرير المصروفات حسب الشهر'!$C$1016:$AD$1126,12,FALSE),0)</f>
        <v>0</v>
      </c>
      <c r="M55" s="376">
        <f>IFERROR(VLOOKUP(C55,'تقرير المصروفات حسب الشهر'!$C$1143:$AD$1254,12,FALSE),0)</f>
        <v>0</v>
      </c>
      <c r="N55" s="376">
        <f>IFERROR(VLOOKUP(C55,'تقرير المصروفات حسب الشهر'!$C$1270:$AD$1381,12,FALSE),0)</f>
        <v>0</v>
      </c>
      <c r="O55" s="376">
        <f>IFERROR(VLOOKUP(C55,'تقرير المصروفات حسب الشهر'!$C$1397:$AI$1512,12,FALSE),0)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الشهر'!$C$10:$AD$119,12,FALSE),0)</f>
        <v>0</v>
      </c>
      <c r="E56" s="362">
        <f>IFERROR(VLOOKUP(C56,'تقرير المصروفات حسب الشهر'!$C$135:$AD$244,12,FALSE),0)</f>
        <v>0</v>
      </c>
      <c r="F56" s="362">
        <v>0</v>
      </c>
      <c r="G56" s="362">
        <f>IFERROR(VLOOKUP(C56,'تقرير المصروفات حسب الشهر'!$C$387:$AD$495,12,FALSE),0)</f>
        <v>0</v>
      </c>
      <c r="H56" s="362">
        <f>IFERROR(VLOOKUP(C56,'تقرير المصروفات حسب الشهر'!$C$512:$AD$620,12,FALSE),0)</f>
        <v>0</v>
      </c>
      <c r="I56" s="362">
        <f>IFERROR(VLOOKUP(C56,'تقرير المصروفات حسب الشهر'!$C$637:$AD$746,12,FALSE),0)</f>
        <v>0</v>
      </c>
      <c r="J56" s="362">
        <f>IFERROR(VLOOKUP(C56,'تقرير المصروفات حسب الشهر'!$C$763:$AD$872,12,FALSE),0)</f>
        <v>0</v>
      </c>
      <c r="K56" s="362">
        <f>IFERROR(VLOOKUP(C56,'تقرير المصروفات حسب الشهر'!$C$890:$AD$999,12,FALSE),0)</f>
        <v>0</v>
      </c>
      <c r="L56" s="362">
        <f>IFERROR(VLOOKUP(C56,'تقرير المصروفات حسب الشهر'!$C$1016:$AD$1126,12,FALSE),0)</f>
        <v>0</v>
      </c>
      <c r="M56" s="376">
        <f>IFERROR(VLOOKUP(C56,'تقرير المصروفات حسب الشهر'!$C$1143:$AD$1254,12,FALSE),0)</f>
        <v>0</v>
      </c>
      <c r="N56" s="376">
        <f>IFERROR(VLOOKUP(C56,'تقرير المصروفات حسب الشهر'!$C$1270:$AD$1381,12,FALSE),0)</f>
        <v>0</v>
      </c>
      <c r="O56" s="376">
        <f>IFERROR(VLOOKUP(C56,'تقرير المصروفات حسب الشهر'!$C$1397:$AI$1512,12,FALSE),0)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الشهر'!$C$10:$AD$119,12,FALSE),0)</f>
        <v>0</v>
      </c>
      <c r="E57" s="362">
        <f>IFERROR(VLOOKUP(C57,'تقرير المصروفات حسب الشهر'!$C$135:$AD$244,12,FALSE),0)</f>
        <v>0</v>
      </c>
      <c r="F57" s="362">
        <v>0</v>
      </c>
      <c r="G57" s="362">
        <f>IFERROR(VLOOKUP(C57,'تقرير المصروفات حسب الشهر'!$C$387:$AD$495,12,FALSE),0)</f>
        <v>0</v>
      </c>
      <c r="H57" s="362">
        <f>IFERROR(VLOOKUP(C57,'تقرير المصروفات حسب الشهر'!$C$512:$AD$620,12,FALSE),0)</f>
        <v>0</v>
      </c>
      <c r="I57" s="362">
        <f>IFERROR(VLOOKUP(C57,'تقرير المصروفات حسب الشهر'!$C$637:$AD$746,12,FALSE),0)</f>
        <v>0</v>
      </c>
      <c r="J57" s="362">
        <f>IFERROR(VLOOKUP(C57,'تقرير المصروفات حسب الشهر'!$C$763:$AD$872,12,FALSE),0)</f>
        <v>0</v>
      </c>
      <c r="K57" s="362">
        <f>IFERROR(VLOOKUP(C57,'تقرير المصروفات حسب الشهر'!$C$890:$AD$999,12,FALSE),0)</f>
        <v>0</v>
      </c>
      <c r="L57" s="362">
        <f>IFERROR(VLOOKUP(C57,'تقرير المصروفات حسب الشهر'!$C$1016:$AD$1126,12,FALSE),0)</f>
        <v>0</v>
      </c>
      <c r="M57" s="376">
        <f>IFERROR(VLOOKUP(C57,'تقرير المصروفات حسب الشهر'!$C$1143:$AD$1254,12,FALSE),0)</f>
        <v>0</v>
      </c>
      <c r="N57" s="376">
        <f>IFERROR(VLOOKUP(C57,'تقرير المصروفات حسب الشهر'!$C$1270:$AD$1381,12,FALSE),0)</f>
        <v>0</v>
      </c>
      <c r="O57" s="376">
        <f>IFERROR(VLOOKUP(C57,'تقرير المصروفات حسب الشهر'!$C$1397:$AI$1512,12,FALSE),0)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الشهر'!$C$10:$AD$119,12,FALSE),0)</f>
        <v>0</v>
      </c>
      <c r="E58" s="362">
        <f>IFERROR(VLOOKUP(C58,'تقرير المصروفات حسب الشهر'!$C$135:$AD$244,12,FALSE),0)</f>
        <v>0</v>
      </c>
      <c r="F58" s="362">
        <v>0</v>
      </c>
      <c r="G58" s="362">
        <f>IFERROR(VLOOKUP(C58,'تقرير المصروفات حسب الشهر'!$C$387:$AD$495,12,FALSE),0)</f>
        <v>0</v>
      </c>
      <c r="H58" s="362">
        <f>IFERROR(VLOOKUP(C58,'تقرير المصروفات حسب الشهر'!$C$512:$AD$620,12,FALSE),0)</f>
        <v>0</v>
      </c>
      <c r="I58" s="362">
        <f>IFERROR(VLOOKUP(C58,'تقرير المصروفات حسب الشهر'!$C$637:$AD$746,12,FALSE),0)</f>
        <v>0</v>
      </c>
      <c r="J58" s="362">
        <f>IFERROR(VLOOKUP(C58,'تقرير المصروفات حسب الشهر'!$C$763:$AD$872,12,FALSE),0)</f>
        <v>0</v>
      </c>
      <c r="K58" s="362">
        <f>IFERROR(VLOOKUP(C58,'تقرير المصروفات حسب الشهر'!$C$890:$AD$999,12,FALSE),0)</f>
        <v>0</v>
      </c>
      <c r="L58" s="362">
        <f>IFERROR(VLOOKUP(C58,'تقرير المصروفات حسب الشهر'!$C$1016:$AD$1126,12,FALSE),0)</f>
        <v>0</v>
      </c>
      <c r="M58" s="376">
        <f>IFERROR(VLOOKUP(C58,'تقرير المصروفات حسب الشهر'!$C$1143:$AD$1254,12,FALSE),0)</f>
        <v>0</v>
      </c>
      <c r="N58" s="376">
        <f>IFERROR(VLOOKUP(C58,'تقرير المصروفات حسب الشهر'!$C$1270:$AD$1381,12,FALSE),0)</f>
        <v>0</v>
      </c>
      <c r="O58" s="376">
        <f>IFERROR(VLOOKUP(C58,'تقرير المصروفات حسب الشهر'!$C$1397:$AI$1512,12,FALSE),0)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الشهر'!$C$10:$AD$119,12,FALSE),0)</f>
        <v>0</v>
      </c>
      <c r="E59" s="362">
        <f>IFERROR(VLOOKUP(C59,'تقرير المصروفات حسب الشهر'!$C$135:$AD$244,12,FALSE),0)</f>
        <v>855.25</v>
      </c>
      <c r="F59" s="362">
        <v>899.5</v>
      </c>
      <c r="G59" s="362">
        <f>IFERROR(VLOOKUP(C59,'تقرير المصروفات حسب الشهر'!$C$387:$AD$495,12,FALSE),0)</f>
        <v>1300.25</v>
      </c>
      <c r="H59" s="362">
        <f>IFERROR(VLOOKUP(C59,'تقرير المصروفات حسب الشهر'!$C$512:$AD$620,12,FALSE),0)</f>
        <v>0</v>
      </c>
      <c r="I59" s="362">
        <f>IFERROR(VLOOKUP(C59,'تقرير المصروفات حسب الشهر'!$C$637:$AD$746,12,FALSE),0)</f>
        <v>722.75</v>
      </c>
      <c r="J59" s="362">
        <f>IFERROR(VLOOKUP(C59,'تقرير المصروفات حسب الشهر'!$C$763:$AD$872,12,FALSE),0)</f>
        <v>1700.25</v>
      </c>
      <c r="K59" s="362">
        <f>IFERROR(VLOOKUP(C59,'تقرير المصروفات حسب الشهر'!$C$890:$AD$999,12,FALSE),0)</f>
        <v>0</v>
      </c>
      <c r="L59" s="362">
        <f>IFERROR(VLOOKUP(C59,'تقرير المصروفات حسب الشهر'!$C$1016:$AD$1126,12,FALSE),0)</f>
        <v>3999.25</v>
      </c>
      <c r="M59" s="376">
        <f>IFERROR(VLOOKUP(C59,'تقرير المصروفات حسب الشهر'!$C$1143:$AD$1254,12,FALSE),0)</f>
        <v>1500.67</v>
      </c>
      <c r="N59" s="376">
        <f>IFERROR(VLOOKUP(C59,'تقرير المصروفات حسب الشهر'!$C$1270:$AD$1381,12,FALSE),0)</f>
        <v>1300.25</v>
      </c>
      <c r="O59" s="376">
        <f>IFERROR(VLOOKUP(C59,'تقرير المصروفات حسب الشهر'!$C$1397:$AI$1512,12,FALSE),0)</f>
        <v>1300.25</v>
      </c>
      <c r="P59" s="364">
        <f t="shared" si="5"/>
        <v>13578.42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الشهر'!$C$10:$AD$119,12,FALSE),0)</f>
        <v>3120</v>
      </c>
      <c r="E60" s="362">
        <f>IFERROR(VLOOKUP(C60,'تقرير المصروفات حسب الشهر'!$C$135:$AD$244,12,FALSE),0)</f>
        <v>0</v>
      </c>
      <c r="F60" s="362">
        <v>2250</v>
      </c>
      <c r="G60" s="362">
        <f>IFERROR(VLOOKUP(C60,'تقرير المصروفات حسب الشهر'!$C$387:$AD$495,12,FALSE),0)</f>
        <v>0</v>
      </c>
      <c r="H60" s="362">
        <f>IFERROR(VLOOKUP(C60,'تقرير المصروفات حسب الشهر'!$C$512:$AD$620,12,FALSE),0)</f>
        <v>0</v>
      </c>
      <c r="I60" s="362">
        <f>IFERROR(VLOOKUP(C60,'تقرير المصروفات حسب الشهر'!$C$637:$AD$746,12,FALSE),0)</f>
        <v>775</v>
      </c>
      <c r="J60" s="362">
        <f>IFERROR(VLOOKUP(C60,'تقرير المصروفات حسب الشهر'!$C$763:$AD$872,12,FALSE),0)</f>
        <v>0</v>
      </c>
      <c r="K60" s="362">
        <f>IFERROR(VLOOKUP(C60,'تقرير المصروفات حسب الشهر'!$C$890:$AD$999,12,FALSE),0)</f>
        <v>0</v>
      </c>
      <c r="L60" s="362">
        <f>IFERROR(VLOOKUP(C60,'تقرير المصروفات حسب الشهر'!$C$1016:$AD$1126,12,FALSE),0)</f>
        <v>0</v>
      </c>
      <c r="M60" s="376">
        <f>IFERROR(VLOOKUP(C60,'تقرير المصروفات حسب الشهر'!$C$1143:$AD$1254,12,FALSE),0)</f>
        <v>4950</v>
      </c>
      <c r="N60" s="376">
        <f>IFERROR(VLOOKUP(C60,'تقرير المصروفات حسب الشهر'!$C$1270:$AD$1381,12,FALSE),0)</f>
        <v>0</v>
      </c>
      <c r="O60" s="376">
        <f>IFERROR(VLOOKUP(C60,'تقرير المصروفات حسب الشهر'!$C$1397:$AI$1512,12,FALSE),0)</f>
        <v>0</v>
      </c>
      <c r="P60" s="364">
        <f t="shared" si="5"/>
        <v>11095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الشهر'!$C$10:$AD$119,12,FALSE),0)</f>
        <v>0</v>
      </c>
      <c r="E61" s="362">
        <f>IFERROR(VLOOKUP(C61,'تقرير المصروفات حسب الشهر'!$C$135:$AD$244,12,FALSE),0)</f>
        <v>0</v>
      </c>
      <c r="F61" s="362">
        <v>0</v>
      </c>
      <c r="G61" s="362">
        <f>IFERROR(VLOOKUP(C61,'تقرير المصروفات حسب الشهر'!$C$387:$AD$495,12,FALSE),0)</f>
        <v>0</v>
      </c>
      <c r="H61" s="362">
        <f>IFERROR(VLOOKUP(C61,'تقرير المصروفات حسب الشهر'!$C$512:$AD$620,12,FALSE),0)</f>
        <v>0</v>
      </c>
      <c r="I61" s="362">
        <f>IFERROR(VLOOKUP(C61,'تقرير المصروفات حسب الشهر'!$C$637:$AD$746,12,FALSE),0)</f>
        <v>0</v>
      </c>
      <c r="J61" s="362">
        <f>IFERROR(VLOOKUP(C61,'تقرير المصروفات حسب الشهر'!$C$763:$AD$872,12,FALSE),0)</f>
        <v>0</v>
      </c>
      <c r="K61" s="362">
        <f>IFERROR(VLOOKUP(C61,'تقرير المصروفات حسب الشهر'!$C$890:$AD$999,12,FALSE),0)</f>
        <v>0</v>
      </c>
      <c r="L61" s="362">
        <f>IFERROR(VLOOKUP(C61,'تقرير المصروفات حسب الشهر'!$C$1016:$AD$1126,12,FALSE),0)</f>
        <v>350</v>
      </c>
      <c r="M61" s="376">
        <f>IFERROR(VLOOKUP(C61,'تقرير المصروفات حسب الشهر'!$C$1143:$AD$1254,12,FALSE),0)</f>
        <v>0</v>
      </c>
      <c r="N61" s="376">
        <f>IFERROR(VLOOKUP(C61,'تقرير المصروفات حسب الشهر'!$C$1270:$AD$1381,12,FALSE),0)</f>
        <v>0</v>
      </c>
      <c r="O61" s="376">
        <f>IFERROR(VLOOKUP(C61,'تقرير المصروفات حسب الشهر'!$C$1397:$AI$1512,12,FALSE),0)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الشهر'!$C$10:$AD$119,12,FALSE),0)</f>
        <v>0</v>
      </c>
      <c r="E62" s="362">
        <f>IFERROR(VLOOKUP(C62,'تقرير المصروفات حسب الشهر'!$C$135:$AD$244,12,FALSE),0)</f>
        <v>0</v>
      </c>
      <c r="F62" s="362">
        <v>0</v>
      </c>
      <c r="G62" s="362">
        <f>IFERROR(VLOOKUP(C62,'تقرير المصروفات حسب الشهر'!$C$387:$AD$495,12,FALSE),0)</f>
        <v>0</v>
      </c>
      <c r="H62" s="362">
        <f>IFERROR(VLOOKUP(C62,'تقرير المصروفات حسب الشهر'!$C$512:$AD$620,12,FALSE),0)</f>
        <v>0</v>
      </c>
      <c r="I62" s="362">
        <f>IFERROR(VLOOKUP(C62,'تقرير المصروفات حسب الشهر'!$C$637:$AD$746,12,FALSE),0)</f>
        <v>0</v>
      </c>
      <c r="J62" s="362">
        <f>IFERROR(VLOOKUP(C62,'تقرير المصروفات حسب الشهر'!$C$763:$AD$872,12,FALSE),0)</f>
        <v>0</v>
      </c>
      <c r="K62" s="362">
        <f>IFERROR(VLOOKUP(C62,'تقرير المصروفات حسب الشهر'!$C$890:$AD$999,12,FALSE),0)</f>
        <v>0</v>
      </c>
      <c r="L62" s="362">
        <f>IFERROR(VLOOKUP(C62,'تقرير المصروفات حسب الشهر'!$C$1016:$AD$1126,12,FALSE),0)</f>
        <v>0</v>
      </c>
      <c r="M62" s="376">
        <f>IFERROR(VLOOKUP(C62,'تقرير المصروفات حسب الشهر'!$C$1143:$AD$1254,12,FALSE),0)</f>
        <v>0</v>
      </c>
      <c r="N62" s="376">
        <f>IFERROR(VLOOKUP(C62,'تقرير المصروفات حسب الشهر'!$C$1270:$AD$1381,12,FALSE),0)</f>
        <v>0</v>
      </c>
      <c r="O62" s="376">
        <f>IFERROR(VLOOKUP(C62,'تقرير المصروفات حسب الشهر'!$C$1397:$AI$1512,12,FALSE),0)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الشهر'!$C$10:$AD$119,12,FALSE),0)</f>
        <v>0</v>
      </c>
      <c r="E63" s="362">
        <f>IFERROR(VLOOKUP(C63,'تقرير المصروفات حسب الشهر'!$C$135:$AD$244,12,FALSE),0)</f>
        <v>0</v>
      </c>
      <c r="F63" s="362">
        <v>0</v>
      </c>
      <c r="G63" s="362">
        <f>IFERROR(VLOOKUP(C63,'تقرير المصروفات حسب الشهر'!$C$387:$AD$495,12,FALSE),0)</f>
        <v>0</v>
      </c>
      <c r="H63" s="362">
        <f>IFERROR(VLOOKUP(C63,'تقرير المصروفات حسب الشهر'!$C$512:$AD$620,12,FALSE),0)</f>
        <v>0</v>
      </c>
      <c r="I63" s="362">
        <f>IFERROR(VLOOKUP(C63,'تقرير المصروفات حسب الشهر'!$C$637:$AD$746,12,FALSE),0)</f>
        <v>0</v>
      </c>
      <c r="J63" s="362">
        <f>IFERROR(VLOOKUP(C63,'تقرير المصروفات حسب الشهر'!$C$763:$AD$872,12,FALSE),0)</f>
        <v>0</v>
      </c>
      <c r="K63" s="362">
        <f>IFERROR(VLOOKUP(C63,'تقرير المصروفات حسب الشهر'!$C$890:$AD$999,12,FALSE),0)</f>
        <v>0</v>
      </c>
      <c r="L63" s="362">
        <f>IFERROR(VLOOKUP(C63,'تقرير المصروفات حسب الشهر'!$C$1016:$AD$1126,12,FALSE),0)</f>
        <v>0</v>
      </c>
      <c r="M63" s="376">
        <f>IFERROR(VLOOKUP(C63,'تقرير المصروفات حسب الشهر'!$C$1143:$AD$1254,12,FALSE),0)</f>
        <v>0</v>
      </c>
      <c r="N63" s="376">
        <f>IFERROR(VLOOKUP(C63,'تقرير المصروفات حسب الشهر'!$C$1270:$AD$1381,12,FALSE),0)</f>
        <v>0</v>
      </c>
      <c r="O63" s="376">
        <f>IFERROR(VLOOKUP(C63,'تقرير المصروفات حسب الشهر'!$C$1397:$AI$1512,12,FALSE),0)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الشهر'!$C$10:$AD$119,12,FALSE),0)</f>
        <v>0</v>
      </c>
      <c r="E64" s="362">
        <f>IFERROR(VLOOKUP(C64,'تقرير المصروفات حسب الشهر'!$C$135:$AD$244,12,FALSE),0)</f>
        <v>0</v>
      </c>
      <c r="F64" s="362">
        <v>0</v>
      </c>
      <c r="G64" s="362">
        <f>IFERROR(VLOOKUP(C64,'تقرير المصروفات حسب الشهر'!$C$387:$AD$495,12,FALSE),0)</f>
        <v>0</v>
      </c>
      <c r="H64" s="362">
        <f>IFERROR(VLOOKUP(C64,'تقرير المصروفات حسب الشهر'!$C$512:$AD$620,12,FALSE),0)</f>
        <v>0</v>
      </c>
      <c r="I64" s="362">
        <f>IFERROR(VLOOKUP(C64,'تقرير المصروفات حسب الشهر'!$C$637:$AD$746,12,FALSE),0)</f>
        <v>0</v>
      </c>
      <c r="J64" s="362">
        <f>IFERROR(VLOOKUP(C64,'تقرير المصروفات حسب الشهر'!$C$763:$AD$872,12,FALSE),0)</f>
        <v>0</v>
      </c>
      <c r="K64" s="362">
        <f>IFERROR(VLOOKUP(C64,'تقرير المصروفات حسب الشهر'!$C$890:$AD$999,12,FALSE),0)</f>
        <v>0</v>
      </c>
      <c r="L64" s="362">
        <f>IFERROR(VLOOKUP(C64,'تقرير المصروفات حسب الشهر'!$C$1016:$AD$1126,12,FALSE),0)</f>
        <v>0</v>
      </c>
      <c r="M64" s="376">
        <f>IFERROR(VLOOKUP(C64,'تقرير المصروفات حسب الشهر'!$C$1143:$AD$1254,12,FALSE),0)</f>
        <v>0</v>
      </c>
      <c r="N64" s="376">
        <f>IFERROR(VLOOKUP(C64,'تقرير المصروفات حسب الشهر'!$C$1270:$AD$1381,12,FALSE),0)</f>
        <v>0</v>
      </c>
      <c r="O64" s="376">
        <f>IFERROR(VLOOKUP(C64,'تقرير المصروفات حسب الشهر'!$C$1397:$AI$1512,12,FALSE),0)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الشهر'!$C$10:$AD$119,12,FALSE),0)</f>
        <v>0</v>
      </c>
      <c r="E65" s="362">
        <f>IFERROR(VLOOKUP(C65,'تقرير المصروفات حسب الشهر'!$C$135:$AD$244,12,FALSE),0)</f>
        <v>0</v>
      </c>
      <c r="F65" s="362">
        <v>0</v>
      </c>
      <c r="G65" s="362">
        <f>IFERROR(VLOOKUP(C65,'تقرير المصروفات حسب الشهر'!$C$387:$AD$495,12,FALSE),0)</f>
        <v>0</v>
      </c>
      <c r="H65" s="362">
        <f>IFERROR(VLOOKUP(C65,'تقرير المصروفات حسب الشهر'!$C$512:$AD$620,12,FALSE),0)</f>
        <v>0</v>
      </c>
      <c r="I65" s="362">
        <f>IFERROR(VLOOKUP(C65,'تقرير المصروفات حسب الشهر'!$C$637:$AD$746,12,FALSE),0)</f>
        <v>0</v>
      </c>
      <c r="J65" s="362">
        <f>IFERROR(VLOOKUP(C65,'تقرير المصروفات حسب الشهر'!$C$763:$AD$872,12,FALSE),0)</f>
        <v>0</v>
      </c>
      <c r="K65" s="362">
        <f>IFERROR(VLOOKUP(C65,'تقرير المصروفات حسب الشهر'!$C$890:$AD$999,12,FALSE),0)</f>
        <v>0</v>
      </c>
      <c r="L65" s="362">
        <f>IFERROR(VLOOKUP(C65,'تقرير المصروفات حسب الشهر'!$C$1016:$AD$1126,12,FALSE),0)</f>
        <v>0</v>
      </c>
      <c r="M65" s="376">
        <f>IFERROR(VLOOKUP(C65,'تقرير المصروفات حسب الشهر'!$C$1143:$AD$1254,12,FALSE),0)</f>
        <v>0</v>
      </c>
      <c r="N65" s="376">
        <f>IFERROR(VLOOKUP(C65,'تقرير المصروفات حسب الشهر'!$C$1270:$AD$1381,12,FALSE),0)</f>
        <v>0</v>
      </c>
      <c r="O65" s="376">
        <f>IFERROR(VLOOKUP(C65,'تقرير المصروفات حسب الشهر'!$C$1397:$AI$1512,12,FALSE),0)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الشهر'!$C$10:$AD$119,12,FALSE),0)</f>
        <v>0</v>
      </c>
      <c r="E66" s="362">
        <f>IFERROR(VLOOKUP(C66,'تقرير المصروفات حسب الشهر'!$C$135:$AD$244,12,FALSE),0)</f>
        <v>0</v>
      </c>
      <c r="F66" s="362">
        <v>0</v>
      </c>
      <c r="G66" s="362">
        <f>IFERROR(VLOOKUP(C66,'تقرير المصروفات حسب الشهر'!$C$387:$AD$495,12,FALSE),0)</f>
        <v>0</v>
      </c>
      <c r="H66" s="362">
        <f>IFERROR(VLOOKUP(C66,'تقرير المصروفات حسب الشهر'!$C$512:$AD$620,12,FALSE),0)</f>
        <v>0</v>
      </c>
      <c r="I66" s="362">
        <f>IFERROR(VLOOKUP(C66,'تقرير المصروفات حسب الشهر'!$C$637:$AD$746,12,FALSE),0)</f>
        <v>0</v>
      </c>
      <c r="J66" s="362">
        <f>IFERROR(VLOOKUP(C66,'تقرير المصروفات حسب الشهر'!$C$763:$AD$872,12,FALSE),0)</f>
        <v>0</v>
      </c>
      <c r="K66" s="362">
        <f>IFERROR(VLOOKUP(C66,'تقرير المصروفات حسب الشهر'!$C$890:$AD$999,12,FALSE),0)</f>
        <v>0</v>
      </c>
      <c r="L66" s="362">
        <f>IFERROR(VLOOKUP(C66,'تقرير المصروفات حسب الشهر'!$C$1016:$AD$1126,12,FALSE),0)</f>
        <v>0</v>
      </c>
      <c r="M66" s="376">
        <f>IFERROR(VLOOKUP(C66,'تقرير المصروفات حسب الشهر'!$C$1143:$AD$1254,12,FALSE),0)</f>
        <v>0</v>
      </c>
      <c r="N66" s="376">
        <f>IFERROR(VLOOKUP(C66,'تقرير المصروفات حسب الشهر'!$C$1270:$AD$1381,12,FALSE),0)</f>
        <v>0</v>
      </c>
      <c r="O66" s="376">
        <f>IFERROR(VLOOKUP(C66,'تقرير المصروفات حسب الشهر'!$C$1397:$AI$1512,12,FALSE),0)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الشهر'!$C$10:$AD$119,12,FALSE),0)</f>
        <v>0</v>
      </c>
      <c r="E67" s="362">
        <f>IFERROR(VLOOKUP(C67,'تقرير المصروفات حسب الشهر'!$C$135:$AD$244,12,FALSE),0)</f>
        <v>0</v>
      </c>
      <c r="F67" s="362">
        <v>0</v>
      </c>
      <c r="G67" s="362">
        <f>IFERROR(VLOOKUP(C67,'تقرير المصروفات حسب الشهر'!$C$387:$AD$495,12,FALSE),0)</f>
        <v>0</v>
      </c>
      <c r="H67" s="362">
        <f>IFERROR(VLOOKUP(C67,'تقرير المصروفات حسب الشهر'!$C$512:$AD$620,12,FALSE),0)</f>
        <v>0</v>
      </c>
      <c r="I67" s="362">
        <f>IFERROR(VLOOKUP(C67,'تقرير المصروفات حسب الشهر'!$C$637:$AD$746,12,FALSE),0)</f>
        <v>0</v>
      </c>
      <c r="J67" s="362">
        <f>IFERROR(VLOOKUP(C67,'تقرير المصروفات حسب الشهر'!$C$763:$AD$872,12,FALSE),0)</f>
        <v>0</v>
      </c>
      <c r="K67" s="362">
        <f>IFERROR(VLOOKUP(C67,'تقرير المصروفات حسب الشهر'!$C$890:$AD$999,12,FALSE),0)</f>
        <v>0</v>
      </c>
      <c r="L67" s="362">
        <f>IFERROR(VLOOKUP(C67,'تقرير المصروفات حسب الشهر'!$C$1016:$AD$1126,12,FALSE),0)</f>
        <v>0</v>
      </c>
      <c r="M67" s="376">
        <f>IFERROR(VLOOKUP(C67,'تقرير المصروفات حسب الشهر'!$C$1143:$AD$1254,12,FALSE),0)</f>
        <v>0</v>
      </c>
      <c r="N67" s="376">
        <f>IFERROR(VLOOKUP(C67,'تقرير المصروفات حسب الشهر'!$C$1270:$AD$1381,12,FALSE),0)</f>
        <v>0</v>
      </c>
      <c r="O67" s="376">
        <f>IFERROR(VLOOKUP(C67,'تقرير المصروفات حسب الشهر'!$C$1397:$AI$1512,12,FALSE),0)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الشهر'!$C$10:$AD$119,12,FALSE),0)</f>
        <v>0</v>
      </c>
      <c r="E68" s="362">
        <f>IFERROR(VLOOKUP(C68,'تقرير المصروفات حسب الشهر'!$C$135:$AD$244,12,FALSE),0)</f>
        <v>0</v>
      </c>
      <c r="F68" s="362">
        <v>0</v>
      </c>
      <c r="G68" s="362">
        <f>IFERROR(VLOOKUP(C68,'تقرير المصروفات حسب الشهر'!$C$387:$AD$495,12,FALSE),0)</f>
        <v>0</v>
      </c>
      <c r="H68" s="362">
        <f>IFERROR(VLOOKUP(C68,'تقرير المصروفات حسب الشهر'!$C$512:$AD$620,12,FALSE),0)</f>
        <v>0</v>
      </c>
      <c r="I68" s="362">
        <f>IFERROR(VLOOKUP(C68,'تقرير المصروفات حسب الشهر'!$C$637:$AD$746,12,FALSE),0)</f>
        <v>0</v>
      </c>
      <c r="J68" s="362">
        <f>IFERROR(VLOOKUP(C68,'تقرير المصروفات حسب الشهر'!$C$763:$AD$872,12,FALSE),0)</f>
        <v>0</v>
      </c>
      <c r="K68" s="362">
        <f>IFERROR(VLOOKUP(C68,'تقرير المصروفات حسب الشهر'!$C$890:$AD$999,12,FALSE),0)</f>
        <v>0</v>
      </c>
      <c r="L68" s="362">
        <f>IFERROR(VLOOKUP(C68,'تقرير المصروفات حسب الشهر'!$C$1016:$AD$1126,12,FALSE),0)</f>
        <v>0</v>
      </c>
      <c r="M68" s="376">
        <f>IFERROR(VLOOKUP(C68,'تقرير المصروفات حسب الشهر'!$C$1143:$AD$1254,12,FALSE),0)</f>
        <v>0</v>
      </c>
      <c r="N68" s="376">
        <f>IFERROR(VLOOKUP(C68,'تقرير المصروفات حسب الشهر'!$C$1270:$AD$1381,12,FALSE),0)</f>
        <v>0</v>
      </c>
      <c r="O68" s="376">
        <f>IFERROR(VLOOKUP(C68,'تقرير المصروفات حسب الشهر'!$C$1397:$AI$1512,12,FALSE),0)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الشهر'!$C$10:$AD$119,12,FALSE),0)</f>
        <v>0</v>
      </c>
      <c r="E69" s="362">
        <f>IFERROR(VLOOKUP(C69,'تقرير المصروفات حسب الشهر'!$C$135:$AD$244,12,FALSE),0)</f>
        <v>0</v>
      </c>
      <c r="F69" s="362">
        <v>0</v>
      </c>
      <c r="G69" s="362">
        <f>IFERROR(VLOOKUP(C69,'تقرير المصروفات حسب الشهر'!$C$387:$AD$495,12,FALSE),0)</f>
        <v>0</v>
      </c>
      <c r="H69" s="362">
        <f>IFERROR(VLOOKUP(C69,'تقرير المصروفات حسب الشهر'!$C$512:$AD$620,12,FALSE),0)</f>
        <v>0</v>
      </c>
      <c r="I69" s="362">
        <f>IFERROR(VLOOKUP(C69,'تقرير المصروفات حسب الشهر'!$C$637:$AD$746,12,FALSE),0)</f>
        <v>0</v>
      </c>
      <c r="J69" s="362">
        <f>IFERROR(VLOOKUP(C69,'تقرير المصروفات حسب الشهر'!$C$763:$AD$872,12,FALSE),0)</f>
        <v>0</v>
      </c>
      <c r="K69" s="362">
        <f>IFERROR(VLOOKUP(C69,'تقرير المصروفات حسب الشهر'!$C$890:$AD$999,12,FALSE),0)</f>
        <v>0</v>
      </c>
      <c r="L69" s="362">
        <f>IFERROR(VLOOKUP(C69,'تقرير المصروفات حسب الشهر'!$C$1016:$AD$1126,12,FALSE),0)</f>
        <v>0</v>
      </c>
      <c r="M69" s="376">
        <f>IFERROR(VLOOKUP(C69,'تقرير المصروفات حسب الشهر'!$C$1143:$AD$1254,12,FALSE),0)</f>
        <v>0</v>
      </c>
      <c r="N69" s="376">
        <f>IFERROR(VLOOKUP(C69,'تقرير المصروفات حسب الشهر'!$C$1270:$AD$1381,12,FALSE),0)</f>
        <v>0</v>
      </c>
      <c r="O69" s="376">
        <f>IFERROR(VLOOKUP(C69,'تقرير المصروفات حسب الشهر'!$C$1397:$AI$1512,12,FALSE),0)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الشهر'!$C$10:$AD$119,12,FALSE),0)</f>
        <v>0</v>
      </c>
      <c r="E70" s="362">
        <f>IFERROR(VLOOKUP(C70,'تقرير المصروفات حسب الشهر'!$C$135:$AD$244,12,FALSE),0)</f>
        <v>0</v>
      </c>
      <c r="F70" s="362">
        <v>0</v>
      </c>
      <c r="G70" s="362">
        <f>IFERROR(VLOOKUP(C70,'تقرير المصروفات حسب الشهر'!$C$387:$AD$495,12,FALSE),0)</f>
        <v>0</v>
      </c>
      <c r="H70" s="362">
        <f>IFERROR(VLOOKUP(C70,'تقرير المصروفات حسب الشهر'!$C$512:$AD$620,12,FALSE),0)</f>
        <v>0</v>
      </c>
      <c r="I70" s="362">
        <f>IFERROR(VLOOKUP(C70,'تقرير المصروفات حسب الشهر'!$C$637:$AD$746,12,FALSE),0)</f>
        <v>0</v>
      </c>
      <c r="J70" s="362">
        <f>IFERROR(VLOOKUP(C70,'تقرير المصروفات حسب الشهر'!$C$763:$AD$872,12,FALSE),0)</f>
        <v>0</v>
      </c>
      <c r="K70" s="362">
        <f>IFERROR(VLOOKUP(C70,'تقرير المصروفات حسب الشهر'!$C$890:$AD$999,12,FALSE),0)</f>
        <v>0</v>
      </c>
      <c r="L70" s="362">
        <f>IFERROR(VLOOKUP(C70,'تقرير المصروفات حسب الشهر'!$C$1016:$AD$1126,12,FALSE),0)</f>
        <v>0</v>
      </c>
      <c r="M70" s="376">
        <f>IFERROR(VLOOKUP(C70,'تقرير المصروفات حسب الشهر'!$C$1143:$AD$1254,12,FALSE),0)</f>
        <v>0</v>
      </c>
      <c r="N70" s="376">
        <f>IFERROR(VLOOKUP(C70,'تقرير المصروفات حسب الشهر'!$C$1270:$AD$1381,12,FALSE),0)</f>
        <v>0</v>
      </c>
      <c r="O70" s="376">
        <f>IFERROR(VLOOKUP(C70,'تقرير المصروفات حسب الشهر'!$C$1397:$AI$1512,12,FALSE),0)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الشهر'!$C$10:$AD$119,12,FALSE),0)</f>
        <v>0</v>
      </c>
      <c r="E71" s="362">
        <f>IFERROR(VLOOKUP(C71,'تقرير المصروفات حسب الشهر'!$C$135:$AD$244,12,FALSE),0)</f>
        <v>0</v>
      </c>
      <c r="F71" s="362">
        <v>0</v>
      </c>
      <c r="G71" s="362">
        <f>IFERROR(VLOOKUP(C71,'تقرير المصروفات حسب الشهر'!$C$387:$AD$495,12,FALSE),0)</f>
        <v>0</v>
      </c>
      <c r="H71" s="362">
        <f>IFERROR(VLOOKUP(C71,'تقرير المصروفات حسب الشهر'!$C$512:$AD$620,12,FALSE),0)</f>
        <v>0</v>
      </c>
      <c r="I71" s="362">
        <f>IFERROR(VLOOKUP(C71,'تقرير المصروفات حسب الشهر'!$C$637:$AD$746,12,FALSE),0)</f>
        <v>0</v>
      </c>
      <c r="J71" s="362">
        <f>IFERROR(VLOOKUP(C71,'تقرير المصروفات حسب الشهر'!$C$763:$AD$872,12,FALSE),0)</f>
        <v>0</v>
      </c>
      <c r="K71" s="362">
        <f>IFERROR(VLOOKUP(C71,'تقرير المصروفات حسب الشهر'!$C$890:$AD$999,12,FALSE),0)</f>
        <v>0</v>
      </c>
      <c r="L71" s="362">
        <f>IFERROR(VLOOKUP(C71,'تقرير المصروفات حسب الشهر'!$C$1016:$AD$1126,12,FALSE),0)</f>
        <v>0</v>
      </c>
      <c r="M71" s="376">
        <f>IFERROR(VLOOKUP(C71,'تقرير المصروفات حسب الشهر'!$C$1143:$AD$1254,12,FALSE),0)</f>
        <v>0</v>
      </c>
      <c r="N71" s="376">
        <f>IFERROR(VLOOKUP(C71,'تقرير المصروفات حسب الشهر'!$C$1270:$AD$1381,12,FALSE),0)</f>
        <v>0</v>
      </c>
      <c r="O71" s="376">
        <f>IFERROR(VLOOKUP(C71,'تقرير المصروفات حسب الشهر'!$C$1397:$AI$1512,12,FALSE),0)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الشهر'!$C$10:$AD$119,12,FALSE),0)</f>
        <v>0</v>
      </c>
      <c r="E72" s="362">
        <f>IFERROR(VLOOKUP(C72,'تقرير المصروفات حسب الشهر'!$C$135:$AD$244,12,FALSE),0)</f>
        <v>0</v>
      </c>
      <c r="F72" s="362">
        <v>0</v>
      </c>
      <c r="G72" s="362">
        <f>IFERROR(VLOOKUP(C72,'تقرير المصروفات حسب الشهر'!$C$387:$AD$495,12,FALSE),0)</f>
        <v>0</v>
      </c>
      <c r="H72" s="362">
        <f>IFERROR(VLOOKUP(C72,'تقرير المصروفات حسب الشهر'!$C$512:$AD$620,12,FALSE),0)</f>
        <v>0</v>
      </c>
      <c r="I72" s="362">
        <f>IFERROR(VLOOKUP(C72,'تقرير المصروفات حسب الشهر'!$C$637:$AD$746,12,FALSE),0)</f>
        <v>0</v>
      </c>
      <c r="J72" s="362">
        <f>IFERROR(VLOOKUP(C72,'تقرير المصروفات حسب الشهر'!$C$763:$AD$872,12,FALSE),0)</f>
        <v>0</v>
      </c>
      <c r="K72" s="362">
        <f>IFERROR(VLOOKUP(C72,'تقرير المصروفات حسب الشهر'!$C$890:$AD$999,12,FALSE),0)</f>
        <v>0</v>
      </c>
      <c r="L72" s="362">
        <f>IFERROR(VLOOKUP(C72,'تقرير المصروفات حسب الشهر'!$C$1016:$AD$1126,12,FALSE),0)</f>
        <v>0</v>
      </c>
      <c r="M72" s="376">
        <f>IFERROR(VLOOKUP(C72,'تقرير المصروفات حسب الشهر'!$C$1143:$AD$1254,12,FALSE),0)</f>
        <v>0</v>
      </c>
      <c r="N72" s="376">
        <f>IFERROR(VLOOKUP(C72,'تقرير المصروفات حسب الشهر'!$C$1270:$AD$1381,12,FALSE),0)</f>
        <v>0</v>
      </c>
      <c r="O72" s="376">
        <f>IFERROR(VLOOKUP(C72,'تقرير المصروفات حسب الشهر'!$C$1397:$AI$1512,12,FALSE),0)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الشهر'!$C$10:$AD$119,12,FALSE),0)</f>
        <v>0</v>
      </c>
      <c r="E73" s="362">
        <f>IFERROR(VLOOKUP(C73,'تقرير المصروفات حسب الشهر'!$C$135:$AD$244,12,FALSE),0)</f>
        <v>0</v>
      </c>
      <c r="F73" s="362">
        <v>0</v>
      </c>
      <c r="G73" s="362">
        <f>IFERROR(VLOOKUP(C73,'تقرير المصروفات حسب الشهر'!$C$387:$AD$495,12,FALSE),0)</f>
        <v>0</v>
      </c>
      <c r="H73" s="362">
        <f>IFERROR(VLOOKUP(C73,'تقرير المصروفات حسب الشهر'!$C$512:$AD$620,12,FALSE),0)</f>
        <v>0</v>
      </c>
      <c r="I73" s="362">
        <f>IFERROR(VLOOKUP(C73,'تقرير المصروفات حسب الشهر'!$C$637:$AD$746,12,FALSE),0)</f>
        <v>0</v>
      </c>
      <c r="J73" s="362">
        <f>IFERROR(VLOOKUP(C73,'تقرير المصروفات حسب الشهر'!$C$763:$AD$872,12,FALSE),0)</f>
        <v>0</v>
      </c>
      <c r="K73" s="362">
        <f>IFERROR(VLOOKUP(C73,'تقرير المصروفات حسب الشهر'!$C$890:$AD$999,12,FALSE),0)</f>
        <v>0</v>
      </c>
      <c r="L73" s="362">
        <f>IFERROR(VLOOKUP(C73,'تقرير المصروفات حسب الشهر'!$C$1016:$AD$1126,12,FALSE),0)</f>
        <v>0</v>
      </c>
      <c r="M73" s="376">
        <f>IFERROR(VLOOKUP(C73,'تقرير المصروفات حسب الشهر'!$C$1143:$AD$1254,12,FALSE),0)</f>
        <v>0</v>
      </c>
      <c r="N73" s="376">
        <f>IFERROR(VLOOKUP(C73,'تقرير المصروفات حسب الشهر'!$C$1270:$AD$1381,12,FALSE),0)</f>
        <v>0</v>
      </c>
      <c r="O73" s="376">
        <f>IFERROR(VLOOKUP(C73,'تقرير المصروفات حسب الشهر'!$C$1397:$AI$1512,12,FALSE),0)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الشهر'!$C$10:$AD$119,12,FALSE),0)</f>
        <v>0</v>
      </c>
      <c r="E74" s="362">
        <f>IFERROR(VLOOKUP(C74,'تقرير المصروفات حسب الشهر'!$C$135:$AD$244,12,FALSE),0)</f>
        <v>0</v>
      </c>
      <c r="F74" s="362">
        <v>0</v>
      </c>
      <c r="G74" s="362">
        <f>IFERROR(VLOOKUP(C74,'تقرير المصروفات حسب الشهر'!$C$387:$AD$495,12,FALSE),0)</f>
        <v>0</v>
      </c>
      <c r="H74" s="362">
        <f>IFERROR(VLOOKUP(C74,'تقرير المصروفات حسب الشهر'!$C$512:$AD$620,12,FALSE),0)</f>
        <v>0</v>
      </c>
      <c r="I74" s="362">
        <f>IFERROR(VLOOKUP(C74,'تقرير المصروفات حسب الشهر'!$C$637:$AD$746,12,FALSE),0)</f>
        <v>0</v>
      </c>
      <c r="J74" s="362">
        <f>IFERROR(VLOOKUP(C74,'تقرير المصروفات حسب الشهر'!$C$763:$AD$872,12,FALSE),0)</f>
        <v>0</v>
      </c>
      <c r="K74" s="362">
        <f>IFERROR(VLOOKUP(C74,'تقرير المصروفات حسب الشهر'!$C$890:$AD$999,12,FALSE),0)</f>
        <v>0</v>
      </c>
      <c r="L74" s="362">
        <f>IFERROR(VLOOKUP(C74,'تقرير المصروفات حسب الشهر'!$C$1016:$AD$1126,12,FALSE),0)</f>
        <v>0</v>
      </c>
      <c r="M74" s="376">
        <f>IFERROR(VLOOKUP(C74,'تقرير المصروفات حسب الشهر'!$C$1143:$AD$1254,12,FALSE),0)</f>
        <v>0</v>
      </c>
      <c r="N74" s="376">
        <f>IFERROR(VLOOKUP(C74,'تقرير المصروفات حسب الشهر'!$C$1270:$AD$1381,12,FALSE),0)</f>
        <v>0</v>
      </c>
      <c r="O74" s="376">
        <f>IFERROR(VLOOKUP(C74,'تقرير المصروفات حسب الشهر'!$C$1397:$AI$1512,12,FALSE),0)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الشهر'!$C$10:$AD$119,12,FALSE),0)</f>
        <v>0</v>
      </c>
      <c r="E75" s="362">
        <f>IFERROR(VLOOKUP(C75,'تقرير المصروفات حسب الشهر'!$C$135:$AD$244,12,FALSE),0)</f>
        <v>0</v>
      </c>
      <c r="F75" s="362">
        <v>0</v>
      </c>
      <c r="G75" s="362">
        <f>IFERROR(VLOOKUP(C75,'تقرير المصروفات حسب الشهر'!$C$387:$AD$495,12,FALSE),0)</f>
        <v>0</v>
      </c>
      <c r="H75" s="362">
        <f>IFERROR(VLOOKUP(C75,'تقرير المصروفات حسب الشهر'!$C$512:$AD$620,12,FALSE),0)</f>
        <v>0</v>
      </c>
      <c r="I75" s="362">
        <f>IFERROR(VLOOKUP(C75,'تقرير المصروفات حسب الشهر'!$C$637:$AD$746,12,FALSE),0)</f>
        <v>0</v>
      </c>
      <c r="J75" s="362">
        <f>IFERROR(VLOOKUP(C75,'تقرير المصروفات حسب الشهر'!$C$763:$AD$872,12,FALSE),0)</f>
        <v>0</v>
      </c>
      <c r="K75" s="362">
        <f>IFERROR(VLOOKUP(C75,'تقرير المصروفات حسب الشهر'!$C$890:$AD$999,12,FALSE),0)</f>
        <v>0</v>
      </c>
      <c r="L75" s="362">
        <f>IFERROR(VLOOKUP(C75,'تقرير المصروفات حسب الشهر'!$C$1016:$AD$1126,12,FALSE),0)</f>
        <v>0</v>
      </c>
      <c r="M75" s="376">
        <f>IFERROR(VLOOKUP(C75,'تقرير المصروفات حسب الشهر'!$C$1143:$AD$1254,12,FALSE),0)</f>
        <v>0</v>
      </c>
      <c r="N75" s="376">
        <f>IFERROR(VLOOKUP(C75,'تقرير المصروفات حسب الشهر'!$C$1270:$AD$1381,12,FALSE),0)</f>
        <v>0</v>
      </c>
      <c r="O75" s="376">
        <f>IFERROR(VLOOKUP(C75,'تقرير المصروفات حسب الشهر'!$C$1397:$AI$1512,12,FALSE),0)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الشهر'!$C$10:$AD$119,12,FALSE),0)</f>
        <v>0</v>
      </c>
      <c r="E76" s="362">
        <f>IFERROR(VLOOKUP(C76,'تقرير المصروفات حسب الشهر'!$C$135:$AD$244,12,FALSE),0)</f>
        <v>0</v>
      </c>
      <c r="F76" s="362">
        <v>0</v>
      </c>
      <c r="G76" s="362">
        <f>IFERROR(VLOOKUP(C76,'تقرير المصروفات حسب الشهر'!$C$387:$AD$495,12,FALSE),0)</f>
        <v>0</v>
      </c>
      <c r="H76" s="362">
        <f>IFERROR(VLOOKUP(C76,'تقرير المصروفات حسب الشهر'!$C$512:$AD$620,12,FALSE),0)</f>
        <v>0</v>
      </c>
      <c r="I76" s="362">
        <f>IFERROR(VLOOKUP(C76,'تقرير المصروفات حسب الشهر'!$C$637:$AD$746,12,FALSE),0)</f>
        <v>0</v>
      </c>
      <c r="J76" s="362">
        <f>IFERROR(VLOOKUP(C76,'تقرير المصروفات حسب الشهر'!$C$763:$AD$872,12,FALSE),0)</f>
        <v>0</v>
      </c>
      <c r="K76" s="362">
        <f>IFERROR(VLOOKUP(C76,'تقرير المصروفات حسب الشهر'!$C$890:$AD$999,12,FALSE),0)</f>
        <v>0</v>
      </c>
      <c r="L76" s="362">
        <f>IFERROR(VLOOKUP(C76,'تقرير المصروفات حسب الشهر'!$C$1016:$AD$1126,12,FALSE),0)</f>
        <v>0</v>
      </c>
      <c r="M76" s="376">
        <f>IFERROR(VLOOKUP(C76,'تقرير المصروفات حسب الشهر'!$C$1143:$AD$1254,12,FALSE),0)</f>
        <v>0</v>
      </c>
      <c r="N76" s="376">
        <f>IFERROR(VLOOKUP(C76,'تقرير المصروفات حسب الشهر'!$C$1270:$AD$1381,12,FALSE),0)</f>
        <v>0</v>
      </c>
      <c r="O76" s="376">
        <f>IFERROR(VLOOKUP(C76,'تقرير المصروفات حسب الشهر'!$C$1397:$AI$1512,12,FALSE),0)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الشهر'!$C$10:$AD$119,12,FALSE),0)</f>
        <v>0</v>
      </c>
      <c r="E77" s="362">
        <f>IFERROR(VLOOKUP(C77,'تقرير المصروفات حسب الشهر'!$C$135:$AD$244,12,FALSE),0)</f>
        <v>0</v>
      </c>
      <c r="F77" s="362">
        <v>0</v>
      </c>
      <c r="G77" s="362">
        <f>IFERROR(VLOOKUP(C77,'تقرير المصروفات حسب الشهر'!$C$387:$AD$495,12,FALSE),0)</f>
        <v>0</v>
      </c>
      <c r="H77" s="362">
        <f>IFERROR(VLOOKUP(C77,'تقرير المصروفات حسب الشهر'!$C$512:$AD$620,12,FALSE),0)</f>
        <v>0</v>
      </c>
      <c r="I77" s="362">
        <f>IFERROR(VLOOKUP(C77,'تقرير المصروفات حسب الشهر'!$C$637:$AD$746,12,FALSE),0)</f>
        <v>0</v>
      </c>
      <c r="J77" s="362">
        <f>IFERROR(VLOOKUP(C77,'تقرير المصروفات حسب الشهر'!$C$763:$AD$872,12,FALSE),0)</f>
        <v>0</v>
      </c>
      <c r="K77" s="362">
        <f>IFERROR(VLOOKUP(C77,'تقرير المصروفات حسب الشهر'!$C$890:$AD$999,12,FALSE),0)</f>
        <v>0</v>
      </c>
      <c r="L77" s="362">
        <f>IFERROR(VLOOKUP(C77,'تقرير المصروفات حسب الشهر'!$C$1016:$AD$1126,12,FALSE),0)</f>
        <v>0</v>
      </c>
      <c r="M77" s="376">
        <f>IFERROR(VLOOKUP(C77,'تقرير المصروفات حسب الشهر'!$C$1143:$AD$1254,12,FALSE),0)</f>
        <v>0</v>
      </c>
      <c r="N77" s="376">
        <f>IFERROR(VLOOKUP(C77,'تقرير المصروفات حسب الشهر'!$C$1270:$AD$1381,12,FALSE),0)</f>
        <v>0</v>
      </c>
      <c r="O77" s="376">
        <f>IFERROR(VLOOKUP(C77,'تقرير المصروفات حسب الشهر'!$C$1397:$AI$1512,12,FALSE),0)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الشهر'!$C$10:$AD$119,12,FALSE),0)</f>
        <v>0</v>
      </c>
      <c r="E78" s="362">
        <f>IFERROR(VLOOKUP(C78,'تقرير المصروفات حسب الشهر'!$C$135:$AD$244,12,FALSE),0)</f>
        <v>0</v>
      </c>
      <c r="F78" s="362">
        <v>0</v>
      </c>
      <c r="G78" s="362">
        <f>IFERROR(VLOOKUP(C78,'تقرير المصروفات حسب الشهر'!$C$387:$AD$495,12,FALSE),0)</f>
        <v>0</v>
      </c>
      <c r="H78" s="362">
        <f>IFERROR(VLOOKUP(C78,'تقرير المصروفات حسب الشهر'!$C$512:$AD$620,12,FALSE),0)</f>
        <v>0</v>
      </c>
      <c r="I78" s="362">
        <f>IFERROR(VLOOKUP(C78,'تقرير المصروفات حسب الشهر'!$C$637:$AD$746,12,FALSE),0)</f>
        <v>0</v>
      </c>
      <c r="J78" s="362">
        <f>IFERROR(VLOOKUP(C78,'تقرير المصروفات حسب الشهر'!$C$763:$AD$872,12,FALSE),0)</f>
        <v>0</v>
      </c>
      <c r="K78" s="362">
        <f>IFERROR(VLOOKUP(C78,'تقرير المصروفات حسب الشهر'!$C$890:$AD$999,12,FALSE),0)</f>
        <v>0</v>
      </c>
      <c r="L78" s="362">
        <f>IFERROR(VLOOKUP(C78,'تقرير المصروفات حسب الشهر'!$C$1016:$AD$1126,12,FALSE),0)</f>
        <v>0</v>
      </c>
      <c r="M78" s="376">
        <f>IFERROR(VLOOKUP(C78,'تقرير المصروفات حسب الشهر'!$C$1143:$AD$1254,12,FALSE),0)</f>
        <v>0</v>
      </c>
      <c r="N78" s="376">
        <f>IFERROR(VLOOKUP(C78,'تقرير المصروفات حسب الشهر'!$C$1270:$AD$1381,12,FALSE),0)</f>
        <v>0</v>
      </c>
      <c r="O78" s="376">
        <f>IFERROR(VLOOKUP(C78,'تقرير المصروفات حسب الشهر'!$C$1397:$AI$1512,12,FALSE),0)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الشهر'!$C$10:$AD$119,12,FALSE),0)</f>
        <v>0</v>
      </c>
      <c r="E79" s="362">
        <f>IFERROR(VLOOKUP(C79,'تقرير المصروفات حسب الشهر'!$C$135:$AD$244,12,FALSE),0)</f>
        <v>0</v>
      </c>
      <c r="F79" s="362">
        <v>0</v>
      </c>
      <c r="G79" s="362">
        <f>IFERROR(VLOOKUP(C79,'تقرير المصروفات حسب الشهر'!$C$387:$AD$495,12,FALSE),0)</f>
        <v>0</v>
      </c>
      <c r="H79" s="362">
        <f>IFERROR(VLOOKUP(C79,'تقرير المصروفات حسب الشهر'!$C$512:$AD$620,12,FALSE),0)</f>
        <v>0</v>
      </c>
      <c r="I79" s="362">
        <f>IFERROR(VLOOKUP(C79,'تقرير المصروفات حسب الشهر'!$C$637:$AD$746,12,FALSE),0)</f>
        <v>0</v>
      </c>
      <c r="J79" s="362">
        <f>IFERROR(VLOOKUP(C79,'تقرير المصروفات حسب الشهر'!$C$763:$AD$872,12,FALSE),0)</f>
        <v>0</v>
      </c>
      <c r="K79" s="362">
        <f>IFERROR(VLOOKUP(C79,'تقرير المصروفات حسب الشهر'!$C$890:$AD$999,12,FALSE),0)</f>
        <v>0</v>
      </c>
      <c r="L79" s="362">
        <f>IFERROR(VLOOKUP(C79,'تقرير المصروفات حسب الشهر'!$C$1016:$AD$1126,12,FALSE),0)</f>
        <v>0</v>
      </c>
      <c r="M79" s="376">
        <f>IFERROR(VLOOKUP(C79,'تقرير المصروفات حسب الشهر'!$C$1143:$AD$1254,12,FALSE),0)</f>
        <v>0</v>
      </c>
      <c r="N79" s="376">
        <f>IFERROR(VLOOKUP(C79,'تقرير المصروفات حسب الشهر'!$C$1270:$AD$1381,12,FALSE),0)</f>
        <v>0</v>
      </c>
      <c r="O79" s="376">
        <f>IFERROR(VLOOKUP(C79,'تقرير المصروفات حسب الشهر'!$C$1397:$AI$1512,12,FALSE),0)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الشهر'!$C$10:$AD$119,12,FALSE),0)</f>
        <v>0</v>
      </c>
      <c r="E80" s="362">
        <f>IFERROR(VLOOKUP(C80,'تقرير المصروفات حسب الشهر'!$C$135:$AD$244,12,FALSE),0)</f>
        <v>0</v>
      </c>
      <c r="F80" s="362">
        <v>0</v>
      </c>
      <c r="G80" s="362">
        <f>IFERROR(VLOOKUP(C80,'تقرير المصروفات حسب الشهر'!$C$387:$AD$495,12,FALSE),0)</f>
        <v>0</v>
      </c>
      <c r="H80" s="362">
        <f>IFERROR(VLOOKUP(C80,'تقرير المصروفات حسب الشهر'!$C$512:$AD$620,12,FALSE),0)</f>
        <v>0</v>
      </c>
      <c r="I80" s="362">
        <f>IFERROR(VLOOKUP(C80,'تقرير المصروفات حسب الشهر'!$C$637:$AD$746,12,FALSE),0)</f>
        <v>0</v>
      </c>
      <c r="J80" s="362">
        <f>IFERROR(VLOOKUP(C80,'تقرير المصروفات حسب الشهر'!$C$763:$AD$872,12,FALSE),0)</f>
        <v>0</v>
      </c>
      <c r="K80" s="362">
        <f>IFERROR(VLOOKUP(C80,'تقرير المصروفات حسب الشهر'!$C$890:$AD$999,12,FALSE),0)</f>
        <v>0</v>
      </c>
      <c r="L80" s="362">
        <f>IFERROR(VLOOKUP(C80,'تقرير المصروفات حسب الشهر'!$C$1016:$AD$1126,12,FALSE),0)</f>
        <v>0</v>
      </c>
      <c r="M80" s="376">
        <f>IFERROR(VLOOKUP(C80,'تقرير المصروفات حسب الشهر'!$C$1143:$AD$1254,12,FALSE),0)</f>
        <v>0</v>
      </c>
      <c r="N80" s="376">
        <f>IFERROR(VLOOKUP(C80,'تقرير المصروفات حسب الشهر'!$C$1270:$AD$1381,12,FALSE),0)</f>
        <v>0</v>
      </c>
      <c r="O80" s="376">
        <f>IFERROR(VLOOKUP(C80,'تقرير المصروفات حسب الشهر'!$C$1397:$AI$1512,12,FALSE),0)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الشهر'!$C$10:$AD$119,12,FALSE),0)</f>
        <v>216</v>
      </c>
      <c r="E81" s="362">
        <f>IFERROR(VLOOKUP(C81,'تقرير المصروفات حسب الشهر'!$C$135:$AD$244,12,FALSE),0)</f>
        <v>0</v>
      </c>
      <c r="F81" s="362">
        <v>0</v>
      </c>
      <c r="G81" s="362">
        <f>IFERROR(VLOOKUP(C81,'تقرير المصروفات حسب الشهر'!$C$387:$AD$495,12,FALSE),0)</f>
        <v>0</v>
      </c>
      <c r="H81" s="362">
        <f>IFERROR(VLOOKUP(C81,'تقرير المصروفات حسب الشهر'!$C$512:$AD$620,12,FALSE),0)</f>
        <v>0</v>
      </c>
      <c r="I81" s="362">
        <f>IFERROR(VLOOKUP(C81,'تقرير المصروفات حسب الشهر'!$C$637:$AD$746,12,FALSE),0)</f>
        <v>0</v>
      </c>
      <c r="J81" s="362">
        <f>IFERROR(VLOOKUP(C81,'تقرير المصروفات حسب الشهر'!$C$763:$AD$872,12,FALSE),0)</f>
        <v>0</v>
      </c>
      <c r="K81" s="362">
        <f>IFERROR(VLOOKUP(C81,'تقرير المصروفات حسب الشهر'!$C$890:$AD$999,12,FALSE),0)</f>
        <v>300</v>
      </c>
      <c r="L81" s="362">
        <f>IFERROR(VLOOKUP(C81,'تقرير المصروفات حسب الشهر'!$C$1016:$AD$1126,12,FALSE),0)</f>
        <v>200</v>
      </c>
      <c r="M81" s="376">
        <f>IFERROR(VLOOKUP(C81,'تقرير المصروفات حسب الشهر'!$C$1143:$AD$1254,12,FALSE),0)</f>
        <v>200</v>
      </c>
      <c r="N81" s="376">
        <f>IFERROR(VLOOKUP(C81,'تقرير المصروفات حسب الشهر'!$C$1270:$AD$1381,12,FALSE),0)</f>
        <v>200</v>
      </c>
      <c r="O81" s="376">
        <f>IFERROR(VLOOKUP(C81,'تقرير المصروفات حسب الشهر'!$C$1397:$AI$1512,12,FALSE),0)</f>
        <v>200</v>
      </c>
      <c r="P81" s="364">
        <f t="shared" si="5"/>
        <v>1316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الشهر'!$C$10:$AD$119,12,FALSE),0)</f>
        <v>0</v>
      </c>
      <c r="E82" s="362">
        <f>IFERROR(VLOOKUP(C82,'تقرير المصروفات حسب الشهر'!$C$135:$AD$244,12,FALSE),0)</f>
        <v>0</v>
      </c>
      <c r="F82" s="362">
        <v>0</v>
      </c>
      <c r="G82" s="362">
        <f>IFERROR(VLOOKUP(C82,'تقرير المصروفات حسب الشهر'!$C$387:$AD$495,12,FALSE),0)</f>
        <v>0</v>
      </c>
      <c r="H82" s="362">
        <f>IFERROR(VLOOKUP(C82,'تقرير المصروفات حسب الشهر'!$C$512:$AD$620,12,FALSE),0)</f>
        <v>0</v>
      </c>
      <c r="I82" s="362">
        <f>IFERROR(VLOOKUP(C82,'تقرير المصروفات حسب الشهر'!$C$637:$AD$746,12,FALSE),0)</f>
        <v>0</v>
      </c>
      <c r="J82" s="362">
        <f>IFERROR(VLOOKUP(C82,'تقرير المصروفات حسب الشهر'!$C$763:$AD$872,12,FALSE),0)</f>
        <v>0</v>
      </c>
      <c r="K82" s="362">
        <f>IFERROR(VLOOKUP(C82,'تقرير المصروفات حسب الشهر'!$C$890:$AD$999,12,FALSE),0)</f>
        <v>0</v>
      </c>
      <c r="L82" s="362">
        <f>IFERROR(VLOOKUP(C82,'تقرير المصروفات حسب الشهر'!$C$1016:$AD$1126,12,FALSE),0)</f>
        <v>0</v>
      </c>
      <c r="M82" s="376">
        <f>IFERROR(VLOOKUP(C82,'تقرير المصروفات حسب الشهر'!$C$1143:$AD$1254,12,FALSE),0)</f>
        <v>0</v>
      </c>
      <c r="N82" s="376">
        <f>IFERROR(VLOOKUP(C82,'تقرير المصروفات حسب الشهر'!$C$1270:$AD$1381,12,FALSE),0)</f>
        <v>0</v>
      </c>
      <c r="O82" s="376">
        <f>IFERROR(VLOOKUP(C82,'تقرير المصروفات حسب الشهر'!$C$1397:$AI$1512,12,FALSE),0)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الشهر'!$C$10:$AD$119,12,FALSE),0)</f>
        <v>0</v>
      </c>
      <c r="E83" s="362">
        <f>IFERROR(VLOOKUP(C83,'تقرير المصروفات حسب الشهر'!$C$135:$AD$244,12,FALSE),0)</f>
        <v>0</v>
      </c>
      <c r="F83" s="362">
        <v>0</v>
      </c>
      <c r="G83" s="362">
        <f>IFERROR(VLOOKUP(C83,'تقرير المصروفات حسب الشهر'!$C$387:$AD$495,12,FALSE),0)</f>
        <v>0</v>
      </c>
      <c r="H83" s="362">
        <f>IFERROR(VLOOKUP(C83,'تقرير المصروفات حسب الشهر'!$C$512:$AD$620,12,FALSE),0)</f>
        <v>0</v>
      </c>
      <c r="I83" s="362">
        <f>IFERROR(VLOOKUP(C83,'تقرير المصروفات حسب الشهر'!$C$637:$AD$746,12,FALSE),0)</f>
        <v>0</v>
      </c>
      <c r="J83" s="362">
        <f>IFERROR(VLOOKUP(C83,'تقرير المصروفات حسب الشهر'!$C$763:$AD$872,12,FALSE),0)</f>
        <v>0</v>
      </c>
      <c r="K83" s="362">
        <f>IFERROR(VLOOKUP(C83,'تقرير المصروفات حسب الشهر'!$C$890:$AD$999,12,FALSE),0)</f>
        <v>0</v>
      </c>
      <c r="L83" s="362">
        <f>IFERROR(VLOOKUP(C83,'تقرير المصروفات حسب الشهر'!$C$1016:$AD$1126,12,FALSE),0)</f>
        <v>0</v>
      </c>
      <c r="M83" s="376">
        <f>IFERROR(VLOOKUP(C83,'تقرير المصروفات حسب الشهر'!$C$1143:$AD$1254,12,FALSE),0)</f>
        <v>0</v>
      </c>
      <c r="N83" s="376">
        <f>IFERROR(VLOOKUP(C83,'تقرير المصروفات حسب الشهر'!$C$1270:$AD$1381,12,FALSE),0)</f>
        <v>0</v>
      </c>
      <c r="O83" s="376">
        <f>IFERROR(VLOOKUP(C83,'تقرير المصروفات حسب الشهر'!$C$1397:$AI$1512,12,FALSE),0)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الشهر'!$C$10:$AD$119,12,FALSE),0)</f>
        <v>0</v>
      </c>
      <c r="E84" s="362">
        <f>IFERROR(VLOOKUP(C84,'تقرير المصروفات حسب الشهر'!$C$135:$AD$244,12,FALSE),0)</f>
        <v>0</v>
      </c>
      <c r="F84" s="362">
        <v>0</v>
      </c>
      <c r="G84" s="362">
        <f>IFERROR(VLOOKUP(C84,'تقرير المصروفات حسب الشهر'!$C$387:$AD$495,12,FALSE),0)</f>
        <v>0</v>
      </c>
      <c r="H84" s="362">
        <f>IFERROR(VLOOKUP(C84,'تقرير المصروفات حسب الشهر'!$C$512:$AD$620,12,FALSE),0)</f>
        <v>0</v>
      </c>
      <c r="I84" s="362">
        <f>IFERROR(VLOOKUP(C84,'تقرير المصروفات حسب الشهر'!$C$637:$AD$746,12,FALSE),0)</f>
        <v>0</v>
      </c>
      <c r="J84" s="362">
        <f>IFERROR(VLOOKUP(C84,'تقرير المصروفات حسب الشهر'!$C$763:$AD$872,12,FALSE),0)</f>
        <v>0</v>
      </c>
      <c r="K84" s="362">
        <f>IFERROR(VLOOKUP(C84,'تقرير المصروفات حسب الشهر'!$C$890:$AD$999,12,FALSE),0)</f>
        <v>0</v>
      </c>
      <c r="L84" s="362">
        <f>IFERROR(VLOOKUP(C84,'تقرير المصروفات حسب الشهر'!$C$1016:$AD$1126,12,FALSE),0)</f>
        <v>0</v>
      </c>
      <c r="M84" s="376">
        <f>IFERROR(VLOOKUP(C84,'تقرير المصروفات حسب الشهر'!$C$1143:$AD$1254,12,FALSE),0)</f>
        <v>0</v>
      </c>
      <c r="N84" s="376">
        <f>IFERROR(VLOOKUP(C84,'تقرير المصروفات حسب الشهر'!$C$1270:$AD$1381,12,FALSE),0)</f>
        <v>0</v>
      </c>
      <c r="O84" s="376">
        <f>IFERROR(VLOOKUP(C84,'تقرير المصروفات حسب الشهر'!$C$1397:$AI$1512,12,FALSE),0)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الشهر'!$C$10:$AD$119,12,FALSE),0)</f>
        <v>0</v>
      </c>
      <c r="E85" s="362">
        <f>IFERROR(VLOOKUP(C85,'تقرير المصروفات حسب الشهر'!$C$135:$AD$244,12,FALSE),0)</f>
        <v>0</v>
      </c>
      <c r="F85" s="362">
        <v>0</v>
      </c>
      <c r="G85" s="362">
        <f>IFERROR(VLOOKUP(C85,'تقرير المصروفات حسب الشهر'!$C$387:$AD$495,12,FALSE),0)</f>
        <v>0</v>
      </c>
      <c r="H85" s="362">
        <f>IFERROR(VLOOKUP(C85,'تقرير المصروفات حسب الشهر'!$C$512:$AD$620,12,FALSE),0)</f>
        <v>0</v>
      </c>
      <c r="I85" s="362">
        <f>IFERROR(VLOOKUP(C85,'تقرير المصروفات حسب الشهر'!$C$637:$AD$746,12,FALSE),0)</f>
        <v>0</v>
      </c>
      <c r="J85" s="362">
        <f>IFERROR(VLOOKUP(C85,'تقرير المصروفات حسب الشهر'!$C$763:$AD$872,12,FALSE),0)</f>
        <v>0</v>
      </c>
      <c r="K85" s="362">
        <f>IFERROR(VLOOKUP(C85,'تقرير المصروفات حسب الشهر'!$C$890:$AD$999,12,FALSE),0)</f>
        <v>0</v>
      </c>
      <c r="L85" s="362">
        <f>IFERROR(VLOOKUP(C85,'تقرير المصروفات حسب الشهر'!$C$1016:$AD$1126,12,FALSE),0)</f>
        <v>0</v>
      </c>
      <c r="M85" s="376">
        <f>IFERROR(VLOOKUP(C85,'تقرير المصروفات حسب الشهر'!$C$1143:$AD$1254,12,FALSE),0)</f>
        <v>0</v>
      </c>
      <c r="N85" s="376">
        <f>IFERROR(VLOOKUP(C85,'تقرير المصروفات حسب الشهر'!$C$1270:$AD$1381,12,FALSE),0)</f>
        <v>0</v>
      </c>
      <c r="O85" s="376">
        <f>IFERROR(VLOOKUP(C85,'تقرير المصروفات حسب الشهر'!$C$1397:$AI$1512,12,FALSE),0)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الشهر'!$C$10:$AD$119,12,FALSE),0)</f>
        <v>0</v>
      </c>
      <c r="E86" s="362">
        <f>IFERROR(VLOOKUP(C86,'تقرير المصروفات حسب الشهر'!$C$135:$AD$244,12,FALSE),0)</f>
        <v>1959.65</v>
      </c>
      <c r="F86" s="362">
        <v>0</v>
      </c>
      <c r="G86" s="362">
        <f>IFERROR(VLOOKUP(C86,'تقرير المصروفات حسب الشهر'!$C$387:$AD$495,12,FALSE),0)</f>
        <v>653</v>
      </c>
      <c r="H86" s="362">
        <f>IFERROR(VLOOKUP(C86,'تقرير المصروفات حسب الشهر'!$C$512:$AD$620,12,FALSE),0)</f>
        <v>0</v>
      </c>
      <c r="I86" s="362">
        <f>IFERROR(VLOOKUP(C86,'تقرير المصروفات حسب الشهر'!$C$637:$AD$746,12,FALSE),0)</f>
        <v>0</v>
      </c>
      <c r="J86" s="362">
        <f>IFERROR(VLOOKUP(C86,'تقرير المصروفات حسب الشهر'!$C$763:$AD$872,12,FALSE),0)</f>
        <v>979</v>
      </c>
      <c r="K86" s="362">
        <f>IFERROR(VLOOKUP(C86,'تقرير المصروفات حسب الشهر'!$C$890:$AD$999,12,FALSE),0)</f>
        <v>0</v>
      </c>
      <c r="L86" s="362">
        <f>IFERROR(VLOOKUP(C86,'تقرير المصروفات حسب الشهر'!$C$1016:$AD$1126,12,FALSE),0)</f>
        <v>0</v>
      </c>
      <c r="M86" s="376">
        <f>IFERROR(VLOOKUP(C86,'تقرير المصروفات حسب الشهر'!$C$1143:$AD$1254,12,FALSE),0)</f>
        <v>1075.76</v>
      </c>
      <c r="N86" s="376">
        <f>IFERROR(VLOOKUP(C86,'تقرير المصروفات حسب الشهر'!$C$1270:$AD$1381,12,FALSE),0)</f>
        <v>1105.82</v>
      </c>
      <c r="O86" s="376">
        <f>IFERROR(VLOOKUP(C86,'تقرير المصروفات حسب الشهر'!$C$1397:$AI$1512,12,FALSE),0)</f>
        <v>0</v>
      </c>
      <c r="P86" s="364">
        <f t="shared" si="5"/>
        <v>5773.23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الشهر'!$C$10:$AD$119,12,FALSE),0)</f>
        <v>0</v>
      </c>
      <c r="E87" s="362">
        <f>IFERROR(VLOOKUP(C87,'تقرير المصروفات حسب الشهر'!$C$135:$AD$244,12,FALSE),0)</f>
        <v>0</v>
      </c>
      <c r="F87" s="362">
        <v>0</v>
      </c>
      <c r="G87" s="362">
        <f>IFERROR(VLOOKUP(C87,'تقرير المصروفات حسب الشهر'!$C$387:$AD$495,12,FALSE),0)</f>
        <v>0</v>
      </c>
      <c r="H87" s="362">
        <f>IFERROR(VLOOKUP(C87,'تقرير المصروفات حسب الشهر'!$C$512:$AD$620,12,FALSE),0)</f>
        <v>0</v>
      </c>
      <c r="I87" s="362">
        <f>IFERROR(VLOOKUP(C87,'تقرير المصروفات حسب الشهر'!$C$637:$AD$746,12,FALSE),0)</f>
        <v>0</v>
      </c>
      <c r="J87" s="362">
        <f>IFERROR(VLOOKUP(C87,'تقرير المصروفات حسب الشهر'!$C$763:$AD$872,12,FALSE),0)</f>
        <v>0</v>
      </c>
      <c r="K87" s="362">
        <f>IFERROR(VLOOKUP(C87,'تقرير المصروفات حسب الشهر'!$C$890:$AD$999,12,FALSE),0)</f>
        <v>0</v>
      </c>
      <c r="L87" s="362">
        <f>IFERROR(VLOOKUP(C87,'تقرير المصروفات حسب الشهر'!$C$1016:$AD$1126,12,FALSE),0)</f>
        <v>0</v>
      </c>
      <c r="M87" s="376">
        <f>IFERROR(VLOOKUP(C87,'تقرير المصروفات حسب الشهر'!$C$1143:$AD$1254,12,FALSE),0)</f>
        <v>0</v>
      </c>
      <c r="N87" s="376">
        <f>IFERROR(VLOOKUP(C87,'تقرير المصروفات حسب الشهر'!$C$1270:$AD$1381,12,FALSE),0)</f>
        <v>0</v>
      </c>
      <c r="O87" s="376">
        <f>IFERROR(VLOOKUP(C87,'تقرير المصروفات حسب الشهر'!$C$1397:$AI$1512,12,FALSE),0)</f>
        <v>4372</v>
      </c>
      <c r="P87" s="364">
        <f t="shared" ref="P87:P136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الشهر'!$C$10:$AD$119,12,FALSE),0)</f>
        <v>0</v>
      </c>
      <c r="E88" s="362">
        <f>IFERROR(VLOOKUP(C88,'تقرير المصروفات حسب الشهر'!$C$135:$AD$244,12,FALSE),0)</f>
        <v>0</v>
      </c>
      <c r="F88" s="362">
        <v>0</v>
      </c>
      <c r="G88" s="362">
        <f>IFERROR(VLOOKUP(C88,'تقرير المصروفات حسب الشهر'!$C$387:$AD$495,12,FALSE),0)</f>
        <v>0</v>
      </c>
      <c r="H88" s="362">
        <f>IFERROR(VLOOKUP(C88,'تقرير المصروفات حسب الشهر'!$C$512:$AD$620,12,FALSE),0)</f>
        <v>333</v>
      </c>
      <c r="I88" s="362">
        <f>IFERROR(VLOOKUP(C88,'تقرير المصروفات حسب الشهر'!$C$637:$AD$746,12,FALSE),0)</f>
        <v>0</v>
      </c>
      <c r="J88" s="362">
        <f>IFERROR(VLOOKUP(C88,'تقرير المصروفات حسب الشهر'!$C$763:$AD$872,12,FALSE),0)</f>
        <v>0</v>
      </c>
      <c r="K88" s="362">
        <f>IFERROR(VLOOKUP(C88,'تقرير المصروفات حسب الشهر'!$C$890:$AD$999,12,FALSE),0)</f>
        <v>0</v>
      </c>
      <c r="L88" s="362">
        <f>IFERROR(VLOOKUP(C88,'تقرير المصروفات حسب الشهر'!$C$1016:$AD$1126,12,FALSE),0)</f>
        <v>0</v>
      </c>
      <c r="M88" s="376">
        <f>IFERROR(VLOOKUP(C88,'تقرير المصروفات حسب الشهر'!$C$1143:$AD$1254,12,FALSE),0)</f>
        <v>0</v>
      </c>
      <c r="N88" s="376">
        <f>IFERROR(VLOOKUP(C88,'تقرير المصروفات حسب الشهر'!$C$1270:$AD$1381,12,FALSE),0)</f>
        <v>0</v>
      </c>
      <c r="O88" s="376">
        <f>IFERROR(VLOOKUP(C88,'تقرير المصروفات حسب الشهر'!$C$1397:$AI$1512,12,FALSE),0)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الشهر'!$C$10:$AD$119,12,FALSE),0)</f>
        <v>0</v>
      </c>
      <c r="E89" s="362">
        <f>IFERROR(VLOOKUP(C89,'تقرير المصروفات حسب الشهر'!$C$135:$AD$244,12,FALSE),0)</f>
        <v>0</v>
      </c>
      <c r="F89" s="362">
        <v>0</v>
      </c>
      <c r="G89" s="362">
        <f>IFERROR(VLOOKUP(C89,'تقرير المصروفات حسب الشهر'!$C$387:$AD$495,12,FALSE),0)</f>
        <v>0</v>
      </c>
      <c r="H89" s="362">
        <f>IFERROR(VLOOKUP(C89,'تقرير المصروفات حسب الشهر'!$C$512:$AD$620,12,FALSE),0)</f>
        <v>0</v>
      </c>
      <c r="I89" s="362">
        <f>IFERROR(VLOOKUP(C89,'تقرير المصروفات حسب الشهر'!$C$637:$AD$746,12,FALSE),0)</f>
        <v>0</v>
      </c>
      <c r="J89" s="362">
        <f>IFERROR(VLOOKUP(C89,'تقرير المصروفات حسب الشهر'!$C$763:$AD$872,12,FALSE),0)</f>
        <v>0</v>
      </c>
      <c r="K89" s="362">
        <f>IFERROR(VLOOKUP(C89,'تقرير المصروفات حسب الشهر'!$C$890:$AD$999,12,FALSE),0)</f>
        <v>0</v>
      </c>
      <c r="L89" s="362">
        <f>IFERROR(VLOOKUP(C89,'تقرير المصروفات حسب الشهر'!$C$1016:$AD$1126,12,FALSE),0)</f>
        <v>0</v>
      </c>
      <c r="M89" s="376">
        <f>IFERROR(VLOOKUP(C89,'تقرير المصروفات حسب الشهر'!$C$1143:$AD$1254,12,FALSE),0)</f>
        <v>0</v>
      </c>
      <c r="N89" s="376">
        <f>IFERROR(VLOOKUP(C89,'تقرير المصروفات حسب الشهر'!$C$1270:$AD$1381,12,FALSE),0)</f>
        <v>0</v>
      </c>
      <c r="O89" s="376">
        <f>IFERROR(VLOOKUP(C89,'تقرير المصروفات حسب الشهر'!$C$1397:$AI$1512,12,FALSE),0)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الشهر'!$C$10:$AD$119,12,FALSE),0)</f>
        <v>0</v>
      </c>
      <c r="E90" s="362">
        <f>IFERROR(VLOOKUP(C90,'تقرير المصروفات حسب الشهر'!$C$135:$AD$244,12,FALSE),0)</f>
        <v>0</v>
      </c>
      <c r="F90" s="362">
        <v>0</v>
      </c>
      <c r="G90" s="362">
        <f>IFERROR(VLOOKUP(C90,'تقرير المصروفات حسب الشهر'!$C$387:$AD$495,12,FALSE),0)</f>
        <v>0</v>
      </c>
      <c r="H90" s="362">
        <f>IFERROR(VLOOKUP(C90,'تقرير المصروفات حسب الشهر'!$C$512:$AD$620,12,FALSE),0)</f>
        <v>0</v>
      </c>
      <c r="I90" s="362">
        <f>IFERROR(VLOOKUP(C90,'تقرير المصروفات حسب الشهر'!$C$637:$AD$746,12,FALSE),0)</f>
        <v>0</v>
      </c>
      <c r="J90" s="362">
        <f>IFERROR(VLOOKUP(C90,'تقرير المصروفات حسب الشهر'!$C$763:$AD$872,12,FALSE),0)</f>
        <v>0</v>
      </c>
      <c r="K90" s="362">
        <f>IFERROR(VLOOKUP(C90,'تقرير المصروفات حسب الشهر'!$C$890:$AD$999,12,FALSE),0)</f>
        <v>0</v>
      </c>
      <c r="L90" s="362">
        <f>IFERROR(VLOOKUP(C90,'تقرير المصروفات حسب الشهر'!$C$1016:$AD$1126,12,FALSE),0)</f>
        <v>0</v>
      </c>
      <c r="M90" s="376">
        <f>IFERROR(VLOOKUP(C90,'تقرير المصروفات حسب الشهر'!$C$1143:$AD$1254,12,FALSE),0)</f>
        <v>0</v>
      </c>
      <c r="N90" s="376">
        <f>IFERROR(VLOOKUP(C90,'تقرير المصروفات حسب الشهر'!$C$1270:$AD$1381,12,FALSE),0)</f>
        <v>0</v>
      </c>
      <c r="O90" s="376">
        <f>IFERROR(VLOOKUP(C90,'تقرير المصروفات حسب الشهر'!$C$1397:$AI$1512,12,FALSE),0)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الشهر'!$C$10:$AD$119,12,FALSE),0)</f>
        <v>0</v>
      </c>
      <c r="E91" s="362">
        <f>IFERROR(VLOOKUP(C91,'تقرير المصروفات حسب الشهر'!$C$135:$AD$244,12,FALSE),0)</f>
        <v>0</v>
      </c>
      <c r="F91" s="362">
        <v>0</v>
      </c>
      <c r="G91" s="362">
        <f>IFERROR(VLOOKUP(C91,'تقرير المصروفات حسب الشهر'!$C$387:$AD$495,12,FALSE),0)</f>
        <v>0</v>
      </c>
      <c r="H91" s="362">
        <f>IFERROR(VLOOKUP(C91,'تقرير المصروفات حسب الشهر'!$C$512:$AD$620,12,FALSE),0)</f>
        <v>0</v>
      </c>
      <c r="I91" s="362">
        <f>IFERROR(VLOOKUP(C91,'تقرير المصروفات حسب الشهر'!$C$637:$AD$746,12,FALSE),0)</f>
        <v>2265</v>
      </c>
      <c r="J91" s="362">
        <f>IFERROR(VLOOKUP(C91,'تقرير المصروفات حسب الشهر'!$C$763:$AD$872,12,FALSE),0)</f>
        <v>2800</v>
      </c>
      <c r="K91" s="362">
        <f>IFERROR(VLOOKUP(C91,'تقرير المصروفات حسب الشهر'!$C$890:$AD$999,12,FALSE),0)</f>
        <v>1200</v>
      </c>
      <c r="L91" s="362">
        <f>IFERROR(VLOOKUP(C91,'تقرير المصروفات حسب الشهر'!$C$1016:$AD$1126,12,FALSE),0)</f>
        <v>0</v>
      </c>
      <c r="M91" s="376">
        <f>IFERROR(VLOOKUP(C91,'تقرير المصروفات حسب الشهر'!$C$1143:$AD$1254,12,FALSE),0)</f>
        <v>600</v>
      </c>
      <c r="N91" s="376">
        <f>IFERROR(VLOOKUP(C91,'تقرير المصروفات حسب الشهر'!$C$1270:$AD$1381,12,FALSE),0)</f>
        <v>0</v>
      </c>
      <c r="O91" s="376">
        <f>IFERROR(VLOOKUP(C91,'تقرير المصروفات حسب الشهر'!$C$1397:$AI$1512,12,FALSE),0)</f>
        <v>140</v>
      </c>
      <c r="P91" s="364">
        <f t="shared" si="6"/>
        <v>7005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الشهر'!$C$10:$AD$119,12,FALSE),0)</f>
        <v>0</v>
      </c>
      <c r="E92" s="362">
        <f>IFERROR(VLOOKUP(C92,'تقرير المصروفات حسب الشهر'!$C$135:$AD$244,12,FALSE),0)</f>
        <v>0</v>
      </c>
      <c r="F92" s="362">
        <v>0</v>
      </c>
      <c r="G92" s="362">
        <f>IFERROR(VLOOKUP(C92,'تقرير المصروفات حسب الشهر'!$C$387:$AD$495,12,FALSE),0)</f>
        <v>0</v>
      </c>
      <c r="H92" s="362">
        <f>IFERROR(VLOOKUP(C92,'تقرير المصروفات حسب الشهر'!$C$512:$AD$620,12,FALSE),0)</f>
        <v>0</v>
      </c>
      <c r="I92" s="362">
        <f>IFERROR(VLOOKUP(C92,'تقرير المصروفات حسب الشهر'!$C$637:$AD$746,12,FALSE),0)</f>
        <v>0</v>
      </c>
      <c r="J92" s="362">
        <f>IFERROR(VLOOKUP(C92,'تقرير المصروفات حسب الشهر'!$C$763:$AD$872,12,FALSE),0)</f>
        <v>0</v>
      </c>
      <c r="K92" s="362">
        <f>IFERROR(VLOOKUP(C92,'تقرير المصروفات حسب الشهر'!$C$890:$AD$999,12,FALSE),0)</f>
        <v>0</v>
      </c>
      <c r="L92" s="362">
        <f>IFERROR(VLOOKUP(C92,'تقرير المصروفات حسب الشهر'!$C$1016:$AD$1126,12,FALSE),0)</f>
        <v>0</v>
      </c>
      <c r="M92" s="376">
        <f>IFERROR(VLOOKUP(C92,'تقرير المصروفات حسب الشهر'!$C$1143:$AD$1254,12,FALSE),0)</f>
        <v>0</v>
      </c>
      <c r="N92" s="376">
        <f>IFERROR(VLOOKUP(C92,'تقرير المصروفات حسب الشهر'!$C$1270:$AD$1381,12,FALSE),0)</f>
        <v>0</v>
      </c>
      <c r="O92" s="376">
        <f>IFERROR(VLOOKUP(C92,'تقرير المصروفات حسب الشهر'!$C$1397:$AI$1512,12,FALSE),0)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الشهر'!$C$10:$AD$119,12,FALSE),0)</f>
        <v>0</v>
      </c>
      <c r="E93" s="362">
        <f>IFERROR(VLOOKUP(C93,'تقرير المصروفات حسب الشهر'!$C$135:$AD$244,12,FALSE),0)</f>
        <v>0</v>
      </c>
      <c r="F93" s="362">
        <v>0</v>
      </c>
      <c r="G93" s="362">
        <f>IFERROR(VLOOKUP(C93,'تقرير المصروفات حسب الشهر'!$C$387:$AD$495,12,FALSE),0)</f>
        <v>621.5</v>
      </c>
      <c r="H93" s="362">
        <f>IFERROR(VLOOKUP(C93,'تقرير المصروفات حسب الشهر'!$C$512:$AD$620,12,FALSE),0)</f>
        <v>0</v>
      </c>
      <c r="I93" s="362">
        <f>IFERROR(VLOOKUP(C93,'تقرير المصروفات حسب الشهر'!$C$637:$AD$746,12,FALSE),0)</f>
        <v>0</v>
      </c>
      <c r="J93" s="362">
        <f>IFERROR(VLOOKUP(C93,'تقرير المصروفات حسب الشهر'!$C$763:$AD$872,12,FALSE),0)</f>
        <v>668</v>
      </c>
      <c r="K93" s="362">
        <f>IFERROR(VLOOKUP(C93,'تقرير المصروفات حسب الشهر'!$C$890:$AD$999,12,FALSE),0)</f>
        <v>0</v>
      </c>
      <c r="L93" s="362">
        <f>IFERROR(VLOOKUP(C93,'تقرير المصروفات حسب الشهر'!$C$1016:$AD$1126,12,FALSE),0)</f>
        <v>0</v>
      </c>
      <c r="M93" s="376">
        <f>IFERROR(VLOOKUP(C93,'تقرير المصروفات حسب الشهر'!$C$1143:$AD$1254,12,FALSE),0)</f>
        <v>0</v>
      </c>
      <c r="N93" s="376">
        <f>IFERROR(VLOOKUP(C93,'تقرير المصروفات حسب الشهر'!$C$1270:$AD$1381,12,FALSE),0)</f>
        <v>0</v>
      </c>
      <c r="O93" s="376">
        <f>IFERROR(VLOOKUP(C93,'تقرير المصروفات حسب الشهر'!$C$1397:$AI$1512,12,FALSE),0)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الشهر'!$C$10:$AD$119,12,FALSE),0)</f>
        <v>296.31</v>
      </c>
      <c r="E94" s="362">
        <f>IFERROR(VLOOKUP(C94,'تقرير المصروفات حسب الشهر'!$C$135:$AD$244,12,FALSE),0)</f>
        <v>296.31</v>
      </c>
      <c r="F94" s="362">
        <v>296.31</v>
      </c>
      <c r="G94" s="362">
        <f>IFERROR(VLOOKUP(C94,'تقرير المصروفات حسب الشهر'!$C$387:$AD$495,12,FALSE),0)</f>
        <v>296.31</v>
      </c>
      <c r="H94" s="362">
        <f>IFERROR(VLOOKUP(C94,'تقرير المصروفات حسب الشهر'!$C$512:$AD$620,12,FALSE),0)</f>
        <v>296.31</v>
      </c>
      <c r="I94" s="362">
        <f>IFERROR(VLOOKUP(C94,'تقرير المصروفات حسب الشهر'!$C$637:$AD$746,12,FALSE),0)</f>
        <v>296.3</v>
      </c>
      <c r="J94" s="362">
        <f>IFERROR(VLOOKUP(C94,'تقرير المصروفات حسب الشهر'!$C$763:$AD$872,12,FALSE),0)</f>
        <v>400.96</v>
      </c>
      <c r="K94" s="362">
        <f>IFERROR(VLOOKUP(C94,'تقرير المصروفات حسب الشهر'!$C$890:$AD$999,12,FALSE),0)</f>
        <v>400.96</v>
      </c>
      <c r="L94" s="362">
        <f>IFERROR(VLOOKUP(C94,'تقرير المصروفات حسب الشهر'!$C$1016:$AD$1126,12,FALSE),0)</f>
        <v>400.96</v>
      </c>
      <c r="M94" s="376">
        <f>IFERROR(VLOOKUP(C94,'تقرير المصروفات حسب الشهر'!$C$1143:$AD$1254,12,FALSE),0)</f>
        <v>400.96</v>
      </c>
      <c r="N94" s="376">
        <f>IFERROR(VLOOKUP(C94,'تقرير المصروفات حسب الشهر'!$C$1270:$AD$1381,12,FALSE),0)</f>
        <v>400.96</v>
      </c>
      <c r="O94" s="376">
        <f>IFERROR(VLOOKUP(C94,'تقرير المصروفات حسب الشهر'!$C$1397:$AI$1512,12,FALSE),0)</f>
        <v>400.96</v>
      </c>
      <c r="P94" s="364">
        <f t="shared" si="6"/>
        <v>4183.6099999999997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الشهر'!$C$10:$AD$119,12,FALSE),0)</f>
        <v>0</v>
      </c>
      <c r="E95" s="362">
        <f>IFERROR(VLOOKUP(C95,'تقرير المصروفات حسب الشهر'!$C$135:$AD$244,12,FALSE),0)</f>
        <v>0</v>
      </c>
      <c r="F95" s="362">
        <v>0</v>
      </c>
      <c r="G95" s="362">
        <f>IFERROR(VLOOKUP(C95,'تقرير المصروفات حسب الشهر'!$C$387:$AD$495,12,FALSE),0)</f>
        <v>0</v>
      </c>
      <c r="H95" s="362">
        <f>IFERROR(VLOOKUP(C95,'تقرير المصروفات حسب الشهر'!$C$512:$AD$620,12,FALSE),0)</f>
        <v>0</v>
      </c>
      <c r="I95" s="362">
        <f>IFERROR(VLOOKUP(C95,'تقرير المصروفات حسب الشهر'!$C$637:$AD$746,12,FALSE),0)</f>
        <v>0</v>
      </c>
      <c r="J95" s="362">
        <f>IFERROR(VLOOKUP(C95,'تقرير المصروفات حسب الشهر'!$C$763:$AD$872,12,FALSE),0)</f>
        <v>0</v>
      </c>
      <c r="K95" s="362">
        <f>IFERROR(VLOOKUP(C95,'تقرير المصروفات حسب الشهر'!$C$890:$AD$999,12,FALSE),0)</f>
        <v>0</v>
      </c>
      <c r="L95" s="362">
        <f>IFERROR(VLOOKUP(C95,'تقرير المصروفات حسب الشهر'!$C$1016:$AD$1126,12,FALSE),0)</f>
        <v>2130</v>
      </c>
      <c r="M95" s="376">
        <f>IFERROR(VLOOKUP(C95,'تقرير المصروفات حسب الشهر'!$C$1143:$AD$1254,12,FALSE),0)</f>
        <v>1065</v>
      </c>
      <c r="N95" s="376">
        <f>IFERROR(VLOOKUP(C95,'تقرير المصروفات حسب الشهر'!$C$1270:$AD$1381,12,FALSE),0)</f>
        <v>1065</v>
      </c>
      <c r="O95" s="376">
        <f>IFERROR(VLOOKUP(C95,'تقرير المصروفات حسب الشهر'!$C$1397:$AI$1512,12,FALSE),0)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الشهر'!$C$10:$AD$119,12,FALSE),0)</f>
        <v>0</v>
      </c>
      <c r="E96" s="362">
        <f>IFERROR(VLOOKUP(C96,'تقرير المصروفات حسب الشهر'!$C$135:$AD$244,12,FALSE),0)</f>
        <v>0</v>
      </c>
      <c r="F96" s="362">
        <v>0</v>
      </c>
      <c r="G96" s="362">
        <f>IFERROR(VLOOKUP(C96,'تقرير المصروفات حسب الشهر'!$C$387:$AD$495,12,FALSE),0)</f>
        <v>0</v>
      </c>
      <c r="H96" s="362">
        <f>IFERROR(VLOOKUP(C96,'تقرير المصروفات حسب الشهر'!$C$512:$AD$620,12,FALSE),0)</f>
        <v>0</v>
      </c>
      <c r="I96" s="362">
        <f>IFERROR(VLOOKUP(C96,'تقرير المصروفات حسب الشهر'!$C$637:$AD$746,12,FALSE),0)</f>
        <v>0</v>
      </c>
      <c r="J96" s="362">
        <f>IFERROR(VLOOKUP(C96,'تقرير المصروفات حسب الشهر'!$C$763:$AD$872,12,FALSE),0)</f>
        <v>0</v>
      </c>
      <c r="K96" s="362">
        <f>IFERROR(VLOOKUP(C96,'تقرير المصروفات حسب الشهر'!$C$890:$AD$999,12,FALSE),0)</f>
        <v>0</v>
      </c>
      <c r="L96" s="362">
        <f>IFERROR(VLOOKUP(C96,'تقرير المصروفات حسب الشهر'!$C$1016:$AD$1126,12,FALSE),0)</f>
        <v>0</v>
      </c>
      <c r="M96" s="376">
        <f>IFERROR(VLOOKUP(C96,'تقرير المصروفات حسب الشهر'!$C$1143:$AD$1254,12,FALSE),0)</f>
        <v>0</v>
      </c>
      <c r="N96" s="376">
        <f>IFERROR(VLOOKUP(C96,'تقرير المصروفات حسب الشهر'!$C$1270:$AD$1381,12,FALSE),0)</f>
        <v>0</v>
      </c>
      <c r="O96" s="376">
        <f>IFERROR(VLOOKUP(C96,'تقرير المصروفات حسب الشهر'!$C$1397:$AI$1512,12,FALSE),0)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الشهر'!$C$10:$AD$119,12,FALSE),0)</f>
        <v>0</v>
      </c>
      <c r="E97" s="362">
        <f>IFERROR(VLOOKUP(C97,'تقرير المصروفات حسب الشهر'!$C$135:$AD$244,12,FALSE),0)</f>
        <v>0</v>
      </c>
      <c r="F97" s="362">
        <v>0</v>
      </c>
      <c r="G97" s="362">
        <f>IFERROR(VLOOKUP(C97,'تقرير المصروفات حسب الشهر'!$C$387:$AD$495,12,FALSE),0)</f>
        <v>0</v>
      </c>
      <c r="H97" s="362">
        <f>IFERROR(VLOOKUP(C97,'تقرير المصروفات حسب الشهر'!$C$512:$AD$620,12,FALSE),0)</f>
        <v>0</v>
      </c>
      <c r="I97" s="362">
        <f>IFERROR(VLOOKUP(C97,'تقرير المصروفات حسب الشهر'!$C$637:$AD$746,12,FALSE),0)</f>
        <v>0</v>
      </c>
      <c r="J97" s="362">
        <f>IFERROR(VLOOKUP(C97,'تقرير المصروفات حسب الشهر'!$C$763:$AD$872,12,FALSE),0)</f>
        <v>0</v>
      </c>
      <c r="K97" s="362">
        <f>IFERROR(VLOOKUP(C97,'تقرير المصروفات حسب الشهر'!$C$890:$AD$999,12,FALSE),0)</f>
        <v>0</v>
      </c>
      <c r="L97" s="362">
        <f>IFERROR(VLOOKUP(C97,'تقرير المصروفات حسب الشهر'!$C$1016:$AD$1126,12,FALSE),0)</f>
        <v>0</v>
      </c>
      <c r="M97" s="376">
        <f>IFERROR(VLOOKUP(C97,'تقرير المصروفات حسب الشهر'!$C$1143:$AD$1254,12,FALSE),0)</f>
        <v>0</v>
      </c>
      <c r="N97" s="376">
        <f>IFERROR(VLOOKUP(C97,'تقرير المصروفات حسب الشهر'!$C$1270:$AD$1381,12,FALSE),0)</f>
        <v>0</v>
      </c>
      <c r="O97" s="376">
        <f>IFERROR(VLOOKUP(C97,'تقرير المصروفات حسب الشهر'!$C$1397:$AI$1512,12,FALSE),0)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الشهر'!$C$10:$AD$119,12,FALSE),0)</f>
        <v>0</v>
      </c>
      <c r="E98" s="362">
        <f>IFERROR(VLOOKUP(C98,'تقرير المصروفات حسب الشهر'!$C$135:$AD$244,12,FALSE),0)</f>
        <v>0</v>
      </c>
      <c r="F98" s="362">
        <v>0</v>
      </c>
      <c r="G98" s="362">
        <f>IFERROR(VLOOKUP(C98,'تقرير المصروفات حسب الشهر'!$C$387:$AD$495,12,FALSE),0)</f>
        <v>0</v>
      </c>
      <c r="H98" s="362">
        <f>IFERROR(VLOOKUP(C98,'تقرير المصروفات حسب الشهر'!$C$512:$AD$620,12,FALSE),0)</f>
        <v>0</v>
      </c>
      <c r="I98" s="362">
        <f>IFERROR(VLOOKUP(C98,'تقرير المصروفات حسب الشهر'!$C$637:$AD$746,12,FALSE),0)</f>
        <v>0</v>
      </c>
      <c r="J98" s="362">
        <f>IFERROR(VLOOKUP(C98,'تقرير المصروفات حسب الشهر'!$C$763:$AD$872,12,FALSE),0)</f>
        <v>0</v>
      </c>
      <c r="K98" s="362">
        <f>IFERROR(VLOOKUP(C98,'تقرير المصروفات حسب الشهر'!$C$890:$AD$999,12,FALSE),0)</f>
        <v>0</v>
      </c>
      <c r="L98" s="362">
        <f>IFERROR(VLOOKUP(C98,'تقرير المصروفات حسب الشهر'!$C$1016:$AD$1126,12,FALSE),0)</f>
        <v>0</v>
      </c>
      <c r="M98" s="376">
        <f>IFERROR(VLOOKUP(C98,'تقرير المصروفات حسب الشهر'!$C$1143:$AD$1254,12,FALSE),0)</f>
        <v>0</v>
      </c>
      <c r="N98" s="376">
        <f>IFERROR(VLOOKUP(C98,'تقرير المصروفات حسب الشهر'!$C$1270:$AD$1381,12,FALSE),0)</f>
        <v>0</v>
      </c>
      <c r="O98" s="376">
        <f>IFERROR(VLOOKUP(C98,'تقرير المصروفات حسب الشهر'!$C$1397:$AI$1512,12,FALSE),0)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الشهر'!$C$10:$AD$119,12,FALSE),0)</f>
        <v>0</v>
      </c>
      <c r="E99" s="362">
        <f>IFERROR(VLOOKUP(C99,'تقرير المصروفات حسب الشهر'!$C$135:$AD$244,12,FALSE),0)</f>
        <v>0</v>
      </c>
      <c r="F99" s="362">
        <v>0</v>
      </c>
      <c r="G99" s="362">
        <f>IFERROR(VLOOKUP(C99,'تقرير المصروفات حسب الشهر'!$C$387:$AD$495,12,FALSE),0)</f>
        <v>0</v>
      </c>
      <c r="H99" s="362">
        <f>IFERROR(VLOOKUP(C99,'تقرير المصروفات حسب الشهر'!$C$512:$AD$620,12,FALSE),0)</f>
        <v>0</v>
      </c>
      <c r="I99" s="362">
        <f>IFERROR(VLOOKUP(C99,'تقرير المصروفات حسب الشهر'!$C$637:$AD$746,12,FALSE),0)</f>
        <v>0</v>
      </c>
      <c r="J99" s="362">
        <f>IFERROR(VLOOKUP(C99,'تقرير المصروفات حسب الشهر'!$C$763:$AD$872,12,FALSE),0)</f>
        <v>0</v>
      </c>
      <c r="K99" s="362">
        <f>IFERROR(VLOOKUP(C99,'تقرير المصروفات حسب الشهر'!$C$890:$AD$999,12,FALSE),0)</f>
        <v>0</v>
      </c>
      <c r="L99" s="362">
        <f>IFERROR(VLOOKUP(C99,'تقرير المصروفات حسب الشهر'!$C$1016:$AD$1126,12,FALSE),0)</f>
        <v>0</v>
      </c>
      <c r="M99" s="376">
        <f>IFERROR(VLOOKUP(C99,'تقرير المصروفات حسب الشهر'!$C$1143:$AD$1254,12,FALSE),0)</f>
        <v>0</v>
      </c>
      <c r="N99" s="376">
        <f>IFERROR(VLOOKUP(C99,'تقرير المصروفات حسب الشهر'!$C$1270:$AD$1381,12,FALSE),0)</f>
        <v>0</v>
      </c>
      <c r="O99" s="376">
        <f>IFERROR(VLOOKUP(C99,'تقرير المصروفات حسب الشهر'!$C$1397:$AI$1512,12,FALSE),0)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الشهر'!$C$10:$AD$119,12,FALSE),0)</f>
        <v>646.64</v>
      </c>
      <c r="E100" s="362">
        <f>IFERROR(VLOOKUP(C100,'تقرير المصروفات حسب الشهر'!$C$135:$AD$244,12,FALSE),0)</f>
        <v>690.84</v>
      </c>
      <c r="F100" s="362">
        <v>622.67999999999995</v>
      </c>
      <c r="G100" s="362">
        <f>IFERROR(VLOOKUP(C100,'تقرير المصروفات حسب الشهر'!$C$387:$AD$495,12,FALSE),0)</f>
        <v>622.67999999999995</v>
      </c>
      <c r="H100" s="362">
        <f>IFERROR(VLOOKUP(C100,'تقرير المصروفات حسب الشهر'!$C$512:$AD$620,12,FALSE),0)</f>
        <v>622.67999999999995</v>
      </c>
      <c r="I100" s="362">
        <f>IFERROR(VLOOKUP(C100,'تقرير المصروفات حسب الشهر'!$C$637:$AD$746,12,FALSE),0)</f>
        <v>622.67999999999995</v>
      </c>
      <c r="J100" s="362">
        <f>IFERROR(VLOOKUP(C100,'تقرير المصروفات حسب الشهر'!$C$763:$AD$872,12,FALSE),0)</f>
        <v>622.67999999999995</v>
      </c>
      <c r="K100" s="362">
        <f>IFERROR(VLOOKUP(C100,'تقرير المصروفات حسب الشهر'!$C$890:$AD$999,12,FALSE),0)</f>
        <v>622.67999999999995</v>
      </c>
      <c r="L100" s="362">
        <f>IFERROR(VLOOKUP(C100,'تقرير المصروفات حسب الشهر'!$C$1016:$AD$1126,12,FALSE),0)</f>
        <v>622.67999999999995</v>
      </c>
      <c r="M100" s="376">
        <f>IFERROR(VLOOKUP(C100,'تقرير المصروفات حسب الشهر'!$C$1143:$AD$1254,12,FALSE),0)</f>
        <v>622.67999999999995</v>
      </c>
      <c r="N100" s="376">
        <f>IFERROR(VLOOKUP(C100,'تقرير المصروفات حسب الشهر'!$C$1270:$AD$1381,12,FALSE),0)</f>
        <v>622.62</v>
      </c>
      <c r="O100" s="376">
        <f>IFERROR(VLOOKUP(C100,'تقرير المصروفات حسب الشهر'!$C$1397:$AI$1512,12,FALSE),0)</f>
        <v>0.03</v>
      </c>
      <c r="P100" s="364">
        <f t="shared" si="6"/>
        <v>6941.57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الشهر'!$C$10:$AD$119,12,FALSE),0)</f>
        <v>53.44</v>
      </c>
      <c r="E101" s="362">
        <f>IFERROR(VLOOKUP(C101,'تقرير المصروفات حسب الشهر'!$C$135:$AD$244,12,FALSE),0)</f>
        <v>53.44</v>
      </c>
      <c r="F101" s="362">
        <v>53.44</v>
      </c>
      <c r="G101" s="362">
        <f>IFERROR(VLOOKUP(C101,'تقرير المصروفات حسب الشهر'!$C$387:$AD$495,12,FALSE),0)</f>
        <v>53.44</v>
      </c>
      <c r="H101" s="362">
        <f>IFERROR(VLOOKUP(C101,'تقرير المصروفات حسب الشهر'!$C$512:$AD$620,12,FALSE),0)</f>
        <v>53.44</v>
      </c>
      <c r="I101" s="362">
        <f>IFERROR(VLOOKUP(C101,'تقرير المصروفات حسب الشهر'!$C$637:$AD$746,12,FALSE),0)</f>
        <v>53.44</v>
      </c>
      <c r="J101" s="362">
        <f>IFERROR(VLOOKUP(C101,'تقرير المصروفات حسب الشهر'!$C$763:$AD$872,12,FALSE),0)</f>
        <v>53.44</v>
      </c>
      <c r="K101" s="362">
        <f>IFERROR(VLOOKUP(C101,'تقرير المصروفات حسب الشهر'!$C$890:$AD$999,12,FALSE),0)</f>
        <v>38.17</v>
      </c>
      <c r="L101" s="362">
        <f>IFERROR(VLOOKUP(C101,'تقرير المصروفات حسب الشهر'!$C$1016:$AD$1126,12,FALSE),0)</f>
        <v>0</v>
      </c>
      <c r="M101" s="376">
        <f>IFERROR(VLOOKUP(C101,'تقرير المصروفات حسب الشهر'!$C$1143:$AD$1254,12,FALSE),0)</f>
        <v>0</v>
      </c>
      <c r="N101" s="376">
        <f>IFERROR(VLOOKUP(C101,'تقرير المصروفات حسب الشهر'!$C$1270:$AD$1381,12,FALSE),0)</f>
        <v>0</v>
      </c>
      <c r="O101" s="376">
        <f>IFERROR(VLOOKUP(C101,'تقرير المصروفات حسب الشهر'!$C$1397:$AI$1512,12,FALSE),0)</f>
        <v>0</v>
      </c>
      <c r="P101" s="364">
        <f t="shared" si="6"/>
        <v>412.25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الشهر'!$C$10:$AD$119,12,FALSE),0)</f>
        <v>107.34</v>
      </c>
      <c r="E102" s="362">
        <f>IFERROR(VLOOKUP(C102,'تقرير المصروفات حسب الشهر'!$C$135:$AD$244,12,FALSE),0)</f>
        <v>107.34</v>
      </c>
      <c r="F102" s="362">
        <v>107.34</v>
      </c>
      <c r="G102" s="362">
        <f>IFERROR(VLOOKUP(C102,'تقرير المصروفات حسب الشهر'!$C$387:$AD$495,12,FALSE),0)</f>
        <v>107.34</v>
      </c>
      <c r="H102" s="362">
        <f>IFERROR(VLOOKUP(C102,'تقرير المصروفات حسب الشهر'!$C$512:$AD$620,12,FALSE),0)</f>
        <v>107.34</v>
      </c>
      <c r="I102" s="362">
        <f>IFERROR(VLOOKUP(C102,'تقرير المصروفات حسب الشهر'!$C$637:$AD$746,12,FALSE),0)</f>
        <v>107.34</v>
      </c>
      <c r="J102" s="362">
        <f>IFERROR(VLOOKUP(C102,'تقرير المصروفات حسب الشهر'!$C$763:$AD$872,12,FALSE),0)</f>
        <v>107.34</v>
      </c>
      <c r="K102" s="362">
        <f>IFERROR(VLOOKUP(C102,'تقرير المصروفات حسب الشهر'!$C$890:$AD$999,12,FALSE),0)</f>
        <v>107.34</v>
      </c>
      <c r="L102" s="362">
        <f>IFERROR(VLOOKUP(C102,'تقرير المصروفات حسب الشهر'!$C$1016:$AD$1126,12,FALSE),0)</f>
        <v>107.34</v>
      </c>
      <c r="M102" s="376">
        <f>IFERROR(VLOOKUP(C102,'تقرير المصروفات حسب الشهر'!$C$1143:$AD$1254,12,FALSE),0)</f>
        <v>107.34</v>
      </c>
      <c r="N102" s="376">
        <f>IFERROR(VLOOKUP(C102,'تقرير المصروفات حسب الشهر'!$C$1270:$AD$1381,12,FALSE),0)</f>
        <v>107.34</v>
      </c>
      <c r="O102" s="376">
        <f>IFERROR(VLOOKUP(C102,'تقرير المصروفات حسب الشهر'!$C$1397:$AI$1512,12,FALSE),0)</f>
        <v>0.2</v>
      </c>
      <c r="P102" s="364">
        <f t="shared" si="6"/>
        <v>1180.94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الشهر'!$C$10:$AD$119,12,FALSE),0)</f>
        <v>64.41</v>
      </c>
      <c r="E103" s="362">
        <f>IFERROR(VLOOKUP(C103,'تقرير المصروفات حسب الشهر'!$C$135:$AD$244,12,FALSE),0)</f>
        <v>0</v>
      </c>
      <c r="F103" s="362">
        <v>0</v>
      </c>
      <c r="G103" s="362">
        <f>IFERROR(VLOOKUP(C103,'تقرير المصروفات حسب الشهر'!$C$387:$AD$495,12,FALSE),0)</f>
        <v>0</v>
      </c>
      <c r="H103" s="362">
        <f>IFERROR(VLOOKUP(C103,'تقرير المصروفات حسب الشهر'!$C$512:$AD$620,12,FALSE),0)</f>
        <v>0</v>
      </c>
      <c r="I103" s="362">
        <f>IFERROR(VLOOKUP(C103,'تقرير المصروفات حسب الشهر'!$C$637:$AD$746,12,FALSE),0)</f>
        <v>0</v>
      </c>
      <c r="J103" s="362">
        <f>IFERROR(VLOOKUP(C103,'تقرير المصروفات حسب الشهر'!$C$763:$AD$872,12,FALSE),0)</f>
        <v>0</v>
      </c>
      <c r="K103" s="362">
        <f>IFERROR(VLOOKUP(C103,'تقرير المصروفات حسب الشهر'!$C$890:$AD$999,12,FALSE),0)</f>
        <v>0</v>
      </c>
      <c r="L103" s="362">
        <f>IFERROR(VLOOKUP(C103,'تقرير المصروفات حسب الشهر'!$C$1016:$AD$1126,12,FALSE),0)</f>
        <v>0</v>
      </c>
      <c r="M103" s="376">
        <f>IFERROR(VLOOKUP(C103,'تقرير المصروفات حسب الشهر'!$C$1143:$AD$1254,12,FALSE),0)</f>
        <v>0</v>
      </c>
      <c r="N103" s="376">
        <f>IFERROR(VLOOKUP(C103,'تقرير المصروفات حسب الشهر'!$C$1270:$AD$1381,12,FALSE),0)</f>
        <v>0</v>
      </c>
      <c r="O103" s="376">
        <f>IFERROR(VLOOKUP(C103,'تقرير المصروفات حسب الشهر'!$C$1397:$AI$1512,12,FALSE),0)</f>
        <v>0.2</v>
      </c>
      <c r="P103" s="364">
        <f t="shared" si="6"/>
        <v>64.61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الشهر'!$C$10:$AD$119,12,FALSE),0)</f>
        <v>0</v>
      </c>
      <c r="E104" s="362">
        <f>IFERROR(VLOOKUP(C104,'تقرير المصروفات حسب الشهر'!$C$135:$AD$244,12,FALSE),0)</f>
        <v>0</v>
      </c>
      <c r="F104" s="362">
        <v>0</v>
      </c>
      <c r="G104" s="362">
        <f>IFERROR(VLOOKUP(C104,'تقرير المصروفات حسب الشهر'!$C$387:$AD$495,12,FALSE),0)</f>
        <v>0</v>
      </c>
      <c r="H104" s="362">
        <f>IFERROR(VLOOKUP(C104,'تقرير المصروفات حسب الشهر'!$C$512:$AD$620,12,FALSE),0)</f>
        <v>0</v>
      </c>
      <c r="I104" s="362">
        <f>IFERROR(VLOOKUP(C104,'تقرير المصروفات حسب الشهر'!$C$637:$AD$746,12,FALSE),0)</f>
        <v>0</v>
      </c>
      <c r="J104" s="362">
        <f>IFERROR(VLOOKUP(C104,'تقرير المصروفات حسب الشهر'!$C$763:$AD$872,12,FALSE),0)</f>
        <v>0</v>
      </c>
      <c r="K104" s="362">
        <f>IFERROR(VLOOKUP(C104,'تقرير المصروفات حسب الشهر'!$C$890:$AD$999,12,FALSE),0)</f>
        <v>0</v>
      </c>
      <c r="L104" s="362">
        <f>IFERROR(VLOOKUP(C104,'تقرير المصروفات حسب الشهر'!$C$1016:$AD$1126,12,FALSE),0)</f>
        <v>0</v>
      </c>
      <c r="M104" s="376">
        <f>IFERROR(VLOOKUP(C104,'تقرير المصروفات حسب الشهر'!$C$1143:$AD$1254,12,FALSE),0)</f>
        <v>0</v>
      </c>
      <c r="N104" s="376">
        <f>IFERROR(VLOOKUP(C104,'تقرير المصروفات حسب الشهر'!$C$1270:$AD$1381,12,FALSE),0)</f>
        <v>0</v>
      </c>
      <c r="O104" s="376">
        <f>IFERROR(VLOOKUP(C104,'تقرير المصروفات حسب الشهر'!$C$1397:$AI$1512,12,FALSE),0)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الشهر'!$C$10:$AD$119,12,FALSE),0)</f>
        <v>0</v>
      </c>
      <c r="E105" s="362">
        <f>IFERROR(VLOOKUP(C105,'تقرير المصروفات حسب الشهر'!$C$135:$AD$244,12,FALSE),0)</f>
        <v>0</v>
      </c>
      <c r="F105" s="362">
        <v>0</v>
      </c>
      <c r="G105" s="362">
        <f>IFERROR(VLOOKUP(C105,'تقرير المصروفات حسب الشهر'!$C$387:$AD$495,12,FALSE),0)</f>
        <v>0</v>
      </c>
      <c r="H105" s="362">
        <f>IFERROR(VLOOKUP(C105,'تقرير المصروفات حسب الشهر'!$C$512:$AD$620,12,FALSE),0)</f>
        <v>0</v>
      </c>
      <c r="I105" s="362">
        <f>IFERROR(VLOOKUP(C105,'تقرير المصروفات حسب الشهر'!$C$637:$AD$746,12,FALSE),0)</f>
        <v>0</v>
      </c>
      <c r="J105" s="362">
        <f>IFERROR(VLOOKUP(C105,'تقرير المصروفات حسب الشهر'!$C$763:$AD$872,12,FALSE),0)</f>
        <v>0</v>
      </c>
      <c r="K105" s="362">
        <f>IFERROR(VLOOKUP(C105,'تقرير المصروفات حسب الشهر'!$C$890:$AD$999,12,FALSE),0)</f>
        <v>0</v>
      </c>
      <c r="L105" s="362">
        <f>IFERROR(VLOOKUP(C105,'تقرير المصروفات حسب الشهر'!$C$1016:$AD$1126,12,FALSE),0)</f>
        <v>0</v>
      </c>
      <c r="M105" s="376">
        <f>IFERROR(VLOOKUP(C105,'تقرير المصروفات حسب الشهر'!$C$1143:$AD$1254,12,FALSE),0)</f>
        <v>0</v>
      </c>
      <c r="N105" s="376">
        <f>IFERROR(VLOOKUP(C105,'تقرير المصروفات حسب الشهر'!$C$1270:$AD$1381,12,FALSE),0)</f>
        <v>0</v>
      </c>
      <c r="O105" s="376">
        <f>IFERROR(VLOOKUP(C105,'تقرير المصروفات حسب الشهر'!$C$1397:$AI$1512,12,FALSE),0)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الشهر'!$C$10:$AD$119,12,FALSE),0)</f>
        <v>0</v>
      </c>
      <c r="E106" s="362">
        <f>IFERROR(VLOOKUP(C106,'تقرير المصروفات حسب الشهر'!$C$135:$AD$244,12,FALSE),0)</f>
        <v>0</v>
      </c>
      <c r="F106" s="362">
        <v>0</v>
      </c>
      <c r="G106" s="362">
        <f>IFERROR(VLOOKUP(C106,'تقرير المصروفات حسب الشهر'!$C$387:$AD$495,12,FALSE),0)</f>
        <v>0</v>
      </c>
      <c r="H106" s="362">
        <f>IFERROR(VLOOKUP(C106,'تقرير المصروفات حسب الشهر'!$C$512:$AD$620,12,FALSE),0)</f>
        <v>0</v>
      </c>
      <c r="I106" s="362">
        <f>IFERROR(VLOOKUP(C106,'تقرير المصروفات حسب الشهر'!$C$637:$AD$746,12,FALSE),0)</f>
        <v>0</v>
      </c>
      <c r="J106" s="362">
        <f>IFERROR(VLOOKUP(C106,'تقرير المصروفات حسب الشهر'!$C$763:$AD$872,12,FALSE),0)</f>
        <v>0</v>
      </c>
      <c r="K106" s="362">
        <f>IFERROR(VLOOKUP(C106,'تقرير المصروفات حسب الشهر'!$C$890:$AD$999,12,FALSE),0)</f>
        <v>0</v>
      </c>
      <c r="L106" s="362">
        <f>IFERROR(VLOOKUP(C106,'تقرير المصروفات حسب الشهر'!$C$1016:$AD$1126,12,FALSE),0)</f>
        <v>0</v>
      </c>
      <c r="M106" s="376">
        <f>IFERROR(VLOOKUP(C106,'تقرير المصروفات حسب الشهر'!$C$1143:$AD$1254,12,FALSE),0)</f>
        <v>0</v>
      </c>
      <c r="N106" s="376">
        <f>IFERROR(VLOOKUP(C106,'تقرير المصروفات حسب الشهر'!$C$1270:$AD$1381,12,FALSE),0)</f>
        <v>0</v>
      </c>
      <c r="O106" s="376">
        <f>IFERROR(VLOOKUP(C106,'تقرير المصروفات حسب الشهر'!$C$1397:$AI$1512,12,FALSE),0)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الشهر'!$C$10:$AD$119,12,FALSE),0)</f>
        <v>0</v>
      </c>
      <c r="E107" s="362">
        <f>IFERROR(VLOOKUP(C107,'تقرير المصروفات حسب الشهر'!$C$135:$AD$244,12,FALSE),0)</f>
        <v>0</v>
      </c>
      <c r="F107" s="362">
        <v>0</v>
      </c>
      <c r="G107" s="362">
        <f>IFERROR(VLOOKUP(C107,'تقرير المصروفات حسب الشهر'!$C$387:$AD$495,12,FALSE),0)</f>
        <v>0</v>
      </c>
      <c r="H107" s="362">
        <f>IFERROR(VLOOKUP(C107,'تقرير المصروفات حسب الشهر'!$C$512:$AD$620,12,FALSE),0)</f>
        <v>0</v>
      </c>
      <c r="I107" s="362">
        <f>IFERROR(VLOOKUP(C107,'تقرير المصروفات حسب الشهر'!$C$637:$AD$746,12,FALSE),0)</f>
        <v>0</v>
      </c>
      <c r="J107" s="362">
        <f>IFERROR(VLOOKUP(C107,'تقرير المصروفات حسب الشهر'!$C$763:$AD$872,12,FALSE),0)</f>
        <v>0</v>
      </c>
      <c r="K107" s="362">
        <f>IFERROR(VLOOKUP(C107,'تقرير المصروفات حسب الشهر'!$C$890:$AD$999,12,FALSE),0)</f>
        <v>0</v>
      </c>
      <c r="L107" s="362">
        <f>IFERROR(VLOOKUP(C107,'تقرير المصروفات حسب الشهر'!$C$1016:$AD$1126,12,FALSE),0)</f>
        <v>0</v>
      </c>
      <c r="M107" s="376">
        <f>IFERROR(VLOOKUP(C107,'تقرير المصروفات حسب الشهر'!$C$1143:$AD$1254,12,FALSE),0)</f>
        <v>0</v>
      </c>
      <c r="N107" s="376">
        <f>IFERROR(VLOOKUP(C107,'تقرير المصروفات حسب الشهر'!$C$1270:$AD$1381,12,FALSE),0)</f>
        <v>0</v>
      </c>
      <c r="O107" s="376">
        <f>IFERROR(VLOOKUP(C107,'تقرير المصروفات حسب الشهر'!$C$1397:$AI$1512,12,FALSE),0)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الشهر'!$C$10:$AD$119,12,FALSE),0)</f>
        <v>0</v>
      </c>
      <c r="E108" s="362">
        <f>IFERROR(VLOOKUP(C108,'تقرير المصروفات حسب الشهر'!$C$135:$AD$244,12,FALSE),0)</f>
        <v>0</v>
      </c>
      <c r="F108" s="362">
        <v>0</v>
      </c>
      <c r="G108" s="362">
        <f>IFERROR(VLOOKUP(C108,'تقرير المصروفات حسب الشهر'!$C$387:$AD$495,12,FALSE),0)</f>
        <v>0</v>
      </c>
      <c r="H108" s="362">
        <f>IFERROR(VLOOKUP(C108,'تقرير المصروفات حسب الشهر'!$C$512:$AD$620,12,FALSE),0)</f>
        <v>0</v>
      </c>
      <c r="I108" s="362">
        <f>IFERROR(VLOOKUP(C108,'تقرير المصروفات حسب الشهر'!$C$637:$AD$746,12,FALSE),0)</f>
        <v>0</v>
      </c>
      <c r="J108" s="362">
        <f>IFERROR(VLOOKUP(C108,'تقرير المصروفات حسب الشهر'!$C$763:$AD$872,12,FALSE),0)</f>
        <v>0</v>
      </c>
      <c r="K108" s="362">
        <f>IFERROR(VLOOKUP(C108,'تقرير المصروفات حسب الشهر'!$C$890:$AD$999,12,FALSE),0)</f>
        <v>0</v>
      </c>
      <c r="L108" s="362">
        <f>IFERROR(VLOOKUP(C108,'تقرير المصروفات حسب الشهر'!$C$1016:$AD$1126,12,FALSE),0)</f>
        <v>0</v>
      </c>
      <c r="M108" s="376">
        <f>IFERROR(VLOOKUP(C108,'تقرير المصروفات حسب الشهر'!$C$1143:$AD$1254,12,FALSE),0)</f>
        <v>0</v>
      </c>
      <c r="N108" s="376">
        <f>IFERROR(VLOOKUP(C108,'تقرير المصروفات حسب الشهر'!$C$1270:$AD$1381,12,FALSE),0)</f>
        <v>0</v>
      </c>
      <c r="O108" s="376">
        <f>IFERROR(VLOOKUP(C108,'تقرير المصروفات حسب الشهر'!$C$1397:$AI$1512,12,FALSE),0)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الشهر'!$C$10:$AD$119,12,FALSE),0)</f>
        <v>0</v>
      </c>
      <c r="E109" s="362">
        <f>IFERROR(VLOOKUP(C109,'تقرير المصروفات حسب الشهر'!$C$135:$AD$244,12,FALSE),0)</f>
        <v>0</v>
      </c>
      <c r="F109" s="362">
        <v>0</v>
      </c>
      <c r="G109" s="362">
        <f>IFERROR(VLOOKUP(C109,'تقرير المصروفات حسب الشهر'!$C$387:$AD$495,12,FALSE),0)</f>
        <v>0</v>
      </c>
      <c r="H109" s="362">
        <f>IFERROR(VLOOKUP(C109,'تقرير المصروفات حسب الشهر'!$C$512:$AD$620,12,FALSE),0)</f>
        <v>0</v>
      </c>
      <c r="I109" s="362">
        <f>IFERROR(VLOOKUP(C109,'تقرير المصروفات حسب الشهر'!$C$637:$AD$746,12,FALSE),0)</f>
        <v>0</v>
      </c>
      <c r="J109" s="362">
        <f>IFERROR(VLOOKUP(C109,'تقرير المصروفات حسب الشهر'!$C$763:$AD$872,12,FALSE),0)</f>
        <v>0</v>
      </c>
      <c r="K109" s="362">
        <f>IFERROR(VLOOKUP(C109,'تقرير المصروفات حسب الشهر'!$C$890:$AD$999,12,FALSE),0)</f>
        <v>0</v>
      </c>
      <c r="L109" s="362">
        <f>IFERROR(VLOOKUP(C109,'تقرير المصروفات حسب الشهر'!$C$1016:$AD$1126,12,FALSE),0)</f>
        <v>0</v>
      </c>
      <c r="M109" s="376">
        <f>IFERROR(VLOOKUP(C109,'تقرير المصروفات حسب الشهر'!$C$1143:$AD$1254,12,FALSE),0)</f>
        <v>0</v>
      </c>
      <c r="N109" s="376">
        <f>IFERROR(VLOOKUP(C109,'تقرير المصروفات حسب الشهر'!$C$1270:$AD$1381,12,FALSE),0)</f>
        <v>0</v>
      </c>
      <c r="O109" s="376">
        <f>IFERROR(VLOOKUP(C109,'تقرير المصروفات حسب الشهر'!$C$1397:$AI$1512,12,FALSE),0)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الشهر'!$C$10:$AD$119,12,FALSE),0)</f>
        <v>0</v>
      </c>
      <c r="E110" s="362">
        <f>IFERROR(VLOOKUP(C110,'تقرير المصروفات حسب الشهر'!$C$135:$AD$244,12,FALSE),0)</f>
        <v>0</v>
      </c>
      <c r="F110" s="362">
        <v>0</v>
      </c>
      <c r="G110" s="362">
        <f>IFERROR(VLOOKUP(C110,'تقرير المصروفات حسب الشهر'!$C$387:$AD$495,12,FALSE),0)</f>
        <v>0</v>
      </c>
      <c r="H110" s="362">
        <f>IFERROR(VLOOKUP(C110,'تقرير المصروفات حسب الشهر'!$C$512:$AD$620,12,FALSE),0)</f>
        <v>0</v>
      </c>
      <c r="I110" s="362">
        <f>IFERROR(VLOOKUP(C110,'تقرير المصروفات حسب الشهر'!$C$637:$AD$746,12,FALSE),0)</f>
        <v>0</v>
      </c>
      <c r="J110" s="362">
        <f>IFERROR(VLOOKUP(C110,'تقرير المصروفات حسب الشهر'!$C$763:$AD$872,12,FALSE),0)</f>
        <v>4253</v>
      </c>
      <c r="K110" s="362">
        <f>IFERROR(VLOOKUP(C110,'تقرير المصروفات حسب الشهر'!$C$890:$AD$999,12,FALSE),0)</f>
        <v>0</v>
      </c>
      <c r="L110" s="362">
        <f>IFERROR(VLOOKUP(C110,'تقرير المصروفات حسب الشهر'!$C$1016:$AD$1126,12,FALSE),0)</f>
        <v>0.01</v>
      </c>
      <c r="M110" s="376">
        <f>IFERROR(VLOOKUP(C110,'تقرير المصروفات حسب الشهر'!$C$1143:$AD$1254,12,FALSE),0)</f>
        <v>0</v>
      </c>
      <c r="N110" s="376">
        <f>IFERROR(VLOOKUP(C110,'تقرير المصروفات حسب الشهر'!$C$1270:$AD$1381,12,FALSE),0)</f>
        <v>0</v>
      </c>
      <c r="O110" s="376">
        <f>IFERROR(VLOOKUP(C110,'تقرير المصروفات حسب الشهر'!$C$1397:$AI$1512,12,FALSE),0)</f>
        <v>4304.42</v>
      </c>
      <c r="P110" s="364">
        <f t="shared" si="6"/>
        <v>8557.43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الشهر'!$C$10:$AD$119,12,FALSE),0)</f>
        <v>0</v>
      </c>
      <c r="E111" s="362">
        <f>IFERROR(VLOOKUP(C111,'تقرير المصروفات حسب الشهر'!$C$135:$AD$244,12,FALSE),0)</f>
        <v>0</v>
      </c>
      <c r="F111" s="362">
        <v>0</v>
      </c>
      <c r="G111" s="362">
        <f>IFERROR(VLOOKUP(C111,'تقرير المصروفات حسب الشهر'!$C$387:$AD$495,12,FALSE),0)</f>
        <v>0</v>
      </c>
      <c r="H111" s="362">
        <f>IFERROR(VLOOKUP(C111,'تقرير المصروفات حسب الشهر'!$C$512:$AD$620,12,FALSE),0)</f>
        <v>0</v>
      </c>
      <c r="I111" s="362">
        <f>IFERROR(VLOOKUP(C111,'تقرير المصروفات حسب الشهر'!$C$637:$AD$746,12,FALSE),0)</f>
        <v>0</v>
      </c>
      <c r="J111" s="362">
        <f>IFERROR(VLOOKUP(C111,'تقرير المصروفات حسب الشهر'!$C$763:$AD$872,12,FALSE),0)</f>
        <v>0</v>
      </c>
      <c r="K111" s="362">
        <f>IFERROR(VLOOKUP(C111,'تقرير المصروفات حسب الشهر'!$C$890:$AD$999,12,FALSE),0)</f>
        <v>0</v>
      </c>
      <c r="L111" s="362">
        <f>IFERROR(VLOOKUP(C111,'تقرير المصروفات حسب الشهر'!$C$1016:$AD$1126,12,FALSE),0)</f>
        <v>0</v>
      </c>
      <c r="M111" s="376">
        <f>IFERROR(VLOOKUP(C111,'تقرير المصروفات حسب الشهر'!$C$1143:$AD$1254,12,FALSE),0)</f>
        <v>0</v>
      </c>
      <c r="N111" s="376">
        <f>IFERROR(VLOOKUP(C111,'تقرير المصروفات حسب الشهر'!$C$1270:$AD$1381,12,FALSE),0)</f>
        <v>0</v>
      </c>
      <c r="O111" s="376">
        <f>IFERROR(VLOOKUP(C111,'تقرير المصروفات حسب الشهر'!$C$1397:$AI$1512,12,FALSE),0)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الشهر'!$C$10:$AD$119,12,FALSE),0)</f>
        <v>60</v>
      </c>
      <c r="E112" s="362">
        <f>IFERROR(VLOOKUP(C112,'تقرير المصروفات حسب الشهر'!$C$135:$AD$244,12,FALSE),0)</f>
        <v>135</v>
      </c>
      <c r="F112" s="362">
        <v>175</v>
      </c>
      <c r="G112" s="362">
        <f>IFERROR(VLOOKUP(C112,'تقرير المصروفات حسب الشهر'!$C$387:$AD$495,12,FALSE),0)</f>
        <v>118</v>
      </c>
      <c r="H112" s="362">
        <f>IFERROR(VLOOKUP(C112,'تقرير المصروفات حسب الشهر'!$C$512:$AD$620,12,FALSE),0)</f>
        <v>25</v>
      </c>
      <c r="I112" s="362">
        <f>IFERROR(VLOOKUP(C112,'تقرير المصروفات حسب الشهر'!$C$637:$AD$746,12,FALSE),0)</f>
        <v>91</v>
      </c>
      <c r="J112" s="362">
        <f>IFERROR(VLOOKUP(C112,'تقرير المصروفات حسب الشهر'!$C$763:$AD$872,12,FALSE),0)</f>
        <v>0</v>
      </c>
      <c r="K112" s="362">
        <f>IFERROR(VLOOKUP(C112,'تقرير المصروفات حسب الشهر'!$C$890:$AD$999,12,FALSE),0)</f>
        <v>0</v>
      </c>
      <c r="L112" s="362">
        <f>IFERROR(VLOOKUP(C112,'تقرير المصروفات حسب الشهر'!$C$1016:$AD$1126,12,FALSE),0)</f>
        <v>0</v>
      </c>
      <c r="M112" s="376">
        <f>IFERROR(VLOOKUP(C112,'تقرير المصروفات حسب الشهر'!$C$1143:$AD$1254,12,FALSE),0)</f>
        <v>0</v>
      </c>
      <c r="N112" s="376">
        <f>IFERROR(VLOOKUP(C112,'تقرير المصروفات حسب الشهر'!$C$1270:$AD$1381,12,FALSE),0)</f>
        <v>0</v>
      </c>
      <c r="O112" s="376">
        <f>IFERROR(VLOOKUP(C112,'تقرير المصروفات حسب الشهر'!$C$1397:$AI$1512,12,FALSE),0)</f>
        <v>0</v>
      </c>
      <c r="P112" s="364">
        <f t="shared" si="6"/>
        <v>604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الشهر'!$C$10:$AD$119,12,FALSE),0)</f>
        <v>0</v>
      </c>
      <c r="E113" s="362">
        <f>IFERROR(VLOOKUP(C113,'تقرير المصروفات حسب الشهر'!$C$135:$AD$244,12,FALSE),0)</f>
        <v>0</v>
      </c>
      <c r="F113" s="362">
        <v>0</v>
      </c>
      <c r="G113" s="362">
        <f>IFERROR(VLOOKUP(C113,'تقرير المصروفات حسب الشهر'!$C$387:$AD$495,12,FALSE),0)</f>
        <v>0</v>
      </c>
      <c r="H113" s="362">
        <f>IFERROR(VLOOKUP(C113,'تقرير المصروفات حسب الشهر'!$C$512:$AD$620,12,FALSE),0)</f>
        <v>0</v>
      </c>
      <c r="I113" s="362">
        <f>IFERROR(VLOOKUP(C113,'تقرير المصروفات حسب الشهر'!$C$637:$AD$746,12,FALSE),0)</f>
        <v>0</v>
      </c>
      <c r="J113" s="362">
        <f>IFERROR(VLOOKUP(C113,'تقرير المصروفات حسب الشهر'!$C$763:$AD$872,12,FALSE),0)</f>
        <v>0</v>
      </c>
      <c r="K113" s="362">
        <f>IFERROR(VLOOKUP(C113,'تقرير المصروفات حسب الشهر'!$C$890:$AD$999,12,FALSE),0)</f>
        <v>0</v>
      </c>
      <c r="L113" s="362">
        <f>IFERROR(VLOOKUP(C113,'تقرير المصروفات حسب الشهر'!$C$1016:$AD$1126,12,FALSE),0)</f>
        <v>0</v>
      </c>
      <c r="M113" s="376">
        <f>IFERROR(VLOOKUP(C113,'تقرير المصروفات حسب الشهر'!$C$1143:$AD$1254,12,FALSE),0)</f>
        <v>0</v>
      </c>
      <c r="N113" s="376">
        <f>IFERROR(VLOOKUP(C113,'تقرير المصروفات حسب الشهر'!$C$1270:$AD$1381,12,FALSE),0)</f>
        <v>0</v>
      </c>
      <c r="O113" s="376">
        <f>IFERROR(VLOOKUP(C113,'تقرير المصروفات حسب الشهر'!$C$1397:$AI$1512,12,FALSE),0)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الشهر'!$C$10:$AD$119,12,FALSE),0)</f>
        <v>0</v>
      </c>
      <c r="E114" s="362">
        <f>IFERROR(VLOOKUP(C114,'تقرير المصروفات حسب الشهر'!$C$135:$AD$244,12,FALSE),0)</f>
        <v>0</v>
      </c>
      <c r="F114" s="362">
        <v>0</v>
      </c>
      <c r="G114" s="362">
        <f>IFERROR(VLOOKUP(C114,'تقرير المصروفات حسب الشهر'!$C$387:$AD$495,12,FALSE),0)</f>
        <v>0</v>
      </c>
      <c r="H114" s="362">
        <f>IFERROR(VLOOKUP(C114,'تقرير المصروفات حسب الشهر'!$C$512:$AD$620,12,FALSE),0)</f>
        <v>0</v>
      </c>
      <c r="I114" s="362">
        <f>IFERROR(VLOOKUP(C114,'تقرير المصروفات حسب الشهر'!$C$637:$AD$746,12,FALSE),0)</f>
        <v>0</v>
      </c>
      <c r="J114" s="362">
        <f>IFERROR(VLOOKUP(C114,'تقرير المصروفات حسب الشهر'!$C$763:$AD$872,12,FALSE),0)</f>
        <v>0</v>
      </c>
      <c r="K114" s="362">
        <f>IFERROR(VLOOKUP(C114,'تقرير المصروفات حسب الشهر'!$C$890:$AD$999,12,FALSE),0)</f>
        <v>0</v>
      </c>
      <c r="L114" s="362">
        <f>IFERROR(VLOOKUP(C114,'تقرير المصروفات حسب الشهر'!$C$1016:$AD$1126,12,FALSE),0)</f>
        <v>0</v>
      </c>
      <c r="M114" s="376">
        <f>IFERROR(VLOOKUP(C114,'تقرير المصروفات حسب الشهر'!$C$1143:$AD$1254,12,FALSE),0)</f>
        <v>0</v>
      </c>
      <c r="N114" s="376">
        <f>IFERROR(VLOOKUP(C114,'تقرير المصروفات حسب الشهر'!$C$1270:$AD$1381,12,FALSE),0)</f>
        <v>0</v>
      </c>
      <c r="O114" s="376">
        <f>IFERROR(VLOOKUP(C114,'تقرير المصروفات حسب الشهر'!$C$1397:$AI$1512,12,FALSE),0)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الشهر'!$C$10:$AD$119,12,FALSE),0)</f>
        <v>0</v>
      </c>
      <c r="E115" s="362">
        <f>IFERROR(VLOOKUP(C115,'تقرير المصروفات حسب الشهر'!$C$135:$AD$244,12,FALSE),0)</f>
        <v>0</v>
      </c>
      <c r="F115" s="362">
        <v>0</v>
      </c>
      <c r="G115" s="362">
        <f>IFERROR(VLOOKUP(C115,'تقرير المصروفات حسب الشهر'!$C$387:$AD$495,12,FALSE),0)</f>
        <v>0</v>
      </c>
      <c r="H115" s="362">
        <f>IFERROR(VLOOKUP(C115,'تقرير المصروفات حسب الشهر'!$C$512:$AD$620,12,FALSE),0)</f>
        <v>0</v>
      </c>
      <c r="I115" s="362">
        <f>IFERROR(VLOOKUP(C115,'تقرير المصروفات حسب الشهر'!$C$637:$AD$746,12,FALSE),0)</f>
        <v>0</v>
      </c>
      <c r="J115" s="362">
        <f>IFERROR(VLOOKUP(C115,'تقرير المصروفات حسب الشهر'!$C$763:$AD$872,12,FALSE),0)</f>
        <v>0</v>
      </c>
      <c r="K115" s="362">
        <f>IFERROR(VLOOKUP(C115,'تقرير المصروفات حسب الشهر'!$C$890:$AD$999,12,FALSE),0)</f>
        <v>0</v>
      </c>
      <c r="L115" s="362">
        <f>IFERROR(VLOOKUP(C115,'تقرير المصروفات حسب الشهر'!$C$1016:$AD$1126,12,FALSE),0)</f>
        <v>0</v>
      </c>
      <c r="M115" s="376">
        <f>IFERROR(VLOOKUP(C115,'تقرير المصروفات حسب الشهر'!$C$1143:$AD$1254,12,FALSE),0)</f>
        <v>0</v>
      </c>
      <c r="N115" s="376">
        <f>IFERROR(VLOOKUP(C115,'تقرير المصروفات حسب الشهر'!$C$1270:$AD$1381,12,FALSE),0)</f>
        <v>0</v>
      </c>
      <c r="O115" s="376">
        <f>IFERROR(VLOOKUP(C115,'تقرير المصروفات حسب الشهر'!$C$1397:$AI$1512,12,FALSE),0)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الشهر'!$C$10:$AD$119,12,FALSE),0)</f>
        <v>0</v>
      </c>
      <c r="E116" s="362">
        <f>IFERROR(VLOOKUP(C116,'تقرير المصروفات حسب الشهر'!$C$135:$AD$244,12,FALSE),0)</f>
        <v>0</v>
      </c>
      <c r="F116" s="362">
        <v>0</v>
      </c>
      <c r="G116" s="362">
        <f>IFERROR(VLOOKUP(C116,'تقرير المصروفات حسب الشهر'!$C$387:$AD$495,12,FALSE),0)</f>
        <v>0</v>
      </c>
      <c r="H116" s="362">
        <f>IFERROR(VLOOKUP(C116,'تقرير المصروفات حسب الشهر'!$C$512:$AD$620,12,FALSE),0)</f>
        <v>0</v>
      </c>
      <c r="I116" s="362">
        <f>IFERROR(VLOOKUP(C116,'تقرير المصروفات حسب الشهر'!$C$637:$AD$746,12,FALSE),0)</f>
        <v>0</v>
      </c>
      <c r="J116" s="362">
        <f>IFERROR(VLOOKUP(C116,'تقرير المصروفات حسب الشهر'!$C$763:$AD$872,12,FALSE),0)</f>
        <v>0</v>
      </c>
      <c r="K116" s="362">
        <f>IFERROR(VLOOKUP(C116,'تقرير المصروفات حسب الشهر'!$C$890:$AD$999,12,FALSE),0)</f>
        <v>0</v>
      </c>
      <c r="L116" s="362">
        <f>IFERROR(VLOOKUP(C116,'تقرير المصروفات حسب الشهر'!$C$1016:$AD$1126,12,FALSE),0)</f>
        <v>0</v>
      </c>
      <c r="M116" s="376">
        <f>IFERROR(VLOOKUP(C116,'تقرير المصروفات حسب الشهر'!$C$1143:$AD$1254,12,FALSE),0)</f>
        <v>0</v>
      </c>
      <c r="N116" s="376">
        <f>IFERROR(VLOOKUP(C116,'تقرير المصروفات حسب الشهر'!$C$1270:$AD$1381,12,FALSE),0)</f>
        <v>0</v>
      </c>
      <c r="O116" s="376">
        <f>IFERROR(VLOOKUP(C116,'تقرير المصروفات حسب الشهر'!$C$1397:$AI$1512,12,FALSE),0)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الشهر'!$C$10:$AD$119,12,FALSE),0)</f>
        <v>0</v>
      </c>
      <c r="E117" s="362">
        <f>IFERROR(VLOOKUP(C117,'تقرير المصروفات حسب الشهر'!$C$135:$AD$244,12,FALSE),0)</f>
        <v>0</v>
      </c>
      <c r="F117" s="362">
        <v>0</v>
      </c>
      <c r="G117" s="362">
        <f>IFERROR(VLOOKUP(C117,'تقرير المصروفات حسب الشهر'!$C$387:$AD$495,12,FALSE),0)</f>
        <v>0</v>
      </c>
      <c r="H117" s="362">
        <f>IFERROR(VLOOKUP(C117,'تقرير المصروفات حسب الشهر'!$C$512:$AD$620,12,FALSE),0)</f>
        <v>0</v>
      </c>
      <c r="I117" s="362">
        <f>IFERROR(VLOOKUP(C117,'تقرير المصروفات حسب الشهر'!$C$637:$AD$746,12,FALSE),0)</f>
        <v>0</v>
      </c>
      <c r="J117" s="362">
        <f>IFERROR(VLOOKUP(C117,'تقرير المصروفات حسب الشهر'!$C$763:$AD$872,12,FALSE),0)</f>
        <v>0</v>
      </c>
      <c r="K117" s="362">
        <f>IFERROR(VLOOKUP(C117,'تقرير المصروفات حسب الشهر'!$C$890:$AD$999,12,FALSE),0)</f>
        <v>0</v>
      </c>
      <c r="L117" s="362">
        <f>IFERROR(VLOOKUP(C117,'تقرير المصروفات حسب الشهر'!$C$1016:$AD$1126,12,FALSE),0)</f>
        <v>0</v>
      </c>
      <c r="M117" s="376">
        <f>IFERROR(VLOOKUP(C117,'تقرير المصروفات حسب الشهر'!$C$1143:$AD$1254,12,FALSE),0)</f>
        <v>0</v>
      </c>
      <c r="N117" s="376">
        <f>IFERROR(VLOOKUP(C117,'تقرير المصروفات حسب الشهر'!$C$1270:$AD$1381,12,FALSE),0)</f>
        <v>0</v>
      </c>
      <c r="O117" s="376">
        <f>IFERROR(VLOOKUP(C117,'تقرير المصروفات حسب الشهر'!$C$1397:$AI$1512,12,FALSE),0)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الشهر'!$C$10:$AD$119,12,FALSE),0)</f>
        <v>0</v>
      </c>
      <c r="E118" s="362">
        <f>IFERROR(VLOOKUP(C118,'تقرير المصروفات حسب الشهر'!$C$135:$AD$244,12,FALSE),0)</f>
        <v>0</v>
      </c>
      <c r="F118" s="362">
        <v>0</v>
      </c>
      <c r="G118" s="362">
        <f>IFERROR(VLOOKUP(C118,'تقرير المصروفات حسب الشهر'!$C$387:$AD$495,12,FALSE),0)</f>
        <v>0</v>
      </c>
      <c r="H118" s="362">
        <f>IFERROR(VLOOKUP(C118,'تقرير المصروفات حسب الشهر'!$C$512:$AD$620,12,FALSE),0)</f>
        <v>0</v>
      </c>
      <c r="I118" s="362">
        <f>IFERROR(VLOOKUP(C118,'تقرير المصروفات حسب الشهر'!$C$637:$AD$746,12,FALSE),0)</f>
        <v>0</v>
      </c>
      <c r="J118" s="362">
        <f>IFERROR(VLOOKUP(C118,'تقرير المصروفات حسب الشهر'!$C$763:$AD$872,12,FALSE),0)</f>
        <v>0</v>
      </c>
      <c r="K118" s="362">
        <f>IFERROR(VLOOKUP(C118,'تقرير المصروفات حسب الشهر'!$C$890:$AD$999,12,FALSE),0)</f>
        <v>0</v>
      </c>
      <c r="L118" s="362">
        <f>IFERROR(VLOOKUP(C118,'تقرير المصروفات حسب الشهر'!$C$1016:$AD$1126,12,FALSE),0)</f>
        <v>0</v>
      </c>
      <c r="M118" s="376">
        <f>IFERROR(VLOOKUP(C118,'تقرير المصروفات حسب الشهر'!$C$1143:$AD$1254,12,FALSE),0)</f>
        <v>0</v>
      </c>
      <c r="N118" s="376">
        <f>IFERROR(VLOOKUP(C118,'تقرير المصروفات حسب الشهر'!$C$1270:$AD$1381,12,FALSE),0)</f>
        <v>0</v>
      </c>
      <c r="O118" s="376">
        <f>IFERROR(VLOOKUP(C118,'تقرير المصروفات حسب الشهر'!$C$1397:$AI$1512,12,FALSE),0)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الشهر'!$C$10:$AD$119,12,FALSE),0)</f>
        <v>0</v>
      </c>
      <c r="E119" s="362">
        <f>IFERROR(VLOOKUP(C119,'تقرير المصروفات حسب الشهر'!$C$135:$AD$244,12,FALSE),0)</f>
        <v>0</v>
      </c>
      <c r="F119" s="362">
        <v>0</v>
      </c>
      <c r="G119" s="362">
        <f>IFERROR(VLOOKUP(C119,'تقرير المصروفات حسب الشهر'!$C$387:$AD$495,12,FALSE),0)</f>
        <v>0</v>
      </c>
      <c r="H119" s="362">
        <f>IFERROR(VLOOKUP(C119,'تقرير المصروفات حسب الشهر'!$C$512:$AD$620,12,FALSE),0)</f>
        <v>0</v>
      </c>
      <c r="I119" s="362">
        <f>IFERROR(VLOOKUP(C119,'تقرير المصروفات حسب الشهر'!$C$637:$AD$746,12,FALSE),0)</f>
        <v>0</v>
      </c>
      <c r="J119" s="362">
        <f>IFERROR(VLOOKUP(C119,'تقرير المصروفات حسب الشهر'!$C$763:$AD$872,12,FALSE),0)</f>
        <v>0</v>
      </c>
      <c r="K119" s="362">
        <f>IFERROR(VLOOKUP(C119,'تقرير المصروفات حسب الشهر'!$C$890:$AD$999,12,FALSE),0)</f>
        <v>0</v>
      </c>
      <c r="L119" s="362">
        <f>IFERROR(VLOOKUP(C119,'تقرير المصروفات حسب الشهر'!$C$1016:$AD$1126,12,FALSE),0)</f>
        <v>0</v>
      </c>
      <c r="M119" s="376">
        <f>IFERROR(VLOOKUP(C119,'تقرير المصروفات حسب الشهر'!$C$1143:$AD$1254,12,FALSE),0)</f>
        <v>0</v>
      </c>
      <c r="N119" s="376">
        <f>IFERROR(VLOOKUP(C119,'تقرير المصروفات حسب الشهر'!$C$1270:$AD$1381,12,FALSE),0)</f>
        <v>0</v>
      </c>
      <c r="O119" s="376">
        <f>IFERROR(VLOOKUP(C119,'تقرير المصروفات حسب الشهر'!$C$1397:$AI$1512,12,FALSE),0)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الشهر'!$C$10:$AD$119,12,FALSE),0)</f>
        <v>0</v>
      </c>
      <c r="E120" s="362">
        <f>IFERROR(VLOOKUP(C120,'تقرير المصروفات حسب الشهر'!$C$135:$AD$244,12,FALSE),0)</f>
        <v>0</v>
      </c>
      <c r="F120" s="362">
        <v>0</v>
      </c>
      <c r="G120" s="362">
        <f>IFERROR(VLOOKUP(C120,'تقرير المصروفات حسب الشهر'!$C$387:$AD$495,12,FALSE),0)</f>
        <v>0</v>
      </c>
      <c r="H120" s="362">
        <f>IFERROR(VLOOKUP(C120,'تقرير المصروفات حسب الشهر'!$C$512:$AD$620,12,FALSE),0)</f>
        <v>0</v>
      </c>
      <c r="I120" s="362">
        <f>IFERROR(VLOOKUP(C120,'تقرير المصروفات حسب الشهر'!$C$637:$AD$746,12,FALSE),0)</f>
        <v>0</v>
      </c>
      <c r="J120" s="362">
        <f>IFERROR(VLOOKUP(C120,'تقرير المصروفات حسب الشهر'!$C$763:$AD$872,12,FALSE),0)</f>
        <v>0</v>
      </c>
      <c r="K120" s="362">
        <f>IFERROR(VLOOKUP(C120,'تقرير المصروفات حسب الشهر'!$C$890:$AD$999,12,FALSE),0)</f>
        <v>0</v>
      </c>
      <c r="L120" s="362">
        <f>IFERROR(VLOOKUP(C120,'تقرير المصروفات حسب الشهر'!$C$1016:$AD$1126,12,FALSE),0)</f>
        <v>0</v>
      </c>
      <c r="M120" s="376">
        <f>IFERROR(VLOOKUP(C120,'تقرير المصروفات حسب الشهر'!$C$1143:$AD$1254,12,FALSE),0)</f>
        <v>0</v>
      </c>
      <c r="N120" s="376">
        <f>IFERROR(VLOOKUP(C120,'تقرير المصروفات حسب الشهر'!$C$1270:$AD$1381,12,FALSE),0)</f>
        <v>0</v>
      </c>
      <c r="O120" s="376">
        <f>IFERROR(VLOOKUP(C120,'تقرير المصروفات حسب الشهر'!$C$1397:$AI$1512,12,FALSE),0)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الشهر'!$C$10:$AD$119,12,FALSE),0)</f>
        <v>0</v>
      </c>
      <c r="E121" s="362">
        <f>IFERROR(VLOOKUP(C121,'تقرير المصروفات حسب الشهر'!$C$135:$AD$244,12,FALSE),0)</f>
        <v>0</v>
      </c>
      <c r="F121" s="362">
        <v>0</v>
      </c>
      <c r="G121" s="362">
        <f>IFERROR(VLOOKUP(C121,'تقرير المصروفات حسب الشهر'!$C$387:$AD$495,12,FALSE),0)</f>
        <v>0</v>
      </c>
      <c r="H121" s="362">
        <f>IFERROR(VLOOKUP(C121,'تقرير المصروفات حسب الشهر'!$C$512:$AD$620,12,FALSE),0)</f>
        <v>0</v>
      </c>
      <c r="I121" s="362">
        <f>IFERROR(VLOOKUP(C121,'تقرير المصروفات حسب الشهر'!$C$637:$AD$746,12,FALSE),0)</f>
        <v>0</v>
      </c>
      <c r="J121" s="362">
        <f>IFERROR(VLOOKUP(C121,'تقرير المصروفات حسب الشهر'!$C$763:$AD$872,12,FALSE),0)</f>
        <v>0</v>
      </c>
      <c r="K121" s="362">
        <f>IFERROR(VLOOKUP(C121,'تقرير المصروفات حسب الشهر'!$C$890:$AD$999,12,FALSE),0)</f>
        <v>0</v>
      </c>
      <c r="L121" s="362">
        <f>IFERROR(VLOOKUP(C121,'تقرير المصروفات حسب الشهر'!$C$1016:$AD$1126,12,FALSE),0)</f>
        <v>0</v>
      </c>
      <c r="M121" s="376">
        <f>IFERROR(VLOOKUP(C121,'تقرير المصروفات حسب الشهر'!$C$1143:$AD$1254,12,FALSE),0)</f>
        <v>0</v>
      </c>
      <c r="N121" s="376">
        <f>IFERROR(VLOOKUP(C121,'تقرير المصروفات حسب الشهر'!$C$1270:$AD$1381,12,FALSE),0)</f>
        <v>0</v>
      </c>
      <c r="O121" s="376">
        <f>IFERROR(VLOOKUP(C121,'تقرير المصروفات حسب الشهر'!$C$1397:$AI$1512,12,FALSE),0)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الشهر'!$C$10:$AD$119,12,FALSE),0)</f>
        <v>0</v>
      </c>
      <c r="E122" s="362">
        <f>IFERROR(VLOOKUP(C122,'تقرير المصروفات حسب الشهر'!$C$135:$AD$244,12,FALSE),0)</f>
        <v>0</v>
      </c>
      <c r="F122" s="362">
        <v>0</v>
      </c>
      <c r="G122" s="362">
        <f>IFERROR(VLOOKUP(C122,'تقرير المصروفات حسب الشهر'!$C$387:$AD$495,12,FALSE),0)</f>
        <v>0</v>
      </c>
      <c r="H122" s="362">
        <f>IFERROR(VLOOKUP(C122,'تقرير المصروفات حسب الشهر'!$C$512:$AD$620,12,FALSE),0)</f>
        <v>0</v>
      </c>
      <c r="I122" s="362">
        <f>IFERROR(VLOOKUP(C122,'تقرير المصروفات حسب الشهر'!$C$637:$AD$746,12,FALSE),0)</f>
        <v>0</v>
      </c>
      <c r="J122" s="362">
        <f>IFERROR(VLOOKUP(C122,'تقرير المصروفات حسب الشهر'!$C$763:$AD$872,12,FALSE),0)</f>
        <v>0</v>
      </c>
      <c r="K122" s="362">
        <f>IFERROR(VLOOKUP(C122,'تقرير المصروفات حسب الشهر'!$C$890:$AD$999,12,FALSE),0)</f>
        <v>0</v>
      </c>
      <c r="L122" s="362">
        <f>IFERROR(VLOOKUP(C122,'تقرير المصروفات حسب الشهر'!$C$1016:$AD$1126,12,FALSE),0)</f>
        <v>0</v>
      </c>
      <c r="M122" s="376">
        <f>IFERROR(VLOOKUP(C122,'تقرير المصروفات حسب الشهر'!$C$1143:$AD$1254,12,FALSE),0)</f>
        <v>0</v>
      </c>
      <c r="N122" s="376">
        <f>IFERROR(VLOOKUP(C122,'تقرير المصروفات حسب الشهر'!$C$1270:$AD$1381,12,FALSE),0)</f>
        <v>0</v>
      </c>
      <c r="O122" s="376">
        <f>IFERROR(VLOOKUP(C122,'تقرير المصروفات حسب الشهر'!$C$1397:$AI$1512,12,FALSE),0)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الشهر'!$C$10:$AD$119,12,FALSE),0)</f>
        <v>0</v>
      </c>
      <c r="E123" s="362">
        <f>IFERROR(VLOOKUP(C123,'تقرير المصروفات حسب الشهر'!$C$135:$AD$244,12,FALSE),0)</f>
        <v>0</v>
      </c>
      <c r="F123" s="362">
        <v>0</v>
      </c>
      <c r="G123" s="362">
        <f>IFERROR(VLOOKUP(C123,'تقرير المصروفات حسب الشهر'!$C$387:$AD$495,12,FALSE),0)</f>
        <v>0</v>
      </c>
      <c r="H123" s="362">
        <f>IFERROR(VLOOKUP(C123,'تقرير المصروفات حسب الشهر'!$C$512:$AD$620,12,FALSE),0)</f>
        <v>0</v>
      </c>
      <c r="I123" s="362">
        <f>IFERROR(VLOOKUP(C123,'تقرير المصروفات حسب الشهر'!$C$637:$AD$746,12,FALSE),0)</f>
        <v>0</v>
      </c>
      <c r="J123" s="362">
        <f>IFERROR(VLOOKUP(C123,'تقرير المصروفات حسب الشهر'!$C$763:$AD$872,12,FALSE),0)</f>
        <v>0</v>
      </c>
      <c r="K123" s="362">
        <f>IFERROR(VLOOKUP(C123,'تقرير المصروفات حسب الشهر'!$C$890:$AD$999,12,FALSE),0)</f>
        <v>0</v>
      </c>
      <c r="L123" s="362">
        <f>IFERROR(VLOOKUP(C123,'تقرير المصروفات حسب الشهر'!$C$1016:$AD$1126,12,FALSE),0)</f>
        <v>0</v>
      </c>
      <c r="M123" s="376">
        <f>IFERROR(VLOOKUP(C123,'تقرير المصروفات حسب الشهر'!$C$1143:$AD$1254,12,FALSE),0)</f>
        <v>0</v>
      </c>
      <c r="N123" s="376">
        <f>IFERROR(VLOOKUP(C123,'تقرير المصروفات حسب الشهر'!$C$1270:$AD$1381,12,FALSE),0)</f>
        <v>0</v>
      </c>
      <c r="O123" s="376">
        <f>IFERROR(VLOOKUP(C123,'تقرير المصروفات حسب الشهر'!$C$1397:$AI$1512,12,FALSE),0)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الشهر'!$C$10:$AD$119,12,FALSE),0)</f>
        <v>0</v>
      </c>
      <c r="E124" s="362">
        <f>IFERROR(VLOOKUP(C124,'تقرير المصروفات حسب الشهر'!$C$135:$AD$244,12,FALSE),0)</f>
        <v>0</v>
      </c>
      <c r="F124" s="362">
        <v>0</v>
      </c>
      <c r="G124" s="362">
        <f>IFERROR(VLOOKUP(C124,'تقرير المصروفات حسب الشهر'!$C$387:$AD$495,12,FALSE),0)</f>
        <v>0</v>
      </c>
      <c r="H124" s="362">
        <f>IFERROR(VLOOKUP(C124,'تقرير المصروفات حسب الشهر'!$C$512:$AD$620,12,FALSE),0)</f>
        <v>0</v>
      </c>
      <c r="I124" s="362">
        <f>IFERROR(VLOOKUP(C124,'تقرير المصروفات حسب الشهر'!$C$637:$AD$746,12,FALSE),0)</f>
        <v>0</v>
      </c>
      <c r="J124" s="362">
        <f>IFERROR(VLOOKUP(C124,'تقرير المصروفات حسب الشهر'!$C$763:$AD$872,12,FALSE),0)</f>
        <v>0</v>
      </c>
      <c r="K124" s="362">
        <f>IFERROR(VLOOKUP(C124,'تقرير المصروفات حسب الشهر'!$C$890:$AD$999,12,FALSE),0)</f>
        <v>0</v>
      </c>
      <c r="L124" s="362">
        <f>IFERROR(VLOOKUP(C124,'تقرير المصروفات حسب الشهر'!$C$1016:$AD$1126,12,FALSE),0)</f>
        <v>0</v>
      </c>
      <c r="M124" s="376">
        <f>IFERROR(VLOOKUP(C124,'تقرير المصروفات حسب الشهر'!$C$1143:$AD$1254,12,FALSE),0)</f>
        <v>0</v>
      </c>
      <c r="N124" s="376">
        <f>IFERROR(VLOOKUP(C124,'تقرير المصروفات حسب الشهر'!$C$1270:$AD$1381,12,FALSE),0)</f>
        <v>0</v>
      </c>
      <c r="O124" s="376">
        <f>IFERROR(VLOOKUP(C124,'تقرير المصروفات حسب الشهر'!$C$1397:$AI$1512,12,FALSE),0)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الشهر'!$C$10:$AD$119,12,FALSE),0)</f>
        <v>0</v>
      </c>
      <c r="E125" s="362">
        <f>IFERROR(VLOOKUP(C125,'تقرير المصروفات حسب الشهر'!$C$135:$AD$244,12,FALSE),0)</f>
        <v>0</v>
      </c>
      <c r="F125" s="362">
        <v>0</v>
      </c>
      <c r="G125" s="362">
        <f>IFERROR(VLOOKUP(C125,'تقرير المصروفات حسب الشهر'!$C$387:$AD$495,12,FALSE),0)</f>
        <v>0</v>
      </c>
      <c r="H125" s="362">
        <f>IFERROR(VLOOKUP(C125,'تقرير المصروفات حسب الشهر'!$C$512:$AD$620,12,FALSE),0)</f>
        <v>0</v>
      </c>
      <c r="I125" s="362">
        <f>IFERROR(VLOOKUP(C125,'تقرير المصروفات حسب الشهر'!$C$637:$AD$746,12,FALSE),0)</f>
        <v>0</v>
      </c>
      <c r="J125" s="362">
        <f>IFERROR(VLOOKUP(C125,'تقرير المصروفات حسب الشهر'!$C$763:$AD$872,12,FALSE),0)</f>
        <v>0</v>
      </c>
      <c r="K125" s="362">
        <f>IFERROR(VLOOKUP(C125,'تقرير المصروفات حسب الشهر'!$C$890:$AD$999,12,FALSE),0)</f>
        <v>0</v>
      </c>
      <c r="L125" s="362">
        <f>IFERROR(VLOOKUP(C125,'تقرير المصروفات حسب الشهر'!$C$1016:$AD$1126,12,FALSE),0)</f>
        <v>0</v>
      </c>
      <c r="M125" s="376">
        <f>IFERROR(VLOOKUP(C125,'تقرير المصروفات حسب الشهر'!$C$1143:$AD$1254,12,FALSE),0)</f>
        <v>0</v>
      </c>
      <c r="N125" s="376">
        <f>IFERROR(VLOOKUP(C125,'تقرير المصروفات حسب الشهر'!$C$1270:$AD$1381,12,FALSE),0)</f>
        <v>0</v>
      </c>
      <c r="O125" s="376">
        <f>IFERROR(VLOOKUP(C125,'تقرير المصروفات حسب الشهر'!$C$1397:$AI$1512,12,FALSE),0)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الشهر'!$C$10:$AD$119,12,FALSE),0)</f>
        <v>0</v>
      </c>
      <c r="E126" s="362">
        <f>IFERROR(VLOOKUP(C126,'تقرير المصروفات حسب الشهر'!$C$135:$AD$244,12,FALSE),0)</f>
        <v>0</v>
      </c>
      <c r="F126" s="362">
        <v>0</v>
      </c>
      <c r="G126" s="362">
        <f>IFERROR(VLOOKUP(C126,'تقرير المصروفات حسب الشهر'!$C$387:$AD$495,12,FALSE),0)</f>
        <v>0</v>
      </c>
      <c r="H126" s="362">
        <f>IFERROR(VLOOKUP(C126,'تقرير المصروفات حسب الشهر'!$C$512:$AD$620,12,FALSE),0)</f>
        <v>0</v>
      </c>
      <c r="I126" s="362">
        <f>IFERROR(VLOOKUP(C126,'تقرير المصروفات حسب الشهر'!$C$637:$AD$746,12,FALSE),0)</f>
        <v>0</v>
      </c>
      <c r="J126" s="362">
        <f>IFERROR(VLOOKUP(C126,'تقرير المصروفات حسب الشهر'!$C$763:$AD$872,12,FALSE),0)</f>
        <v>0</v>
      </c>
      <c r="K126" s="362">
        <f>IFERROR(VLOOKUP(C126,'تقرير المصروفات حسب الشهر'!$C$890:$AD$999,12,FALSE),0)</f>
        <v>0</v>
      </c>
      <c r="L126" s="362">
        <f>IFERROR(VLOOKUP(C126,'تقرير المصروفات حسب الشهر'!$C$1016:$AD$1126,12,FALSE),0)</f>
        <v>0</v>
      </c>
      <c r="M126" s="376">
        <f>IFERROR(VLOOKUP(C126,'تقرير المصروفات حسب الشهر'!$C$1143:$AD$1254,12,FALSE),0)</f>
        <v>0</v>
      </c>
      <c r="N126" s="376">
        <f>IFERROR(VLOOKUP(C126,'تقرير المصروفات حسب الشهر'!$C$1270:$AD$1381,12,FALSE),0)</f>
        <v>0</v>
      </c>
      <c r="O126" s="376">
        <f>IFERROR(VLOOKUP(C126,'تقرير المصروفات حسب الشهر'!$C$1397:$AI$1512,12,FALSE),0)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الشهر'!$C$10:$AD$119,12,FALSE),0)</f>
        <v>0</v>
      </c>
      <c r="E127" s="362">
        <f>IFERROR(VLOOKUP(C127,'تقرير المصروفات حسب الشهر'!$C$135:$AD$244,12,FALSE),0)</f>
        <v>0</v>
      </c>
      <c r="F127" s="362">
        <v>0</v>
      </c>
      <c r="G127" s="362">
        <f>IFERROR(VLOOKUP(C127,'تقرير المصروفات حسب الشهر'!$C$387:$AD$495,12,FALSE),0)</f>
        <v>0</v>
      </c>
      <c r="H127" s="362">
        <f>IFERROR(VLOOKUP(C127,'تقرير المصروفات حسب الشهر'!$C$512:$AD$620,12,FALSE),0)</f>
        <v>0</v>
      </c>
      <c r="I127" s="362">
        <f>IFERROR(VLOOKUP(C127,'تقرير المصروفات حسب الشهر'!$C$637:$AD$746,12,FALSE),0)</f>
        <v>0</v>
      </c>
      <c r="J127" s="362">
        <f>IFERROR(VLOOKUP(C127,'تقرير المصروفات حسب الشهر'!$C$763:$AD$872,12,FALSE),0)</f>
        <v>0</v>
      </c>
      <c r="K127" s="362">
        <f>IFERROR(VLOOKUP(C127,'تقرير المصروفات حسب الشهر'!$C$890:$AD$999,12,FALSE),0)</f>
        <v>0</v>
      </c>
      <c r="L127" s="362">
        <f>IFERROR(VLOOKUP(C127,'تقرير المصروفات حسب الشهر'!$C$1016:$AD$1126,12,FALSE),0)</f>
        <v>0</v>
      </c>
      <c r="M127" s="376">
        <f>IFERROR(VLOOKUP(C127,'تقرير المصروفات حسب الشهر'!$C$1143:$AD$1254,12,FALSE),0)</f>
        <v>0</v>
      </c>
      <c r="N127" s="376">
        <f>IFERROR(VLOOKUP(C127,'تقرير المصروفات حسب الشهر'!$C$1270:$AD$1381,12,FALSE),0)</f>
        <v>0</v>
      </c>
      <c r="O127" s="376">
        <f>IFERROR(VLOOKUP(C127,'تقرير المصروفات حسب الشهر'!$C$1397:$AI$1512,12,FALSE),0)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الشهر'!$C$10:$AD$119,12,FALSE),0)</f>
        <v>0</v>
      </c>
      <c r="E128" s="362">
        <f>IFERROR(VLOOKUP(C128,'تقرير المصروفات حسب الشهر'!$C$135:$AD$244,12,FALSE),0)</f>
        <v>0</v>
      </c>
      <c r="F128" s="362">
        <v>0</v>
      </c>
      <c r="G128" s="362">
        <f>IFERROR(VLOOKUP(C128,'تقرير المصروفات حسب الشهر'!$C$387:$AD$495,12,FALSE),0)</f>
        <v>0</v>
      </c>
      <c r="H128" s="362">
        <f>IFERROR(VLOOKUP(C128,'تقرير المصروفات حسب الشهر'!$C$512:$AD$620,12,FALSE),0)</f>
        <v>0</v>
      </c>
      <c r="I128" s="362">
        <f>IFERROR(VLOOKUP(C128,'تقرير المصروفات حسب الشهر'!$C$637:$AD$746,12,FALSE),0)</f>
        <v>0</v>
      </c>
      <c r="J128" s="362">
        <f>IFERROR(VLOOKUP(C128,'تقرير المصروفات حسب الشهر'!$C$763:$AD$872,12,FALSE),0)</f>
        <v>0</v>
      </c>
      <c r="K128" s="362">
        <f>IFERROR(VLOOKUP(C128,'تقرير المصروفات حسب الشهر'!$C$890:$AD$999,12,FALSE),0)</f>
        <v>0</v>
      </c>
      <c r="L128" s="362">
        <f>IFERROR(VLOOKUP(C128,'تقرير المصروفات حسب الشهر'!$C$1016:$AD$1126,12,FALSE),0)</f>
        <v>0</v>
      </c>
      <c r="M128" s="376">
        <f>IFERROR(VLOOKUP(C128,'تقرير المصروفات حسب الشهر'!$C$1143:$AD$1254,12,FALSE),0)</f>
        <v>0</v>
      </c>
      <c r="N128" s="376">
        <f>IFERROR(VLOOKUP(C128,'تقرير المصروفات حسب الشهر'!$C$1270:$AD$1381,12,FALSE),0)</f>
        <v>0</v>
      </c>
      <c r="O128" s="376">
        <f>IFERROR(VLOOKUP(C128,'تقرير المصروفات حسب الشهر'!$C$1397:$AI$1512,12,FALSE),0)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الشهر'!$C$10:$AD$119,12,FALSE),0)</f>
        <v>431.25</v>
      </c>
      <c r="E129" s="362">
        <f>IFERROR(VLOOKUP(C129,'تقرير المصروفات حسب الشهر'!$C$135:$AD$244,12,FALSE),0)</f>
        <v>431.25</v>
      </c>
      <c r="F129" s="362">
        <v>431.25</v>
      </c>
      <c r="G129" s="362">
        <f>IFERROR(VLOOKUP(C129,'تقرير المصروفات حسب الشهر'!$C$387:$AD$495,12,FALSE),0)</f>
        <v>431.25</v>
      </c>
      <c r="H129" s="362">
        <f>IFERROR(VLOOKUP(C129,'تقرير المصروفات حسب الشهر'!$C$512:$AD$620,12,FALSE),0)</f>
        <v>431.25</v>
      </c>
      <c r="I129" s="362">
        <f>IFERROR(VLOOKUP(C129,'تقرير المصروفات حسب الشهر'!$C$637:$AD$746,12,FALSE),0)</f>
        <v>431</v>
      </c>
      <c r="J129" s="362">
        <f>IFERROR(VLOOKUP(C129,'تقرير المصروفات حسب الشهر'!$C$763:$AD$872,12,FALSE),0)</f>
        <v>431.25</v>
      </c>
      <c r="K129" s="362">
        <f>IFERROR(VLOOKUP(C129,'تقرير المصروفات حسب الشهر'!$C$890:$AD$999,12,FALSE),0)</f>
        <v>431.25</v>
      </c>
      <c r="L129" s="362">
        <f>IFERROR(VLOOKUP(C129,'تقرير المصروفات حسب الشهر'!$C$1016:$AD$1126,12,FALSE),0)</f>
        <v>431.25</v>
      </c>
      <c r="M129" s="376">
        <f>IFERROR(VLOOKUP(C129,'تقرير المصروفات حسب الشهر'!$C$1143:$AD$1254,12,FALSE),0)</f>
        <v>431.25</v>
      </c>
      <c r="N129" s="376">
        <f>IFERROR(VLOOKUP(C129,'تقرير المصروفات حسب الشهر'!$C$1270:$AD$1381,12,FALSE),0)</f>
        <v>431.25</v>
      </c>
      <c r="O129" s="376">
        <f>IFERROR(VLOOKUP(C129,'تقرير المصروفات حسب الشهر'!$C$1397:$AI$1512,12,FALSE),0)</f>
        <v>431.25</v>
      </c>
      <c r="P129" s="364">
        <f t="shared" si="6"/>
        <v>5174.75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الشهر'!$C$10:$AD$119,12,FALSE),0)</f>
        <v>0</v>
      </c>
      <c r="E130" s="362">
        <f>IFERROR(VLOOKUP(C130,'تقرير المصروفات حسب الشهر'!$C$135:$AD$244,12,FALSE),0)</f>
        <v>0</v>
      </c>
      <c r="F130" s="362">
        <v>0</v>
      </c>
      <c r="G130" s="362">
        <f>IFERROR(VLOOKUP(C130,'تقرير المصروفات حسب الشهر'!$C$387:$AD$495,12,FALSE),0)</f>
        <v>0</v>
      </c>
      <c r="H130" s="362">
        <f>IFERROR(VLOOKUP(C130,'تقرير المصروفات حسب الشهر'!$C$512:$AD$620,12,FALSE),0)</f>
        <v>0</v>
      </c>
      <c r="I130" s="362">
        <f>IFERROR(VLOOKUP(C130,'تقرير المصروفات حسب الشهر'!$C$637:$AD$746,12,FALSE),0)</f>
        <v>0</v>
      </c>
      <c r="J130" s="362">
        <f>IFERROR(VLOOKUP(C130,'تقرير المصروفات حسب الشهر'!$C$763:$AD$872,12,FALSE),0)</f>
        <v>0</v>
      </c>
      <c r="K130" s="362">
        <f>IFERROR(VLOOKUP(C130,'تقرير المصروفات حسب الشهر'!$C$890:$AD$999,12,FALSE),0)</f>
        <v>0</v>
      </c>
      <c r="L130" s="362">
        <f>IFERROR(VLOOKUP(C130,'تقرير المصروفات حسب الشهر'!$C$1016:$AI$1131,12,FALSE),0)</f>
        <v>0</v>
      </c>
      <c r="M130" s="376">
        <f>IFERROR(VLOOKUP(C130,'تقرير المصروفات حسب الشهر'!$C$1143:$AD$1254,12,FALSE),0)</f>
        <v>0</v>
      </c>
      <c r="N130" s="376">
        <f>IFERROR(VLOOKUP(C130,'تقرير المصروفات حسب الشهر'!$C$1270:$AD$1381,12,FALSE),0)</f>
        <v>0</v>
      </c>
      <c r="O130" s="376">
        <f>IFERROR(VLOOKUP(C130,'تقرير المصروفات حسب الشهر'!$C$1397:$AI$1512,12,FALSE),0)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الشهر'!$C$10:$AD$119,12,FALSE),0)</f>
        <v>0</v>
      </c>
      <c r="E131" s="362">
        <f>IFERROR(VLOOKUP(C131,'تقرير المصروفات حسب الشهر'!$C$135:$AD$244,12,FALSE),0)</f>
        <v>0</v>
      </c>
      <c r="F131" s="362">
        <v>0</v>
      </c>
      <c r="G131" s="362">
        <f>IFERROR(VLOOKUP(C131,'تقرير المصروفات حسب الشهر'!$C$387:$AD$495,12,FALSE),0)</f>
        <v>0</v>
      </c>
      <c r="H131" s="362">
        <f>IFERROR(VLOOKUP(C131,'تقرير المصروفات حسب الشهر'!$C$512:$AD$620,12,FALSE),0)</f>
        <v>0</v>
      </c>
      <c r="I131" s="362">
        <f>IFERROR(VLOOKUP(C131,'تقرير المصروفات حسب الشهر'!$C$637:$AD$746,12,FALSE),0)</f>
        <v>0</v>
      </c>
      <c r="J131" s="362">
        <f>IFERROR(VLOOKUP(C131,'تقرير المصروفات حسب الشهر'!$C$763:$AD$872,12,FALSE),0)</f>
        <v>0</v>
      </c>
      <c r="K131" s="362">
        <f>IFERROR(VLOOKUP(C131,'تقرير المصروفات حسب الشهر'!$C$890:$AD$999,12,FALSE),0)</f>
        <v>0</v>
      </c>
      <c r="L131" s="362">
        <f>IFERROR(VLOOKUP(C131,'تقرير المصروفات حسب الشهر'!$C$1016:$AI$1131,12,FALSE),0)</f>
        <v>0</v>
      </c>
      <c r="M131" s="376">
        <f>IFERROR(VLOOKUP(C131,'تقرير المصروفات حسب الشهر'!$C$1143:$AD$1254,12,FALSE),0)</f>
        <v>0</v>
      </c>
      <c r="N131" s="376">
        <f>IFERROR(VLOOKUP(C131,'تقرير المصروفات حسب الشهر'!$C$1270:$AD$1381,12,FALSE),0)</f>
        <v>0</v>
      </c>
      <c r="O131" s="376">
        <f>IFERROR(VLOOKUP(C131,'تقرير المصروفات حسب الشهر'!$C$1397:$AI$1512,12,FALSE),0)</f>
        <v>0</v>
      </c>
      <c r="P131" s="364">
        <f t="shared" si="6"/>
        <v>0</v>
      </c>
    </row>
    <row r="132" spans="1:17" ht="18" customHeight="1">
      <c r="B132" s="124"/>
      <c r="C132" s="341" t="s">
        <v>360</v>
      </c>
      <c r="D132" s="362">
        <f>IFERROR(VLOOKUP(C132,'تقرير المصروفات حسب الشهر'!$C$10:$AD$124,12,FALSE),0)</f>
        <v>83.23</v>
      </c>
      <c r="E132" s="362">
        <f>IFERROR(VLOOKUP(C132,'تقرير المصروفات حسب الشهر'!$C$135:$AD$252,12,FALSE),0)</f>
        <v>100.74</v>
      </c>
      <c r="F132" s="362">
        <v>98</v>
      </c>
      <c r="G132" s="362">
        <f>IFERROR(VLOOKUP(C132,'تقرير المصروفات حسب الشهر'!$C$387:$AD$503,12,FALSE),0)</f>
        <v>104.66</v>
      </c>
      <c r="H132" s="362">
        <f>IFERROR(VLOOKUP(C132,'تقرير المصروفات حسب الشهر'!$C$512:$AD$622,12,FALSE),0)</f>
        <v>28.75</v>
      </c>
      <c r="I132" s="362">
        <f>IFERROR(VLOOKUP(C132,'تقرير المصروفات حسب الشهر'!$C$637:$AD$750,12,FALSE),0)</f>
        <v>700.53</v>
      </c>
      <c r="J132" s="362">
        <f>IFERROR(VLOOKUP(C132,'تقرير المصروفات حسب الشهر'!$C$763:$AD$877,12,FALSE),0)</f>
        <v>23.21</v>
      </c>
      <c r="K132" s="362">
        <f>IFERROR(VLOOKUP(C132,'تقرير المصروفات حسب الشهر'!$C$890:$AD$1007,12,FALSE),0)</f>
        <v>37.92</v>
      </c>
      <c r="L132" s="362">
        <f>IFERROR(VLOOKUP(C132,'تقرير المصروفات حسب الشهر'!$C$1016:$AI$1131,12,FALSE),0)</f>
        <v>231.95</v>
      </c>
      <c r="M132" s="376">
        <f>IFERROR(VLOOKUP(C132,'تقرير المصروفات حسب الشهر'!$C$1143:$AD$1254,12,FALSE),0)</f>
        <v>82.58</v>
      </c>
      <c r="N132" s="376">
        <f>IFERROR(VLOOKUP(C132,'تقرير المصروفات حسب الشهر'!$C$1270:$AD$1381,12,FALSE),0)</f>
        <v>178.16</v>
      </c>
      <c r="O132" s="376">
        <f>IFERROR(VLOOKUP(C132,'تقرير المصروفات حسب الشهر'!$C$1397:$AI$1512,12,FALSE),0)</f>
        <v>293.8</v>
      </c>
      <c r="P132" s="436"/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الشهر'!$C$763:$AD$877,12,FALSE),0)</f>
        <v>31.43</v>
      </c>
      <c r="K133" s="362">
        <f>IFERROR(VLOOKUP(C133,'تقرير المصروفات حسب الشهر'!$C$890:$AD$1007,12,FALSE),0)</f>
        <v>77.67</v>
      </c>
      <c r="L133" s="362">
        <f>IFERROR(VLOOKUP(C133,'تقرير المصروفات حسب الشهر'!$C$1016:$AI$1131,12,FALSE),0)</f>
        <v>159.43</v>
      </c>
      <c r="M133" s="376">
        <f>IFERROR(VLOOKUP(C133,'تقرير المصروفات حسب الشهر'!$C$1143:$AD$1260,12,FALSE),0)</f>
        <v>140.63999999999999</v>
      </c>
      <c r="N133" s="376">
        <f>IFERROR(VLOOKUP(C133,'تقرير المصروفات حسب الشهر'!$C$1270:$AI$1384,12,FALSE),0)</f>
        <v>42.38</v>
      </c>
      <c r="O133" s="376">
        <f>IFERROR(VLOOKUP(C133,'تقرير المصروفات حسب الشهر'!$C$1397:$AI$1512,12,FALSE),0)</f>
        <v>500.45</v>
      </c>
      <c r="P133" s="436"/>
    </row>
    <row r="134" spans="1:17" ht="18" customHeight="1">
      <c r="B134" s="124"/>
      <c r="C134" s="149" t="s">
        <v>270</v>
      </c>
      <c r="D134" s="146">
        <f>SUM(D22:D132)</f>
        <v>37334.65</v>
      </c>
      <c r="E134" s="146">
        <f t="shared" ref="E134:I134" si="7">SUM(E22:E132)</f>
        <v>36893.94999999999</v>
      </c>
      <c r="F134" s="146">
        <f t="shared" si="7"/>
        <v>41480.06</v>
      </c>
      <c r="G134" s="146">
        <f t="shared" si="7"/>
        <v>40529.43</v>
      </c>
      <c r="H134" s="146">
        <f t="shared" si="7"/>
        <v>37551.439999999995</v>
      </c>
      <c r="I134" s="146">
        <f t="shared" si="7"/>
        <v>42284.71</v>
      </c>
      <c r="J134" s="146">
        <f t="shared" ref="J134:O134" si="8">SUM(J22:J133)</f>
        <v>60501.659999999996</v>
      </c>
      <c r="K134" s="146">
        <f t="shared" si="8"/>
        <v>50263.349999999991</v>
      </c>
      <c r="L134" s="146">
        <f t="shared" si="8"/>
        <v>55386.099999999991</v>
      </c>
      <c r="M134" s="146">
        <f t="shared" si="8"/>
        <v>61512.21</v>
      </c>
      <c r="N134" s="146">
        <f t="shared" si="8"/>
        <v>44003.75</v>
      </c>
      <c r="O134" s="146">
        <f t="shared" si="8"/>
        <v>56170.69999999999</v>
      </c>
      <c r="P134" s="388">
        <f t="shared" si="6"/>
        <v>563912.00999999989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41303.50999999998</v>
      </c>
      <c r="E136" s="392">
        <f t="shared" si="9"/>
        <v>41718.919999999984</v>
      </c>
      <c r="F136" s="392">
        <f t="shared" si="9"/>
        <v>34882.5</v>
      </c>
      <c r="G136" s="392">
        <f t="shared" si="9"/>
        <v>51809.010000000009</v>
      </c>
      <c r="H136" s="392">
        <f t="shared" si="9"/>
        <v>73568.830000000016</v>
      </c>
      <c r="I136" s="392">
        <f t="shared" si="9"/>
        <v>46775.44</v>
      </c>
      <c r="J136" s="392">
        <f t="shared" si="9"/>
        <v>85797.670000000042</v>
      </c>
      <c r="K136" s="392">
        <f t="shared" si="9"/>
        <v>59706.649999999987</v>
      </c>
      <c r="L136" s="392">
        <f t="shared" si="9"/>
        <v>111657.34999999998</v>
      </c>
      <c r="M136" s="392">
        <f t="shared" si="9"/>
        <v>78766.320000000182</v>
      </c>
      <c r="N136" s="392">
        <f t="shared" si="9"/>
        <v>86909.980000000098</v>
      </c>
      <c r="O136" s="392">
        <f t="shared" si="9"/>
        <v>95938.209999999963</v>
      </c>
      <c r="P136" s="388">
        <f t="shared" si="6"/>
        <v>808834.39000000013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3968.8599999999788</v>
      </c>
      <c r="E139" s="383">
        <f t="shared" ref="E139:O139" si="10">E136-E134</f>
        <v>4824.9699999999939</v>
      </c>
      <c r="F139" s="383">
        <f t="shared" si="10"/>
        <v>-6597.5599999999977</v>
      </c>
      <c r="G139" s="383">
        <f t="shared" si="10"/>
        <v>11279.580000000009</v>
      </c>
      <c r="H139" s="383">
        <f t="shared" si="10"/>
        <v>36017.390000000021</v>
      </c>
      <c r="I139" s="383">
        <f t="shared" si="10"/>
        <v>4490.7300000000032</v>
      </c>
      <c r="J139" s="383">
        <f t="shared" si="10"/>
        <v>25296.010000000046</v>
      </c>
      <c r="K139" s="383">
        <f t="shared" si="10"/>
        <v>9443.2999999999956</v>
      </c>
      <c r="L139" s="383">
        <f t="shared" si="10"/>
        <v>56271.249999999985</v>
      </c>
      <c r="M139" s="383">
        <f t="shared" si="10"/>
        <v>17254.110000000182</v>
      </c>
      <c r="N139" s="383">
        <f t="shared" si="10"/>
        <v>42906.230000000098</v>
      </c>
      <c r="O139" s="383">
        <f t="shared" si="10"/>
        <v>39767.509999999973</v>
      </c>
      <c r="P139" s="387">
        <f>SUM(D139:O139)</f>
        <v>244922.3800000003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G143" s="459">
        <f>11279.58-G139</f>
        <v>0</v>
      </c>
    </row>
    <row r="144" spans="1:17">
      <c r="G144" s="274"/>
      <c r="N144" s="23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2">
    <tabColor rgb="FFFFC000"/>
  </sheetPr>
  <dimension ref="A1:T146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349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169</v>
      </c>
      <c r="B8" s="390"/>
      <c r="C8" s="369" t="s">
        <v>114</v>
      </c>
      <c r="D8" s="364">
        <f>D9+D10+D11</f>
        <v>3255300.0999999996</v>
      </c>
      <c r="E8" s="364">
        <f t="shared" ref="E8:O8" si="0">E9+E10+E11</f>
        <v>3001166.74</v>
      </c>
      <c r="F8" s="364">
        <f t="shared" si="0"/>
        <v>3507264.91</v>
      </c>
      <c r="G8" s="364">
        <f t="shared" si="0"/>
        <v>3534534.72</v>
      </c>
      <c r="H8" s="364">
        <f t="shared" si="0"/>
        <v>3762535.95</v>
      </c>
      <c r="I8" s="364">
        <f t="shared" si="0"/>
        <v>3648093.5300000003</v>
      </c>
      <c r="J8" s="364">
        <f t="shared" si="0"/>
        <v>3813320.6400000006</v>
      </c>
      <c r="K8" s="364">
        <f t="shared" si="0"/>
        <v>3957623.14</v>
      </c>
      <c r="L8" s="364">
        <f t="shared" si="0"/>
        <v>3543060.35</v>
      </c>
      <c r="M8" s="364">
        <f t="shared" si="0"/>
        <v>3644348.89</v>
      </c>
      <c r="N8" s="364">
        <f t="shared" si="0"/>
        <v>3127717.4400000004</v>
      </c>
      <c r="O8" s="364">
        <f t="shared" si="0"/>
        <v>3888876.3200000003</v>
      </c>
      <c r="P8" s="364">
        <f>SUM(D8:O8)</f>
        <v>42683842.730000004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1756828.6799999997</v>
      </c>
      <c r="E9" s="365">
        <f>VLOOKUP($A$8,'تقرير إحصائية بحجم المبيعات'!$B$42:$G$73,2,FALSE)</f>
        <v>1834383.6</v>
      </c>
      <c r="F9" s="365">
        <f>VLOOKUP($A$8,'تقرير إحصائية بحجم المبيعات'!$B$78:$E$103,2,FALSE)</f>
        <v>2352474.88</v>
      </c>
      <c r="G9" s="365">
        <f>VLOOKUP($A$8,'تقرير إحصائية بحجم المبيعات'!$B$112:$G$137,2,FALSE)</f>
        <v>2372567.06</v>
      </c>
      <c r="H9" s="365">
        <f>VLOOKUP($A$8,'تقرير إحصائية بحجم المبيعات'!$B$147:$G$177,2,FALSE)</f>
        <v>2529586.0300000003</v>
      </c>
      <c r="I9" s="365">
        <f>VLOOKUP($A$8,'تقرير إحصائية بحجم المبيعات'!$B$182:$G$212,2,FALSE)</f>
        <v>2670655.6700000004</v>
      </c>
      <c r="J9" s="365">
        <f>VLOOKUP($A$8,'تقرير إحصائية بحجم المبيعات'!$B$217:$L$243,2,FALSE)</f>
        <v>2623506.8700000006</v>
      </c>
      <c r="K9" s="365">
        <f>VLOOKUP($A$8,'تقرير إحصائية بحجم المبيعات'!$B$252:$L$278,2,FALSE)</f>
        <v>2703204.63</v>
      </c>
      <c r="L9" s="365">
        <f>VLOOKUP($A$8,'تقرير إحصائية بحجم المبيعات'!$B$287:$L$313,2,FALSE)</f>
        <v>2386060.2400000002</v>
      </c>
      <c r="M9" s="365">
        <f>VLOOKUP($A$8,'تقرير إحصائية بحجم المبيعات'!$B$322:$L$350,2,FALSE)</f>
        <v>2496887.8400000003</v>
      </c>
      <c r="N9" s="365">
        <f>VLOOKUP($A$8,'تقرير إحصائية بحجم المبيعات'!$B$357:$L$383,2,FALSE)</f>
        <v>2217335.5900000003</v>
      </c>
      <c r="O9" s="365">
        <f>VLOOKUP($A$8,'تقرير إحصائية بحجم المبيعات'!$B$391:$L$420,2,FALSE)</f>
        <v>2671307.7400000002</v>
      </c>
      <c r="P9" s="364">
        <f t="shared" ref="P9:P18" si="1">SUM(D9:O9)</f>
        <v>28614798.830000006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6124.97</v>
      </c>
      <c r="E10" s="365">
        <f>VLOOKUP($A$8,'تقرير إحصائية بحجم المبيعات'!$B$42:$G$73,3,FALSE)</f>
        <v>7235.97</v>
      </c>
      <c r="F10" s="365">
        <f>VLOOKUP($A$8,'تقرير إحصائية بحجم المبيعات'!$B$78:$E$103,3,FALSE)</f>
        <v>5486.91</v>
      </c>
      <c r="G10" s="365">
        <f>VLOOKUP($A$8,'تقرير إحصائية بحجم المبيعات'!$B$112:$G$137,3,FALSE)</f>
        <v>23317.62</v>
      </c>
      <c r="H10" s="365">
        <f>VLOOKUP($A$8,'تقرير إحصائية بحجم المبيعات'!$B$147:$G$177,3,FALSE)</f>
        <v>11452.31</v>
      </c>
      <c r="I10" s="365">
        <f>VLOOKUP($A$8,'تقرير إحصائية بحجم المبيعات'!$B$182:$G$212,3,FALSE)</f>
        <v>2332.0100000000002</v>
      </c>
      <c r="J10" s="365">
        <f>VLOOKUP($A$8,'تقرير إحصائية بحجم المبيعات'!$B$217:$L$243,3,FALSE)</f>
        <v>9179.76</v>
      </c>
      <c r="K10" s="365">
        <f>VLOOKUP($A$8,'تقرير إحصائية بحجم المبيعات'!$B$252:$L$278,3,FALSE)</f>
        <v>9366.39</v>
      </c>
      <c r="L10" s="365">
        <f>VLOOKUP($A$8,'تقرير إحصائية بحجم المبيعات'!$B$287:$L$313,3,FALSE)</f>
        <v>4723.03</v>
      </c>
      <c r="M10" s="365">
        <f>VLOOKUP($A$8,'تقرير إحصائية بحجم المبيعات'!$B$322:$L$350,3,FALSE)</f>
        <v>9682.2800000000007</v>
      </c>
      <c r="N10" s="365">
        <f>VLOOKUP($A$8,'تقرير إحصائية بحجم المبيعات'!$B$357:$L$383,3,FALSE)</f>
        <v>1434.9</v>
      </c>
      <c r="O10" s="365">
        <f>VLOOKUP($A$8,'تقرير إحصائية بحجم المبيعات'!$B$391:$L$420,3,FALSE)</f>
        <v>852.01</v>
      </c>
      <c r="P10" s="364">
        <f t="shared" si="1"/>
        <v>91188.159999999989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1492346.45</v>
      </c>
      <c r="E11" s="365">
        <f>VLOOKUP($A$8,'تقرير إحصائية بحجم المبيعات'!$B$42:$G$73,4,FALSE)</f>
        <v>1159547.17</v>
      </c>
      <c r="F11" s="365">
        <f>VLOOKUP($A$8,'تقرير إحصائية بحجم المبيعات'!$B$78:$E$103,4,FALSE)</f>
        <v>1149303.1200000001</v>
      </c>
      <c r="G11" s="365">
        <f>VLOOKUP($A$8,'تقرير إحصائية بحجم المبيعات'!$B$112:$G$137,4,FALSE)</f>
        <v>1138650.04</v>
      </c>
      <c r="H11" s="365">
        <f>VLOOKUP($A$8,'تقرير إحصائية بحجم المبيعات'!$B$147:$G$177,4,FALSE)</f>
        <v>1221497.6100000001</v>
      </c>
      <c r="I11" s="365">
        <f>VLOOKUP($A$8,'تقرير إحصائية بحجم المبيعات'!$B$182:$G$212,4,FALSE)</f>
        <v>975105.85</v>
      </c>
      <c r="J11" s="365">
        <f>VLOOKUP($A$8,'تقرير إحصائية بحجم المبيعات'!$B$217:$L$243,4,FALSE)</f>
        <v>1180634.01</v>
      </c>
      <c r="K11" s="365">
        <f>VLOOKUP($A$8,'تقرير إحصائية بحجم المبيعات'!$B$252:$L$278,4,FALSE)</f>
        <v>1245052.1200000001</v>
      </c>
      <c r="L11" s="365">
        <f>VLOOKUP($A$8,'تقرير إحصائية بحجم المبيعات'!$B$287:$L$313,4,FALSE)</f>
        <v>1152277.08</v>
      </c>
      <c r="M11" s="365">
        <f>VLOOKUP($A$8,'تقرير إحصائية بحجم المبيعات'!$B$322:$L$350,4,FALSE)</f>
        <v>1137778.77</v>
      </c>
      <c r="N11" s="365">
        <f>VLOOKUP($A$8,'تقرير إحصائية بحجم المبيعات'!$B$357:$L$383,4,FALSE)</f>
        <v>908946.95</v>
      </c>
      <c r="O11" s="365">
        <f>VLOOKUP($A$8,'تقرير إحصائية بحجم المبيعات'!$B$391:$L$420,4,FALSE)</f>
        <v>1216716.57</v>
      </c>
      <c r="P11" s="364">
        <f t="shared" si="1"/>
        <v>13977855.74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2529532.62</v>
      </c>
      <c r="E12" s="364">
        <f>VLOOKUP($A$8,'تقرير إحصائية بحجم المبيعات'!$B$42:$L$73,11,FALSE)</f>
        <v>2423019.5550000002</v>
      </c>
      <c r="F12" s="364">
        <f>VLOOKUP($A$8,'تقرير إحصائية بحجم المبيعات'!$B$78:$L$103,11,FALSE)</f>
        <v>2770651.91</v>
      </c>
      <c r="G12" s="364">
        <f>VLOOKUP($A$8,'تقرير إحصائية بحجم المبيعات'!$B$112:$L$137,11,FALSE)</f>
        <v>2868456.58</v>
      </c>
      <c r="H12" s="364">
        <f>VLOOKUP($A$8,'تقرير إحصائية بحجم المبيعات'!$B$147:$L$177,11,FALSE)</f>
        <v>2998553.69</v>
      </c>
      <c r="I12" s="364">
        <f>VLOOKUP($A$8,'تقرير إحصائية بحجم المبيعات'!$B$182:$L$212,11,FALSE)</f>
        <v>2934608.13</v>
      </c>
      <c r="J12" s="365">
        <f>VLOOKUP($A$8,'تقرير إحصائية بحجم المبيعات'!$B$217:$L$243,11,FALSE)</f>
        <v>3093187.42</v>
      </c>
      <c r="K12" s="364">
        <f>VLOOKUP($A$8,'تقرير إحصائية بحجم المبيعات'!$B$252:$L$278,11,FALSE)</f>
        <v>3203375.68</v>
      </c>
      <c r="L12" s="364">
        <f>VLOOKUP($A$8,'تقرير إحصائية بحجم المبيعات'!$B$287:$L$313,11,FALSE)</f>
        <v>2857247.25</v>
      </c>
      <c r="M12" s="365">
        <f>VLOOKUP($A$8,'تقرير إحصائية بحجم المبيعات'!$B$322:$L$350,11,FALSE)</f>
        <v>2884197.66</v>
      </c>
      <c r="N12" s="365">
        <f>VLOOKUP($A$8,'تقرير إحصائية بحجم المبيعات'!$B$357:$L$383,11,FALSE)</f>
        <v>2482703.06</v>
      </c>
      <c r="O12" s="365">
        <f>VLOOKUP($A$8,'تقرير إحصائية بحجم المبيعات'!$B$391:$L$420,11,FALSE)</f>
        <v>3097288.51</v>
      </c>
      <c r="P12" s="364">
        <f t="shared" si="1"/>
        <v>34142822.064999998</v>
      </c>
    </row>
    <row r="13" spans="1:20" ht="18" customHeight="1">
      <c r="B13" s="124"/>
      <c r="C13" s="371" t="s">
        <v>14</v>
      </c>
      <c r="D13" s="366">
        <f t="shared" ref="D13:O13" si="2">D8-D12</f>
        <v>725767.47999999952</v>
      </c>
      <c r="E13" s="366">
        <f t="shared" si="2"/>
        <v>578147.18500000006</v>
      </c>
      <c r="F13" s="366">
        <f t="shared" si="2"/>
        <v>736613</v>
      </c>
      <c r="G13" s="366">
        <f t="shared" si="2"/>
        <v>666078.14000000013</v>
      </c>
      <c r="H13" s="366">
        <f t="shared" si="2"/>
        <v>763982.26000000024</v>
      </c>
      <c r="I13" s="366">
        <f t="shared" si="2"/>
        <v>713485.40000000037</v>
      </c>
      <c r="J13" s="366">
        <f t="shared" si="2"/>
        <v>720133.22000000067</v>
      </c>
      <c r="K13" s="366">
        <f t="shared" si="2"/>
        <v>754247.46</v>
      </c>
      <c r="L13" s="366">
        <f t="shared" si="2"/>
        <v>685813.10000000009</v>
      </c>
      <c r="M13" s="366">
        <f t="shared" si="2"/>
        <v>760151.23</v>
      </c>
      <c r="N13" s="366">
        <f t="shared" si="2"/>
        <v>645014.38000000035</v>
      </c>
      <c r="O13" s="366">
        <f t="shared" si="2"/>
        <v>791587.81000000052</v>
      </c>
      <c r="P13" s="366">
        <f t="shared" si="1"/>
        <v>8541020.6650000028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>
        <v>24.999999999995339</v>
      </c>
      <c r="G16" s="367"/>
      <c r="H16" s="367">
        <v>5476.43</v>
      </c>
      <c r="I16" s="367"/>
      <c r="J16" s="367">
        <v>733.86000000000013</v>
      </c>
      <c r="K16" s="367"/>
      <c r="L16" s="367"/>
      <c r="M16" s="367"/>
      <c r="N16" s="367">
        <v>10343.580000000002</v>
      </c>
      <c r="O16" s="367"/>
      <c r="P16" s="364">
        <f t="shared" si="1"/>
        <v>16578.869999999995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24.999999999995339</v>
      </c>
      <c r="G18" s="363">
        <f t="shared" si="3"/>
        <v>0</v>
      </c>
      <c r="H18" s="363">
        <f t="shared" si="3"/>
        <v>5476.43</v>
      </c>
      <c r="I18" s="363">
        <f t="shared" si="3"/>
        <v>0</v>
      </c>
      <c r="J18" s="363">
        <f t="shared" si="3"/>
        <v>733.86000000000013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 t="shared" si="3"/>
        <v>10343.580000000002</v>
      </c>
      <c r="O18" s="368">
        <f t="shared" si="3"/>
        <v>0</v>
      </c>
      <c r="P18" s="364">
        <f t="shared" si="1"/>
        <v>16578.869999999995</v>
      </c>
    </row>
    <row r="19" spans="2:16" ht="18" customHeight="1">
      <c r="B19" s="124"/>
      <c r="C19" s="386" t="s">
        <v>14</v>
      </c>
      <c r="D19" s="374">
        <f t="shared" ref="D19:O19" si="4">D13+D18</f>
        <v>725767.47999999952</v>
      </c>
      <c r="E19" s="374">
        <f t="shared" si="4"/>
        <v>578147.18500000006</v>
      </c>
      <c r="F19" s="374">
        <f t="shared" si="4"/>
        <v>736638</v>
      </c>
      <c r="G19" s="374">
        <f t="shared" si="4"/>
        <v>666078.14000000013</v>
      </c>
      <c r="H19" s="374">
        <f t="shared" si="4"/>
        <v>769458.69000000029</v>
      </c>
      <c r="I19" s="374">
        <f t="shared" si="4"/>
        <v>713485.40000000037</v>
      </c>
      <c r="J19" s="374">
        <f t="shared" si="4"/>
        <v>720867.08000000066</v>
      </c>
      <c r="K19" s="374">
        <f t="shared" si="4"/>
        <v>754247.46</v>
      </c>
      <c r="L19" s="374">
        <f t="shared" si="4"/>
        <v>685813.10000000009</v>
      </c>
      <c r="M19" s="374">
        <f t="shared" si="4"/>
        <v>760151.23</v>
      </c>
      <c r="N19" s="374">
        <f t="shared" si="4"/>
        <v>655357.96000000031</v>
      </c>
      <c r="O19" s="374">
        <f t="shared" si="4"/>
        <v>791587.81000000052</v>
      </c>
      <c r="P19" s="382">
        <f>SUM(D19:O19)</f>
        <v>8557599.5350000039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الشهر'!$C$10:$AD$119,13,FALSE),0)</f>
        <v>0</v>
      </c>
      <c r="E22" s="362">
        <f>IFERROR(VLOOKUP(C22,'تقرير المصروفات حسب الشهر'!$C$135:$AD$244,13,FALSE),0)</f>
        <v>0</v>
      </c>
      <c r="F22" s="362">
        <v>0</v>
      </c>
      <c r="G22" s="362">
        <f>IFERROR(VLOOKUP(C22,'تقرير المصروفات حسب الشهر'!$C$387:$AD$495,13,FALSE),0)</f>
        <v>0</v>
      </c>
      <c r="H22" s="362">
        <f>IFERROR(VLOOKUP(C22,'تقرير المصروفات حسب الشهر'!$C$512:$AD$620,13,FALSE),0)</f>
        <v>0</v>
      </c>
      <c r="I22" s="362">
        <f>IFERROR(VLOOKUP(C22,'تقرير المصروفات حسب الشهر'!$C$637:$AD$746,13,FALSE),0)</f>
        <v>0</v>
      </c>
      <c r="J22" s="362">
        <f>IFERROR(VLOOKUP(C22,'تقرير المصروفات حسب الشهر'!$C$763:$AD$872,13,FALSE),0)</f>
        <v>0</v>
      </c>
      <c r="K22" s="362">
        <f>IFERROR(VLOOKUP(C22,'تقرير المصروفات حسب الشهر'!$C$890:$AD$999,13,FALSE),0)</f>
        <v>0</v>
      </c>
      <c r="L22" s="362">
        <f>IFERROR(VLOOKUP(C22,'تقرير المصروفات حسب الشهر'!$C$1016:$AD$1126,13,FALSE),0)</f>
        <v>0</v>
      </c>
      <c r="M22" s="376">
        <f>IFERROR(VLOOKUP(C22,'تقرير المصروفات حسب الشهر'!$C$1143:$AD$1254,13,FALSE),0)</f>
        <v>0</v>
      </c>
      <c r="N22" s="376">
        <f>IFERROR(VLOOKUP(C22,'تقرير المصروفات حسب الشهر'!$C$1270:$AD$1381,13,FALSE),0)</f>
        <v>0</v>
      </c>
      <c r="O22" s="376">
        <f>IFERROR(VLOOKUP(C22,'تقرير المصروفات حسب الشهر'!$C$1397:$AI$1512,13,FALSE),0)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الشهر'!$C$10:$AD$119,13,FALSE),0)</f>
        <v>243139.37</v>
      </c>
      <c r="E23" s="362">
        <f>IFERROR(VLOOKUP(C23,'تقرير المصروفات حسب الشهر'!$C$135:$AD$244,13,FALSE),0)</f>
        <v>299809.86</v>
      </c>
      <c r="F23" s="362">
        <v>276124.17</v>
      </c>
      <c r="G23" s="362">
        <f>IFERROR(VLOOKUP(C23,'تقرير المصروفات حسب الشهر'!$C$387:$AD$495,13,FALSE),0)</f>
        <v>314917.07999999996</v>
      </c>
      <c r="H23" s="362">
        <f>IFERROR(VLOOKUP(C23,'تقرير المصروفات حسب الشهر'!$C$512:$AD$620,13,FALSE),0)</f>
        <v>295451.13</v>
      </c>
      <c r="I23" s="362">
        <f>IFERROR(VLOOKUP(C23,'تقرير المصروفات حسب الشهر'!$C$637:$AD$746,13,FALSE),0)</f>
        <v>317549.95999999996</v>
      </c>
      <c r="J23" s="362">
        <f>IFERROR(VLOOKUP(C23,'تقرير المصروفات حسب الشهر'!$C$763:$AD$872,13,FALSE),0)</f>
        <v>295608.21999999997</v>
      </c>
      <c r="K23" s="362">
        <f>IFERROR(VLOOKUP(C23,'تقرير المصروفات حسب الشهر'!$C$890:$AD$999,13,FALSE),0)</f>
        <v>309902.64</v>
      </c>
      <c r="L23" s="362">
        <f>IFERROR(VLOOKUP(C23,'تقرير المصروفات حسب الشهر'!$C$1016:$AD$1126,13,FALSE),0)</f>
        <v>333055.33999999997</v>
      </c>
      <c r="M23" s="376">
        <f>IFERROR(VLOOKUP(C23,'تقرير المصروفات حسب الشهر'!$C$1143:$AD$1254,13,FALSE),0)</f>
        <v>323433.61</v>
      </c>
      <c r="N23" s="376">
        <f>IFERROR(VLOOKUP(C23,'تقرير المصروفات حسب الشهر'!$C$1270:$AD$1381,13,FALSE),0)</f>
        <v>309768.21000000002</v>
      </c>
      <c r="O23" s="376">
        <f>IFERROR(VLOOKUP(C23,'تقرير المصروفات حسب الشهر'!$C$1397:$AI$1512,13,FALSE),0)</f>
        <v>375666.48</v>
      </c>
      <c r="P23" s="364">
        <f t="shared" ref="P23:P86" si="5">SUM(D23:O23)</f>
        <v>3694426.0699999994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الشهر'!$C$10:$AD$119,13,FALSE),0)</f>
        <v>1000</v>
      </c>
      <c r="E24" s="362">
        <f>IFERROR(VLOOKUP(C24,'تقرير المصروفات حسب الشهر'!$C$135:$AD$244,13,FALSE),0)</f>
        <v>1000</v>
      </c>
      <c r="F24" s="362">
        <v>1200</v>
      </c>
      <c r="G24" s="362">
        <f>IFERROR(VLOOKUP(C24,'تقرير المصروفات حسب الشهر'!$C$387:$AD$495,13,FALSE),0)</f>
        <v>1500</v>
      </c>
      <c r="H24" s="362">
        <f>IFERROR(VLOOKUP(C24,'تقرير المصروفات حسب الشهر'!$C$512:$AD$620,13,FALSE),0)</f>
        <v>1500</v>
      </c>
      <c r="I24" s="362">
        <f>IFERROR(VLOOKUP(C24,'تقرير المصروفات حسب الشهر'!$C$637:$AD$746,13,FALSE),0)</f>
        <v>3000</v>
      </c>
      <c r="J24" s="362">
        <f>IFERROR(VLOOKUP(C24,'تقرير المصروفات حسب الشهر'!$C$763:$AD$872,13,FALSE),0)</f>
        <v>4500</v>
      </c>
      <c r="K24" s="362">
        <f>IFERROR(VLOOKUP(C24,'تقرير المصروفات حسب الشهر'!$C$890:$AD$999,13,FALSE),0)</f>
        <v>2500</v>
      </c>
      <c r="L24" s="362">
        <f>IFERROR(VLOOKUP(C24,'تقرير المصروفات حسب الشهر'!$C$1016:$AD$1126,13,FALSE),0)</f>
        <v>3000</v>
      </c>
      <c r="M24" s="376">
        <f>IFERROR(VLOOKUP(C24,'تقرير المصروفات حسب الشهر'!$C$1143:$AD$1254,13,FALSE),0)</f>
        <v>2500</v>
      </c>
      <c r="N24" s="376">
        <f>IFERROR(VLOOKUP(C24,'تقرير المصروفات حسب الشهر'!$C$1270:$AD$1381,13,FALSE),0)</f>
        <v>1000</v>
      </c>
      <c r="O24" s="376">
        <f>IFERROR(VLOOKUP(C24,'تقرير المصروفات حسب الشهر'!$C$1397:$AI$1512,13,FALSE),0)</f>
        <v>1500</v>
      </c>
      <c r="P24" s="364">
        <f t="shared" si="5"/>
        <v>24200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الشهر'!$C$10:$AD$119,13,FALSE),0)</f>
        <v>0</v>
      </c>
      <c r="E25" s="362">
        <f>IFERROR(VLOOKUP(C25,'تقرير المصروفات حسب الشهر'!$C$135:$AD$244,13,FALSE),0)</f>
        <v>0</v>
      </c>
      <c r="F25" s="362">
        <v>0</v>
      </c>
      <c r="G25" s="362">
        <f>IFERROR(VLOOKUP(C25,'تقرير المصروفات حسب الشهر'!$C$387:$AD$495,13,FALSE),0)</f>
        <v>0</v>
      </c>
      <c r="H25" s="362">
        <f>IFERROR(VLOOKUP(C25,'تقرير المصروفات حسب الشهر'!$C$512:$AD$620,13,FALSE),0)</f>
        <v>671</v>
      </c>
      <c r="I25" s="362">
        <f>IFERROR(VLOOKUP(C25,'تقرير المصروفات حسب الشهر'!$C$637:$AD$746,13,FALSE),0)</f>
        <v>0</v>
      </c>
      <c r="J25" s="362">
        <f>IFERROR(VLOOKUP(C25,'تقرير المصروفات حسب الشهر'!$C$763:$AD$872,13,FALSE),0)</f>
        <v>0</v>
      </c>
      <c r="K25" s="362">
        <f>IFERROR(VLOOKUP(C25,'تقرير المصروفات حسب الشهر'!$C$890:$AD$999,13,FALSE),0)</f>
        <v>0</v>
      </c>
      <c r="L25" s="362">
        <f>IFERROR(VLOOKUP(C25,'تقرير المصروفات حسب الشهر'!$C$1016:$AD$1126,13,FALSE),0)</f>
        <v>202</v>
      </c>
      <c r="M25" s="376">
        <f>IFERROR(VLOOKUP(C25,'تقرير المصروفات حسب الشهر'!$C$1143:$AD$1254,13,FALSE),0)</f>
        <v>0</v>
      </c>
      <c r="N25" s="376">
        <f>IFERROR(VLOOKUP(C25,'تقرير المصروفات حسب الشهر'!$C$1270:$AD$1381,13,FALSE),0)</f>
        <v>0</v>
      </c>
      <c r="O25" s="376">
        <f>IFERROR(VLOOKUP(C25,'تقرير المصروفات حسب الشهر'!$C$1397:$AI$1512,13,FALSE),0)</f>
        <v>0</v>
      </c>
      <c r="P25" s="364">
        <f t="shared" si="5"/>
        <v>873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الشهر'!$C$10:$AD$119,13,FALSE),0)</f>
        <v>300</v>
      </c>
      <c r="E26" s="362">
        <f>IFERROR(VLOOKUP(C26,'تقرير المصروفات حسب الشهر'!$C$135:$AD$244,13,FALSE),0)</f>
        <v>0</v>
      </c>
      <c r="F26" s="362">
        <v>400</v>
      </c>
      <c r="G26" s="362">
        <f>IFERROR(VLOOKUP(C26,'تقرير المصروفات حسب الشهر'!$C$387:$AD$495,13,FALSE),0)</f>
        <v>0</v>
      </c>
      <c r="H26" s="362">
        <f>IFERROR(VLOOKUP(C26,'تقرير المصروفات حسب الشهر'!$C$512:$AD$620,13,FALSE),0)</f>
        <v>0</v>
      </c>
      <c r="I26" s="362">
        <f>IFERROR(VLOOKUP(C26,'تقرير المصروفات حسب الشهر'!$C$637:$AD$746,13,FALSE),0)</f>
        <v>800</v>
      </c>
      <c r="J26" s="362">
        <f>IFERROR(VLOOKUP(C26,'تقرير المصروفات حسب الشهر'!$C$763:$AD$872,13,FALSE),0)</f>
        <v>0</v>
      </c>
      <c r="K26" s="362">
        <f>IFERROR(VLOOKUP(C26,'تقرير المصروفات حسب الشهر'!$C$890:$AD$999,13,FALSE),0)</f>
        <v>0</v>
      </c>
      <c r="L26" s="362">
        <f>IFERROR(VLOOKUP(C26,'تقرير المصروفات حسب الشهر'!$C$1016:$AD$1126,13,FALSE),0)</f>
        <v>0</v>
      </c>
      <c r="M26" s="376">
        <f>IFERROR(VLOOKUP(C26,'تقرير المصروفات حسب الشهر'!$C$1143:$AD$1254,13,FALSE),0)</f>
        <v>0</v>
      </c>
      <c r="N26" s="376">
        <f>IFERROR(VLOOKUP(C26,'تقرير المصروفات حسب الشهر'!$C$1270:$AD$1381,13,FALSE),0)</f>
        <v>0</v>
      </c>
      <c r="O26" s="376">
        <f>IFERROR(VLOOKUP(C26,'تقرير المصروفات حسب الشهر'!$C$1397:$AI$1512,13,FALSE),0)</f>
        <v>0</v>
      </c>
      <c r="P26" s="364">
        <f t="shared" si="5"/>
        <v>1500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الشهر'!$C$10:$AD$119,13,FALSE),0)</f>
        <v>0</v>
      </c>
      <c r="E27" s="362">
        <f>IFERROR(VLOOKUP(C27,'تقرير المصروفات حسب الشهر'!$C$135:$AD$244,13,FALSE),0)</f>
        <v>0</v>
      </c>
      <c r="F27" s="362">
        <v>0</v>
      </c>
      <c r="G27" s="362">
        <f>IFERROR(VLOOKUP(C27,'تقرير المصروفات حسب الشهر'!$C$387:$AD$495,13,FALSE),0)</f>
        <v>0</v>
      </c>
      <c r="H27" s="362">
        <f>IFERROR(VLOOKUP(C27,'تقرير المصروفات حسب الشهر'!$C$512:$AD$620,13,FALSE),0)</f>
        <v>0</v>
      </c>
      <c r="I27" s="362">
        <f>IFERROR(VLOOKUP(C27,'تقرير المصروفات حسب الشهر'!$C$637:$AD$746,13,FALSE),0)</f>
        <v>0</v>
      </c>
      <c r="J27" s="362">
        <f>IFERROR(VLOOKUP(C27,'تقرير المصروفات حسب الشهر'!$C$763:$AD$872,13,FALSE),0)</f>
        <v>0</v>
      </c>
      <c r="K27" s="362">
        <f>IFERROR(VLOOKUP(C27,'تقرير المصروفات حسب الشهر'!$C$890:$AD$999,13,FALSE),0)</f>
        <v>0</v>
      </c>
      <c r="L27" s="362">
        <f>IFERROR(VLOOKUP(C27,'تقرير المصروفات حسب الشهر'!$C$1016:$AD$1126,13,FALSE),0)</f>
        <v>0</v>
      </c>
      <c r="M27" s="376">
        <f>IFERROR(VLOOKUP(C27,'تقرير المصروفات حسب الشهر'!$C$1143:$AD$1254,13,FALSE),0)</f>
        <v>0</v>
      </c>
      <c r="N27" s="376">
        <f>IFERROR(VLOOKUP(C27,'تقرير المصروفات حسب الشهر'!$C$1270:$AD$1381,13,FALSE),0)</f>
        <v>0</v>
      </c>
      <c r="O27" s="376">
        <f>IFERROR(VLOOKUP(C27,'تقرير المصروفات حسب الشهر'!$C$1397:$AI$1512,13,FALSE),0)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الشهر'!$C$10:$AD$119,13,FALSE),0)</f>
        <v>0</v>
      </c>
      <c r="E28" s="362">
        <f>IFERROR(VLOOKUP(C28,'تقرير المصروفات حسب الشهر'!$C$135:$AD$244,13,FALSE),0)</f>
        <v>0</v>
      </c>
      <c r="F28" s="362">
        <v>0</v>
      </c>
      <c r="G28" s="362">
        <f>IFERROR(VLOOKUP(C28,'تقرير المصروفات حسب الشهر'!$C$387:$AD$495,13,FALSE),0)</f>
        <v>0</v>
      </c>
      <c r="H28" s="362">
        <f>IFERROR(VLOOKUP(C28,'تقرير المصروفات حسب الشهر'!$C$512:$AD$620,13,FALSE),0)</f>
        <v>0</v>
      </c>
      <c r="I28" s="362">
        <f>IFERROR(VLOOKUP(C28,'تقرير المصروفات حسب الشهر'!$C$637:$AD$746,13,FALSE),0)</f>
        <v>0</v>
      </c>
      <c r="J28" s="362">
        <f>IFERROR(VLOOKUP(C28,'تقرير المصروفات حسب الشهر'!$C$763:$AD$872,13,FALSE),0)</f>
        <v>0</v>
      </c>
      <c r="K28" s="362">
        <f>IFERROR(VLOOKUP(C28,'تقرير المصروفات حسب الشهر'!$C$890:$AD$999,13,FALSE),0)</f>
        <v>0</v>
      </c>
      <c r="L28" s="362">
        <f>IFERROR(VLOOKUP(C28,'تقرير المصروفات حسب الشهر'!$C$1016:$AD$1126,13,FALSE),0)</f>
        <v>0</v>
      </c>
      <c r="M28" s="376">
        <f>IFERROR(VLOOKUP(C28,'تقرير المصروفات حسب الشهر'!$C$1143:$AD$1254,13,FALSE),0)</f>
        <v>0</v>
      </c>
      <c r="N28" s="376">
        <f>IFERROR(VLOOKUP(C28,'تقرير المصروفات حسب الشهر'!$C$1270:$AD$1381,13,FALSE),0)</f>
        <v>0</v>
      </c>
      <c r="O28" s="376">
        <f>IFERROR(VLOOKUP(C28,'تقرير المصروفات حسب الشهر'!$C$1397:$AI$1512,13,FALSE),0)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الشهر'!$C$10:$AD$119,13,FALSE),0)</f>
        <v>23300</v>
      </c>
      <c r="E29" s="362">
        <f>IFERROR(VLOOKUP(C29,'تقرير المصروفات حسب الشهر'!$C$135:$AD$244,13,FALSE),0)</f>
        <v>21950</v>
      </c>
      <c r="F29" s="362">
        <v>22125</v>
      </c>
      <c r="G29" s="362">
        <f>IFERROR(VLOOKUP(C29,'تقرير المصروفات حسب الشهر'!$C$387:$AD$495,13,FALSE),0)</f>
        <v>22000</v>
      </c>
      <c r="H29" s="362">
        <f>IFERROR(VLOOKUP(C29,'تقرير المصروفات حسب الشهر'!$C$512:$AD$620,13,FALSE),0)</f>
        <v>19200</v>
      </c>
      <c r="I29" s="362">
        <f>IFERROR(VLOOKUP(C29,'تقرير المصروفات حسب الشهر'!$C$637:$AD$746,13,FALSE),0)</f>
        <v>27300</v>
      </c>
      <c r="J29" s="362">
        <f>IFERROR(VLOOKUP(C29,'تقرير المصروفات حسب الشهر'!$C$763:$AD$872,13,FALSE),0)</f>
        <v>21225</v>
      </c>
      <c r="K29" s="362">
        <f>IFERROR(VLOOKUP(C29,'تقرير المصروفات حسب الشهر'!$C$890:$AD$999,13,FALSE),0)</f>
        <v>23225</v>
      </c>
      <c r="L29" s="362">
        <f>IFERROR(VLOOKUP(C29,'تقرير المصروفات حسب الشهر'!$C$1016:$AD$1126,13,FALSE),0)</f>
        <v>24025</v>
      </c>
      <c r="M29" s="376">
        <f>IFERROR(VLOOKUP(C29,'تقرير المصروفات حسب الشهر'!$C$1143:$AD$1254,13,FALSE),0)</f>
        <v>20000</v>
      </c>
      <c r="N29" s="376">
        <f>IFERROR(VLOOKUP(C29,'تقرير المصروفات حسب الشهر'!$C$1270:$AD$1381,13,FALSE),0)</f>
        <v>20000</v>
      </c>
      <c r="O29" s="376">
        <f>IFERROR(VLOOKUP(C29,'تقرير المصروفات حسب الشهر'!$C$1397:$AI$1512,13,FALSE),0)</f>
        <v>25000</v>
      </c>
      <c r="P29" s="364">
        <f t="shared" si="5"/>
        <v>269350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الشهر'!$C$10:$AD$119,13,FALSE),0)</f>
        <v>20</v>
      </c>
      <c r="E30" s="362">
        <f>IFERROR(VLOOKUP(C30,'تقرير المصروفات حسب الشهر'!$C$135:$AD$244,13,FALSE),0)</f>
        <v>0</v>
      </c>
      <c r="F30" s="362">
        <v>655.5</v>
      </c>
      <c r="G30" s="362">
        <f>IFERROR(VLOOKUP(C30,'تقرير المصروفات حسب الشهر'!$C$387:$AD$495,13,FALSE),0)</f>
        <v>160</v>
      </c>
      <c r="H30" s="362">
        <f>IFERROR(VLOOKUP(C30,'تقرير المصروفات حسب الشهر'!$C$512:$AD$620,13,FALSE),0)</f>
        <v>0</v>
      </c>
      <c r="I30" s="362">
        <f>IFERROR(VLOOKUP(C30,'تقرير المصروفات حسب الشهر'!$C$637:$AD$746,13,FALSE),0)</f>
        <v>480.8</v>
      </c>
      <c r="J30" s="362">
        <f>IFERROR(VLOOKUP(C30,'تقرير المصروفات حسب الشهر'!$C$763:$AD$872,13,FALSE),0)</f>
        <v>0</v>
      </c>
      <c r="K30" s="362">
        <f>IFERROR(VLOOKUP(C30,'تقرير المصروفات حسب الشهر'!$C$890:$AD$999,13,FALSE),0)</f>
        <v>90</v>
      </c>
      <c r="L30" s="362">
        <f>IFERROR(VLOOKUP(C30,'تقرير المصروفات حسب الشهر'!$C$1016:$AD$1126,13,FALSE),0)</f>
        <v>0</v>
      </c>
      <c r="M30" s="376">
        <f>IFERROR(VLOOKUP(C30,'تقرير المصروفات حسب الشهر'!$C$1143:$AD$1254,13,FALSE),0)</f>
        <v>575</v>
      </c>
      <c r="N30" s="376">
        <f>IFERROR(VLOOKUP(C30,'تقرير المصروفات حسب الشهر'!$C$1270:$AD$1381,13,FALSE),0)</f>
        <v>0</v>
      </c>
      <c r="O30" s="376">
        <f>IFERROR(VLOOKUP(C30,'تقرير المصروفات حسب الشهر'!$C$1397:$AI$1512,13,FALSE),0)</f>
        <v>150</v>
      </c>
      <c r="P30" s="364">
        <f t="shared" si="5"/>
        <v>2131.3000000000002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الشهر'!$C$10:$AD$119,13,FALSE),0)</f>
        <v>212.11</v>
      </c>
      <c r="E31" s="362">
        <f>IFERROR(VLOOKUP(C31,'تقرير المصروفات حسب الشهر'!$C$135:$AD$244,13,FALSE),0)</f>
        <v>207.11</v>
      </c>
      <c r="F31" s="362">
        <v>567.11</v>
      </c>
      <c r="G31" s="362">
        <f>IFERROR(VLOOKUP(C31,'تقرير المصروفات حسب الشهر'!$C$387:$AD$495,13,FALSE),0)</f>
        <v>232.11</v>
      </c>
      <c r="H31" s="362">
        <f>IFERROR(VLOOKUP(C31,'تقرير المصروفات حسب الشهر'!$C$512:$AD$620,13,FALSE),0)</f>
        <v>1221.1099999999999</v>
      </c>
      <c r="I31" s="362">
        <f>IFERROR(VLOOKUP(C31,'تقرير المصروفات حسب الشهر'!$C$637:$AD$746,13,FALSE),0)</f>
        <v>467.11</v>
      </c>
      <c r="J31" s="362">
        <f>IFERROR(VLOOKUP(C31,'تقرير المصروفات حسب الشهر'!$C$763:$AD$872,13,FALSE),0)</f>
        <v>592.11</v>
      </c>
      <c r="K31" s="362">
        <f>IFERROR(VLOOKUP(C31,'تقرير المصروفات حسب الشهر'!$C$890:$AD$999,13,FALSE),0)</f>
        <v>212.11</v>
      </c>
      <c r="L31" s="362">
        <f>IFERROR(VLOOKUP(C31,'تقرير المصروفات حسب الشهر'!$C$1016:$AD$1126,13,FALSE),0)</f>
        <v>212.11</v>
      </c>
      <c r="M31" s="376">
        <f>IFERROR(VLOOKUP(C31,'تقرير المصروفات حسب الشهر'!$C$1143:$AD$1254,13,FALSE),0)</f>
        <v>262.11</v>
      </c>
      <c r="N31" s="376">
        <f>IFERROR(VLOOKUP(C31,'تقرير المصروفات حسب الشهر'!$C$1270:$AD$1381,13,FALSE),0)</f>
        <v>1732.11</v>
      </c>
      <c r="O31" s="376">
        <f>IFERROR(VLOOKUP(C31,'تقرير المصروفات حسب الشهر'!$C$1397:$AI$1512,13,FALSE),0)</f>
        <v>532.11</v>
      </c>
      <c r="P31" s="364">
        <f t="shared" si="5"/>
        <v>6449.32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الشهر'!$C$10:$AD$119,13,FALSE),0)</f>
        <v>0</v>
      </c>
      <c r="E32" s="362">
        <f>IFERROR(VLOOKUP(C32,'تقرير المصروفات حسب الشهر'!$C$135:$AD$244,13,FALSE),0)</f>
        <v>0</v>
      </c>
      <c r="F32" s="362">
        <v>0</v>
      </c>
      <c r="G32" s="362">
        <f>IFERROR(VLOOKUP(C32,'تقرير المصروفات حسب الشهر'!$C$387:$AD$495,13,FALSE),0)</f>
        <v>0</v>
      </c>
      <c r="H32" s="362">
        <f>IFERROR(VLOOKUP(C32,'تقرير المصروفات حسب الشهر'!$C$512:$AD$620,13,FALSE),0)</f>
        <v>0</v>
      </c>
      <c r="I32" s="362">
        <f>IFERROR(VLOOKUP(C32,'تقرير المصروفات حسب الشهر'!$C$637:$AD$746,13,FALSE),0)</f>
        <v>0</v>
      </c>
      <c r="J32" s="362">
        <f>IFERROR(VLOOKUP(C32,'تقرير المصروفات حسب الشهر'!$C$763:$AD$872,13,FALSE),0)</f>
        <v>0</v>
      </c>
      <c r="K32" s="362">
        <f>IFERROR(VLOOKUP(C32,'تقرير المصروفات حسب الشهر'!$C$890:$AD$999,13,FALSE),0)</f>
        <v>0</v>
      </c>
      <c r="L32" s="362">
        <f>IFERROR(VLOOKUP(C32,'تقرير المصروفات حسب الشهر'!$C$1016:$AD$1126,13,FALSE),0)</f>
        <v>0</v>
      </c>
      <c r="M32" s="376">
        <f>IFERROR(VLOOKUP(C32,'تقرير المصروفات حسب الشهر'!$C$1143:$AD$1254,13,FALSE),0)</f>
        <v>0</v>
      </c>
      <c r="N32" s="376">
        <f>IFERROR(VLOOKUP(C32,'تقرير المصروفات حسب الشهر'!$C$1270:$AD$1381,13,FALSE),0)</f>
        <v>0</v>
      </c>
      <c r="O32" s="376">
        <f>IFERROR(VLOOKUP(C32,'تقرير المصروفات حسب الشهر'!$C$1397:$AI$1512,13,FALSE),0)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الشهر'!$C$10:$AD$119,13,FALSE),0)</f>
        <v>900</v>
      </c>
      <c r="E33" s="362">
        <f>IFERROR(VLOOKUP(C33,'تقرير المصروفات حسب الشهر'!$C$135:$AD$244,13,FALSE),0)</f>
        <v>0</v>
      </c>
      <c r="F33" s="362">
        <v>900</v>
      </c>
      <c r="G33" s="362">
        <f>IFERROR(VLOOKUP(C33,'تقرير المصروفات حسب الشهر'!$C$387:$AD$495,13,FALSE),0)</f>
        <v>650</v>
      </c>
      <c r="H33" s="362">
        <f>IFERROR(VLOOKUP(C33,'تقرير المصروفات حسب الشهر'!$C$512:$AD$620,13,FALSE),0)</f>
        <v>0</v>
      </c>
      <c r="I33" s="362">
        <f>IFERROR(VLOOKUP(C33,'تقرير المصروفات حسب الشهر'!$C$637:$AD$746,13,FALSE),0)</f>
        <v>500</v>
      </c>
      <c r="J33" s="362">
        <f>IFERROR(VLOOKUP(C33,'تقرير المصروفات حسب الشهر'!$C$763:$AD$872,13,FALSE),0)</f>
        <v>0</v>
      </c>
      <c r="K33" s="362">
        <f>IFERROR(VLOOKUP(C33,'تقرير المصروفات حسب الشهر'!$C$890:$AD$999,13,FALSE),0)</f>
        <v>300</v>
      </c>
      <c r="L33" s="362">
        <f>IFERROR(VLOOKUP(C33,'تقرير المصروفات حسب الشهر'!$C$1016:$AD$1126,13,FALSE),0)</f>
        <v>0</v>
      </c>
      <c r="M33" s="376">
        <f>IFERROR(VLOOKUP(C33,'تقرير المصروفات حسب الشهر'!$C$1143:$AD$1254,13,FALSE),0)</f>
        <v>0</v>
      </c>
      <c r="N33" s="376">
        <f>IFERROR(VLOOKUP(C33,'تقرير المصروفات حسب الشهر'!$C$1270:$AD$1381,13,FALSE),0)</f>
        <v>750</v>
      </c>
      <c r="O33" s="376">
        <f>IFERROR(VLOOKUP(C33,'تقرير المصروفات حسب الشهر'!$C$1397:$AI$1512,13,FALSE),0)</f>
        <v>0</v>
      </c>
      <c r="P33" s="364">
        <f t="shared" si="5"/>
        <v>4000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الشهر'!$C$10:$AD$119,13,FALSE),0)</f>
        <v>0</v>
      </c>
      <c r="E34" s="362">
        <f>IFERROR(VLOOKUP(C34,'تقرير المصروفات حسب الشهر'!$C$135:$AD$244,13,FALSE),0)</f>
        <v>0</v>
      </c>
      <c r="F34" s="362">
        <v>0</v>
      </c>
      <c r="G34" s="362">
        <f>IFERROR(VLOOKUP(C34,'تقرير المصروفات حسب الشهر'!$C$387:$AD$495,13,FALSE),0)</f>
        <v>0</v>
      </c>
      <c r="H34" s="362">
        <f>IFERROR(VLOOKUP(C34,'تقرير المصروفات حسب الشهر'!$C$512:$AD$620,13,FALSE),0)</f>
        <v>0</v>
      </c>
      <c r="I34" s="362">
        <f>IFERROR(VLOOKUP(C34,'تقرير المصروفات حسب الشهر'!$C$637:$AD$746,13,FALSE),0)</f>
        <v>0</v>
      </c>
      <c r="J34" s="362">
        <f>IFERROR(VLOOKUP(C34,'تقرير المصروفات حسب الشهر'!$C$763:$AD$872,13,FALSE),0)</f>
        <v>0</v>
      </c>
      <c r="K34" s="362">
        <f>IFERROR(VLOOKUP(C34,'تقرير المصروفات حسب الشهر'!$C$890:$AD$999,13,FALSE),0)</f>
        <v>0</v>
      </c>
      <c r="L34" s="362">
        <f>IFERROR(VLOOKUP(C34,'تقرير المصروفات حسب الشهر'!$C$1016:$AD$1126,13,FALSE),0)</f>
        <v>0</v>
      </c>
      <c r="M34" s="376">
        <f>IFERROR(VLOOKUP(C34,'تقرير المصروفات حسب الشهر'!$C$1143:$AD$1254,13,FALSE),0)</f>
        <v>0</v>
      </c>
      <c r="N34" s="376">
        <f>IFERROR(VLOOKUP(C34,'تقرير المصروفات حسب الشهر'!$C$1270:$AD$1381,13,FALSE),0)</f>
        <v>0</v>
      </c>
      <c r="O34" s="376">
        <f>IFERROR(VLOOKUP(C34,'تقرير المصروفات حسب الشهر'!$C$1397:$AI$1512,13,FALSE),0)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الشهر'!$C$10:$AD$119,13,FALSE),0)</f>
        <v>0</v>
      </c>
      <c r="E35" s="362">
        <f>IFERROR(VLOOKUP(C35,'تقرير المصروفات حسب الشهر'!$C$135:$AD$244,13,FALSE),0)</f>
        <v>0</v>
      </c>
      <c r="F35" s="362">
        <v>0</v>
      </c>
      <c r="G35" s="362">
        <f>IFERROR(VLOOKUP(C35,'تقرير المصروفات حسب الشهر'!$C$387:$AD$495,13,FALSE),0)</f>
        <v>0</v>
      </c>
      <c r="H35" s="362">
        <f>IFERROR(VLOOKUP(C35,'تقرير المصروفات حسب الشهر'!$C$512:$AD$620,13,FALSE),0)</f>
        <v>0</v>
      </c>
      <c r="I35" s="362">
        <f>IFERROR(VLOOKUP(C35,'تقرير المصروفات حسب الشهر'!$C$637:$AD$746,13,FALSE),0)</f>
        <v>0</v>
      </c>
      <c r="J35" s="362">
        <f>IFERROR(VLOOKUP(C35,'تقرير المصروفات حسب الشهر'!$C$763:$AD$872,13,FALSE),0)</f>
        <v>0</v>
      </c>
      <c r="K35" s="362">
        <f>IFERROR(VLOOKUP(C35,'تقرير المصروفات حسب الشهر'!$C$890:$AD$999,13,FALSE),0)</f>
        <v>0</v>
      </c>
      <c r="L35" s="362">
        <f>IFERROR(VLOOKUP(C35,'تقرير المصروفات حسب الشهر'!$C$1016:$AD$1126,13,FALSE),0)</f>
        <v>0</v>
      </c>
      <c r="M35" s="376">
        <f>IFERROR(VLOOKUP(C35,'تقرير المصروفات حسب الشهر'!$C$1143:$AD$1254,13,FALSE),0)</f>
        <v>0</v>
      </c>
      <c r="N35" s="376">
        <f>IFERROR(VLOOKUP(C35,'تقرير المصروفات حسب الشهر'!$C$1270:$AD$1381,13,FALSE),0)</f>
        <v>0</v>
      </c>
      <c r="O35" s="376">
        <f>IFERROR(VLOOKUP(C35,'تقرير المصروفات حسب الشهر'!$C$1397:$AI$1512,13,FALSE),0)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الشهر'!$C$10:$AD$119,13,FALSE),0)</f>
        <v>750</v>
      </c>
      <c r="E36" s="362">
        <f>IFERROR(VLOOKUP(C36,'تقرير المصروفات حسب الشهر'!$C$135:$AD$244,13,FALSE),0)</f>
        <v>0</v>
      </c>
      <c r="F36" s="362">
        <v>750</v>
      </c>
      <c r="G36" s="362">
        <f>IFERROR(VLOOKUP(C36,'تقرير المصروفات حسب الشهر'!$C$387:$AD$495,13,FALSE),0)</f>
        <v>1500</v>
      </c>
      <c r="H36" s="362">
        <f>IFERROR(VLOOKUP(C36,'تقرير المصروفات حسب الشهر'!$C$512:$AD$620,13,FALSE),0)</f>
        <v>0</v>
      </c>
      <c r="I36" s="362">
        <f>IFERROR(VLOOKUP(C36,'تقرير المصروفات حسب الشهر'!$C$637:$AD$746,13,FALSE),0)</f>
        <v>770</v>
      </c>
      <c r="J36" s="362">
        <f>IFERROR(VLOOKUP(C36,'تقرير المصروفات حسب الشهر'!$C$763:$AD$872,13,FALSE),0)</f>
        <v>0</v>
      </c>
      <c r="K36" s="362">
        <f>IFERROR(VLOOKUP(C36,'تقرير المصروفات حسب الشهر'!$C$890:$AD$999,13,FALSE),0)</f>
        <v>1540</v>
      </c>
      <c r="L36" s="362">
        <f>IFERROR(VLOOKUP(C36,'تقرير المصروفات حسب الشهر'!$C$1016:$AD$1126,13,FALSE),0)</f>
        <v>0</v>
      </c>
      <c r="M36" s="376">
        <f>IFERROR(VLOOKUP(C36,'تقرير المصروفات حسب الشهر'!$C$1143:$AD$1254,13,FALSE),0)</f>
        <v>1540</v>
      </c>
      <c r="N36" s="376">
        <f>IFERROR(VLOOKUP(C36,'تقرير المصروفات حسب الشهر'!$C$1270:$AD$1381,13,FALSE),0)</f>
        <v>0</v>
      </c>
      <c r="O36" s="376">
        <f>IFERROR(VLOOKUP(C36,'تقرير المصروفات حسب الشهر'!$C$1397:$AI$1512,13,FALSE),0)</f>
        <v>1540</v>
      </c>
      <c r="P36" s="364">
        <f t="shared" si="5"/>
        <v>8390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الشهر'!$C$10:$AD$119,13,FALSE),0)</f>
        <v>2250</v>
      </c>
      <c r="E37" s="362">
        <f>IFERROR(VLOOKUP(C37,'تقرير المصروفات حسب الشهر'!$C$135:$AD$244,13,FALSE),0)</f>
        <v>0</v>
      </c>
      <c r="F37" s="362">
        <v>4500</v>
      </c>
      <c r="G37" s="362">
        <f>IFERROR(VLOOKUP(C37,'تقرير المصروفات حسب الشهر'!$C$387:$AD$495,13,FALSE),0)</f>
        <v>2250</v>
      </c>
      <c r="H37" s="362">
        <f>IFERROR(VLOOKUP(C37,'تقرير المصروفات حسب الشهر'!$C$512:$AD$620,13,FALSE),0)</f>
        <v>0</v>
      </c>
      <c r="I37" s="362">
        <f>IFERROR(VLOOKUP(C37,'تقرير المصروفات حسب الشهر'!$C$637:$AD$746,13,FALSE),0)</f>
        <v>2250</v>
      </c>
      <c r="J37" s="362">
        <f>IFERROR(VLOOKUP(C37,'تقرير المصروفات حسب الشهر'!$C$763:$AD$872,13,FALSE),0)</f>
        <v>0</v>
      </c>
      <c r="K37" s="362">
        <f>IFERROR(VLOOKUP(C37,'تقرير المصروفات حسب الشهر'!$C$890:$AD$999,13,FALSE),0)</f>
        <v>2250</v>
      </c>
      <c r="L37" s="362">
        <f>IFERROR(VLOOKUP(C37,'تقرير المصروفات حسب الشهر'!$C$1016:$AD$1126,13,FALSE),0)</f>
        <v>0</v>
      </c>
      <c r="M37" s="376">
        <f>IFERROR(VLOOKUP(C37,'تقرير المصروفات حسب الشهر'!$C$1143:$AD$1254,13,FALSE),0)</f>
        <v>4500</v>
      </c>
      <c r="N37" s="376">
        <f>IFERROR(VLOOKUP(C37,'تقرير المصروفات حسب الشهر'!$C$1270:$AD$1381,13,FALSE),0)</f>
        <v>0</v>
      </c>
      <c r="O37" s="376">
        <f>IFERROR(VLOOKUP(C37,'تقرير المصروفات حسب الشهر'!$C$1397:$AI$1512,13,FALSE),0)</f>
        <v>2260</v>
      </c>
      <c r="P37" s="364">
        <f t="shared" si="5"/>
        <v>20260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الشهر'!$C$10:$AD$119,13,FALSE),0)</f>
        <v>0</v>
      </c>
      <c r="E38" s="362">
        <f>IFERROR(VLOOKUP(C38,'تقرير المصروفات حسب الشهر'!$C$135:$AD$244,13,FALSE),0)</f>
        <v>80</v>
      </c>
      <c r="F38" s="362">
        <v>0</v>
      </c>
      <c r="G38" s="362">
        <f>IFERROR(VLOOKUP(C38,'تقرير المصروفات حسب الشهر'!$C$387:$AD$495,13,FALSE),0)</f>
        <v>0</v>
      </c>
      <c r="H38" s="362">
        <f>IFERROR(VLOOKUP(C38,'تقرير المصروفات حسب الشهر'!$C$512:$AD$620,13,FALSE),0)</f>
        <v>100</v>
      </c>
      <c r="I38" s="362">
        <f>IFERROR(VLOOKUP(C38,'تقرير المصروفات حسب الشهر'!$C$637:$AD$746,13,FALSE),0)</f>
        <v>0</v>
      </c>
      <c r="J38" s="362">
        <f>IFERROR(VLOOKUP(C38,'تقرير المصروفات حسب الشهر'!$C$763:$AD$872,13,FALSE),0)</f>
        <v>0</v>
      </c>
      <c r="K38" s="362">
        <f>IFERROR(VLOOKUP(C38,'تقرير المصروفات حسب الشهر'!$C$890:$AD$999,13,FALSE),0)</f>
        <v>0</v>
      </c>
      <c r="L38" s="362">
        <f>IFERROR(VLOOKUP(C38,'تقرير المصروفات حسب الشهر'!$C$1016:$AD$1126,13,FALSE),0)</f>
        <v>0</v>
      </c>
      <c r="M38" s="376">
        <f>IFERROR(VLOOKUP(C38,'تقرير المصروفات حسب الشهر'!$C$1143:$AD$1254,13,FALSE),0)</f>
        <v>100</v>
      </c>
      <c r="N38" s="376">
        <f>IFERROR(VLOOKUP(C38,'تقرير المصروفات حسب الشهر'!$C$1270:$AD$1381,13,FALSE),0)</f>
        <v>0</v>
      </c>
      <c r="O38" s="376">
        <f>IFERROR(VLOOKUP(C38,'تقرير المصروفات حسب الشهر'!$C$1397:$AI$1512,13,FALSE),0)</f>
        <v>130</v>
      </c>
      <c r="P38" s="364">
        <f t="shared" si="5"/>
        <v>410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الشهر'!$C$10:$AD$119,13,FALSE),0)</f>
        <v>4422.5</v>
      </c>
      <c r="E39" s="362">
        <f>IFERROR(VLOOKUP(C39,'تقرير المصروفات حسب الشهر'!$C$135:$AD$244,13,FALSE),0)</f>
        <v>4442.1000000000004</v>
      </c>
      <c r="F39" s="362">
        <v>3952.5</v>
      </c>
      <c r="G39" s="362">
        <f>IFERROR(VLOOKUP(C39,'تقرير المصروفات حسب الشهر'!$C$387:$AD$495,13,FALSE),0)</f>
        <v>3436.9</v>
      </c>
      <c r="H39" s="362">
        <f>IFERROR(VLOOKUP(C39,'تقرير المصروفات حسب الشهر'!$C$512:$AD$620,13,FALSE),0)</f>
        <v>4803</v>
      </c>
      <c r="I39" s="362">
        <f>IFERROR(VLOOKUP(C39,'تقرير المصروفات حسب الشهر'!$C$637:$AD$746,13,FALSE),0)</f>
        <v>3787</v>
      </c>
      <c r="J39" s="362">
        <f>IFERROR(VLOOKUP(C39,'تقرير المصروفات حسب الشهر'!$C$763:$AD$872,13,FALSE),0)</f>
        <v>2478</v>
      </c>
      <c r="K39" s="362">
        <f>IFERROR(VLOOKUP(C39,'تقرير المصروفات حسب الشهر'!$C$890:$AD$999,13,FALSE),0)</f>
        <v>2072</v>
      </c>
      <c r="L39" s="362">
        <f>IFERROR(VLOOKUP(C39,'تقرير المصروفات حسب الشهر'!$C$1016:$AD$1126,13,FALSE),0)</f>
        <v>1868</v>
      </c>
      <c r="M39" s="376">
        <f>IFERROR(VLOOKUP(C39,'تقرير المصروفات حسب الشهر'!$C$1143:$AD$1254,13,FALSE),0)</f>
        <v>1382</v>
      </c>
      <c r="N39" s="376">
        <f>IFERROR(VLOOKUP(C39,'تقرير المصروفات حسب الشهر'!$C$1270:$AD$1381,13,FALSE),0)</f>
        <v>2906</v>
      </c>
      <c r="O39" s="376">
        <f>IFERROR(VLOOKUP(C39,'تقرير المصروفات حسب الشهر'!$C$1397:$AI$1512,13,FALSE),0)</f>
        <v>4605</v>
      </c>
      <c r="P39" s="364">
        <f t="shared" si="5"/>
        <v>40155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الشهر'!$C$10:$AD$119,13,FALSE),0)</f>
        <v>0</v>
      </c>
      <c r="E40" s="362">
        <f>IFERROR(VLOOKUP(C40,'تقرير المصروفات حسب الشهر'!$C$135:$AD$244,13,FALSE),0)</f>
        <v>0</v>
      </c>
      <c r="F40" s="362">
        <v>0</v>
      </c>
      <c r="G40" s="362">
        <f>IFERROR(VLOOKUP(C40,'تقرير المصروفات حسب الشهر'!$C$387:$AD$495,13,FALSE),0)</f>
        <v>0</v>
      </c>
      <c r="H40" s="362">
        <f>IFERROR(VLOOKUP(C40,'تقرير المصروفات حسب الشهر'!$C$512:$AD$620,13,FALSE),0)</f>
        <v>0</v>
      </c>
      <c r="I40" s="362">
        <f>IFERROR(VLOOKUP(C40,'تقرير المصروفات حسب الشهر'!$C$637:$AD$746,13,FALSE),0)</f>
        <v>0</v>
      </c>
      <c r="J40" s="362">
        <f>IFERROR(VLOOKUP(C40,'تقرير المصروفات حسب الشهر'!$C$763:$AD$872,13,FALSE),0)</f>
        <v>150</v>
      </c>
      <c r="K40" s="362">
        <f>IFERROR(VLOOKUP(C40,'تقرير المصروفات حسب الشهر'!$C$890:$AD$999,13,FALSE),0)</f>
        <v>30</v>
      </c>
      <c r="L40" s="362">
        <f>IFERROR(VLOOKUP(C40,'تقرير المصروفات حسب الشهر'!$C$1016:$AD$1126,13,FALSE),0)</f>
        <v>230</v>
      </c>
      <c r="M40" s="376">
        <f>IFERROR(VLOOKUP(C40,'تقرير المصروفات حسب الشهر'!$C$1143:$AD$1254,13,FALSE),0)</f>
        <v>40</v>
      </c>
      <c r="N40" s="376">
        <f>IFERROR(VLOOKUP(C40,'تقرير المصروفات حسب الشهر'!$C$1270:$AD$1381,13,FALSE),0)</f>
        <v>0</v>
      </c>
      <c r="O40" s="376">
        <f>IFERROR(VLOOKUP(C40,'تقرير المصروفات حسب الشهر'!$C$1397:$AI$1512,13,FALSE),0)</f>
        <v>0</v>
      </c>
      <c r="P40" s="364">
        <f t="shared" si="5"/>
        <v>450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الشهر'!$C$10:$AD$119,13,FALSE),0)</f>
        <v>0</v>
      </c>
      <c r="E41" s="362">
        <f>IFERROR(VLOOKUP(C41,'تقرير المصروفات حسب الشهر'!$C$135:$AD$244,13,FALSE),0)</f>
        <v>0</v>
      </c>
      <c r="F41" s="362">
        <v>0</v>
      </c>
      <c r="G41" s="362">
        <f>IFERROR(VLOOKUP(C41,'تقرير المصروفات حسب الشهر'!$C$387:$AD$495,13,FALSE),0)</f>
        <v>0</v>
      </c>
      <c r="H41" s="362">
        <f>IFERROR(VLOOKUP(C41,'تقرير المصروفات حسب الشهر'!$C$512:$AD$620,13,FALSE),0)</f>
        <v>0</v>
      </c>
      <c r="I41" s="362">
        <f>IFERROR(VLOOKUP(C41,'تقرير المصروفات حسب الشهر'!$C$637:$AD$746,13,FALSE),0)</f>
        <v>0</v>
      </c>
      <c r="J41" s="362">
        <f>IFERROR(VLOOKUP(C41,'تقرير المصروفات حسب الشهر'!$C$763:$AD$872,13,FALSE),0)</f>
        <v>0</v>
      </c>
      <c r="K41" s="362">
        <f>IFERROR(VLOOKUP(C41,'تقرير المصروفات حسب الشهر'!$C$890:$AD$999,13,FALSE),0)</f>
        <v>0</v>
      </c>
      <c r="L41" s="362">
        <f>IFERROR(VLOOKUP(C41,'تقرير المصروفات حسب الشهر'!$C$1016:$AD$1126,13,FALSE),0)</f>
        <v>0</v>
      </c>
      <c r="M41" s="376">
        <f>IFERROR(VLOOKUP(C41,'تقرير المصروفات حسب الشهر'!$C$1143:$AD$1254,13,FALSE),0)</f>
        <v>0</v>
      </c>
      <c r="N41" s="376">
        <f>IFERROR(VLOOKUP(C41,'تقرير المصروفات حسب الشهر'!$C$1270:$AD$1381,13,FALSE),0)</f>
        <v>0</v>
      </c>
      <c r="O41" s="376">
        <f>IFERROR(VLOOKUP(C41,'تقرير المصروفات حسب الشهر'!$C$1397:$AI$1512,13,FALSE),0)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الشهر'!$C$10:$AD$119,13,FALSE),0)</f>
        <v>100</v>
      </c>
      <c r="E42" s="362">
        <f>IFERROR(VLOOKUP(C42,'تقرير المصروفات حسب الشهر'!$C$135:$AD$244,13,FALSE),0)</f>
        <v>0</v>
      </c>
      <c r="F42" s="362">
        <v>0</v>
      </c>
      <c r="G42" s="362">
        <f>IFERROR(VLOOKUP(C42,'تقرير المصروفات حسب الشهر'!$C$387:$AD$495,13,FALSE),0)</f>
        <v>0</v>
      </c>
      <c r="H42" s="362">
        <f>IFERROR(VLOOKUP(C42,'تقرير المصروفات حسب الشهر'!$C$512:$AD$620,13,FALSE),0)</f>
        <v>0</v>
      </c>
      <c r="I42" s="362">
        <f>IFERROR(VLOOKUP(C42,'تقرير المصروفات حسب الشهر'!$C$637:$AD$746,13,FALSE),0)</f>
        <v>0</v>
      </c>
      <c r="J42" s="362">
        <f>IFERROR(VLOOKUP(C42,'تقرير المصروفات حسب الشهر'!$C$763:$AD$872,13,FALSE),0)</f>
        <v>85</v>
      </c>
      <c r="K42" s="362">
        <f>IFERROR(VLOOKUP(C42,'تقرير المصروفات حسب الشهر'!$C$890:$AD$999,13,FALSE),0)</f>
        <v>0</v>
      </c>
      <c r="L42" s="362">
        <f>IFERROR(VLOOKUP(C42,'تقرير المصروفات حسب الشهر'!$C$1016:$AD$1126,13,FALSE),0)</f>
        <v>85</v>
      </c>
      <c r="M42" s="376">
        <f>IFERROR(VLOOKUP(C42,'تقرير المصروفات حسب الشهر'!$C$1143:$AD$1254,13,FALSE),0)</f>
        <v>0</v>
      </c>
      <c r="N42" s="376">
        <f>IFERROR(VLOOKUP(C42,'تقرير المصروفات حسب الشهر'!$C$1270:$AD$1381,13,FALSE),0)</f>
        <v>85</v>
      </c>
      <c r="O42" s="376">
        <f>IFERROR(VLOOKUP(C42,'تقرير المصروفات حسب الشهر'!$C$1397:$AI$1512,13,FALSE),0)</f>
        <v>85</v>
      </c>
      <c r="P42" s="364">
        <f t="shared" si="5"/>
        <v>440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الشهر'!$C$10:$AD$119,13,FALSE),0)</f>
        <v>0</v>
      </c>
      <c r="E43" s="362">
        <f>IFERROR(VLOOKUP(C43,'تقرير المصروفات حسب الشهر'!$C$135:$AD$244,13,FALSE),0)</f>
        <v>0</v>
      </c>
      <c r="F43" s="362">
        <v>0</v>
      </c>
      <c r="G43" s="362">
        <f>IFERROR(VLOOKUP(C43,'تقرير المصروفات حسب الشهر'!$C$387:$AD$495,13,FALSE),0)</f>
        <v>0</v>
      </c>
      <c r="H43" s="362">
        <f>IFERROR(VLOOKUP(C43,'تقرير المصروفات حسب الشهر'!$C$512:$AD$620,13,FALSE),0)</f>
        <v>0</v>
      </c>
      <c r="I43" s="362">
        <f>IFERROR(VLOOKUP(C43,'تقرير المصروفات حسب الشهر'!$C$637:$AD$746,13,FALSE),0)</f>
        <v>0</v>
      </c>
      <c r="J43" s="362">
        <f>IFERROR(VLOOKUP(C43,'تقرير المصروفات حسب الشهر'!$C$763:$AD$872,13,FALSE),0)</f>
        <v>0</v>
      </c>
      <c r="K43" s="362">
        <f>IFERROR(VLOOKUP(C43,'تقرير المصروفات حسب الشهر'!$C$890:$AD$999,13,FALSE),0)</f>
        <v>0</v>
      </c>
      <c r="L43" s="362">
        <f>IFERROR(VLOOKUP(C43,'تقرير المصروفات حسب الشهر'!$C$1016:$AD$1126,13,FALSE),0)</f>
        <v>0</v>
      </c>
      <c r="M43" s="376">
        <f>IFERROR(VLOOKUP(C43,'تقرير المصروفات حسب الشهر'!$C$1143:$AD$1254,13,FALSE),0)</f>
        <v>0</v>
      </c>
      <c r="N43" s="376">
        <f>IFERROR(VLOOKUP(C43,'تقرير المصروفات حسب الشهر'!$C$1270:$AD$1381,13,FALSE),0)</f>
        <v>0</v>
      </c>
      <c r="O43" s="376">
        <f>IFERROR(VLOOKUP(C43,'تقرير المصروفات حسب الشهر'!$C$1397:$AI$1512,13,FALSE),0)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الشهر'!$C$10:$AD$119,13,FALSE),0)</f>
        <v>265</v>
      </c>
      <c r="E44" s="362">
        <f>IFERROR(VLOOKUP(C44,'تقرير المصروفات حسب الشهر'!$C$135:$AD$244,13,FALSE),0)</f>
        <v>183</v>
      </c>
      <c r="F44" s="362">
        <v>151</v>
      </c>
      <c r="G44" s="362">
        <f>IFERROR(VLOOKUP(C44,'تقرير المصروفات حسب الشهر'!$C$387:$AD$495,13,FALSE),0)</f>
        <v>394</v>
      </c>
      <c r="H44" s="362">
        <f>IFERROR(VLOOKUP(C44,'تقرير المصروفات حسب الشهر'!$C$512:$AD$620,13,FALSE),0)</f>
        <v>678</v>
      </c>
      <c r="I44" s="362">
        <f>IFERROR(VLOOKUP(C44,'تقرير المصروفات حسب الشهر'!$C$637:$AD$746,13,FALSE),0)</f>
        <v>303</v>
      </c>
      <c r="J44" s="362">
        <f>IFERROR(VLOOKUP(C44,'تقرير المصروفات حسب الشهر'!$C$763:$AD$872,13,FALSE),0)</f>
        <v>772</v>
      </c>
      <c r="K44" s="362">
        <f>IFERROR(VLOOKUP(C44,'تقرير المصروفات حسب الشهر'!$C$890:$AD$999,13,FALSE),0)</f>
        <v>157</v>
      </c>
      <c r="L44" s="362">
        <f>IFERROR(VLOOKUP(C44,'تقرير المصروفات حسب الشهر'!$C$1016:$AD$1126,13,FALSE),0)</f>
        <v>304</v>
      </c>
      <c r="M44" s="376">
        <f>IFERROR(VLOOKUP(C44,'تقرير المصروفات حسب الشهر'!$C$1143:$AD$1254,13,FALSE),0)</f>
        <v>484</v>
      </c>
      <c r="N44" s="376">
        <f>IFERROR(VLOOKUP(C44,'تقرير المصروفات حسب الشهر'!$C$1270:$AD$1381,13,FALSE),0)</f>
        <v>289</v>
      </c>
      <c r="O44" s="376">
        <f>IFERROR(VLOOKUP(C44,'تقرير المصروفات حسب الشهر'!$C$1397:$AI$1512,13,FALSE),0)</f>
        <v>540</v>
      </c>
      <c r="P44" s="364">
        <f t="shared" si="5"/>
        <v>4520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الشهر'!$C$10:$AD$119,13,FALSE),0)</f>
        <v>0</v>
      </c>
      <c r="E45" s="362">
        <f>IFERROR(VLOOKUP(C45,'تقرير المصروفات حسب الشهر'!$C$135:$AD$244,13,FALSE),0)</f>
        <v>0</v>
      </c>
      <c r="F45" s="362">
        <v>0</v>
      </c>
      <c r="G45" s="362">
        <f>IFERROR(VLOOKUP(C45,'تقرير المصروفات حسب الشهر'!$C$387:$AD$495,13,FALSE),0)</f>
        <v>0</v>
      </c>
      <c r="H45" s="362">
        <f>IFERROR(VLOOKUP(C45,'تقرير المصروفات حسب الشهر'!$C$512:$AD$620,13,FALSE),0)</f>
        <v>0</v>
      </c>
      <c r="I45" s="362">
        <f>IFERROR(VLOOKUP(C45,'تقرير المصروفات حسب الشهر'!$C$637:$AD$746,13,FALSE),0)</f>
        <v>0</v>
      </c>
      <c r="J45" s="362">
        <f>IFERROR(VLOOKUP(C45,'تقرير المصروفات حسب الشهر'!$C$763:$AD$872,13,FALSE),0)</f>
        <v>0</v>
      </c>
      <c r="K45" s="362">
        <f>IFERROR(VLOOKUP(C45,'تقرير المصروفات حسب الشهر'!$C$890:$AD$999,13,FALSE),0)</f>
        <v>0</v>
      </c>
      <c r="L45" s="362">
        <f>IFERROR(VLOOKUP(C45,'تقرير المصروفات حسب الشهر'!$C$1016:$AD$1126,13,FALSE),0)</f>
        <v>0</v>
      </c>
      <c r="M45" s="376">
        <f>IFERROR(VLOOKUP(C45,'تقرير المصروفات حسب الشهر'!$C$1143:$AD$1254,13,FALSE),0)</f>
        <v>0</v>
      </c>
      <c r="N45" s="376">
        <f>IFERROR(VLOOKUP(C45,'تقرير المصروفات حسب الشهر'!$C$1270:$AD$1381,13,FALSE),0)</f>
        <v>0</v>
      </c>
      <c r="O45" s="376">
        <f>IFERROR(VLOOKUP(C45,'تقرير المصروفات حسب الشهر'!$C$1397:$AI$1512,13,FALSE),0)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الشهر'!$C$10:$AD$119,13,FALSE),0)</f>
        <v>69.959999999999994</v>
      </c>
      <c r="E46" s="362">
        <f>IFERROR(VLOOKUP(C46,'تقرير المصروفات حسب الشهر'!$C$135:$AD$244,13,FALSE),0)</f>
        <v>69.959999999999994</v>
      </c>
      <c r="F46" s="362">
        <v>69.959999999999994</v>
      </c>
      <c r="G46" s="362">
        <f>IFERROR(VLOOKUP(C46,'تقرير المصروفات حسب الشهر'!$C$387:$AD$495,13,FALSE),0)</f>
        <v>69.959999999999994</v>
      </c>
      <c r="H46" s="362">
        <f>IFERROR(VLOOKUP(C46,'تقرير المصروفات حسب الشهر'!$C$512:$AD$620,13,FALSE),0)</f>
        <v>69.959999999999994</v>
      </c>
      <c r="I46" s="362">
        <f>IFERROR(VLOOKUP(C46,'تقرير المصروفات حسب الشهر'!$C$637:$AD$746,13,FALSE),0)</f>
        <v>69.959999999999994</v>
      </c>
      <c r="J46" s="362">
        <f>IFERROR(VLOOKUP(C46,'تقرير المصروفات حسب الشهر'!$C$763:$AD$872,13,FALSE),0)</f>
        <v>69.959999999999994</v>
      </c>
      <c r="K46" s="362">
        <f>IFERROR(VLOOKUP(C46,'تقرير المصروفات حسب الشهر'!$C$890:$AD$999,13,FALSE),0)</f>
        <v>69.959999999999994</v>
      </c>
      <c r="L46" s="362">
        <f>IFERROR(VLOOKUP(C46,'تقرير المصروفات حسب الشهر'!$C$1016:$AD$1126,13,FALSE),0)</f>
        <v>69.959999999999994</v>
      </c>
      <c r="M46" s="376">
        <f>IFERROR(VLOOKUP(C46,'تقرير المصروفات حسب الشهر'!$C$1143:$AD$1254,13,FALSE),0)</f>
        <v>69.959999999999994</v>
      </c>
      <c r="N46" s="376">
        <f>IFERROR(VLOOKUP(C46,'تقرير المصروفات حسب الشهر'!$C$1270:$AD$1381,13,FALSE),0)</f>
        <v>69.959999999999994</v>
      </c>
      <c r="O46" s="376">
        <f>IFERROR(VLOOKUP(C46,'تقرير المصروفات حسب الشهر'!$C$1397:$AI$1512,13,FALSE),0)</f>
        <v>69.959999999999994</v>
      </c>
      <c r="P46" s="364">
        <f t="shared" si="5"/>
        <v>839.5200000000001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الشهر'!$C$10:$AD$119,13,FALSE),0)</f>
        <v>0</v>
      </c>
      <c r="E47" s="362">
        <f>IFERROR(VLOOKUP(C47,'تقرير المصروفات حسب الشهر'!$C$135:$AD$244,13,FALSE),0)</f>
        <v>0</v>
      </c>
      <c r="F47" s="362">
        <v>0</v>
      </c>
      <c r="G47" s="362">
        <f>IFERROR(VLOOKUP(C47,'تقرير المصروفات حسب الشهر'!$C$387:$AD$495,13,FALSE),0)</f>
        <v>1100</v>
      </c>
      <c r="H47" s="362">
        <f>IFERROR(VLOOKUP(C47,'تقرير المصروفات حسب الشهر'!$C$512:$AD$620,13,FALSE),0)</f>
        <v>0</v>
      </c>
      <c r="I47" s="362">
        <f>IFERROR(VLOOKUP(C47,'تقرير المصروفات حسب الشهر'!$C$637:$AD$746,13,FALSE),0)</f>
        <v>150</v>
      </c>
      <c r="J47" s="362">
        <f>IFERROR(VLOOKUP(C47,'تقرير المصروفات حسب الشهر'!$C$763:$AD$872,13,FALSE),0)</f>
        <v>150</v>
      </c>
      <c r="K47" s="362">
        <f>IFERROR(VLOOKUP(C47,'تقرير المصروفات حسب الشهر'!$C$890:$AD$999,13,FALSE),0)</f>
        <v>150</v>
      </c>
      <c r="L47" s="362">
        <f>IFERROR(VLOOKUP(C47,'تقرير المصروفات حسب الشهر'!$C$1016:$AD$1126,13,FALSE),0)</f>
        <v>0</v>
      </c>
      <c r="M47" s="376">
        <f>IFERROR(VLOOKUP(C47,'تقرير المصروفات حسب الشهر'!$C$1143:$AD$1254,13,FALSE),0)</f>
        <v>150</v>
      </c>
      <c r="N47" s="376">
        <f>IFERROR(VLOOKUP(C47,'تقرير المصروفات حسب الشهر'!$C$1270:$AD$1381,13,FALSE),0)</f>
        <v>150</v>
      </c>
      <c r="O47" s="376">
        <f>IFERROR(VLOOKUP(C47,'تقرير المصروفات حسب الشهر'!$C$1397:$AI$1512,13,FALSE),0)</f>
        <v>0</v>
      </c>
      <c r="P47" s="364">
        <f t="shared" si="5"/>
        <v>1850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الشهر'!$C$10:$AD$119,13,FALSE),0)</f>
        <v>0</v>
      </c>
      <c r="E48" s="362">
        <f>IFERROR(VLOOKUP(C48,'تقرير المصروفات حسب الشهر'!$C$135:$AD$244,13,FALSE),0)</f>
        <v>0</v>
      </c>
      <c r="F48" s="362">
        <v>0</v>
      </c>
      <c r="G48" s="362">
        <f>IFERROR(VLOOKUP(C48,'تقرير المصروفات حسب الشهر'!$C$387:$AD$495,13,FALSE),0)</f>
        <v>0</v>
      </c>
      <c r="H48" s="362">
        <f>IFERROR(VLOOKUP(C48,'تقرير المصروفات حسب الشهر'!$C$512:$AD$620,13,FALSE),0)</f>
        <v>0</v>
      </c>
      <c r="I48" s="362">
        <f>IFERROR(VLOOKUP(C48,'تقرير المصروفات حسب الشهر'!$C$637:$AD$746,13,FALSE),0)</f>
        <v>760</v>
      </c>
      <c r="J48" s="362">
        <f>IFERROR(VLOOKUP(C48,'تقرير المصروفات حسب الشهر'!$C$763:$AD$872,13,FALSE),0)</f>
        <v>0</v>
      </c>
      <c r="K48" s="362">
        <f>IFERROR(VLOOKUP(C48,'تقرير المصروفات حسب الشهر'!$C$890:$AD$999,13,FALSE),0)</f>
        <v>0</v>
      </c>
      <c r="L48" s="362">
        <f>IFERROR(VLOOKUP(C48,'تقرير المصروفات حسب الشهر'!$C$1016:$AD$1126,13,FALSE),0)</f>
        <v>1708</v>
      </c>
      <c r="M48" s="376">
        <f>IFERROR(VLOOKUP(C48,'تقرير المصروفات حسب الشهر'!$C$1143:$AD$1254,13,FALSE),0)</f>
        <v>6288</v>
      </c>
      <c r="N48" s="376">
        <f>IFERROR(VLOOKUP(C48,'تقرير المصروفات حسب الشهر'!$C$1270:$AD$1381,13,FALSE),0)</f>
        <v>0</v>
      </c>
      <c r="O48" s="376">
        <f>IFERROR(VLOOKUP(C48,'تقرير المصروفات حسب الشهر'!$C$1397:$AI$1512,13,FALSE),0)</f>
        <v>0</v>
      </c>
      <c r="P48" s="364">
        <f t="shared" si="5"/>
        <v>8756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الشهر'!$C$10:$AD$119,13,FALSE),0)</f>
        <v>0</v>
      </c>
      <c r="E49" s="362">
        <f>IFERROR(VLOOKUP(C49,'تقرير المصروفات حسب الشهر'!$C$135:$AD$244,13,FALSE),0)</f>
        <v>0</v>
      </c>
      <c r="F49" s="362">
        <v>0</v>
      </c>
      <c r="G49" s="362">
        <f>IFERROR(VLOOKUP(C49,'تقرير المصروفات حسب الشهر'!$C$387:$AD$495,13,FALSE),0)</f>
        <v>0</v>
      </c>
      <c r="H49" s="362">
        <f>IFERROR(VLOOKUP(C49,'تقرير المصروفات حسب الشهر'!$C$512:$AD$620,13,FALSE),0)</f>
        <v>0</v>
      </c>
      <c r="I49" s="362">
        <f>IFERROR(VLOOKUP(C49,'تقرير المصروفات حسب الشهر'!$C$637:$AD$746,13,FALSE),0)</f>
        <v>0</v>
      </c>
      <c r="J49" s="362">
        <f>IFERROR(VLOOKUP(C49,'تقرير المصروفات حسب الشهر'!$C$763:$AD$872,13,FALSE),0)</f>
        <v>0</v>
      </c>
      <c r="K49" s="362">
        <f>IFERROR(VLOOKUP(C49,'تقرير المصروفات حسب الشهر'!$C$890:$AD$999,13,FALSE),0)</f>
        <v>0</v>
      </c>
      <c r="L49" s="362">
        <f>IFERROR(VLOOKUP(C49,'تقرير المصروفات حسب الشهر'!$C$1016:$AD$1126,13,FALSE),0)</f>
        <v>0</v>
      </c>
      <c r="M49" s="376">
        <f>IFERROR(VLOOKUP(C49,'تقرير المصروفات حسب الشهر'!$C$1143:$AD$1254,13,FALSE),0)</f>
        <v>0</v>
      </c>
      <c r="N49" s="376">
        <f>IFERROR(VLOOKUP(C49,'تقرير المصروفات حسب الشهر'!$C$1270:$AD$1381,13,FALSE),0)</f>
        <v>0</v>
      </c>
      <c r="O49" s="376">
        <f>IFERROR(VLOOKUP(C49,'تقرير المصروفات حسب الشهر'!$C$1397:$AI$1512,13,FALSE),0)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الشهر'!$C$10:$AD$119,13,FALSE),0)</f>
        <v>0</v>
      </c>
      <c r="E50" s="362">
        <f>IFERROR(VLOOKUP(C50,'تقرير المصروفات حسب الشهر'!$C$135:$AD$244,13,FALSE),0)</f>
        <v>0</v>
      </c>
      <c r="F50" s="362">
        <v>0</v>
      </c>
      <c r="G50" s="362">
        <f>IFERROR(VLOOKUP(C50,'تقرير المصروفات حسب الشهر'!$C$387:$AD$495,13,FALSE),0)</f>
        <v>0</v>
      </c>
      <c r="H50" s="362">
        <f>IFERROR(VLOOKUP(C50,'تقرير المصروفات حسب الشهر'!$C$512:$AD$620,13,FALSE),0)</f>
        <v>0</v>
      </c>
      <c r="I50" s="362">
        <f>IFERROR(VLOOKUP(C50,'تقرير المصروفات حسب الشهر'!$C$637:$AD$746,13,FALSE),0)</f>
        <v>0</v>
      </c>
      <c r="J50" s="362">
        <f>IFERROR(VLOOKUP(C50,'تقرير المصروفات حسب الشهر'!$C$763:$AD$872,13,FALSE),0)</f>
        <v>0</v>
      </c>
      <c r="K50" s="362">
        <f>IFERROR(VLOOKUP(C50,'تقرير المصروفات حسب الشهر'!$C$890:$AD$999,13,FALSE),0)</f>
        <v>0</v>
      </c>
      <c r="L50" s="362">
        <f>IFERROR(VLOOKUP(C50,'تقرير المصروفات حسب الشهر'!$C$1016:$AD$1126,13,FALSE),0)</f>
        <v>0</v>
      </c>
      <c r="M50" s="376">
        <f>IFERROR(VLOOKUP(C50,'تقرير المصروفات حسب الشهر'!$C$1143:$AD$1254,13,FALSE),0)</f>
        <v>0</v>
      </c>
      <c r="N50" s="376">
        <f>IFERROR(VLOOKUP(C50,'تقرير المصروفات حسب الشهر'!$C$1270:$AD$1381,13,FALSE),0)</f>
        <v>0</v>
      </c>
      <c r="O50" s="376">
        <f>IFERROR(VLOOKUP(C50,'تقرير المصروفات حسب الشهر'!$C$1397:$AI$1512,13,FALSE),0)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الشهر'!$C$10:$AD$119,13,FALSE),0)</f>
        <v>100</v>
      </c>
      <c r="E51" s="362">
        <f>IFERROR(VLOOKUP(C51,'تقرير المصروفات حسب الشهر'!$C$135:$AD$244,13,FALSE),0)</f>
        <v>0</v>
      </c>
      <c r="F51" s="362">
        <v>0</v>
      </c>
      <c r="G51" s="362">
        <f>IFERROR(VLOOKUP(C51,'تقرير المصروفات حسب الشهر'!$C$387:$AD$495,13,FALSE),0)</f>
        <v>900</v>
      </c>
      <c r="H51" s="362">
        <f>IFERROR(VLOOKUP(C51,'تقرير المصروفات حسب الشهر'!$C$512:$AD$620,13,FALSE),0)</f>
        <v>0</v>
      </c>
      <c r="I51" s="362">
        <f>IFERROR(VLOOKUP(C51,'تقرير المصروفات حسب الشهر'!$C$637:$AD$746,13,FALSE),0)</f>
        <v>0</v>
      </c>
      <c r="J51" s="362">
        <f>IFERROR(VLOOKUP(C51,'تقرير المصروفات حسب الشهر'!$C$763:$AD$872,13,FALSE),0)</f>
        <v>0</v>
      </c>
      <c r="K51" s="362">
        <f>IFERROR(VLOOKUP(C51,'تقرير المصروفات حسب الشهر'!$C$890:$AD$999,13,FALSE),0)</f>
        <v>0</v>
      </c>
      <c r="L51" s="362">
        <f>IFERROR(VLOOKUP(C51,'تقرير المصروفات حسب الشهر'!$C$1016:$AD$1126,13,FALSE),0)</f>
        <v>600</v>
      </c>
      <c r="M51" s="376">
        <f>IFERROR(VLOOKUP(C51,'تقرير المصروفات حسب الشهر'!$C$1143:$AD$1254,13,FALSE),0)</f>
        <v>960</v>
      </c>
      <c r="N51" s="376">
        <f>IFERROR(VLOOKUP(C51,'تقرير المصروفات حسب الشهر'!$C$1270:$AD$1381,13,FALSE),0)</f>
        <v>0</v>
      </c>
      <c r="O51" s="376">
        <f>IFERROR(VLOOKUP(C51,'تقرير المصروفات حسب الشهر'!$C$1397:$AI$1512,13,FALSE),0)</f>
        <v>35</v>
      </c>
      <c r="P51" s="364">
        <f t="shared" si="5"/>
        <v>2595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الشهر'!$C$10:$AD$119,13,FALSE),0)</f>
        <v>0</v>
      </c>
      <c r="E52" s="362">
        <f>IFERROR(VLOOKUP(C52,'تقرير المصروفات حسب الشهر'!$C$135:$AD$244,13,FALSE),0)</f>
        <v>0</v>
      </c>
      <c r="F52" s="362">
        <v>3000</v>
      </c>
      <c r="G52" s="362">
        <f>IFERROR(VLOOKUP(C52,'تقرير المصروفات حسب الشهر'!$C$387:$AD$495,13,FALSE),0)</f>
        <v>0</v>
      </c>
      <c r="H52" s="362">
        <f>IFERROR(VLOOKUP(C52,'تقرير المصروفات حسب الشهر'!$C$512:$AD$620,13,FALSE),0)</f>
        <v>0</v>
      </c>
      <c r="I52" s="362">
        <f>IFERROR(VLOOKUP(C52,'تقرير المصروفات حسب الشهر'!$C$637:$AD$746,13,FALSE),0)</f>
        <v>0</v>
      </c>
      <c r="J52" s="362">
        <f>IFERROR(VLOOKUP(C52,'تقرير المصروفات حسب الشهر'!$C$763:$AD$872,13,FALSE),0)</f>
        <v>0</v>
      </c>
      <c r="K52" s="362">
        <f>IFERROR(VLOOKUP(C52,'تقرير المصروفات حسب الشهر'!$C$890:$AD$999,13,FALSE),0)</f>
        <v>0</v>
      </c>
      <c r="L52" s="362">
        <f>IFERROR(VLOOKUP(C52,'تقرير المصروفات حسب الشهر'!$C$1016:$AD$1126,13,FALSE),0)</f>
        <v>0</v>
      </c>
      <c r="M52" s="376">
        <f>IFERROR(VLOOKUP(C52,'تقرير المصروفات حسب الشهر'!$C$1143:$AD$1254,13,FALSE),0)</f>
        <v>0</v>
      </c>
      <c r="N52" s="376">
        <f>IFERROR(VLOOKUP(C52,'تقرير المصروفات حسب الشهر'!$C$1270:$AD$1381,13,FALSE),0)</f>
        <v>0</v>
      </c>
      <c r="O52" s="376">
        <f>IFERROR(VLOOKUP(C52,'تقرير المصروفات حسب الشهر'!$C$1397:$AI$1512,13,FALSE),0)</f>
        <v>0</v>
      </c>
      <c r="P52" s="364">
        <f t="shared" si="5"/>
        <v>3000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الشهر'!$C$10:$AD$119,13,FALSE),0)</f>
        <v>0</v>
      </c>
      <c r="E53" s="362">
        <f>IFERROR(VLOOKUP(C53,'تقرير المصروفات حسب الشهر'!$C$135:$AD$244,13,FALSE),0)</f>
        <v>0</v>
      </c>
      <c r="F53" s="362">
        <v>0</v>
      </c>
      <c r="G53" s="362">
        <f>IFERROR(VLOOKUP(C53,'تقرير المصروفات حسب الشهر'!$C$387:$AD$495,13,FALSE),0)</f>
        <v>0</v>
      </c>
      <c r="H53" s="362">
        <f>IFERROR(VLOOKUP(C53,'تقرير المصروفات حسب الشهر'!$C$512:$AD$620,13,FALSE),0)</f>
        <v>0</v>
      </c>
      <c r="I53" s="362">
        <f>IFERROR(VLOOKUP(C53,'تقرير المصروفات حسب الشهر'!$C$637:$AD$746,13,FALSE),0)</f>
        <v>0</v>
      </c>
      <c r="J53" s="362">
        <f>IFERROR(VLOOKUP(C53,'تقرير المصروفات حسب الشهر'!$C$763:$AD$872,13,FALSE),0)</f>
        <v>0</v>
      </c>
      <c r="K53" s="362">
        <f>IFERROR(VLOOKUP(C53,'تقرير المصروفات حسب الشهر'!$C$890:$AD$999,13,FALSE),0)</f>
        <v>0</v>
      </c>
      <c r="L53" s="362">
        <f>IFERROR(VLOOKUP(C53,'تقرير المصروفات حسب الشهر'!$C$1016:$AD$1126,13,FALSE),0)</f>
        <v>0</v>
      </c>
      <c r="M53" s="376">
        <f>IFERROR(VLOOKUP(C53,'تقرير المصروفات حسب الشهر'!$C$1143:$AD$1254,13,FALSE),0)</f>
        <v>0</v>
      </c>
      <c r="N53" s="376">
        <f>IFERROR(VLOOKUP(C53,'تقرير المصروفات حسب الشهر'!$C$1270:$AD$1381,13,FALSE),0)</f>
        <v>0</v>
      </c>
      <c r="O53" s="376">
        <f>IFERROR(VLOOKUP(C53,'تقرير المصروفات حسب الشهر'!$C$1397:$AI$1512,13,FALSE),0)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الشهر'!$C$10:$AD$119,13,FALSE),0)</f>
        <v>6700</v>
      </c>
      <c r="E54" s="362">
        <f>IFERROR(VLOOKUP(C54,'تقرير المصروفات حسب الشهر'!$C$135:$AD$244,13,FALSE),0)</f>
        <v>0</v>
      </c>
      <c r="F54" s="362">
        <v>17000</v>
      </c>
      <c r="G54" s="362">
        <f>IFERROR(VLOOKUP(C54,'تقرير المصروفات حسب الشهر'!$C$387:$AD$495,13,FALSE),0)</f>
        <v>9640</v>
      </c>
      <c r="H54" s="362">
        <f>IFERROR(VLOOKUP(C54,'تقرير المصروفات حسب الشهر'!$C$512:$AD$620,13,FALSE),0)</f>
        <v>10000</v>
      </c>
      <c r="I54" s="362">
        <f>IFERROR(VLOOKUP(C54,'تقرير المصروفات حسب الشهر'!$C$637:$AD$746,13,FALSE),0)</f>
        <v>10300</v>
      </c>
      <c r="J54" s="362">
        <f>IFERROR(VLOOKUP(C54,'تقرير المصروفات حسب الشهر'!$C$763:$AD$872,13,FALSE),0)</f>
        <v>10700</v>
      </c>
      <c r="K54" s="362">
        <f>IFERROR(VLOOKUP(C54,'تقرير المصروفات حسب الشهر'!$C$890:$AD$999,13,FALSE),0)</f>
        <v>0</v>
      </c>
      <c r="L54" s="362">
        <f>IFERROR(VLOOKUP(C54,'تقرير المصروفات حسب الشهر'!$C$1016:$AD$1126,13,FALSE),0)</f>
        <v>0</v>
      </c>
      <c r="M54" s="376">
        <f>IFERROR(VLOOKUP(C54,'تقرير المصروفات حسب الشهر'!$C$1143:$AD$1254,13,FALSE),0)</f>
        <v>0</v>
      </c>
      <c r="N54" s="376">
        <f>IFERROR(VLOOKUP(C54,'تقرير المصروفات حسب الشهر'!$C$1270:$AD$1381,13,FALSE),0)</f>
        <v>0</v>
      </c>
      <c r="O54" s="376">
        <f>IFERROR(VLOOKUP(C54,'تقرير المصروفات حسب الشهر'!$C$1397:$AI$1512,13,FALSE),0)</f>
        <v>10000</v>
      </c>
      <c r="P54" s="364">
        <f t="shared" si="5"/>
        <v>74340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الشهر'!$C$10:$AD$119,13,FALSE),0)</f>
        <v>0</v>
      </c>
      <c r="E55" s="362">
        <f>IFERROR(VLOOKUP(C55,'تقرير المصروفات حسب الشهر'!$C$135:$AD$244,13,FALSE),0)</f>
        <v>0</v>
      </c>
      <c r="F55" s="362">
        <v>0</v>
      </c>
      <c r="G55" s="362">
        <f>IFERROR(VLOOKUP(C55,'تقرير المصروفات حسب الشهر'!$C$387:$AD$495,13,FALSE),0)</f>
        <v>0</v>
      </c>
      <c r="H55" s="362">
        <f>IFERROR(VLOOKUP(C55,'تقرير المصروفات حسب الشهر'!$C$512:$AD$620,13,FALSE),0)</f>
        <v>0</v>
      </c>
      <c r="I55" s="362">
        <f>IFERROR(VLOOKUP(C55,'تقرير المصروفات حسب الشهر'!$C$637:$AD$746,13,FALSE),0)</f>
        <v>0</v>
      </c>
      <c r="J55" s="362">
        <f>IFERROR(VLOOKUP(C55,'تقرير المصروفات حسب الشهر'!$C$763:$AD$872,13,FALSE),0)</f>
        <v>0</v>
      </c>
      <c r="K55" s="362">
        <f>IFERROR(VLOOKUP(C55,'تقرير المصروفات حسب الشهر'!$C$890:$AD$999,13,FALSE),0)</f>
        <v>0</v>
      </c>
      <c r="L55" s="362">
        <f>IFERROR(VLOOKUP(C55,'تقرير المصروفات حسب الشهر'!$C$1016:$AD$1126,13,FALSE),0)</f>
        <v>0</v>
      </c>
      <c r="M55" s="376">
        <f>IFERROR(VLOOKUP(C55,'تقرير المصروفات حسب الشهر'!$C$1143:$AD$1254,13,FALSE),0)</f>
        <v>0</v>
      </c>
      <c r="N55" s="376">
        <f>IFERROR(VLOOKUP(C55,'تقرير المصروفات حسب الشهر'!$C$1270:$AD$1381,13,FALSE),0)</f>
        <v>0</v>
      </c>
      <c r="O55" s="376">
        <f>IFERROR(VLOOKUP(C55,'تقرير المصروفات حسب الشهر'!$C$1397:$AI$1512,13,FALSE),0)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الشهر'!$C$10:$AD$119,13,FALSE),0)</f>
        <v>0</v>
      </c>
      <c r="E56" s="362">
        <f>IFERROR(VLOOKUP(C56,'تقرير المصروفات حسب الشهر'!$C$135:$AD$244,13,FALSE),0)</f>
        <v>0</v>
      </c>
      <c r="F56" s="362">
        <v>0</v>
      </c>
      <c r="G56" s="362">
        <f>IFERROR(VLOOKUP(C56,'تقرير المصروفات حسب الشهر'!$C$387:$AD$495,13,FALSE),0)</f>
        <v>0</v>
      </c>
      <c r="H56" s="362">
        <f>IFERROR(VLOOKUP(C56,'تقرير المصروفات حسب الشهر'!$C$512:$AD$620,13,FALSE),0)</f>
        <v>0</v>
      </c>
      <c r="I56" s="362">
        <f>IFERROR(VLOOKUP(C56,'تقرير المصروفات حسب الشهر'!$C$637:$AD$746,13,FALSE),0)</f>
        <v>0</v>
      </c>
      <c r="J56" s="362">
        <f>IFERROR(VLOOKUP(C56,'تقرير المصروفات حسب الشهر'!$C$763:$AD$872,13,FALSE),0)</f>
        <v>0</v>
      </c>
      <c r="K56" s="362">
        <f>IFERROR(VLOOKUP(C56,'تقرير المصروفات حسب الشهر'!$C$890:$AD$999,13,FALSE),0)</f>
        <v>0</v>
      </c>
      <c r="L56" s="362">
        <f>IFERROR(VLOOKUP(C56,'تقرير المصروفات حسب الشهر'!$C$1016:$AD$1126,13,FALSE),0)</f>
        <v>0</v>
      </c>
      <c r="M56" s="376">
        <f>IFERROR(VLOOKUP(C56,'تقرير المصروفات حسب الشهر'!$C$1143:$AD$1254,13,FALSE),0)</f>
        <v>0</v>
      </c>
      <c r="N56" s="376">
        <f>IFERROR(VLOOKUP(C56,'تقرير المصروفات حسب الشهر'!$C$1270:$AD$1381,13,FALSE),0)</f>
        <v>0</v>
      </c>
      <c r="O56" s="376">
        <f>IFERROR(VLOOKUP(C56,'تقرير المصروفات حسب الشهر'!$C$1397:$AI$1512,13,FALSE),0)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الشهر'!$C$10:$AD$119,13,FALSE),0)</f>
        <v>0</v>
      </c>
      <c r="E57" s="362">
        <f>IFERROR(VLOOKUP(C57,'تقرير المصروفات حسب الشهر'!$C$135:$AD$244,13,FALSE),0)</f>
        <v>0</v>
      </c>
      <c r="F57" s="362">
        <v>0</v>
      </c>
      <c r="G57" s="362">
        <f>IFERROR(VLOOKUP(C57,'تقرير المصروفات حسب الشهر'!$C$387:$AD$495,13,FALSE),0)</f>
        <v>0</v>
      </c>
      <c r="H57" s="362">
        <f>IFERROR(VLOOKUP(C57,'تقرير المصروفات حسب الشهر'!$C$512:$AD$620,13,FALSE),0)</f>
        <v>0</v>
      </c>
      <c r="I57" s="362">
        <f>IFERROR(VLOOKUP(C57,'تقرير المصروفات حسب الشهر'!$C$637:$AD$746,13,FALSE),0)</f>
        <v>0</v>
      </c>
      <c r="J57" s="362">
        <f>IFERROR(VLOOKUP(C57,'تقرير المصروفات حسب الشهر'!$C$763:$AD$872,13,FALSE),0)</f>
        <v>0</v>
      </c>
      <c r="K57" s="362">
        <f>IFERROR(VLOOKUP(C57,'تقرير المصروفات حسب الشهر'!$C$890:$AD$999,13,FALSE),0)</f>
        <v>0</v>
      </c>
      <c r="L57" s="362">
        <f>IFERROR(VLOOKUP(C57,'تقرير المصروفات حسب الشهر'!$C$1016:$AD$1126,13,FALSE),0)</f>
        <v>0</v>
      </c>
      <c r="M57" s="376">
        <f>IFERROR(VLOOKUP(C57,'تقرير المصروفات حسب الشهر'!$C$1143:$AD$1254,13,FALSE),0)</f>
        <v>0</v>
      </c>
      <c r="N57" s="376">
        <f>IFERROR(VLOOKUP(C57,'تقرير المصروفات حسب الشهر'!$C$1270:$AD$1381,13,FALSE),0)</f>
        <v>0</v>
      </c>
      <c r="O57" s="376">
        <f>IFERROR(VLOOKUP(C57,'تقرير المصروفات حسب الشهر'!$C$1397:$AI$1512,13,FALSE),0)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الشهر'!$C$10:$AD$119,13,FALSE),0)</f>
        <v>0</v>
      </c>
      <c r="E58" s="362">
        <f>IFERROR(VLOOKUP(C58,'تقرير المصروفات حسب الشهر'!$C$135:$AD$244,13,FALSE),0)</f>
        <v>0</v>
      </c>
      <c r="F58" s="362">
        <v>0</v>
      </c>
      <c r="G58" s="362">
        <f>IFERROR(VLOOKUP(C58,'تقرير المصروفات حسب الشهر'!$C$387:$AD$495,13,FALSE),0)</f>
        <v>0</v>
      </c>
      <c r="H58" s="362">
        <f>IFERROR(VLOOKUP(C58,'تقرير المصروفات حسب الشهر'!$C$512:$AD$620,13,FALSE),0)</f>
        <v>0</v>
      </c>
      <c r="I58" s="362">
        <f>IFERROR(VLOOKUP(C58,'تقرير المصروفات حسب الشهر'!$C$637:$AD$746,13,FALSE),0)</f>
        <v>0</v>
      </c>
      <c r="J58" s="362">
        <f>IFERROR(VLOOKUP(C58,'تقرير المصروفات حسب الشهر'!$C$763:$AD$872,13,FALSE),0)</f>
        <v>0</v>
      </c>
      <c r="K58" s="362">
        <f>IFERROR(VLOOKUP(C58,'تقرير المصروفات حسب الشهر'!$C$890:$AD$999,13,FALSE),0)</f>
        <v>0</v>
      </c>
      <c r="L58" s="362">
        <f>IFERROR(VLOOKUP(C58,'تقرير المصروفات حسب الشهر'!$C$1016:$AD$1126,13,FALSE),0)</f>
        <v>0</v>
      </c>
      <c r="M58" s="376">
        <f>IFERROR(VLOOKUP(C58,'تقرير المصروفات حسب الشهر'!$C$1143:$AD$1254,13,FALSE),0)</f>
        <v>0</v>
      </c>
      <c r="N58" s="376">
        <f>IFERROR(VLOOKUP(C58,'تقرير المصروفات حسب الشهر'!$C$1270:$AD$1381,13,FALSE),0)</f>
        <v>0</v>
      </c>
      <c r="O58" s="376">
        <f>IFERROR(VLOOKUP(C58,'تقرير المصروفات حسب الشهر'!$C$1397:$AI$1512,13,FALSE),0)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الشهر'!$C$10:$AD$119,13,FALSE),0)</f>
        <v>0</v>
      </c>
      <c r="E59" s="362">
        <f>IFERROR(VLOOKUP(C59,'تقرير المصروفات حسب الشهر'!$C$135:$AD$244,13,FALSE),0)</f>
        <v>4225.25</v>
      </c>
      <c r="F59" s="362">
        <v>2226.25</v>
      </c>
      <c r="G59" s="362">
        <f>IFERROR(VLOOKUP(C59,'تقرير المصروفات حسب الشهر'!$C$387:$AD$495,13,FALSE),0)</f>
        <v>3225.25</v>
      </c>
      <c r="H59" s="362">
        <f>IFERROR(VLOOKUP(C59,'تقرير المصروفات حسب الشهر'!$C$512:$AD$620,13,FALSE),0)</f>
        <v>0</v>
      </c>
      <c r="I59" s="362">
        <f>IFERROR(VLOOKUP(C59,'تقرير المصروفات حسب الشهر'!$C$637:$AD$746,13,FALSE),0)</f>
        <v>5000.5</v>
      </c>
      <c r="J59" s="362">
        <f>IFERROR(VLOOKUP(C59,'تقرير المصروفات حسب الشهر'!$C$763:$AD$872,13,FALSE),0)</f>
        <v>3999.25</v>
      </c>
      <c r="K59" s="362">
        <f>IFERROR(VLOOKUP(C59,'تقرير المصروفات حسب الشهر'!$C$890:$AD$999,13,FALSE),0)</f>
        <v>0</v>
      </c>
      <c r="L59" s="362">
        <f>IFERROR(VLOOKUP(C59,'تقرير المصروفات حسب الشهر'!$C$1016:$AD$1126,13,FALSE),0)</f>
        <v>4555.25</v>
      </c>
      <c r="M59" s="376">
        <f>IFERROR(VLOOKUP(C59,'تقرير المصروفات حسب الشهر'!$C$1143:$AD$1254,13,FALSE),0)</f>
        <v>2666.6</v>
      </c>
      <c r="N59" s="376">
        <f>IFERROR(VLOOKUP(C59,'تقرير المصروفات حسب الشهر'!$C$1270:$AD$1381,13,FALSE),0)</f>
        <v>6500.5</v>
      </c>
      <c r="O59" s="376">
        <f>IFERROR(VLOOKUP(C59,'تقرير المصروفات حسب الشهر'!$C$1397:$AI$1512,13,FALSE),0)</f>
        <v>4500.25</v>
      </c>
      <c r="P59" s="364">
        <f t="shared" si="5"/>
        <v>36899.1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الشهر'!$C$10:$AD$119,13,FALSE),0)</f>
        <v>7800</v>
      </c>
      <c r="E60" s="362">
        <f>IFERROR(VLOOKUP(C60,'تقرير المصروفات حسب الشهر'!$C$135:$AD$244,13,FALSE),0)</f>
        <v>0</v>
      </c>
      <c r="F60" s="362">
        <v>3000</v>
      </c>
      <c r="G60" s="362">
        <f>IFERROR(VLOOKUP(C60,'تقرير المصروفات حسب الشهر'!$C$387:$AD$495,13,FALSE),0)</f>
        <v>8370</v>
      </c>
      <c r="H60" s="362">
        <f>IFERROR(VLOOKUP(C60,'تقرير المصروفات حسب الشهر'!$C$512:$AD$620,13,FALSE),0)</f>
        <v>0</v>
      </c>
      <c r="I60" s="362">
        <f>IFERROR(VLOOKUP(C60,'تقرير المصروفات حسب الشهر'!$C$637:$AD$746,13,FALSE),0)</f>
        <v>7750</v>
      </c>
      <c r="J60" s="362">
        <f>IFERROR(VLOOKUP(C60,'تقرير المصروفات حسب الشهر'!$C$763:$AD$872,13,FALSE),0)</f>
        <v>0</v>
      </c>
      <c r="K60" s="362">
        <f>IFERROR(VLOOKUP(C60,'تقرير المصروفات حسب الشهر'!$C$890:$AD$999,13,FALSE),0)</f>
        <v>8250</v>
      </c>
      <c r="L60" s="362">
        <f>IFERROR(VLOOKUP(C60,'تقرير المصروفات حسب الشهر'!$C$1016:$AD$1126,13,FALSE),0)</f>
        <v>0</v>
      </c>
      <c r="M60" s="376">
        <f>IFERROR(VLOOKUP(C60,'تقرير المصروفات حسب الشهر'!$C$1143:$AD$1254,13,FALSE),0)</f>
        <v>12540</v>
      </c>
      <c r="N60" s="376">
        <f>IFERROR(VLOOKUP(C60,'تقرير المصروفات حسب الشهر'!$C$1270:$AD$1381,13,FALSE),0)</f>
        <v>0</v>
      </c>
      <c r="O60" s="376">
        <f>IFERROR(VLOOKUP(C60,'تقرير المصروفات حسب الشهر'!$C$1397:$AI$1512,13,FALSE),0)</f>
        <v>3300</v>
      </c>
      <c r="P60" s="364">
        <f t="shared" si="5"/>
        <v>51010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الشهر'!$C$10:$AD$119,13,FALSE),0)</f>
        <v>200</v>
      </c>
      <c r="E61" s="362">
        <f>IFERROR(VLOOKUP(C61,'تقرير المصروفات حسب الشهر'!$C$135:$AD$244,13,FALSE),0)</f>
        <v>200</v>
      </c>
      <c r="F61" s="362">
        <v>400</v>
      </c>
      <c r="G61" s="362">
        <f>IFERROR(VLOOKUP(C61,'تقرير المصروفات حسب الشهر'!$C$387:$AD$495,13,FALSE),0)</f>
        <v>710</v>
      </c>
      <c r="H61" s="362">
        <f>IFERROR(VLOOKUP(C61,'تقرير المصروفات حسب الشهر'!$C$512:$AD$620,13,FALSE),0)</f>
        <v>600</v>
      </c>
      <c r="I61" s="362">
        <f>IFERROR(VLOOKUP(C61,'تقرير المصروفات حسب الشهر'!$C$637:$AD$746,13,FALSE),0)</f>
        <v>1300</v>
      </c>
      <c r="J61" s="362">
        <f>IFERROR(VLOOKUP(C61,'تقرير المصروفات حسب الشهر'!$C$763:$AD$872,13,FALSE),0)</f>
        <v>900</v>
      </c>
      <c r="K61" s="362">
        <f>IFERROR(VLOOKUP(C61,'تقرير المصروفات حسب الشهر'!$C$890:$AD$999,13,FALSE),0)</f>
        <v>400</v>
      </c>
      <c r="L61" s="362">
        <f>IFERROR(VLOOKUP(C61,'تقرير المصروفات حسب الشهر'!$C$1016:$AD$1126,13,FALSE),0)</f>
        <v>550</v>
      </c>
      <c r="M61" s="376">
        <f>IFERROR(VLOOKUP(C61,'تقرير المصروفات حسب الشهر'!$C$1143:$AD$1254,13,FALSE),0)</f>
        <v>600</v>
      </c>
      <c r="N61" s="376">
        <f>IFERROR(VLOOKUP(C61,'تقرير المصروفات حسب الشهر'!$C$1270:$AD$1381,13,FALSE),0)</f>
        <v>0</v>
      </c>
      <c r="O61" s="376">
        <f>IFERROR(VLOOKUP(C61,'تقرير المصروفات حسب الشهر'!$C$1397:$AI$1512,13,FALSE),0)</f>
        <v>0</v>
      </c>
      <c r="P61" s="364">
        <f t="shared" si="5"/>
        <v>5860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الشهر'!$C$10:$AD$119,13,FALSE),0)</f>
        <v>0</v>
      </c>
      <c r="E62" s="362">
        <f>IFERROR(VLOOKUP(C62,'تقرير المصروفات حسب الشهر'!$C$135:$AD$244,13,FALSE),0)</f>
        <v>0</v>
      </c>
      <c r="F62" s="362">
        <v>3420</v>
      </c>
      <c r="G62" s="362">
        <f>IFERROR(VLOOKUP(C62,'تقرير المصروفات حسب الشهر'!$C$387:$AD$495,13,FALSE),0)</f>
        <v>0</v>
      </c>
      <c r="H62" s="362">
        <f>IFERROR(VLOOKUP(C62,'تقرير المصروفات حسب الشهر'!$C$512:$AD$620,13,FALSE),0)</f>
        <v>3110</v>
      </c>
      <c r="I62" s="362">
        <f>IFERROR(VLOOKUP(C62,'تقرير المصروفات حسب الشهر'!$C$637:$AD$746,13,FALSE),0)</f>
        <v>0</v>
      </c>
      <c r="J62" s="362">
        <f>IFERROR(VLOOKUP(C62,'تقرير المصروفات حسب الشهر'!$C$763:$AD$872,13,FALSE),0)</f>
        <v>0</v>
      </c>
      <c r="K62" s="362">
        <f>IFERROR(VLOOKUP(C62,'تقرير المصروفات حسب الشهر'!$C$890:$AD$999,13,FALSE),0)</f>
        <v>0</v>
      </c>
      <c r="L62" s="362">
        <f>IFERROR(VLOOKUP(C62,'تقرير المصروفات حسب الشهر'!$C$1016:$AD$1126,13,FALSE),0)</f>
        <v>3608</v>
      </c>
      <c r="M62" s="376">
        <f>IFERROR(VLOOKUP(C62,'تقرير المصروفات حسب الشهر'!$C$1143:$AD$1254,13,FALSE),0)</f>
        <v>0</v>
      </c>
      <c r="N62" s="376">
        <f>IFERROR(VLOOKUP(C62,'تقرير المصروفات حسب الشهر'!$C$1270:$AD$1381,13,FALSE),0)</f>
        <v>0</v>
      </c>
      <c r="O62" s="376">
        <f>IFERROR(VLOOKUP(C62,'تقرير المصروفات حسب الشهر'!$C$1397:$AI$1512,13,FALSE),0)</f>
        <v>0</v>
      </c>
      <c r="P62" s="364">
        <f t="shared" si="5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الشهر'!$C$10:$AD$119,13,FALSE),0)</f>
        <v>2400</v>
      </c>
      <c r="E63" s="362">
        <f>IFERROR(VLOOKUP(C63,'تقرير المصروفات حسب الشهر'!$C$135:$AD$244,13,FALSE),0)</f>
        <v>0</v>
      </c>
      <c r="F63" s="362">
        <v>0</v>
      </c>
      <c r="G63" s="362">
        <f>IFERROR(VLOOKUP(C63,'تقرير المصروفات حسب الشهر'!$C$387:$AD$495,13,FALSE),0)</f>
        <v>0</v>
      </c>
      <c r="H63" s="362">
        <f>IFERROR(VLOOKUP(C63,'تقرير المصروفات حسب الشهر'!$C$512:$AD$620,13,FALSE),0)</f>
        <v>0</v>
      </c>
      <c r="I63" s="362">
        <f>IFERROR(VLOOKUP(C63,'تقرير المصروفات حسب الشهر'!$C$637:$AD$746,13,FALSE),0)</f>
        <v>0</v>
      </c>
      <c r="J63" s="362">
        <f>IFERROR(VLOOKUP(C63,'تقرير المصروفات حسب الشهر'!$C$763:$AD$872,13,FALSE),0)</f>
        <v>0</v>
      </c>
      <c r="K63" s="362">
        <f>IFERROR(VLOOKUP(C63,'تقرير المصروفات حسب الشهر'!$C$890:$AD$999,13,FALSE),0)</f>
        <v>0</v>
      </c>
      <c r="L63" s="362">
        <f>IFERROR(VLOOKUP(C63,'تقرير المصروفات حسب الشهر'!$C$1016:$AD$1126,13,FALSE),0)</f>
        <v>0</v>
      </c>
      <c r="M63" s="376">
        <f>IFERROR(VLOOKUP(C63,'تقرير المصروفات حسب الشهر'!$C$1143:$AD$1254,13,FALSE),0)</f>
        <v>0</v>
      </c>
      <c r="N63" s="376">
        <f>IFERROR(VLOOKUP(C63,'تقرير المصروفات حسب الشهر'!$C$1270:$AD$1381,13,FALSE),0)</f>
        <v>0</v>
      </c>
      <c r="O63" s="376">
        <f>IFERROR(VLOOKUP(C63,'تقرير المصروفات حسب الشهر'!$C$1397:$AI$1512,13,FALSE),0)</f>
        <v>0</v>
      </c>
      <c r="P63" s="364">
        <f t="shared" si="5"/>
        <v>2400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الشهر'!$C$10:$AD$119,13,FALSE),0)</f>
        <v>0</v>
      </c>
      <c r="E64" s="362">
        <f>IFERROR(VLOOKUP(C64,'تقرير المصروفات حسب الشهر'!$C$135:$AD$244,13,FALSE),0)</f>
        <v>0</v>
      </c>
      <c r="F64" s="362">
        <v>13920</v>
      </c>
      <c r="G64" s="362">
        <f>IFERROR(VLOOKUP(C64,'تقرير المصروفات حسب الشهر'!$C$387:$AD$495,13,FALSE),0)</f>
        <v>480</v>
      </c>
      <c r="H64" s="362">
        <f>IFERROR(VLOOKUP(C64,'تقرير المصروفات حسب الشهر'!$C$512:$AD$620,13,FALSE),0)</f>
        <v>0</v>
      </c>
      <c r="I64" s="362">
        <f>IFERROR(VLOOKUP(C64,'تقرير المصروفات حسب الشهر'!$C$637:$AD$746,13,FALSE),0)</f>
        <v>1270</v>
      </c>
      <c r="J64" s="362">
        <f>IFERROR(VLOOKUP(C64,'تقرير المصروفات حسب الشهر'!$C$763:$AD$872,13,FALSE),0)</f>
        <v>0</v>
      </c>
      <c r="K64" s="362">
        <f>IFERROR(VLOOKUP(C64,'تقرير المصروفات حسب الشهر'!$C$890:$AD$999,13,FALSE),0)</f>
        <v>0</v>
      </c>
      <c r="L64" s="362">
        <f>IFERROR(VLOOKUP(C64,'تقرير المصروفات حسب الشهر'!$C$1016:$AD$1126,13,FALSE),0)</f>
        <v>0</v>
      </c>
      <c r="M64" s="376">
        <f>IFERROR(VLOOKUP(C64,'تقرير المصروفات حسب الشهر'!$C$1143:$AD$1254,13,FALSE),0)</f>
        <v>0</v>
      </c>
      <c r="N64" s="376">
        <f>IFERROR(VLOOKUP(C64,'تقرير المصروفات حسب الشهر'!$C$1270:$AD$1381,13,FALSE),0)</f>
        <v>1270</v>
      </c>
      <c r="O64" s="376">
        <f>IFERROR(VLOOKUP(C64,'تقرير المصروفات حسب الشهر'!$C$1397:$AI$1512,13,FALSE),0)</f>
        <v>0</v>
      </c>
      <c r="P64" s="364">
        <f t="shared" si="5"/>
        <v>16940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الشهر'!$C$10:$AD$119,13,FALSE),0)</f>
        <v>0</v>
      </c>
      <c r="E65" s="362">
        <f>IFERROR(VLOOKUP(C65,'تقرير المصروفات حسب الشهر'!$C$135:$AD$244,13,FALSE),0)</f>
        <v>0</v>
      </c>
      <c r="F65" s="362">
        <v>0</v>
      </c>
      <c r="G65" s="362">
        <f>IFERROR(VLOOKUP(C65,'تقرير المصروفات حسب الشهر'!$C$387:$AD$495,13,FALSE),0)</f>
        <v>0</v>
      </c>
      <c r="H65" s="362">
        <f>IFERROR(VLOOKUP(C65,'تقرير المصروفات حسب الشهر'!$C$512:$AD$620,13,FALSE),0)</f>
        <v>0</v>
      </c>
      <c r="I65" s="362">
        <f>IFERROR(VLOOKUP(C65,'تقرير المصروفات حسب الشهر'!$C$637:$AD$746,13,FALSE),0)</f>
        <v>0</v>
      </c>
      <c r="J65" s="362">
        <f>IFERROR(VLOOKUP(C65,'تقرير المصروفات حسب الشهر'!$C$763:$AD$872,13,FALSE),0)</f>
        <v>0</v>
      </c>
      <c r="K65" s="362">
        <f>IFERROR(VLOOKUP(C65,'تقرير المصروفات حسب الشهر'!$C$890:$AD$999,13,FALSE),0)</f>
        <v>0</v>
      </c>
      <c r="L65" s="362">
        <f>IFERROR(VLOOKUP(C65,'تقرير المصروفات حسب الشهر'!$C$1016:$AD$1126,13,FALSE),0)</f>
        <v>0</v>
      </c>
      <c r="M65" s="376">
        <f>IFERROR(VLOOKUP(C65,'تقرير المصروفات حسب الشهر'!$C$1143:$AD$1254,13,FALSE),0)</f>
        <v>0</v>
      </c>
      <c r="N65" s="376">
        <f>IFERROR(VLOOKUP(C65,'تقرير المصروفات حسب الشهر'!$C$1270:$AD$1381,13,FALSE),0)</f>
        <v>0</v>
      </c>
      <c r="O65" s="376">
        <f>IFERROR(VLOOKUP(C65,'تقرير المصروفات حسب الشهر'!$C$1397:$AI$1512,13,FALSE),0)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الشهر'!$C$10:$AD$119,13,FALSE),0)</f>
        <v>0</v>
      </c>
      <c r="E66" s="362">
        <f>IFERROR(VLOOKUP(C66,'تقرير المصروفات حسب الشهر'!$C$135:$AD$244,13,FALSE),0)</f>
        <v>0</v>
      </c>
      <c r="F66" s="362">
        <v>0</v>
      </c>
      <c r="G66" s="362">
        <f>IFERROR(VLOOKUP(C66,'تقرير المصروفات حسب الشهر'!$C$387:$AD$495,13,FALSE),0)</f>
        <v>0</v>
      </c>
      <c r="H66" s="362">
        <f>IFERROR(VLOOKUP(C66,'تقرير المصروفات حسب الشهر'!$C$512:$AD$620,13,FALSE),0)</f>
        <v>0</v>
      </c>
      <c r="I66" s="362">
        <f>IFERROR(VLOOKUP(C66,'تقرير المصروفات حسب الشهر'!$C$637:$AD$746,13,FALSE),0)</f>
        <v>0</v>
      </c>
      <c r="J66" s="362">
        <f>IFERROR(VLOOKUP(C66,'تقرير المصروفات حسب الشهر'!$C$763:$AD$872,13,FALSE),0)</f>
        <v>0</v>
      </c>
      <c r="K66" s="362">
        <f>IFERROR(VLOOKUP(C66,'تقرير المصروفات حسب الشهر'!$C$890:$AD$999,13,FALSE),0)</f>
        <v>0</v>
      </c>
      <c r="L66" s="362">
        <f>IFERROR(VLOOKUP(C66,'تقرير المصروفات حسب الشهر'!$C$1016:$AD$1126,13,FALSE),0)</f>
        <v>0</v>
      </c>
      <c r="M66" s="376">
        <f>IFERROR(VLOOKUP(C66,'تقرير المصروفات حسب الشهر'!$C$1143:$AD$1254,13,FALSE),0)</f>
        <v>0</v>
      </c>
      <c r="N66" s="376">
        <f>IFERROR(VLOOKUP(C66,'تقرير المصروفات حسب الشهر'!$C$1270:$AD$1381,13,FALSE),0)</f>
        <v>0</v>
      </c>
      <c r="O66" s="376">
        <f>IFERROR(VLOOKUP(C66,'تقرير المصروفات حسب الشهر'!$C$1397:$AI$1512,13,FALSE),0)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الشهر'!$C$10:$AD$119,13,FALSE),0)</f>
        <v>0</v>
      </c>
      <c r="E67" s="362">
        <f>IFERROR(VLOOKUP(C67,'تقرير المصروفات حسب الشهر'!$C$135:$AD$244,13,FALSE),0)</f>
        <v>0</v>
      </c>
      <c r="F67" s="362">
        <v>0</v>
      </c>
      <c r="G67" s="362">
        <f>IFERROR(VLOOKUP(C67,'تقرير المصروفات حسب الشهر'!$C$387:$AD$495,13,FALSE),0)</f>
        <v>0</v>
      </c>
      <c r="H67" s="362">
        <f>IFERROR(VLOOKUP(C67,'تقرير المصروفات حسب الشهر'!$C$512:$AD$620,13,FALSE),0)</f>
        <v>0</v>
      </c>
      <c r="I67" s="362">
        <f>IFERROR(VLOOKUP(C67,'تقرير المصروفات حسب الشهر'!$C$637:$AD$746,13,FALSE),0)</f>
        <v>0</v>
      </c>
      <c r="J67" s="362">
        <f>IFERROR(VLOOKUP(C67,'تقرير المصروفات حسب الشهر'!$C$763:$AD$872,13,FALSE),0)</f>
        <v>0</v>
      </c>
      <c r="K67" s="362">
        <f>IFERROR(VLOOKUP(C67,'تقرير المصروفات حسب الشهر'!$C$890:$AD$999,13,FALSE),0)</f>
        <v>0</v>
      </c>
      <c r="L67" s="362">
        <f>IFERROR(VLOOKUP(C67,'تقرير المصروفات حسب الشهر'!$C$1016:$AD$1126,13,FALSE),0)</f>
        <v>0</v>
      </c>
      <c r="M67" s="376">
        <f>IFERROR(VLOOKUP(C67,'تقرير المصروفات حسب الشهر'!$C$1143:$AD$1254,13,FALSE),0)</f>
        <v>0</v>
      </c>
      <c r="N67" s="376">
        <f>IFERROR(VLOOKUP(C67,'تقرير المصروفات حسب الشهر'!$C$1270:$AD$1381,13,FALSE),0)</f>
        <v>0</v>
      </c>
      <c r="O67" s="376">
        <f>IFERROR(VLOOKUP(C67,'تقرير المصروفات حسب الشهر'!$C$1397:$AI$1512,13,FALSE),0)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الشهر'!$C$10:$AD$119,13,FALSE),0)</f>
        <v>0</v>
      </c>
      <c r="E68" s="362">
        <f>IFERROR(VLOOKUP(C68,'تقرير المصروفات حسب الشهر'!$C$135:$AD$244,13,FALSE),0)</f>
        <v>0</v>
      </c>
      <c r="F68" s="362">
        <v>0</v>
      </c>
      <c r="G68" s="362">
        <f>IFERROR(VLOOKUP(C68,'تقرير المصروفات حسب الشهر'!$C$387:$AD$495,13,FALSE),0)</f>
        <v>0</v>
      </c>
      <c r="H68" s="362">
        <f>IFERROR(VLOOKUP(C68,'تقرير المصروفات حسب الشهر'!$C$512:$AD$620,13,FALSE),0)</f>
        <v>0</v>
      </c>
      <c r="I68" s="362">
        <f>IFERROR(VLOOKUP(C68,'تقرير المصروفات حسب الشهر'!$C$637:$AD$746,13,FALSE),0)</f>
        <v>0</v>
      </c>
      <c r="J68" s="362">
        <f>IFERROR(VLOOKUP(C68,'تقرير المصروفات حسب الشهر'!$C$763:$AD$872,13,FALSE),0)</f>
        <v>0</v>
      </c>
      <c r="K68" s="362">
        <f>IFERROR(VLOOKUP(C68,'تقرير المصروفات حسب الشهر'!$C$890:$AD$999,13,FALSE),0)</f>
        <v>0</v>
      </c>
      <c r="L68" s="362">
        <f>IFERROR(VLOOKUP(C68,'تقرير المصروفات حسب الشهر'!$C$1016:$AD$1126,13,FALSE),0)</f>
        <v>0</v>
      </c>
      <c r="M68" s="376">
        <f>IFERROR(VLOOKUP(C68,'تقرير المصروفات حسب الشهر'!$C$1143:$AD$1254,13,FALSE),0)</f>
        <v>0</v>
      </c>
      <c r="N68" s="376">
        <f>IFERROR(VLOOKUP(C68,'تقرير المصروفات حسب الشهر'!$C$1270:$AD$1381,13,FALSE),0)</f>
        <v>0</v>
      </c>
      <c r="O68" s="376">
        <f>IFERROR(VLOOKUP(C68,'تقرير المصروفات حسب الشهر'!$C$1397:$AI$1512,13,FALSE),0)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الشهر'!$C$10:$AD$119,13,FALSE),0)</f>
        <v>0</v>
      </c>
      <c r="E69" s="362">
        <f>IFERROR(VLOOKUP(C69,'تقرير المصروفات حسب الشهر'!$C$135:$AD$244,13,FALSE),0)</f>
        <v>0</v>
      </c>
      <c r="F69" s="362">
        <v>0</v>
      </c>
      <c r="G69" s="362">
        <f>IFERROR(VLOOKUP(C69,'تقرير المصروفات حسب الشهر'!$C$387:$AD$495,13,FALSE),0)</f>
        <v>0</v>
      </c>
      <c r="H69" s="362">
        <f>IFERROR(VLOOKUP(C69,'تقرير المصروفات حسب الشهر'!$C$512:$AD$620,13,FALSE),0)</f>
        <v>0</v>
      </c>
      <c r="I69" s="362">
        <f>IFERROR(VLOOKUP(C69,'تقرير المصروفات حسب الشهر'!$C$637:$AD$746,13,FALSE),0)</f>
        <v>0</v>
      </c>
      <c r="J69" s="362">
        <f>IFERROR(VLOOKUP(C69,'تقرير المصروفات حسب الشهر'!$C$763:$AD$872,13,FALSE),0)</f>
        <v>0</v>
      </c>
      <c r="K69" s="362">
        <f>IFERROR(VLOOKUP(C69,'تقرير المصروفات حسب الشهر'!$C$890:$AD$999,13,FALSE),0)</f>
        <v>0</v>
      </c>
      <c r="L69" s="362">
        <f>IFERROR(VLOOKUP(C69,'تقرير المصروفات حسب الشهر'!$C$1016:$AD$1126,13,FALSE),0)</f>
        <v>0</v>
      </c>
      <c r="M69" s="376">
        <f>IFERROR(VLOOKUP(C69,'تقرير المصروفات حسب الشهر'!$C$1143:$AD$1254,13,FALSE),0)</f>
        <v>0</v>
      </c>
      <c r="N69" s="376">
        <f>IFERROR(VLOOKUP(C69,'تقرير المصروفات حسب الشهر'!$C$1270:$AD$1381,13,FALSE),0)</f>
        <v>0</v>
      </c>
      <c r="O69" s="376">
        <f>IFERROR(VLOOKUP(C69,'تقرير المصروفات حسب الشهر'!$C$1397:$AI$1512,13,FALSE),0)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الشهر'!$C$10:$AD$119,13,FALSE),0)</f>
        <v>0</v>
      </c>
      <c r="E70" s="362">
        <f>IFERROR(VLOOKUP(C70,'تقرير المصروفات حسب الشهر'!$C$135:$AD$244,13,FALSE),0)</f>
        <v>0</v>
      </c>
      <c r="F70" s="362">
        <v>0</v>
      </c>
      <c r="G70" s="362">
        <f>IFERROR(VLOOKUP(C70,'تقرير المصروفات حسب الشهر'!$C$387:$AD$495,13,FALSE),0)</f>
        <v>0</v>
      </c>
      <c r="H70" s="362">
        <f>IFERROR(VLOOKUP(C70,'تقرير المصروفات حسب الشهر'!$C$512:$AD$620,13,FALSE),0)</f>
        <v>0</v>
      </c>
      <c r="I70" s="362">
        <f>IFERROR(VLOOKUP(C70,'تقرير المصروفات حسب الشهر'!$C$637:$AD$746,13,FALSE),0)</f>
        <v>0</v>
      </c>
      <c r="J70" s="362">
        <f>IFERROR(VLOOKUP(C70,'تقرير المصروفات حسب الشهر'!$C$763:$AD$872,13,FALSE),0)</f>
        <v>0</v>
      </c>
      <c r="K70" s="362">
        <f>IFERROR(VLOOKUP(C70,'تقرير المصروفات حسب الشهر'!$C$890:$AD$999,13,FALSE),0)</f>
        <v>0</v>
      </c>
      <c r="L70" s="362">
        <f>IFERROR(VLOOKUP(C70,'تقرير المصروفات حسب الشهر'!$C$1016:$AD$1126,13,FALSE),0)</f>
        <v>0</v>
      </c>
      <c r="M70" s="376">
        <f>IFERROR(VLOOKUP(C70,'تقرير المصروفات حسب الشهر'!$C$1143:$AD$1254,13,FALSE),0)</f>
        <v>0</v>
      </c>
      <c r="N70" s="376">
        <f>IFERROR(VLOOKUP(C70,'تقرير المصروفات حسب الشهر'!$C$1270:$AD$1381,13,FALSE),0)</f>
        <v>0</v>
      </c>
      <c r="O70" s="376">
        <f>IFERROR(VLOOKUP(C70,'تقرير المصروفات حسب الشهر'!$C$1397:$AI$1512,13,FALSE),0)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الشهر'!$C$10:$AD$119,13,FALSE),0)</f>
        <v>0</v>
      </c>
      <c r="E71" s="362">
        <f>IFERROR(VLOOKUP(C71,'تقرير المصروفات حسب الشهر'!$C$135:$AD$244,13,FALSE),0)</f>
        <v>0</v>
      </c>
      <c r="F71" s="362">
        <v>0</v>
      </c>
      <c r="G71" s="362">
        <f>IFERROR(VLOOKUP(C71,'تقرير المصروفات حسب الشهر'!$C$387:$AD$495,13,FALSE),0)</f>
        <v>0</v>
      </c>
      <c r="H71" s="362">
        <f>IFERROR(VLOOKUP(C71,'تقرير المصروفات حسب الشهر'!$C$512:$AD$620,13,FALSE),0)</f>
        <v>0</v>
      </c>
      <c r="I71" s="362">
        <f>IFERROR(VLOOKUP(C71,'تقرير المصروفات حسب الشهر'!$C$637:$AD$746,13,FALSE),0)</f>
        <v>0</v>
      </c>
      <c r="J71" s="362">
        <f>IFERROR(VLOOKUP(C71,'تقرير المصروفات حسب الشهر'!$C$763:$AD$872,13,FALSE),0)</f>
        <v>0</v>
      </c>
      <c r="K71" s="362">
        <f>IFERROR(VLOOKUP(C71,'تقرير المصروفات حسب الشهر'!$C$890:$AD$999,13,FALSE),0)</f>
        <v>0</v>
      </c>
      <c r="L71" s="362">
        <f>IFERROR(VLOOKUP(C71,'تقرير المصروفات حسب الشهر'!$C$1016:$AD$1126,13,FALSE),0)</f>
        <v>0</v>
      </c>
      <c r="M71" s="376">
        <f>IFERROR(VLOOKUP(C71,'تقرير المصروفات حسب الشهر'!$C$1143:$AD$1254,13,FALSE),0)</f>
        <v>0</v>
      </c>
      <c r="N71" s="376">
        <f>IFERROR(VLOOKUP(C71,'تقرير المصروفات حسب الشهر'!$C$1270:$AD$1381,13,FALSE),0)</f>
        <v>0</v>
      </c>
      <c r="O71" s="376">
        <f>IFERROR(VLOOKUP(C71,'تقرير المصروفات حسب الشهر'!$C$1397:$AI$1512,13,FALSE),0)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الشهر'!$C$10:$AD$119,13,FALSE),0)</f>
        <v>0</v>
      </c>
      <c r="E72" s="362">
        <f>IFERROR(VLOOKUP(C72,'تقرير المصروفات حسب الشهر'!$C$135:$AD$244,13,FALSE),0)</f>
        <v>0</v>
      </c>
      <c r="F72" s="362">
        <v>0</v>
      </c>
      <c r="G72" s="362">
        <f>IFERROR(VLOOKUP(C72,'تقرير المصروفات حسب الشهر'!$C$387:$AD$495,13,FALSE),0)</f>
        <v>0</v>
      </c>
      <c r="H72" s="362">
        <f>IFERROR(VLOOKUP(C72,'تقرير المصروفات حسب الشهر'!$C$512:$AD$620,13,FALSE),0)</f>
        <v>0</v>
      </c>
      <c r="I72" s="362">
        <f>IFERROR(VLOOKUP(C72,'تقرير المصروفات حسب الشهر'!$C$637:$AD$746,13,FALSE),0)</f>
        <v>0</v>
      </c>
      <c r="J72" s="362">
        <f>IFERROR(VLOOKUP(C72,'تقرير المصروفات حسب الشهر'!$C$763:$AD$872,13,FALSE),0)</f>
        <v>0</v>
      </c>
      <c r="K72" s="362">
        <f>IFERROR(VLOOKUP(C72,'تقرير المصروفات حسب الشهر'!$C$890:$AD$999,13,FALSE),0)</f>
        <v>0</v>
      </c>
      <c r="L72" s="362">
        <f>IFERROR(VLOOKUP(C72,'تقرير المصروفات حسب الشهر'!$C$1016:$AD$1126,13,FALSE),0)</f>
        <v>0</v>
      </c>
      <c r="M72" s="376">
        <f>IFERROR(VLOOKUP(C72,'تقرير المصروفات حسب الشهر'!$C$1143:$AD$1254,13,FALSE),0)</f>
        <v>0</v>
      </c>
      <c r="N72" s="376">
        <f>IFERROR(VLOOKUP(C72,'تقرير المصروفات حسب الشهر'!$C$1270:$AD$1381,13,FALSE),0)</f>
        <v>0</v>
      </c>
      <c r="O72" s="376">
        <f>IFERROR(VLOOKUP(C72,'تقرير المصروفات حسب الشهر'!$C$1397:$AI$1512,13,FALSE),0)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الشهر'!$C$10:$AD$119,13,FALSE),0)</f>
        <v>0</v>
      </c>
      <c r="E73" s="362">
        <f>IFERROR(VLOOKUP(C73,'تقرير المصروفات حسب الشهر'!$C$135:$AD$244,13,FALSE),0)</f>
        <v>0</v>
      </c>
      <c r="F73" s="362">
        <v>0</v>
      </c>
      <c r="G73" s="362">
        <f>IFERROR(VLOOKUP(C73,'تقرير المصروفات حسب الشهر'!$C$387:$AD$495,13,FALSE),0)</f>
        <v>0</v>
      </c>
      <c r="H73" s="362">
        <f>IFERROR(VLOOKUP(C73,'تقرير المصروفات حسب الشهر'!$C$512:$AD$620,13,FALSE),0)</f>
        <v>0</v>
      </c>
      <c r="I73" s="362">
        <f>IFERROR(VLOOKUP(C73,'تقرير المصروفات حسب الشهر'!$C$637:$AD$746,13,FALSE),0)</f>
        <v>0</v>
      </c>
      <c r="J73" s="362">
        <f>IFERROR(VLOOKUP(C73,'تقرير المصروفات حسب الشهر'!$C$763:$AD$872,13,FALSE),0)</f>
        <v>0</v>
      </c>
      <c r="K73" s="362">
        <f>IFERROR(VLOOKUP(C73,'تقرير المصروفات حسب الشهر'!$C$890:$AD$999,13,FALSE),0)</f>
        <v>0</v>
      </c>
      <c r="L73" s="362">
        <f>IFERROR(VLOOKUP(C73,'تقرير المصروفات حسب الشهر'!$C$1016:$AD$1126,13,FALSE),0)</f>
        <v>0</v>
      </c>
      <c r="M73" s="376">
        <f>IFERROR(VLOOKUP(C73,'تقرير المصروفات حسب الشهر'!$C$1143:$AD$1254,13,FALSE),0)</f>
        <v>0</v>
      </c>
      <c r="N73" s="376">
        <f>IFERROR(VLOOKUP(C73,'تقرير المصروفات حسب الشهر'!$C$1270:$AD$1381,13,FALSE),0)</f>
        <v>0</v>
      </c>
      <c r="O73" s="376">
        <f>IFERROR(VLOOKUP(C73,'تقرير المصروفات حسب الشهر'!$C$1397:$AI$1512,13,FALSE),0)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الشهر'!$C$10:$AD$119,13,FALSE),0)</f>
        <v>0</v>
      </c>
      <c r="E74" s="362">
        <f>IFERROR(VLOOKUP(C74,'تقرير المصروفات حسب الشهر'!$C$135:$AD$244,13,FALSE),0)</f>
        <v>0</v>
      </c>
      <c r="F74" s="362">
        <v>0</v>
      </c>
      <c r="G74" s="362">
        <f>IFERROR(VLOOKUP(C74,'تقرير المصروفات حسب الشهر'!$C$387:$AD$495,13,FALSE),0)</f>
        <v>0</v>
      </c>
      <c r="H74" s="362">
        <f>IFERROR(VLOOKUP(C74,'تقرير المصروفات حسب الشهر'!$C$512:$AD$620,13,FALSE),0)</f>
        <v>0</v>
      </c>
      <c r="I74" s="362">
        <f>IFERROR(VLOOKUP(C74,'تقرير المصروفات حسب الشهر'!$C$637:$AD$746,13,FALSE),0)</f>
        <v>0</v>
      </c>
      <c r="J74" s="362">
        <f>IFERROR(VLOOKUP(C74,'تقرير المصروفات حسب الشهر'!$C$763:$AD$872,13,FALSE),0)</f>
        <v>0</v>
      </c>
      <c r="K74" s="362">
        <f>IFERROR(VLOOKUP(C74,'تقرير المصروفات حسب الشهر'!$C$890:$AD$999,13,FALSE),0)</f>
        <v>0</v>
      </c>
      <c r="L74" s="362">
        <f>IFERROR(VLOOKUP(C74,'تقرير المصروفات حسب الشهر'!$C$1016:$AD$1126,13,FALSE),0)</f>
        <v>0</v>
      </c>
      <c r="M74" s="376">
        <f>IFERROR(VLOOKUP(C74,'تقرير المصروفات حسب الشهر'!$C$1143:$AD$1254,13,FALSE),0)</f>
        <v>0</v>
      </c>
      <c r="N74" s="376">
        <f>IFERROR(VLOOKUP(C74,'تقرير المصروفات حسب الشهر'!$C$1270:$AD$1381,13,FALSE),0)</f>
        <v>0</v>
      </c>
      <c r="O74" s="376">
        <f>IFERROR(VLOOKUP(C74,'تقرير المصروفات حسب الشهر'!$C$1397:$AI$1512,13,FALSE),0)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الشهر'!$C$10:$AD$119,13,FALSE),0)</f>
        <v>0</v>
      </c>
      <c r="E75" s="362">
        <f>IFERROR(VLOOKUP(C75,'تقرير المصروفات حسب الشهر'!$C$135:$AD$244,13,FALSE),0)</f>
        <v>0</v>
      </c>
      <c r="F75" s="362">
        <v>0</v>
      </c>
      <c r="G75" s="362">
        <f>IFERROR(VLOOKUP(C75,'تقرير المصروفات حسب الشهر'!$C$387:$AD$495,13,FALSE),0)</f>
        <v>0</v>
      </c>
      <c r="H75" s="362">
        <f>IFERROR(VLOOKUP(C75,'تقرير المصروفات حسب الشهر'!$C$512:$AD$620,13,FALSE),0)</f>
        <v>0</v>
      </c>
      <c r="I75" s="362">
        <f>IFERROR(VLOOKUP(C75,'تقرير المصروفات حسب الشهر'!$C$637:$AD$746,13,FALSE),0)</f>
        <v>0</v>
      </c>
      <c r="J75" s="362">
        <f>IFERROR(VLOOKUP(C75,'تقرير المصروفات حسب الشهر'!$C$763:$AD$872,13,FALSE),0)</f>
        <v>0</v>
      </c>
      <c r="K75" s="362">
        <f>IFERROR(VLOOKUP(C75,'تقرير المصروفات حسب الشهر'!$C$890:$AD$999,13,FALSE),0)</f>
        <v>0</v>
      </c>
      <c r="L75" s="362">
        <f>IFERROR(VLOOKUP(C75,'تقرير المصروفات حسب الشهر'!$C$1016:$AD$1126,13,FALSE),0)</f>
        <v>0</v>
      </c>
      <c r="M75" s="376">
        <f>IFERROR(VLOOKUP(C75,'تقرير المصروفات حسب الشهر'!$C$1143:$AD$1254,13,FALSE),0)</f>
        <v>0</v>
      </c>
      <c r="N75" s="376">
        <f>IFERROR(VLOOKUP(C75,'تقرير المصروفات حسب الشهر'!$C$1270:$AD$1381,13,FALSE),0)</f>
        <v>0</v>
      </c>
      <c r="O75" s="376">
        <f>IFERROR(VLOOKUP(C75,'تقرير المصروفات حسب الشهر'!$C$1397:$AI$1512,13,FALSE),0)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الشهر'!$C$10:$AD$119,13,FALSE),0)</f>
        <v>0</v>
      </c>
      <c r="E76" s="362">
        <f>IFERROR(VLOOKUP(C76,'تقرير المصروفات حسب الشهر'!$C$135:$AD$244,13,FALSE),0)</f>
        <v>0</v>
      </c>
      <c r="F76" s="362">
        <v>0</v>
      </c>
      <c r="G76" s="362">
        <f>IFERROR(VLOOKUP(C76,'تقرير المصروفات حسب الشهر'!$C$387:$AD$495,13,FALSE),0)</f>
        <v>0</v>
      </c>
      <c r="H76" s="362">
        <f>IFERROR(VLOOKUP(C76,'تقرير المصروفات حسب الشهر'!$C$512:$AD$620,13,FALSE),0)</f>
        <v>0</v>
      </c>
      <c r="I76" s="362">
        <f>IFERROR(VLOOKUP(C76,'تقرير المصروفات حسب الشهر'!$C$637:$AD$746,13,FALSE),0)</f>
        <v>0</v>
      </c>
      <c r="J76" s="362">
        <f>IFERROR(VLOOKUP(C76,'تقرير المصروفات حسب الشهر'!$C$763:$AD$872,13,FALSE),0)</f>
        <v>0</v>
      </c>
      <c r="K76" s="362">
        <f>IFERROR(VLOOKUP(C76,'تقرير المصروفات حسب الشهر'!$C$890:$AD$999,13,FALSE),0)</f>
        <v>0</v>
      </c>
      <c r="L76" s="362">
        <f>IFERROR(VLOOKUP(C76,'تقرير المصروفات حسب الشهر'!$C$1016:$AD$1126,13,FALSE),0)</f>
        <v>0</v>
      </c>
      <c r="M76" s="376">
        <f>IFERROR(VLOOKUP(C76,'تقرير المصروفات حسب الشهر'!$C$1143:$AD$1254,13,FALSE),0)</f>
        <v>0</v>
      </c>
      <c r="N76" s="376">
        <f>IFERROR(VLOOKUP(C76,'تقرير المصروفات حسب الشهر'!$C$1270:$AD$1381,13,FALSE),0)</f>
        <v>0</v>
      </c>
      <c r="O76" s="376">
        <f>IFERROR(VLOOKUP(C76,'تقرير المصروفات حسب الشهر'!$C$1397:$AI$1512,13,FALSE),0)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الشهر'!$C$10:$AD$119,13,FALSE),0)</f>
        <v>0</v>
      </c>
      <c r="E77" s="362">
        <f>IFERROR(VLOOKUP(C77,'تقرير المصروفات حسب الشهر'!$C$135:$AD$244,13,FALSE),0)</f>
        <v>0</v>
      </c>
      <c r="F77" s="362">
        <v>0</v>
      </c>
      <c r="G77" s="362">
        <f>IFERROR(VLOOKUP(C77,'تقرير المصروفات حسب الشهر'!$C$387:$AD$495,13,FALSE),0)</f>
        <v>0</v>
      </c>
      <c r="H77" s="362">
        <f>IFERROR(VLOOKUP(C77,'تقرير المصروفات حسب الشهر'!$C$512:$AD$620,13,FALSE),0)</f>
        <v>0</v>
      </c>
      <c r="I77" s="362">
        <f>IFERROR(VLOOKUP(C77,'تقرير المصروفات حسب الشهر'!$C$637:$AD$746,13,FALSE),0)</f>
        <v>0</v>
      </c>
      <c r="J77" s="362">
        <f>IFERROR(VLOOKUP(C77,'تقرير المصروفات حسب الشهر'!$C$763:$AD$872,13,FALSE),0)</f>
        <v>0</v>
      </c>
      <c r="K77" s="362">
        <f>IFERROR(VLOOKUP(C77,'تقرير المصروفات حسب الشهر'!$C$890:$AD$999,13,FALSE),0)</f>
        <v>0</v>
      </c>
      <c r="L77" s="362">
        <f>IFERROR(VLOOKUP(C77,'تقرير المصروفات حسب الشهر'!$C$1016:$AD$1126,13,FALSE),0)</f>
        <v>0</v>
      </c>
      <c r="M77" s="376">
        <f>IFERROR(VLOOKUP(C77,'تقرير المصروفات حسب الشهر'!$C$1143:$AD$1254,13,FALSE),0)</f>
        <v>0</v>
      </c>
      <c r="N77" s="376">
        <f>IFERROR(VLOOKUP(C77,'تقرير المصروفات حسب الشهر'!$C$1270:$AD$1381,13,FALSE),0)</f>
        <v>0</v>
      </c>
      <c r="O77" s="376">
        <f>IFERROR(VLOOKUP(C77,'تقرير المصروفات حسب الشهر'!$C$1397:$AI$1512,13,FALSE),0)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الشهر'!$C$10:$AD$119,13,FALSE),0)</f>
        <v>0</v>
      </c>
      <c r="E78" s="362">
        <f>IFERROR(VLOOKUP(C78,'تقرير المصروفات حسب الشهر'!$C$135:$AD$244,13,FALSE),0)</f>
        <v>0</v>
      </c>
      <c r="F78" s="362">
        <v>0</v>
      </c>
      <c r="G78" s="362">
        <f>IFERROR(VLOOKUP(C78,'تقرير المصروفات حسب الشهر'!$C$387:$AD$495,13,FALSE),0)</f>
        <v>0</v>
      </c>
      <c r="H78" s="362">
        <f>IFERROR(VLOOKUP(C78,'تقرير المصروفات حسب الشهر'!$C$512:$AD$620,13,FALSE),0)</f>
        <v>0</v>
      </c>
      <c r="I78" s="362">
        <f>IFERROR(VLOOKUP(C78,'تقرير المصروفات حسب الشهر'!$C$637:$AD$746,13,FALSE),0)</f>
        <v>0</v>
      </c>
      <c r="J78" s="362">
        <f>IFERROR(VLOOKUP(C78,'تقرير المصروفات حسب الشهر'!$C$763:$AD$872,13,FALSE),0)</f>
        <v>0</v>
      </c>
      <c r="K78" s="362">
        <f>IFERROR(VLOOKUP(C78,'تقرير المصروفات حسب الشهر'!$C$890:$AD$999,13,FALSE),0)</f>
        <v>0</v>
      </c>
      <c r="L78" s="362">
        <f>IFERROR(VLOOKUP(C78,'تقرير المصروفات حسب الشهر'!$C$1016:$AD$1126,13,FALSE),0)</f>
        <v>0</v>
      </c>
      <c r="M78" s="376">
        <f>IFERROR(VLOOKUP(C78,'تقرير المصروفات حسب الشهر'!$C$1143:$AD$1254,13,FALSE),0)</f>
        <v>0</v>
      </c>
      <c r="N78" s="376">
        <f>IFERROR(VLOOKUP(C78,'تقرير المصروفات حسب الشهر'!$C$1270:$AD$1381,13,FALSE),0)</f>
        <v>0</v>
      </c>
      <c r="O78" s="376">
        <f>IFERROR(VLOOKUP(C78,'تقرير المصروفات حسب الشهر'!$C$1397:$AI$1512,13,FALSE),0)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الشهر'!$C$10:$AD$119,13,FALSE),0)</f>
        <v>0</v>
      </c>
      <c r="E79" s="362">
        <f>IFERROR(VLOOKUP(C79,'تقرير المصروفات حسب الشهر'!$C$135:$AD$244,13,FALSE),0)</f>
        <v>0</v>
      </c>
      <c r="F79" s="362">
        <v>0</v>
      </c>
      <c r="G79" s="362">
        <f>IFERROR(VLOOKUP(C79,'تقرير المصروفات حسب الشهر'!$C$387:$AD$495,13,FALSE),0)</f>
        <v>0</v>
      </c>
      <c r="H79" s="362">
        <f>IFERROR(VLOOKUP(C79,'تقرير المصروفات حسب الشهر'!$C$512:$AD$620,13,FALSE),0)</f>
        <v>0</v>
      </c>
      <c r="I79" s="362">
        <f>IFERROR(VLOOKUP(C79,'تقرير المصروفات حسب الشهر'!$C$637:$AD$746,13,FALSE),0)</f>
        <v>0</v>
      </c>
      <c r="J79" s="362">
        <f>IFERROR(VLOOKUP(C79,'تقرير المصروفات حسب الشهر'!$C$763:$AD$872,13,FALSE),0)</f>
        <v>0</v>
      </c>
      <c r="K79" s="362">
        <f>IFERROR(VLOOKUP(C79,'تقرير المصروفات حسب الشهر'!$C$890:$AD$999,13,FALSE),0)</f>
        <v>0</v>
      </c>
      <c r="L79" s="362">
        <f>IFERROR(VLOOKUP(C79,'تقرير المصروفات حسب الشهر'!$C$1016:$AD$1126,13,FALSE),0)</f>
        <v>0</v>
      </c>
      <c r="M79" s="376">
        <f>IFERROR(VLOOKUP(C79,'تقرير المصروفات حسب الشهر'!$C$1143:$AD$1254,13,FALSE),0)</f>
        <v>0</v>
      </c>
      <c r="N79" s="376">
        <f>IFERROR(VLOOKUP(C79,'تقرير المصروفات حسب الشهر'!$C$1270:$AD$1381,13,FALSE),0)</f>
        <v>0</v>
      </c>
      <c r="O79" s="376">
        <f>IFERROR(VLOOKUP(C79,'تقرير المصروفات حسب الشهر'!$C$1397:$AI$1512,13,FALSE),0)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الشهر'!$C$10:$AD$119,13,FALSE),0)</f>
        <v>0</v>
      </c>
      <c r="E80" s="362">
        <f>IFERROR(VLOOKUP(C80,'تقرير المصروفات حسب الشهر'!$C$135:$AD$244,13,FALSE),0)</f>
        <v>0</v>
      </c>
      <c r="F80" s="362">
        <v>0</v>
      </c>
      <c r="G80" s="362">
        <f>IFERROR(VLOOKUP(C80,'تقرير المصروفات حسب الشهر'!$C$387:$AD$495,13,FALSE),0)</f>
        <v>0</v>
      </c>
      <c r="H80" s="362">
        <f>IFERROR(VLOOKUP(C80,'تقرير المصروفات حسب الشهر'!$C$512:$AD$620,13,FALSE),0)</f>
        <v>0</v>
      </c>
      <c r="I80" s="362">
        <f>IFERROR(VLOOKUP(C80,'تقرير المصروفات حسب الشهر'!$C$637:$AD$746,13,FALSE),0)</f>
        <v>0</v>
      </c>
      <c r="J80" s="362">
        <f>IFERROR(VLOOKUP(C80,'تقرير المصروفات حسب الشهر'!$C$763:$AD$872,13,FALSE),0)</f>
        <v>0</v>
      </c>
      <c r="K80" s="362">
        <f>IFERROR(VLOOKUP(C80,'تقرير المصروفات حسب الشهر'!$C$890:$AD$999,13,FALSE),0)</f>
        <v>0</v>
      </c>
      <c r="L80" s="362">
        <f>IFERROR(VLOOKUP(C80,'تقرير المصروفات حسب الشهر'!$C$1016:$AD$1126,13,FALSE),0)</f>
        <v>0</v>
      </c>
      <c r="M80" s="376">
        <f>IFERROR(VLOOKUP(C80,'تقرير المصروفات حسب الشهر'!$C$1143:$AD$1254,13,FALSE),0)</f>
        <v>0</v>
      </c>
      <c r="N80" s="376">
        <f>IFERROR(VLOOKUP(C80,'تقرير المصروفات حسب الشهر'!$C$1270:$AD$1381,13,FALSE),0)</f>
        <v>0</v>
      </c>
      <c r="O80" s="376">
        <f>IFERROR(VLOOKUP(C80,'تقرير المصروفات حسب الشهر'!$C$1397:$AI$1512,13,FALSE),0)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الشهر'!$C$10:$AD$119,13,FALSE),0)</f>
        <v>316</v>
      </c>
      <c r="E81" s="362">
        <f>IFERROR(VLOOKUP(C81,'تقرير المصروفات حسب الشهر'!$C$135:$AD$244,13,FALSE),0)</f>
        <v>100</v>
      </c>
      <c r="F81" s="362">
        <v>100</v>
      </c>
      <c r="G81" s="362">
        <f>IFERROR(VLOOKUP(C81,'تقرير المصروفات حسب الشهر'!$C$387:$AD$495,13,FALSE),0)</f>
        <v>100</v>
      </c>
      <c r="H81" s="362">
        <f>IFERROR(VLOOKUP(C81,'تقرير المصروفات حسب الشهر'!$C$512:$AD$620,13,FALSE),0)</f>
        <v>100</v>
      </c>
      <c r="I81" s="362">
        <f>IFERROR(VLOOKUP(C81,'تقرير المصروفات حسب الشهر'!$C$637:$AD$746,13,FALSE),0)</f>
        <v>10274</v>
      </c>
      <c r="J81" s="362">
        <f>IFERROR(VLOOKUP(C81,'تقرير المصروفات حسب الشهر'!$C$763:$AD$872,13,FALSE),0)</f>
        <v>0</v>
      </c>
      <c r="K81" s="362">
        <f>IFERROR(VLOOKUP(C81,'تقرير المصروفات حسب الشهر'!$C$890:$AD$999,13,FALSE),0)</f>
        <v>300</v>
      </c>
      <c r="L81" s="362">
        <f>IFERROR(VLOOKUP(C81,'تقرير المصروفات حسب الشهر'!$C$1016:$AD$1126,13,FALSE),0)</f>
        <v>200</v>
      </c>
      <c r="M81" s="376">
        <f>IFERROR(VLOOKUP(C81,'تقرير المصروفات حسب الشهر'!$C$1143:$AD$1254,13,FALSE),0)</f>
        <v>200</v>
      </c>
      <c r="N81" s="376">
        <f>IFERROR(VLOOKUP(C81,'تقرير المصروفات حسب الشهر'!$C$1270:$AD$1381,13,FALSE),0)</f>
        <v>6983</v>
      </c>
      <c r="O81" s="376">
        <f>IFERROR(VLOOKUP(C81,'تقرير المصروفات حسب الشهر'!$C$1397:$AI$1512,13,FALSE),0)</f>
        <v>200</v>
      </c>
      <c r="P81" s="364">
        <f t="shared" si="5"/>
        <v>18873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الشهر'!$C$10:$AD$119,13,FALSE),0)</f>
        <v>0</v>
      </c>
      <c r="E82" s="362">
        <f>IFERROR(VLOOKUP(C82,'تقرير المصروفات حسب الشهر'!$C$135:$AD$244,13,FALSE),0)</f>
        <v>0</v>
      </c>
      <c r="F82" s="362">
        <v>0</v>
      </c>
      <c r="G82" s="362">
        <f>IFERROR(VLOOKUP(C82,'تقرير المصروفات حسب الشهر'!$C$387:$AD$495,13,FALSE),0)</f>
        <v>0</v>
      </c>
      <c r="H82" s="362">
        <f>IFERROR(VLOOKUP(C82,'تقرير المصروفات حسب الشهر'!$C$512:$AD$620,13,FALSE),0)</f>
        <v>0</v>
      </c>
      <c r="I82" s="362">
        <f>IFERROR(VLOOKUP(C82,'تقرير المصروفات حسب الشهر'!$C$637:$AD$746,13,FALSE),0)</f>
        <v>0</v>
      </c>
      <c r="J82" s="362">
        <f>IFERROR(VLOOKUP(C82,'تقرير المصروفات حسب الشهر'!$C$763:$AD$872,13,FALSE),0)</f>
        <v>0</v>
      </c>
      <c r="K82" s="362">
        <f>IFERROR(VLOOKUP(C82,'تقرير المصروفات حسب الشهر'!$C$890:$AD$999,13,FALSE),0)</f>
        <v>0</v>
      </c>
      <c r="L82" s="362">
        <f>IFERROR(VLOOKUP(C82,'تقرير المصروفات حسب الشهر'!$C$1016:$AD$1126,13,FALSE),0)</f>
        <v>0</v>
      </c>
      <c r="M82" s="376">
        <f>IFERROR(VLOOKUP(C82,'تقرير المصروفات حسب الشهر'!$C$1143:$AD$1254,13,FALSE),0)</f>
        <v>0</v>
      </c>
      <c r="N82" s="376">
        <f>IFERROR(VLOOKUP(C82,'تقرير المصروفات حسب الشهر'!$C$1270:$AD$1381,13,FALSE),0)</f>
        <v>0</v>
      </c>
      <c r="O82" s="376">
        <f>IFERROR(VLOOKUP(C82,'تقرير المصروفات حسب الشهر'!$C$1397:$AI$1512,13,FALSE),0)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الشهر'!$C$10:$AD$119,13,FALSE),0)</f>
        <v>0</v>
      </c>
      <c r="E83" s="362">
        <f>IFERROR(VLOOKUP(C83,'تقرير المصروفات حسب الشهر'!$C$135:$AD$244,13,FALSE),0)</f>
        <v>0</v>
      </c>
      <c r="F83" s="362">
        <v>0</v>
      </c>
      <c r="G83" s="362">
        <f>IFERROR(VLOOKUP(C83,'تقرير المصروفات حسب الشهر'!$C$387:$AD$495,13,FALSE),0)</f>
        <v>0</v>
      </c>
      <c r="H83" s="362">
        <f>IFERROR(VLOOKUP(C83,'تقرير المصروفات حسب الشهر'!$C$512:$AD$620,13,FALSE),0)</f>
        <v>0</v>
      </c>
      <c r="I83" s="362">
        <f>IFERROR(VLOOKUP(C83,'تقرير المصروفات حسب الشهر'!$C$637:$AD$746,13,FALSE),0)</f>
        <v>0</v>
      </c>
      <c r="J83" s="362">
        <f>IFERROR(VLOOKUP(C83,'تقرير المصروفات حسب الشهر'!$C$763:$AD$872,13,FALSE),0)</f>
        <v>0</v>
      </c>
      <c r="K83" s="362">
        <f>IFERROR(VLOOKUP(C83,'تقرير المصروفات حسب الشهر'!$C$890:$AD$999,13,FALSE),0)</f>
        <v>0</v>
      </c>
      <c r="L83" s="362">
        <f>IFERROR(VLOOKUP(C83,'تقرير المصروفات حسب الشهر'!$C$1016:$AD$1126,13,FALSE),0)</f>
        <v>0</v>
      </c>
      <c r="M83" s="376">
        <f>IFERROR(VLOOKUP(C83,'تقرير المصروفات حسب الشهر'!$C$1143:$AD$1254,13,FALSE),0)</f>
        <v>0</v>
      </c>
      <c r="N83" s="376">
        <f>IFERROR(VLOOKUP(C83,'تقرير المصروفات حسب الشهر'!$C$1270:$AD$1381,13,FALSE),0)</f>
        <v>0</v>
      </c>
      <c r="O83" s="376">
        <f>IFERROR(VLOOKUP(C83,'تقرير المصروفات حسب الشهر'!$C$1397:$AI$1512,13,FALSE),0)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الشهر'!$C$10:$AD$119,13,FALSE),0)</f>
        <v>0</v>
      </c>
      <c r="E84" s="362">
        <f>IFERROR(VLOOKUP(C84,'تقرير المصروفات حسب الشهر'!$C$135:$AD$244,13,FALSE),0)</f>
        <v>0</v>
      </c>
      <c r="F84" s="362">
        <v>0</v>
      </c>
      <c r="G84" s="362">
        <f>IFERROR(VLOOKUP(C84,'تقرير المصروفات حسب الشهر'!$C$387:$AD$495,13,FALSE),0)</f>
        <v>0</v>
      </c>
      <c r="H84" s="362">
        <f>IFERROR(VLOOKUP(C84,'تقرير المصروفات حسب الشهر'!$C$512:$AD$620,13,FALSE),0)</f>
        <v>0</v>
      </c>
      <c r="I84" s="362">
        <f>IFERROR(VLOOKUP(C84,'تقرير المصروفات حسب الشهر'!$C$637:$AD$746,13,FALSE),0)</f>
        <v>0</v>
      </c>
      <c r="J84" s="362">
        <f>IFERROR(VLOOKUP(C84,'تقرير المصروفات حسب الشهر'!$C$763:$AD$872,13,FALSE),0)</f>
        <v>0</v>
      </c>
      <c r="K84" s="362">
        <f>IFERROR(VLOOKUP(C84,'تقرير المصروفات حسب الشهر'!$C$890:$AD$999,13,FALSE),0)</f>
        <v>0</v>
      </c>
      <c r="L84" s="362">
        <f>IFERROR(VLOOKUP(C84,'تقرير المصروفات حسب الشهر'!$C$1016:$AD$1126,13,FALSE),0)</f>
        <v>0</v>
      </c>
      <c r="M84" s="376">
        <f>IFERROR(VLOOKUP(C84,'تقرير المصروفات حسب الشهر'!$C$1143:$AD$1254,13,FALSE),0)</f>
        <v>0</v>
      </c>
      <c r="N84" s="376">
        <f>IFERROR(VLOOKUP(C84,'تقرير المصروفات حسب الشهر'!$C$1270:$AD$1381,13,FALSE),0)</f>
        <v>0</v>
      </c>
      <c r="O84" s="376">
        <f>IFERROR(VLOOKUP(C84,'تقرير المصروفات حسب الشهر'!$C$1397:$AI$1512,13,FALSE),0)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الشهر'!$C$10:$AD$119,13,FALSE),0)</f>
        <v>0</v>
      </c>
      <c r="E85" s="362">
        <f>IFERROR(VLOOKUP(C85,'تقرير المصروفات حسب الشهر'!$C$135:$AD$244,13,FALSE),0)</f>
        <v>0</v>
      </c>
      <c r="F85" s="362">
        <v>0</v>
      </c>
      <c r="G85" s="362">
        <f>IFERROR(VLOOKUP(C85,'تقرير المصروفات حسب الشهر'!$C$387:$AD$495,13,FALSE),0)</f>
        <v>0</v>
      </c>
      <c r="H85" s="362">
        <f>IFERROR(VLOOKUP(C85,'تقرير المصروفات حسب الشهر'!$C$512:$AD$620,13,FALSE),0)</f>
        <v>0</v>
      </c>
      <c r="I85" s="362">
        <f>IFERROR(VLOOKUP(C85,'تقرير المصروفات حسب الشهر'!$C$637:$AD$746,13,FALSE),0)</f>
        <v>0</v>
      </c>
      <c r="J85" s="362">
        <f>IFERROR(VLOOKUP(C85,'تقرير المصروفات حسب الشهر'!$C$763:$AD$872,13,FALSE),0)</f>
        <v>0</v>
      </c>
      <c r="K85" s="362">
        <f>IFERROR(VLOOKUP(C85,'تقرير المصروفات حسب الشهر'!$C$890:$AD$999,13,FALSE),0)</f>
        <v>0</v>
      </c>
      <c r="L85" s="362">
        <f>IFERROR(VLOOKUP(C85,'تقرير المصروفات حسب الشهر'!$C$1016:$AD$1126,13,FALSE),0)</f>
        <v>0</v>
      </c>
      <c r="M85" s="376">
        <f>IFERROR(VLOOKUP(C85,'تقرير المصروفات حسب الشهر'!$C$1143:$AD$1254,13,FALSE),0)</f>
        <v>0</v>
      </c>
      <c r="N85" s="376">
        <f>IFERROR(VLOOKUP(C85,'تقرير المصروفات حسب الشهر'!$C$1270:$AD$1381,13,FALSE),0)</f>
        <v>0</v>
      </c>
      <c r="O85" s="376">
        <f>IFERROR(VLOOKUP(C85,'تقرير المصروفات حسب الشهر'!$C$1397:$AI$1512,13,FALSE),0)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الشهر'!$C$10:$AD$119,13,FALSE),0)</f>
        <v>1735</v>
      </c>
      <c r="E86" s="362">
        <f>IFERROR(VLOOKUP(C86,'تقرير المصروفات حسب الشهر'!$C$135:$AD$244,13,FALSE),0)</f>
        <v>1959.65</v>
      </c>
      <c r="F86" s="362">
        <v>1281.5</v>
      </c>
      <c r="G86" s="362">
        <f>IFERROR(VLOOKUP(C86,'تقرير المصروفات حسب الشهر'!$C$387:$AD$495,13,FALSE),0)</f>
        <v>980</v>
      </c>
      <c r="H86" s="362">
        <f>IFERROR(VLOOKUP(C86,'تقرير المصروفات حسب الشهر'!$C$512:$AD$620,13,FALSE),0)</f>
        <v>2712</v>
      </c>
      <c r="I86" s="362">
        <f>IFERROR(VLOOKUP(C86,'تقرير المصروفات حسب الشهر'!$C$637:$AD$746,13,FALSE),0)</f>
        <v>0</v>
      </c>
      <c r="J86" s="362">
        <f>IFERROR(VLOOKUP(C86,'تقرير المصروفات حسب الشهر'!$C$763:$AD$872,13,FALSE),0)</f>
        <v>979</v>
      </c>
      <c r="K86" s="362">
        <f>IFERROR(VLOOKUP(C86,'تقرير المصروفات حسب الشهر'!$C$890:$AD$999,13,FALSE),0)</f>
        <v>1404.4</v>
      </c>
      <c r="L86" s="362">
        <f>IFERROR(VLOOKUP(C86,'تقرير المصروفات حسب الشهر'!$C$1016:$AD$1126,13,FALSE),0)</f>
        <v>0</v>
      </c>
      <c r="M86" s="376">
        <f>IFERROR(VLOOKUP(C86,'تقرير المصروفات حسب الشهر'!$C$1143:$AD$1254,13,FALSE),0)</f>
        <v>260</v>
      </c>
      <c r="N86" s="376">
        <f>IFERROR(VLOOKUP(C86,'تقرير المصروفات حسب الشهر'!$C$1270:$AD$1381,13,FALSE),0)</f>
        <v>1105.82</v>
      </c>
      <c r="O86" s="376">
        <f>IFERROR(VLOOKUP(C86,'تقرير المصروفات حسب الشهر'!$C$1397:$AI$1512,13,FALSE),0)</f>
        <v>0</v>
      </c>
      <c r="P86" s="364">
        <f t="shared" si="5"/>
        <v>12417.369999999999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الشهر'!$C$10:$AD$119,13,FALSE),0)</f>
        <v>0</v>
      </c>
      <c r="E87" s="362">
        <f>IFERROR(VLOOKUP(C87,'تقرير المصروفات حسب الشهر'!$C$135:$AD$244,13,FALSE),0)</f>
        <v>0</v>
      </c>
      <c r="F87" s="362">
        <v>0</v>
      </c>
      <c r="G87" s="362">
        <f>IFERROR(VLOOKUP(C87,'تقرير المصروفات حسب الشهر'!$C$387:$AD$495,13,FALSE),0)</f>
        <v>0</v>
      </c>
      <c r="H87" s="362">
        <f>IFERROR(VLOOKUP(C87,'تقرير المصروفات حسب الشهر'!$C$512:$AD$620,13,FALSE),0)</f>
        <v>0</v>
      </c>
      <c r="I87" s="362">
        <f>IFERROR(VLOOKUP(C87,'تقرير المصروفات حسب الشهر'!$C$637:$AD$746,13,FALSE),0)</f>
        <v>0</v>
      </c>
      <c r="J87" s="362">
        <f>IFERROR(VLOOKUP(C87,'تقرير المصروفات حسب الشهر'!$C$763:$AD$872,13,FALSE),0)</f>
        <v>0</v>
      </c>
      <c r="K87" s="362">
        <f>IFERROR(VLOOKUP(C87,'تقرير المصروفات حسب الشهر'!$C$890:$AD$999,13,FALSE),0)</f>
        <v>0</v>
      </c>
      <c r="L87" s="362">
        <f>IFERROR(VLOOKUP(C87,'تقرير المصروفات حسب الشهر'!$C$1016:$AD$1126,13,FALSE),0)</f>
        <v>0</v>
      </c>
      <c r="M87" s="376">
        <f>IFERROR(VLOOKUP(C87,'تقرير المصروفات حسب الشهر'!$C$1143:$AD$1254,13,FALSE),0)</f>
        <v>0</v>
      </c>
      <c r="N87" s="376">
        <f>IFERROR(VLOOKUP(C87,'تقرير المصروفات حسب الشهر'!$C$1270:$AD$1381,13,FALSE),0)</f>
        <v>0</v>
      </c>
      <c r="O87" s="376">
        <f>IFERROR(VLOOKUP(C87,'تقرير المصروفات حسب الشهر'!$C$1397:$AI$1512,13,FALSE),0)</f>
        <v>4372</v>
      </c>
      <c r="P87" s="364">
        <f t="shared" ref="P87:P136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الشهر'!$C$10:$AD$119,13,FALSE),0)</f>
        <v>0</v>
      </c>
      <c r="E88" s="362">
        <f>IFERROR(VLOOKUP(C88,'تقرير المصروفات حسب الشهر'!$C$135:$AD$244,13,FALSE),0)</f>
        <v>0</v>
      </c>
      <c r="F88" s="362">
        <v>0</v>
      </c>
      <c r="G88" s="362">
        <f>IFERROR(VLOOKUP(C88,'تقرير المصروفات حسب الشهر'!$C$387:$AD$495,13,FALSE),0)</f>
        <v>0</v>
      </c>
      <c r="H88" s="362">
        <f>IFERROR(VLOOKUP(C88,'تقرير المصروفات حسب الشهر'!$C$512:$AD$620,13,FALSE),0)</f>
        <v>333</v>
      </c>
      <c r="I88" s="362">
        <f>IFERROR(VLOOKUP(C88,'تقرير المصروفات حسب الشهر'!$C$637:$AD$746,13,FALSE),0)</f>
        <v>120</v>
      </c>
      <c r="J88" s="362">
        <f>IFERROR(VLOOKUP(C88,'تقرير المصروفات حسب الشهر'!$C$763:$AD$872,13,FALSE),0)</f>
        <v>0</v>
      </c>
      <c r="K88" s="362">
        <f>IFERROR(VLOOKUP(C88,'تقرير المصروفات حسب الشهر'!$C$890:$AD$999,13,FALSE),0)</f>
        <v>0</v>
      </c>
      <c r="L88" s="362">
        <f>IFERROR(VLOOKUP(C88,'تقرير المصروفات حسب الشهر'!$C$1016:$AD$1126,13,FALSE),0)</f>
        <v>0</v>
      </c>
      <c r="M88" s="376">
        <f>IFERROR(VLOOKUP(C88,'تقرير المصروفات حسب الشهر'!$C$1143:$AD$1254,13,FALSE),0)</f>
        <v>0</v>
      </c>
      <c r="N88" s="376">
        <f>IFERROR(VLOOKUP(C88,'تقرير المصروفات حسب الشهر'!$C$1270:$AD$1381,13,FALSE),0)</f>
        <v>0</v>
      </c>
      <c r="O88" s="376">
        <f>IFERROR(VLOOKUP(C88,'تقرير المصروفات حسب الشهر'!$C$1397:$AI$1512,13,FALSE),0)</f>
        <v>0</v>
      </c>
      <c r="P88" s="364">
        <f t="shared" si="6"/>
        <v>453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الشهر'!$C$10:$AD$119,13,FALSE),0)</f>
        <v>0</v>
      </c>
      <c r="E89" s="362">
        <f>IFERROR(VLOOKUP(C89,'تقرير المصروفات حسب الشهر'!$C$135:$AD$244,13,FALSE),0)</f>
        <v>0</v>
      </c>
      <c r="F89" s="362">
        <v>0</v>
      </c>
      <c r="G89" s="362">
        <f>IFERROR(VLOOKUP(C89,'تقرير المصروفات حسب الشهر'!$C$387:$AD$495,13,FALSE),0)</f>
        <v>0</v>
      </c>
      <c r="H89" s="362">
        <f>IFERROR(VLOOKUP(C89,'تقرير المصروفات حسب الشهر'!$C$512:$AD$620,13,FALSE),0)</f>
        <v>0</v>
      </c>
      <c r="I89" s="362">
        <f>IFERROR(VLOOKUP(C89,'تقرير المصروفات حسب الشهر'!$C$637:$AD$746,13,FALSE),0)</f>
        <v>0</v>
      </c>
      <c r="J89" s="362">
        <f>IFERROR(VLOOKUP(C89,'تقرير المصروفات حسب الشهر'!$C$763:$AD$872,13,FALSE),0)</f>
        <v>0</v>
      </c>
      <c r="K89" s="362">
        <f>IFERROR(VLOOKUP(C89,'تقرير المصروفات حسب الشهر'!$C$890:$AD$999,13,FALSE),0)</f>
        <v>0</v>
      </c>
      <c r="L89" s="362">
        <f>IFERROR(VLOOKUP(C89,'تقرير المصروفات حسب الشهر'!$C$1016:$AD$1126,13,FALSE),0)</f>
        <v>0</v>
      </c>
      <c r="M89" s="376">
        <f>IFERROR(VLOOKUP(C89,'تقرير المصروفات حسب الشهر'!$C$1143:$AD$1254,13,FALSE),0)</f>
        <v>0</v>
      </c>
      <c r="N89" s="376">
        <f>IFERROR(VLOOKUP(C89,'تقرير المصروفات حسب الشهر'!$C$1270:$AD$1381,13,FALSE),0)</f>
        <v>0</v>
      </c>
      <c r="O89" s="376">
        <f>IFERROR(VLOOKUP(C89,'تقرير المصروفات حسب الشهر'!$C$1397:$AI$1512,13,FALSE),0)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الشهر'!$C$10:$AD$119,13,FALSE),0)</f>
        <v>0</v>
      </c>
      <c r="E90" s="362">
        <f>IFERROR(VLOOKUP(C90,'تقرير المصروفات حسب الشهر'!$C$135:$AD$244,13,FALSE),0)</f>
        <v>0</v>
      </c>
      <c r="F90" s="362">
        <v>0</v>
      </c>
      <c r="G90" s="362">
        <f>IFERROR(VLOOKUP(C90,'تقرير المصروفات حسب الشهر'!$C$387:$AD$495,13,FALSE),0)</f>
        <v>0</v>
      </c>
      <c r="H90" s="362">
        <f>IFERROR(VLOOKUP(C90,'تقرير المصروفات حسب الشهر'!$C$512:$AD$620,13,FALSE),0)</f>
        <v>0</v>
      </c>
      <c r="I90" s="362">
        <f>IFERROR(VLOOKUP(C90,'تقرير المصروفات حسب الشهر'!$C$637:$AD$746,13,FALSE),0)</f>
        <v>0</v>
      </c>
      <c r="J90" s="362">
        <f>IFERROR(VLOOKUP(C90,'تقرير المصروفات حسب الشهر'!$C$763:$AD$872,13,FALSE),0)</f>
        <v>0</v>
      </c>
      <c r="K90" s="362">
        <f>IFERROR(VLOOKUP(C90,'تقرير المصروفات حسب الشهر'!$C$890:$AD$999,13,FALSE),0)</f>
        <v>0</v>
      </c>
      <c r="L90" s="362">
        <f>IFERROR(VLOOKUP(C90,'تقرير المصروفات حسب الشهر'!$C$1016:$AD$1126,13,FALSE),0)</f>
        <v>0</v>
      </c>
      <c r="M90" s="376">
        <f>IFERROR(VLOOKUP(C90,'تقرير المصروفات حسب الشهر'!$C$1143:$AD$1254,13,FALSE),0)</f>
        <v>0</v>
      </c>
      <c r="N90" s="376">
        <f>IFERROR(VLOOKUP(C90,'تقرير المصروفات حسب الشهر'!$C$1270:$AD$1381,13,FALSE),0)</f>
        <v>0</v>
      </c>
      <c r="O90" s="376">
        <f>IFERROR(VLOOKUP(C90,'تقرير المصروفات حسب الشهر'!$C$1397:$AI$1512,13,FALSE),0)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الشهر'!$C$10:$AD$119,13,FALSE),0)</f>
        <v>255</v>
      </c>
      <c r="E91" s="362">
        <f>IFERROR(VLOOKUP(C91,'تقرير المصروفات حسب الشهر'!$C$135:$AD$244,13,FALSE),0)</f>
        <v>240</v>
      </c>
      <c r="F91" s="362">
        <v>45</v>
      </c>
      <c r="G91" s="362">
        <f>IFERROR(VLOOKUP(C91,'تقرير المصروفات حسب الشهر'!$C$387:$AD$495,13,FALSE),0)</f>
        <v>90</v>
      </c>
      <c r="H91" s="362">
        <f>IFERROR(VLOOKUP(C91,'تقرير المصروفات حسب الشهر'!$C$512:$AD$620,13,FALSE),0)</f>
        <v>120</v>
      </c>
      <c r="I91" s="362">
        <f>IFERROR(VLOOKUP(C91,'تقرير المصروفات حسب الشهر'!$C$637:$AD$746,13,FALSE),0)</f>
        <v>90</v>
      </c>
      <c r="J91" s="362">
        <f>IFERROR(VLOOKUP(C91,'تقرير المصروفات حسب الشهر'!$C$763:$AD$872,13,FALSE),0)</f>
        <v>384</v>
      </c>
      <c r="K91" s="362">
        <f>IFERROR(VLOOKUP(C91,'تقرير المصروفات حسب الشهر'!$C$890:$AD$999,13,FALSE),0)</f>
        <v>0</v>
      </c>
      <c r="L91" s="362">
        <f>IFERROR(VLOOKUP(C91,'تقرير المصروفات حسب الشهر'!$C$1016:$AD$1126,13,FALSE),0)</f>
        <v>60</v>
      </c>
      <c r="M91" s="376">
        <f>IFERROR(VLOOKUP(C91,'تقرير المصروفات حسب الشهر'!$C$1143:$AD$1254,13,FALSE),0)</f>
        <v>0</v>
      </c>
      <c r="N91" s="376">
        <f>IFERROR(VLOOKUP(C91,'تقرير المصروفات حسب الشهر'!$C$1270:$AD$1381,13,FALSE),0)</f>
        <v>0</v>
      </c>
      <c r="O91" s="376">
        <f>IFERROR(VLOOKUP(C91,'تقرير المصروفات حسب الشهر'!$C$1397:$AI$1512,13,FALSE),0)</f>
        <v>100</v>
      </c>
      <c r="P91" s="364">
        <f t="shared" si="6"/>
        <v>1384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الشهر'!$C$10:$AD$119,13,FALSE),0)</f>
        <v>15100</v>
      </c>
      <c r="E92" s="362">
        <f>IFERROR(VLOOKUP(C92,'تقرير المصروفات حسب الشهر'!$C$135:$AD$244,13,FALSE),0)</f>
        <v>0</v>
      </c>
      <c r="F92" s="362">
        <v>2820</v>
      </c>
      <c r="G92" s="362">
        <f>IFERROR(VLOOKUP(C92,'تقرير المصروفات حسب الشهر'!$C$387:$AD$495,13,FALSE),0)</f>
        <v>1060</v>
      </c>
      <c r="H92" s="362">
        <f>IFERROR(VLOOKUP(C92,'تقرير المصروفات حسب الشهر'!$C$512:$AD$620,13,FALSE),0)</f>
        <v>0</v>
      </c>
      <c r="I92" s="362">
        <f>IFERROR(VLOOKUP(C92,'تقرير المصروفات حسب الشهر'!$C$637:$AD$746,13,FALSE),0)</f>
        <v>2395</v>
      </c>
      <c r="J92" s="362">
        <f>IFERROR(VLOOKUP(C92,'تقرير المصروفات حسب الشهر'!$C$763:$AD$872,13,FALSE),0)</f>
        <v>0</v>
      </c>
      <c r="K92" s="362">
        <f>IFERROR(VLOOKUP(C92,'تقرير المصروفات حسب الشهر'!$C$890:$AD$999,13,FALSE),0)</f>
        <v>0</v>
      </c>
      <c r="L92" s="362">
        <f>IFERROR(VLOOKUP(C92,'تقرير المصروفات حسب الشهر'!$C$1016:$AD$1126,13,FALSE),0)</f>
        <v>0</v>
      </c>
      <c r="M92" s="376">
        <f>IFERROR(VLOOKUP(C92,'تقرير المصروفات حسب الشهر'!$C$1143:$AD$1254,13,FALSE),0)</f>
        <v>0</v>
      </c>
      <c r="N92" s="376">
        <f>IFERROR(VLOOKUP(C92,'تقرير المصروفات حسب الشهر'!$C$1270:$AD$1381,13,FALSE),0)</f>
        <v>0</v>
      </c>
      <c r="O92" s="376">
        <f>IFERROR(VLOOKUP(C92,'تقرير المصروفات حسب الشهر'!$C$1397:$AI$1512,13,FALSE),0)</f>
        <v>0</v>
      </c>
      <c r="P92" s="364">
        <f t="shared" si="6"/>
        <v>21375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الشهر'!$C$10:$AD$119,13,FALSE),0)</f>
        <v>0</v>
      </c>
      <c r="E93" s="362">
        <f>IFERROR(VLOOKUP(C93,'تقرير المصروفات حسب الشهر'!$C$135:$AD$244,13,FALSE),0)</f>
        <v>706</v>
      </c>
      <c r="F93" s="362">
        <v>0</v>
      </c>
      <c r="G93" s="362">
        <f>IFERROR(VLOOKUP(C93,'تقرير المصروفات حسب الشهر'!$C$387:$AD$495,13,FALSE),0)</f>
        <v>0</v>
      </c>
      <c r="H93" s="362">
        <f>IFERROR(VLOOKUP(C93,'تقرير المصروفات حسب الشهر'!$C$512:$AD$620,13,FALSE),0)</f>
        <v>0</v>
      </c>
      <c r="I93" s="362">
        <f>IFERROR(VLOOKUP(C93,'تقرير المصروفات حسب الشهر'!$C$637:$AD$746,13,FALSE),0)</f>
        <v>0</v>
      </c>
      <c r="J93" s="362">
        <f>IFERROR(VLOOKUP(C93,'تقرير المصروفات حسب الشهر'!$C$763:$AD$872,13,FALSE),0)</f>
        <v>668</v>
      </c>
      <c r="K93" s="362">
        <f>IFERROR(VLOOKUP(C93,'تقرير المصروفات حسب الشهر'!$C$890:$AD$999,13,FALSE),0)</f>
        <v>1331.8</v>
      </c>
      <c r="L93" s="362">
        <f>IFERROR(VLOOKUP(C93,'تقرير المصروفات حسب الشهر'!$C$1016:$AD$1126,13,FALSE),0)</f>
        <v>0</v>
      </c>
      <c r="M93" s="376">
        <f>IFERROR(VLOOKUP(C93,'تقرير المصروفات حسب الشهر'!$C$1143:$AD$1254,13,FALSE),0)</f>
        <v>0</v>
      </c>
      <c r="N93" s="376">
        <f>IFERROR(VLOOKUP(C93,'تقرير المصروفات حسب الشهر'!$C$1270:$AD$1381,13,FALSE),0)</f>
        <v>0</v>
      </c>
      <c r="O93" s="376">
        <f>IFERROR(VLOOKUP(C93,'تقرير المصروفات حسب الشهر'!$C$1397:$AI$1512,13,FALSE),0)</f>
        <v>0</v>
      </c>
      <c r="P93" s="364">
        <f t="shared" si="6"/>
        <v>2705.8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الشهر'!$C$10:$AD$119,13,FALSE),0)</f>
        <v>1390.8</v>
      </c>
      <c r="E94" s="362">
        <f>IFERROR(VLOOKUP(C94,'تقرير المصروفات حسب الشهر'!$C$135:$AD$244,13,FALSE),0)</f>
        <v>0</v>
      </c>
      <c r="F94" s="362">
        <v>60</v>
      </c>
      <c r="G94" s="362">
        <f>IFERROR(VLOOKUP(C94,'تقرير المصروفات حسب الشهر'!$C$387:$AD$495,13,FALSE),0)</f>
        <v>0</v>
      </c>
      <c r="H94" s="362">
        <f>IFERROR(VLOOKUP(C94,'تقرير المصروفات حسب الشهر'!$C$512:$AD$620,13,FALSE),0)</f>
        <v>0</v>
      </c>
      <c r="I94" s="362">
        <f>IFERROR(VLOOKUP(C94,'تقرير المصروفات حسب الشهر'!$C$637:$AD$746,13,FALSE),0)</f>
        <v>0</v>
      </c>
      <c r="J94" s="362">
        <f>IFERROR(VLOOKUP(C94,'تقرير المصروفات حسب الشهر'!$C$763:$AD$872,13,FALSE),0)</f>
        <v>0</v>
      </c>
      <c r="K94" s="362">
        <f>IFERROR(VLOOKUP(C94,'تقرير المصروفات حسب الشهر'!$C$890:$AD$999,13,FALSE),0)</f>
        <v>0</v>
      </c>
      <c r="L94" s="362">
        <f>IFERROR(VLOOKUP(C94,'تقرير المصروفات حسب الشهر'!$C$1016:$AD$1126,13,FALSE),0)</f>
        <v>0</v>
      </c>
      <c r="M94" s="376">
        <f>IFERROR(VLOOKUP(C94,'تقرير المصروفات حسب الشهر'!$C$1143:$AD$1254,13,FALSE),0)</f>
        <v>0</v>
      </c>
      <c r="N94" s="376">
        <f>IFERROR(VLOOKUP(C94,'تقرير المصروفات حسب الشهر'!$C$1270:$AD$1381,13,FALSE),0)</f>
        <v>7623.18</v>
      </c>
      <c r="O94" s="376">
        <f>IFERROR(VLOOKUP(C94,'تقرير المصروفات حسب الشهر'!$C$1397:$AI$1512,13,FALSE),0)</f>
        <v>0</v>
      </c>
      <c r="P94" s="364">
        <f t="shared" si="6"/>
        <v>9073.98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الشهر'!$C$10:$AD$119,13,FALSE),0)</f>
        <v>0</v>
      </c>
      <c r="E95" s="362">
        <f>IFERROR(VLOOKUP(C95,'تقرير المصروفات حسب الشهر'!$C$135:$AD$244,13,FALSE),0)</f>
        <v>0</v>
      </c>
      <c r="F95" s="362">
        <v>0</v>
      </c>
      <c r="G95" s="362">
        <f>IFERROR(VLOOKUP(C95,'تقرير المصروفات حسب الشهر'!$C$387:$AD$495,13,FALSE),0)</f>
        <v>0</v>
      </c>
      <c r="H95" s="362">
        <f>IFERROR(VLOOKUP(C95,'تقرير المصروفات حسب الشهر'!$C$512:$AD$620,13,FALSE),0)</f>
        <v>0</v>
      </c>
      <c r="I95" s="362">
        <f>IFERROR(VLOOKUP(C95,'تقرير المصروفات حسب الشهر'!$C$637:$AD$746,13,FALSE),0)</f>
        <v>0</v>
      </c>
      <c r="J95" s="362">
        <f>IFERROR(VLOOKUP(C95,'تقرير المصروفات حسب الشهر'!$C$763:$AD$872,13,FALSE),0)</f>
        <v>0</v>
      </c>
      <c r="K95" s="362">
        <f>IFERROR(VLOOKUP(C95,'تقرير المصروفات حسب الشهر'!$C$890:$AD$999,13,FALSE),0)</f>
        <v>0</v>
      </c>
      <c r="L95" s="362">
        <f>IFERROR(VLOOKUP(C95,'تقرير المصروفات حسب الشهر'!$C$1016:$AD$1126,13,FALSE),0)</f>
        <v>2130</v>
      </c>
      <c r="M95" s="376">
        <f>IFERROR(VLOOKUP(C95,'تقرير المصروفات حسب الشهر'!$C$1143:$AD$1254,13,FALSE),0)</f>
        <v>1065</v>
      </c>
      <c r="N95" s="376">
        <f>IFERROR(VLOOKUP(C95,'تقرير المصروفات حسب الشهر'!$C$1270:$AD$1381,13,FALSE),0)</f>
        <v>1065</v>
      </c>
      <c r="O95" s="376">
        <f>IFERROR(VLOOKUP(C95,'تقرير المصروفات حسب الشهر'!$C$1397:$AI$1512,13,FALSE),0)</f>
        <v>15759</v>
      </c>
      <c r="P95" s="364">
        <f t="shared" si="6"/>
        <v>20019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الشهر'!$C$10:$AD$119,13,FALSE),0)</f>
        <v>0</v>
      </c>
      <c r="E96" s="362">
        <f>IFERROR(VLOOKUP(C96,'تقرير المصروفات حسب الشهر'!$C$135:$AD$244,13,FALSE),0)</f>
        <v>0</v>
      </c>
      <c r="F96" s="362">
        <v>0</v>
      </c>
      <c r="G96" s="362">
        <f>IFERROR(VLOOKUP(C96,'تقرير المصروفات حسب الشهر'!$C$387:$AD$495,13,FALSE),0)</f>
        <v>0</v>
      </c>
      <c r="H96" s="362">
        <f>IFERROR(VLOOKUP(C96,'تقرير المصروفات حسب الشهر'!$C$512:$AD$620,13,FALSE),0)</f>
        <v>0</v>
      </c>
      <c r="I96" s="362">
        <f>IFERROR(VLOOKUP(C96,'تقرير المصروفات حسب الشهر'!$C$637:$AD$746,13,FALSE),0)</f>
        <v>0</v>
      </c>
      <c r="J96" s="362">
        <f>IFERROR(VLOOKUP(C96,'تقرير المصروفات حسب الشهر'!$C$763:$AD$872,13,FALSE),0)</f>
        <v>0</v>
      </c>
      <c r="K96" s="362">
        <f>IFERROR(VLOOKUP(C96,'تقرير المصروفات حسب الشهر'!$C$890:$AD$999,13,FALSE),0)</f>
        <v>0</v>
      </c>
      <c r="L96" s="362">
        <f>IFERROR(VLOOKUP(C96,'تقرير المصروفات حسب الشهر'!$C$1016:$AD$1126,13,FALSE),0)</f>
        <v>0</v>
      </c>
      <c r="M96" s="376">
        <f>IFERROR(VLOOKUP(C96,'تقرير المصروفات حسب الشهر'!$C$1143:$AD$1254,13,FALSE),0)</f>
        <v>0</v>
      </c>
      <c r="N96" s="376">
        <f>IFERROR(VLOOKUP(C96,'تقرير المصروفات حسب الشهر'!$C$1270:$AD$1381,13,FALSE),0)</f>
        <v>0</v>
      </c>
      <c r="O96" s="376">
        <f>IFERROR(VLOOKUP(C96,'تقرير المصروفات حسب الشهر'!$C$1397:$AI$1512,13,FALSE),0)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الشهر'!$C$10:$AD$119,13,FALSE),0)</f>
        <v>0</v>
      </c>
      <c r="E97" s="362">
        <f>IFERROR(VLOOKUP(C97,'تقرير المصروفات حسب الشهر'!$C$135:$AD$244,13,FALSE),0)</f>
        <v>0</v>
      </c>
      <c r="F97" s="362">
        <v>0</v>
      </c>
      <c r="G97" s="362">
        <f>IFERROR(VLOOKUP(C97,'تقرير المصروفات حسب الشهر'!$C$387:$AD$495,13,FALSE),0)</f>
        <v>0</v>
      </c>
      <c r="H97" s="362">
        <f>IFERROR(VLOOKUP(C97,'تقرير المصروفات حسب الشهر'!$C$512:$AD$620,13,FALSE),0)</f>
        <v>0</v>
      </c>
      <c r="I97" s="362">
        <f>IFERROR(VLOOKUP(C97,'تقرير المصروفات حسب الشهر'!$C$637:$AD$746,13,FALSE),0)</f>
        <v>0</v>
      </c>
      <c r="J97" s="362">
        <f>IFERROR(VLOOKUP(C97,'تقرير المصروفات حسب الشهر'!$C$763:$AD$872,13,FALSE),0)</f>
        <v>0</v>
      </c>
      <c r="K97" s="362">
        <f>IFERROR(VLOOKUP(C97,'تقرير المصروفات حسب الشهر'!$C$890:$AD$999,13,FALSE),0)</f>
        <v>0</v>
      </c>
      <c r="L97" s="362">
        <f>IFERROR(VLOOKUP(C97,'تقرير المصروفات حسب الشهر'!$C$1016:$AD$1126,13,FALSE),0)</f>
        <v>0</v>
      </c>
      <c r="M97" s="376">
        <f>IFERROR(VLOOKUP(C97,'تقرير المصروفات حسب الشهر'!$C$1143:$AD$1254,13,FALSE),0)</f>
        <v>0</v>
      </c>
      <c r="N97" s="376">
        <f>IFERROR(VLOOKUP(C97,'تقرير المصروفات حسب الشهر'!$C$1270:$AD$1381,13,FALSE),0)</f>
        <v>0</v>
      </c>
      <c r="O97" s="376">
        <f>IFERROR(VLOOKUP(C97,'تقرير المصروفات حسب الشهر'!$C$1397:$AI$1512,13,FALSE),0)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الشهر'!$C$10:$AD$119,13,FALSE),0)</f>
        <v>56.16</v>
      </c>
      <c r="E98" s="362">
        <f>IFERROR(VLOOKUP(C98,'تقرير المصروفات حسب الشهر'!$C$135:$AD$244,13,FALSE),0)</f>
        <v>56.16</v>
      </c>
      <c r="F98" s="362">
        <v>56.16</v>
      </c>
      <c r="G98" s="362">
        <f>IFERROR(VLOOKUP(C98,'تقرير المصروفات حسب الشهر'!$C$387:$AD$495,13,FALSE),0)</f>
        <v>56.16</v>
      </c>
      <c r="H98" s="362">
        <f>IFERROR(VLOOKUP(C98,'تقرير المصروفات حسب الشهر'!$C$512:$AD$620,13,FALSE),0)</f>
        <v>56.16</v>
      </c>
      <c r="I98" s="362">
        <f>IFERROR(VLOOKUP(C98,'تقرير المصروفات حسب الشهر'!$C$637:$AD$746,13,FALSE),0)</f>
        <v>56.16</v>
      </c>
      <c r="J98" s="362">
        <f>IFERROR(VLOOKUP(C98,'تقرير المصروفات حسب الشهر'!$C$763:$AD$872,13,FALSE),0)</f>
        <v>56.16</v>
      </c>
      <c r="K98" s="362">
        <f>IFERROR(VLOOKUP(C98,'تقرير المصروفات حسب الشهر'!$C$890:$AD$999,13,FALSE),0)</f>
        <v>56.16</v>
      </c>
      <c r="L98" s="362">
        <f>IFERROR(VLOOKUP(C98,'تقرير المصروفات حسب الشهر'!$C$1016:$AD$1126,13,FALSE),0)</f>
        <v>56.16</v>
      </c>
      <c r="M98" s="376">
        <f>IFERROR(VLOOKUP(C98,'تقرير المصروفات حسب الشهر'!$C$1143:$AD$1254,13,FALSE),0)</f>
        <v>56.16</v>
      </c>
      <c r="N98" s="376">
        <f>IFERROR(VLOOKUP(C98,'تقرير المصروفات حسب الشهر'!$C$1270:$AD$1381,13,FALSE),0)</f>
        <v>56.16</v>
      </c>
      <c r="O98" s="376">
        <f>IFERROR(VLOOKUP(C98,'تقرير المصروفات حسب الشهر'!$C$1397:$AI$1512,13,FALSE),0)</f>
        <v>0.16</v>
      </c>
      <c r="P98" s="364">
        <f t="shared" si="6"/>
        <v>617.91999999999973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الشهر'!$C$10:$AD$119,13,FALSE),0)</f>
        <v>0</v>
      </c>
      <c r="E99" s="362">
        <f>IFERROR(VLOOKUP(C99,'تقرير المصروفات حسب الشهر'!$C$135:$AD$244,13,FALSE),0)</f>
        <v>0</v>
      </c>
      <c r="F99" s="362">
        <v>0</v>
      </c>
      <c r="G99" s="362">
        <f>IFERROR(VLOOKUP(C99,'تقرير المصروفات حسب الشهر'!$C$387:$AD$495,13,FALSE),0)</f>
        <v>0</v>
      </c>
      <c r="H99" s="362">
        <f>IFERROR(VLOOKUP(C99,'تقرير المصروفات حسب الشهر'!$C$512:$AD$620,13,FALSE),0)</f>
        <v>0</v>
      </c>
      <c r="I99" s="362">
        <f>IFERROR(VLOOKUP(C99,'تقرير المصروفات حسب الشهر'!$C$637:$AD$746,13,FALSE),0)</f>
        <v>0</v>
      </c>
      <c r="J99" s="362">
        <f>IFERROR(VLOOKUP(C99,'تقرير المصروفات حسب الشهر'!$C$763:$AD$872,13,FALSE),0)</f>
        <v>0</v>
      </c>
      <c r="K99" s="362">
        <f>IFERROR(VLOOKUP(C99,'تقرير المصروفات حسب الشهر'!$C$890:$AD$999,13,FALSE),0)</f>
        <v>0</v>
      </c>
      <c r="L99" s="362">
        <f>IFERROR(VLOOKUP(C99,'تقرير المصروفات حسب الشهر'!$C$1016:$AD$1126,13,FALSE),0)</f>
        <v>0</v>
      </c>
      <c r="M99" s="376">
        <f>IFERROR(VLOOKUP(C99,'تقرير المصروفات حسب الشهر'!$C$1143:$AD$1254,13,FALSE),0)</f>
        <v>0</v>
      </c>
      <c r="N99" s="376">
        <f>IFERROR(VLOOKUP(C99,'تقرير المصروفات حسب الشهر'!$C$1270:$AD$1381,13,FALSE),0)</f>
        <v>0</v>
      </c>
      <c r="O99" s="376">
        <f>IFERROR(VLOOKUP(C99,'تقرير المصروفات حسب الشهر'!$C$1397:$AI$1512,13,FALSE),0)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الشهر'!$C$10:$AD$119,13,FALSE),0)</f>
        <v>1436.31</v>
      </c>
      <c r="E100" s="362">
        <f>IFERROR(VLOOKUP(C100,'تقرير المصروفات حسب الشهر'!$C$135:$AD$244,13,FALSE),0)</f>
        <v>2047.69</v>
      </c>
      <c r="F100" s="362">
        <v>2387.4</v>
      </c>
      <c r="G100" s="362">
        <f>IFERROR(VLOOKUP(C100,'تقرير المصروفات حسب الشهر'!$C$387:$AD$495,13,FALSE),0)</f>
        <v>2405.0100000000002</v>
      </c>
      <c r="H100" s="362">
        <f>IFERROR(VLOOKUP(C100,'تقرير المصروفات حسب الشهر'!$C$512:$AD$620,13,FALSE),0)</f>
        <v>2325.88</v>
      </c>
      <c r="I100" s="362">
        <f>IFERROR(VLOOKUP(C100,'تقرير المصروفات حسب الشهر'!$C$637:$AD$746,13,FALSE),0)</f>
        <v>2325.88</v>
      </c>
      <c r="J100" s="362">
        <f>IFERROR(VLOOKUP(C100,'تقرير المصروفات حسب الشهر'!$C$763:$AD$872,13,FALSE),0)</f>
        <v>2325.88</v>
      </c>
      <c r="K100" s="362">
        <f>IFERROR(VLOOKUP(C100,'تقرير المصروفات حسب الشهر'!$C$890:$AD$999,13,FALSE),0)</f>
        <v>2325.88</v>
      </c>
      <c r="L100" s="362">
        <f>IFERROR(VLOOKUP(C100,'تقرير المصروفات حسب الشهر'!$C$1016:$AD$1126,13,FALSE),0)</f>
        <v>2283.46</v>
      </c>
      <c r="M100" s="376">
        <f>IFERROR(VLOOKUP(C100,'تقرير المصروفات حسب الشهر'!$C$1143:$AD$1254,13,FALSE),0)</f>
        <v>2260.04</v>
      </c>
      <c r="N100" s="376">
        <f>IFERROR(VLOOKUP(C100,'تقرير المصروفات حسب الشهر'!$C$1270:$AD$1381,13,FALSE),0)</f>
        <v>2259.96</v>
      </c>
      <c r="O100" s="376">
        <f>IFERROR(VLOOKUP(C100,'تقرير المصروفات حسب الشهر'!$C$1397:$AI$1512,13,FALSE),0)</f>
        <v>1086.56</v>
      </c>
      <c r="P100" s="364">
        <f t="shared" si="6"/>
        <v>25469.950000000004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الشهر'!$C$10:$AD$119,13,FALSE),0)</f>
        <v>53.44</v>
      </c>
      <c r="E101" s="362">
        <f>IFERROR(VLOOKUP(C101,'تقرير المصروفات حسب الشهر'!$C$135:$AD$244,13,FALSE),0)</f>
        <v>53.44</v>
      </c>
      <c r="F101" s="362">
        <v>53.44</v>
      </c>
      <c r="G101" s="362">
        <f>IFERROR(VLOOKUP(C101,'تقرير المصروفات حسب الشهر'!$C$387:$AD$495,13,FALSE),0)</f>
        <v>53.44</v>
      </c>
      <c r="H101" s="362">
        <f>IFERROR(VLOOKUP(C101,'تقرير المصروفات حسب الشهر'!$C$512:$AD$620,13,FALSE),0)</f>
        <v>53.44</v>
      </c>
      <c r="I101" s="362">
        <f>IFERROR(VLOOKUP(C101,'تقرير المصروفات حسب الشهر'!$C$637:$AD$746,13,FALSE),0)</f>
        <v>53.44</v>
      </c>
      <c r="J101" s="362">
        <f>IFERROR(VLOOKUP(C101,'تقرير المصروفات حسب الشهر'!$C$763:$AD$872,13,FALSE),0)</f>
        <v>147.82</v>
      </c>
      <c r="K101" s="362">
        <f>IFERROR(VLOOKUP(C101,'تقرير المصروفات حسب الشهر'!$C$890:$AD$999,13,FALSE),0)</f>
        <v>142.66999999999999</v>
      </c>
      <c r="L101" s="362">
        <f>IFERROR(VLOOKUP(C101,'تقرير المصروفات حسب الشهر'!$C$1016:$AD$1126,13,FALSE),0)</f>
        <v>116.21</v>
      </c>
      <c r="M101" s="376">
        <f>IFERROR(VLOOKUP(C101,'تقرير المصروفات حسب الشهر'!$C$1143:$AD$1254,13,FALSE),0)</f>
        <v>104.5</v>
      </c>
      <c r="N101" s="376">
        <f>IFERROR(VLOOKUP(C101,'تقرير المصروفات حسب الشهر'!$C$1270:$AD$1381,13,FALSE),0)</f>
        <v>104.5</v>
      </c>
      <c r="O101" s="376">
        <f>IFERROR(VLOOKUP(C101,'تقرير المصروفات حسب الشهر'!$C$1397:$AI$1512,13,FALSE),0)</f>
        <v>104.54</v>
      </c>
      <c r="P101" s="364">
        <f t="shared" si="6"/>
        <v>1040.8800000000001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الشهر'!$C$10:$AD$119,13,FALSE),0)</f>
        <v>331.22</v>
      </c>
      <c r="E102" s="362">
        <f>IFERROR(VLOOKUP(C102,'تقرير المصروفات حسب الشهر'!$C$135:$AD$244,13,FALSE),0)</f>
        <v>297.14</v>
      </c>
      <c r="F102" s="362">
        <v>297.14</v>
      </c>
      <c r="G102" s="362">
        <f>IFERROR(VLOOKUP(C102,'تقرير المصروفات حسب الشهر'!$C$387:$AD$495,13,FALSE),0)</f>
        <v>297.14</v>
      </c>
      <c r="H102" s="362">
        <f>IFERROR(VLOOKUP(C102,'تقرير المصروفات حسب الشهر'!$C$512:$AD$620,13,FALSE),0)</f>
        <v>297.14</v>
      </c>
      <c r="I102" s="362">
        <f>IFERROR(VLOOKUP(C102,'تقرير المصروفات حسب الشهر'!$C$637:$AD$746,13,FALSE),0)</f>
        <v>297.14</v>
      </c>
      <c r="J102" s="362">
        <f>IFERROR(VLOOKUP(C102,'تقرير المصروفات حسب الشهر'!$C$763:$AD$872,13,FALSE),0)</f>
        <v>297.14</v>
      </c>
      <c r="K102" s="362">
        <f>IFERROR(VLOOKUP(C102,'تقرير المصروفات حسب الشهر'!$C$890:$AD$999,13,FALSE),0)</f>
        <v>297.14</v>
      </c>
      <c r="L102" s="362">
        <f>IFERROR(VLOOKUP(C102,'تقرير المصروفات حسب الشهر'!$C$1016:$AD$1126,13,FALSE),0)</f>
        <v>440.23</v>
      </c>
      <c r="M102" s="376">
        <f>IFERROR(VLOOKUP(C102,'تقرير المصروفات حسب الشهر'!$C$1143:$AD$1254,13,FALSE),0)</f>
        <v>774.14</v>
      </c>
      <c r="N102" s="376">
        <f>IFERROR(VLOOKUP(C102,'تقرير المصروفات حسب الشهر'!$C$1270:$AD$1381,13,FALSE),0)</f>
        <v>774.04</v>
      </c>
      <c r="O102" s="376">
        <f>IFERROR(VLOOKUP(C102,'تقرير المصروفات حسب الشهر'!$C$1397:$AI$1512,13,FALSE),0)</f>
        <v>477.1</v>
      </c>
      <c r="P102" s="364">
        <f t="shared" si="6"/>
        <v>4876.7099999999991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الشهر'!$C$10:$AD$119,13,FALSE),0)</f>
        <v>300.45999999999998</v>
      </c>
      <c r="E103" s="362">
        <f>IFERROR(VLOOKUP(C103,'تقرير المصروفات حسب الشهر'!$C$135:$AD$244,13,FALSE),0)</f>
        <v>264.27</v>
      </c>
      <c r="F103" s="362">
        <v>264.27</v>
      </c>
      <c r="G103" s="362">
        <f>IFERROR(VLOOKUP(C103,'تقرير المصروفات حسب الشهر'!$C$387:$AD$495,13,FALSE),0)</f>
        <v>264.27</v>
      </c>
      <c r="H103" s="362">
        <f>IFERROR(VLOOKUP(C103,'تقرير المصروفات حسب الشهر'!$C$512:$AD$620,13,FALSE),0)</f>
        <v>228.08</v>
      </c>
      <c r="I103" s="362">
        <f>IFERROR(VLOOKUP(C103,'تقرير المصروفات حسب الشهر'!$C$637:$AD$746,13,FALSE),0)</f>
        <v>228.08</v>
      </c>
      <c r="J103" s="362">
        <f>IFERROR(VLOOKUP(C103,'تقرير المصروفات حسب الشهر'!$C$763:$AD$872,13,FALSE),0)</f>
        <v>276.99</v>
      </c>
      <c r="K103" s="362">
        <f>IFERROR(VLOOKUP(C103,'تقرير المصروفات حسب الشهر'!$C$890:$AD$999,13,FALSE),0)</f>
        <v>282.23</v>
      </c>
      <c r="L103" s="362">
        <f>IFERROR(VLOOKUP(C103,'تقرير المصروفات حسب الشهر'!$C$1016:$AD$1126,13,FALSE),0)</f>
        <v>700.98</v>
      </c>
      <c r="M103" s="376">
        <f>IFERROR(VLOOKUP(C103,'تقرير المصروفات حسب الشهر'!$C$1143:$AD$1254,13,FALSE),0)</f>
        <v>724.73</v>
      </c>
      <c r="N103" s="376">
        <f>IFERROR(VLOOKUP(C103,'تقرير المصروفات حسب الشهر'!$C$1270:$AD$1381,13,FALSE),0)</f>
        <v>724.73</v>
      </c>
      <c r="O103" s="376">
        <f>IFERROR(VLOOKUP(C103,'تقرير المصروفات حسب الشهر'!$C$1397:$AI$1512,13,FALSE),0)</f>
        <v>496.69</v>
      </c>
      <c r="P103" s="364">
        <f t="shared" si="6"/>
        <v>4755.78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الشهر'!$C$10:$AD$119,13,FALSE),0)</f>
        <v>0</v>
      </c>
      <c r="E104" s="362">
        <f>IFERROR(VLOOKUP(C104,'تقرير المصروفات حسب الشهر'!$C$135:$AD$244,13,FALSE),0)</f>
        <v>0</v>
      </c>
      <c r="F104" s="362">
        <v>0</v>
      </c>
      <c r="G104" s="362">
        <f>IFERROR(VLOOKUP(C104,'تقرير المصروفات حسب الشهر'!$C$387:$AD$495,13,FALSE),0)</f>
        <v>0</v>
      </c>
      <c r="H104" s="362">
        <f>IFERROR(VLOOKUP(C104,'تقرير المصروفات حسب الشهر'!$C$512:$AD$620,13,FALSE),0)</f>
        <v>0</v>
      </c>
      <c r="I104" s="362">
        <f>IFERROR(VLOOKUP(C104,'تقرير المصروفات حسب الشهر'!$C$637:$AD$746,13,FALSE),0)</f>
        <v>0</v>
      </c>
      <c r="J104" s="362">
        <f>IFERROR(VLOOKUP(C104,'تقرير المصروفات حسب الشهر'!$C$763:$AD$872,13,FALSE),0)</f>
        <v>0</v>
      </c>
      <c r="K104" s="362">
        <f>IFERROR(VLOOKUP(C104,'تقرير المصروفات حسب الشهر'!$C$890:$AD$999,13,FALSE),0)</f>
        <v>0</v>
      </c>
      <c r="L104" s="362">
        <f>IFERROR(VLOOKUP(C104,'تقرير المصروفات حسب الشهر'!$C$1016:$AD$1126,13,FALSE),0)</f>
        <v>0</v>
      </c>
      <c r="M104" s="376">
        <f>IFERROR(VLOOKUP(C104,'تقرير المصروفات حسب الشهر'!$C$1143:$AD$1254,13,FALSE),0)</f>
        <v>0</v>
      </c>
      <c r="N104" s="376">
        <f>IFERROR(VLOOKUP(C104,'تقرير المصروفات حسب الشهر'!$C$1270:$AD$1381,13,FALSE),0)</f>
        <v>0</v>
      </c>
      <c r="O104" s="376">
        <f>IFERROR(VLOOKUP(C104,'تقرير المصروفات حسب الشهر'!$C$1397:$AI$1512,13,FALSE),0)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الشهر'!$C$10:$AD$119,13,FALSE),0)</f>
        <v>0</v>
      </c>
      <c r="E105" s="362">
        <f>IFERROR(VLOOKUP(C105,'تقرير المصروفات حسب الشهر'!$C$135:$AD$244,13,FALSE),0)</f>
        <v>0</v>
      </c>
      <c r="F105" s="362">
        <v>0</v>
      </c>
      <c r="G105" s="362">
        <f>IFERROR(VLOOKUP(C105,'تقرير المصروفات حسب الشهر'!$C$387:$AD$495,13,FALSE),0)</f>
        <v>0</v>
      </c>
      <c r="H105" s="362">
        <f>IFERROR(VLOOKUP(C105,'تقرير المصروفات حسب الشهر'!$C$512:$AD$620,13,FALSE),0)</f>
        <v>0</v>
      </c>
      <c r="I105" s="362">
        <f>IFERROR(VLOOKUP(C105,'تقرير المصروفات حسب الشهر'!$C$637:$AD$746,13,FALSE),0)</f>
        <v>0</v>
      </c>
      <c r="J105" s="362">
        <f>IFERROR(VLOOKUP(C105,'تقرير المصروفات حسب الشهر'!$C$763:$AD$872,13,FALSE),0)</f>
        <v>0</v>
      </c>
      <c r="K105" s="362">
        <f>IFERROR(VLOOKUP(C105,'تقرير المصروفات حسب الشهر'!$C$890:$AD$999,13,FALSE),0)</f>
        <v>0</v>
      </c>
      <c r="L105" s="362">
        <f>IFERROR(VLOOKUP(C105,'تقرير المصروفات حسب الشهر'!$C$1016:$AD$1126,13,FALSE),0)</f>
        <v>0</v>
      </c>
      <c r="M105" s="376">
        <f>IFERROR(VLOOKUP(C105,'تقرير المصروفات حسب الشهر'!$C$1143:$AD$1254,13,FALSE),0)</f>
        <v>0</v>
      </c>
      <c r="N105" s="376">
        <f>IFERROR(VLOOKUP(C105,'تقرير المصروفات حسب الشهر'!$C$1270:$AD$1381,13,FALSE),0)</f>
        <v>0</v>
      </c>
      <c r="O105" s="376">
        <f>IFERROR(VLOOKUP(C105,'تقرير المصروفات حسب الشهر'!$C$1397:$AI$1512,13,FALSE),0)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الشهر'!$C$10:$AD$119,13,FALSE),0)</f>
        <v>1832</v>
      </c>
      <c r="E106" s="362">
        <f>IFERROR(VLOOKUP(C106,'تقرير المصروفات حسب الشهر'!$C$135:$AD$244,13,FALSE),0)</f>
        <v>1331.24</v>
      </c>
      <c r="F106" s="362">
        <v>2535.64</v>
      </c>
      <c r="G106" s="362">
        <f>IFERROR(VLOOKUP(C106,'تقرير المصروفات حسب الشهر'!$C$387:$AD$495,13,FALSE),0)</f>
        <v>2080.34</v>
      </c>
      <c r="H106" s="362">
        <f>IFERROR(VLOOKUP(C106,'تقرير المصروفات حسب الشهر'!$C$512:$AD$620,13,FALSE),0)</f>
        <v>2589.67</v>
      </c>
      <c r="I106" s="362">
        <f>IFERROR(VLOOKUP(C106,'تقرير المصروفات حسب الشهر'!$C$637:$AD$746,13,FALSE),0)</f>
        <v>1745.71</v>
      </c>
      <c r="J106" s="362">
        <f>IFERROR(VLOOKUP(C106,'تقرير المصروفات حسب الشهر'!$C$763:$AD$872,13,FALSE),0)</f>
        <v>2400.8000000000002</v>
      </c>
      <c r="K106" s="362">
        <f>IFERROR(VLOOKUP(C106,'تقرير المصروفات حسب الشهر'!$C$890:$AD$999,13,FALSE),0)</f>
        <v>2576.7800000000002</v>
      </c>
      <c r="L106" s="362">
        <f>IFERROR(VLOOKUP(C106,'تقرير المصروفات حسب الشهر'!$C$1016:$AD$1126,13,FALSE),0)</f>
        <v>2513.02</v>
      </c>
      <c r="M106" s="376">
        <f>IFERROR(VLOOKUP(C106,'تقرير المصروفات حسب الشهر'!$C$1143:$AD$1254,13,FALSE),0)</f>
        <v>2699.52</v>
      </c>
      <c r="N106" s="376">
        <f>IFERROR(VLOOKUP(C106,'تقرير المصروفات حسب الشهر'!$C$1270:$AD$1381,13,FALSE),0)</f>
        <v>1933.01</v>
      </c>
      <c r="O106" s="376">
        <f>IFERROR(VLOOKUP(C106,'تقرير المصروفات حسب الشهر'!$C$1397:$AI$1512,13,FALSE),0)</f>
        <v>2128</v>
      </c>
      <c r="P106" s="364">
        <f t="shared" si="6"/>
        <v>26365.729999999996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الشهر'!$C$10:$AD$119,13,FALSE),0)</f>
        <v>0</v>
      </c>
      <c r="E107" s="362">
        <f>IFERROR(VLOOKUP(C107,'تقرير المصروفات حسب الشهر'!$C$135:$AD$244,13,FALSE),0)</f>
        <v>0</v>
      </c>
      <c r="F107" s="362">
        <v>0</v>
      </c>
      <c r="G107" s="362">
        <f>IFERROR(VLOOKUP(C107,'تقرير المصروفات حسب الشهر'!$C$387:$AD$495,13,FALSE),0)</f>
        <v>0</v>
      </c>
      <c r="H107" s="362">
        <f>IFERROR(VLOOKUP(C107,'تقرير المصروفات حسب الشهر'!$C$512:$AD$620,13,FALSE),0)</f>
        <v>0</v>
      </c>
      <c r="I107" s="362">
        <f>IFERROR(VLOOKUP(C107,'تقرير المصروفات حسب الشهر'!$C$637:$AD$746,13,FALSE),0)</f>
        <v>0</v>
      </c>
      <c r="J107" s="362">
        <f>IFERROR(VLOOKUP(C107,'تقرير المصروفات حسب الشهر'!$C$763:$AD$872,13,FALSE),0)</f>
        <v>0</v>
      </c>
      <c r="K107" s="362">
        <f>IFERROR(VLOOKUP(C107,'تقرير المصروفات حسب الشهر'!$C$890:$AD$999,13,FALSE),0)</f>
        <v>0</v>
      </c>
      <c r="L107" s="362">
        <f>IFERROR(VLOOKUP(C107,'تقرير المصروفات حسب الشهر'!$C$1016:$AD$1126,13,FALSE),0)</f>
        <v>0</v>
      </c>
      <c r="M107" s="376">
        <f>IFERROR(VLOOKUP(C107,'تقرير المصروفات حسب الشهر'!$C$1143:$AD$1254,13,FALSE),0)</f>
        <v>0</v>
      </c>
      <c r="N107" s="376">
        <f>IFERROR(VLOOKUP(C107,'تقرير المصروفات حسب الشهر'!$C$1270:$AD$1381,13,FALSE),0)</f>
        <v>0</v>
      </c>
      <c r="O107" s="376">
        <f>IFERROR(VLOOKUP(C107,'تقرير المصروفات حسب الشهر'!$C$1397:$AI$1512,13,FALSE),0)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الشهر'!$C$10:$AD$119,13,FALSE),0)</f>
        <v>166.66</v>
      </c>
      <c r="E108" s="362">
        <f>IFERROR(VLOOKUP(C108,'تقرير المصروفات حسب الشهر'!$C$135:$AD$244,13,FALSE),0)</f>
        <v>166.66</v>
      </c>
      <c r="F108" s="362">
        <v>166.66</v>
      </c>
      <c r="G108" s="362">
        <f>IFERROR(VLOOKUP(C108,'تقرير المصروفات حسب الشهر'!$C$387:$AD$495,13,FALSE),0)</f>
        <v>166.66</v>
      </c>
      <c r="H108" s="362">
        <f>IFERROR(VLOOKUP(C108,'تقرير المصروفات حسب الشهر'!$C$512:$AD$620,13,FALSE),0)</f>
        <v>166.66</v>
      </c>
      <c r="I108" s="362">
        <f>IFERROR(VLOOKUP(C108,'تقرير المصروفات حسب الشهر'!$C$637:$AD$746,13,FALSE),0)</f>
        <v>166.66</v>
      </c>
      <c r="J108" s="362">
        <f>IFERROR(VLOOKUP(C108,'تقرير المصروفات حسب الشهر'!$C$763:$AD$872,13,FALSE),0)</f>
        <v>166.66</v>
      </c>
      <c r="K108" s="362">
        <f>IFERROR(VLOOKUP(C108,'تقرير المصروفات حسب الشهر'!$C$890:$AD$999,13,FALSE),0)</f>
        <v>166.66</v>
      </c>
      <c r="L108" s="362">
        <f>IFERROR(VLOOKUP(C108,'تقرير المصروفات حسب الشهر'!$C$1016:$AD$1126,13,FALSE),0)</f>
        <v>166.66</v>
      </c>
      <c r="M108" s="376">
        <f>IFERROR(VLOOKUP(C108,'تقرير المصروفات حسب الشهر'!$C$1143:$AD$1254,13,FALSE),0)</f>
        <v>166.66</v>
      </c>
      <c r="N108" s="376">
        <f>IFERROR(VLOOKUP(C108,'تقرير المصروفات حسب الشهر'!$C$1270:$AD$1381,13,FALSE),0)</f>
        <v>166.66</v>
      </c>
      <c r="O108" s="376">
        <f>IFERROR(VLOOKUP(C108,'تقرير المصروفات حسب الشهر'!$C$1397:$AI$1512,13,FALSE),0)</f>
        <v>166.66</v>
      </c>
      <c r="P108" s="364">
        <f t="shared" si="6"/>
        <v>1999.9200000000003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الشهر'!$C$10:$AD$119,13,FALSE),0)</f>
        <v>0</v>
      </c>
      <c r="E109" s="362">
        <f>IFERROR(VLOOKUP(C109,'تقرير المصروفات حسب الشهر'!$C$135:$AD$244,13,FALSE),0)</f>
        <v>0</v>
      </c>
      <c r="F109" s="362">
        <v>0</v>
      </c>
      <c r="G109" s="362">
        <f>IFERROR(VLOOKUP(C109,'تقرير المصروفات حسب الشهر'!$C$387:$AD$495,13,FALSE),0)</f>
        <v>0</v>
      </c>
      <c r="H109" s="362">
        <f>IFERROR(VLOOKUP(C109,'تقرير المصروفات حسب الشهر'!$C$512:$AD$620,13,FALSE),0)</f>
        <v>0</v>
      </c>
      <c r="I109" s="362">
        <f>IFERROR(VLOOKUP(C109,'تقرير المصروفات حسب الشهر'!$C$637:$AD$746,13,FALSE),0)</f>
        <v>0</v>
      </c>
      <c r="J109" s="362">
        <f>IFERROR(VLOOKUP(C109,'تقرير المصروفات حسب الشهر'!$C$763:$AD$872,13,FALSE),0)</f>
        <v>0</v>
      </c>
      <c r="K109" s="362">
        <f>IFERROR(VLOOKUP(C109,'تقرير المصروفات حسب الشهر'!$C$890:$AD$999,13,FALSE),0)</f>
        <v>0</v>
      </c>
      <c r="L109" s="362">
        <f>IFERROR(VLOOKUP(C109,'تقرير المصروفات حسب الشهر'!$C$1016:$AD$1126,13,FALSE),0)</f>
        <v>0</v>
      </c>
      <c r="M109" s="376">
        <f>IFERROR(VLOOKUP(C109,'تقرير المصروفات حسب الشهر'!$C$1143:$AD$1254,13,FALSE),0)</f>
        <v>0</v>
      </c>
      <c r="N109" s="376">
        <f>IFERROR(VLOOKUP(C109,'تقرير المصروفات حسب الشهر'!$C$1270:$AD$1381,13,FALSE),0)</f>
        <v>0</v>
      </c>
      <c r="O109" s="376">
        <f>IFERROR(VLOOKUP(C109,'تقرير المصروفات حسب الشهر'!$C$1397:$AI$1512,13,FALSE),0)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الشهر'!$C$10:$AD$119,13,FALSE),0)</f>
        <v>240.04</v>
      </c>
      <c r="E110" s="362">
        <f>IFERROR(VLOOKUP(C110,'تقرير المصروفات حسب الشهر'!$C$135:$AD$244,13,FALSE),0)</f>
        <v>0</v>
      </c>
      <c r="F110" s="362">
        <v>0</v>
      </c>
      <c r="G110" s="362">
        <f>IFERROR(VLOOKUP(C110,'تقرير المصروفات حسب الشهر'!$C$387:$AD$495,13,FALSE),0)</f>
        <v>0</v>
      </c>
      <c r="H110" s="362">
        <f>IFERROR(VLOOKUP(C110,'تقرير المصروفات حسب الشهر'!$C$512:$AD$620,13,FALSE),0)</f>
        <v>0</v>
      </c>
      <c r="I110" s="362">
        <v>3274.45</v>
      </c>
      <c r="J110" s="362">
        <f>IFERROR(VLOOKUP(C110,'تقرير المصروفات حسب الشهر'!$C$763:$AD$872,13,FALSE),0)</f>
        <v>0</v>
      </c>
      <c r="K110" s="362">
        <f>IFERROR(VLOOKUP(C110,'تقرير المصروفات حسب الشهر'!$C$890:$AD$999,13,FALSE),0)</f>
        <v>0</v>
      </c>
      <c r="L110" s="362">
        <f>IFERROR(VLOOKUP(C110,'تقرير المصروفات حسب الشهر'!$C$1016:$AD$1126,13,FALSE),0)</f>
        <v>0</v>
      </c>
      <c r="M110" s="376">
        <f>IFERROR(VLOOKUP(C110,'تقرير المصروفات حسب الشهر'!$C$1143:$AD$1254,13,FALSE),0)</f>
        <v>0</v>
      </c>
      <c r="N110" s="376">
        <f>IFERROR(VLOOKUP(C110,'تقرير المصروفات حسب الشهر'!$C$1270:$AD$1381,13,FALSE),0)</f>
        <v>0</v>
      </c>
      <c r="O110" s="376">
        <f>IFERROR(VLOOKUP(C110,'تقرير المصروفات حسب الشهر'!$C$1397:$AI$1512,13,FALSE),0)</f>
        <v>6074.55</v>
      </c>
      <c r="P110" s="364">
        <f t="shared" si="6"/>
        <v>9589.0400000000009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الشهر'!$C$10:$AD$119,13,FALSE),0)</f>
        <v>0</v>
      </c>
      <c r="E111" s="362">
        <f>IFERROR(VLOOKUP(C111,'تقرير المصروفات حسب الشهر'!$C$135:$AD$244,13,FALSE),0)</f>
        <v>0</v>
      </c>
      <c r="F111" s="362">
        <v>0</v>
      </c>
      <c r="G111" s="362">
        <f>IFERROR(VLOOKUP(C111,'تقرير المصروفات حسب الشهر'!$C$387:$AD$495,13,FALSE),0)</f>
        <v>0</v>
      </c>
      <c r="H111" s="362">
        <f>IFERROR(VLOOKUP(C111,'تقرير المصروفات حسب الشهر'!$C$512:$AD$620,13,FALSE),0)</f>
        <v>0</v>
      </c>
      <c r="I111" s="362">
        <f>IFERROR(VLOOKUP(C111,'تقرير المصروفات حسب الشهر'!$C$637:$AD$746,13,FALSE),0)</f>
        <v>0</v>
      </c>
      <c r="J111" s="362">
        <f>IFERROR(VLOOKUP(C111,'تقرير المصروفات حسب الشهر'!$C$763:$AD$872,13,FALSE),0)</f>
        <v>0</v>
      </c>
      <c r="K111" s="362">
        <f>IFERROR(VLOOKUP(C111,'تقرير المصروفات حسب الشهر'!$C$890:$AD$999,13,FALSE),0)</f>
        <v>0</v>
      </c>
      <c r="L111" s="362">
        <f>IFERROR(VLOOKUP(C111,'تقرير المصروفات حسب الشهر'!$C$1016:$AD$1126,13,FALSE),0)</f>
        <v>0</v>
      </c>
      <c r="M111" s="376">
        <f>IFERROR(VLOOKUP(C111,'تقرير المصروفات حسب الشهر'!$C$1143:$AD$1254,13,FALSE),0)</f>
        <v>0</v>
      </c>
      <c r="N111" s="376">
        <f>IFERROR(VLOOKUP(C111,'تقرير المصروفات حسب الشهر'!$C$1270:$AD$1381,13,FALSE),0)</f>
        <v>0</v>
      </c>
      <c r="O111" s="376">
        <f>IFERROR(VLOOKUP(C111,'تقرير المصروفات حسب الشهر'!$C$1397:$AI$1512,13,FALSE),0)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الشهر'!$C$10:$AD$119,13,FALSE),0)</f>
        <v>0</v>
      </c>
      <c r="E112" s="362">
        <f>IFERROR(VLOOKUP(C112,'تقرير المصروفات حسب الشهر'!$C$135:$AD$244,13,FALSE),0)</f>
        <v>1226</v>
      </c>
      <c r="F112" s="362">
        <v>1000</v>
      </c>
      <c r="G112" s="362">
        <f>IFERROR(VLOOKUP(C112,'تقرير المصروفات حسب الشهر'!$C$387:$AD$495,13,FALSE),0)</f>
        <v>1000</v>
      </c>
      <c r="H112" s="362">
        <f>IFERROR(VLOOKUP(C112,'تقرير المصروفات حسب الشهر'!$C$512:$AD$620,13,FALSE),0)</f>
        <v>44</v>
      </c>
      <c r="I112" s="362">
        <f>IFERROR(VLOOKUP(C112,'تقرير المصروفات حسب الشهر'!$C$637:$AD$746,13,FALSE),0)</f>
        <v>1245</v>
      </c>
      <c r="J112" s="362">
        <f>IFERROR(VLOOKUP(C112,'تقرير المصروفات حسب الشهر'!$C$763:$AD$872,13,FALSE),0)</f>
        <v>1000</v>
      </c>
      <c r="K112" s="362">
        <f>IFERROR(VLOOKUP(C112,'تقرير المصروفات حسب الشهر'!$C$890:$AD$999,13,FALSE),0)</f>
        <v>260</v>
      </c>
      <c r="L112" s="362">
        <f>IFERROR(VLOOKUP(C112,'تقرير المصروفات حسب الشهر'!$C$1016:$AD$1126,13,FALSE),0)</f>
        <v>1022</v>
      </c>
      <c r="M112" s="376">
        <f>IFERROR(VLOOKUP(C112,'تقرير المصروفات حسب الشهر'!$C$1143:$AD$1254,13,FALSE),0)</f>
        <v>1014</v>
      </c>
      <c r="N112" s="376">
        <f>IFERROR(VLOOKUP(C112,'تقرير المصروفات حسب الشهر'!$C$1270:$AD$1381,13,FALSE),0)</f>
        <v>0</v>
      </c>
      <c r="O112" s="376">
        <f>IFERROR(VLOOKUP(C112,'تقرير المصروفات حسب الشهر'!$C$1397:$AI$1512,13,FALSE),0)</f>
        <v>1000</v>
      </c>
      <c r="P112" s="364">
        <f t="shared" si="6"/>
        <v>8811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الشهر'!$C$10:$AD$119,13,FALSE),0)</f>
        <v>0</v>
      </c>
      <c r="E113" s="362">
        <f>IFERROR(VLOOKUP(C113,'تقرير المصروفات حسب الشهر'!$C$135:$AD$244,13,FALSE),0)</f>
        <v>0</v>
      </c>
      <c r="F113" s="362">
        <v>0</v>
      </c>
      <c r="G113" s="362">
        <f>IFERROR(VLOOKUP(C113,'تقرير المصروفات حسب الشهر'!$C$387:$AD$495,13,FALSE),0)</f>
        <v>0</v>
      </c>
      <c r="H113" s="362">
        <f>IFERROR(VLOOKUP(C113,'تقرير المصروفات حسب الشهر'!$C$512:$AD$620,13,FALSE),0)</f>
        <v>0</v>
      </c>
      <c r="I113" s="362">
        <f>IFERROR(VLOOKUP(C113,'تقرير المصروفات حسب الشهر'!$C$637:$AD$746,13,FALSE),0)</f>
        <v>0</v>
      </c>
      <c r="J113" s="362">
        <f>IFERROR(VLOOKUP(C113,'تقرير المصروفات حسب الشهر'!$C$763:$AD$872,13,FALSE),0)</f>
        <v>0</v>
      </c>
      <c r="K113" s="362">
        <f>IFERROR(VLOOKUP(C113,'تقرير المصروفات حسب الشهر'!$C$890:$AD$999,13,FALSE),0)</f>
        <v>0</v>
      </c>
      <c r="L113" s="362">
        <f>IFERROR(VLOOKUP(C113,'تقرير المصروفات حسب الشهر'!$C$1016:$AD$1126,13,FALSE),0)</f>
        <v>0</v>
      </c>
      <c r="M113" s="376">
        <f>IFERROR(VLOOKUP(C113,'تقرير المصروفات حسب الشهر'!$C$1143:$AD$1254,13,FALSE),0)</f>
        <v>0</v>
      </c>
      <c r="N113" s="376">
        <f>IFERROR(VLOOKUP(C113,'تقرير المصروفات حسب الشهر'!$C$1270:$AD$1381,13,FALSE),0)</f>
        <v>0</v>
      </c>
      <c r="O113" s="376">
        <f>IFERROR(VLOOKUP(C113,'تقرير المصروفات حسب الشهر'!$C$1397:$AI$1512,13,FALSE),0)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الشهر'!$C$10:$AD$119,13,FALSE),0)</f>
        <v>0</v>
      </c>
      <c r="E114" s="362">
        <f>IFERROR(VLOOKUP(C114,'تقرير المصروفات حسب الشهر'!$C$135:$AD$244,13,FALSE),0)</f>
        <v>0</v>
      </c>
      <c r="F114" s="362">
        <v>0</v>
      </c>
      <c r="G114" s="362">
        <f>IFERROR(VLOOKUP(C114,'تقرير المصروفات حسب الشهر'!$C$387:$AD$495,13,FALSE),0)</f>
        <v>0</v>
      </c>
      <c r="H114" s="362">
        <f>IFERROR(VLOOKUP(C114,'تقرير المصروفات حسب الشهر'!$C$512:$AD$620,13,FALSE),0)</f>
        <v>0</v>
      </c>
      <c r="I114" s="362">
        <f>IFERROR(VLOOKUP(C114,'تقرير المصروفات حسب الشهر'!$C$637:$AD$746,13,FALSE),0)</f>
        <v>0</v>
      </c>
      <c r="J114" s="362">
        <f>IFERROR(VLOOKUP(C114,'تقرير المصروفات حسب الشهر'!$C$763:$AD$872,13,FALSE),0)</f>
        <v>0</v>
      </c>
      <c r="K114" s="362">
        <f>IFERROR(VLOOKUP(C114,'تقرير المصروفات حسب الشهر'!$C$890:$AD$999,13,FALSE),0)</f>
        <v>0</v>
      </c>
      <c r="L114" s="362">
        <f>IFERROR(VLOOKUP(C114,'تقرير المصروفات حسب الشهر'!$C$1016:$AD$1126,13,FALSE),0)</f>
        <v>0</v>
      </c>
      <c r="M114" s="376">
        <f>IFERROR(VLOOKUP(C114,'تقرير المصروفات حسب الشهر'!$C$1143:$AD$1254,13,FALSE),0)</f>
        <v>0</v>
      </c>
      <c r="N114" s="376">
        <f>IFERROR(VLOOKUP(C114,'تقرير المصروفات حسب الشهر'!$C$1270:$AD$1381,13,FALSE),0)</f>
        <v>0</v>
      </c>
      <c r="O114" s="376">
        <f>IFERROR(VLOOKUP(C114,'تقرير المصروفات حسب الشهر'!$C$1397:$AI$1512,13,FALSE),0)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الشهر'!$C$10:$AD$119,13,FALSE),0)</f>
        <v>0</v>
      </c>
      <c r="E115" s="362">
        <f>IFERROR(VLOOKUP(C115,'تقرير المصروفات حسب الشهر'!$C$135:$AD$244,13,FALSE),0)</f>
        <v>0</v>
      </c>
      <c r="F115" s="362">
        <v>0</v>
      </c>
      <c r="G115" s="362">
        <f>IFERROR(VLOOKUP(C115,'تقرير المصروفات حسب الشهر'!$C$387:$AD$495,13,FALSE),0)</f>
        <v>0</v>
      </c>
      <c r="H115" s="362">
        <f>IFERROR(VLOOKUP(C115,'تقرير المصروفات حسب الشهر'!$C$512:$AD$620,13,FALSE),0)</f>
        <v>0</v>
      </c>
      <c r="I115" s="362">
        <f>IFERROR(VLOOKUP(C115,'تقرير المصروفات حسب الشهر'!$C$637:$AD$746,13,FALSE),0)</f>
        <v>0</v>
      </c>
      <c r="J115" s="362">
        <f>IFERROR(VLOOKUP(C115,'تقرير المصروفات حسب الشهر'!$C$763:$AD$872,13,FALSE),0)</f>
        <v>0</v>
      </c>
      <c r="K115" s="362">
        <f>IFERROR(VLOOKUP(C115,'تقرير المصروفات حسب الشهر'!$C$890:$AD$999,13,FALSE),0)</f>
        <v>0</v>
      </c>
      <c r="L115" s="362">
        <f>IFERROR(VLOOKUP(C115,'تقرير المصروفات حسب الشهر'!$C$1016:$AD$1126,13,FALSE),0)</f>
        <v>0</v>
      </c>
      <c r="M115" s="376">
        <f>IFERROR(VLOOKUP(C115,'تقرير المصروفات حسب الشهر'!$C$1143:$AD$1254,13,FALSE),0)</f>
        <v>0</v>
      </c>
      <c r="N115" s="376">
        <f>IFERROR(VLOOKUP(C115,'تقرير المصروفات حسب الشهر'!$C$1270:$AD$1381,13,FALSE),0)</f>
        <v>0</v>
      </c>
      <c r="O115" s="376">
        <f>IFERROR(VLOOKUP(C115,'تقرير المصروفات حسب الشهر'!$C$1397:$AI$1512,13,FALSE),0)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الشهر'!$C$10:$AD$119,13,FALSE),0)</f>
        <v>0</v>
      </c>
      <c r="E116" s="362">
        <f>IFERROR(VLOOKUP(C116,'تقرير المصروفات حسب الشهر'!$C$135:$AD$244,13,FALSE),0)</f>
        <v>0</v>
      </c>
      <c r="F116" s="362">
        <v>0</v>
      </c>
      <c r="G116" s="362">
        <f>IFERROR(VLOOKUP(C116,'تقرير المصروفات حسب الشهر'!$C$387:$AD$495,13,FALSE),0)</f>
        <v>0</v>
      </c>
      <c r="H116" s="362">
        <f>IFERROR(VLOOKUP(C116,'تقرير المصروفات حسب الشهر'!$C$512:$AD$620,13,FALSE),0)</f>
        <v>0</v>
      </c>
      <c r="I116" s="362">
        <f>IFERROR(VLOOKUP(C116,'تقرير المصروفات حسب الشهر'!$C$637:$AD$746,13,FALSE),0)</f>
        <v>0</v>
      </c>
      <c r="J116" s="362">
        <f>IFERROR(VLOOKUP(C116,'تقرير المصروفات حسب الشهر'!$C$763:$AD$872,13,FALSE),0)</f>
        <v>0</v>
      </c>
      <c r="K116" s="362">
        <f>IFERROR(VLOOKUP(C116,'تقرير المصروفات حسب الشهر'!$C$890:$AD$999,13,FALSE),0)</f>
        <v>0</v>
      </c>
      <c r="L116" s="362">
        <f>IFERROR(VLOOKUP(C116,'تقرير المصروفات حسب الشهر'!$C$1016:$AD$1126,13,FALSE),0)</f>
        <v>0</v>
      </c>
      <c r="M116" s="376">
        <f>IFERROR(VLOOKUP(C116,'تقرير المصروفات حسب الشهر'!$C$1143:$AD$1254,13,FALSE),0)</f>
        <v>0</v>
      </c>
      <c r="N116" s="376">
        <f>IFERROR(VLOOKUP(C116,'تقرير المصروفات حسب الشهر'!$C$1270:$AD$1381,13,FALSE),0)</f>
        <v>0</v>
      </c>
      <c r="O116" s="376">
        <f>IFERROR(VLOOKUP(C116,'تقرير المصروفات حسب الشهر'!$C$1397:$AI$1512,13,FALSE),0)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الشهر'!$C$10:$AD$119,13,FALSE),0)</f>
        <v>0</v>
      </c>
      <c r="E117" s="362">
        <f>IFERROR(VLOOKUP(C117,'تقرير المصروفات حسب الشهر'!$C$135:$AD$244,13,FALSE),0)</f>
        <v>0</v>
      </c>
      <c r="F117" s="362">
        <v>0</v>
      </c>
      <c r="G117" s="362">
        <f>IFERROR(VLOOKUP(C117,'تقرير المصروفات حسب الشهر'!$C$387:$AD$495,13,FALSE),0)</f>
        <v>0</v>
      </c>
      <c r="H117" s="362">
        <f>IFERROR(VLOOKUP(C117,'تقرير المصروفات حسب الشهر'!$C$512:$AD$620,13,FALSE),0)</f>
        <v>0</v>
      </c>
      <c r="I117" s="362">
        <f>IFERROR(VLOOKUP(C117,'تقرير المصروفات حسب الشهر'!$C$637:$AD$746,13,FALSE),0)</f>
        <v>0</v>
      </c>
      <c r="J117" s="362">
        <f>IFERROR(VLOOKUP(C117,'تقرير المصروفات حسب الشهر'!$C$763:$AD$872,13,FALSE),0)</f>
        <v>0</v>
      </c>
      <c r="K117" s="362">
        <f>IFERROR(VLOOKUP(C117,'تقرير المصروفات حسب الشهر'!$C$890:$AD$999,13,FALSE),0)</f>
        <v>0</v>
      </c>
      <c r="L117" s="362">
        <f>IFERROR(VLOOKUP(C117,'تقرير المصروفات حسب الشهر'!$C$1016:$AD$1126,13,FALSE),0)</f>
        <v>0</v>
      </c>
      <c r="M117" s="376">
        <f>IFERROR(VLOOKUP(C117,'تقرير المصروفات حسب الشهر'!$C$1143:$AD$1254,13,FALSE),0)</f>
        <v>0</v>
      </c>
      <c r="N117" s="376">
        <f>IFERROR(VLOOKUP(C117,'تقرير المصروفات حسب الشهر'!$C$1270:$AD$1381,13,FALSE),0)</f>
        <v>0</v>
      </c>
      <c r="O117" s="376">
        <f>IFERROR(VLOOKUP(C117,'تقرير المصروفات حسب الشهر'!$C$1397:$AI$1512,13,FALSE),0)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الشهر'!$C$10:$AD$119,13,FALSE),0)</f>
        <v>0</v>
      </c>
      <c r="E118" s="362">
        <f>IFERROR(VLOOKUP(C118,'تقرير المصروفات حسب الشهر'!$C$135:$AD$244,13,FALSE),0)</f>
        <v>0</v>
      </c>
      <c r="F118" s="362">
        <v>0</v>
      </c>
      <c r="G118" s="362">
        <f>IFERROR(VLOOKUP(C118,'تقرير المصروفات حسب الشهر'!$C$387:$AD$495,13,FALSE),0)</f>
        <v>0</v>
      </c>
      <c r="H118" s="362">
        <f>IFERROR(VLOOKUP(C118,'تقرير المصروفات حسب الشهر'!$C$512:$AD$620,13,FALSE),0)</f>
        <v>0</v>
      </c>
      <c r="I118" s="362">
        <f>IFERROR(VLOOKUP(C118,'تقرير المصروفات حسب الشهر'!$C$637:$AD$746,13,FALSE),0)</f>
        <v>0</v>
      </c>
      <c r="J118" s="362">
        <f>IFERROR(VLOOKUP(C118,'تقرير المصروفات حسب الشهر'!$C$763:$AD$872,13,FALSE),0)</f>
        <v>0</v>
      </c>
      <c r="K118" s="362">
        <f>IFERROR(VLOOKUP(C118,'تقرير المصروفات حسب الشهر'!$C$890:$AD$999,13,FALSE),0)</f>
        <v>0</v>
      </c>
      <c r="L118" s="362">
        <f>IFERROR(VLOOKUP(C118,'تقرير المصروفات حسب الشهر'!$C$1016:$AD$1126,13,FALSE),0)</f>
        <v>0</v>
      </c>
      <c r="M118" s="376">
        <f>IFERROR(VLOOKUP(C118,'تقرير المصروفات حسب الشهر'!$C$1143:$AD$1254,13,FALSE),0)</f>
        <v>0</v>
      </c>
      <c r="N118" s="376">
        <f>IFERROR(VLOOKUP(C118,'تقرير المصروفات حسب الشهر'!$C$1270:$AD$1381,13,FALSE),0)</f>
        <v>0</v>
      </c>
      <c r="O118" s="376">
        <f>IFERROR(VLOOKUP(C118,'تقرير المصروفات حسب الشهر'!$C$1397:$AI$1512,13,FALSE),0)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الشهر'!$C$10:$AD$119,13,FALSE),0)</f>
        <v>0</v>
      </c>
      <c r="E119" s="362">
        <f>IFERROR(VLOOKUP(C119,'تقرير المصروفات حسب الشهر'!$C$135:$AD$244,13,FALSE),0)</f>
        <v>146</v>
      </c>
      <c r="F119" s="362">
        <v>0</v>
      </c>
      <c r="G119" s="362">
        <f>IFERROR(VLOOKUP(C119,'تقرير المصروفات حسب الشهر'!$C$387:$AD$495,13,FALSE),0)</f>
        <v>0</v>
      </c>
      <c r="H119" s="362">
        <f>IFERROR(VLOOKUP(C119,'تقرير المصروفات حسب الشهر'!$C$512:$AD$620,13,FALSE),0)</f>
        <v>379</v>
      </c>
      <c r="I119" s="362">
        <f>IFERROR(VLOOKUP(C119,'تقرير المصروفات حسب الشهر'!$C$637:$AD$746,13,FALSE),0)</f>
        <v>811.11</v>
      </c>
      <c r="J119" s="362">
        <f>IFERROR(VLOOKUP(C119,'تقرير المصروفات حسب الشهر'!$C$763:$AD$872,13,FALSE),0)</f>
        <v>868</v>
      </c>
      <c r="K119" s="362">
        <f>IFERROR(VLOOKUP(C119,'تقرير المصروفات حسب الشهر'!$C$890:$AD$999,13,FALSE),0)</f>
        <v>172</v>
      </c>
      <c r="L119" s="362">
        <f>IFERROR(VLOOKUP(C119,'تقرير المصروفات حسب الشهر'!$C$1016:$AD$1126,13,FALSE),0)</f>
        <v>0</v>
      </c>
      <c r="M119" s="376">
        <f>IFERROR(VLOOKUP(C119,'تقرير المصروفات حسب الشهر'!$C$1143:$AD$1254,13,FALSE),0)</f>
        <v>0</v>
      </c>
      <c r="N119" s="376">
        <f>IFERROR(VLOOKUP(C119,'تقرير المصروفات حسب الشهر'!$C$1270:$AD$1381,13,FALSE),0)</f>
        <v>0</v>
      </c>
      <c r="O119" s="376">
        <f>IFERROR(VLOOKUP(C119,'تقرير المصروفات حسب الشهر'!$C$1397:$AI$1512,13,FALSE),0)</f>
        <v>749.08</v>
      </c>
      <c r="P119" s="364">
        <f t="shared" si="6"/>
        <v>3125.19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الشهر'!$C$10:$AD$119,13,FALSE),0)</f>
        <v>0</v>
      </c>
      <c r="E120" s="362">
        <f>IFERROR(VLOOKUP(C120,'تقرير المصروفات حسب الشهر'!$C$135:$AD$244,13,FALSE),0)</f>
        <v>0</v>
      </c>
      <c r="F120" s="362">
        <v>0</v>
      </c>
      <c r="G120" s="362">
        <f>IFERROR(VLOOKUP(C120,'تقرير المصروفات حسب الشهر'!$C$387:$AD$495,13,FALSE),0)</f>
        <v>0</v>
      </c>
      <c r="H120" s="362">
        <f>IFERROR(VLOOKUP(C120,'تقرير المصروفات حسب الشهر'!$C$512:$AD$620,13,FALSE),0)</f>
        <v>0</v>
      </c>
      <c r="I120" s="362">
        <f>IFERROR(VLOOKUP(C120,'تقرير المصروفات حسب الشهر'!$C$637:$AD$746,13,FALSE),0)</f>
        <v>0</v>
      </c>
      <c r="J120" s="362">
        <f>IFERROR(VLOOKUP(C120,'تقرير المصروفات حسب الشهر'!$C$763:$AD$872,13,FALSE),0)</f>
        <v>0</v>
      </c>
      <c r="K120" s="362">
        <f>IFERROR(VLOOKUP(C120,'تقرير المصروفات حسب الشهر'!$C$890:$AD$999,13,FALSE),0)</f>
        <v>0</v>
      </c>
      <c r="L120" s="362">
        <f>IFERROR(VLOOKUP(C120,'تقرير المصروفات حسب الشهر'!$C$1016:$AD$1126,13,FALSE),0)</f>
        <v>0</v>
      </c>
      <c r="M120" s="376">
        <f>IFERROR(VLOOKUP(C120,'تقرير المصروفات حسب الشهر'!$C$1143:$AD$1254,13,FALSE),0)</f>
        <v>0</v>
      </c>
      <c r="N120" s="376">
        <f>IFERROR(VLOOKUP(C120,'تقرير المصروفات حسب الشهر'!$C$1270:$AD$1381,13,FALSE),0)</f>
        <v>0</v>
      </c>
      <c r="O120" s="376">
        <f>IFERROR(VLOOKUP(C120,'تقرير المصروفات حسب الشهر'!$C$1397:$AI$1512,13,FALSE),0)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الشهر'!$C$10:$AD$119,13,FALSE),0)</f>
        <v>0</v>
      </c>
      <c r="E121" s="362">
        <f>IFERROR(VLOOKUP(C121,'تقرير المصروفات حسب الشهر'!$C$135:$AD$244,13,FALSE),0)</f>
        <v>0</v>
      </c>
      <c r="F121" s="362">
        <v>0</v>
      </c>
      <c r="G121" s="362">
        <f>IFERROR(VLOOKUP(C121,'تقرير المصروفات حسب الشهر'!$C$387:$AD$495,13,FALSE),0)</f>
        <v>0</v>
      </c>
      <c r="H121" s="362">
        <f>IFERROR(VLOOKUP(C121,'تقرير المصروفات حسب الشهر'!$C$512:$AD$620,13,FALSE),0)</f>
        <v>0</v>
      </c>
      <c r="I121" s="362">
        <f>IFERROR(VLOOKUP(C121,'تقرير المصروفات حسب الشهر'!$C$637:$AD$746,13,FALSE),0)</f>
        <v>0</v>
      </c>
      <c r="J121" s="362">
        <f>IFERROR(VLOOKUP(C121,'تقرير المصروفات حسب الشهر'!$C$763:$AD$872,13,FALSE),0)</f>
        <v>0</v>
      </c>
      <c r="K121" s="362">
        <f>IFERROR(VLOOKUP(C121,'تقرير المصروفات حسب الشهر'!$C$890:$AD$999,13,FALSE),0)</f>
        <v>0</v>
      </c>
      <c r="L121" s="362">
        <f>IFERROR(VLOOKUP(C121,'تقرير المصروفات حسب الشهر'!$C$1016:$AD$1126,13,FALSE),0)</f>
        <v>0</v>
      </c>
      <c r="M121" s="376">
        <f>IFERROR(VLOOKUP(C121,'تقرير المصروفات حسب الشهر'!$C$1143:$AD$1254,13,FALSE),0)</f>
        <v>0</v>
      </c>
      <c r="N121" s="376">
        <f>IFERROR(VLOOKUP(C121,'تقرير المصروفات حسب الشهر'!$C$1270:$AD$1381,13,FALSE),0)</f>
        <v>0</v>
      </c>
      <c r="O121" s="376">
        <f>IFERROR(VLOOKUP(C121,'تقرير المصروفات حسب الشهر'!$C$1397:$AI$1512,13,FALSE),0)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الشهر'!$C$10:$AD$119,13,FALSE),0)</f>
        <v>0</v>
      </c>
      <c r="E122" s="362">
        <f>IFERROR(VLOOKUP(C122,'تقرير المصروفات حسب الشهر'!$C$135:$AD$244,13,FALSE),0)</f>
        <v>0</v>
      </c>
      <c r="F122" s="362">
        <v>0</v>
      </c>
      <c r="G122" s="362">
        <f>IFERROR(VLOOKUP(C122,'تقرير المصروفات حسب الشهر'!$C$387:$AD$495,13,FALSE),0)</f>
        <v>0</v>
      </c>
      <c r="H122" s="362">
        <f>IFERROR(VLOOKUP(C122,'تقرير المصروفات حسب الشهر'!$C$512:$AD$620,13,FALSE),0)</f>
        <v>0</v>
      </c>
      <c r="I122" s="362">
        <f>IFERROR(VLOOKUP(C122,'تقرير المصروفات حسب الشهر'!$C$637:$AD$746,13,FALSE),0)</f>
        <v>0</v>
      </c>
      <c r="J122" s="362">
        <f>IFERROR(VLOOKUP(C122,'تقرير المصروفات حسب الشهر'!$C$763:$AD$872,13,FALSE),0)</f>
        <v>0</v>
      </c>
      <c r="K122" s="362">
        <f>IFERROR(VLOOKUP(C122,'تقرير المصروفات حسب الشهر'!$C$890:$AD$999,13,FALSE),0)</f>
        <v>0</v>
      </c>
      <c r="L122" s="362">
        <f>IFERROR(VLOOKUP(C122,'تقرير المصروفات حسب الشهر'!$C$1016:$AD$1126,13,FALSE),0)</f>
        <v>0</v>
      </c>
      <c r="M122" s="376">
        <f>IFERROR(VLOOKUP(C122,'تقرير المصروفات حسب الشهر'!$C$1143:$AD$1254,13,FALSE),0)</f>
        <v>0</v>
      </c>
      <c r="N122" s="376">
        <f>IFERROR(VLOOKUP(C122,'تقرير المصروفات حسب الشهر'!$C$1270:$AD$1381,13,FALSE),0)</f>
        <v>0</v>
      </c>
      <c r="O122" s="376">
        <f>IFERROR(VLOOKUP(C122,'تقرير المصروفات حسب الشهر'!$C$1397:$AI$1512,13,FALSE),0)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الشهر'!$C$10:$AD$119,13,FALSE),0)</f>
        <v>0</v>
      </c>
      <c r="E123" s="362">
        <f>IFERROR(VLOOKUP(C123,'تقرير المصروفات حسب الشهر'!$C$135:$AD$244,13,FALSE),0)</f>
        <v>0</v>
      </c>
      <c r="F123" s="362">
        <v>0</v>
      </c>
      <c r="G123" s="362">
        <f>IFERROR(VLOOKUP(C123,'تقرير المصروفات حسب الشهر'!$C$387:$AD$495,13,FALSE),0)</f>
        <v>0</v>
      </c>
      <c r="H123" s="362">
        <f>IFERROR(VLOOKUP(C123,'تقرير المصروفات حسب الشهر'!$C$512:$AD$620,13,FALSE),0)</f>
        <v>0</v>
      </c>
      <c r="I123" s="362">
        <f>IFERROR(VLOOKUP(C123,'تقرير المصروفات حسب الشهر'!$C$637:$AD$746,13,FALSE),0)</f>
        <v>0</v>
      </c>
      <c r="J123" s="362">
        <f>IFERROR(VLOOKUP(C123,'تقرير المصروفات حسب الشهر'!$C$763:$AD$872,13,FALSE),0)</f>
        <v>0</v>
      </c>
      <c r="K123" s="362">
        <f>IFERROR(VLOOKUP(C123,'تقرير المصروفات حسب الشهر'!$C$890:$AD$999,13,FALSE),0)</f>
        <v>0</v>
      </c>
      <c r="L123" s="362">
        <f>IFERROR(VLOOKUP(C123,'تقرير المصروفات حسب الشهر'!$C$1016:$AD$1126,13,FALSE),0)</f>
        <v>0</v>
      </c>
      <c r="M123" s="376">
        <f>IFERROR(VLOOKUP(C123,'تقرير المصروفات حسب الشهر'!$C$1143:$AD$1254,13,FALSE),0)</f>
        <v>0</v>
      </c>
      <c r="N123" s="376">
        <f>IFERROR(VLOOKUP(C123,'تقرير المصروفات حسب الشهر'!$C$1270:$AD$1381,13,FALSE),0)</f>
        <v>0</v>
      </c>
      <c r="O123" s="376">
        <f>IFERROR(VLOOKUP(C123,'تقرير المصروفات حسب الشهر'!$C$1397:$AI$1512,13,FALSE),0)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الشهر'!$C$10:$AD$119,13,FALSE),0)</f>
        <v>0</v>
      </c>
      <c r="E124" s="362">
        <f>IFERROR(VLOOKUP(C124,'تقرير المصروفات حسب الشهر'!$C$135:$AD$244,13,FALSE),0)</f>
        <v>0</v>
      </c>
      <c r="F124" s="362">
        <v>0</v>
      </c>
      <c r="G124" s="362">
        <f>IFERROR(VLOOKUP(C124,'تقرير المصروفات حسب الشهر'!$C$387:$AD$495,13,FALSE),0)</f>
        <v>0</v>
      </c>
      <c r="H124" s="362">
        <f>IFERROR(VLOOKUP(C124,'تقرير المصروفات حسب الشهر'!$C$512:$AD$620,13,FALSE),0)</f>
        <v>0</v>
      </c>
      <c r="I124" s="362">
        <f>IFERROR(VLOOKUP(C124,'تقرير المصروفات حسب الشهر'!$C$637:$AD$746,13,FALSE),0)</f>
        <v>0</v>
      </c>
      <c r="J124" s="362">
        <f>IFERROR(VLOOKUP(C124,'تقرير المصروفات حسب الشهر'!$C$763:$AD$872,13,FALSE),0)</f>
        <v>0</v>
      </c>
      <c r="K124" s="362">
        <f>IFERROR(VLOOKUP(C124,'تقرير المصروفات حسب الشهر'!$C$890:$AD$999,13,FALSE),0)</f>
        <v>0</v>
      </c>
      <c r="L124" s="362">
        <f>IFERROR(VLOOKUP(C124,'تقرير المصروفات حسب الشهر'!$C$1016:$AD$1126,13,FALSE),0)</f>
        <v>0</v>
      </c>
      <c r="M124" s="376">
        <f>IFERROR(VLOOKUP(C124,'تقرير المصروفات حسب الشهر'!$C$1143:$AD$1254,13,FALSE),0)</f>
        <v>0</v>
      </c>
      <c r="N124" s="376">
        <f>IFERROR(VLOOKUP(C124,'تقرير المصروفات حسب الشهر'!$C$1270:$AD$1381,13,FALSE),0)</f>
        <v>0</v>
      </c>
      <c r="O124" s="376">
        <f>IFERROR(VLOOKUP(C124,'تقرير المصروفات حسب الشهر'!$C$1397:$AI$1512,13,FALSE),0)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الشهر'!$C$10:$AD$119,13,FALSE),0)</f>
        <v>0</v>
      </c>
      <c r="E125" s="362">
        <f>IFERROR(VLOOKUP(C125,'تقرير المصروفات حسب الشهر'!$C$135:$AD$244,13,FALSE),0)</f>
        <v>0</v>
      </c>
      <c r="F125" s="362">
        <v>0</v>
      </c>
      <c r="G125" s="362">
        <f>IFERROR(VLOOKUP(C125,'تقرير المصروفات حسب الشهر'!$C$387:$AD$495,13,FALSE),0)</f>
        <v>0</v>
      </c>
      <c r="H125" s="362">
        <f>IFERROR(VLOOKUP(C125,'تقرير المصروفات حسب الشهر'!$C$512:$AD$620,13,FALSE),0)</f>
        <v>0</v>
      </c>
      <c r="I125" s="362">
        <f>IFERROR(VLOOKUP(C125,'تقرير المصروفات حسب الشهر'!$C$637:$AD$746,13,FALSE),0)</f>
        <v>0</v>
      </c>
      <c r="J125" s="362">
        <f>IFERROR(VLOOKUP(C125,'تقرير المصروفات حسب الشهر'!$C$763:$AD$872,13,FALSE),0)</f>
        <v>0</v>
      </c>
      <c r="K125" s="362">
        <f>IFERROR(VLOOKUP(C125,'تقرير المصروفات حسب الشهر'!$C$890:$AD$999,13,FALSE),0)</f>
        <v>0</v>
      </c>
      <c r="L125" s="362">
        <f>IFERROR(VLOOKUP(C125,'تقرير المصروفات حسب الشهر'!$C$1016:$AD$1126,13,FALSE),0)</f>
        <v>0</v>
      </c>
      <c r="M125" s="376">
        <f>IFERROR(VLOOKUP(C125,'تقرير المصروفات حسب الشهر'!$C$1143:$AD$1254,13,FALSE),0)</f>
        <v>0</v>
      </c>
      <c r="N125" s="376">
        <f>IFERROR(VLOOKUP(C125,'تقرير المصروفات حسب الشهر'!$C$1270:$AD$1381,13,FALSE),0)</f>
        <v>0</v>
      </c>
      <c r="O125" s="376">
        <f>IFERROR(VLOOKUP(C125,'تقرير المصروفات حسب الشهر'!$C$1397:$AI$1512,13,FALSE),0)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الشهر'!$C$10:$AD$119,13,FALSE),0)</f>
        <v>0</v>
      </c>
      <c r="E126" s="362">
        <f>IFERROR(VLOOKUP(C126,'تقرير المصروفات حسب الشهر'!$C$135:$AD$244,13,FALSE),0)</f>
        <v>0</v>
      </c>
      <c r="F126" s="362">
        <v>0</v>
      </c>
      <c r="G126" s="362">
        <f>IFERROR(VLOOKUP(C126,'تقرير المصروفات حسب الشهر'!$C$387:$AD$495,13,FALSE),0)</f>
        <v>0</v>
      </c>
      <c r="H126" s="362">
        <f>IFERROR(VLOOKUP(C126,'تقرير المصروفات حسب الشهر'!$C$512:$AD$620,13,FALSE),0)</f>
        <v>0</v>
      </c>
      <c r="I126" s="362">
        <f>IFERROR(VLOOKUP(C126,'تقرير المصروفات حسب الشهر'!$C$637:$AD$746,13,FALSE),0)</f>
        <v>0</v>
      </c>
      <c r="J126" s="362">
        <f>IFERROR(VLOOKUP(C126,'تقرير المصروفات حسب الشهر'!$C$763:$AD$872,13,FALSE),0)</f>
        <v>0</v>
      </c>
      <c r="K126" s="362">
        <f>IFERROR(VLOOKUP(C126,'تقرير المصروفات حسب الشهر'!$C$890:$AD$999,13,FALSE),0)</f>
        <v>0</v>
      </c>
      <c r="L126" s="362">
        <f>IFERROR(VLOOKUP(C126,'تقرير المصروفات حسب الشهر'!$C$1016:$AD$1126,13,FALSE),0)</f>
        <v>0</v>
      </c>
      <c r="M126" s="376">
        <f>IFERROR(VLOOKUP(C126,'تقرير المصروفات حسب الشهر'!$C$1143:$AD$1254,13,FALSE),0)</f>
        <v>0</v>
      </c>
      <c r="N126" s="376">
        <f>IFERROR(VLOOKUP(C126,'تقرير المصروفات حسب الشهر'!$C$1270:$AD$1381,13,FALSE),0)</f>
        <v>0</v>
      </c>
      <c r="O126" s="376">
        <f>IFERROR(VLOOKUP(C126,'تقرير المصروفات حسب الشهر'!$C$1397:$AI$1512,13,FALSE),0)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الشهر'!$C$10:$AD$119,13,FALSE),0)</f>
        <v>0</v>
      </c>
      <c r="E127" s="362">
        <f>IFERROR(VLOOKUP(C127,'تقرير المصروفات حسب الشهر'!$C$135:$AD$244,13,FALSE),0)</f>
        <v>0</v>
      </c>
      <c r="F127" s="362">
        <v>0</v>
      </c>
      <c r="G127" s="362">
        <f>IFERROR(VLOOKUP(C127,'تقرير المصروفات حسب الشهر'!$C$387:$AD$495,13,FALSE),0)</f>
        <v>0</v>
      </c>
      <c r="H127" s="362">
        <f>IFERROR(VLOOKUP(C127,'تقرير المصروفات حسب الشهر'!$C$512:$AD$620,13,FALSE),0)</f>
        <v>0</v>
      </c>
      <c r="I127" s="362">
        <f>IFERROR(VLOOKUP(C127,'تقرير المصروفات حسب الشهر'!$C$637:$AD$746,13,FALSE),0)</f>
        <v>0</v>
      </c>
      <c r="J127" s="362">
        <f>IFERROR(VLOOKUP(C127,'تقرير المصروفات حسب الشهر'!$C$763:$AD$872,13,FALSE),0)</f>
        <v>0</v>
      </c>
      <c r="K127" s="362">
        <f>IFERROR(VLOOKUP(C127,'تقرير المصروفات حسب الشهر'!$C$890:$AD$999,13,FALSE),0)</f>
        <v>0</v>
      </c>
      <c r="L127" s="362">
        <f>IFERROR(VLOOKUP(C127,'تقرير المصروفات حسب الشهر'!$C$1016:$AD$1126,13,FALSE),0)</f>
        <v>0</v>
      </c>
      <c r="M127" s="376">
        <f>IFERROR(VLOOKUP(C127,'تقرير المصروفات حسب الشهر'!$C$1143:$AD$1254,13,FALSE),0)</f>
        <v>0</v>
      </c>
      <c r="N127" s="376">
        <f>IFERROR(VLOOKUP(C127,'تقرير المصروفات حسب الشهر'!$C$1270:$AD$1381,13,FALSE),0)</f>
        <v>0</v>
      </c>
      <c r="O127" s="376">
        <f>IFERROR(VLOOKUP(C127,'تقرير المصروفات حسب الشهر'!$C$1397:$AI$1512,13,FALSE),0)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الشهر'!$C$10:$AD$119,13,FALSE),0)</f>
        <v>0</v>
      </c>
      <c r="E128" s="362">
        <f>IFERROR(VLOOKUP(C128,'تقرير المصروفات حسب الشهر'!$C$135:$AD$244,13,FALSE),0)</f>
        <v>0</v>
      </c>
      <c r="F128" s="362">
        <v>0</v>
      </c>
      <c r="G128" s="362">
        <f>IFERROR(VLOOKUP(C128,'تقرير المصروفات حسب الشهر'!$C$387:$AD$495,13,FALSE),0)</f>
        <v>0</v>
      </c>
      <c r="H128" s="362">
        <f>IFERROR(VLOOKUP(C128,'تقرير المصروفات حسب الشهر'!$C$512:$AD$620,13,FALSE),0)</f>
        <v>0</v>
      </c>
      <c r="I128" s="362">
        <f>IFERROR(VLOOKUP(C128,'تقرير المصروفات حسب الشهر'!$C$637:$AD$746,13,FALSE),0)</f>
        <v>0</v>
      </c>
      <c r="J128" s="362">
        <f>IFERROR(VLOOKUP(C128,'تقرير المصروفات حسب الشهر'!$C$763:$AD$872,13,FALSE),0)</f>
        <v>0</v>
      </c>
      <c r="K128" s="362">
        <f>IFERROR(VLOOKUP(C128,'تقرير المصروفات حسب الشهر'!$C$890:$AD$999,13,FALSE),0)</f>
        <v>0</v>
      </c>
      <c r="L128" s="362">
        <f>IFERROR(VLOOKUP(C128,'تقرير المصروفات حسب الشهر'!$C$1016:$AD$1126,13,FALSE),0)</f>
        <v>0</v>
      </c>
      <c r="M128" s="376">
        <f>IFERROR(VLOOKUP(C128,'تقرير المصروفات حسب الشهر'!$C$1143:$AD$1254,13,FALSE),0)</f>
        <v>0</v>
      </c>
      <c r="N128" s="376">
        <f>IFERROR(VLOOKUP(C128,'تقرير المصروفات حسب الشهر'!$C$1270:$AD$1381,13,FALSE),0)</f>
        <v>0</v>
      </c>
      <c r="O128" s="376">
        <f>IFERROR(VLOOKUP(C128,'تقرير المصروفات حسب الشهر'!$C$1397:$AI$1512,13,FALSE),0)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الشهر'!$C$10:$AD$119,13,FALSE),0)</f>
        <v>0</v>
      </c>
      <c r="E129" s="362">
        <f>IFERROR(VLOOKUP(C129,'تقرير المصروفات حسب الشهر'!$C$135:$AD$244,13,FALSE),0)</f>
        <v>0</v>
      </c>
      <c r="F129" s="362">
        <v>0</v>
      </c>
      <c r="G129" s="362">
        <f>IFERROR(VLOOKUP(C129,'تقرير المصروفات حسب الشهر'!$C$387:$AD$495,13,FALSE),0)</f>
        <v>0</v>
      </c>
      <c r="H129" s="362">
        <f>IFERROR(VLOOKUP(C129,'تقرير المصروفات حسب الشهر'!$C$512:$AD$620,13,FALSE),0)</f>
        <v>0</v>
      </c>
      <c r="I129" s="362">
        <f>IFERROR(VLOOKUP(C129,'تقرير المصروفات حسب الشهر'!$C$637:$AD$746,13,FALSE),0)</f>
        <v>0</v>
      </c>
      <c r="J129" s="362">
        <f>IFERROR(VLOOKUP(C129,'تقرير المصروفات حسب الشهر'!$C$763:$AD$872,13,FALSE),0)</f>
        <v>0</v>
      </c>
      <c r="K129" s="362">
        <f>IFERROR(VLOOKUP(C129,'تقرير المصروفات حسب الشهر'!$C$890:$AD$999,13,FALSE),0)</f>
        <v>862.5</v>
      </c>
      <c r="L129" s="362">
        <f>IFERROR(VLOOKUP(C129,'تقرير المصروفات حسب الشهر'!$C$1016:$AD$1126,13,FALSE),0)</f>
        <v>862.5</v>
      </c>
      <c r="M129" s="376">
        <f>IFERROR(VLOOKUP(C129,'تقرير المصروفات حسب الشهر'!$C$1143:$AD$1254,13,FALSE),0)</f>
        <v>862.5</v>
      </c>
      <c r="N129" s="376">
        <f>IFERROR(VLOOKUP(C129,'تقرير المصروفات حسب الشهر'!$C$1270:$AD$1381,13,FALSE),0)</f>
        <v>862.5</v>
      </c>
      <c r="O129" s="376">
        <f>IFERROR(VLOOKUP(C129,'تقرير المصروفات حسب الشهر'!$C$1397:$AI$1512,13,FALSE),0)</f>
        <v>862.5</v>
      </c>
      <c r="P129" s="364">
        <f t="shared" si="6"/>
        <v>4312.5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الشهر'!$C$10:$AD$119,13,FALSE),0)</f>
        <v>0</v>
      </c>
      <c r="E130" s="362">
        <f>IFERROR(VLOOKUP(C130,'تقرير المصروفات حسب الشهر'!$C$135:$AD$244,13,FALSE),0)</f>
        <v>0</v>
      </c>
      <c r="F130" s="362">
        <v>0</v>
      </c>
      <c r="G130" s="362">
        <f>IFERROR(VLOOKUP(C130,'تقرير المصروفات حسب الشهر'!$C$387:$AD$495,13,FALSE),0)</f>
        <v>0</v>
      </c>
      <c r="H130" s="362">
        <f>IFERROR(VLOOKUP(C130,'تقرير المصروفات حسب الشهر'!$C$512:$AD$620,13,FALSE),0)</f>
        <v>0</v>
      </c>
      <c r="I130" s="362">
        <f>IFERROR(VLOOKUP(C130,'تقرير المصروفات حسب الشهر'!$C$637:$AD$746,13,FALSE),0)</f>
        <v>0</v>
      </c>
      <c r="J130" s="362">
        <f>IFERROR(VLOOKUP(C130,'تقرير المصروفات حسب الشهر'!$C$763:$AD$872,13,FALSE),0)</f>
        <v>0</v>
      </c>
      <c r="K130" s="362">
        <f>IFERROR(VLOOKUP(C130,'تقرير المصروفات حسب الشهر'!$C$890:$AD$999,13,FALSE),0)</f>
        <v>0</v>
      </c>
      <c r="L130" s="362">
        <f>IFERROR(VLOOKUP(C130,'تقرير المصروفات حسب الشهر'!$C$1016:$AI$1131,13,FALSE),0)</f>
        <v>0</v>
      </c>
      <c r="M130" s="376">
        <f>IFERROR(VLOOKUP(C130,'تقرير المصروفات حسب الشهر'!$C$1143:$AD$1254,13,FALSE),0)</f>
        <v>0</v>
      </c>
      <c r="N130" s="376">
        <f>IFERROR(VLOOKUP(C130,'تقرير المصروفات حسب الشهر'!$C$1270:$AD$1381,13,FALSE),0)</f>
        <v>0</v>
      </c>
      <c r="O130" s="376">
        <f>IFERROR(VLOOKUP(C130,'تقرير المصروفات حسب الشهر'!$C$1397:$AI$1512,13,FALSE),0)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الشهر'!$C$10:$AD$119,13,FALSE),0)</f>
        <v>0</v>
      </c>
      <c r="E131" s="362">
        <f>IFERROR(VLOOKUP(C131,'تقرير المصروفات حسب الشهر'!$C$135:$AD$244,13,FALSE),0)</f>
        <v>0</v>
      </c>
      <c r="F131" s="362">
        <v>0</v>
      </c>
      <c r="G131" s="362">
        <f>IFERROR(VLOOKUP(C131,'تقرير المصروفات حسب الشهر'!$C$387:$AD$495,13,FALSE),0)</f>
        <v>0</v>
      </c>
      <c r="H131" s="362">
        <f>IFERROR(VLOOKUP(C131,'تقرير المصروفات حسب الشهر'!$C$512:$AD$620,13,FALSE),0)</f>
        <v>0</v>
      </c>
      <c r="I131" s="362">
        <f>IFERROR(VLOOKUP(C131,'تقرير المصروفات حسب الشهر'!$C$637:$AD$746,13,FALSE),0)</f>
        <v>0</v>
      </c>
      <c r="J131" s="362">
        <f>IFERROR(VLOOKUP(C131,'تقرير المصروفات حسب الشهر'!$C$763:$AD$872,13,FALSE),0)</f>
        <v>0</v>
      </c>
      <c r="K131" s="362">
        <f>IFERROR(VLOOKUP(C131,'تقرير المصروفات حسب الشهر'!$C$890:$AD$999,13,FALSE),0)</f>
        <v>0</v>
      </c>
      <c r="L131" s="362">
        <f>IFERROR(VLOOKUP(C131,'تقرير المصروفات حسب الشهر'!$C$1016:$AI$1131,13,FALSE),0)</f>
        <v>0</v>
      </c>
      <c r="M131" s="376">
        <f>IFERROR(VLOOKUP(C131,'تقرير المصروفات حسب الشهر'!$C$1143:$AD$1254,13,FALSE),0)</f>
        <v>0</v>
      </c>
      <c r="N131" s="376">
        <f>IFERROR(VLOOKUP(C131,'تقرير المصروفات حسب الشهر'!$C$1270:$AD$1381,13,FALSE),0)</f>
        <v>0</v>
      </c>
      <c r="O131" s="376">
        <f>IFERROR(VLOOKUP(C131,'تقرير المصروفات حسب الشهر'!$C$1397:$AI$1512,13,FALSE),0)</f>
        <v>0</v>
      </c>
      <c r="P131" s="364">
        <f t="shared" si="6"/>
        <v>0</v>
      </c>
    </row>
    <row r="132" spans="1:17" ht="18" customHeight="1">
      <c r="B132" s="124"/>
      <c r="C132" s="341" t="s">
        <v>360</v>
      </c>
      <c r="D132" s="362">
        <f>IFERROR(VLOOKUP(C132,'تقرير المصروفات حسب الشهر'!$C$10:$AD$124,13,FALSE),0)</f>
        <v>138809.63</v>
      </c>
      <c r="E132" s="362">
        <f>IFERROR(VLOOKUP(C132,'تقرير المصروفات حسب الشهر'!$C$135:$AD$2283,13,FALSE),0)</f>
        <v>164167.49</v>
      </c>
      <c r="F132" s="362">
        <v>193264.56</v>
      </c>
      <c r="G132" s="362">
        <f>IFERROR(VLOOKUP(C132,'تقرير المصروفات حسب الشهر'!$C$387:$AD$503,13,FALSE),0)</f>
        <v>264687.18</v>
      </c>
      <c r="H132" s="362">
        <f>IFERROR(VLOOKUP(C132,'تقرير المصروفات حسب الشهر'!$C$512:$AD$622,13,FALSE),0)</f>
        <v>259520.28</v>
      </c>
      <c r="I132" s="362">
        <f>IFERROR(VLOOKUP(C132,'تقرير المصروفات حسب الشهر'!$C$637:$AD$750,13,FALSE),0)</f>
        <v>294414.37</v>
      </c>
      <c r="J132" s="362">
        <f>IFERROR(VLOOKUP(C132,'تقرير المصروفات حسب الشهر'!$C$763:$AD$877,13,FALSE),0)</f>
        <v>261399.41000000003</v>
      </c>
      <c r="K132" s="362">
        <f>IFERROR(VLOOKUP(C132,'تقرير المصروفات حسب الشهر'!$C$890:$AD$1007,13,FALSE),0)</f>
        <v>233032.49</v>
      </c>
      <c r="L132" s="362">
        <f>IFERROR(VLOOKUP(C132,'تقرير المصروفات حسب الشهر'!$C$1016:$AI$1131,13,FALSE),0)</f>
        <v>264432.21999999997</v>
      </c>
      <c r="M132" s="376">
        <f>IFERROR(VLOOKUP(C132,'تقرير المصروفات حسب الشهر'!$C$1143:$AD$1259,13,FALSE),0)</f>
        <v>210904.59</v>
      </c>
      <c r="N132" s="376">
        <f>IFERROR(VLOOKUP(C132,'تقرير المصروفات حسب الشهر'!$C$1270:$AD$1382,13,FALSE),0)</f>
        <v>218718.53</v>
      </c>
      <c r="O132" s="376">
        <f>IFERROR(VLOOKUP(C132,'تقرير المصروفات حسب الشهر'!$C$1397:$AI$1512,13,FALSE),0)</f>
        <v>225649.3</v>
      </c>
      <c r="P132" s="364">
        <f>SUM(D132:O132)</f>
        <v>2729000.0499999993</v>
      </c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الشهر'!$C$763:$AD$877,13,FALSE),0)</f>
        <v>38799.740000000005</v>
      </c>
      <c r="K133" s="362">
        <f>IFERROR(VLOOKUP(C133,'تقرير المصروفات حسب الشهر'!$C$890:$AD$1007,13,FALSE),0)</f>
        <v>66037.61</v>
      </c>
      <c r="L133" s="362">
        <f>IFERROR(VLOOKUP(C133,'تقرير المصروفات حسب الشهر'!$C$1016:$AI$1131,13,FALSE),0)</f>
        <v>94263.51999999999</v>
      </c>
      <c r="M133" s="376">
        <f>IFERROR(VLOOKUP(C133,'تقرير المصروفات حسب الشهر'!$C$1143:$AD$1259,13,FALSE),0)</f>
        <v>74820.66</v>
      </c>
      <c r="N133" s="376">
        <f>IFERROR(VLOOKUP(C133,'تقرير المصروفات حسب الشهر'!$C$1270:$AD$1384,13,FALSE),0)</f>
        <v>25034.15</v>
      </c>
      <c r="O133" s="376">
        <f>IFERROR(VLOOKUP(C133,'تقرير المصروفات حسب الشهر'!$C$1397:$AI$1512,13,FALSE),0)</f>
        <v>43541.51</v>
      </c>
      <c r="P133" s="436"/>
    </row>
    <row r="134" spans="1:17" ht="18" customHeight="1">
      <c r="B134" s="124"/>
      <c r="C134" s="149" t="s">
        <v>270</v>
      </c>
      <c r="D134" s="146">
        <f>SUM(D22:D132)</f>
        <v>455951.65999999992</v>
      </c>
      <c r="E134" s="146">
        <f t="shared" ref="E134:I134" si="7">SUM(E22:E132)</f>
        <v>504929.01999999996</v>
      </c>
      <c r="F134" s="146">
        <f t="shared" si="7"/>
        <v>558693.26</v>
      </c>
      <c r="G134" s="146">
        <f t="shared" si="7"/>
        <v>644775.5</v>
      </c>
      <c r="H134" s="146">
        <f t="shared" si="7"/>
        <v>606329.51</v>
      </c>
      <c r="I134" s="146">
        <f t="shared" si="7"/>
        <v>701305.33</v>
      </c>
      <c r="J134" s="146">
        <f t="shared" ref="J134:O134" si="8">SUM(J22:J133)</f>
        <v>650999.1399999999</v>
      </c>
      <c r="K134" s="146">
        <f t="shared" si="8"/>
        <v>660397.02999999991</v>
      </c>
      <c r="L134" s="146">
        <f t="shared" si="8"/>
        <v>743319.61999999988</v>
      </c>
      <c r="M134" s="146">
        <f t="shared" si="8"/>
        <v>674003.77999999991</v>
      </c>
      <c r="N134" s="146">
        <f t="shared" si="8"/>
        <v>611932.02</v>
      </c>
      <c r="O134" s="146">
        <f t="shared" si="8"/>
        <v>732681.45</v>
      </c>
      <c r="P134" s="388">
        <f t="shared" si="6"/>
        <v>7545317.3200000012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725767.47999999952</v>
      </c>
      <c r="E136" s="392">
        <f t="shared" si="9"/>
        <v>578147.18500000006</v>
      </c>
      <c r="F136" s="392">
        <f t="shared" si="9"/>
        <v>736638</v>
      </c>
      <c r="G136" s="392">
        <f t="shared" si="9"/>
        <v>666078.14000000013</v>
      </c>
      <c r="H136" s="392">
        <f t="shared" si="9"/>
        <v>769458.69000000029</v>
      </c>
      <c r="I136" s="392">
        <f t="shared" si="9"/>
        <v>713485.40000000037</v>
      </c>
      <c r="J136" s="392">
        <f t="shared" si="9"/>
        <v>720867.08000000066</v>
      </c>
      <c r="K136" s="392">
        <f t="shared" si="9"/>
        <v>754247.46</v>
      </c>
      <c r="L136" s="392">
        <f t="shared" si="9"/>
        <v>685813.10000000009</v>
      </c>
      <c r="M136" s="392">
        <f t="shared" si="9"/>
        <v>760151.23</v>
      </c>
      <c r="N136" s="392">
        <f t="shared" si="9"/>
        <v>655357.96000000031</v>
      </c>
      <c r="O136" s="392">
        <f t="shared" si="9"/>
        <v>791587.81000000052</v>
      </c>
      <c r="P136" s="388">
        <f t="shared" si="6"/>
        <v>8557599.5350000039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269815.8199999996</v>
      </c>
      <c r="E139" s="383">
        <f t="shared" ref="E139:O139" si="10">E136-E134</f>
        <v>73218.165000000095</v>
      </c>
      <c r="F139" s="383">
        <f t="shared" si="10"/>
        <v>177944.74</v>
      </c>
      <c r="G139" s="383">
        <f t="shared" si="10"/>
        <v>21302.64000000013</v>
      </c>
      <c r="H139" s="383">
        <f t="shared" si="10"/>
        <v>163129.18000000028</v>
      </c>
      <c r="I139" s="383">
        <f t="shared" si="10"/>
        <v>12180.070000000414</v>
      </c>
      <c r="J139" s="383">
        <f t="shared" si="10"/>
        <v>69867.940000000759</v>
      </c>
      <c r="K139" s="383">
        <f t="shared" si="10"/>
        <v>93850.430000000051</v>
      </c>
      <c r="L139" s="383">
        <f t="shared" si="10"/>
        <v>-57506.519999999786</v>
      </c>
      <c r="M139" s="383">
        <f t="shared" si="10"/>
        <v>86147.45000000007</v>
      </c>
      <c r="N139" s="383">
        <f t="shared" si="10"/>
        <v>43425.940000000293</v>
      </c>
      <c r="O139" s="383">
        <f t="shared" si="10"/>
        <v>58906.360000000568</v>
      </c>
      <c r="P139" s="387">
        <f>SUM(D139:O139)</f>
        <v>1012282.2150000024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E143" s="233">
        <v>73384.83</v>
      </c>
      <c r="G143" s="238">
        <f>21302.64-G139</f>
        <v>-1.3096723705530167E-10</v>
      </c>
      <c r="H143" s="113">
        <v>163129.18</v>
      </c>
    </row>
    <row r="144" spans="1:17">
      <c r="E144" s="443">
        <f>E143-E139</f>
        <v>166.66499999990629</v>
      </c>
      <c r="H144" s="415">
        <f>H139-H143</f>
        <v>2.9103830456733704E-10</v>
      </c>
    </row>
    <row r="145" spans="14:14">
      <c r="N145" s="238">
        <v>213170.89</v>
      </c>
    </row>
    <row r="146" spans="14:14">
      <c r="N146" s="415">
        <f>N139-N145</f>
        <v>-169744.94999999972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4">
    <tabColor rgb="FFFFC000"/>
  </sheetPr>
  <dimension ref="A1:T145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348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243</v>
      </c>
      <c r="B8" s="390"/>
      <c r="C8" s="369" t="s">
        <v>114</v>
      </c>
      <c r="D8" s="364">
        <f>D9+D10+D11</f>
        <v>1470307.52</v>
      </c>
      <c r="E8" s="364">
        <f t="shared" ref="E8:O8" si="0">E9+E10+E11</f>
        <v>1430911.89</v>
      </c>
      <c r="F8" s="364">
        <f t="shared" si="0"/>
        <v>1733295.92</v>
      </c>
      <c r="G8" s="364">
        <f t="shared" si="0"/>
        <v>1884669.09</v>
      </c>
      <c r="H8" s="364">
        <f t="shared" si="0"/>
        <v>1969874.21</v>
      </c>
      <c r="I8" s="364">
        <f t="shared" si="0"/>
        <v>2036002.3199999998</v>
      </c>
      <c r="J8" s="364">
        <f t="shared" si="0"/>
        <v>2289840.1500000004</v>
      </c>
      <c r="K8" s="364">
        <f t="shared" si="0"/>
        <v>2472596.46</v>
      </c>
      <c r="L8" s="364">
        <f t="shared" si="0"/>
        <v>2796801.9499999997</v>
      </c>
      <c r="M8" s="364">
        <f t="shared" si="0"/>
        <v>2956508.8400000003</v>
      </c>
      <c r="N8" s="364">
        <f t="shared" si="0"/>
        <v>2839712.17</v>
      </c>
      <c r="O8" s="364">
        <f t="shared" si="0"/>
        <v>3010397.1900000004</v>
      </c>
      <c r="P8" s="364">
        <f>SUM(D8:O8)</f>
        <v>26890917.709999997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797760.2</v>
      </c>
      <c r="E9" s="365">
        <f>VLOOKUP($A$8,'تقرير إحصائية بحجم المبيعات'!$B$42:$G$73,2,FALSE)</f>
        <v>846953.54999999993</v>
      </c>
      <c r="F9" s="365">
        <f>VLOOKUP($A$8,'تقرير إحصائية بحجم المبيعات'!$B$78:$E$103,2,FALSE)</f>
        <v>1003508.3400000002</v>
      </c>
      <c r="G9" s="365">
        <f>VLOOKUP($A$8,'تقرير إحصائية بحجم المبيعات'!$B$112:$G$137,2,FALSE)</f>
        <v>1107060.58</v>
      </c>
      <c r="H9" s="365">
        <f>VLOOKUP($A$8,'تقرير إحصائية بحجم المبيعات'!$B$147:$G$177,2,FALSE)</f>
        <v>1376873.6300000001</v>
      </c>
      <c r="I9" s="365">
        <f>VLOOKUP($A$8,'تقرير إحصائية بحجم المبيعات'!$B$182:$G$212,2,FALSE)</f>
        <v>1357390.45</v>
      </c>
      <c r="J9" s="365">
        <f>VLOOKUP($A$8,'تقرير إحصائية بحجم المبيعات'!$B$217:$L$243,2,FALSE)</f>
        <v>1555392.06</v>
      </c>
      <c r="K9" s="365">
        <f>VLOOKUP($A$8,'تقرير إحصائية بحجم المبيعات'!$B$252:$L$278,2,FALSE)</f>
        <v>1763587.5899999999</v>
      </c>
      <c r="L9" s="365">
        <f>VLOOKUP($A$8,'تقرير إحصائية بحجم المبيعات'!$B$287:$L$313,2,FALSE)</f>
        <v>1785889.63</v>
      </c>
      <c r="M9" s="365">
        <f>VLOOKUP($A$8,'تقرير إحصائية بحجم المبيعات'!$B$322:$L$347,2,FALSE)</f>
        <v>2012115.1600000001</v>
      </c>
      <c r="N9" s="365">
        <f>VLOOKUP($A$8,'تقرير إحصائية بحجم المبيعات'!$B$357:$L$383,2,FALSE)</f>
        <v>1967069.9499999997</v>
      </c>
      <c r="O9" s="365">
        <f>VLOOKUP($A$8,'تقرير إحصائية بحجم المبيعات'!$B$391:$L$420,2,FALSE)</f>
        <v>2047349.55</v>
      </c>
      <c r="P9" s="364">
        <f t="shared" ref="P9:P18" si="1">SUM(D9:O9)</f>
        <v>17620950.690000001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29646.77</v>
      </c>
      <c r="E10" s="365">
        <f>VLOOKUP($A$8,'تقرير إحصائية بحجم المبيعات'!$B$42:$G$73,3,FALSE)</f>
        <v>57173.27</v>
      </c>
      <c r="F10" s="365">
        <f>VLOOKUP($A$8,'تقرير إحصائية بحجم المبيعات'!$B$78:$E$103,3,FALSE)</f>
        <v>89832.26</v>
      </c>
      <c r="G10" s="365">
        <f>VLOOKUP($A$8,'تقرير إحصائية بحجم المبيعات'!$B$112:$G$137,3,FALSE)</f>
        <v>59832.2</v>
      </c>
      <c r="H10" s="365">
        <f>VLOOKUP($A$8,'تقرير إحصائية بحجم المبيعات'!$B$147:$G$177,3,FALSE)</f>
        <v>59332.26</v>
      </c>
      <c r="I10" s="365">
        <f>VLOOKUP($A$8,'تقرير إحصائية بحجم المبيعات'!$B$182:$G$212,3,FALSE)</f>
        <v>105063.97</v>
      </c>
      <c r="J10" s="365">
        <f>VLOOKUP($A$8,'تقرير إحصائية بحجم المبيعات'!$B$217:$L$243,3,FALSE)</f>
        <v>55248.09</v>
      </c>
      <c r="K10" s="365">
        <f>VLOOKUP($A$8,'تقرير إحصائية بحجم المبيعات'!$B$252:$L$278,3,FALSE)</f>
        <v>79576.58</v>
      </c>
      <c r="L10" s="365">
        <f>VLOOKUP($A$8,'تقرير إحصائية بحجم المبيعات'!$B$287:$L$313,3,FALSE)</f>
        <v>84232.71</v>
      </c>
      <c r="M10" s="365">
        <f>VLOOKUP($A$8,'تقرير إحصائية بحجم المبيعات'!$B$322:$L$347,3,FALSE)</f>
        <v>138105.66</v>
      </c>
      <c r="N10" s="365">
        <f>VLOOKUP($A$8,'تقرير إحصائية بحجم المبيعات'!$B$357:$L$383,3,FALSE)</f>
        <v>238383.35</v>
      </c>
      <c r="O10" s="365">
        <f>VLOOKUP($A$8,'تقرير إحصائية بحجم المبيعات'!$B$391:$L$420,3,FALSE)</f>
        <v>180229.63</v>
      </c>
      <c r="P10" s="364">
        <f t="shared" si="1"/>
        <v>1176656.75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642900.55000000005</v>
      </c>
      <c r="E11" s="365">
        <f>VLOOKUP($A$8,'تقرير إحصائية بحجم المبيعات'!$B$42:$G$73,4,FALSE)</f>
        <v>526785.06999999995</v>
      </c>
      <c r="F11" s="365">
        <f>VLOOKUP($A$8,'تقرير إحصائية بحجم المبيعات'!$B$78:$E$103,4,FALSE)</f>
        <v>639955.31999999995</v>
      </c>
      <c r="G11" s="365">
        <f>VLOOKUP($A$8,'تقرير إحصائية بحجم المبيعات'!$B$112:$G$137,4,FALSE)</f>
        <v>717776.31</v>
      </c>
      <c r="H11" s="365">
        <f>VLOOKUP($A$8,'تقرير إحصائية بحجم المبيعات'!$B$147:$G$177,4,FALSE)</f>
        <v>533668.31999999995</v>
      </c>
      <c r="I11" s="365">
        <f>VLOOKUP($A$8,'تقرير إحصائية بحجم المبيعات'!$B$182:$G$212,4,FALSE)</f>
        <v>573547.9</v>
      </c>
      <c r="J11" s="365">
        <f>VLOOKUP($A$8,'تقرير إحصائية بحجم المبيعات'!$B$217:$L$243,4,FALSE)</f>
        <v>679200</v>
      </c>
      <c r="K11" s="365">
        <f>VLOOKUP($A$8,'تقرير إحصائية بحجم المبيعات'!$B$252:$L$278,4,FALSE)</f>
        <v>629432.29</v>
      </c>
      <c r="L11" s="365">
        <f>VLOOKUP($A$8,'تقرير إحصائية بحجم المبيعات'!$B$287:$L$313,4,FALSE)</f>
        <v>926679.61</v>
      </c>
      <c r="M11" s="365">
        <f>VLOOKUP($A$8,'تقرير إحصائية بحجم المبيعات'!$B$322:$L$347,4,FALSE)</f>
        <v>806288.02</v>
      </c>
      <c r="N11" s="365">
        <f>VLOOKUP($A$8,'تقرير إحصائية بحجم المبيعات'!$B$357:$L$383,4,FALSE)</f>
        <v>634258.87</v>
      </c>
      <c r="O11" s="365">
        <f>VLOOKUP($A$8,'تقرير إحصائية بحجم المبيعات'!$B$391:$L$420,4,FALSE)</f>
        <v>782818.01</v>
      </c>
      <c r="P11" s="364">
        <f t="shared" si="1"/>
        <v>8093310.2700000005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1129358.6000000001</v>
      </c>
      <c r="E12" s="364">
        <f>VLOOKUP($A$8,'تقرير إحصائية بحجم المبيعات'!$B$42:$L$73,11,FALSE)</f>
        <v>1131153.03</v>
      </c>
      <c r="F12" s="364">
        <f>VLOOKUP($A$8,'تقرير إحصائية بحجم المبيعات'!$B$78:$L$103,11,FALSE)</f>
        <v>1383631.32</v>
      </c>
      <c r="G12" s="364">
        <f>VLOOKUP($A$8,'تقرير إحصائية بحجم المبيعات'!$B$112:$L$137,11,FALSE)</f>
        <v>1520259.26</v>
      </c>
      <c r="H12" s="364">
        <f>VLOOKUP($A$8,'تقرير إحصائية بحجم المبيعات'!$B$147:$L$177,11,FALSE)</f>
        <v>1573252.12</v>
      </c>
      <c r="I12" s="364">
        <f>VLOOKUP($A$8,'تقرير إحصائية بحجم المبيعات'!$B$182:$L$212,11,FALSE)</f>
        <v>1605177.08</v>
      </c>
      <c r="J12" s="365">
        <f>VLOOKUP($A$8,'تقرير إحصائية بحجم المبيعات'!$B$217:$L$243,11,FALSE)</f>
        <v>1809858.27</v>
      </c>
      <c r="K12" s="364">
        <f>VLOOKUP($A$8,'تقرير إحصائية بحجم المبيعات'!$B$252:$L$278,11,FALSE)</f>
        <v>1959308.79</v>
      </c>
      <c r="L12" s="364">
        <f>VLOOKUP($A$8,'تقرير إحصائية بحجم المبيعات'!$B$287:$L$313,11,FALSE)</f>
        <v>2282228.85</v>
      </c>
      <c r="M12" s="365">
        <f>VLOOKUP($A$8,'تقرير إحصائية بحجم المبيعات'!$B$322:$L$347,11,FALSE)</f>
        <v>2369612.64</v>
      </c>
      <c r="N12" s="365">
        <f>VLOOKUP($A$8,'تقرير إحصائية بحجم المبيعات'!$B$357:$L$383,11,FALSE)</f>
        <v>2261370.0099999998</v>
      </c>
      <c r="O12" s="365">
        <f>VLOOKUP($A$8,'تقرير إحصائية بحجم المبيعات'!$B$391:$L$420,11,FALSE)</f>
        <v>2411627.38</v>
      </c>
      <c r="P12" s="364">
        <f t="shared" si="1"/>
        <v>21436837.349999998</v>
      </c>
    </row>
    <row r="13" spans="1:20" ht="18" customHeight="1">
      <c r="B13" s="124"/>
      <c r="C13" s="371" t="s">
        <v>14</v>
      </c>
      <c r="D13" s="366">
        <f t="shared" ref="D13:O13" si="2">D8-D12</f>
        <v>340948.91999999993</v>
      </c>
      <c r="E13" s="366">
        <f t="shared" si="2"/>
        <v>299758.85999999987</v>
      </c>
      <c r="F13" s="366">
        <f t="shared" si="2"/>
        <v>349664.59999999986</v>
      </c>
      <c r="G13" s="366">
        <f t="shared" si="2"/>
        <v>364409.83000000007</v>
      </c>
      <c r="H13" s="366">
        <f t="shared" si="2"/>
        <v>396622.08999999985</v>
      </c>
      <c r="I13" s="366">
        <f t="shared" si="2"/>
        <v>430825.23999999976</v>
      </c>
      <c r="J13" s="366">
        <f t="shared" si="2"/>
        <v>479981.88000000035</v>
      </c>
      <c r="K13" s="366">
        <f t="shared" si="2"/>
        <v>513287.66999999993</v>
      </c>
      <c r="L13" s="366">
        <f t="shared" si="2"/>
        <v>514573.09999999963</v>
      </c>
      <c r="M13" s="366">
        <f t="shared" si="2"/>
        <v>586896.20000000019</v>
      </c>
      <c r="N13" s="366">
        <f t="shared" si="2"/>
        <v>578342.16000000015</v>
      </c>
      <c r="O13" s="366">
        <f t="shared" si="2"/>
        <v>598769.81000000052</v>
      </c>
      <c r="P13" s="366">
        <f t="shared" si="1"/>
        <v>5454080.3599999994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3078.98</v>
      </c>
      <c r="E16" s="367">
        <f>29.21+15.89</f>
        <v>45.1</v>
      </c>
      <c r="F16" s="367">
        <v>13409.160000000002</v>
      </c>
      <c r="G16" s="367">
        <v>3140.66</v>
      </c>
      <c r="H16" s="367"/>
      <c r="I16" s="367"/>
      <c r="J16" s="367">
        <v>27059.32</v>
      </c>
      <c r="K16" s="367">
        <v>1297.97</v>
      </c>
      <c r="L16" s="367"/>
      <c r="M16" s="367">
        <v>11488.08</v>
      </c>
      <c r="N16" s="367">
        <v>11.429999999999998</v>
      </c>
      <c r="O16" s="367">
        <v>45481.419999999991</v>
      </c>
      <c r="P16" s="364">
        <f t="shared" si="1"/>
        <v>105012.12</v>
      </c>
    </row>
    <row r="17" spans="2:16" ht="18" customHeight="1">
      <c r="B17" s="124"/>
      <c r="C17" s="369" t="s">
        <v>119</v>
      </c>
      <c r="D17" s="367">
        <v>23.74</v>
      </c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23.74</v>
      </c>
    </row>
    <row r="18" spans="2:16" ht="18" customHeight="1">
      <c r="B18" s="124"/>
      <c r="C18" s="372" t="s">
        <v>269</v>
      </c>
      <c r="D18" s="363">
        <f>SUM(D14:D17)</f>
        <v>3102.72</v>
      </c>
      <c r="E18" s="363">
        <f t="shared" ref="E18:O18" si="3">SUM(E14:E17)</f>
        <v>45.1</v>
      </c>
      <c r="F18" s="363">
        <f t="shared" si="3"/>
        <v>13409.160000000002</v>
      </c>
      <c r="G18" s="363">
        <f t="shared" si="3"/>
        <v>3140.66</v>
      </c>
      <c r="H18" s="363">
        <f t="shared" si="3"/>
        <v>0</v>
      </c>
      <c r="I18" s="363">
        <f t="shared" si="3"/>
        <v>0</v>
      </c>
      <c r="J18" s="363">
        <f t="shared" si="3"/>
        <v>27059.32</v>
      </c>
      <c r="K18" s="363">
        <f t="shared" si="3"/>
        <v>1297.97</v>
      </c>
      <c r="L18" s="363">
        <f t="shared" si="3"/>
        <v>0</v>
      </c>
      <c r="M18" s="368">
        <f t="shared" si="3"/>
        <v>11488.08</v>
      </c>
      <c r="N18" s="368">
        <f t="shared" si="3"/>
        <v>11.429999999999998</v>
      </c>
      <c r="O18" s="368">
        <f t="shared" si="3"/>
        <v>45481.419999999991</v>
      </c>
      <c r="P18" s="364">
        <f t="shared" si="1"/>
        <v>105035.86</v>
      </c>
    </row>
    <row r="19" spans="2:16" ht="18" customHeight="1">
      <c r="B19" s="124"/>
      <c r="C19" s="386" t="s">
        <v>14</v>
      </c>
      <c r="D19" s="374">
        <f t="shared" ref="D19:O19" si="4">D13+D18</f>
        <v>344051.6399999999</v>
      </c>
      <c r="E19" s="374">
        <f t="shared" si="4"/>
        <v>299803.95999999985</v>
      </c>
      <c r="F19" s="374">
        <f t="shared" si="4"/>
        <v>363073.75999999983</v>
      </c>
      <c r="G19" s="374">
        <f t="shared" si="4"/>
        <v>367550.49000000005</v>
      </c>
      <c r="H19" s="374">
        <f t="shared" si="4"/>
        <v>396622.08999999985</v>
      </c>
      <c r="I19" s="374">
        <f t="shared" si="4"/>
        <v>430825.23999999976</v>
      </c>
      <c r="J19" s="374">
        <f t="shared" si="4"/>
        <v>507041.20000000036</v>
      </c>
      <c r="K19" s="374">
        <f t="shared" si="4"/>
        <v>514585.6399999999</v>
      </c>
      <c r="L19" s="374">
        <f t="shared" si="4"/>
        <v>514573.09999999963</v>
      </c>
      <c r="M19" s="374">
        <f t="shared" si="4"/>
        <v>598384.28000000014</v>
      </c>
      <c r="N19" s="374">
        <f t="shared" si="4"/>
        <v>578353.5900000002</v>
      </c>
      <c r="O19" s="374">
        <f t="shared" si="4"/>
        <v>644251.23000000056</v>
      </c>
      <c r="P19" s="382">
        <f>SUM(D19:O19)</f>
        <v>5559116.2199999997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الشهر'!$C$10:$AD$119,14,FALSE),0)</f>
        <v>0</v>
      </c>
      <c r="E22" s="362">
        <f>IFERROR(VLOOKUP(C22,'تقرير المصروفات حسب الشهر'!$C$135:$AD$244,14,FALSE),0)</f>
        <v>0</v>
      </c>
      <c r="F22" s="362">
        <v>0</v>
      </c>
      <c r="G22" s="362">
        <f>IFERROR(VLOOKUP(C22,'تقرير المصروفات حسب الشهر'!$C$387:$AD$495,14,FALSE),0)</f>
        <v>0</v>
      </c>
      <c r="H22" s="362">
        <f>IFERROR(VLOOKUP(C22,'تقرير المصروفات حسب الشهر'!$C$512:$AD$620,14,FALSE),0)</f>
        <v>0</v>
      </c>
      <c r="I22" s="362">
        <f>IFERROR(VLOOKUP(C22,'تقرير المصروفات حسب الشهر'!$C$637:$AD$746,14,FALSE),0)</f>
        <v>0</v>
      </c>
      <c r="J22" s="362">
        <f>IFERROR(VLOOKUP(C22,'تقرير المصروفات حسب الشهر'!$C$763:$AD$872,14,FALSE),0)</f>
        <v>0</v>
      </c>
      <c r="K22" s="362">
        <f>IFERROR(VLOOKUP(C22,'تقرير المصروفات حسب الشهر'!$C$890:$AD$999,14,FALSE),0)</f>
        <v>0</v>
      </c>
      <c r="L22" s="362">
        <f>IFERROR(VLOOKUP(C22,'تقرير المصروفات حسب الشهر'!$C$1016:$AD$1126,14,FALSE),0)</f>
        <v>0</v>
      </c>
      <c r="M22" s="376">
        <f>IFERROR(VLOOKUP(C22,'تقرير المصروفات حسب الشهر'!$C$1143:$AD$1254,14,FALSE),0)</f>
        <v>0</v>
      </c>
      <c r="N22" s="376">
        <f>IFERROR(VLOOKUP(C22,'تقرير المصروفات حسب الشهر'!$C$1270:$AD$1381,14,FALSE),0)</f>
        <v>0</v>
      </c>
      <c r="O22" s="376">
        <f>IFERROR(VLOOKUP(C22,'تقرير المصروفات حسب الشهر'!$C$1397:$AI$1512,14,FALSE),0)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الشهر'!$C$10:$AD$119,14,FALSE),0)</f>
        <v>163023.78</v>
      </c>
      <c r="E23" s="362">
        <f>IFERROR(VLOOKUP(C23,'تقرير المصروفات حسب الشهر'!$C$135:$AD$244,14,FALSE),0)</f>
        <v>198613.54</v>
      </c>
      <c r="F23" s="362">
        <v>166673.57</v>
      </c>
      <c r="G23" s="362">
        <f>IFERROR(VLOOKUP(C23,'تقرير المصروفات حسب الشهر'!$C$387:$AD$495,14,FALSE),0)</f>
        <v>187774.61</v>
      </c>
      <c r="H23" s="362">
        <f>IFERROR(VLOOKUP(C23,'تقرير المصروفات حسب الشهر'!$C$512:$AD$620,14,FALSE),0)</f>
        <v>209535.89</v>
      </c>
      <c r="I23" s="511">
        <f>IFERROR(VLOOKUP(C23,'تقرير المصروفات حسب الشهر'!$C$637:$AD$746,14,FALSE),0)</f>
        <v>183685.81</v>
      </c>
      <c r="J23" s="362">
        <f>IFERROR(VLOOKUP(C23,'تقرير المصروفات حسب الشهر'!$C$763:$AD$872,14,FALSE),0)</f>
        <v>209875.18</v>
      </c>
      <c r="K23" s="362">
        <f>IFERROR(VLOOKUP(C23,'تقرير المصروفات حسب الشهر'!$C$890:$AD$999,14,FALSE),0)</f>
        <v>219277.31999999998</v>
      </c>
      <c r="L23" s="362">
        <f>IFERROR(VLOOKUP(C23,'تقرير المصروفات حسب الشهر'!$C$1016:$AD$1126,14,FALSE),0)</f>
        <v>243267.19999999998</v>
      </c>
      <c r="M23" s="376">
        <f>IFERROR(VLOOKUP(C23,'تقرير المصروفات حسب الشهر'!$C$1143:$AD$1254,14,FALSE),0)</f>
        <v>246162.788</v>
      </c>
      <c r="N23" s="376">
        <f>IFERROR(VLOOKUP(C23,'تقرير المصروفات حسب الشهر'!$C$1270:$AD$1381,14,FALSE),0)</f>
        <v>262643.20000000001</v>
      </c>
      <c r="O23" s="376">
        <f>IFERROR(VLOOKUP(C23,'تقرير المصروفات حسب الشهر'!$C$1397:$AI$1512,14,FALSE),0)</f>
        <v>276787.43</v>
      </c>
      <c r="P23" s="364">
        <f t="shared" ref="P23:P86" si="5">SUM(D23:O23)</f>
        <v>2567320.318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الشهر'!$C$10:$AD$119,14,FALSE),0)</f>
        <v>3790</v>
      </c>
      <c r="E24" s="362">
        <f>IFERROR(VLOOKUP(C24,'تقرير المصروفات حسب الشهر'!$C$135:$AD$244,14,FALSE),0)</f>
        <v>2722</v>
      </c>
      <c r="F24" s="362">
        <v>6568</v>
      </c>
      <c r="G24" s="362">
        <f>IFERROR(VLOOKUP(C24,'تقرير المصروفات حسب الشهر'!$C$387:$AD$495,14,FALSE),0)</f>
        <v>2191</v>
      </c>
      <c r="H24" s="362">
        <f>IFERROR(VLOOKUP(C24,'تقرير المصروفات حسب الشهر'!$C$512:$AD$620,14,FALSE),0)</f>
        <v>3514</v>
      </c>
      <c r="I24" s="511">
        <f>IFERROR(VLOOKUP(C24,'تقرير المصروفات حسب الشهر'!$C$637:$AD$746,14,FALSE),0)</f>
        <v>4075</v>
      </c>
      <c r="J24" s="362">
        <f>IFERROR(VLOOKUP(C24,'تقرير المصروفات حسب الشهر'!$C$763:$AD$872,14,FALSE),0)</f>
        <v>4861</v>
      </c>
      <c r="K24" s="362">
        <f>IFERROR(VLOOKUP(C24,'تقرير المصروفات حسب الشهر'!$C$890:$AD$999,14,FALSE),0)</f>
        <v>6425</v>
      </c>
      <c r="L24" s="362">
        <f>IFERROR(VLOOKUP(C24,'تقرير المصروفات حسب الشهر'!$C$1016:$AD$1126,14,FALSE),0)</f>
        <v>7505</v>
      </c>
      <c r="M24" s="376">
        <f>IFERROR(VLOOKUP(C24,'تقرير المصروفات حسب الشهر'!$C$1143:$AD$1254,14,FALSE),0)</f>
        <v>8045</v>
      </c>
      <c r="N24" s="376">
        <f>IFERROR(VLOOKUP(C24,'تقرير المصروفات حسب الشهر'!$C$1270:$AD$1381,14,FALSE),0)</f>
        <v>7100</v>
      </c>
      <c r="O24" s="376">
        <f>IFERROR(VLOOKUP(C24,'تقرير المصروفات حسب الشهر'!$C$1397:$AI$1512,14,FALSE),0)</f>
        <v>7095</v>
      </c>
      <c r="P24" s="364">
        <f t="shared" si="5"/>
        <v>63891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الشهر'!$C$10:$AD$119,14,FALSE),0)</f>
        <v>0</v>
      </c>
      <c r="E25" s="362">
        <f>IFERROR(VLOOKUP(C25,'تقرير المصروفات حسب الشهر'!$C$135:$AD$244,14,FALSE),0)</f>
        <v>0</v>
      </c>
      <c r="F25" s="362">
        <v>0</v>
      </c>
      <c r="G25" s="362">
        <f>IFERROR(VLOOKUP(C25,'تقرير المصروفات حسب الشهر'!$C$387:$AD$495,14,FALSE),0)</f>
        <v>0</v>
      </c>
      <c r="H25" s="362">
        <f>IFERROR(VLOOKUP(C25,'تقرير المصروفات حسب الشهر'!$C$512:$AD$620,14,FALSE),0)</f>
        <v>0</v>
      </c>
      <c r="I25" s="362">
        <f>IFERROR(VLOOKUP(C25,'تقرير المصروفات حسب الشهر'!$C$637:$AD$746,14,FALSE),0)</f>
        <v>0</v>
      </c>
      <c r="J25" s="362">
        <f>IFERROR(VLOOKUP(C25,'تقرير المصروفات حسب الشهر'!$C$763:$AD$872,14,FALSE),0)</f>
        <v>0</v>
      </c>
      <c r="K25" s="362">
        <f>IFERROR(VLOOKUP(C25,'تقرير المصروفات حسب الشهر'!$C$890:$AD$999,14,FALSE),0)</f>
        <v>0</v>
      </c>
      <c r="L25" s="362">
        <f>IFERROR(VLOOKUP(C25,'تقرير المصروفات حسب الشهر'!$C$1016:$AD$1126,14,FALSE),0)</f>
        <v>0</v>
      </c>
      <c r="M25" s="376">
        <f>IFERROR(VLOOKUP(C25,'تقرير المصروفات حسب الشهر'!$C$1143:$AD$1254,14,FALSE),0)</f>
        <v>0</v>
      </c>
      <c r="N25" s="376">
        <f>IFERROR(VLOOKUP(C25,'تقرير المصروفات حسب الشهر'!$C$1270:$AD$1381,14,FALSE),0)</f>
        <v>0</v>
      </c>
      <c r="O25" s="376">
        <f>IFERROR(VLOOKUP(C25,'تقرير المصروفات حسب الشهر'!$C$1397:$AI$1512,14,FALSE),0)</f>
        <v>1582</v>
      </c>
      <c r="P25" s="364">
        <f t="shared" si="5"/>
        <v>1582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الشهر'!$C$10:$AD$119,14,FALSE),0)</f>
        <v>300</v>
      </c>
      <c r="E26" s="362">
        <f>IFERROR(VLOOKUP(C26,'تقرير المصروفات حسب الشهر'!$C$135:$AD$244,14,FALSE),0)</f>
        <v>0</v>
      </c>
      <c r="F26" s="362">
        <v>400</v>
      </c>
      <c r="G26" s="362">
        <f>IFERROR(VLOOKUP(C26,'تقرير المصروفات حسب الشهر'!$C$387:$AD$495,14,FALSE),0)</f>
        <v>0</v>
      </c>
      <c r="H26" s="362">
        <f>IFERROR(VLOOKUP(C26,'تقرير المصروفات حسب الشهر'!$C$512:$AD$620,14,FALSE),0)</f>
        <v>0</v>
      </c>
      <c r="I26" s="511">
        <f>IFERROR(VLOOKUP(C26,'تقرير المصروفات حسب الشهر'!$C$637:$AD$746,14,FALSE),0)</f>
        <v>1000</v>
      </c>
      <c r="J26" s="362">
        <f>IFERROR(VLOOKUP(C26,'تقرير المصروفات حسب الشهر'!$C$763:$AD$872,14,FALSE),0)</f>
        <v>0</v>
      </c>
      <c r="K26" s="362">
        <f>IFERROR(VLOOKUP(C26,'تقرير المصروفات حسب الشهر'!$C$890:$AD$999,14,FALSE),0)</f>
        <v>0</v>
      </c>
      <c r="L26" s="362">
        <f>IFERROR(VLOOKUP(C26,'تقرير المصروفات حسب الشهر'!$C$1016:$AD$1126,14,FALSE),0)</f>
        <v>0</v>
      </c>
      <c r="M26" s="376">
        <f>IFERROR(VLOOKUP(C26,'تقرير المصروفات حسب الشهر'!$C$1143:$AD$1254,14,FALSE),0)</f>
        <v>0</v>
      </c>
      <c r="N26" s="376">
        <f>IFERROR(VLOOKUP(C26,'تقرير المصروفات حسب الشهر'!$C$1270:$AD$1381,14,FALSE),0)</f>
        <v>0</v>
      </c>
      <c r="O26" s="376">
        <f>IFERROR(VLOOKUP(C26,'تقرير المصروفات حسب الشهر'!$C$1397:$AI$1512,14,FALSE),0)</f>
        <v>0</v>
      </c>
      <c r="P26" s="364">
        <f t="shared" si="5"/>
        <v>1700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الشهر'!$C$10:$AD$119,14,FALSE),0)</f>
        <v>0</v>
      </c>
      <c r="E27" s="362">
        <f>IFERROR(VLOOKUP(C27,'تقرير المصروفات حسب الشهر'!$C$135:$AD$244,14,FALSE),0)</f>
        <v>0</v>
      </c>
      <c r="F27" s="362">
        <v>0</v>
      </c>
      <c r="G27" s="362">
        <f>IFERROR(VLOOKUP(C27,'تقرير المصروفات حسب الشهر'!$C$387:$AD$495,14,FALSE),0)</f>
        <v>0</v>
      </c>
      <c r="H27" s="362">
        <f>IFERROR(VLOOKUP(C27,'تقرير المصروفات حسب الشهر'!$C$512:$AD$620,14,FALSE),0)</f>
        <v>0</v>
      </c>
      <c r="I27" s="362">
        <f>IFERROR(VLOOKUP(C27,'تقرير المصروفات حسب الشهر'!$C$637:$AD$746,14,FALSE),0)</f>
        <v>0</v>
      </c>
      <c r="J27" s="362">
        <f>IFERROR(VLOOKUP(C27,'تقرير المصروفات حسب الشهر'!$C$763:$AD$872,14,FALSE),0)</f>
        <v>0</v>
      </c>
      <c r="K27" s="362">
        <f>IFERROR(VLOOKUP(C27,'تقرير المصروفات حسب الشهر'!$C$890:$AD$999,14,FALSE),0)</f>
        <v>0</v>
      </c>
      <c r="L27" s="362">
        <f>IFERROR(VLOOKUP(C27,'تقرير المصروفات حسب الشهر'!$C$1016:$AD$1126,14,FALSE),0)</f>
        <v>0</v>
      </c>
      <c r="M27" s="376">
        <f>IFERROR(VLOOKUP(C27,'تقرير المصروفات حسب الشهر'!$C$1143:$AD$1254,14,FALSE),0)</f>
        <v>0</v>
      </c>
      <c r="N27" s="376">
        <f>IFERROR(VLOOKUP(C27,'تقرير المصروفات حسب الشهر'!$C$1270:$AD$1381,14,FALSE),0)</f>
        <v>0</v>
      </c>
      <c r="O27" s="376">
        <f>IFERROR(VLOOKUP(C27,'تقرير المصروفات حسب الشهر'!$C$1397:$AI$1512,14,FALSE),0)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الشهر'!$C$10:$AD$119,14,FALSE),0)</f>
        <v>0</v>
      </c>
      <c r="E28" s="362">
        <f>IFERROR(VLOOKUP(C28,'تقرير المصروفات حسب الشهر'!$C$135:$AD$244,14,FALSE),0)</f>
        <v>0</v>
      </c>
      <c r="F28" s="362">
        <v>0</v>
      </c>
      <c r="G28" s="362">
        <f>IFERROR(VLOOKUP(C28,'تقرير المصروفات حسب الشهر'!$C$387:$AD$495,14,FALSE),0)</f>
        <v>0</v>
      </c>
      <c r="H28" s="362">
        <f>IFERROR(VLOOKUP(C28,'تقرير المصروفات حسب الشهر'!$C$512:$AD$620,14,FALSE),0)</f>
        <v>0</v>
      </c>
      <c r="I28" s="362">
        <f>IFERROR(VLOOKUP(C28,'تقرير المصروفات حسب الشهر'!$C$637:$AD$746,14,FALSE),0)</f>
        <v>0</v>
      </c>
      <c r="J28" s="362">
        <f>IFERROR(VLOOKUP(C28,'تقرير المصروفات حسب الشهر'!$C$763:$AD$872,14,FALSE),0)</f>
        <v>0</v>
      </c>
      <c r="K28" s="362">
        <f>IFERROR(VLOOKUP(C28,'تقرير المصروفات حسب الشهر'!$C$890:$AD$999,14,FALSE),0)</f>
        <v>0</v>
      </c>
      <c r="L28" s="362">
        <f>IFERROR(VLOOKUP(C28,'تقرير المصروفات حسب الشهر'!$C$1016:$AD$1126,14,FALSE),0)</f>
        <v>0</v>
      </c>
      <c r="M28" s="376">
        <f>IFERROR(VLOOKUP(C28,'تقرير المصروفات حسب الشهر'!$C$1143:$AD$1254,14,FALSE),0)</f>
        <v>0</v>
      </c>
      <c r="N28" s="376">
        <f>IFERROR(VLOOKUP(C28,'تقرير المصروفات حسب الشهر'!$C$1270:$AD$1381,14,FALSE),0)</f>
        <v>0</v>
      </c>
      <c r="O28" s="376">
        <f>IFERROR(VLOOKUP(C28,'تقرير المصروفات حسب الشهر'!$C$1397:$AI$1512,14,FALSE),0)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الشهر'!$C$10:$AD$119,14,FALSE),0)</f>
        <v>20900</v>
      </c>
      <c r="E29" s="362">
        <f>IFERROR(VLOOKUP(C29,'تقرير المصروفات حسب الشهر'!$C$135:$AD$244,14,FALSE),0)</f>
        <v>20900</v>
      </c>
      <c r="F29" s="362">
        <v>20900</v>
      </c>
      <c r="G29" s="362">
        <f>IFERROR(VLOOKUP(C29,'تقرير المصروفات حسب الشهر'!$C$387:$AD$495,14,FALSE),0)</f>
        <v>20900</v>
      </c>
      <c r="H29" s="362">
        <f>IFERROR(VLOOKUP(C29,'تقرير المصروفات حسب الشهر'!$C$512:$AD$620,14,FALSE),0)</f>
        <v>20900</v>
      </c>
      <c r="I29" s="511">
        <f>IFERROR(VLOOKUP(C29,'تقرير المصروفات حسب الشهر'!$C$637:$AD$746,14,FALSE),0)</f>
        <v>20900</v>
      </c>
      <c r="J29" s="362">
        <f>IFERROR(VLOOKUP(C29,'تقرير المصروفات حسب الشهر'!$C$763:$AD$872,14,FALSE),0)</f>
        <v>20900</v>
      </c>
      <c r="K29" s="362">
        <f>IFERROR(VLOOKUP(C29,'تقرير المصروفات حسب الشهر'!$C$890:$AD$999,14,FALSE),0)</f>
        <v>20900</v>
      </c>
      <c r="L29" s="362">
        <f>IFERROR(VLOOKUP(C29,'تقرير المصروفات حسب الشهر'!$C$1016:$AD$1126,14,FALSE),0)</f>
        <v>20700</v>
      </c>
      <c r="M29" s="376">
        <f>IFERROR(VLOOKUP(C29,'تقرير المصروفات حسب الشهر'!$C$1143:$AD$1254,14,FALSE),0)</f>
        <v>18700</v>
      </c>
      <c r="N29" s="376">
        <f>IFERROR(VLOOKUP(C29,'تقرير المصروفات حسب الشهر'!$C$1270:$AD$1381,14,FALSE),0)</f>
        <v>22700</v>
      </c>
      <c r="O29" s="376">
        <f>IFERROR(VLOOKUP(C29,'تقرير المصروفات حسب الشهر'!$C$1397:$AI$1512,14,FALSE),0)</f>
        <v>20570</v>
      </c>
      <c r="P29" s="364">
        <f t="shared" si="5"/>
        <v>249870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الشهر'!$C$10:$AD$119,14,FALSE),0)</f>
        <v>0</v>
      </c>
      <c r="E30" s="362">
        <f>IFERROR(VLOOKUP(C30,'تقرير المصروفات حسب الشهر'!$C$135:$AD$244,14,FALSE),0)</f>
        <v>0</v>
      </c>
      <c r="F30" s="362">
        <v>0</v>
      </c>
      <c r="G30" s="362">
        <f>IFERROR(VLOOKUP(C30,'تقرير المصروفات حسب الشهر'!$C$387:$AD$495,14,FALSE),0)</f>
        <v>0</v>
      </c>
      <c r="H30" s="362">
        <f>IFERROR(VLOOKUP(C30,'تقرير المصروفات حسب الشهر'!$C$512:$AD$620,14,FALSE),0)</f>
        <v>0</v>
      </c>
      <c r="I30" s="511">
        <f>IFERROR(VLOOKUP(C30,'تقرير المصروفات حسب الشهر'!$C$637:$AD$746,14,FALSE),0)</f>
        <v>425.25</v>
      </c>
      <c r="J30" s="362">
        <f>IFERROR(VLOOKUP(C30,'تقرير المصروفات حسب الشهر'!$C$763:$AD$872,14,FALSE),0)</f>
        <v>0</v>
      </c>
      <c r="K30" s="362">
        <f>IFERROR(VLOOKUP(C30,'تقرير المصروفات حسب الشهر'!$C$890:$AD$999,14,FALSE),0)</f>
        <v>0</v>
      </c>
      <c r="L30" s="362">
        <f>IFERROR(VLOOKUP(C30,'تقرير المصروفات حسب الشهر'!$C$1016:$AD$1126,14,FALSE),0)</f>
        <v>0</v>
      </c>
      <c r="M30" s="376">
        <f>IFERROR(VLOOKUP(C30,'تقرير المصروفات حسب الشهر'!$C$1143:$AD$1254,14,FALSE),0)</f>
        <v>995.5</v>
      </c>
      <c r="N30" s="376">
        <f>IFERROR(VLOOKUP(C30,'تقرير المصروفات حسب الشهر'!$C$1270:$AD$1381,14,FALSE),0)</f>
        <v>0</v>
      </c>
      <c r="O30" s="376">
        <f>IFERROR(VLOOKUP(C30,'تقرير المصروفات حسب الشهر'!$C$1397:$AI$1512,14,FALSE),0)</f>
        <v>960</v>
      </c>
      <c r="P30" s="364">
        <f t="shared" si="5"/>
        <v>2380.75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الشهر'!$C$10:$AD$119,14,FALSE),0)</f>
        <v>648.82000000000005</v>
      </c>
      <c r="E31" s="362">
        <f>IFERROR(VLOOKUP(C31,'تقرير المصروفات حسب الشهر'!$C$135:$AD$244,14,FALSE),0)</f>
        <v>606.82000000000005</v>
      </c>
      <c r="F31" s="362">
        <v>638.80999999999995</v>
      </c>
      <c r="G31" s="362">
        <f>IFERROR(VLOOKUP(C31,'تقرير المصروفات حسب الشهر'!$C$387:$AD$495,14,FALSE),0)</f>
        <v>663.81</v>
      </c>
      <c r="H31" s="362">
        <f>IFERROR(VLOOKUP(C31,'تقرير المصروفات حسب الشهر'!$C$512:$AD$620,14,FALSE),0)</f>
        <v>698.81</v>
      </c>
      <c r="I31" s="511">
        <f>IFERROR(VLOOKUP(C31,'تقرير المصروفات حسب الشهر'!$C$637:$AD$746,14,FALSE),0)</f>
        <v>623.80999999999995</v>
      </c>
      <c r="J31" s="362">
        <f>IFERROR(VLOOKUP(C31,'تقرير المصروفات حسب الشهر'!$C$763:$AD$872,14,FALSE),0)</f>
        <v>623.80999999999995</v>
      </c>
      <c r="K31" s="362">
        <f>IFERROR(VLOOKUP(C31,'تقرير المصروفات حسب الشهر'!$C$890:$AD$999,14,FALSE),0)</f>
        <v>618.80999999999995</v>
      </c>
      <c r="L31" s="362">
        <f>IFERROR(VLOOKUP(C31,'تقرير المصروفات حسب الشهر'!$C$1016:$AD$1126,14,FALSE),0)</f>
        <v>658.81</v>
      </c>
      <c r="M31" s="376">
        <f>IFERROR(VLOOKUP(C31,'تقرير المصروفات حسب الشهر'!$C$1143:$AD$1254,14,FALSE),0)</f>
        <v>593.80999999999995</v>
      </c>
      <c r="N31" s="376">
        <f>IFERROR(VLOOKUP(C31,'تقرير المصروفات حسب الشهر'!$C$1270:$AD$1381,14,FALSE),0)</f>
        <v>658.81</v>
      </c>
      <c r="O31" s="376">
        <f>IFERROR(VLOOKUP(C31,'تقرير المصروفات حسب الشهر'!$C$1397:$AI$1512,14,FALSE),0)</f>
        <v>613.80999999999995</v>
      </c>
      <c r="P31" s="364">
        <f t="shared" si="5"/>
        <v>7648.739999999998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الشهر'!$C$10:$AD$119,14,FALSE),0)</f>
        <v>0</v>
      </c>
      <c r="E32" s="362">
        <f>IFERROR(VLOOKUP(C32,'تقرير المصروفات حسب الشهر'!$C$135:$AD$244,14,FALSE),0)</f>
        <v>0</v>
      </c>
      <c r="F32" s="362">
        <v>0</v>
      </c>
      <c r="G32" s="362">
        <f>IFERROR(VLOOKUP(C32,'تقرير المصروفات حسب الشهر'!$C$387:$AD$495,14,FALSE),0)</f>
        <v>0</v>
      </c>
      <c r="H32" s="362">
        <f>IFERROR(VLOOKUP(C32,'تقرير المصروفات حسب الشهر'!$C$512:$AD$620,14,FALSE),0)</f>
        <v>0</v>
      </c>
      <c r="I32" s="362">
        <f>IFERROR(VLOOKUP(C32,'تقرير المصروفات حسب الشهر'!$C$637:$AD$746,14,FALSE),0)</f>
        <v>0</v>
      </c>
      <c r="J32" s="362">
        <f>IFERROR(VLOOKUP(C32,'تقرير المصروفات حسب الشهر'!$C$763:$AD$872,14,FALSE),0)</f>
        <v>0</v>
      </c>
      <c r="K32" s="362">
        <f>IFERROR(VLOOKUP(C32,'تقرير المصروفات حسب الشهر'!$C$890:$AD$999,14,FALSE),0)</f>
        <v>0</v>
      </c>
      <c r="L32" s="362">
        <f>IFERROR(VLOOKUP(C32,'تقرير المصروفات حسب الشهر'!$C$1016:$AD$1126,14,FALSE),0)</f>
        <v>0</v>
      </c>
      <c r="M32" s="376">
        <f>IFERROR(VLOOKUP(C32,'تقرير المصروفات حسب الشهر'!$C$1143:$AD$1254,14,FALSE),0)</f>
        <v>0</v>
      </c>
      <c r="N32" s="376">
        <f>IFERROR(VLOOKUP(C32,'تقرير المصروفات حسب الشهر'!$C$1270:$AD$1381,14,FALSE),0)</f>
        <v>0</v>
      </c>
      <c r="O32" s="376">
        <f>IFERROR(VLOOKUP(C32,'تقرير المصروفات حسب الشهر'!$C$1397:$AI$1512,14,FALSE),0)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الشهر'!$C$10:$AD$119,14,FALSE),0)</f>
        <v>500</v>
      </c>
      <c r="E33" s="362">
        <f>IFERROR(VLOOKUP(C33,'تقرير المصروفات حسب الشهر'!$C$135:$AD$244,14,FALSE),0)</f>
        <v>500</v>
      </c>
      <c r="F33" s="362">
        <v>750</v>
      </c>
      <c r="G33" s="362">
        <f>IFERROR(VLOOKUP(C33,'تقرير المصروفات حسب الشهر'!$C$387:$AD$495,14,FALSE),0)</f>
        <v>0</v>
      </c>
      <c r="H33" s="362">
        <f>IFERROR(VLOOKUP(C33,'تقرير المصروفات حسب الشهر'!$C$512:$AD$620,14,FALSE),0)</f>
        <v>750</v>
      </c>
      <c r="I33" s="511">
        <f>IFERROR(VLOOKUP(C33,'تقرير المصروفات حسب الشهر'!$C$637:$AD$746,14,FALSE),0)</f>
        <v>750</v>
      </c>
      <c r="J33" s="362">
        <f>IFERROR(VLOOKUP(C33,'تقرير المصروفات حسب الشهر'!$C$763:$AD$872,14,FALSE),0)</f>
        <v>400</v>
      </c>
      <c r="K33" s="362">
        <f>IFERROR(VLOOKUP(C33,'تقرير المصروفات حسب الشهر'!$C$890:$AD$999,14,FALSE),0)</f>
        <v>0</v>
      </c>
      <c r="L33" s="362">
        <f>IFERROR(VLOOKUP(C33,'تقرير المصروفات حسب الشهر'!$C$1016:$AD$1126,14,FALSE),0)</f>
        <v>0</v>
      </c>
      <c r="M33" s="376">
        <f>IFERROR(VLOOKUP(C33,'تقرير المصروفات حسب الشهر'!$C$1143:$AD$1254,14,FALSE),0)</f>
        <v>0</v>
      </c>
      <c r="N33" s="376">
        <f>IFERROR(VLOOKUP(C33,'تقرير المصروفات حسب الشهر'!$C$1270:$AD$1381,14,FALSE),0)</f>
        <v>750</v>
      </c>
      <c r="O33" s="376">
        <f>IFERROR(VLOOKUP(C33,'تقرير المصروفات حسب الشهر'!$C$1397:$AI$1512,14,FALSE),0)</f>
        <v>1427.5</v>
      </c>
      <c r="P33" s="364">
        <f t="shared" si="5"/>
        <v>5827.5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الشهر'!$C$10:$AD$119,14,FALSE),0)</f>
        <v>0</v>
      </c>
      <c r="E34" s="362">
        <f>IFERROR(VLOOKUP(C34,'تقرير المصروفات حسب الشهر'!$C$135:$AD$244,14,FALSE),0)</f>
        <v>0</v>
      </c>
      <c r="F34" s="362">
        <v>0</v>
      </c>
      <c r="G34" s="362">
        <f>IFERROR(VLOOKUP(C34,'تقرير المصروفات حسب الشهر'!$C$387:$AD$495,14,FALSE),0)</f>
        <v>0</v>
      </c>
      <c r="H34" s="362">
        <f>IFERROR(VLOOKUP(C34,'تقرير المصروفات حسب الشهر'!$C$512:$AD$620,14,FALSE),0)</f>
        <v>0</v>
      </c>
      <c r="I34" s="362">
        <f>IFERROR(VLOOKUP(C34,'تقرير المصروفات حسب الشهر'!$C$637:$AD$746,14,FALSE),0)</f>
        <v>0</v>
      </c>
      <c r="J34" s="362">
        <f>IFERROR(VLOOKUP(C34,'تقرير المصروفات حسب الشهر'!$C$763:$AD$872,14,FALSE),0)</f>
        <v>0</v>
      </c>
      <c r="K34" s="362">
        <f>IFERROR(VLOOKUP(C34,'تقرير المصروفات حسب الشهر'!$C$890:$AD$999,14,FALSE),0)</f>
        <v>0</v>
      </c>
      <c r="L34" s="362">
        <f>IFERROR(VLOOKUP(C34,'تقرير المصروفات حسب الشهر'!$C$1016:$AD$1126,14,FALSE),0)</f>
        <v>0</v>
      </c>
      <c r="M34" s="376">
        <f>IFERROR(VLOOKUP(C34,'تقرير المصروفات حسب الشهر'!$C$1143:$AD$1254,14,FALSE),0)</f>
        <v>0</v>
      </c>
      <c r="N34" s="376">
        <f>IFERROR(VLOOKUP(C34,'تقرير المصروفات حسب الشهر'!$C$1270:$AD$1381,14,FALSE),0)</f>
        <v>0</v>
      </c>
      <c r="O34" s="376">
        <f>IFERROR(VLOOKUP(C34,'تقرير المصروفات حسب الشهر'!$C$1397:$AI$1512,14,FALSE),0)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الشهر'!$C$10:$AD$119,14,FALSE),0)</f>
        <v>0</v>
      </c>
      <c r="E35" s="362">
        <f>IFERROR(VLOOKUP(C35,'تقرير المصروفات حسب الشهر'!$C$135:$AD$244,14,FALSE),0)</f>
        <v>0</v>
      </c>
      <c r="F35" s="362">
        <v>0</v>
      </c>
      <c r="G35" s="362">
        <f>IFERROR(VLOOKUP(C35,'تقرير المصروفات حسب الشهر'!$C$387:$AD$495,14,FALSE),0)</f>
        <v>0</v>
      </c>
      <c r="H35" s="362">
        <f>IFERROR(VLOOKUP(C35,'تقرير المصروفات حسب الشهر'!$C$512:$AD$620,14,FALSE),0)</f>
        <v>0</v>
      </c>
      <c r="I35" s="362">
        <f>IFERROR(VLOOKUP(C35,'تقرير المصروفات حسب الشهر'!$C$637:$AD$746,14,FALSE),0)</f>
        <v>0</v>
      </c>
      <c r="J35" s="362">
        <f>IFERROR(VLOOKUP(C35,'تقرير المصروفات حسب الشهر'!$C$763:$AD$872,14,FALSE),0)</f>
        <v>0</v>
      </c>
      <c r="K35" s="362">
        <f>IFERROR(VLOOKUP(C35,'تقرير المصروفات حسب الشهر'!$C$890:$AD$999,14,FALSE),0)</f>
        <v>250</v>
      </c>
      <c r="L35" s="362">
        <f>IFERROR(VLOOKUP(C35,'تقرير المصروفات حسب الشهر'!$C$1016:$AD$1126,14,FALSE),0)</f>
        <v>0</v>
      </c>
      <c r="M35" s="376">
        <f>IFERROR(VLOOKUP(C35,'تقرير المصروفات حسب الشهر'!$C$1143:$AD$1254,14,FALSE),0)</f>
        <v>0</v>
      </c>
      <c r="N35" s="376">
        <f>IFERROR(VLOOKUP(C35,'تقرير المصروفات حسب الشهر'!$C$1270:$AD$1381,14,FALSE),0)</f>
        <v>0</v>
      </c>
      <c r="O35" s="376">
        <f>IFERROR(VLOOKUP(C35,'تقرير المصروفات حسب الشهر'!$C$1397:$AI$1512,14,FALSE),0)</f>
        <v>915</v>
      </c>
      <c r="P35" s="364">
        <f t="shared" si="5"/>
        <v>1165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الشهر'!$C$10:$AD$119,14,FALSE),0)</f>
        <v>750</v>
      </c>
      <c r="E36" s="362">
        <f>IFERROR(VLOOKUP(C36,'تقرير المصروفات حسب الشهر'!$C$135:$AD$244,14,FALSE),0)</f>
        <v>0</v>
      </c>
      <c r="F36" s="362">
        <v>0</v>
      </c>
      <c r="G36" s="362">
        <f>IFERROR(VLOOKUP(C36,'تقرير المصروفات حسب الشهر'!$C$387:$AD$495,14,FALSE),0)</f>
        <v>750</v>
      </c>
      <c r="H36" s="362">
        <f>IFERROR(VLOOKUP(C36,'تقرير المصروفات حسب الشهر'!$C$512:$AD$620,14,FALSE),0)</f>
        <v>0</v>
      </c>
      <c r="I36" s="511">
        <f>IFERROR(VLOOKUP(C36,'تقرير المصروفات حسب الشهر'!$C$637:$AD$746,14,FALSE),0)</f>
        <v>770</v>
      </c>
      <c r="J36" s="362">
        <f>IFERROR(VLOOKUP(C36,'تقرير المصروفات حسب الشهر'!$C$763:$AD$872,14,FALSE),0)</f>
        <v>0</v>
      </c>
      <c r="K36" s="362">
        <f>IFERROR(VLOOKUP(C36,'تقرير المصروفات حسب الشهر'!$C$890:$AD$999,14,FALSE),0)</f>
        <v>0</v>
      </c>
      <c r="L36" s="362">
        <f>IFERROR(VLOOKUP(C36,'تقرير المصروفات حسب الشهر'!$C$1016:$AD$1126,14,FALSE),0)</f>
        <v>0</v>
      </c>
      <c r="M36" s="376">
        <f>IFERROR(VLOOKUP(C36,'تقرير المصروفات حسب الشهر'!$C$1143:$AD$1254,14,FALSE),0)</f>
        <v>770</v>
      </c>
      <c r="N36" s="376">
        <f>IFERROR(VLOOKUP(C36,'تقرير المصروفات حسب الشهر'!$C$1270:$AD$1381,14,FALSE),0)</f>
        <v>0</v>
      </c>
      <c r="O36" s="376">
        <f>IFERROR(VLOOKUP(C36,'تقرير المصروفات حسب الشهر'!$C$1397:$AI$1512,14,FALSE),0)</f>
        <v>1540</v>
      </c>
      <c r="P36" s="364">
        <f t="shared" si="5"/>
        <v>4580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الشهر'!$C$10:$AD$119,14,FALSE),0)</f>
        <v>2250</v>
      </c>
      <c r="E37" s="362">
        <f>IFERROR(VLOOKUP(C37,'تقرير المصروفات حسب الشهر'!$C$135:$AD$244,14,FALSE),0)</f>
        <v>0</v>
      </c>
      <c r="F37" s="362">
        <v>0</v>
      </c>
      <c r="G37" s="362">
        <f>IFERROR(VLOOKUP(C37,'تقرير المصروفات حسب الشهر'!$C$387:$AD$495,14,FALSE),0)</f>
        <v>2250</v>
      </c>
      <c r="H37" s="362">
        <f>IFERROR(VLOOKUP(C37,'تقرير المصروفات حسب الشهر'!$C$512:$AD$620,14,FALSE),0)</f>
        <v>0</v>
      </c>
      <c r="I37" s="511">
        <f>IFERROR(VLOOKUP(C37,'تقرير المصروفات حسب الشهر'!$C$637:$AD$746,14,FALSE),0)</f>
        <v>4500</v>
      </c>
      <c r="J37" s="362">
        <f>IFERROR(VLOOKUP(C37,'تقرير المصروفات حسب الشهر'!$C$763:$AD$872,14,FALSE),0)</f>
        <v>0</v>
      </c>
      <c r="K37" s="362">
        <f>IFERROR(VLOOKUP(C37,'تقرير المصروفات حسب الشهر'!$C$890:$AD$999,14,FALSE),0)</f>
        <v>2250</v>
      </c>
      <c r="L37" s="362">
        <f>IFERROR(VLOOKUP(C37,'تقرير المصروفات حسب الشهر'!$C$1016:$AD$1126,14,FALSE),0)</f>
        <v>0</v>
      </c>
      <c r="M37" s="376">
        <f>IFERROR(VLOOKUP(C37,'تقرير المصروفات حسب الشهر'!$C$1143:$AD$1254,14,FALSE),0)</f>
        <v>2250</v>
      </c>
      <c r="N37" s="376">
        <f>IFERROR(VLOOKUP(C37,'تقرير المصروفات حسب الشهر'!$C$1270:$AD$1381,14,FALSE),0)</f>
        <v>0</v>
      </c>
      <c r="O37" s="376">
        <f>IFERROR(VLOOKUP(C37,'تقرير المصروفات حسب الشهر'!$C$1397:$AI$1512,14,FALSE),0)</f>
        <v>4520</v>
      </c>
      <c r="P37" s="364">
        <f t="shared" si="5"/>
        <v>18020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الشهر'!$C$10:$AD$119,14,FALSE),0)</f>
        <v>0</v>
      </c>
      <c r="E38" s="362">
        <f>IFERROR(VLOOKUP(C38,'تقرير المصروفات حسب الشهر'!$C$135:$AD$244,14,FALSE),0)</f>
        <v>0</v>
      </c>
      <c r="F38" s="362">
        <v>0</v>
      </c>
      <c r="G38" s="362">
        <f>IFERROR(VLOOKUP(C38,'تقرير المصروفات حسب الشهر'!$C$387:$AD$495,14,FALSE),0)</f>
        <v>0</v>
      </c>
      <c r="H38" s="362">
        <f>IFERROR(VLOOKUP(C38,'تقرير المصروفات حسب الشهر'!$C$512:$AD$620,14,FALSE),0)</f>
        <v>0</v>
      </c>
      <c r="I38" s="362">
        <f>IFERROR(VLOOKUP(C38,'تقرير المصروفات حسب الشهر'!$C$637:$AD$746,14,FALSE),0)</f>
        <v>0</v>
      </c>
      <c r="J38" s="362">
        <f>IFERROR(VLOOKUP(C38,'تقرير المصروفات حسب الشهر'!$C$763:$AD$872,14,FALSE),0)</f>
        <v>0</v>
      </c>
      <c r="K38" s="362">
        <f>IFERROR(VLOOKUP(C38,'تقرير المصروفات حسب الشهر'!$C$890:$AD$999,14,FALSE),0)</f>
        <v>0</v>
      </c>
      <c r="L38" s="362">
        <f>IFERROR(VLOOKUP(C38,'تقرير المصروفات حسب الشهر'!$C$1016:$AD$1126,14,FALSE),0)</f>
        <v>0</v>
      </c>
      <c r="M38" s="376">
        <f>IFERROR(VLOOKUP(C38,'تقرير المصروفات حسب الشهر'!$C$1143:$AD$1254,14,FALSE),0)</f>
        <v>0</v>
      </c>
      <c r="N38" s="376">
        <f>IFERROR(VLOOKUP(C38,'تقرير المصروفات حسب الشهر'!$C$1270:$AD$1381,14,FALSE),0)</f>
        <v>0</v>
      </c>
      <c r="O38" s="376">
        <f>IFERROR(VLOOKUP(C38,'تقرير المصروفات حسب الشهر'!$C$1397:$AI$1512,14,FALSE),0)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الشهر'!$C$10:$AD$119,14,FALSE),0)</f>
        <v>4567.5</v>
      </c>
      <c r="E39" s="362">
        <f>IFERROR(VLOOKUP(C39,'تقرير المصروفات حسب الشهر'!$C$135:$AD$244,14,FALSE),0)</f>
        <v>4442.1000000000004</v>
      </c>
      <c r="F39" s="362">
        <v>3952.5</v>
      </c>
      <c r="G39" s="362">
        <f>IFERROR(VLOOKUP(C39,'تقرير المصروفات حسب الشهر'!$C$387:$AD$495,14,FALSE),0)</f>
        <v>3436.9</v>
      </c>
      <c r="H39" s="362">
        <f>IFERROR(VLOOKUP(C39,'تقرير المصروفات حسب الشهر'!$C$512:$AD$620,14,FALSE),0)</f>
        <v>4803</v>
      </c>
      <c r="I39" s="511">
        <f>IFERROR(VLOOKUP(C39,'تقرير المصروفات حسب الشهر'!$C$637:$AD$746,14,FALSE),0)</f>
        <v>3787</v>
      </c>
      <c r="J39" s="362">
        <f>IFERROR(VLOOKUP(C39,'تقرير المصروفات حسب الشهر'!$C$763:$AD$872,14,FALSE),0)</f>
        <v>2478</v>
      </c>
      <c r="K39" s="362">
        <f>IFERROR(VLOOKUP(C39,'تقرير المصروفات حسب الشهر'!$C$890:$AD$999,14,FALSE),0)</f>
        <v>2070</v>
      </c>
      <c r="L39" s="362">
        <f>IFERROR(VLOOKUP(C39,'تقرير المصروفات حسب الشهر'!$C$1016:$AD$1126,14,FALSE),0)</f>
        <v>1866</v>
      </c>
      <c r="M39" s="376">
        <f>IFERROR(VLOOKUP(C39,'تقرير المصروفات حسب الشهر'!$C$1143:$AD$1254,14,FALSE),0)</f>
        <v>1382</v>
      </c>
      <c r="N39" s="376">
        <f>IFERROR(VLOOKUP(C39,'تقرير المصروفات حسب الشهر'!$C$1270:$AD$1381,14,FALSE),0)</f>
        <v>2906</v>
      </c>
      <c r="O39" s="376">
        <f>IFERROR(VLOOKUP(C39,'تقرير المصروفات حسب الشهر'!$C$1397:$AI$1512,14,FALSE),0)</f>
        <v>4605</v>
      </c>
      <c r="P39" s="364">
        <f t="shared" si="5"/>
        <v>40296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الشهر'!$C$10:$AD$119,14,FALSE),0)</f>
        <v>0</v>
      </c>
      <c r="E40" s="362">
        <f>IFERROR(VLOOKUP(C40,'تقرير المصروفات حسب الشهر'!$C$135:$AD$244,14,FALSE),0)</f>
        <v>0</v>
      </c>
      <c r="F40" s="362">
        <v>0</v>
      </c>
      <c r="G40" s="362">
        <f>IFERROR(VLOOKUP(C40,'تقرير المصروفات حسب الشهر'!$C$387:$AD$495,14,FALSE),0)</f>
        <v>0</v>
      </c>
      <c r="H40" s="362">
        <f>IFERROR(VLOOKUP(C40,'تقرير المصروفات حسب الشهر'!$C$512:$AD$620,14,FALSE),0)</f>
        <v>0</v>
      </c>
      <c r="I40" s="362">
        <f>IFERROR(VLOOKUP(C40,'تقرير المصروفات حسب الشهر'!$C$637:$AD$746,14,FALSE),0)</f>
        <v>0</v>
      </c>
      <c r="J40" s="362">
        <f>IFERROR(VLOOKUP(C40,'تقرير المصروفات حسب الشهر'!$C$763:$AD$872,14,FALSE),0)</f>
        <v>0</v>
      </c>
      <c r="K40" s="362">
        <f>IFERROR(VLOOKUP(C40,'تقرير المصروفات حسب الشهر'!$C$890:$AD$999,14,FALSE),0)</f>
        <v>0</v>
      </c>
      <c r="L40" s="362">
        <f>IFERROR(VLOOKUP(C40,'تقرير المصروفات حسب الشهر'!$C$1016:$AD$1126,14,FALSE),0)</f>
        <v>0</v>
      </c>
      <c r="M40" s="376">
        <f>IFERROR(VLOOKUP(C40,'تقرير المصروفات حسب الشهر'!$C$1143:$AD$1254,14,FALSE),0)</f>
        <v>0</v>
      </c>
      <c r="N40" s="376">
        <f>IFERROR(VLOOKUP(C40,'تقرير المصروفات حسب الشهر'!$C$1270:$AD$1381,14,FALSE),0)</f>
        <v>0</v>
      </c>
      <c r="O40" s="376">
        <f>IFERROR(VLOOKUP(C40,'تقرير المصروفات حسب الشهر'!$C$1397:$AI$1512,14,FALSE),0)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الشهر'!$C$10:$AD$119,14,FALSE),0)</f>
        <v>0</v>
      </c>
      <c r="E41" s="362">
        <f>IFERROR(VLOOKUP(C41,'تقرير المصروفات حسب الشهر'!$C$135:$AD$244,14,FALSE),0)</f>
        <v>0</v>
      </c>
      <c r="F41" s="362">
        <v>0</v>
      </c>
      <c r="G41" s="362">
        <f>IFERROR(VLOOKUP(C41,'تقرير المصروفات حسب الشهر'!$C$387:$AD$495,14,FALSE),0)</f>
        <v>0</v>
      </c>
      <c r="H41" s="362">
        <f>IFERROR(VLOOKUP(C41,'تقرير المصروفات حسب الشهر'!$C$512:$AD$620,14,FALSE),0)</f>
        <v>0</v>
      </c>
      <c r="I41" s="362">
        <f>IFERROR(VLOOKUP(C41,'تقرير المصروفات حسب الشهر'!$C$637:$AD$746,14,FALSE),0)</f>
        <v>0</v>
      </c>
      <c r="J41" s="362">
        <f>IFERROR(VLOOKUP(C41,'تقرير المصروفات حسب الشهر'!$C$763:$AD$872,14,FALSE),0)</f>
        <v>0</v>
      </c>
      <c r="K41" s="362">
        <f>IFERROR(VLOOKUP(C41,'تقرير المصروفات حسب الشهر'!$C$890:$AD$999,14,FALSE),0)</f>
        <v>0</v>
      </c>
      <c r="L41" s="362">
        <f>IFERROR(VLOOKUP(C41,'تقرير المصروفات حسب الشهر'!$C$1016:$AD$1126,14,FALSE),0)</f>
        <v>0</v>
      </c>
      <c r="M41" s="376">
        <f>IFERROR(VLOOKUP(C41,'تقرير المصروفات حسب الشهر'!$C$1143:$AD$1254,14,FALSE),0)</f>
        <v>0</v>
      </c>
      <c r="N41" s="376">
        <f>IFERROR(VLOOKUP(C41,'تقرير المصروفات حسب الشهر'!$C$1270:$AD$1381,14,FALSE),0)</f>
        <v>0</v>
      </c>
      <c r="O41" s="376">
        <f>IFERROR(VLOOKUP(C41,'تقرير المصروفات حسب الشهر'!$C$1397:$AI$1512,14,FALSE),0)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الشهر'!$C$10:$AD$119,14,FALSE),0)</f>
        <v>0</v>
      </c>
      <c r="E42" s="362">
        <f>IFERROR(VLOOKUP(C42,'تقرير المصروفات حسب الشهر'!$C$135:$AD$244,14,FALSE),0)</f>
        <v>0</v>
      </c>
      <c r="F42" s="362">
        <v>0</v>
      </c>
      <c r="G42" s="362">
        <f>IFERROR(VLOOKUP(C42,'تقرير المصروفات حسب الشهر'!$C$387:$AD$495,14,FALSE),0)</f>
        <v>0</v>
      </c>
      <c r="H42" s="362">
        <f>IFERROR(VLOOKUP(C42,'تقرير المصروفات حسب الشهر'!$C$512:$AD$620,14,FALSE),0)</f>
        <v>0</v>
      </c>
      <c r="I42" s="362">
        <f>IFERROR(VLOOKUP(C42,'تقرير المصروفات حسب الشهر'!$C$637:$AD$746,14,FALSE),0)</f>
        <v>0</v>
      </c>
      <c r="J42" s="362">
        <f>IFERROR(VLOOKUP(C42,'تقرير المصروفات حسب الشهر'!$C$763:$AD$872,14,FALSE),0)</f>
        <v>0</v>
      </c>
      <c r="K42" s="362">
        <f>IFERROR(VLOOKUP(C42,'تقرير المصروفات حسب الشهر'!$C$890:$AD$999,14,FALSE),0)</f>
        <v>0</v>
      </c>
      <c r="L42" s="362">
        <f>IFERROR(VLOOKUP(C42,'تقرير المصروفات حسب الشهر'!$C$1016:$AD$1126,14,FALSE),0)</f>
        <v>0</v>
      </c>
      <c r="M42" s="376">
        <f>IFERROR(VLOOKUP(C42,'تقرير المصروفات حسب الشهر'!$C$1143:$AD$1254,14,FALSE),0)</f>
        <v>0</v>
      </c>
      <c r="N42" s="376">
        <f>IFERROR(VLOOKUP(C42,'تقرير المصروفات حسب الشهر'!$C$1270:$AD$1381,14,FALSE),0)</f>
        <v>0</v>
      </c>
      <c r="O42" s="376">
        <f>IFERROR(VLOOKUP(C42,'تقرير المصروفات حسب الشهر'!$C$1397:$AI$1512,14,FALSE),0)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الشهر'!$C$10:$AD$119,14,FALSE),0)</f>
        <v>0</v>
      </c>
      <c r="E43" s="362">
        <f>IFERROR(VLOOKUP(C43,'تقرير المصروفات حسب الشهر'!$C$135:$AD$244,14,FALSE),0)</f>
        <v>0</v>
      </c>
      <c r="F43" s="362">
        <v>0</v>
      </c>
      <c r="G43" s="362">
        <f>IFERROR(VLOOKUP(C43,'تقرير المصروفات حسب الشهر'!$C$387:$AD$495,14,FALSE),0)</f>
        <v>0</v>
      </c>
      <c r="H43" s="362">
        <f>IFERROR(VLOOKUP(C43,'تقرير المصروفات حسب الشهر'!$C$512:$AD$620,14,FALSE),0)</f>
        <v>0</v>
      </c>
      <c r="I43" s="362">
        <f>IFERROR(VLOOKUP(C43,'تقرير المصروفات حسب الشهر'!$C$637:$AD$746,14,FALSE),0)</f>
        <v>0</v>
      </c>
      <c r="J43" s="362">
        <f>IFERROR(VLOOKUP(C43,'تقرير المصروفات حسب الشهر'!$C$763:$AD$872,14,FALSE),0)</f>
        <v>0</v>
      </c>
      <c r="K43" s="362">
        <f>IFERROR(VLOOKUP(C43,'تقرير المصروفات حسب الشهر'!$C$890:$AD$999,14,FALSE),0)</f>
        <v>0</v>
      </c>
      <c r="L43" s="362">
        <f>IFERROR(VLOOKUP(C43,'تقرير المصروفات حسب الشهر'!$C$1016:$AD$1126,14,FALSE),0)</f>
        <v>0</v>
      </c>
      <c r="M43" s="376">
        <f>IFERROR(VLOOKUP(C43,'تقرير المصروفات حسب الشهر'!$C$1143:$AD$1254,14,FALSE),0)</f>
        <v>0</v>
      </c>
      <c r="N43" s="376">
        <f>IFERROR(VLOOKUP(C43,'تقرير المصروفات حسب الشهر'!$C$1270:$AD$1381,14,FALSE),0)</f>
        <v>0</v>
      </c>
      <c r="O43" s="376">
        <f>IFERROR(VLOOKUP(C43,'تقرير المصروفات حسب الشهر'!$C$1397:$AI$1512,14,FALSE),0)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الشهر'!$C$10:$AD$119,14,FALSE),0)</f>
        <v>0</v>
      </c>
      <c r="E44" s="362">
        <f>IFERROR(VLOOKUP(C44,'تقرير المصروفات حسب الشهر'!$C$135:$AD$244,14,FALSE),0)</f>
        <v>60</v>
      </c>
      <c r="F44" s="362">
        <v>195</v>
      </c>
      <c r="G44" s="362">
        <f>IFERROR(VLOOKUP(C44,'تقرير المصروفات حسب الشهر'!$C$387:$AD$495,14,FALSE),0)</f>
        <v>80</v>
      </c>
      <c r="H44" s="362">
        <f>IFERROR(VLOOKUP(C44,'تقرير المصروفات حسب الشهر'!$C$512:$AD$620,14,FALSE),0)</f>
        <v>90</v>
      </c>
      <c r="I44" s="511">
        <f>IFERROR(VLOOKUP(C44,'تقرير المصروفات حسب الشهر'!$C$637:$AD$746,14,FALSE),0)</f>
        <v>85</v>
      </c>
      <c r="J44" s="362">
        <f>IFERROR(VLOOKUP(C44,'تقرير المصروفات حسب الشهر'!$C$763:$AD$872,14,FALSE),0)</f>
        <v>325</v>
      </c>
      <c r="K44" s="362">
        <f>IFERROR(VLOOKUP(C44,'تقرير المصروفات حسب الشهر'!$C$890:$AD$999,14,FALSE),0)</f>
        <v>110</v>
      </c>
      <c r="L44" s="362">
        <f>IFERROR(VLOOKUP(C44,'تقرير المصروفات حسب الشهر'!$C$1016:$AD$1126,14,FALSE),0)</f>
        <v>210</v>
      </c>
      <c r="M44" s="376">
        <f>IFERROR(VLOOKUP(C44,'تقرير المصروفات حسب الشهر'!$C$1143:$AD$1254,14,FALSE),0)</f>
        <v>285</v>
      </c>
      <c r="N44" s="376">
        <f>IFERROR(VLOOKUP(C44,'تقرير المصروفات حسب الشهر'!$C$1270:$AD$1381,14,FALSE),0)</f>
        <v>280</v>
      </c>
      <c r="O44" s="376">
        <f>IFERROR(VLOOKUP(C44,'تقرير المصروفات حسب الشهر'!$C$1397:$AI$1512,14,FALSE),0)</f>
        <v>230</v>
      </c>
      <c r="P44" s="364">
        <f t="shared" si="5"/>
        <v>1950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الشهر'!$C$10:$AD$119,14,FALSE),0)</f>
        <v>0</v>
      </c>
      <c r="E45" s="362">
        <f>IFERROR(VLOOKUP(C45,'تقرير المصروفات حسب الشهر'!$C$135:$AD$244,14,FALSE),0)</f>
        <v>100</v>
      </c>
      <c r="F45" s="362">
        <v>100</v>
      </c>
      <c r="G45" s="362">
        <f>IFERROR(VLOOKUP(C45,'تقرير المصروفات حسب الشهر'!$C$387:$AD$495,14,FALSE),0)</f>
        <v>100</v>
      </c>
      <c r="H45" s="362">
        <f>IFERROR(VLOOKUP(C45,'تقرير المصروفات حسب الشهر'!$C$512:$AD$620,14,FALSE),0)</f>
        <v>100</v>
      </c>
      <c r="I45" s="511">
        <f>IFERROR(VLOOKUP(C45,'تقرير المصروفات حسب الشهر'!$C$637:$AD$746,14,FALSE),0)</f>
        <v>100</v>
      </c>
      <c r="J45" s="362">
        <f>IFERROR(VLOOKUP(C45,'تقرير المصروفات حسب الشهر'!$C$763:$AD$872,14,FALSE),0)</f>
        <v>100</v>
      </c>
      <c r="K45" s="362">
        <f>IFERROR(VLOOKUP(C45,'تقرير المصروفات حسب الشهر'!$C$890:$AD$999,14,FALSE),0)</f>
        <v>0</v>
      </c>
      <c r="L45" s="362">
        <f>IFERROR(VLOOKUP(C45,'تقرير المصروفات حسب الشهر'!$C$1016:$AD$1126,14,FALSE),0)</f>
        <v>0</v>
      </c>
      <c r="M45" s="376">
        <f>IFERROR(VLOOKUP(C45,'تقرير المصروفات حسب الشهر'!$C$1143:$AD$1254,14,FALSE),0)</f>
        <v>120</v>
      </c>
      <c r="N45" s="376">
        <f>IFERROR(VLOOKUP(C45,'تقرير المصروفات حسب الشهر'!$C$1270:$AD$1381,14,FALSE),0)</f>
        <v>120</v>
      </c>
      <c r="O45" s="376">
        <f>IFERROR(VLOOKUP(C45,'تقرير المصروفات حسب الشهر'!$C$1397:$AI$1512,14,FALSE),0)</f>
        <v>120</v>
      </c>
      <c r="P45" s="364">
        <f t="shared" si="5"/>
        <v>960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الشهر'!$C$10:$AD$119,14,FALSE),0)</f>
        <v>0</v>
      </c>
      <c r="E46" s="362">
        <f>IFERROR(VLOOKUP(C46,'تقرير المصروفات حسب الشهر'!$C$135:$AD$244,14,FALSE),0)</f>
        <v>0</v>
      </c>
      <c r="F46" s="362">
        <v>0</v>
      </c>
      <c r="G46" s="362">
        <f>IFERROR(VLOOKUP(C46,'تقرير المصروفات حسب الشهر'!$C$387:$AD$495,14,FALSE),0)</f>
        <v>0</v>
      </c>
      <c r="H46" s="362">
        <f>IFERROR(VLOOKUP(C46,'تقرير المصروفات حسب الشهر'!$C$512:$AD$620,14,FALSE),0)</f>
        <v>0</v>
      </c>
      <c r="I46" s="362">
        <f>IFERROR(VLOOKUP(C46,'تقرير المصروفات حسب الشهر'!$C$637:$AD$746,14,FALSE),0)</f>
        <v>0</v>
      </c>
      <c r="J46" s="362">
        <f>IFERROR(VLOOKUP(C46,'تقرير المصروفات حسب الشهر'!$C$763:$AD$872,14,FALSE),0)</f>
        <v>0</v>
      </c>
      <c r="K46" s="362">
        <f>IFERROR(VLOOKUP(C46,'تقرير المصروفات حسب الشهر'!$C$890:$AD$999,14,FALSE),0)</f>
        <v>0</v>
      </c>
      <c r="L46" s="362">
        <f>IFERROR(VLOOKUP(C46,'تقرير المصروفات حسب الشهر'!$C$1016:$AD$1126,14,FALSE),0)</f>
        <v>0</v>
      </c>
      <c r="M46" s="376">
        <f>IFERROR(VLOOKUP(C46,'تقرير المصروفات حسب الشهر'!$C$1143:$AD$1254,14,FALSE),0)</f>
        <v>0</v>
      </c>
      <c r="N46" s="376">
        <f>IFERROR(VLOOKUP(C46,'تقرير المصروفات حسب الشهر'!$C$1270:$AD$1381,14,FALSE),0)</f>
        <v>0</v>
      </c>
      <c r="O46" s="376">
        <f>IFERROR(VLOOKUP(C46,'تقرير المصروفات حسب الشهر'!$C$1397:$AI$1512,14,FALSE),0)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الشهر'!$C$10:$AD$119,14,FALSE),0)</f>
        <v>0</v>
      </c>
      <c r="E47" s="362">
        <f>IFERROR(VLOOKUP(C47,'تقرير المصروفات حسب الشهر'!$C$135:$AD$244,14,FALSE),0)</f>
        <v>0</v>
      </c>
      <c r="F47" s="362">
        <v>0</v>
      </c>
      <c r="G47" s="362">
        <f>IFERROR(VLOOKUP(C47,'تقرير المصروفات حسب الشهر'!$C$387:$AD$495,14,FALSE),0)</f>
        <v>1100</v>
      </c>
      <c r="H47" s="362">
        <f>IFERROR(VLOOKUP(C47,'تقرير المصروفات حسب الشهر'!$C$512:$AD$620,14,FALSE),0)</f>
        <v>2000</v>
      </c>
      <c r="I47" s="511">
        <f>IFERROR(VLOOKUP(C47,'تقرير المصروفات حسب الشهر'!$C$637:$AD$746,14,FALSE),0)</f>
        <v>300</v>
      </c>
      <c r="J47" s="362">
        <f>IFERROR(VLOOKUP(C47,'تقرير المصروفات حسب الشهر'!$C$763:$AD$872,14,FALSE),0)</f>
        <v>600</v>
      </c>
      <c r="K47" s="362">
        <f>IFERROR(VLOOKUP(C47,'تقرير المصروفات حسب الشهر'!$C$890:$AD$999,14,FALSE),0)</f>
        <v>300</v>
      </c>
      <c r="L47" s="362">
        <f>IFERROR(VLOOKUP(C47,'تقرير المصروفات حسب الشهر'!$C$1016:$AD$1126,14,FALSE),0)</f>
        <v>0</v>
      </c>
      <c r="M47" s="376">
        <f>IFERROR(VLOOKUP(C47,'تقرير المصروفات حسب الشهر'!$C$1143:$AD$1254,14,FALSE),0)</f>
        <v>600</v>
      </c>
      <c r="N47" s="376">
        <f>IFERROR(VLOOKUP(C47,'تقرير المصروفات حسب الشهر'!$C$1270:$AD$1381,14,FALSE),0)</f>
        <v>300</v>
      </c>
      <c r="O47" s="376">
        <f>IFERROR(VLOOKUP(C47,'تقرير المصروفات حسب الشهر'!$C$1397:$AI$1512,14,FALSE),0)</f>
        <v>0</v>
      </c>
      <c r="P47" s="364">
        <f t="shared" si="5"/>
        <v>5200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الشهر'!$C$10:$AD$119,14,FALSE),0)</f>
        <v>90</v>
      </c>
      <c r="E48" s="362">
        <f>IFERROR(VLOOKUP(C48,'تقرير المصروفات حسب الشهر'!$C$135:$AD$244,14,FALSE),0)</f>
        <v>0</v>
      </c>
      <c r="F48" s="362">
        <v>0</v>
      </c>
      <c r="G48" s="362">
        <f>IFERROR(VLOOKUP(C48,'تقرير المصروفات حسب الشهر'!$C$387:$AD$495,14,FALSE),0)</f>
        <v>0</v>
      </c>
      <c r="H48" s="362">
        <f>IFERROR(VLOOKUP(C48,'تقرير المصروفات حسب الشهر'!$C$512:$AD$620,14,FALSE),0)</f>
        <v>3760</v>
      </c>
      <c r="I48" s="362">
        <f>IFERROR(VLOOKUP(C48,'تقرير المصروفات حسب الشهر'!$C$637:$AD$746,14,FALSE),0)</f>
        <v>0</v>
      </c>
      <c r="J48" s="362">
        <f>IFERROR(VLOOKUP(C48,'تقرير المصروفات حسب الشهر'!$C$763:$AD$872,14,FALSE),0)</f>
        <v>0</v>
      </c>
      <c r="K48" s="362">
        <f>IFERROR(VLOOKUP(C48,'تقرير المصروفات حسب الشهر'!$C$890:$AD$999,14,FALSE),0)</f>
        <v>0</v>
      </c>
      <c r="L48" s="362">
        <f>IFERROR(VLOOKUP(C48,'تقرير المصروفات حسب الشهر'!$C$1016:$AD$1126,14,FALSE),0)</f>
        <v>0</v>
      </c>
      <c r="M48" s="376">
        <f>IFERROR(VLOOKUP(C48,'تقرير المصروفات حسب الشهر'!$C$1143:$AD$1254,14,FALSE),0)</f>
        <v>115</v>
      </c>
      <c r="N48" s="376">
        <f>IFERROR(VLOOKUP(C48,'تقرير المصروفات حسب الشهر'!$C$1270:$AD$1381,14,FALSE),0)</f>
        <v>0</v>
      </c>
      <c r="O48" s="376">
        <f>IFERROR(VLOOKUP(C48,'تقرير المصروفات حسب الشهر'!$C$1397:$AI$1512,14,FALSE),0)</f>
        <v>0</v>
      </c>
      <c r="P48" s="364">
        <f t="shared" si="5"/>
        <v>3965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الشهر'!$C$10:$AD$119,14,FALSE),0)</f>
        <v>75</v>
      </c>
      <c r="E49" s="362">
        <f>IFERROR(VLOOKUP(C49,'تقرير المصروفات حسب الشهر'!$C$135:$AD$244,14,FALSE),0)</f>
        <v>0</v>
      </c>
      <c r="F49" s="362">
        <v>0</v>
      </c>
      <c r="G49" s="362">
        <f>IFERROR(VLOOKUP(C49,'تقرير المصروفات حسب الشهر'!$C$387:$AD$495,14,FALSE),0)</f>
        <v>0</v>
      </c>
      <c r="H49" s="362">
        <f>IFERROR(VLOOKUP(C49,'تقرير المصروفات حسب الشهر'!$C$512:$AD$620,14,FALSE),0)</f>
        <v>0</v>
      </c>
      <c r="I49" s="362">
        <f>IFERROR(VLOOKUP(C49,'تقرير المصروفات حسب الشهر'!$C$637:$AD$746,14,FALSE),0)</f>
        <v>0</v>
      </c>
      <c r="J49" s="362">
        <f>IFERROR(VLOOKUP(C49,'تقرير المصروفات حسب الشهر'!$C$763:$AD$872,14,FALSE),0)</f>
        <v>0</v>
      </c>
      <c r="K49" s="362">
        <f>IFERROR(VLOOKUP(C49,'تقرير المصروفات حسب الشهر'!$C$890:$AD$999,14,FALSE),0)</f>
        <v>0</v>
      </c>
      <c r="L49" s="362">
        <f>IFERROR(VLOOKUP(C49,'تقرير المصروفات حسب الشهر'!$C$1016:$AD$1126,14,FALSE),0)</f>
        <v>0</v>
      </c>
      <c r="M49" s="376">
        <f>IFERROR(VLOOKUP(C49,'تقرير المصروفات حسب الشهر'!$C$1143:$AD$1254,14,FALSE),0)</f>
        <v>0</v>
      </c>
      <c r="N49" s="376">
        <f>IFERROR(VLOOKUP(C49,'تقرير المصروفات حسب الشهر'!$C$1270:$AD$1381,14,FALSE),0)</f>
        <v>3710</v>
      </c>
      <c r="O49" s="376">
        <f>IFERROR(VLOOKUP(C49,'تقرير المصروفات حسب الشهر'!$C$1397:$AI$1512,14,FALSE),0)</f>
        <v>0</v>
      </c>
      <c r="P49" s="364">
        <f t="shared" si="5"/>
        <v>3785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الشهر'!$C$10:$AD$119,14,FALSE),0)</f>
        <v>0</v>
      </c>
      <c r="E50" s="362">
        <f>IFERROR(VLOOKUP(C50,'تقرير المصروفات حسب الشهر'!$C$135:$AD$244,14,FALSE),0)</f>
        <v>0</v>
      </c>
      <c r="F50" s="362">
        <v>0</v>
      </c>
      <c r="G50" s="362">
        <f>IFERROR(VLOOKUP(C50,'تقرير المصروفات حسب الشهر'!$C$387:$AD$495,14,FALSE),0)</f>
        <v>0</v>
      </c>
      <c r="H50" s="362">
        <f>IFERROR(VLOOKUP(C50,'تقرير المصروفات حسب الشهر'!$C$512:$AD$620,14,FALSE),0)</f>
        <v>0</v>
      </c>
      <c r="I50" s="362">
        <f>IFERROR(VLOOKUP(C50,'تقرير المصروفات حسب الشهر'!$C$637:$AD$746,14,FALSE),0)</f>
        <v>0</v>
      </c>
      <c r="J50" s="362">
        <f>IFERROR(VLOOKUP(C50,'تقرير المصروفات حسب الشهر'!$C$763:$AD$872,14,FALSE),0)</f>
        <v>0</v>
      </c>
      <c r="K50" s="362">
        <f>IFERROR(VLOOKUP(C50,'تقرير المصروفات حسب الشهر'!$C$890:$AD$999,14,FALSE),0)</f>
        <v>0</v>
      </c>
      <c r="L50" s="362">
        <f>IFERROR(VLOOKUP(C50,'تقرير المصروفات حسب الشهر'!$C$1016:$AD$1126,14,FALSE),0)</f>
        <v>0</v>
      </c>
      <c r="M50" s="376">
        <f>IFERROR(VLOOKUP(C50,'تقرير المصروفات حسب الشهر'!$C$1143:$AD$1254,14,FALSE),0)</f>
        <v>0</v>
      </c>
      <c r="N50" s="376">
        <f>IFERROR(VLOOKUP(C50,'تقرير المصروفات حسب الشهر'!$C$1270:$AD$1381,14,FALSE),0)</f>
        <v>0</v>
      </c>
      <c r="O50" s="376">
        <f>IFERROR(VLOOKUP(C50,'تقرير المصروفات حسب الشهر'!$C$1397:$AI$1512,14,FALSE),0)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الشهر'!$C$10:$AD$119,14,FALSE),0)</f>
        <v>0</v>
      </c>
      <c r="E51" s="362">
        <f>IFERROR(VLOOKUP(C51,'تقرير المصروفات حسب الشهر'!$C$135:$AD$244,14,FALSE),0)</f>
        <v>0</v>
      </c>
      <c r="F51" s="362">
        <v>0</v>
      </c>
      <c r="G51" s="362">
        <f>IFERROR(VLOOKUP(C51,'تقرير المصروفات حسب الشهر'!$C$387:$AD$495,14,FALSE),0)</f>
        <v>240</v>
      </c>
      <c r="H51" s="362">
        <f>IFERROR(VLOOKUP(C51,'تقرير المصروفات حسب الشهر'!$C$512:$AD$620,14,FALSE),0)</f>
        <v>330</v>
      </c>
      <c r="I51" s="362">
        <f>IFERROR(VLOOKUP(C51,'تقرير المصروفات حسب الشهر'!$C$637:$AD$746,14,FALSE),0)</f>
        <v>0</v>
      </c>
      <c r="J51" s="362">
        <f>IFERROR(VLOOKUP(C51,'تقرير المصروفات حسب الشهر'!$C$763:$AD$872,14,FALSE),0)</f>
        <v>0</v>
      </c>
      <c r="K51" s="362">
        <f>IFERROR(VLOOKUP(C51,'تقرير المصروفات حسب الشهر'!$C$890:$AD$999,14,FALSE),0)</f>
        <v>0</v>
      </c>
      <c r="L51" s="362">
        <f>IFERROR(VLOOKUP(C51,'تقرير المصروفات حسب الشهر'!$C$1016:$AD$1126,14,FALSE),0)</f>
        <v>900</v>
      </c>
      <c r="M51" s="376">
        <f>IFERROR(VLOOKUP(C51,'تقرير المصروفات حسب الشهر'!$C$1143:$AD$1254,14,FALSE),0)</f>
        <v>3000</v>
      </c>
      <c r="N51" s="376">
        <f>IFERROR(VLOOKUP(C51,'تقرير المصروفات حسب الشهر'!$C$1270:$AD$1381,14,FALSE),0)</f>
        <v>0</v>
      </c>
      <c r="O51" s="376">
        <f>IFERROR(VLOOKUP(C51,'تقرير المصروفات حسب الشهر'!$C$1397:$AI$1512,14,FALSE),0)</f>
        <v>8650</v>
      </c>
      <c r="P51" s="364">
        <f t="shared" si="5"/>
        <v>13120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الشهر'!$C$10:$AD$119,14,FALSE),0)</f>
        <v>0</v>
      </c>
      <c r="E52" s="362">
        <f>IFERROR(VLOOKUP(C52,'تقرير المصروفات حسب الشهر'!$C$135:$AD$244,14,FALSE),0)</f>
        <v>0</v>
      </c>
      <c r="F52" s="362">
        <v>0</v>
      </c>
      <c r="G52" s="362">
        <f>IFERROR(VLOOKUP(C52,'تقرير المصروفات حسب الشهر'!$C$387:$AD$495,14,FALSE),0)</f>
        <v>0</v>
      </c>
      <c r="H52" s="362">
        <f>IFERROR(VLOOKUP(C52,'تقرير المصروفات حسب الشهر'!$C$512:$AD$620,14,FALSE),0)</f>
        <v>0</v>
      </c>
      <c r="I52" s="362">
        <f>IFERROR(VLOOKUP(C52,'تقرير المصروفات حسب الشهر'!$C$637:$AD$746,14,FALSE),0)</f>
        <v>0</v>
      </c>
      <c r="J52" s="362">
        <f>IFERROR(VLOOKUP(C52,'تقرير المصروفات حسب الشهر'!$C$763:$AD$872,14,FALSE),0)</f>
        <v>1172</v>
      </c>
      <c r="K52" s="362">
        <f>IFERROR(VLOOKUP(C52,'تقرير المصروفات حسب الشهر'!$C$890:$AD$999,14,FALSE),0)</f>
        <v>0</v>
      </c>
      <c r="L52" s="362">
        <f>IFERROR(VLOOKUP(C52,'تقرير المصروفات حسب الشهر'!$C$1016:$AD$1126,14,FALSE),0)</f>
        <v>0</v>
      </c>
      <c r="M52" s="376">
        <f>IFERROR(VLOOKUP(C52,'تقرير المصروفات حسب الشهر'!$C$1143:$AD$1254,14,FALSE),0)</f>
        <v>5000</v>
      </c>
      <c r="N52" s="376">
        <f>IFERROR(VLOOKUP(C52,'تقرير المصروفات حسب الشهر'!$C$1270:$AD$1381,14,FALSE),0)</f>
        <v>1200</v>
      </c>
      <c r="O52" s="376">
        <f>IFERROR(VLOOKUP(C52,'تقرير المصروفات حسب الشهر'!$C$1397:$AI$1512,14,FALSE),0)</f>
        <v>1170</v>
      </c>
      <c r="P52" s="364">
        <f t="shared" si="5"/>
        <v>8542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الشهر'!$C$10:$AD$119,14,FALSE),0)</f>
        <v>0</v>
      </c>
      <c r="E53" s="362">
        <f>IFERROR(VLOOKUP(C53,'تقرير المصروفات حسب الشهر'!$C$135:$AD$244,14,FALSE),0)</f>
        <v>0</v>
      </c>
      <c r="F53" s="362">
        <v>0</v>
      </c>
      <c r="G53" s="362">
        <f>IFERROR(VLOOKUP(C53,'تقرير المصروفات حسب الشهر'!$C$387:$AD$495,14,FALSE),0)</f>
        <v>0</v>
      </c>
      <c r="H53" s="362">
        <f>IFERROR(VLOOKUP(C53,'تقرير المصروفات حسب الشهر'!$C$512:$AD$620,14,FALSE),0)</f>
        <v>0</v>
      </c>
      <c r="I53" s="362">
        <f>IFERROR(VLOOKUP(C53,'تقرير المصروفات حسب الشهر'!$C$637:$AD$746,14,FALSE),0)</f>
        <v>0</v>
      </c>
      <c r="J53" s="362">
        <f>IFERROR(VLOOKUP(C53,'تقرير المصروفات حسب الشهر'!$C$763:$AD$872,14,FALSE),0)</f>
        <v>0</v>
      </c>
      <c r="K53" s="362">
        <f>IFERROR(VLOOKUP(C53,'تقرير المصروفات حسب الشهر'!$C$890:$AD$999,14,FALSE),0)</f>
        <v>0</v>
      </c>
      <c r="L53" s="362">
        <f>IFERROR(VLOOKUP(C53,'تقرير المصروفات حسب الشهر'!$C$1016:$AD$1126,14,FALSE),0)</f>
        <v>0</v>
      </c>
      <c r="M53" s="376">
        <f>IFERROR(VLOOKUP(C53,'تقرير المصروفات حسب الشهر'!$C$1143:$AD$1254,14,FALSE),0)</f>
        <v>0</v>
      </c>
      <c r="N53" s="376">
        <f>IFERROR(VLOOKUP(C53,'تقرير المصروفات حسب الشهر'!$C$1270:$AD$1381,14,FALSE),0)</f>
        <v>0</v>
      </c>
      <c r="O53" s="376">
        <f>IFERROR(VLOOKUP(C53,'تقرير المصروفات حسب الشهر'!$C$1397:$AI$1512,14,FALSE),0)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الشهر'!$C$10:$AD$119,14,FALSE),0)</f>
        <v>3850</v>
      </c>
      <c r="E54" s="362">
        <f>IFERROR(VLOOKUP(C54,'تقرير المصروفات حسب الشهر'!$C$135:$AD$244,14,FALSE),0)</f>
        <v>0</v>
      </c>
      <c r="F54" s="362">
        <v>4250</v>
      </c>
      <c r="G54" s="362">
        <f>IFERROR(VLOOKUP(C54,'تقرير المصروفات حسب الشهر'!$C$387:$AD$495,14,FALSE),0)</f>
        <v>4660</v>
      </c>
      <c r="H54" s="362">
        <f>IFERROR(VLOOKUP(C54,'تقرير المصروفات حسب الشهر'!$C$512:$AD$620,14,FALSE),0)</f>
        <v>5200</v>
      </c>
      <c r="I54" s="511">
        <f>IFERROR(VLOOKUP(C54,'تقرير المصروفات حسب الشهر'!$C$637:$AD$746,14,FALSE),0)</f>
        <v>5600</v>
      </c>
      <c r="J54" s="362">
        <f>IFERROR(VLOOKUP(C54,'تقرير المصروفات حسب الشهر'!$C$763:$AD$872,14,FALSE),0)</f>
        <v>0</v>
      </c>
      <c r="K54" s="362">
        <f>IFERROR(VLOOKUP(C54,'تقرير المصروفات حسب الشهر'!$C$890:$AD$999,14,FALSE),0)</f>
        <v>12350</v>
      </c>
      <c r="L54" s="362">
        <f>IFERROR(VLOOKUP(C54,'تقرير المصروفات حسب الشهر'!$C$1016:$AD$1126,14,FALSE),0)</f>
        <v>7700</v>
      </c>
      <c r="M54" s="376">
        <f>IFERROR(VLOOKUP(C54,'تقرير المصروفات حسب الشهر'!$C$1143:$AD$1254,14,FALSE),0)</f>
        <v>7900</v>
      </c>
      <c r="N54" s="376">
        <f>IFERROR(VLOOKUP(C54,'تقرير المصروفات حسب الشهر'!$C$1270:$AD$1381,14,FALSE),0)</f>
        <v>0</v>
      </c>
      <c r="O54" s="376">
        <f>IFERROR(VLOOKUP(C54,'تقرير المصروفات حسب الشهر'!$C$1397:$AI$1512,14,FALSE),0)</f>
        <v>16800</v>
      </c>
      <c r="P54" s="364">
        <f t="shared" si="5"/>
        <v>68310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الشهر'!$C$10:$AD$119,14,FALSE),0)</f>
        <v>0</v>
      </c>
      <c r="E55" s="362">
        <f>IFERROR(VLOOKUP(C55,'تقرير المصروفات حسب الشهر'!$C$135:$AD$244,14,FALSE),0)</f>
        <v>0</v>
      </c>
      <c r="F55" s="362">
        <v>0</v>
      </c>
      <c r="G55" s="362">
        <f>IFERROR(VLOOKUP(C55,'تقرير المصروفات حسب الشهر'!$C$387:$AD$495,14,FALSE),0)</f>
        <v>0</v>
      </c>
      <c r="H55" s="362">
        <f>IFERROR(VLOOKUP(C55,'تقرير المصروفات حسب الشهر'!$C$512:$AD$620,14,FALSE),0)</f>
        <v>0</v>
      </c>
      <c r="I55" s="362">
        <f>IFERROR(VLOOKUP(C55,'تقرير المصروفات حسب الشهر'!$C$637:$AD$746,14,FALSE),0)</f>
        <v>0</v>
      </c>
      <c r="J55" s="362">
        <f>IFERROR(VLOOKUP(C55,'تقرير المصروفات حسب الشهر'!$C$763:$AD$872,14,FALSE),0)</f>
        <v>0</v>
      </c>
      <c r="K55" s="362">
        <f>IFERROR(VLOOKUP(C55,'تقرير المصروفات حسب الشهر'!$C$890:$AD$999,14,FALSE),0)</f>
        <v>0</v>
      </c>
      <c r="L55" s="362">
        <f>IFERROR(VLOOKUP(C55,'تقرير المصروفات حسب الشهر'!$C$1016:$AD$1126,14,FALSE),0)</f>
        <v>0</v>
      </c>
      <c r="M55" s="376">
        <f>IFERROR(VLOOKUP(C55,'تقرير المصروفات حسب الشهر'!$C$1143:$AD$1254,14,FALSE),0)</f>
        <v>0</v>
      </c>
      <c r="N55" s="376">
        <f>IFERROR(VLOOKUP(C55,'تقرير المصروفات حسب الشهر'!$C$1270:$AD$1381,14,FALSE),0)</f>
        <v>0</v>
      </c>
      <c r="O55" s="376">
        <f>IFERROR(VLOOKUP(C55,'تقرير المصروفات حسب الشهر'!$C$1397:$AI$1512,14,FALSE),0)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الشهر'!$C$10:$AD$119,14,FALSE),0)</f>
        <v>121.01</v>
      </c>
      <c r="E56" s="362">
        <f>IFERROR(VLOOKUP(C56,'تقرير المصروفات حسب الشهر'!$C$135:$AD$244,14,FALSE),0)</f>
        <v>49.26</v>
      </c>
      <c r="F56" s="362">
        <v>577.66</v>
      </c>
      <c r="G56" s="362">
        <f>IFERROR(VLOOKUP(C56,'تقرير المصروفات حسب الشهر'!$C$387:$AD$495,14,FALSE),0)</f>
        <v>67.510000000000005</v>
      </c>
      <c r="H56" s="362">
        <f>IFERROR(VLOOKUP(C56,'تقرير المصروفات حسب الشهر'!$C$512:$AD$620,14,FALSE),0)</f>
        <v>157.34</v>
      </c>
      <c r="I56" s="362">
        <f>IFERROR(VLOOKUP(C56,'تقرير المصروفات حسب الشهر'!$C$637:$AD$746,14,FALSE),0)</f>
        <v>0</v>
      </c>
      <c r="J56" s="362">
        <f>IFERROR(VLOOKUP(C56,'تقرير المصروفات حسب الشهر'!$C$763:$AD$872,14,FALSE),0)</f>
        <v>235.98</v>
      </c>
      <c r="K56" s="362">
        <f>IFERROR(VLOOKUP(C56,'تقرير المصروفات حسب الشهر'!$C$890:$AD$999,14,FALSE),0)</f>
        <v>0</v>
      </c>
      <c r="L56" s="362">
        <f>IFERROR(VLOOKUP(C56,'تقرير المصروفات حسب الشهر'!$C$1016:$AD$1126,14,FALSE),0)</f>
        <v>0</v>
      </c>
      <c r="M56" s="376">
        <f>IFERROR(VLOOKUP(C56,'تقرير المصروفات حسب الشهر'!$C$1143:$AD$1254,14,FALSE),0)</f>
        <v>278.43</v>
      </c>
      <c r="N56" s="376">
        <f>IFERROR(VLOOKUP(C56,'تقرير المصروفات حسب الشهر'!$C$1270:$AD$1381,14,FALSE),0)</f>
        <v>124.91</v>
      </c>
      <c r="O56" s="376">
        <f>IFERROR(VLOOKUP(C56,'تقرير المصروفات حسب الشهر'!$C$1397:$AI$1512,14,FALSE),0)</f>
        <v>0</v>
      </c>
      <c r="P56" s="364">
        <f t="shared" si="5"/>
        <v>1612.1000000000001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الشهر'!$C$10:$AD$119,14,FALSE),0)</f>
        <v>0</v>
      </c>
      <c r="E57" s="362">
        <f>IFERROR(VLOOKUP(C57,'تقرير المصروفات حسب الشهر'!$C$135:$AD$244,14,FALSE),0)</f>
        <v>0</v>
      </c>
      <c r="F57" s="362">
        <v>0</v>
      </c>
      <c r="G57" s="362">
        <f>IFERROR(VLOOKUP(C57,'تقرير المصروفات حسب الشهر'!$C$387:$AD$495,14,FALSE),0)</f>
        <v>0</v>
      </c>
      <c r="H57" s="362">
        <f>IFERROR(VLOOKUP(C57,'تقرير المصروفات حسب الشهر'!$C$512:$AD$620,14,FALSE),0)</f>
        <v>0</v>
      </c>
      <c r="I57" s="362">
        <f>IFERROR(VLOOKUP(C57,'تقرير المصروفات حسب الشهر'!$C$637:$AD$746,14,FALSE),0)</f>
        <v>0</v>
      </c>
      <c r="J57" s="362">
        <f>IFERROR(VLOOKUP(C57,'تقرير المصروفات حسب الشهر'!$C$763:$AD$872,14,FALSE),0)</f>
        <v>0</v>
      </c>
      <c r="K57" s="362">
        <f>IFERROR(VLOOKUP(C57,'تقرير المصروفات حسب الشهر'!$C$890:$AD$999,14,FALSE),0)</f>
        <v>0</v>
      </c>
      <c r="L57" s="362">
        <f>IFERROR(VLOOKUP(C57,'تقرير المصروفات حسب الشهر'!$C$1016:$AD$1126,14,FALSE),0)</f>
        <v>0</v>
      </c>
      <c r="M57" s="376">
        <f>IFERROR(VLOOKUP(C57,'تقرير المصروفات حسب الشهر'!$C$1143:$AD$1254,14,FALSE),0)</f>
        <v>0</v>
      </c>
      <c r="N57" s="376">
        <f>IFERROR(VLOOKUP(C57,'تقرير المصروفات حسب الشهر'!$C$1270:$AD$1381,14,FALSE),0)</f>
        <v>0</v>
      </c>
      <c r="O57" s="376">
        <f>IFERROR(VLOOKUP(C57,'تقرير المصروفات حسب الشهر'!$C$1397:$AI$1512,14,FALSE),0)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الشهر'!$C$10:$AD$119,14,FALSE),0)</f>
        <v>0</v>
      </c>
      <c r="E58" s="362">
        <f>IFERROR(VLOOKUP(C58,'تقرير المصروفات حسب الشهر'!$C$135:$AD$244,14,FALSE),0)</f>
        <v>0</v>
      </c>
      <c r="F58" s="362">
        <v>0</v>
      </c>
      <c r="G58" s="362">
        <f>IFERROR(VLOOKUP(C58,'تقرير المصروفات حسب الشهر'!$C$387:$AD$495,14,FALSE),0)</f>
        <v>0</v>
      </c>
      <c r="H58" s="362">
        <f>IFERROR(VLOOKUP(C58,'تقرير المصروفات حسب الشهر'!$C$512:$AD$620,14,FALSE),0)</f>
        <v>0</v>
      </c>
      <c r="I58" s="362">
        <f>IFERROR(VLOOKUP(C58,'تقرير المصروفات حسب الشهر'!$C$637:$AD$746,14,FALSE),0)</f>
        <v>0</v>
      </c>
      <c r="J58" s="362">
        <f>IFERROR(VLOOKUP(C58,'تقرير المصروفات حسب الشهر'!$C$763:$AD$872,14,FALSE),0)</f>
        <v>0</v>
      </c>
      <c r="K58" s="362">
        <f>IFERROR(VLOOKUP(C58,'تقرير المصروفات حسب الشهر'!$C$890:$AD$999,14,FALSE),0)</f>
        <v>0</v>
      </c>
      <c r="L58" s="362">
        <f>IFERROR(VLOOKUP(C58,'تقرير المصروفات حسب الشهر'!$C$1016:$AD$1126,14,FALSE),0)</f>
        <v>0</v>
      </c>
      <c r="M58" s="376">
        <f>IFERROR(VLOOKUP(C58,'تقرير المصروفات حسب الشهر'!$C$1143:$AD$1254,14,FALSE),0)</f>
        <v>0</v>
      </c>
      <c r="N58" s="376">
        <f>IFERROR(VLOOKUP(C58,'تقرير المصروفات حسب الشهر'!$C$1270:$AD$1381,14,FALSE),0)</f>
        <v>0</v>
      </c>
      <c r="O58" s="376">
        <f>IFERROR(VLOOKUP(C58,'تقرير المصروفات حسب الشهر'!$C$1397:$AI$1512,14,FALSE),0)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الشهر'!$C$10:$AD$119,14,FALSE),0)</f>
        <v>0</v>
      </c>
      <c r="E59" s="362">
        <f>IFERROR(VLOOKUP(C59,'تقرير المصروفات حسب الشهر'!$C$135:$AD$244,14,FALSE),0)</f>
        <v>2666.5</v>
      </c>
      <c r="F59" s="362">
        <v>3666.25</v>
      </c>
      <c r="G59" s="362">
        <f>IFERROR(VLOOKUP(C59,'تقرير المصروفات حسب الشهر'!$C$387:$AD$495,14,FALSE),0)</f>
        <v>6777.5</v>
      </c>
      <c r="H59" s="362">
        <f>IFERROR(VLOOKUP(C59,'تقرير المصروفات حسب الشهر'!$C$512:$AD$620,14,FALSE),0)</f>
        <v>0</v>
      </c>
      <c r="I59" s="511">
        <f>IFERROR(VLOOKUP(C59,'تقرير المصروفات حسب الشهر'!$C$637:$AD$746,14,FALSE),0)</f>
        <v>7808.15</v>
      </c>
      <c r="J59" s="362">
        <f>IFERROR(VLOOKUP(C59,'تقرير المصروفات حسب الشهر'!$C$763:$AD$872,14,FALSE),0)</f>
        <v>5888.25</v>
      </c>
      <c r="K59" s="362">
        <f>IFERROR(VLOOKUP(C59,'تقرير المصروفات حسب الشهر'!$C$890:$AD$999,14,FALSE),0)</f>
        <v>0</v>
      </c>
      <c r="L59" s="362">
        <f>IFERROR(VLOOKUP(C59,'تقرير المصروفات حسب الشهر'!$C$1016:$AD$1126,14,FALSE),0)</f>
        <v>7888.25</v>
      </c>
      <c r="M59" s="376">
        <f>IFERROR(VLOOKUP(C59,'تقرير المصروفات حسب الشهر'!$C$1143:$AD$1254,14,FALSE),0)</f>
        <v>3699.69</v>
      </c>
      <c r="N59" s="376">
        <f>IFERROR(VLOOKUP(C59,'تقرير المصروفات حسب الشهر'!$C$1270:$AD$1381,14,FALSE),0)</f>
        <v>5555.25</v>
      </c>
      <c r="O59" s="376">
        <f>IFERROR(VLOOKUP(C59,'تقرير المصروفات حسب الشهر'!$C$1397:$AI$1512,14,FALSE),0)</f>
        <v>5800.25</v>
      </c>
      <c r="P59" s="364">
        <f t="shared" si="5"/>
        <v>49750.090000000004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الشهر'!$C$10:$AD$119,14,FALSE),0)</f>
        <v>4680</v>
      </c>
      <c r="E60" s="362">
        <f>IFERROR(VLOOKUP(C60,'تقرير المصروفات حسب الشهر'!$C$135:$AD$244,14,FALSE),0)</f>
        <v>0</v>
      </c>
      <c r="F60" s="362">
        <v>4500</v>
      </c>
      <c r="G60" s="362">
        <f>IFERROR(VLOOKUP(C60,'تقرير المصروفات حسب الشهر'!$C$387:$AD$495,14,FALSE),0)</f>
        <v>3720</v>
      </c>
      <c r="H60" s="362">
        <f>IFERROR(VLOOKUP(C60,'تقرير المصروفات حسب الشهر'!$C$512:$AD$620,14,FALSE),0)</f>
        <v>0</v>
      </c>
      <c r="I60" s="511">
        <f>IFERROR(VLOOKUP(C60,'تقرير المصروفات حسب الشهر'!$C$637:$AD$746,14,FALSE),0)</f>
        <v>7750</v>
      </c>
      <c r="J60" s="362">
        <f>IFERROR(VLOOKUP(C60,'تقرير المصروفات حسب الشهر'!$C$763:$AD$872,14,FALSE),0)</f>
        <v>0</v>
      </c>
      <c r="K60" s="362">
        <f>IFERROR(VLOOKUP(C60,'تقرير المصروفات حسب الشهر'!$C$890:$AD$999,14,FALSE),0)</f>
        <v>8250</v>
      </c>
      <c r="L60" s="362">
        <f>IFERROR(VLOOKUP(C60,'تقرير المصروفات حسب الشهر'!$C$1016:$AD$1126,14,FALSE),0)</f>
        <v>0</v>
      </c>
      <c r="M60" s="376">
        <f>IFERROR(VLOOKUP(C60,'تقرير المصروفات حسب الشهر'!$C$1143:$AD$1254,14,FALSE),0)</f>
        <v>8250</v>
      </c>
      <c r="N60" s="376">
        <f>IFERROR(VLOOKUP(C60,'تقرير المصروفات حسب الشهر'!$C$1270:$AD$1381,14,FALSE),0)</f>
        <v>0</v>
      </c>
      <c r="O60" s="376">
        <f>IFERROR(VLOOKUP(C60,'تقرير المصروفات حسب الشهر'!$C$1397:$AI$1512,14,FALSE),0)</f>
        <v>0</v>
      </c>
      <c r="P60" s="364">
        <f t="shared" si="5"/>
        <v>37150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الشهر'!$C$10:$AD$119,14,FALSE),0)</f>
        <v>0</v>
      </c>
      <c r="E61" s="362">
        <f>IFERROR(VLOOKUP(C61,'تقرير المصروفات حسب الشهر'!$C$135:$AD$244,14,FALSE),0)</f>
        <v>300</v>
      </c>
      <c r="F61" s="362">
        <v>200</v>
      </c>
      <c r="G61" s="362">
        <f>IFERROR(VLOOKUP(C61,'تقرير المصروفات حسب الشهر'!$C$387:$AD$495,14,FALSE),0)</f>
        <v>600</v>
      </c>
      <c r="H61" s="362">
        <f>IFERROR(VLOOKUP(C61,'تقرير المصروفات حسب الشهر'!$C$512:$AD$620,14,FALSE),0)</f>
        <v>100</v>
      </c>
      <c r="I61" s="511">
        <f>IFERROR(VLOOKUP(C61,'تقرير المصروفات حسب الشهر'!$C$637:$AD$746,14,FALSE),0)</f>
        <v>800</v>
      </c>
      <c r="J61" s="362">
        <f>IFERROR(VLOOKUP(C61,'تقرير المصروفات حسب الشهر'!$C$763:$AD$872,14,FALSE),0)</f>
        <v>100</v>
      </c>
      <c r="K61" s="362">
        <f>IFERROR(VLOOKUP(C61,'تقرير المصروفات حسب الشهر'!$C$890:$AD$999,14,FALSE),0)</f>
        <v>0</v>
      </c>
      <c r="L61" s="362">
        <f>IFERROR(VLOOKUP(C61,'تقرير المصروفات حسب الشهر'!$C$1016:$AD$1126,14,FALSE),0)</f>
        <v>450</v>
      </c>
      <c r="M61" s="376">
        <f>IFERROR(VLOOKUP(C61,'تقرير المصروفات حسب الشهر'!$C$1143:$AD$1254,14,FALSE),0)</f>
        <v>0</v>
      </c>
      <c r="N61" s="376">
        <f>IFERROR(VLOOKUP(C61,'تقرير المصروفات حسب الشهر'!$C$1270:$AD$1381,14,FALSE),0)</f>
        <v>0</v>
      </c>
      <c r="O61" s="376">
        <f>IFERROR(VLOOKUP(C61,'تقرير المصروفات حسب الشهر'!$C$1397:$AI$1512,14,FALSE),0)</f>
        <v>0</v>
      </c>
      <c r="P61" s="364">
        <f t="shared" si="5"/>
        <v>2550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الشهر'!$C$10:$AD$119,14,FALSE),0)</f>
        <v>0</v>
      </c>
      <c r="E62" s="362">
        <f>IFERROR(VLOOKUP(C62,'تقرير المصروفات حسب الشهر'!$C$135:$AD$244,14,FALSE),0)</f>
        <v>0</v>
      </c>
      <c r="F62" s="362">
        <v>3420</v>
      </c>
      <c r="G62" s="362">
        <f>IFERROR(VLOOKUP(C62,'تقرير المصروفات حسب الشهر'!$C$387:$AD$495,14,FALSE),0)</f>
        <v>0</v>
      </c>
      <c r="H62" s="362">
        <f>IFERROR(VLOOKUP(C62,'تقرير المصروفات حسب الشهر'!$C$512:$AD$620,14,FALSE),0)</f>
        <v>3110</v>
      </c>
      <c r="I62" s="362">
        <f>IFERROR(VLOOKUP(C62,'تقرير المصروفات حسب الشهر'!$C$637:$AD$746,14,FALSE),0)</f>
        <v>0</v>
      </c>
      <c r="J62" s="362">
        <f>IFERROR(VLOOKUP(C62,'تقرير المصروفات حسب الشهر'!$C$763:$AD$872,14,FALSE),0)</f>
        <v>0</v>
      </c>
      <c r="K62" s="362">
        <f>IFERROR(VLOOKUP(C62,'تقرير المصروفات حسب الشهر'!$C$890:$AD$999,14,FALSE),0)</f>
        <v>0</v>
      </c>
      <c r="L62" s="362">
        <f>IFERROR(VLOOKUP(C62,'تقرير المصروفات حسب الشهر'!$C$1016:$AD$1126,14,FALSE),0)</f>
        <v>3608</v>
      </c>
      <c r="M62" s="376">
        <f>IFERROR(VLOOKUP(C62,'تقرير المصروفات حسب الشهر'!$C$1143:$AD$1254,14,FALSE),0)</f>
        <v>0</v>
      </c>
      <c r="N62" s="376">
        <f>IFERROR(VLOOKUP(C62,'تقرير المصروفات حسب الشهر'!$C$1270:$AD$1381,14,FALSE),0)</f>
        <v>0</v>
      </c>
      <c r="O62" s="376">
        <f>IFERROR(VLOOKUP(C62,'تقرير المصروفات حسب الشهر'!$C$1397:$AI$1512,14,FALSE),0)</f>
        <v>0</v>
      </c>
      <c r="P62" s="364">
        <f t="shared" si="5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الشهر'!$C$10:$AD$119,14,FALSE),0)</f>
        <v>2800</v>
      </c>
      <c r="E63" s="362">
        <f>IFERROR(VLOOKUP(C63,'تقرير المصروفات حسب الشهر'!$C$135:$AD$244,14,FALSE),0)</f>
        <v>0</v>
      </c>
      <c r="F63" s="362">
        <v>0</v>
      </c>
      <c r="G63" s="362">
        <f>IFERROR(VLOOKUP(C63,'تقرير المصروفات حسب الشهر'!$C$387:$AD$495,14,FALSE),0)</f>
        <v>0</v>
      </c>
      <c r="H63" s="362">
        <f>IFERROR(VLOOKUP(C63,'تقرير المصروفات حسب الشهر'!$C$512:$AD$620,14,FALSE),0)</f>
        <v>0</v>
      </c>
      <c r="I63" s="362">
        <f>IFERROR(VLOOKUP(C63,'تقرير المصروفات حسب الشهر'!$C$637:$AD$746,14,FALSE),0)</f>
        <v>0</v>
      </c>
      <c r="J63" s="362">
        <f>IFERROR(VLOOKUP(C63,'تقرير المصروفات حسب الشهر'!$C$763:$AD$872,14,FALSE),0)</f>
        <v>0</v>
      </c>
      <c r="K63" s="362">
        <f>IFERROR(VLOOKUP(C63,'تقرير المصروفات حسب الشهر'!$C$890:$AD$999,14,FALSE),0)</f>
        <v>0</v>
      </c>
      <c r="L63" s="362">
        <f>IFERROR(VLOOKUP(C63,'تقرير المصروفات حسب الشهر'!$C$1016:$AD$1126,14,FALSE),0)</f>
        <v>0</v>
      </c>
      <c r="M63" s="376">
        <f>IFERROR(VLOOKUP(C63,'تقرير المصروفات حسب الشهر'!$C$1143:$AD$1254,14,FALSE),0)</f>
        <v>0</v>
      </c>
      <c r="N63" s="376">
        <f>IFERROR(VLOOKUP(C63,'تقرير المصروفات حسب الشهر'!$C$1270:$AD$1381,14,FALSE),0)</f>
        <v>0</v>
      </c>
      <c r="O63" s="376">
        <f>IFERROR(VLOOKUP(C63,'تقرير المصروفات حسب الشهر'!$C$1397:$AI$1512,14,FALSE),0)</f>
        <v>0</v>
      </c>
      <c r="P63" s="364">
        <f t="shared" si="5"/>
        <v>2800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الشهر'!$C$10:$AD$119,14,FALSE),0)</f>
        <v>0</v>
      </c>
      <c r="E64" s="362">
        <f>IFERROR(VLOOKUP(C64,'تقرير المصروفات حسب الشهر'!$C$135:$AD$244,14,FALSE),0)</f>
        <v>0</v>
      </c>
      <c r="F64" s="362">
        <v>11480</v>
      </c>
      <c r="G64" s="362">
        <f>IFERROR(VLOOKUP(C64,'تقرير المصروفات حسب الشهر'!$C$387:$AD$495,14,FALSE),0)</f>
        <v>1920</v>
      </c>
      <c r="H64" s="362">
        <f>IFERROR(VLOOKUP(C64,'تقرير المصروفات حسب الشهر'!$C$512:$AD$620,14,FALSE),0)</f>
        <v>0</v>
      </c>
      <c r="I64" s="362">
        <f>IFERROR(VLOOKUP(C64,'تقرير المصروفات حسب الشهر'!$C$637:$AD$746,14,FALSE),0)</f>
        <v>0</v>
      </c>
      <c r="J64" s="362">
        <f>IFERROR(VLOOKUP(C64,'تقرير المصروفات حسب الشهر'!$C$763:$AD$872,14,FALSE),0)</f>
        <v>0</v>
      </c>
      <c r="K64" s="362">
        <f>IFERROR(VLOOKUP(C64,'تقرير المصروفات حسب الشهر'!$C$890:$AD$999,14,FALSE),0)</f>
        <v>0</v>
      </c>
      <c r="L64" s="362">
        <f>IFERROR(VLOOKUP(C64,'تقرير المصروفات حسب الشهر'!$C$1016:$AD$1126,14,FALSE),0)</f>
        <v>0</v>
      </c>
      <c r="M64" s="376">
        <f>IFERROR(VLOOKUP(C64,'تقرير المصروفات حسب الشهر'!$C$1143:$AD$1254,14,FALSE),0)</f>
        <v>0</v>
      </c>
      <c r="N64" s="376">
        <f>IFERROR(VLOOKUP(C64,'تقرير المصروفات حسب الشهر'!$C$1270:$AD$1381,14,FALSE),0)</f>
        <v>0</v>
      </c>
      <c r="O64" s="376">
        <f>IFERROR(VLOOKUP(C64,'تقرير المصروفات حسب الشهر'!$C$1397:$AI$1512,14,FALSE),0)</f>
        <v>0</v>
      </c>
      <c r="P64" s="364">
        <f t="shared" si="5"/>
        <v>13400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الشهر'!$C$10:$AD$119,14,FALSE),0)</f>
        <v>0</v>
      </c>
      <c r="E65" s="362">
        <f>IFERROR(VLOOKUP(C65,'تقرير المصروفات حسب الشهر'!$C$135:$AD$244,14,FALSE),0)</f>
        <v>0</v>
      </c>
      <c r="F65" s="362">
        <v>0</v>
      </c>
      <c r="G65" s="362">
        <f>IFERROR(VLOOKUP(C65,'تقرير المصروفات حسب الشهر'!$C$387:$AD$495,14,FALSE),0)</f>
        <v>0</v>
      </c>
      <c r="H65" s="362">
        <f>IFERROR(VLOOKUP(C65,'تقرير المصروفات حسب الشهر'!$C$512:$AD$620,14,FALSE),0)</f>
        <v>0</v>
      </c>
      <c r="I65" s="362">
        <f>IFERROR(VLOOKUP(C65,'تقرير المصروفات حسب الشهر'!$C$637:$AD$746,14,FALSE),0)</f>
        <v>0</v>
      </c>
      <c r="J65" s="362">
        <f>IFERROR(VLOOKUP(C65,'تقرير المصروفات حسب الشهر'!$C$763:$AD$872,14,FALSE),0)</f>
        <v>0</v>
      </c>
      <c r="K65" s="362">
        <f>IFERROR(VLOOKUP(C65,'تقرير المصروفات حسب الشهر'!$C$890:$AD$999,14,FALSE),0)</f>
        <v>0</v>
      </c>
      <c r="L65" s="362">
        <f>IFERROR(VLOOKUP(C65,'تقرير المصروفات حسب الشهر'!$C$1016:$AD$1126,14,FALSE),0)</f>
        <v>0</v>
      </c>
      <c r="M65" s="376">
        <f>IFERROR(VLOOKUP(C65,'تقرير المصروفات حسب الشهر'!$C$1143:$AD$1254,14,FALSE),0)</f>
        <v>0</v>
      </c>
      <c r="N65" s="376">
        <f>IFERROR(VLOOKUP(C65,'تقرير المصروفات حسب الشهر'!$C$1270:$AD$1381,14,FALSE),0)</f>
        <v>0</v>
      </c>
      <c r="O65" s="376">
        <f>IFERROR(VLOOKUP(C65,'تقرير المصروفات حسب الشهر'!$C$1397:$AI$1512,14,FALSE),0)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الشهر'!$C$10:$AD$119,14,FALSE),0)</f>
        <v>0</v>
      </c>
      <c r="E66" s="362">
        <f>IFERROR(VLOOKUP(C66,'تقرير المصروفات حسب الشهر'!$C$135:$AD$244,14,FALSE),0)</f>
        <v>0</v>
      </c>
      <c r="F66" s="362">
        <v>0</v>
      </c>
      <c r="G66" s="362">
        <f>IFERROR(VLOOKUP(C66,'تقرير المصروفات حسب الشهر'!$C$387:$AD$495,14,FALSE),0)</f>
        <v>0</v>
      </c>
      <c r="H66" s="362">
        <f>IFERROR(VLOOKUP(C66,'تقرير المصروفات حسب الشهر'!$C$512:$AD$620,14,FALSE),0)</f>
        <v>0</v>
      </c>
      <c r="I66" s="362">
        <f>IFERROR(VLOOKUP(C66,'تقرير المصروفات حسب الشهر'!$C$637:$AD$746,14,FALSE),0)</f>
        <v>0</v>
      </c>
      <c r="J66" s="362">
        <f>IFERROR(VLOOKUP(C66,'تقرير المصروفات حسب الشهر'!$C$763:$AD$872,14,FALSE),0)</f>
        <v>0</v>
      </c>
      <c r="K66" s="362">
        <f>IFERROR(VLOOKUP(C66,'تقرير المصروفات حسب الشهر'!$C$890:$AD$999,14,FALSE),0)</f>
        <v>0</v>
      </c>
      <c r="L66" s="362">
        <f>IFERROR(VLOOKUP(C66,'تقرير المصروفات حسب الشهر'!$C$1016:$AD$1126,14,FALSE),0)</f>
        <v>0</v>
      </c>
      <c r="M66" s="376">
        <f>IFERROR(VLOOKUP(C66,'تقرير المصروفات حسب الشهر'!$C$1143:$AD$1254,14,FALSE),0)</f>
        <v>0</v>
      </c>
      <c r="N66" s="376">
        <f>IFERROR(VLOOKUP(C66,'تقرير المصروفات حسب الشهر'!$C$1270:$AD$1381,14,FALSE),0)</f>
        <v>0</v>
      </c>
      <c r="O66" s="376">
        <f>IFERROR(VLOOKUP(C66,'تقرير المصروفات حسب الشهر'!$C$1397:$AI$1512,14,FALSE),0)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الشهر'!$C$10:$AD$119,14,FALSE),0)</f>
        <v>0</v>
      </c>
      <c r="E67" s="362">
        <f>IFERROR(VLOOKUP(C67,'تقرير المصروفات حسب الشهر'!$C$135:$AD$244,14,FALSE),0)</f>
        <v>0</v>
      </c>
      <c r="F67" s="362">
        <v>0</v>
      </c>
      <c r="G67" s="362">
        <f>IFERROR(VLOOKUP(C67,'تقرير المصروفات حسب الشهر'!$C$387:$AD$495,14,FALSE),0)</f>
        <v>0</v>
      </c>
      <c r="H67" s="362">
        <f>IFERROR(VLOOKUP(C67,'تقرير المصروفات حسب الشهر'!$C$512:$AD$620,14,FALSE),0)</f>
        <v>0</v>
      </c>
      <c r="I67" s="362">
        <f>IFERROR(VLOOKUP(C67,'تقرير المصروفات حسب الشهر'!$C$637:$AD$746,14,FALSE),0)</f>
        <v>0</v>
      </c>
      <c r="J67" s="362">
        <f>IFERROR(VLOOKUP(C67,'تقرير المصروفات حسب الشهر'!$C$763:$AD$872,14,FALSE),0)</f>
        <v>0</v>
      </c>
      <c r="K67" s="362">
        <f>IFERROR(VLOOKUP(C67,'تقرير المصروفات حسب الشهر'!$C$890:$AD$999,14,FALSE),0)</f>
        <v>0</v>
      </c>
      <c r="L67" s="362">
        <f>IFERROR(VLOOKUP(C67,'تقرير المصروفات حسب الشهر'!$C$1016:$AD$1126,14,FALSE),0)</f>
        <v>0</v>
      </c>
      <c r="M67" s="376">
        <f>IFERROR(VLOOKUP(C67,'تقرير المصروفات حسب الشهر'!$C$1143:$AD$1254,14,FALSE),0)</f>
        <v>0</v>
      </c>
      <c r="N67" s="376">
        <f>IFERROR(VLOOKUP(C67,'تقرير المصروفات حسب الشهر'!$C$1270:$AD$1381,14,FALSE),0)</f>
        <v>0</v>
      </c>
      <c r="O67" s="376">
        <f>IFERROR(VLOOKUP(C67,'تقرير المصروفات حسب الشهر'!$C$1397:$AI$1512,14,FALSE),0)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الشهر'!$C$10:$AD$119,14,FALSE),0)</f>
        <v>0</v>
      </c>
      <c r="E68" s="362">
        <f>IFERROR(VLOOKUP(C68,'تقرير المصروفات حسب الشهر'!$C$135:$AD$244,14,FALSE),0)</f>
        <v>0</v>
      </c>
      <c r="F68" s="362">
        <v>0</v>
      </c>
      <c r="G68" s="362">
        <f>IFERROR(VLOOKUP(C68,'تقرير المصروفات حسب الشهر'!$C$387:$AD$495,14,FALSE),0)</f>
        <v>0</v>
      </c>
      <c r="H68" s="362">
        <f>IFERROR(VLOOKUP(C68,'تقرير المصروفات حسب الشهر'!$C$512:$AD$620,14,FALSE),0)</f>
        <v>0</v>
      </c>
      <c r="I68" s="362">
        <f>IFERROR(VLOOKUP(C68,'تقرير المصروفات حسب الشهر'!$C$637:$AD$746,14,FALSE),0)</f>
        <v>0</v>
      </c>
      <c r="J68" s="362">
        <f>IFERROR(VLOOKUP(C68,'تقرير المصروفات حسب الشهر'!$C$763:$AD$872,14,FALSE),0)</f>
        <v>0</v>
      </c>
      <c r="K68" s="362">
        <f>IFERROR(VLOOKUP(C68,'تقرير المصروفات حسب الشهر'!$C$890:$AD$999,14,FALSE),0)</f>
        <v>0</v>
      </c>
      <c r="L68" s="362">
        <f>IFERROR(VLOOKUP(C68,'تقرير المصروفات حسب الشهر'!$C$1016:$AD$1126,14,FALSE),0)</f>
        <v>0</v>
      </c>
      <c r="M68" s="376">
        <f>IFERROR(VLOOKUP(C68,'تقرير المصروفات حسب الشهر'!$C$1143:$AD$1254,14,FALSE),0)</f>
        <v>0</v>
      </c>
      <c r="N68" s="376">
        <f>IFERROR(VLOOKUP(C68,'تقرير المصروفات حسب الشهر'!$C$1270:$AD$1381,14,FALSE),0)</f>
        <v>0</v>
      </c>
      <c r="O68" s="376">
        <f>IFERROR(VLOOKUP(C68,'تقرير المصروفات حسب الشهر'!$C$1397:$AI$1512,14,FALSE),0)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الشهر'!$C$10:$AD$119,14,FALSE),0)</f>
        <v>0</v>
      </c>
      <c r="E69" s="362">
        <f>IFERROR(VLOOKUP(C69,'تقرير المصروفات حسب الشهر'!$C$135:$AD$244,14,FALSE),0)</f>
        <v>0</v>
      </c>
      <c r="F69" s="362">
        <v>0</v>
      </c>
      <c r="G69" s="362">
        <f>IFERROR(VLOOKUP(C69,'تقرير المصروفات حسب الشهر'!$C$387:$AD$495,14,FALSE),0)</f>
        <v>0</v>
      </c>
      <c r="H69" s="362">
        <f>IFERROR(VLOOKUP(C69,'تقرير المصروفات حسب الشهر'!$C$512:$AD$620,14,FALSE),0)</f>
        <v>0</v>
      </c>
      <c r="I69" s="362">
        <f>IFERROR(VLOOKUP(C69,'تقرير المصروفات حسب الشهر'!$C$637:$AD$746,14,FALSE),0)</f>
        <v>0</v>
      </c>
      <c r="J69" s="362">
        <f>IFERROR(VLOOKUP(C69,'تقرير المصروفات حسب الشهر'!$C$763:$AD$872,14,FALSE),0)</f>
        <v>0</v>
      </c>
      <c r="K69" s="362">
        <f>IFERROR(VLOOKUP(C69,'تقرير المصروفات حسب الشهر'!$C$890:$AD$999,14,FALSE),0)</f>
        <v>0</v>
      </c>
      <c r="L69" s="362">
        <f>IFERROR(VLOOKUP(C69,'تقرير المصروفات حسب الشهر'!$C$1016:$AD$1126,14,FALSE),0)</f>
        <v>0</v>
      </c>
      <c r="M69" s="376">
        <f>IFERROR(VLOOKUP(C69,'تقرير المصروفات حسب الشهر'!$C$1143:$AD$1254,14,FALSE),0)</f>
        <v>0</v>
      </c>
      <c r="N69" s="376">
        <f>IFERROR(VLOOKUP(C69,'تقرير المصروفات حسب الشهر'!$C$1270:$AD$1381,14,FALSE),0)</f>
        <v>0</v>
      </c>
      <c r="O69" s="376">
        <f>IFERROR(VLOOKUP(C69,'تقرير المصروفات حسب الشهر'!$C$1397:$AI$1512,14,FALSE),0)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الشهر'!$C$10:$AD$119,14,FALSE),0)</f>
        <v>0</v>
      </c>
      <c r="E70" s="362">
        <f>IFERROR(VLOOKUP(C70,'تقرير المصروفات حسب الشهر'!$C$135:$AD$244,14,FALSE),0)</f>
        <v>0</v>
      </c>
      <c r="F70" s="362">
        <v>0</v>
      </c>
      <c r="G70" s="362">
        <f>IFERROR(VLOOKUP(C70,'تقرير المصروفات حسب الشهر'!$C$387:$AD$495,14,FALSE),0)</f>
        <v>0</v>
      </c>
      <c r="H70" s="362">
        <f>IFERROR(VLOOKUP(C70,'تقرير المصروفات حسب الشهر'!$C$512:$AD$620,14,FALSE),0)</f>
        <v>0</v>
      </c>
      <c r="I70" s="362">
        <f>IFERROR(VLOOKUP(C70,'تقرير المصروفات حسب الشهر'!$C$637:$AD$746,14,FALSE),0)</f>
        <v>0</v>
      </c>
      <c r="J70" s="362">
        <f>IFERROR(VLOOKUP(C70,'تقرير المصروفات حسب الشهر'!$C$763:$AD$872,14,FALSE),0)</f>
        <v>0</v>
      </c>
      <c r="K70" s="362">
        <f>IFERROR(VLOOKUP(C70,'تقرير المصروفات حسب الشهر'!$C$890:$AD$999,14,FALSE),0)</f>
        <v>0</v>
      </c>
      <c r="L70" s="362">
        <f>IFERROR(VLOOKUP(C70,'تقرير المصروفات حسب الشهر'!$C$1016:$AD$1126,14,FALSE),0)</f>
        <v>0</v>
      </c>
      <c r="M70" s="376">
        <f>IFERROR(VLOOKUP(C70,'تقرير المصروفات حسب الشهر'!$C$1143:$AD$1254,14,FALSE),0)</f>
        <v>0</v>
      </c>
      <c r="N70" s="376">
        <f>IFERROR(VLOOKUP(C70,'تقرير المصروفات حسب الشهر'!$C$1270:$AD$1381,14,FALSE),0)</f>
        <v>0</v>
      </c>
      <c r="O70" s="376">
        <f>IFERROR(VLOOKUP(C70,'تقرير المصروفات حسب الشهر'!$C$1397:$AI$1512,14,FALSE),0)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الشهر'!$C$10:$AD$119,14,FALSE),0)</f>
        <v>0</v>
      </c>
      <c r="E71" s="362">
        <f>IFERROR(VLOOKUP(C71,'تقرير المصروفات حسب الشهر'!$C$135:$AD$244,14,FALSE),0)</f>
        <v>0</v>
      </c>
      <c r="F71" s="362">
        <v>0</v>
      </c>
      <c r="G71" s="362">
        <f>IFERROR(VLOOKUP(C71,'تقرير المصروفات حسب الشهر'!$C$387:$AD$495,14,FALSE),0)</f>
        <v>0</v>
      </c>
      <c r="H71" s="362">
        <f>IFERROR(VLOOKUP(C71,'تقرير المصروفات حسب الشهر'!$C$512:$AD$620,14,FALSE),0)</f>
        <v>0</v>
      </c>
      <c r="I71" s="362">
        <f>IFERROR(VLOOKUP(C71,'تقرير المصروفات حسب الشهر'!$C$637:$AD$746,14,FALSE),0)</f>
        <v>0</v>
      </c>
      <c r="J71" s="362">
        <f>IFERROR(VLOOKUP(C71,'تقرير المصروفات حسب الشهر'!$C$763:$AD$872,14,FALSE),0)</f>
        <v>0</v>
      </c>
      <c r="K71" s="362">
        <f>IFERROR(VLOOKUP(C71,'تقرير المصروفات حسب الشهر'!$C$890:$AD$999,14,FALSE),0)</f>
        <v>0</v>
      </c>
      <c r="L71" s="362">
        <f>IFERROR(VLOOKUP(C71,'تقرير المصروفات حسب الشهر'!$C$1016:$AD$1126,14,FALSE),0)</f>
        <v>0</v>
      </c>
      <c r="M71" s="376">
        <f>IFERROR(VLOOKUP(C71,'تقرير المصروفات حسب الشهر'!$C$1143:$AD$1254,14,FALSE),0)</f>
        <v>0</v>
      </c>
      <c r="N71" s="376">
        <f>IFERROR(VLOOKUP(C71,'تقرير المصروفات حسب الشهر'!$C$1270:$AD$1381,14,FALSE),0)</f>
        <v>0</v>
      </c>
      <c r="O71" s="376">
        <f>IFERROR(VLOOKUP(C71,'تقرير المصروفات حسب الشهر'!$C$1397:$AI$1512,14,FALSE),0)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الشهر'!$C$10:$AD$119,14,FALSE),0)</f>
        <v>0</v>
      </c>
      <c r="E72" s="362">
        <f>IFERROR(VLOOKUP(C72,'تقرير المصروفات حسب الشهر'!$C$135:$AD$244,14,FALSE),0)</f>
        <v>0</v>
      </c>
      <c r="F72" s="362">
        <v>0</v>
      </c>
      <c r="G72" s="362">
        <f>IFERROR(VLOOKUP(C72,'تقرير المصروفات حسب الشهر'!$C$387:$AD$495,14,FALSE),0)</f>
        <v>0</v>
      </c>
      <c r="H72" s="362">
        <f>IFERROR(VLOOKUP(C72,'تقرير المصروفات حسب الشهر'!$C$512:$AD$620,14,FALSE),0)</f>
        <v>0</v>
      </c>
      <c r="I72" s="362">
        <f>IFERROR(VLOOKUP(C72,'تقرير المصروفات حسب الشهر'!$C$637:$AD$746,14,FALSE),0)</f>
        <v>0</v>
      </c>
      <c r="J72" s="362">
        <f>IFERROR(VLOOKUP(C72,'تقرير المصروفات حسب الشهر'!$C$763:$AD$872,14,FALSE),0)</f>
        <v>0</v>
      </c>
      <c r="K72" s="362">
        <f>IFERROR(VLOOKUP(C72,'تقرير المصروفات حسب الشهر'!$C$890:$AD$999,14,FALSE),0)</f>
        <v>0</v>
      </c>
      <c r="L72" s="362">
        <f>IFERROR(VLOOKUP(C72,'تقرير المصروفات حسب الشهر'!$C$1016:$AD$1126,14,FALSE),0)</f>
        <v>0</v>
      </c>
      <c r="M72" s="376">
        <f>IFERROR(VLOOKUP(C72,'تقرير المصروفات حسب الشهر'!$C$1143:$AD$1254,14,FALSE),0)</f>
        <v>0</v>
      </c>
      <c r="N72" s="376">
        <f>IFERROR(VLOOKUP(C72,'تقرير المصروفات حسب الشهر'!$C$1270:$AD$1381,14,FALSE),0)</f>
        <v>0</v>
      </c>
      <c r="O72" s="376">
        <f>IFERROR(VLOOKUP(C72,'تقرير المصروفات حسب الشهر'!$C$1397:$AI$1512,14,FALSE),0)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الشهر'!$C$10:$AD$119,14,FALSE),0)</f>
        <v>0</v>
      </c>
      <c r="E73" s="362">
        <f>IFERROR(VLOOKUP(C73,'تقرير المصروفات حسب الشهر'!$C$135:$AD$244,14,FALSE),0)</f>
        <v>0</v>
      </c>
      <c r="F73" s="362">
        <v>0</v>
      </c>
      <c r="G73" s="362">
        <f>IFERROR(VLOOKUP(C73,'تقرير المصروفات حسب الشهر'!$C$387:$AD$495,14,FALSE),0)</f>
        <v>0</v>
      </c>
      <c r="H73" s="362">
        <f>IFERROR(VLOOKUP(C73,'تقرير المصروفات حسب الشهر'!$C$512:$AD$620,14,FALSE),0)</f>
        <v>0</v>
      </c>
      <c r="I73" s="362">
        <f>IFERROR(VLOOKUP(C73,'تقرير المصروفات حسب الشهر'!$C$637:$AD$746,14,FALSE),0)</f>
        <v>0</v>
      </c>
      <c r="J73" s="362">
        <f>IFERROR(VLOOKUP(C73,'تقرير المصروفات حسب الشهر'!$C$763:$AD$872,14,FALSE),0)</f>
        <v>0</v>
      </c>
      <c r="K73" s="362">
        <f>IFERROR(VLOOKUP(C73,'تقرير المصروفات حسب الشهر'!$C$890:$AD$999,14,FALSE),0)</f>
        <v>0</v>
      </c>
      <c r="L73" s="362">
        <f>IFERROR(VLOOKUP(C73,'تقرير المصروفات حسب الشهر'!$C$1016:$AD$1126,14,FALSE),0)</f>
        <v>0</v>
      </c>
      <c r="M73" s="376">
        <f>IFERROR(VLOOKUP(C73,'تقرير المصروفات حسب الشهر'!$C$1143:$AD$1254,14,FALSE),0)</f>
        <v>0</v>
      </c>
      <c r="N73" s="376">
        <f>IFERROR(VLOOKUP(C73,'تقرير المصروفات حسب الشهر'!$C$1270:$AD$1381,14,FALSE),0)</f>
        <v>0</v>
      </c>
      <c r="O73" s="376">
        <f>IFERROR(VLOOKUP(C73,'تقرير المصروفات حسب الشهر'!$C$1397:$AI$1512,14,FALSE),0)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الشهر'!$C$10:$AD$119,14,FALSE),0)</f>
        <v>0</v>
      </c>
      <c r="E74" s="362">
        <f>IFERROR(VLOOKUP(C74,'تقرير المصروفات حسب الشهر'!$C$135:$AD$244,14,FALSE),0)</f>
        <v>0</v>
      </c>
      <c r="F74" s="362">
        <v>0</v>
      </c>
      <c r="G74" s="362">
        <f>IFERROR(VLOOKUP(C74,'تقرير المصروفات حسب الشهر'!$C$387:$AD$495,14,FALSE),0)</f>
        <v>0</v>
      </c>
      <c r="H74" s="362">
        <f>IFERROR(VLOOKUP(C74,'تقرير المصروفات حسب الشهر'!$C$512:$AD$620,14,FALSE),0)</f>
        <v>0</v>
      </c>
      <c r="I74" s="362">
        <f>IFERROR(VLOOKUP(C74,'تقرير المصروفات حسب الشهر'!$C$637:$AD$746,14,FALSE),0)</f>
        <v>0</v>
      </c>
      <c r="J74" s="362">
        <f>IFERROR(VLOOKUP(C74,'تقرير المصروفات حسب الشهر'!$C$763:$AD$872,14,FALSE),0)</f>
        <v>0</v>
      </c>
      <c r="K74" s="362">
        <f>IFERROR(VLOOKUP(C74,'تقرير المصروفات حسب الشهر'!$C$890:$AD$999,14,FALSE),0)</f>
        <v>0</v>
      </c>
      <c r="L74" s="362">
        <f>IFERROR(VLOOKUP(C74,'تقرير المصروفات حسب الشهر'!$C$1016:$AD$1126,14,FALSE),0)</f>
        <v>0</v>
      </c>
      <c r="M74" s="376">
        <f>IFERROR(VLOOKUP(C74,'تقرير المصروفات حسب الشهر'!$C$1143:$AD$1254,14,FALSE),0)</f>
        <v>0</v>
      </c>
      <c r="N74" s="376">
        <f>IFERROR(VLOOKUP(C74,'تقرير المصروفات حسب الشهر'!$C$1270:$AD$1381,14,FALSE),0)</f>
        <v>0</v>
      </c>
      <c r="O74" s="376">
        <f>IFERROR(VLOOKUP(C74,'تقرير المصروفات حسب الشهر'!$C$1397:$AI$1512,14,FALSE),0)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الشهر'!$C$10:$AD$119,14,FALSE),0)</f>
        <v>0</v>
      </c>
      <c r="E75" s="362">
        <f>IFERROR(VLOOKUP(C75,'تقرير المصروفات حسب الشهر'!$C$135:$AD$244,14,FALSE),0)</f>
        <v>0</v>
      </c>
      <c r="F75" s="362">
        <v>0</v>
      </c>
      <c r="G75" s="362">
        <f>IFERROR(VLOOKUP(C75,'تقرير المصروفات حسب الشهر'!$C$387:$AD$495,14,FALSE),0)</f>
        <v>0</v>
      </c>
      <c r="H75" s="362">
        <f>IFERROR(VLOOKUP(C75,'تقرير المصروفات حسب الشهر'!$C$512:$AD$620,14,FALSE),0)</f>
        <v>0</v>
      </c>
      <c r="I75" s="362">
        <f>IFERROR(VLOOKUP(C75,'تقرير المصروفات حسب الشهر'!$C$637:$AD$746,14,FALSE),0)</f>
        <v>0</v>
      </c>
      <c r="J75" s="362">
        <f>IFERROR(VLOOKUP(C75,'تقرير المصروفات حسب الشهر'!$C$763:$AD$872,14,FALSE),0)</f>
        <v>0</v>
      </c>
      <c r="K75" s="362">
        <f>IFERROR(VLOOKUP(C75,'تقرير المصروفات حسب الشهر'!$C$890:$AD$999,14,FALSE),0)</f>
        <v>0</v>
      </c>
      <c r="L75" s="362">
        <f>IFERROR(VLOOKUP(C75,'تقرير المصروفات حسب الشهر'!$C$1016:$AD$1126,14,FALSE),0)</f>
        <v>0</v>
      </c>
      <c r="M75" s="376">
        <f>IFERROR(VLOOKUP(C75,'تقرير المصروفات حسب الشهر'!$C$1143:$AD$1254,14,FALSE),0)</f>
        <v>0</v>
      </c>
      <c r="N75" s="376">
        <f>IFERROR(VLOOKUP(C75,'تقرير المصروفات حسب الشهر'!$C$1270:$AD$1381,14,FALSE),0)</f>
        <v>0</v>
      </c>
      <c r="O75" s="376">
        <f>IFERROR(VLOOKUP(C75,'تقرير المصروفات حسب الشهر'!$C$1397:$AI$1512,14,FALSE),0)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الشهر'!$C$10:$AD$119,14,FALSE),0)</f>
        <v>0</v>
      </c>
      <c r="E76" s="362">
        <f>IFERROR(VLOOKUP(C76,'تقرير المصروفات حسب الشهر'!$C$135:$AD$244,14,FALSE),0)</f>
        <v>0</v>
      </c>
      <c r="F76" s="362">
        <v>0</v>
      </c>
      <c r="G76" s="362">
        <f>IFERROR(VLOOKUP(C76,'تقرير المصروفات حسب الشهر'!$C$387:$AD$495,14,FALSE),0)</f>
        <v>0</v>
      </c>
      <c r="H76" s="362">
        <f>IFERROR(VLOOKUP(C76,'تقرير المصروفات حسب الشهر'!$C$512:$AD$620,14,FALSE),0)</f>
        <v>0</v>
      </c>
      <c r="I76" s="362">
        <f>IFERROR(VLOOKUP(C76,'تقرير المصروفات حسب الشهر'!$C$637:$AD$746,14,FALSE),0)</f>
        <v>0</v>
      </c>
      <c r="J76" s="362">
        <f>IFERROR(VLOOKUP(C76,'تقرير المصروفات حسب الشهر'!$C$763:$AD$872,14,FALSE),0)</f>
        <v>0</v>
      </c>
      <c r="K76" s="362">
        <f>IFERROR(VLOOKUP(C76,'تقرير المصروفات حسب الشهر'!$C$890:$AD$999,14,FALSE),0)</f>
        <v>0</v>
      </c>
      <c r="L76" s="362">
        <f>IFERROR(VLOOKUP(C76,'تقرير المصروفات حسب الشهر'!$C$1016:$AD$1126,14,FALSE),0)</f>
        <v>0</v>
      </c>
      <c r="M76" s="376">
        <f>IFERROR(VLOOKUP(C76,'تقرير المصروفات حسب الشهر'!$C$1143:$AD$1254,14,FALSE),0)</f>
        <v>0</v>
      </c>
      <c r="N76" s="376">
        <f>IFERROR(VLOOKUP(C76,'تقرير المصروفات حسب الشهر'!$C$1270:$AD$1381,14,FALSE),0)</f>
        <v>0</v>
      </c>
      <c r="O76" s="376">
        <f>IFERROR(VLOOKUP(C76,'تقرير المصروفات حسب الشهر'!$C$1397:$AI$1512,14,FALSE),0)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الشهر'!$C$10:$AD$119,14,FALSE),0)</f>
        <v>0</v>
      </c>
      <c r="E77" s="362">
        <f>IFERROR(VLOOKUP(C77,'تقرير المصروفات حسب الشهر'!$C$135:$AD$244,14,FALSE),0)</f>
        <v>0</v>
      </c>
      <c r="F77" s="362">
        <v>0</v>
      </c>
      <c r="G77" s="362">
        <f>IFERROR(VLOOKUP(C77,'تقرير المصروفات حسب الشهر'!$C$387:$AD$495,14,FALSE),0)</f>
        <v>0</v>
      </c>
      <c r="H77" s="362">
        <f>IFERROR(VLOOKUP(C77,'تقرير المصروفات حسب الشهر'!$C$512:$AD$620,14,FALSE),0)</f>
        <v>0</v>
      </c>
      <c r="I77" s="362">
        <f>IFERROR(VLOOKUP(C77,'تقرير المصروفات حسب الشهر'!$C$637:$AD$746,14,FALSE),0)</f>
        <v>0</v>
      </c>
      <c r="J77" s="362">
        <f>IFERROR(VLOOKUP(C77,'تقرير المصروفات حسب الشهر'!$C$763:$AD$872,14,FALSE),0)</f>
        <v>0</v>
      </c>
      <c r="K77" s="362">
        <f>IFERROR(VLOOKUP(C77,'تقرير المصروفات حسب الشهر'!$C$890:$AD$999,14,FALSE),0)</f>
        <v>0</v>
      </c>
      <c r="L77" s="362">
        <f>IFERROR(VLOOKUP(C77,'تقرير المصروفات حسب الشهر'!$C$1016:$AD$1126,14,FALSE),0)</f>
        <v>0</v>
      </c>
      <c r="M77" s="376">
        <f>IFERROR(VLOOKUP(C77,'تقرير المصروفات حسب الشهر'!$C$1143:$AD$1254,14,FALSE),0)</f>
        <v>0</v>
      </c>
      <c r="N77" s="376">
        <f>IFERROR(VLOOKUP(C77,'تقرير المصروفات حسب الشهر'!$C$1270:$AD$1381,14,FALSE),0)</f>
        <v>0</v>
      </c>
      <c r="O77" s="376">
        <f>IFERROR(VLOOKUP(C77,'تقرير المصروفات حسب الشهر'!$C$1397:$AI$1512,14,FALSE),0)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الشهر'!$C$10:$AD$119,14,FALSE),0)</f>
        <v>0</v>
      </c>
      <c r="E78" s="362">
        <f>IFERROR(VLOOKUP(C78,'تقرير المصروفات حسب الشهر'!$C$135:$AD$244,14,FALSE),0)</f>
        <v>0</v>
      </c>
      <c r="F78" s="362">
        <v>0</v>
      </c>
      <c r="G78" s="362">
        <f>IFERROR(VLOOKUP(C78,'تقرير المصروفات حسب الشهر'!$C$387:$AD$495,14,FALSE),0)</f>
        <v>0</v>
      </c>
      <c r="H78" s="362">
        <f>IFERROR(VLOOKUP(C78,'تقرير المصروفات حسب الشهر'!$C$512:$AD$620,14,FALSE),0)</f>
        <v>0</v>
      </c>
      <c r="I78" s="362">
        <f>IFERROR(VLOOKUP(C78,'تقرير المصروفات حسب الشهر'!$C$637:$AD$746,14,FALSE),0)</f>
        <v>0</v>
      </c>
      <c r="J78" s="362">
        <f>IFERROR(VLOOKUP(C78,'تقرير المصروفات حسب الشهر'!$C$763:$AD$872,14,FALSE),0)</f>
        <v>0</v>
      </c>
      <c r="K78" s="362">
        <f>IFERROR(VLOOKUP(C78,'تقرير المصروفات حسب الشهر'!$C$890:$AD$999,14,FALSE),0)</f>
        <v>0</v>
      </c>
      <c r="L78" s="362">
        <f>IFERROR(VLOOKUP(C78,'تقرير المصروفات حسب الشهر'!$C$1016:$AD$1126,14,FALSE),0)</f>
        <v>0</v>
      </c>
      <c r="M78" s="376">
        <f>IFERROR(VLOOKUP(C78,'تقرير المصروفات حسب الشهر'!$C$1143:$AD$1254,14,FALSE),0)</f>
        <v>0</v>
      </c>
      <c r="N78" s="376">
        <f>IFERROR(VLOOKUP(C78,'تقرير المصروفات حسب الشهر'!$C$1270:$AD$1381,14,FALSE),0)</f>
        <v>0</v>
      </c>
      <c r="O78" s="376">
        <f>IFERROR(VLOOKUP(C78,'تقرير المصروفات حسب الشهر'!$C$1397:$AI$1512,14,FALSE),0)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الشهر'!$C$10:$AD$119,14,FALSE),0)</f>
        <v>0</v>
      </c>
      <c r="E79" s="362">
        <f>IFERROR(VLOOKUP(C79,'تقرير المصروفات حسب الشهر'!$C$135:$AD$244,14,FALSE),0)</f>
        <v>0</v>
      </c>
      <c r="F79" s="362">
        <v>0</v>
      </c>
      <c r="G79" s="362">
        <f>IFERROR(VLOOKUP(C79,'تقرير المصروفات حسب الشهر'!$C$387:$AD$495,14,FALSE),0)</f>
        <v>0</v>
      </c>
      <c r="H79" s="362">
        <f>IFERROR(VLOOKUP(C79,'تقرير المصروفات حسب الشهر'!$C$512:$AD$620,14,FALSE),0)</f>
        <v>0</v>
      </c>
      <c r="I79" s="362">
        <f>IFERROR(VLOOKUP(C79,'تقرير المصروفات حسب الشهر'!$C$637:$AD$746,14,FALSE),0)</f>
        <v>0</v>
      </c>
      <c r="J79" s="362">
        <f>IFERROR(VLOOKUP(C79,'تقرير المصروفات حسب الشهر'!$C$763:$AD$872,14,FALSE),0)</f>
        <v>0</v>
      </c>
      <c r="K79" s="362">
        <f>IFERROR(VLOOKUP(C79,'تقرير المصروفات حسب الشهر'!$C$890:$AD$999,14,FALSE),0)</f>
        <v>0</v>
      </c>
      <c r="L79" s="362">
        <f>IFERROR(VLOOKUP(C79,'تقرير المصروفات حسب الشهر'!$C$1016:$AD$1126,14,FALSE),0)</f>
        <v>0</v>
      </c>
      <c r="M79" s="376">
        <f>IFERROR(VLOOKUP(C79,'تقرير المصروفات حسب الشهر'!$C$1143:$AD$1254,14,FALSE),0)</f>
        <v>0</v>
      </c>
      <c r="N79" s="376">
        <f>IFERROR(VLOOKUP(C79,'تقرير المصروفات حسب الشهر'!$C$1270:$AD$1381,14,FALSE),0)</f>
        <v>0</v>
      </c>
      <c r="O79" s="376">
        <f>IFERROR(VLOOKUP(C79,'تقرير المصروفات حسب الشهر'!$C$1397:$AI$1512,14,FALSE),0)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الشهر'!$C$10:$AD$119,14,FALSE),0)</f>
        <v>0</v>
      </c>
      <c r="E80" s="362">
        <f>IFERROR(VLOOKUP(C80,'تقرير المصروفات حسب الشهر'!$C$135:$AD$244,14,FALSE),0)</f>
        <v>0</v>
      </c>
      <c r="F80" s="362">
        <v>0</v>
      </c>
      <c r="G80" s="362">
        <f>IFERROR(VLOOKUP(C80,'تقرير المصروفات حسب الشهر'!$C$387:$AD$495,14,FALSE),0)</f>
        <v>0</v>
      </c>
      <c r="H80" s="362">
        <f>IFERROR(VLOOKUP(C80,'تقرير المصروفات حسب الشهر'!$C$512:$AD$620,14,FALSE),0)</f>
        <v>0</v>
      </c>
      <c r="I80" s="362">
        <f>IFERROR(VLOOKUP(C80,'تقرير المصروفات حسب الشهر'!$C$637:$AD$746,14,FALSE),0)</f>
        <v>0</v>
      </c>
      <c r="J80" s="362">
        <f>IFERROR(VLOOKUP(C80,'تقرير المصروفات حسب الشهر'!$C$763:$AD$872,14,FALSE),0)</f>
        <v>0</v>
      </c>
      <c r="K80" s="362">
        <f>IFERROR(VLOOKUP(C80,'تقرير المصروفات حسب الشهر'!$C$890:$AD$999,14,FALSE),0)</f>
        <v>0</v>
      </c>
      <c r="L80" s="362">
        <f>IFERROR(VLOOKUP(C80,'تقرير المصروفات حسب الشهر'!$C$1016:$AD$1126,14,FALSE),0)</f>
        <v>0</v>
      </c>
      <c r="M80" s="376">
        <f>IFERROR(VLOOKUP(C80,'تقرير المصروفات حسب الشهر'!$C$1143:$AD$1254,14,FALSE),0)</f>
        <v>0</v>
      </c>
      <c r="N80" s="376">
        <f>IFERROR(VLOOKUP(C80,'تقرير المصروفات حسب الشهر'!$C$1270:$AD$1381,14,FALSE),0)</f>
        <v>0</v>
      </c>
      <c r="O80" s="376">
        <f>IFERROR(VLOOKUP(C80,'تقرير المصروفات حسب الشهر'!$C$1397:$AI$1512,14,FALSE),0)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الشهر'!$C$10:$AD$119,14,FALSE),0)</f>
        <v>316</v>
      </c>
      <c r="E81" s="362">
        <f>IFERROR(VLOOKUP(C81,'تقرير المصروفات حسب الشهر'!$C$135:$AD$244,14,FALSE),0)</f>
        <v>100</v>
      </c>
      <c r="F81" s="362">
        <v>100</v>
      </c>
      <c r="G81" s="362">
        <f>IFERROR(VLOOKUP(C81,'تقرير المصروفات حسب الشهر'!$C$387:$AD$495,14,FALSE),0)</f>
        <v>100</v>
      </c>
      <c r="H81" s="362">
        <f>IFERROR(VLOOKUP(C81,'تقرير المصروفات حسب الشهر'!$C$512:$AD$620,14,FALSE),0)</f>
        <v>100</v>
      </c>
      <c r="I81" s="511">
        <f>IFERROR(VLOOKUP(C81,'تقرير المصروفات حسب الشهر'!$C$637:$AD$746,14,FALSE),0)</f>
        <v>100</v>
      </c>
      <c r="J81" s="362">
        <f>IFERROR(VLOOKUP(C81,'تقرير المصروفات حسب الشهر'!$C$763:$AD$872,14,FALSE),0)</f>
        <v>0</v>
      </c>
      <c r="K81" s="362">
        <f>IFERROR(VLOOKUP(C81,'تقرير المصروفات حسب الشهر'!$C$890:$AD$999,14,FALSE),0)</f>
        <v>300</v>
      </c>
      <c r="L81" s="362">
        <f>IFERROR(VLOOKUP(C81,'تقرير المصروفات حسب الشهر'!$C$1016:$AD$1126,14,FALSE),0)</f>
        <v>200</v>
      </c>
      <c r="M81" s="376">
        <f>IFERROR(VLOOKUP(C81,'تقرير المصروفات حسب الشهر'!$C$1143:$AD$1254,14,FALSE),0)</f>
        <v>200</v>
      </c>
      <c r="N81" s="376">
        <f>IFERROR(VLOOKUP(C81,'تقرير المصروفات حسب الشهر'!$C$1270:$AD$1381,14,FALSE),0)</f>
        <v>200</v>
      </c>
      <c r="O81" s="376">
        <f>IFERROR(VLOOKUP(C81,'تقرير المصروفات حسب الشهر'!$C$1397:$AI$1512,14,FALSE),0)</f>
        <v>200</v>
      </c>
      <c r="P81" s="364">
        <f t="shared" si="5"/>
        <v>1916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الشهر'!$C$10:$AD$119,14,FALSE),0)</f>
        <v>0</v>
      </c>
      <c r="E82" s="362">
        <f>IFERROR(VLOOKUP(C82,'تقرير المصروفات حسب الشهر'!$C$135:$AD$244,14,FALSE),0)</f>
        <v>0</v>
      </c>
      <c r="F82" s="362">
        <v>0</v>
      </c>
      <c r="G82" s="362">
        <f>IFERROR(VLOOKUP(C82,'تقرير المصروفات حسب الشهر'!$C$387:$AD$495,14,FALSE),0)</f>
        <v>0</v>
      </c>
      <c r="H82" s="362">
        <f>IFERROR(VLOOKUP(C82,'تقرير المصروفات حسب الشهر'!$C$512:$AD$620,14,FALSE),0)</f>
        <v>0</v>
      </c>
      <c r="I82" s="362">
        <f>IFERROR(VLOOKUP(C82,'تقرير المصروفات حسب الشهر'!$C$637:$AD$746,14,FALSE),0)</f>
        <v>0</v>
      </c>
      <c r="J82" s="362">
        <f>IFERROR(VLOOKUP(C82,'تقرير المصروفات حسب الشهر'!$C$763:$AD$872,14,FALSE),0)</f>
        <v>0</v>
      </c>
      <c r="K82" s="362">
        <f>IFERROR(VLOOKUP(C82,'تقرير المصروفات حسب الشهر'!$C$890:$AD$999,14,FALSE),0)</f>
        <v>0</v>
      </c>
      <c r="L82" s="362">
        <f>IFERROR(VLOOKUP(C82,'تقرير المصروفات حسب الشهر'!$C$1016:$AD$1126,14,FALSE),0)</f>
        <v>0</v>
      </c>
      <c r="M82" s="376">
        <f>IFERROR(VLOOKUP(C82,'تقرير المصروفات حسب الشهر'!$C$1143:$AD$1254,14,FALSE),0)</f>
        <v>0</v>
      </c>
      <c r="N82" s="376">
        <f>IFERROR(VLOOKUP(C82,'تقرير المصروفات حسب الشهر'!$C$1270:$AD$1381,14,FALSE),0)</f>
        <v>0</v>
      </c>
      <c r="O82" s="376">
        <f>IFERROR(VLOOKUP(C82,'تقرير المصروفات حسب الشهر'!$C$1397:$AI$1512,14,FALSE),0)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الشهر'!$C$10:$AD$119,14,FALSE),0)</f>
        <v>0</v>
      </c>
      <c r="E83" s="362">
        <f>IFERROR(VLOOKUP(C83,'تقرير المصروفات حسب الشهر'!$C$135:$AD$244,14,FALSE),0)</f>
        <v>0</v>
      </c>
      <c r="F83" s="362">
        <v>0</v>
      </c>
      <c r="G83" s="362">
        <f>IFERROR(VLOOKUP(C83,'تقرير المصروفات حسب الشهر'!$C$387:$AD$495,14,FALSE),0)</f>
        <v>0</v>
      </c>
      <c r="H83" s="362">
        <f>IFERROR(VLOOKUP(C83,'تقرير المصروفات حسب الشهر'!$C$512:$AD$620,14,FALSE),0)</f>
        <v>0</v>
      </c>
      <c r="I83" s="362">
        <f>IFERROR(VLOOKUP(C83,'تقرير المصروفات حسب الشهر'!$C$637:$AD$746,14,FALSE),0)</f>
        <v>0</v>
      </c>
      <c r="J83" s="362">
        <f>IFERROR(VLOOKUP(C83,'تقرير المصروفات حسب الشهر'!$C$763:$AD$872,14,FALSE),0)</f>
        <v>0</v>
      </c>
      <c r="K83" s="362">
        <f>IFERROR(VLOOKUP(C83,'تقرير المصروفات حسب الشهر'!$C$890:$AD$999,14,FALSE),0)</f>
        <v>0</v>
      </c>
      <c r="L83" s="362">
        <f>IFERROR(VLOOKUP(C83,'تقرير المصروفات حسب الشهر'!$C$1016:$AD$1126,14,FALSE),0)</f>
        <v>0</v>
      </c>
      <c r="M83" s="376">
        <f>IFERROR(VLOOKUP(C83,'تقرير المصروفات حسب الشهر'!$C$1143:$AD$1254,14,FALSE),0)</f>
        <v>0</v>
      </c>
      <c r="N83" s="376">
        <f>IFERROR(VLOOKUP(C83,'تقرير المصروفات حسب الشهر'!$C$1270:$AD$1381,14,FALSE),0)</f>
        <v>0</v>
      </c>
      <c r="O83" s="376">
        <f>IFERROR(VLOOKUP(C83,'تقرير المصروفات حسب الشهر'!$C$1397:$AI$1512,14,FALSE),0)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الشهر'!$C$10:$AD$119,14,FALSE),0)</f>
        <v>0</v>
      </c>
      <c r="E84" s="362">
        <f>IFERROR(VLOOKUP(C84,'تقرير المصروفات حسب الشهر'!$C$135:$AD$244,14,FALSE),0)</f>
        <v>0</v>
      </c>
      <c r="F84" s="362">
        <v>0</v>
      </c>
      <c r="G84" s="362">
        <f>IFERROR(VLOOKUP(C84,'تقرير المصروفات حسب الشهر'!$C$387:$AD$495,14,FALSE),0)</f>
        <v>0</v>
      </c>
      <c r="H84" s="362">
        <f>IFERROR(VLOOKUP(C84,'تقرير المصروفات حسب الشهر'!$C$512:$AD$620,14,FALSE),0)</f>
        <v>0</v>
      </c>
      <c r="I84" s="362">
        <f>IFERROR(VLOOKUP(C84,'تقرير المصروفات حسب الشهر'!$C$637:$AD$746,14,FALSE),0)</f>
        <v>0</v>
      </c>
      <c r="J84" s="362">
        <f>IFERROR(VLOOKUP(C84,'تقرير المصروفات حسب الشهر'!$C$763:$AD$872,14,FALSE),0)</f>
        <v>0</v>
      </c>
      <c r="K84" s="362">
        <f>IFERROR(VLOOKUP(C84,'تقرير المصروفات حسب الشهر'!$C$890:$AD$999,14,FALSE),0)</f>
        <v>0</v>
      </c>
      <c r="L84" s="362">
        <f>IFERROR(VLOOKUP(C84,'تقرير المصروفات حسب الشهر'!$C$1016:$AD$1126,14,FALSE),0)</f>
        <v>0</v>
      </c>
      <c r="M84" s="376">
        <f>IFERROR(VLOOKUP(C84,'تقرير المصروفات حسب الشهر'!$C$1143:$AD$1254,14,FALSE),0)</f>
        <v>0</v>
      </c>
      <c r="N84" s="376">
        <f>IFERROR(VLOOKUP(C84,'تقرير المصروفات حسب الشهر'!$C$1270:$AD$1381,14,FALSE),0)</f>
        <v>0</v>
      </c>
      <c r="O84" s="376">
        <f>IFERROR(VLOOKUP(C84,'تقرير المصروفات حسب الشهر'!$C$1397:$AI$1512,14,FALSE),0)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الشهر'!$C$10:$AD$119,14,FALSE),0)</f>
        <v>0</v>
      </c>
      <c r="E85" s="362">
        <f>IFERROR(VLOOKUP(C85,'تقرير المصروفات حسب الشهر'!$C$135:$AD$244,14,FALSE),0)</f>
        <v>0</v>
      </c>
      <c r="F85" s="362">
        <v>0</v>
      </c>
      <c r="G85" s="362">
        <f>IFERROR(VLOOKUP(C85,'تقرير المصروفات حسب الشهر'!$C$387:$AD$495,14,FALSE),0)</f>
        <v>0</v>
      </c>
      <c r="H85" s="362">
        <f>IFERROR(VLOOKUP(C85,'تقرير المصروفات حسب الشهر'!$C$512:$AD$620,14,FALSE),0)</f>
        <v>0</v>
      </c>
      <c r="I85" s="362">
        <f>IFERROR(VLOOKUP(C85,'تقرير المصروفات حسب الشهر'!$C$637:$AD$746,14,FALSE),0)</f>
        <v>0</v>
      </c>
      <c r="J85" s="362">
        <f>IFERROR(VLOOKUP(C85,'تقرير المصروفات حسب الشهر'!$C$763:$AD$872,14,FALSE),0)</f>
        <v>0</v>
      </c>
      <c r="K85" s="362">
        <f>IFERROR(VLOOKUP(C85,'تقرير المصروفات حسب الشهر'!$C$890:$AD$999,14,FALSE),0)</f>
        <v>0</v>
      </c>
      <c r="L85" s="362">
        <f>IFERROR(VLOOKUP(C85,'تقرير المصروفات حسب الشهر'!$C$1016:$AD$1126,14,FALSE),0)</f>
        <v>0</v>
      </c>
      <c r="M85" s="376">
        <f>IFERROR(VLOOKUP(C85,'تقرير المصروفات حسب الشهر'!$C$1143:$AD$1254,14,FALSE),0)</f>
        <v>0</v>
      </c>
      <c r="N85" s="376">
        <f>IFERROR(VLOOKUP(C85,'تقرير المصروفات حسب الشهر'!$C$1270:$AD$1381,14,FALSE),0)</f>
        <v>0</v>
      </c>
      <c r="O85" s="376">
        <f>IFERROR(VLOOKUP(C85,'تقرير المصروفات حسب الشهر'!$C$1397:$AI$1512,14,FALSE),0)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الشهر'!$C$10:$AD$119,14,FALSE),0)</f>
        <v>1735</v>
      </c>
      <c r="E86" s="362">
        <f>IFERROR(VLOOKUP(C86,'تقرير المصروفات حسب الشهر'!$C$135:$AD$244,14,FALSE),0)</f>
        <v>1959.65</v>
      </c>
      <c r="F86" s="362">
        <v>1281.5</v>
      </c>
      <c r="G86" s="362">
        <f>IFERROR(VLOOKUP(C86,'تقرير المصروفات حسب الشهر'!$C$387:$AD$495,14,FALSE),0)</f>
        <v>0</v>
      </c>
      <c r="H86" s="362">
        <f>IFERROR(VLOOKUP(C86,'تقرير المصروفات حسب الشهر'!$C$512:$AD$620,14,FALSE),0)</f>
        <v>0</v>
      </c>
      <c r="I86" s="362">
        <f>IFERROR(VLOOKUP(C86,'تقرير المصروفات حسب الشهر'!$C$637:$AD$746,14,FALSE),0)</f>
        <v>0</v>
      </c>
      <c r="J86" s="362">
        <f>IFERROR(VLOOKUP(C86,'تقرير المصروفات حسب الشهر'!$C$763:$AD$872,14,FALSE),0)</f>
        <v>979</v>
      </c>
      <c r="K86" s="362">
        <f>IFERROR(VLOOKUP(C86,'تقرير المصروفات حسب الشهر'!$C$890:$AD$999,14,FALSE),0)</f>
        <v>0</v>
      </c>
      <c r="L86" s="362">
        <f>IFERROR(VLOOKUP(C86,'تقرير المصروفات حسب الشهر'!$C$1016:$AD$1126,14,FALSE),0)</f>
        <v>0</v>
      </c>
      <c r="M86" s="376">
        <f>IFERROR(VLOOKUP(C86,'تقرير المصروفات حسب الشهر'!$C$1143:$AD$1254,14,FALSE),0)</f>
        <v>1335.76</v>
      </c>
      <c r="N86" s="376">
        <f>IFERROR(VLOOKUP(C86,'تقرير المصروفات حسب الشهر'!$C$1270:$AD$1381,14,FALSE),0)</f>
        <v>1105.82</v>
      </c>
      <c r="O86" s="376">
        <f>IFERROR(VLOOKUP(C86,'تقرير المصروفات حسب الشهر'!$C$1397:$AI$1512,14,FALSE),0)</f>
        <v>0</v>
      </c>
      <c r="P86" s="364">
        <f t="shared" si="5"/>
        <v>8396.73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الشهر'!$C$10:$AD$119,14,FALSE),0)</f>
        <v>0</v>
      </c>
      <c r="E87" s="362">
        <f>IFERROR(VLOOKUP(C87,'تقرير المصروفات حسب الشهر'!$C$135:$AD$244,14,FALSE),0)</f>
        <v>0</v>
      </c>
      <c r="F87" s="362">
        <v>0</v>
      </c>
      <c r="G87" s="362">
        <f>IFERROR(VLOOKUP(C87,'تقرير المصروفات حسب الشهر'!$C$387:$AD$495,14,FALSE),0)</f>
        <v>0</v>
      </c>
      <c r="H87" s="362">
        <f>IFERROR(VLOOKUP(C87,'تقرير المصروفات حسب الشهر'!$C$512:$AD$620,14,FALSE),0)</f>
        <v>0</v>
      </c>
      <c r="I87" s="362">
        <f>IFERROR(VLOOKUP(C87,'تقرير المصروفات حسب الشهر'!$C$637:$AD$746,14,FALSE),0)</f>
        <v>0</v>
      </c>
      <c r="J87" s="362">
        <f>IFERROR(VLOOKUP(C87,'تقرير المصروفات حسب الشهر'!$C$763:$AD$872,14,FALSE),0)</f>
        <v>0</v>
      </c>
      <c r="K87" s="362">
        <f>IFERROR(VLOOKUP(C87,'تقرير المصروفات حسب الشهر'!$C$890:$AD$999,14,FALSE),0)</f>
        <v>0</v>
      </c>
      <c r="L87" s="362">
        <f>IFERROR(VLOOKUP(C87,'تقرير المصروفات حسب الشهر'!$C$1016:$AD$1126,14,FALSE),0)</f>
        <v>0</v>
      </c>
      <c r="M87" s="376">
        <f>IFERROR(VLOOKUP(C87,'تقرير المصروفات حسب الشهر'!$C$1143:$AD$1254,14,FALSE),0)</f>
        <v>0</v>
      </c>
      <c r="N87" s="376">
        <f>IFERROR(VLOOKUP(C87,'تقرير المصروفات حسب الشهر'!$C$1270:$AD$1381,14,FALSE),0)</f>
        <v>0</v>
      </c>
      <c r="O87" s="376">
        <f>IFERROR(VLOOKUP(C87,'تقرير المصروفات حسب الشهر'!$C$1397:$AI$1512,14,FALSE),0)</f>
        <v>4372</v>
      </c>
      <c r="P87" s="364">
        <f t="shared" ref="P87:P136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الشهر'!$C$10:$AD$119,14,FALSE),0)</f>
        <v>0</v>
      </c>
      <c r="E88" s="362">
        <f>IFERROR(VLOOKUP(C88,'تقرير المصروفات حسب الشهر'!$C$135:$AD$244,14,FALSE),0)</f>
        <v>0</v>
      </c>
      <c r="F88" s="362">
        <v>0</v>
      </c>
      <c r="G88" s="362">
        <f>IFERROR(VLOOKUP(C88,'تقرير المصروفات حسب الشهر'!$C$387:$AD$495,14,FALSE),0)</f>
        <v>0</v>
      </c>
      <c r="H88" s="362">
        <f>IFERROR(VLOOKUP(C88,'تقرير المصروفات حسب الشهر'!$C$512:$AD$620,14,FALSE),0)</f>
        <v>333</v>
      </c>
      <c r="I88" s="511">
        <f>IFERROR(VLOOKUP(C88,'تقرير المصروفات حسب الشهر'!$C$637:$AD$746,14,FALSE),0)</f>
        <v>120</v>
      </c>
      <c r="J88" s="362">
        <f>IFERROR(VLOOKUP(C88,'تقرير المصروفات حسب الشهر'!$C$763:$AD$872,14,FALSE),0)</f>
        <v>0</v>
      </c>
      <c r="K88" s="362">
        <f>IFERROR(VLOOKUP(C88,'تقرير المصروفات حسب الشهر'!$C$890:$AD$999,14,FALSE),0)</f>
        <v>0</v>
      </c>
      <c r="L88" s="362">
        <f>IFERROR(VLOOKUP(C88,'تقرير المصروفات حسب الشهر'!$C$1016:$AD$1126,14,FALSE),0)</f>
        <v>0</v>
      </c>
      <c r="M88" s="376">
        <f>IFERROR(VLOOKUP(C88,'تقرير المصروفات حسب الشهر'!$C$1143:$AD$1254,14,FALSE),0)</f>
        <v>0</v>
      </c>
      <c r="N88" s="376">
        <f>IFERROR(VLOOKUP(C88,'تقرير المصروفات حسب الشهر'!$C$1270:$AD$1381,14,FALSE),0)</f>
        <v>0</v>
      </c>
      <c r="O88" s="376">
        <f>IFERROR(VLOOKUP(C88,'تقرير المصروفات حسب الشهر'!$C$1397:$AI$1512,14,FALSE),0)</f>
        <v>0</v>
      </c>
      <c r="P88" s="364">
        <f t="shared" si="6"/>
        <v>453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الشهر'!$C$10:$AD$119,14,FALSE),0)</f>
        <v>0</v>
      </c>
      <c r="E89" s="362">
        <f>IFERROR(VLOOKUP(C89,'تقرير المصروفات حسب الشهر'!$C$135:$AD$244,14,FALSE),0)</f>
        <v>0</v>
      </c>
      <c r="F89" s="362">
        <v>0</v>
      </c>
      <c r="G89" s="362">
        <f>IFERROR(VLOOKUP(C89,'تقرير المصروفات حسب الشهر'!$C$387:$AD$495,14,FALSE),0)</f>
        <v>0</v>
      </c>
      <c r="H89" s="362">
        <f>IFERROR(VLOOKUP(C89,'تقرير المصروفات حسب الشهر'!$C$512:$AD$620,14,FALSE),0)</f>
        <v>0</v>
      </c>
      <c r="I89" s="362">
        <f>IFERROR(VLOOKUP(C89,'تقرير المصروفات حسب الشهر'!$C$637:$AD$746,14,FALSE),0)</f>
        <v>0</v>
      </c>
      <c r="J89" s="362">
        <f>IFERROR(VLOOKUP(C89,'تقرير المصروفات حسب الشهر'!$C$763:$AD$872,14,FALSE),0)</f>
        <v>0</v>
      </c>
      <c r="K89" s="362">
        <f>IFERROR(VLOOKUP(C89,'تقرير المصروفات حسب الشهر'!$C$890:$AD$999,14,FALSE),0)</f>
        <v>0</v>
      </c>
      <c r="L89" s="362">
        <f>IFERROR(VLOOKUP(C89,'تقرير المصروفات حسب الشهر'!$C$1016:$AD$1126,14,FALSE),0)</f>
        <v>0</v>
      </c>
      <c r="M89" s="376">
        <f>IFERROR(VLOOKUP(C89,'تقرير المصروفات حسب الشهر'!$C$1143:$AD$1254,14,FALSE),0)</f>
        <v>0</v>
      </c>
      <c r="N89" s="376">
        <f>IFERROR(VLOOKUP(C89,'تقرير المصروفات حسب الشهر'!$C$1270:$AD$1381,14,FALSE),0)</f>
        <v>0</v>
      </c>
      <c r="O89" s="376">
        <f>IFERROR(VLOOKUP(C89,'تقرير المصروفات حسب الشهر'!$C$1397:$AI$1512,14,FALSE),0)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الشهر'!$C$10:$AD$119,14,FALSE),0)</f>
        <v>0</v>
      </c>
      <c r="E90" s="362">
        <f>IFERROR(VLOOKUP(C90,'تقرير المصروفات حسب الشهر'!$C$135:$AD$244,14,FALSE),0)</f>
        <v>0</v>
      </c>
      <c r="F90" s="362">
        <v>0</v>
      </c>
      <c r="G90" s="362">
        <f>IFERROR(VLOOKUP(C90,'تقرير المصروفات حسب الشهر'!$C$387:$AD$495,14,FALSE),0)</f>
        <v>0</v>
      </c>
      <c r="H90" s="362">
        <f>IFERROR(VLOOKUP(C90,'تقرير المصروفات حسب الشهر'!$C$512:$AD$620,14,FALSE),0)</f>
        <v>0</v>
      </c>
      <c r="I90" s="362">
        <f>IFERROR(VLOOKUP(C90,'تقرير المصروفات حسب الشهر'!$C$637:$AD$746,14,FALSE),0)</f>
        <v>0</v>
      </c>
      <c r="J90" s="362">
        <f>IFERROR(VLOOKUP(C90,'تقرير المصروفات حسب الشهر'!$C$763:$AD$872,14,FALSE),0)</f>
        <v>0</v>
      </c>
      <c r="K90" s="362">
        <f>IFERROR(VLOOKUP(C90,'تقرير المصروفات حسب الشهر'!$C$890:$AD$999,14,FALSE),0)</f>
        <v>0</v>
      </c>
      <c r="L90" s="362">
        <f>IFERROR(VLOOKUP(C90,'تقرير المصروفات حسب الشهر'!$C$1016:$AD$1126,14,FALSE),0)</f>
        <v>0</v>
      </c>
      <c r="M90" s="376">
        <f>IFERROR(VLOOKUP(C90,'تقرير المصروفات حسب الشهر'!$C$1143:$AD$1254,14,FALSE),0)</f>
        <v>0</v>
      </c>
      <c r="N90" s="376">
        <f>IFERROR(VLOOKUP(C90,'تقرير المصروفات حسب الشهر'!$C$1270:$AD$1381,14,FALSE),0)</f>
        <v>0</v>
      </c>
      <c r="O90" s="376">
        <f>IFERROR(VLOOKUP(C90,'تقرير المصروفات حسب الشهر'!$C$1397:$AI$1512,14,FALSE),0)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الشهر'!$C$10:$AD$119,14,FALSE),0)</f>
        <v>3000</v>
      </c>
      <c r="E91" s="362">
        <f>IFERROR(VLOOKUP(C91,'تقرير المصروفات حسب الشهر'!$C$135:$AD$244,14,FALSE),0)</f>
        <v>3000</v>
      </c>
      <c r="F91" s="362">
        <v>3000</v>
      </c>
      <c r="G91" s="362">
        <f>IFERROR(VLOOKUP(C91,'تقرير المصروفات حسب الشهر'!$C$387:$AD$495,14,FALSE),0)</f>
        <v>3100</v>
      </c>
      <c r="H91" s="362">
        <f>IFERROR(VLOOKUP(C91,'تقرير المصروفات حسب الشهر'!$C$512:$AD$620,14,FALSE),0)</f>
        <v>3000</v>
      </c>
      <c r="I91" s="511">
        <f>IFERROR(VLOOKUP(C91,'تقرير المصروفات حسب الشهر'!$C$637:$AD$746,14,FALSE),0)</f>
        <v>3100</v>
      </c>
      <c r="J91" s="362">
        <f>IFERROR(VLOOKUP(C91,'تقرير المصروفات حسب الشهر'!$C$763:$AD$872,14,FALSE),0)</f>
        <v>3383</v>
      </c>
      <c r="K91" s="362">
        <f>IFERROR(VLOOKUP(C91,'تقرير المصروفات حسب الشهر'!$C$890:$AD$999,14,FALSE),0)</f>
        <v>3000</v>
      </c>
      <c r="L91" s="362">
        <f>IFERROR(VLOOKUP(C91,'تقرير المصروفات حسب الشهر'!$C$1016:$AD$1126,14,FALSE),0)</f>
        <v>3000</v>
      </c>
      <c r="M91" s="376">
        <f>IFERROR(VLOOKUP(C91,'تقرير المصروفات حسب الشهر'!$C$1143:$AD$1254,14,FALSE),0)</f>
        <v>3000</v>
      </c>
      <c r="N91" s="376">
        <f>IFERROR(VLOOKUP(C91,'تقرير المصروفات حسب الشهر'!$C$1270:$AD$1381,14,FALSE),0)</f>
        <v>3544</v>
      </c>
      <c r="O91" s="376">
        <f>IFERROR(VLOOKUP(C91,'تقرير المصروفات حسب الشهر'!$C$1397:$AI$1512,14,FALSE),0)</f>
        <v>3000</v>
      </c>
      <c r="P91" s="364">
        <f t="shared" si="6"/>
        <v>37127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الشهر'!$C$10:$AD$119,14,FALSE),0)</f>
        <v>0</v>
      </c>
      <c r="E92" s="362">
        <f>IFERROR(VLOOKUP(C92,'تقرير المصروفات حسب الشهر'!$C$135:$AD$244,14,FALSE),0)</f>
        <v>0</v>
      </c>
      <c r="F92" s="362">
        <v>4250</v>
      </c>
      <c r="G92" s="362">
        <f>IFERROR(VLOOKUP(C92,'تقرير المصروفات حسب الشهر'!$C$387:$AD$495,14,FALSE),0)</f>
        <v>0</v>
      </c>
      <c r="H92" s="362">
        <f>IFERROR(VLOOKUP(C92,'تقرير المصروفات حسب الشهر'!$C$512:$AD$620,14,FALSE),0)</f>
        <v>0</v>
      </c>
      <c r="I92" s="362">
        <f>IFERROR(VLOOKUP(C92,'تقرير المصروفات حسب الشهر'!$C$637:$AD$746,14,FALSE),0)</f>
        <v>0</v>
      </c>
      <c r="J92" s="362">
        <f>IFERROR(VLOOKUP(C92,'تقرير المصروفات حسب الشهر'!$C$763:$AD$872,14,FALSE),0)</f>
        <v>0</v>
      </c>
      <c r="K92" s="362">
        <f>IFERROR(VLOOKUP(C92,'تقرير المصروفات حسب الشهر'!$C$890:$AD$999,14,FALSE),0)</f>
        <v>6000</v>
      </c>
      <c r="L92" s="362">
        <f>IFERROR(VLOOKUP(C92,'تقرير المصروفات حسب الشهر'!$C$1016:$AD$1126,14,FALSE),0)</f>
        <v>0</v>
      </c>
      <c r="M92" s="376">
        <f>IFERROR(VLOOKUP(C92,'تقرير المصروفات حسب الشهر'!$C$1143:$AD$1254,14,FALSE),0)</f>
        <v>500</v>
      </c>
      <c r="N92" s="376">
        <f>IFERROR(VLOOKUP(C92,'تقرير المصروفات حسب الشهر'!$C$1270:$AD$1381,14,FALSE),0)</f>
        <v>0</v>
      </c>
      <c r="O92" s="376">
        <f>IFERROR(VLOOKUP(C92,'تقرير المصروفات حسب الشهر'!$C$1397:$AI$1512,14,FALSE),0)</f>
        <v>0</v>
      </c>
      <c r="P92" s="364">
        <f t="shared" si="6"/>
        <v>10750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الشهر'!$C$10:$AD$119,14,FALSE),0)</f>
        <v>0</v>
      </c>
      <c r="E93" s="362">
        <f>IFERROR(VLOOKUP(C93,'تقرير المصروفات حسب الشهر'!$C$135:$AD$244,14,FALSE),0)</f>
        <v>0</v>
      </c>
      <c r="F93" s="362">
        <v>0</v>
      </c>
      <c r="G93" s="362">
        <f>IFERROR(VLOOKUP(C93,'تقرير المصروفات حسب الشهر'!$C$387:$AD$495,14,FALSE),0)</f>
        <v>0</v>
      </c>
      <c r="H93" s="362">
        <f>IFERROR(VLOOKUP(C93,'تقرير المصروفات حسب الشهر'!$C$512:$AD$620,14,FALSE),0)</f>
        <v>0</v>
      </c>
      <c r="I93" s="362">
        <f>IFERROR(VLOOKUP(C93,'تقرير المصروفات حسب الشهر'!$C$637:$AD$746,14,FALSE),0)</f>
        <v>0</v>
      </c>
      <c r="J93" s="362">
        <f>IFERROR(VLOOKUP(C93,'تقرير المصروفات حسب الشهر'!$C$763:$AD$872,14,FALSE),0)</f>
        <v>668</v>
      </c>
      <c r="K93" s="362">
        <f>IFERROR(VLOOKUP(C93,'تقرير المصروفات حسب الشهر'!$C$890:$AD$999,14,FALSE),0)</f>
        <v>0</v>
      </c>
      <c r="L93" s="362">
        <f>IFERROR(VLOOKUP(C93,'تقرير المصروفات حسب الشهر'!$C$1016:$AD$1126,14,FALSE),0)</f>
        <v>0</v>
      </c>
      <c r="M93" s="376">
        <f>IFERROR(VLOOKUP(C93,'تقرير المصروفات حسب الشهر'!$C$1143:$AD$1254,14,FALSE),0)</f>
        <v>0</v>
      </c>
      <c r="N93" s="376">
        <f>IFERROR(VLOOKUP(C93,'تقرير المصروفات حسب الشهر'!$C$1270:$AD$1381,14,FALSE),0)</f>
        <v>0</v>
      </c>
      <c r="O93" s="376">
        <f>IFERROR(VLOOKUP(C93,'تقرير المصروفات حسب الشهر'!$C$1397:$AI$1512,14,FALSE),0)</f>
        <v>0</v>
      </c>
      <c r="P93" s="364">
        <f t="shared" si="6"/>
        <v>668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الشهر'!$C$10:$AD$119,14,FALSE),0)</f>
        <v>423</v>
      </c>
      <c r="E94" s="362">
        <f>IFERROR(VLOOKUP(C94,'تقرير المصروفات حسب الشهر'!$C$135:$AD$244,14,FALSE),0)</f>
        <v>423</v>
      </c>
      <c r="F94" s="362">
        <v>423</v>
      </c>
      <c r="G94" s="362">
        <f>IFERROR(VLOOKUP(C94,'تقرير المصروفات حسب الشهر'!$C$387:$AD$495,14,FALSE),0)</f>
        <v>1236</v>
      </c>
      <c r="H94" s="362">
        <f>IFERROR(VLOOKUP(C94,'تقرير المصروفات حسب الشهر'!$C$512:$AD$620,14,FALSE),0)</f>
        <v>0</v>
      </c>
      <c r="I94" s="511">
        <f>IFERROR(VLOOKUP(C94,'تقرير المصروفات حسب الشهر'!$C$637:$AD$746,14,FALSE),0)</f>
        <v>550</v>
      </c>
      <c r="J94" s="362">
        <f>IFERROR(VLOOKUP(C94,'تقرير المصروفات حسب الشهر'!$C$763:$AD$872,14,FALSE),0)</f>
        <v>423</v>
      </c>
      <c r="K94" s="362">
        <f>IFERROR(VLOOKUP(C94,'تقرير المصروفات حسب الشهر'!$C$890:$AD$999,14,FALSE),0)</f>
        <v>423</v>
      </c>
      <c r="L94" s="362">
        <f>IFERROR(VLOOKUP(C94,'تقرير المصروفات حسب الشهر'!$C$1016:$AD$1126,14,FALSE),0)</f>
        <v>423</v>
      </c>
      <c r="M94" s="376">
        <f>IFERROR(VLOOKUP(C94,'تقرير المصروفات حسب الشهر'!$C$1143:$AD$1254,14,FALSE),0)</f>
        <v>423</v>
      </c>
      <c r="N94" s="376">
        <f>IFERROR(VLOOKUP(C94,'تقرير المصروفات حسب الشهر'!$C$1270:$AD$1381,14,FALSE),0)</f>
        <v>423</v>
      </c>
      <c r="O94" s="376">
        <f>IFERROR(VLOOKUP(C94,'تقرير المصروفات حسب الشهر'!$C$1397:$AI$1512,14,FALSE),0)</f>
        <v>433</v>
      </c>
      <c r="P94" s="364">
        <f t="shared" si="6"/>
        <v>5603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الشهر'!$C$10:$AD$119,14,FALSE),0)</f>
        <v>0</v>
      </c>
      <c r="E95" s="362">
        <f>IFERROR(VLOOKUP(C95,'تقرير المصروفات حسب الشهر'!$C$135:$AD$244,14,FALSE),0)</f>
        <v>0</v>
      </c>
      <c r="F95" s="362">
        <v>0</v>
      </c>
      <c r="G95" s="362">
        <f>IFERROR(VLOOKUP(C95,'تقرير المصروفات حسب الشهر'!$C$387:$AD$495,14,FALSE),0)</f>
        <v>0</v>
      </c>
      <c r="H95" s="362">
        <f>IFERROR(VLOOKUP(C95,'تقرير المصروفات حسب الشهر'!$C$512:$AD$620,14,FALSE),0)</f>
        <v>0</v>
      </c>
      <c r="I95" s="362">
        <f>IFERROR(VLOOKUP(C95,'تقرير المصروفات حسب الشهر'!$C$637:$AD$746,14,FALSE),0)</f>
        <v>0</v>
      </c>
      <c r="J95" s="362">
        <f>IFERROR(VLOOKUP(C95,'تقرير المصروفات حسب الشهر'!$C$763:$AD$872,14,FALSE),0)</f>
        <v>0</v>
      </c>
      <c r="K95" s="362">
        <f>IFERROR(VLOOKUP(C95,'تقرير المصروفات حسب الشهر'!$C$890:$AD$999,14,FALSE),0)</f>
        <v>0</v>
      </c>
      <c r="L95" s="362">
        <f>IFERROR(VLOOKUP(C95,'تقرير المصروفات حسب الشهر'!$C$1016:$AD$1126,14,FALSE),0)</f>
        <v>2130</v>
      </c>
      <c r="M95" s="376">
        <f>IFERROR(VLOOKUP(C95,'تقرير المصروفات حسب الشهر'!$C$1143:$AD$1254,14,FALSE),0)</f>
        <v>1065</v>
      </c>
      <c r="N95" s="376">
        <f>IFERROR(VLOOKUP(C95,'تقرير المصروفات حسب الشهر'!$C$1270:$AD$1381,14,FALSE),0)</f>
        <v>1065</v>
      </c>
      <c r="O95" s="376">
        <f>IFERROR(VLOOKUP(C95,'تقرير المصروفات حسب الشهر'!$C$1397:$AI$1512,14,FALSE),0)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الشهر'!$C$10:$AD$119,14,FALSE),0)</f>
        <v>0</v>
      </c>
      <c r="E96" s="362">
        <f>IFERROR(VLOOKUP(C96,'تقرير المصروفات حسب الشهر'!$C$135:$AD$244,14,FALSE),0)</f>
        <v>0</v>
      </c>
      <c r="F96" s="362">
        <v>0</v>
      </c>
      <c r="G96" s="362">
        <f>IFERROR(VLOOKUP(C96,'تقرير المصروفات حسب الشهر'!$C$387:$AD$495,14,FALSE),0)</f>
        <v>0</v>
      </c>
      <c r="H96" s="362">
        <f>IFERROR(VLOOKUP(C96,'تقرير المصروفات حسب الشهر'!$C$512:$AD$620,14,FALSE),0)</f>
        <v>0</v>
      </c>
      <c r="I96" s="362">
        <f>IFERROR(VLOOKUP(C96,'تقرير المصروفات حسب الشهر'!$C$637:$AD$746,14,FALSE),0)</f>
        <v>0</v>
      </c>
      <c r="J96" s="362">
        <f>IFERROR(VLOOKUP(C96,'تقرير المصروفات حسب الشهر'!$C$763:$AD$872,14,FALSE),0)</f>
        <v>0</v>
      </c>
      <c r="K96" s="362">
        <f>IFERROR(VLOOKUP(C96,'تقرير المصروفات حسب الشهر'!$C$890:$AD$999,14,FALSE),0)</f>
        <v>0</v>
      </c>
      <c r="L96" s="362">
        <f>IFERROR(VLOOKUP(C96,'تقرير المصروفات حسب الشهر'!$C$1016:$AD$1126,14,FALSE),0)</f>
        <v>0</v>
      </c>
      <c r="M96" s="376">
        <f>IFERROR(VLOOKUP(C96,'تقرير المصروفات حسب الشهر'!$C$1143:$AD$1254,14,FALSE),0)</f>
        <v>0</v>
      </c>
      <c r="N96" s="376">
        <f>IFERROR(VLOOKUP(C96,'تقرير المصروفات حسب الشهر'!$C$1270:$AD$1381,14,FALSE),0)</f>
        <v>0</v>
      </c>
      <c r="O96" s="376">
        <f>IFERROR(VLOOKUP(C96,'تقرير المصروفات حسب الشهر'!$C$1397:$AI$1512,14,FALSE),0)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الشهر'!$C$10:$AD$119,14,FALSE),0)</f>
        <v>0</v>
      </c>
      <c r="E97" s="362">
        <f>IFERROR(VLOOKUP(C97,'تقرير المصروفات حسب الشهر'!$C$135:$AD$244,14,FALSE),0)</f>
        <v>0</v>
      </c>
      <c r="F97" s="362">
        <v>0</v>
      </c>
      <c r="G97" s="362">
        <f>IFERROR(VLOOKUP(C97,'تقرير المصروفات حسب الشهر'!$C$387:$AD$495,14,FALSE),0)</f>
        <v>0</v>
      </c>
      <c r="H97" s="362">
        <f>IFERROR(VLOOKUP(C97,'تقرير المصروفات حسب الشهر'!$C$512:$AD$620,14,FALSE),0)</f>
        <v>0</v>
      </c>
      <c r="I97" s="362">
        <f>IFERROR(VLOOKUP(C97,'تقرير المصروفات حسب الشهر'!$C$637:$AD$746,14,FALSE),0)</f>
        <v>0</v>
      </c>
      <c r="J97" s="362">
        <f>IFERROR(VLOOKUP(C97,'تقرير المصروفات حسب الشهر'!$C$763:$AD$872,14,FALSE),0)</f>
        <v>0</v>
      </c>
      <c r="K97" s="362">
        <f>IFERROR(VLOOKUP(C97,'تقرير المصروفات حسب الشهر'!$C$890:$AD$999,14,FALSE),0)</f>
        <v>0</v>
      </c>
      <c r="L97" s="362">
        <f>IFERROR(VLOOKUP(C97,'تقرير المصروفات حسب الشهر'!$C$1016:$AD$1126,14,FALSE),0)</f>
        <v>0</v>
      </c>
      <c r="M97" s="376">
        <f>IFERROR(VLOOKUP(C97,'تقرير المصروفات حسب الشهر'!$C$1143:$AD$1254,14,FALSE),0)</f>
        <v>0</v>
      </c>
      <c r="N97" s="376">
        <f>IFERROR(VLOOKUP(C97,'تقرير المصروفات حسب الشهر'!$C$1270:$AD$1381,14,FALSE),0)</f>
        <v>0</v>
      </c>
      <c r="O97" s="376">
        <f>IFERROR(VLOOKUP(C97,'تقرير المصروفات حسب الشهر'!$C$1397:$AI$1512,14,FALSE),0)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الشهر'!$C$10:$AD$119,14,FALSE),0)</f>
        <v>8.8699999999999992</v>
      </c>
      <c r="E98" s="362">
        <f>IFERROR(VLOOKUP(C98,'تقرير المصروفات حسب الشهر'!$C$135:$AD$244,14,FALSE),0)</f>
        <v>8.8699999999999992</v>
      </c>
      <c r="F98" s="362">
        <v>8.8699999999999992</v>
      </c>
      <c r="G98" s="362">
        <f>IFERROR(VLOOKUP(C98,'تقرير المصروفات حسب الشهر'!$C$387:$AD$495,14,FALSE),0)</f>
        <v>0</v>
      </c>
      <c r="H98" s="362">
        <f>IFERROR(VLOOKUP(C98,'تقرير المصروفات حسب الشهر'!$C$512:$AD$620,14,FALSE),0)</f>
        <v>0</v>
      </c>
      <c r="I98" s="362">
        <f>IFERROR(VLOOKUP(C98,'تقرير المصروفات حسب الشهر'!$C$637:$AD$746,14,FALSE),0)</f>
        <v>0</v>
      </c>
      <c r="J98" s="362">
        <f>IFERROR(VLOOKUP(C98,'تقرير المصروفات حسب الشهر'!$C$763:$AD$872,14,FALSE),0)</f>
        <v>0</v>
      </c>
      <c r="K98" s="362">
        <f>IFERROR(VLOOKUP(C98,'تقرير المصروفات حسب الشهر'!$C$890:$AD$999,14,FALSE),0)</f>
        <v>0</v>
      </c>
      <c r="L98" s="362">
        <f>IFERROR(VLOOKUP(C98,'تقرير المصروفات حسب الشهر'!$C$1016:$AD$1126,14,FALSE),0)</f>
        <v>0</v>
      </c>
      <c r="M98" s="376">
        <f>IFERROR(VLOOKUP(C98,'تقرير المصروفات حسب الشهر'!$C$1143:$AD$1254,14,FALSE),0)</f>
        <v>0</v>
      </c>
      <c r="N98" s="376">
        <f>IFERROR(VLOOKUP(C98,'تقرير المصروفات حسب الشهر'!$C$1270:$AD$1381,14,FALSE),0)</f>
        <v>0</v>
      </c>
      <c r="O98" s="376">
        <f>IFERROR(VLOOKUP(C98,'تقرير المصروفات حسب الشهر'!$C$1397:$AI$1512,14,FALSE),0)</f>
        <v>0</v>
      </c>
      <c r="P98" s="364">
        <f t="shared" si="6"/>
        <v>26.61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الشهر'!$C$10:$AD$119,14,FALSE),0)</f>
        <v>0</v>
      </c>
      <c r="E99" s="362">
        <f>IFERROR(VLOOKUP(C99,'تقرير المصروفات حسب الشهر'!$C$135:$AD$244,14,FALSE),0)</f>
        <v>0</v>
      </c>
      <c r="F99" s="362">
        <v>0</v>
      </c>
      <c r="G99" s="362">
        <f>IFERROR(VLOOKUP(C99,'تقرير المصروفات حسب الشهر'!$C$387:$AD$495,14,FALSE),0)</f>
        <v>0</v>
      </c>
      <c r="H99" s="362">
        <f>IFERROR(VLOOKUP(C99,'تقرير المصروفات حسب الشهر'!$C$512:$AD$620,14,FALSE),0)</f>
        <v>0</v>
      </c>
      <c r="I99" s="362">
        <f>IFERROR(VLOOKUP(C99,'تقرير المصروفات حسب الشهر'!$C$637:$AD$746,14,FALSE),0)</f>
        <v>0</v>
      </c>
      <c r="J99" s="362">
        <f>IFERROR(VLOOKUP(C99,'تقرير المصروفات حسب الشهر'!$C$763:$AD$872,14,FALSE),0)</f>
        <v>0</v>
      </c>
      <c r="K99" s="362">
        <f>IFERROR(VLOOKUP(C99,'تقرير المصروفات حسب الشهر'!$C$890:$AD$999,14,FALSE),0)</f>
        <v>0</v>
      </c>
      <c r="L99" s="362">
        <f>IFERROR(VLOOKUP(C99,'تقرير المصروفات حسب الشهر'!$C$1016:$AD$1126,14,FALSE),0)</f>
        <v>0</v>
      </c>
      <c r="M99" s="376">
        <f>IFERROR(VLOOKUP(C99,'تقرير المصروفات حسب الشهر'!$C$1143:$AD$1254,14,FALSE),0)</f>
        <v>0</v>
      </c>
      <c r="N99" s="376">
        <f>IFERROR(VLOOKUP(C99,'تقرير المصروفات حسب الشهر'!$C$1270:$AD$1381,14,FALSE),0)</f>
        <v>0</v>
      </c>
      <c r="O99" s="376">
        <f>IFERROR(VLOOKUP(C99,'تقرير المصروفات حسب الشهر'!$C$1397:$AI$1512,14,FALSE),0)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الشهر'!$C$10:$AD$119,14,FALSE),0)</f>
        <v>1561.07</v>
      </c>
      <c r="E100" s="362">
        <f>IFERROR(VLOOKUP(C100,'تقرير المصروفات حسب الشهر'!$C$135:$AD$244,14,FALSE),0)</f>
        <v>1633.4</v>
      </c>
      <c r="F100" s="362">
        <v>1633.4</v>
      </c>
      <c r="G100" s="362">
        <f>IFERROR(VLOOKUP(C100,'تقرير المصروفات حسب الشهر'!$C$387:$AD$495,14,FALSE),0)</f>
        <v>1633.4</v>
      </c>
      <c r="H100" s="362">
        <f>IFERROR(VLOOKUP(C100,'تقرير المصروفات حسب الشهر'!$C$512:$AD$620,14,FALSE),0)</f>
        <v>1633.4</v>
      </c>
      <c r="I100" s="511">
        <f>IFERROR(VLOOKUP(C100,'تقرير المصروفات حسب الشهر'!$C$637:$AD$746,14,FALSE),0)</f>
        <v>1633.4</v>
      </c>
      <c r="J100" s="362">
        <f>IFERROR(VLOOKUP(C100,'تقرير المصروفات حسب الشهر'!$C$763:$AD$872,14,FALSE),0)</f>
        <v>1633.4</v>
      </c>
      <c r="K100" s="362">
        <f>IFERROR(VLOOKUP(C100,'تقرير المصروفات حسب الشهر'!$C$890:$AD$999,14,FALSE),0)</f>
        <v>1633.4</v>
      </c>
      <c r="L100" s="362">
        <f>IFERROR(VLOOKUP(C100,'تقرير المصروفات حسب الشهر'!$C$1016:$AD$1126,14,FALSE),0)</f>
        <v>1806.84</v>
      </c>
      <c r="M100" s="376">
        <f>IFERROR(VLOOKUP(C100,'تقرير المصروفات حسب الشهر'!$C$1143:$AD$1254,14,FALSE),0)</f>
        <v>1833.5</v>
      </c>
      <c r="N100" s="376">
        <f>IFERROR(VLOOKUP(C100,'تقرير المصروفات حسب الشهر'!$C$1270:$AD$1381,14,FALSE),0)</f>
        <v>1833.42</v>
      </c>
      <c r="O100" s="376">
        <f>IFERROR(VLOOKUP(C100,'تقرير المصروفات حسب الشهر'!$C$1397:$AI$1512,14,FALSE),0)</f>
        <v>272.49</v>
      </c>
      <c r="P100" s="364">
        <f t="shared" si="6"/>
        <v>18741.12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الشهر'!$C$10:$AD$119,14,FALSE),0)</f>
        <v>53.44</v>
      </c>
      <c r="E101" s="362">
        <f>IFERROR(VLOOKUP(C101,'تقرير المصروفات حسب الشهر'!$C$135:$AD$244,14,FALSE),0)</f>
        <v>77.64</v>
      </c>
      <c r="F101" s="362">
        <v>98.65</v>
      </c>
      <c r="G101" s="362">
        <f>IFERROR(VLOOKUP(C101,'تقرير المصروفات حسب الشهر'!$C$387:$AD$495,14,FALSE),0)</f>
        <v>98.65</v>
      </c>
      <c r="H101" s="362">
        <f>IFERROR(VLOOKUP(C101,'تقرير المصروفات حسب الشهر'!$C$512:$AD$620,14,FALSE),0)</f>
        <v>98.65</v>
      </c>
      <c r="I101" s="511">
        <f>IFERROR(VLOOKUP(C101,'تقرير المصروفات حسب الشهر'!$C$637:$AD$746,14,FALSE),0)</f>
        <v>98.65</v>
      </c>
      <c r="J101" s="362">
        <f>IFERROR(VLOOKUP(C101,'تقرير المصروفات حسب الشهر'!$C$763:$AD$872,14,FALSE),0)</f>
        <v>98.65</v>
      </c>
      <c r="K101" s="362">
        <f>IFERROR(VLOOKUP(C101,'تقرير المصروفات حسب الشهر'!$C$890:$AD$999,14,FALSE),0)</f>
        <v>83.38</v>
      </c>
      <c r="L101" s="362">
        <f>IFERROR(VLOOKUP(C101,'تقرير المصروفات حسب الشهر'!$C$1016:$AD$1126,14,FALSE),0)</f>
        <v>45.21</v>
      </c>
      <c r="M101" s="376">
        <f>IFERROR(VLOOKUP(C101,'تقرير المصروفات حسب الشهر'!$C$1143:$AD$1254,14,FALSE),0)</f>
        <v>45.21</v>
      </c>
      <c r="N101" s="376">
        <f>IFERROR(VLOOKUP(C101,'تقرير المصروفات حسب الشهر'!$C$1270:$AD$1381,14,FALSE),0)</f>
        <v>45.21</v>
      </c>
      <c r="O101" s="376">
        <f>IFERROR(VLOOKUP(C101,'تقرير المصروفات حسب الشهر'!$C$1397:$AI$1512,14,FALSE),0)</f>
        <v>45.21</v>
      </c>
      <c r="P101" s="364">
        <f t="shared" si="6"/>
        <v>888.55000000000007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الشهر'!$C$10:$AD$119,14,FALSE),0)</f>
        <v>267.3</v>
      </c>
      <c r="E102" s="362">
        <f>IFERROR(VLOOKUP(C102,'تقرير المصروفات حسب الشهر'!$C$135:$AD$244,14,FALSE),0)</f>
        <v>267.3</v>
      </c>
      <c r="F102" s="362">
        <v>267.3</v>
      </c>
      <c r="G102" s="362">
        <f>IFERROR(VLOOKUP(C102,'تقرير المصروفات حسب الشهر'!$C$387:$AD$495,14,FALSE),0)</f>
        <v>267.3</v>
      </c>
      <c r="H102" s="362">
        <f>IFERROR(VLOOKUP(C102,'تقرير المصروفات حسب الشهر'!$C$512:$AD$620,14,FALSE),0)</f>
        <v>267.3</v>
      </c>
      <c r="I102" s="511">
        <f>IFERROR(VLOOKUP(C102,'تقرير المصروفات حسب الشهر'!$C$637:$AD$746,14,FALSE),0)</f>
        <v>267.3</v>
      </c>
      <c r="J102" s="362">
        <f>IFERROR(VLOOKUP(C102,'تقرير المصروفات حسب الشهر'!$C$763:$AD$872,14,FALSE),0)</f>
        <v>825.03</v>
      </c>
      <c r="K102" s="362">
        <f>IFERROR(VLOOKUP(C102,'تقرير المصروفات حسب الشهر'!$C$890:$AD$999,14,FALSE),0)</f>
        <v>884.8</v>
      </c>
      <c r="L102" s="362">
        <f>IFERROR(VLOOKUP(C102,'تقرير المصروفات حسب الشهر'!$C$1016:$AD$1126,14,FALSE),0)</f>
        <v>884.8</v>
      </c>
      <c r="M102" s="376">
        <f>IFERROR(VLOOKUP(C102,'تقرير المصروفات حسب الشهر'!$C$1143:$AD$1254,14,FALSE),0)</f>
        <v>884.8</v>
      </c>
      <c r="N102" s="376">
        <f>IFERROR(VLOOKUP(C102,'تقرير المصروفات حسب الشهر'!$C$1270:$AD$1381,14,FALSE),0)</f>
        <v>884.7</v>
      </c>
      <c r="O102" s="376">
        <f>IFERROR(VLOOKUP(C102,'تقرير المصروفات حسب الشهر'!$C$1397:$AI$1512,14,FALSE),0)</f>
        <v>715.16</v>
      </c>
      <c r="P102" s="364">
        <f t="shared" si="6"/>
        <v>6683.09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الشهر'!$C$10:$AD$119,14,FALSE),0)</f>
        <v>75.81</v>
      </c>
      <c r="E103" s="362">
        <f>IFERROR(VLOOKUP(C103,'تقرير المصروفات حسب الشهر'!$C$135:$AD$244,14,FALSE),0)</f>
        <v>75.81</v>
      </c>
      <c r="F103" s="362">
        <v>75.81</v>
      </c>
      <c r="G103" s="362">
        <f>IFERROR(VLOOKUP(C103,'تقرير المصروفات حسب الشهر'!$C$387:$AD$495,14,FALSE),0)</f>
        <v>75.81</v>
      </c>
      <c r="H103" s="362">
        <f>IFERROR(VLOOKUP(C103,'تقرير المصروفات حسب الشهر'!$C$512:$AD$620,14,FALSE),0)</f>
        <v>75.81</v>
      </c>
      <c r="I103" s="511">
        <f>IFERROR(VLOOKUP(C103,'تقرير المصروفات حسب الشهر'!$C$637:$AD$746,14,FALSE),0)</f>
        <v>56.25</v>
      </c>
      <c r="J103" s="362">
        <f>IFERROR(VLOOKUP(C103,'تقرير المصروفات حسب الشهر'!$C$763:$AD$872,14,FALSE),0)</f>
        <v>56.25</v>
      </c>
      <c r="K103" s="362">
        <f>IFERROR(VLOOKUP(C103,'تقرير المصروفات حسب الشهر'!$C$890:$AD$999,14,FALSE),0)</f>
        <v>56.25</v>
      </c>
      <c r="L103" s="362">
        <f>IFERROR(VLOOKUP(C103,'تقرير المصروفات حسب الشهر'!$C$1016:$AD$1126,14,FALSE),0)</f>
        <v>56.25</v>
      </c>
      <c r="M103" s="376">
        <f>IFERROR(VLOOKUP(C103,'تقرير المصروفات حسب الشهر'!$C$1143:$AD$1254,14,FALSE),0)</f>
        <v>56.25</v>
      </c>
      <c r="N103" s="376">
        <f>IFERROR(VLOOKUP(C103,'تقرير المصروفات حسب الشهر'!$C$1270:$AD$1381,14,FALSE),0)</f>
        <v>56.25</v>
      </c>
      <c r="O103" s="376">
        <f>IFERROR(VLOOKUP(C103,'تقرير المصروفات حسب الشهر'!$C$1397:$AI$1512,14,FALSE),0)</f>
        <v>0</v>
      </c>
      <c r="P103" s="364">
        <f t="shared" si="6"/>
        <v>716.55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الشهر'!$C$10:$AD$119,14,FALSE),0)</f>
        <v>0</v>
      </c>
      <c r="E104" s="362">
        <f>IFERROR(VLOOKUP(C104,'تقرير المصروفات حسب الشهر'!$C$135:$AD$244,14,FALSE),0)</f>
        <v>0</v>
      </c>
      <c r="F104" s="362">
        <v>0</v>
      </c>
      <c r="G104" s="362">
        <f>IFERROR(VLOOKUP(C104,'تقرير المصروفات حسب الشهر'!$C$387:$AD$495,14,FALSE),0)</f>
        <v>0</v>
      </c>
      <c r="H104" s="362">
        <f>IFERROR(VLOOKUP(C104,'تقرير المصروفات حسب الشهر'!$C$512:$AD$620,14,FALSE),0)</f>
        <v>0</v>
      </c>
      <c r="I104" s="362">
        <f>IFERROR(VLOOKUP(C104,'تقرير المصروفات حسب الشهر'!$C$637:$AD$746,14,FALSE),0)</f>
        <v>0</v>
      </c>
      <c r="J104" s="362">
        <f>IFERROR(VLOOKUP(C104,'تقرير المصروفات حسب الشهر'!$C$763:$AD$872,14,FALSE),0)</f>
        <v>0</v>
      </c>
      <c r="K104" s="362">
        <f>IFERROR(VLOOKUP(C104,'تقرير المصروفات حسب الشهر'!$C$890:$AD$999,14,FALSE),0)</f>
        <v>0</v>
      </c>
      <c r="L104" s="362">
        <f>IFERROR(VLOOKUP(C104,'تقرير المصروفات حسب الشهر'!$C$1016:$AD$1126,14,FALSE),0)</f>
        <v>0</v>
      </c>
      <c r="M104" s="376">
        <f>IFERROR(VLOOKUP(C104,'تقرير المصروفات حسب الشهر'!$C$1143:$AD$1254,14,FALSE),0)</f>
        <v>0</v>
      </c>
      <c r="N104" s="376">
        <f>IFERROR(VLOOKUP(C104,'تقرير المصروفات حسب الشهر'!$C$1270:$AD$1381,14,FALSE),0)</f>
        <v>0</v>
      </c>
      <c r="O104" s="376">
        <f>IFERROR(VLOOKUP(C104,'تقرير المصروفات حسب الشهر'!$C$1397:$AI$1512,14,FALSE),0)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الشهر'!$C$10:$AD$119,14,FALSE),0)</f>
        <v>0</v>
      </c>
      <c r="E105" s="362">
        <f>IFERROR(VLOOKUP(C105,'تقرير المصروفات حسب الشهر'!$C$135:$AD$244,14,FALSE),0)</f>
        <v>0</v>
      </c>
      <c r="F105" s="362">
        <v>0</v>
      </c>
      <c r="G105" s="362">
        <f>IFERROR(VLOOKUP(C105,'تقرير المصروفات حسب الشهر'!$C$387:$AD$495,14,FALSE),0)</f>
        <v>0</v>
      </c>
      <c r="H105" s="362">
        <f>IFERROR(VLOOKUP(C105,'تقرير المصروفات حسب الشهر'!$C$512:$AD$620,14,FALSE),0)</f>
        <v>0</v>
      </c>
      <c r="I105" s="362">
        <f>IFERROR(VLOOKUP(C105,'تقرير المصروفات حسب الشهر'!$C$637:$AD$746,14,FALSE),0)</f>
        <v>0</v>
      </c>
      <c r="J105" s="362">
        <f>IFERROR(VLOOKUP(C105,'تقرير المصروفات حسب الشهر'!$C$763:$AD$872,14,FALSE),0)</f>
        <v>0</v>
      </c>
      <c r="K105" s="362">
        <f>IFERROR(VLOOKUP(C105,'تقرير المصروفات حسب الشهر'!$C$890:$AD$999,14,FALSE),0)</f>
        <v>0</v>
      </c>
      <c r="L105" s="362">
        <f>IFERROR(VLOOKUP(C105,'تقرير المصروفات حسب الشهر'!$C$1016:$AD$1126,14,FALSE),0)</f>
        <v>0</v>
      </c>
      <c r="M105" s="376">
        <f>IFERROR(VLOOKUP(C105,'تقرير المصروفات حسب الشهر'!$C$1143:$AD$1254,14,FALSE),0)</f>
        <v>0</v>
      </c>
      <c r="N105" s="376">
        <f>IFERROR(VLOOKUP(C105,'تقرير المصروفات حسب الشهر'!$C$1270:$AD$1381,14,FALSE),0)</f>
        <v>0</v>
      </c>
      <c r="O105" s="376">
        <f>IFERROR(VLOOKUP(C105,'تقرير المصروفات حسب الشهر'!$C$1397:$AI$1512,14,FALSE),0)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الشهر'!$C$10:$AD$119,14,FALSE),0)</f>
        <v>308</v>
      </c>
      <c r="E106" s="362">
        <f>IFERROR(VLOOKUP(C106,'تقرير المصروفات حسب الشهر'!$C$135:$AD$244,14,FALSE),0)</f>
        <v>401.69</v>
      </c>
      <c r="F106" s="362">
        <v>471</v>
      </c>
      <c r="G106" s="362">
        <f>IFERROR(VLOOKUP(C106,'تقرير المصروفات حسب الشهر'!$C$387:$AD$495,14,FALSE),0)</f>
        <v>345.6</v>
      </c>
      <c r="H106" s="362">
        <f>IFERROR(VLOOKUP(C106,'تقرير المصروفات حسب الشهر'!$C$512:$AD$620,14,FALSE),0)</f>
        <v>934</v>
      </c>
      <c r="I106" s="511">
        <f>IFERROR(VLOOKUP(C106,'تقرير المصروفات حسب الشهر'!$C$637:$AD$746,14,FALSE),0)</f>
        <v>262</v>
      </c>
      <c r="J106" s="362">
        <f>IFERROR(VLOOKUP(C106,'تقرير المصروفات حسب الشهر'!$C$763:$AD$872,14,FALSE),0)</f>
        <v>1480.43</v>
      </c>
      <c r="K106" s="362">
        <f>IFERROR(VLOOKUP(C106,'تقرير المصروفات حسب الشهر'!$C$890:$AD$999,14,FALSE),0)</f>
        <v>174</v>
      </c>
      <c r="L106" s="362">
        <f>IFERROR(VLOOKUP(C106,'تقرير المصروفات حسب الشهر'!$C$1016:$AD$1126,14,FALSE),0)</f>
        <v>112</v>
      </c>
      <c r="M106" s="376">
        <f>IFERROR(VLOOKUP(C106,'تقرير المصروفات حسب الشهر'!$C$1143:$AD$1254,14,FALSE),0)</f>
        <v>412.33</v>
      </c>
      <c r="N106" s="376">
        <f>IFERROR(VLOOKUP(C106,'تقرير المصروفات حسب الشهر'!$C$1270:$AD$1381,14,FALSE),0)</f>
        <v>796.1</v>
      </c>
      <c r="O106" s="376">
        <f>IFERROR(VLOOKUP(C106,'تقرير المصروفات حسب الشهر'!$C$1397:$AI$1512,14,FALSE),0)</f>
        <v>1739</v>
      </c>
      <c r="P106" s="364">
        <f t="shared" si="6"/>
        <v>7436.1500000000005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الشهر'!$C$10:$AD$119,14,FALSE),0)</f>
        <v>0</v>
      </c>
      <c r="E107" s="362">
        <f>IFERROR(VLOOKUP(C107,'تقرير المصروفات حسب الشهر'!$C$135:$AD$244,14,FALSE),0)</f>
        <v>0</v>
      </c>
      <c r="F107" s="362">
        <v>0</v>
      </c>
      <c r="G107" s="362">
        <f>IFERROR(VLOOKUP(C107,'تقرير المصروفات حسب الشهر'!$C$387:$AD$495,14,FALSE),0)</f>
        <v>0</v>
      </c>
      <c r="H107" s="362">
        <f>IFERROR(VLOOKUP(C107,'تقرير المصروفات حسب الشهر'!$C$512:$AD$620,14,FALSE),0)</f>
        <v>0</v>
      </c>
      <c r="I107" s="362">
        <f>IFERROR(VLOOKUP(C107,'تقرير المصروفات حسب الشهر'!$C$637:$AD$746,14,FALSE),0)</f>
        <v>0</v>
      </c>
      <c r="J107" s="362">
        <f>IFERROR(VLOOKUP(C107,'تقرير المصروفات حسب الشهر'!$C$763:$AD$872,14,FALSE),0)</f>
        <v>0</v>
      </c>
      <c r="K107" s="362">
        <f>IFERROR(VLOOKUP(C107,'تقرير المصروفات حسب الشهر'!$C$890:$AD$999,14,FALSE),0)</f>
        <v>0</v>
      </c>
      <c r="L107" s="362">
        <f>IFERROR(VLOOKUP(C107,'تقرير المصروفات حسب الشهر'!$C$1016:$AD$1126,14,FALSE),0)</f>
        <v>0</v>
      </c>
      <c r="M107" s="376">
        <f>IFERROR(VLOOKUP(C107,'تقرير المصروفات حسب الشهر'!$C$1143:$AD$1254,14,FALSE),0)</f>
        <v>0</v>
      </c>
      <c r="N107" s="376">
        <f>IFERROR(VLOOKUP(C107,'تقرير المصروفات حسب الشهر'!$C$1270:$AD$1381,14,FALSE),0)</f>
        <v>0</v>
      </c>
      <c r="O107" s="376">
        <f>IFERROR(VLOOKUP(C107,'تقرير المصروفات حسب الشهر'!$C$1397:$AI$1512,14,FALSE),0)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الشهر'!$C$10:$AD$119,14,FALSE),0)</f>
        <v>0</v>
      </c>
      <c r="E108" s="362">
        <f>IFERROR(VLOOKUP(C108,'تقرير المصروفات حسب الشهر'!$C$135:$AD$244,14,FALSE),0)</f>
        <v>0</v>
      </c>
      <c r="F108" s="362">
        <v>0</v>
      </c>
      <c r="G108" s="362">
        <f>IFERROR(VLOOKUP(C108,'تقرير المصروفات حسب الشهر'!$C$387:$AD$495,14,FALSE),0)</f>
        <v>0</v>
      </c>
      <c r="H108" s="362">
        <f>IFERROR(VLOOKUP(C108,'تقرير المصروفات حسب الشهر'!$C$512:$AD$620,14,FALSE),0)</f>
        <v>0</v>
      </c>
      <c r="I108" s="362">
        <f>IFERROR(VLOOKUP(C108,'تقرير المصروفات حسب الشهر'!$C$637:$AD$746,14,FALSE),0)</f>
        <v>0</v>
      </c>
      <c r="J108" s="362">
        <f>IFERROR(VLOOKUP(C108,'تقرير المصروفات حسب الشهر'!$C$763:$AD$872,14,FALSE),0)</f>
        <v>0</v>
      </c>
      <c r="K108" s="362">
        <f>IFERROR(VLOOKUP(C108,'تقرير المصروفات حسب الشهر'!$C$890:$AD$999,14,FALSE),0)</f>
        <v>0</v>
      </c>
      <c r="L108" s="362">
        <f>IFERROR(VLOOKUP(C108,'تقرير المصروفات حسب الشهر'!$C$1016:$AD$1126,14,FALSE),0)</f>
        <v>0</v>
      </c>
      <c r="M108" s="376">
        <f>IFERROR(VLOOKUP(C108,'تقرير المصروفات حسب الشهر'!$C$1143:$AD$1254,14,FALSE),0)</f>
        <v>0</v>
      </c>
      <c r="N108" s="376">
        <f>IFERROR(VLOOKUP(C108,'تقرير المصروفات حسب الشهر'!$C$1270:$AD$1381,14,FALSE),0)</f>
        <v>0</v>
      </c>
      <c r="O108" s="376">
        <f>IFERROR(VLOOKUP(C108,'تقرير المصروفات حسب الشهر'!$C$1397:$AI$1512,14,FALSE),0)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الشهر'!$C$10:$AD$119,14,FALSE),0)</f>
        <v>0</v>
      </c>
      <c r="E109" s="362">
        <f>IFERROR(VLOOKUP(C109,'تقرير المصروفات حسب الشهر'!$C$135:$AD$244,14,FALSE),0)</f>
        <v>0</v>
      </c>
      <c r="F109" s="362">
        <v>0</v>
      </c>
      <c r="G109" s="362">
        <f>IFERROR(VLOOKUP(C109,'تقرير المصروفات حسب الشهر'!$C$387:$AD$495,14,FALSE),0)</f>
        <v>0</v>
      </c>
      <c r="H109" s="362">
        <f>IFERROR(VLOOKUP(C109,'تقرير المصروفات حسب الشهر'!$C$512:$AD$620,14,FALSE),0)</f>
        <v>0</v>
      </c>
      <c r="I109" s="362">
        <f>IFERROR(VLOOKUP(C109,'تقرير المصروفات حسب الشهر'!$C$637:$AD$746,14,FALSE),0)</f>
        <v>0</v>
      </c>
      <c r="J109" s="362">
        <f>IFERROR(VLOOKUP(C109,'تقرير المصروفات حسب الشهر'!$C$763:$AD$872,14,FALSE),0)</f>
        <v>0</v>
      </c>
      <c r="K109" s="362">
        <f>IFERROR(VLOOKUP(C109,'تقرير المصروفات حسب الشهر'!$C$890:$AD$999,14,FALSE),0)</f>
        <v>0</v>
      </c>
      <c r="L109" s="362">
        <f>IFERROR(VLOOKUP(C109,'تقرير المصروفات حسب الشهر'!$C$1016:$AD$1126,14,FALSE),0)</f>
        <v>0</v>
      </c>
      <c r="M109" s="376">
        <f>IFERROR(VLOOKUP(C109,'تقرير المصروفات حسب الشهر'!$C$1143:$AD$1254,14,FALSE),0)</f>
        <v>0</v>
      </c>
      <c r="N109" s="376">
        <f>IFERROR(VLOOKUP(C109,'تقرير المصروفات حسب الشهر'!$C$1270:$AD$1381,14,FALSE),0)</f>
        <v>0</v>
      </c>
      <c r="O109" s="376">
        <f>IFERROR(VLOOKUP(C109,'تقرير المصروفات حسب الشهر'!$C$1397:$AI$1512,14,FALSE),0)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الشهر'!$C$10:$AD$119,14,FALSE),0)</f>
        <v>0</v>
      </c>
      <c r="E110" s="362">
        <f>IFERROR(VLOOKUP(C110,'تقرير المصروفات حسب الشهر'!$C$135:$AD$244,14,FALSE),0)</f>
        <v>0</v>
      </c>
      <c r="F110" s="362">
        <v>0</v>
      </c>
      <c r="G110" s="362">
        <f>IFERROR(VLOOKUP(C110,'تقرير المصروفات حسب الشهر'!$C$387:$AD$495,14,FALSE),0)</f>
        <v>0</v>
      </c>
      <c r="H110" s="362">
        <f>IFERROR(VLOOKUP(C110,'تقرير المصروفات حسب الشهر'!$C$512:$AD$620,14,FALSE),0)</f>
        <v>3202.78</v>
      </c>
      <c r="I110" s="511">
        <v>205.28</v>
      </c>
      <c r="J110" s="362">
        <f>IFERROR(VLOOKUP(C110,'تقرير المصروفات حسب الشهر'!$C$763:$AD$872,14,FALSE),0)</f>
        <v>0</v>
      </c>
      <c r="K110" s="362">
        <f>IFERROR(VLOOKUP(C110,'تقرير المصروفات حسب الشهر'!$C$890:$AD$999,14,FALSE),0)</f>
        <v>0</v>
      </c>
      <c r="L110" s="362">
        <f>IFERROR(VLOOKUP(C110,'تقرير المصروفات حسب الشهر'!$C$1016:$AD$1126,14,FALSE),0)</f>
        <v>19983.16</v>
      </c>
      <c r="M110" s="376">
        <f>IFERROR(VLOOKUP(C110,'تقرير المصروفات حسب الشهر'!$C$1143:$AD$1254,14,FALSE),0)</f>
        <v>0</v>
      </c>
      <c r="N110" s="376">
        <f>IFERROR(VLOOKUP(C110,'تقرير المصروفات حسب الشهر'!$C$1270:$AD$1381,14,FALSE),0)</f>
        <v>0</v>
      </c>
      <c r="O110" s="376">
        <f>IFERROR(VLOOKUP(C110,'تقرير المصروفات حسب الشهر'!$C$1397:$AI$1512,14,FALSE),0)</f>
        <v>0</v>
      </c>
      <c r="P110" s="364">
        <f t="shared" si="6"/>
        <v>23391.22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الشهر'!$C$10:$AD$119,14,FALSE),0)</f>
        <v>0</v>
      </c>
      <c r="E111" s="362">
        <f>IFERROR(VLOOKUP(C111,'تقرير المصروفات حسب الشهر'!$C$135:$AD$244,14,FALSE),0)</f>
        <v>0</v>
      </c>
      <c r="F111" s="362">
        <v>0</v>
      </c>
      <c r="G111" s="362">
        <f>IFERROR(VLOOKUP(C111,'تقرير المصروفات حسب الشهر'!$C$387:$AD$495,14,FALSE),0)</f>
        <v>0</v>
      </c>
      <c r="H111" s="362">
        <f>IFERROR(VLOOKUP(C111,'تقرير المصروفات حسب الشهر'!$C$512:$AD$620,14,FALSE),0)</f>
        <v>0</v>
      </c>
      <c r="I111" s="362">
        <f>IFERROR(VLOOKUP(C111,'تقرير المصروفات حسب الشهر'!$C$637:$AD$746,14,FALSE),0)</f>
        <v>0</v>
      </c>
      <c r="J111" s="362">
        <f>IFERROR(VLOOKUP(C111,'تقرير المصروفات حسب الشهر'!$C$763:$AD$872,14,FALSE),0)</f>
        <v>0</v>
      </c>
      <c r="K111" s="362">
        <f>IFERROR(VLOOKUP(C111,'تقرير المصروفات حسب الشهر'!$C$890:$AD$999,14,FALSE),0)</f>
        <v>0</v>
      </c>
      <c r="L111" s="362">
        <f>IFERROR(VLOOKUP(C111,'تقرير المصروفات حسب الشهر'!$C$1016:$AD$1126,14,FALSE),0)</f>
        <v>0</v>
      </c>
      <c r="M111" s="376">
        <f>IFERROR(VLOOKUP(C111,'تقرير المصروفات حسب الشهر'!$C$1143:$AD$1254,14,FALSE),0)</f>
        <v>0</v>
      </c>
      <c r="N111" s="376">
        <f>IFERROR(VLOOKUP(C111,'تقرير المصروفات حسب الشهر'!$C$1270:$AD$1381,14,FALSE),0)</f>
        <v>0</v>
      </c>
      <c r="O111" s="376">
        <f>IFERROR(VLOOKUP(C111,'تقرير المصروفات حسب الشهر'!$C$1397:$AI$1512,14,FALSE),0)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الشهر'!$C$10:$AD$119,14,FALSE),0)</f>
        <v>0</v>
      </c>
      <c r="E112" s="362">
        <f>IFERROR(VLOOKUP(C112,'تقرير المصروفات حسب الشهر'!$C$135:$AD$244,14,FALSE),0)</f>
        <v>0</v>
      </c>
      <c r="F112" s="362">
        <v>0</v>
      </c>
      <c r="G112" s="362">
        <f>IFERROR(VLOOKUP(C112,'تقرير المصروفات حسب الشهر'!$C$387:$AD$495,14,FALSE),0)</f>
        <v>0</v>
      </c>
      <c r="H112" s="362">
        <f>IFERROR(VLOOKUP(C112,'تقرير المصروفات حسب الشهر'!$C$512:$AD$620,14,FALSE),0)</f>
        <v>0</v>
      </c>
      <c r="I112" s="362">
        <f>IFERROR(VLOOKUP(C112,'تقرير المصروفات حسب الشهر'!$C$637:$AD$746,14,FALSE),0)</f>
        <v>0</v>
      </c>
      <c r="J112" s="362">
        <f>IFERROR(VLOOKUP(C112,'تقرير المصروفات حسب الشهر'!$C$763:$AD$872,14,FALSE),0)</f>
        <v>0</v>
      </c>
      <c r="K112" s="362">
        <f>IFERROR(VLOOKUP(C112,'تقرير المصروفات حسب الشهر'!$C$890:$AD$999,14,FALSE),0)</f>
        <v>0</v>
      </c>
      <c r="L112" s="362">
        <f>IFERROR(VLOOKUP(C112,'تقرير المصروفات حسب الشهر'!$C$1016:$AD$1126,14,FALSE),0)</f>
        <v>0</v>
      </c>
      <c r="M112" s="376">
        <f>IFERROR(VLOOKUP(C112,'تقرير المصروفات حسب الشهر'!$C$1143:$AD$1254,14,FALSE),0)</f>
        <v>0</v>
      </c>
      <c r="N112" s="376">
        <f>IFERROR(VLOOKUP(C112,'تقرير المصروفات حسب الشهر'!$C$1270:$AD$1381,14,FALSE),0)</f>
        <v>0</v>
      </c>
      <c r="O112" s="376">
        <f>IFERROR(VLOOKUP(C112,'تقرير المصروفات حسب الشهر'!$C$1397:$AI$1512,14,FALSE),0)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الشهر'!$C$10:$AD$119,14,FALSE),0)</f>
        <v>0</v>
      </c>
      <c r="E113" s="362">
        <f>IFERROR(VLOOKUP(C113,'تقرير المصروفات حسب الشهر'!$C$135:$AD$244,14,FALSE),0)</f>
        <v>0</v>
      </c>
      <c r="F113" s="362">
        <v>0</v>
      </c>
      <c r="G113" s="362">
        <f>IFERROR(VLOOKUP(C113,'تقرير المصروفات حسب الشهر'!$C$387:$AD$495,14,FALSE),0)</f>
        <v>0</v>
      </c>
      <c r="H113" s="362">
        <f>IFERROR(VLOOKUP(C113,'تقرير المصروفات حسب الشهر'!$C$512:$AD$620,14,FALSE),0)</f>
        <v>0</v>
      </c>
      <c r="I113" s="362">
        <f>IFERROR(VLOOKUP(C113,'تقرير المصروفات حسب الشهر'!$C$637:$AD$746,14,FALSE),0)</f>
        <v>0</v>
      </c>
      <c r="J113" s="362">
        <f>IFERROR(VLOOKUP(C113,'تقرير المصروفات حسب الشهر'!$C$763:$AD$872,14,FALSE),0)</f>
        <v>0</v>
      </c>
      <c r="K113" s="362">
        <f>IFERROR(VLOOKUP(C113,'تقرير المصروفات حسب الشهر'!$C$890:$AD$999,14,FALSE),0)</f>
        <v>0</v>
      </c>
      <c r="L113" s="362">
        <f>IFERROR(VLOOKUP(C113,'تقرير المصروفات حسب الشهر'!$C$1016:$AD$1126,14,FALSE),0)</f>
        <v>0</v>
      </c>
      <c r="M113" s="376">
        <f>IFERROR(VLOOKUP(C113,'تقرير المصروفات حسب الشهر'!$C$1143:$AD$1254,14,FALSE),0)</f>
        <v>0</v>
      </c>
      <c r="N113" s="376">
        <f>IFERROR(VLOOKUP(C113,'تقرير المصروفات حسب الشهر'!$C$1270:$AD$1381,14,FALSE),0)</f>
        <v>0</v>
      </c>
      <c r="O113" s="376">
        <f>IFERROR(VLOOKUP(C113,'تقرير المصروفات حسب الشهر'!$C$1397:$AI$1512,14,FALSE),0)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الشهر'!$C$10:$AD$119,14,FALSE),0)</f>
        <v>0</v>
      </c>
      <c r="E114" s="362">
        <f>IFERROR(VLOOKUP(C114,'تقرير المصروفات حسب الشهر'!$C$135:$AD$244,14,FALSE),0)</f>
        <v>0</v>
      </c>
      <c r="F114" s="362">
        <v>0</v>
      </c>
      <c r="G114" s="362">
        <f>IFERROR(VLOOKUP(C114,'تقرير المصروفات حسب الشهر'!$C$387:$AD$495,14,FALSE),0)</f>
        <v>0</v>
      </c>
      <c r="H114" s="362">
        <f>IFERROR(VLOOKUP(C114,'تقرير المصروفات حسب الشهر'!$C$512:$AD$620,14,FALSE),0)</f>
        <v>0</v>
      </c>
      <c r="I114" s="362">
        <f>IFERROR(VLOOKUP(C114,'تقرير المصروفات حسب الشهر'!$C$637:$AD$746,14,FALSE),0)</f>
        <v>0</v>
      </c>
      <c r="J114" s="362">
        <f>IFERROR(VLOOKUP(C114,'تقرير المصروفات حسب الشهر'!$C$763:$AD$872,14,FALSE),0)</f>
        <v>0</v>
      </c>
      <c r="K114" s="362">
        <f>IFERROR(VLOOKUP(C114,'تقرير المصروفات حسب الشهر'!$C$890:$AD$999,14,FALSE),0)</f>
        <v>0</v>
      </c>
      <c r="L114" s="362">
        <f>IFERROR(VLOOKUP(C114,'تقرير المصروفات حسب الشهر'!$C$1016:$AD$1126,14,FALSE),0)</f>
        <v>0</v>
      </c>
      <c r="M114" s="376">
        <f>IFERROR(VLOOKUP(C114,'تقرير المصروفات حسب الشهر'!$C$1143:$AD$1254,14,FALSE),0)</f>
        <v>4000</v>
      </c>
      <c r="N114" s="376">
        <f>IFERROR(VLOOKUP(C114,'تقرير المصروفات حسب الشهر'!$C$1270:$AD$1381,14,FALSE),0)</f>
        <v>500</v>
      </c>
      <c r="O114" s="376">
        <f>IFERROR(VLOOKUP(C114,'تقرير المصروفات حسب الشهر'!$C$1397:$AI$1512,14,FALSE),0)</f>
        <v>0</v>
      </c>
      <c r="P114" s="364">
        <f t="shared" si="6"/>
        <v>4500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الشهر'!$C$10:$AD$119,14,FALSE),0)</f>
        <v>0</v>
      </c>
      <c r="E115" s="362">
        <f>IFERROR(VLOOKUP(C115,'تقرير المصروفات حسب الشهر'!$C$135:$AD$244,14,FALSE),0)</f>
        <v>0</v>
      </c>
      <c r="F115" s="362">
        <v>0</v>
      </c>
      <c r="G115" s="362">
        <f>IFERROR(VLOOKUP(C115,'تقرير المصروفات حسب الشهر'!$C$387:$AD$495,14,FALSE),0)</f>
        <v>0</v>
      </c>
      <c r="H115" s="362">
        <f>IFERROR(VLOOKUP(C115,'تقرير المصروفات حسب الشهر'!$C$512:$AD$620,14,FALSE),0)</f>
        <v>0</v>
      </c>
      <c r="I115" s="362">
        <f>IFERROR(VLOOKUP(C115,'تقرير المصروفات حسب الشهر'!$C$637:$AD$746,14,FALSE),0)</f>
        <v>0</v>
      </c>
      <c r="J115" s="362">
        <f>IFERROR(VLOOKUP(C115,'تقرير المصروفات حسب الشهر'!$C$763:$AD$872,14,FALSE),0)</f>
        <v>0</v>
      </c>
      <c r="K115" s="362">
        <f>IFERROR(VLOOKUP(C115,'تقرير المصروفات حسب الشهر'!$C$890:$AD$999,14,FALSE),0)</f>
        <v>0</v>
      </c>
      <c r="L115" s="362">
        <f>IFERROR(VLOOKUP(C115,'تقرير المصروفات حسب الشهر'!$C$1016:$AD$1126,14,FALSE),0)</f>
        <v>0</v>
      </c>
      <c r="M115" s="376">
        <f>IFERROR(VLOOKUP(C115,'تقرير المصروفات حسب الشهر'!$C$1143:$AD$1254,14,FALSE),0)</f>
        <v>0</v>
      </c>
      <c r="N115" s="376">
        <f>IFERROR(VLOOKUP(C115,'تقرير المصروفات حسب الشهر'!$C$1270:$AD$1381,14,FALSE),0)</f>
        <v>0</v>
      </c>
      <c r="O115" s="376">
        <f>IFERROR(VLOOKUP(C115,'تقرير المصروفات حسب الشهر'!$C$1397:$AI$1512,14,FALSE),0)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الشهر'!$C$10:$AD$119,14,FALSE),0)</f>
        <v>0</v>
      </c>
      <c r="E116" s="362">
        <f>IFERROR(VLOOKUP(C116,'تقرير المصروفات حسب الشهر'!$C$135:$AD$244,14,FALSE),0)</f>
        <v>0</v>
      </c>
      <c r="F116" s="362">
        <v>0</v>
      </c>
      <c r="G116" s="362">
        <f>IFERROR(VLOOKUP(C116,'تقرير المصروفات حسب الشهر'!$C$387:$AD$495,14,FALSE),0)</f>
        <v>0</v>
      </c>
      <c r="H116" s="362">
        <f>IFERROR(VLOOKUP(C116,'تقرير المصروفات حسب الشهر'!$C$512:$AD$620,14,FALSE),0)</f>
        <v>0</v>
      </c>
      <c r="I116" s="362">
        <f>IFERROR(VLOOKUP(C116,'تقرير المصروفات حسب الشهر'!$C$637:$AD$746,14,FALSE),0)</f>
        <v>0</v>
      </c>
      <c r="J116" s="362">
        <f>IFERROR(VLOOKUP(C116,'تقرير المصروفات حسب الشهر'!$C$763:$AD$872,14,FALSE),0)</f>
        <v>0</v>
      </c>
      <c r="K116" s="362">
        <f>IFERROR(VLOOKUP(C116,'تقرير المصروفات حسب الشهر'!$C$890:$AD$999,14,FALSE),0)</f>
        <v>0</v>
      </c>
      <c r="L116" s="362">
        <f>IFERROR(VLOOKUP(C116,'تقرير المصروفات حسب الشهر'!$C$1016:$AD$1126,14,FALSE),0)</f>
        <v>0</v>
      </c>
      <c r="M116" s="376">
        <f>IFERROR(VLOOKUP(C116,'تقرير المصروفات حسب الشهر'!$C$1143:$AD$1254,14,FALSE),0)</f>
        <v>0</v>
      </c>
      <c r="N116" s="376">
        <f>IFERROR(VLOOKUP(C116,'تقرير المصروفات حسب الشهر'!$C$1270:$AD$1381,14,FALSE),0)</f>
        <v>0</v>
      </c>
      <c r="O116" s="376">
        <f>IFERROR(VLOOKUP(C116,'تقرير المصروفات حسب الشهر'!$C$1397:$AI$1512,14,FALSE),0)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الشهر'!$C$10:$AD$119,14,FALSE),0)</f>
        <v>0</v>
      </c>
      <c r="E117" s="362">
        <f>IFERROR(VLOOKUP(C117,'تقرير المصروفات حسب الشهر'!$C$135:$AD$244,14,FALSE),0)</f>
        <v>0</v>
      </c>
      <c r="F117" s="362">
        <v>0</v>
      </c>
      <c r="G117" s="362">
        <f>IFERROR(VLOOKUP(C117,'تقرير المصروفات حسب الشهر'!$C$387:$AD$495,14,FALSE),0)</f>
        <v>0</v>
      </c>
      <c r="H117" s="362">
        <f>IFERROR(VLOOKUP(C117,'تقرير المصروفات حسب الشهر'!$C$512:$AD$620,14,FALSE),0)</f>
        <v>0</v>
      </c>
      <c r="I117" s="362">
        <f>IFERROR(VLOOKUP(C117,'تقرير المصروفات حسب الشهر'!$C$637:$AD$746,14,FALSE),0)</f>
        <v>0</v>
      </c>
      <c r="J117" s="362">
        <f>IFERROR(VLOOKUP(C117,'تقرير المصروفات حسب الشهر'!$C$763:$AD$872,14,FALSE),0)</f>
        <v>0</v>
      </c>
      <c r="K117" s="362">
        <f>IFERROR(VLOOKUP(C117,'تقرير المصروفات حسب الشهر'!$C$890:$AD$999,14,FALSE),0)</f>
        <v>0</v>
      </c>
      <c r="L117" s="362">
        <f>IFERROR(VLOOKUP(C117,'تقرير المصروفات حسب الشهر'!$C$1016:$AD$1126,14,FALSE),0)</f>
        <v>0</v>
      </c>
      <c r="M117" s="376">
        <f>IFERROR(VLOOKUP(C117,'تقرير المصروفات حسب الشهر'!$C$1143:$AD$1254,14,FALSE),0)</f>
        <v>0</v>
      </c>
      <c r="N117" s="376">
        <f>IFERROR(VLOOKUP(C117,'تقرير المصروفات حسب الشهر'!$C$1270:$AD$1381,14,FALSE),0)</f>
        <v>0</v>
      </c>
      <c r="O117" s="376">
        <f>IFERROR(VLOOKUP(C117,'تقرير المصروفات حسب الشهر'!$C$1397:$AI$1512,14,FALSE),0)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الشهر'!$C$10:$AD$119,14,FALSE),0)</f>
        <v>0</v>
      </c>
      <c r="E118" s="362">
        <f>IFERROR(VLOOKUP(C118,'تقرير المصروفات حسب الشهر'!$C$135:$AD$244,14,FALSE),0)</f>
        <v>0</v>
      </c>
      <c r="F118" s="362">
        <v>0</v>
      </c>
      <c r="G118" s="362">
        <f>IFERROR(VLOOKUP(C118,'تقرير المصروفات حسب الشهر'!$C$387:$AD$495,14,FALSE),0)</f>
        <v>0</v>
      </c>
      <c r="H118" s="362">
        <f>IFERROR(VLOOKUP(C118,'تقرير المصروفات حسب الشهر'!$C$512:$AD$620,14,FALSE),0)</f>
        <v>0</v>
      </c>
      <c r="I118" s="362">
        <f>IFERROR(VLOOKUP(C118,'تقرير المصروفات حسب الشهر'!$C$637:$AD$746,14,FALSE),0)</f>
        <v>0</v>
      </c>
      <c r="J118" s="362">
        <f>IFERROR(VLOOKUP(C118,'تقرير المصروفات حسب الشهر'!$C$763:$AD$872,14,FALSE),0)</f>
        <v>0</v>
      </c>
      <c r="K118" s="362">
        <f>IFERROR(VLOOKUP(C118,'تقرير المصروفات حسب الشهر'!$C$890:$AD$999,14,FALSE),0)</f>
        <v>0</v>
      </c>
      <c r="L118" s="362">
        <f>IFERROR(VLOOKUP(C118,'تقرير المصروفات حسب الشهر'!$C$1016:$AD$1126,14,FALSE),0)</f>
        <v>0</v>
      </c>
      <c r="M118" s="376">
        <f>IFERROR(VLOOKUP(C118,'تقرير المصروفات حسب الشهر'!$C$1143:$AD$1254,14,FALSE),0)</f>
        <v>0</v>
      </c>
      <c r="N118" s="376">
        <f>IFERROR(VLOOKUP(C118,'تقرير المصروفات حسب الشهر'!$C$1270:$AD$1381,14,FALSE),0)</f>
        <v>0</v>
      </c>
      <c r="O118" s="376">
        <f>IFERROR(VLOOKUP(C118,'تقرير المصروفات حسب الشهر'!$C$1397:$AI$1512,14,FALSE),0)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الشهر'!$C$10:$AD$119,14,FALSE),0)</f>
        <v>0</v>
      </c>
      <c r="E119" s="362">
        <f>IFERROR(VLOOKUP(C119,'تقرير المصروفات حسب الشهر'!$C$135:$AD$244,14,FALSE),0)</f>
        <v>0</v>
      </c>
      <c r="F119" s="362">
        <v>0</v>
      </c>
      <c r="G119" s="362">
        <f>IFERROR(VLOOKUP(C119,'تقرير المصروفات حسب الشهر'!$C$387:$AD$495,14,FALSE),0)</f>
        <v>0</v>
      </c>
      <c r="H119" s="362">
        <f>IFERROR(VLOOKUP(C119,'تقرير المصروفات حسب الشهر'!$C$512:$AD$620,14,FALSE),0)</f>
        <v>5799</v>
      </c>
      <c r="I119" s="511">
        <f>IFERROR(VLOOKUP(C119,'تقرير المصروفات حسب الشهر'!$C$637:$AD$746,14,FALSE),0)</f>
        <v>1818.85</v>
      </c>
      <c r="J119" s="362">
        <f>IFERROR(VLOOKUP(C119,'تقرير المصروفات حسب الشهر'!$C$763:$AD$872,14,FALSE),0)</f>
        <v>538</v>
      </c>
      <c r="K119" s="362">
        <f>IFERROR(VLOOKUP(C119,'تقرير المصروفات حسب الشهر'!$C$890:$AD$999,14,FALSE),0)</f>
        <v>213</v>
      </c>
      <c r="L119" s="362">
        <f>IFERROR(VLOOKUP(C119,'تقرير المصروفات حسب الشهر'!$C$1016:$AD$1126,14,FALSE),0)</f>
        <v>0</v>
      </c>
      <c r="M119" s="376">
        <f>IFERROR(VLOOKUP(C119,'تقرير المصروفات حسب الشهر'!$C$1143:$AD$1254,14,FALSE),0)</f>
        <v>0</v>
      </c>
      <c r="N119" s="376">
        <f>IFERROR(VLOOKUP(C119,'تقرير المصروفات حسب الشهر'!$C$1270:$AD$1381,14,FALSE),0)</f>
        <v>0</v>
      </c>
      <c r="O119" s="376">
        <f>IFERROR(VLOOKUP(C119,'تقرير المصروفات حسب الشهر'!$C$1397:$AI$1512,14,FALSE),0)</f>
        <v>5737.18</v>
      </c>
      <c r="P119" s="364">
        <f t="shared" si="6"/>
        <v>14106.03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الشهر'!$C$10:$AD$119,14,FALSE),0)</f>
        <v>0</v>
      </c>
      <c r="E120" s="362">
        <f>IFERROR(VLOOKUP(C120,'تقرير المصروفات حسب الشهر'!$C$135:$AD$244,14,FALSE),0)</f>
        <v>0</v>
      </c>
      <c r="F120" s="362">
        <v>0</v>
      </c>
      <c r="G120" s="362">
        <f>IFERROR(VLOOKUP(C120,'تقرير المصروفات حسب الشهر'!$C$387:$AD$495,14,FALSE),0)</f>
        <v>0</v>
      </c>
      <c r="H120" s="362">
        <f>IFERROR(VLOOKUP(C120,'تقرير المصروفات حسب الشهر'!$C$512:$AD$620,14,FALSE),0)</f>
        <v>0</v>
      </c>
      <c r="I120" s="362">
        <f>IFERROR(VLOOKUP(C120,'تقرير المصروفات حسب الشهر'!$C$637:$AD$746,14,FALSE),0)</f>
        <v>0</v>
      </c>
      <c r="J120" s="362">
        <f>IFERROR(VLOOKUP(C120,'تقرير المصروفات حسب الشهر'!$C$763:$AD$872,14,FALSE),0)</f>
        <v>0</v>
      </c>
      <c r="K120" s="362">
        <f>IFERROR(VLOOKUP(C120,'تقرير المصروفات حسب الشهر'!$C$890:$AD$999,14,FALSE),0)</f>
        <v>0</v>
      </c>
      <c r="L120" s="362">
        <f>IFERROR(VLOOKUP(C120,'تقرير المصروفات حسب الشهر'!$C$1016:$AD$1126,14,FALSE),0)</f>
        <v>0</v>
      </c>
      <c r="M120" s="376">
        <f>IFERROR(VLOOKUP(C120,'تقرير المصروفات حسب الشهر'!$C$1143:$AD$1254,14,FALSE),0)</f>
        <v>0</v>
      </c>
      <c r="N120" s="376">
        <f>IFERROR(VLOOKUP(C120,'تقرير المصروفات حسب الشهر'!$C$1270:$AD$1381,14,FALSE),0)</f>
        <v>0</v>
      </c>
      <c r="O120" s="376">
        <f>IFERROR(VLOOKUP(C120,'تقرير المصروفات حسب الشهر'!$C$1397:$AI$1512,14,FALSE),0)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الشهر'!$C$10:$AD$119,14,FALSE),0)</f>
        <v>0</v>
      </c>
      <c r="E121" s="362">
        <f>IFERROR(VLOOKUP(C121,'تقرير المصروفات حسب الشهر'!$C$135:$AD$244,14,FALSE),0)</f>
        <v>0</v>
      </c>
      <c r="F121" s="362">
        <v>0</v>
      </c>
      <c r="G121" s="362">
        <f>IFERROR(VLOOKUP(C121,'تقرير المصروفات حسب الشهر'!$C$387:$AD$495,14,FALSE),0)</f>
        <v>0</v>
      </c>
      <c r="H121" s="362">
        <f>IFERROR(VLOOKUP(C121,'تقرير المصروفات حسب الشهر'!$C$512:$AD$620,14,FALSE),0)</f>
        <v>0</v>
      </c>
      <c r="I121" s="362">
        <f>IFERROR(VLOOKUP(C121,'تقرير المصروفات حسب الشهر'!$C$637:$AD$746,14,FALSE),0)</f>
        <v>0</v>
      </c>
      <c r="J121" s="362">
        <f>IFERROR(VLOOKUP(C121,'تقرير المصروفات حسب الشهر'!$C$763:$AD$872,14,FALSE),0)</f>
        <v>0</v>
      </c>
      <c r="K121" s="362">
        <f>IFERROR(VLOOKUP(C121,'تقرير المصروفات حسب الشهر'!$C$890:$AD$999,14,FALSE),0)</f>
        <v>0</v>
      </c>
      <c r="L121" s="362">
        <f>IFERROR(VLOOKUP(C121,'تقرير المصروفات حسب الشهر'!$C$1016:$AD$1126,14,FALSE),0)</f>
        <v>0</v>
      </c>
      <c r="M121" s="376">
        <f>IFERROR(VLOOKUP(C121,'تقرير المصروفات حسب الشهر'!$C$1143:$AD$1254,14,FALSE),0)</f>
        <v>0</v>
      </c>
      <c r="N121" s="376">
        <f>IFERROR(VLOOKUP(C121,'تقرير المصروفات حسب الشهر'!$C$1270:$AD$1381,14,FALSE),0)</f>
        <v>0</v>
      </c>
      <c r="O121" s="376">
        <f>IFERROR(VLOOKUP(C121,'تقرير المصروفات حسب الشهر'!$C$1397:$AI$1512,14,FALSE),0)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الشهر'!$C$10:$AD$119,14,FALSE),0)</f>
        <v>0</v>
      </c>
      <c r="E122" s="362">
        <f>IFERROR(VLOOKUP(C122,'تقرير المصروفات حسب الشهر'!$C$135:$AD$244,14,FALSE),0)</f>
        <v>0</v>
      </c>
      <c r="F122" s="362">
        <v>0</v>
      </c>
      <c r="G122" s="362">
        <f>IFERROR(VLOOKUP(C122,'تقرير المصروفات حسب الشهر'!$C$387:$AD$495,14,FALSE),0)</f>
        <v>0</v>
      </c>
      <c r="H122" s="362">
        <f>IFERROR(VLOOKUP(C122,'تقرير المصروفات حسب الشهر'!$C$512:$AD$620,14,FALSE),0)</f>
        <v>0</v>
      </c>
      <c r="I122" s="362">
        <f>IFERROR(VLOOKUP(C122,'تقرير المصروفات حسب الشهر'!$C$637:$AD$746,14,FALSE),0)</f>
        <v>0</v>
      </c>
      <c r="J122" s="362">
        <f>IFERROR(VLOOKUP(C122,'تقرير المصروفات حسب الشهر'!$C$763:$AD$872,14,FALSE),0)</f>
        <v>0</v>
      </c>
      <c r="K122" s="362">
        <f>IFERROR(VLOOKUP(C122,'تقرير المصروفات حسب الشهر'!$C$890:$AD$999,14,FALSE),0)</f>
        <v>0</v>
      </c>
      <c r="L122" s="362">
        <f>IFERROR(VLOOKUP(C122,'تقرير المصروفات حسب الشهر'!$C$1016:$AD$1126,14,FALSE),0)</f>
        <v>0</v>
      </c>
      <c r="M122" s="376">
        <f>IFERROR(VLOOKUP(C122,'تقرير المصروفات حسب الشهر'!$C$1143:$AD$1254,14,FALSE),0)</f>
        <v>0</v>
      </c>
      <c r="N122" s="376">
        <f>IFERROR(VLOOKUP(C122,'تقرير المصروفات حسب الشهر'!$C$1270:$AD$1381,14,FALSE),0)</f>
        <v>0</v>
      </c>
      <c r="O122" s="376">
        <f>IFERROR(VLOOKUP(C122,'تقرير المصروفات حسب الشهر'!$C$1397:$AI$1512,14,FALSE),0)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الشهر'!$C$10:$AD$119,14,FALSE),0)</f>
        <v>0</v>
      </c>
      <c r="E123" s="362">
        <f>IFERROR(VLOOKUP(C123,'تقرير المصروفات حسب الشهر'!$C$135:$AD$244,14,FALSE),0)</f>
        <v>0</v>
      </c>
      <c r="F123" s="362">
        <v>0</v>
      </c>
      <c r="G123" s="362">
        <f>IFERROR(VLOOKUP(C123,'تقرير المصروفات حسب الشهر'!$C$387:$AD$495,14,FALSE),0)</f>
        <v>0</v>
      </c>
      <c r="H123" s="362">
        <f>IFERROR(VLOOKUP(C123,'تقرير المصروفات حسب الشهر'!$C$512:$AD$620,14,FALSE),0)</f>
        <v>0</v>
      </c>
      <c r="I123" s="362">
        <f>IFERROR(VLOOKUP(C123,'تقرير المصروفات حسب الشهر'!$C$637:$AD$746,14,FALSE),0)</f>
        <v>0</v>
      </c>
      <c r="J123" s="362">
        <f>IFERROR(VLOOKUP(C123,'تقرير المصروفات حسب الشهر'!$C$763:$AD$872,14,FALSE),0)</f>
        <v>0</v>
      </c>
      <c r="K123" s="362">
        <f>IFERROR(VLOOKUP(C123,'تقرير المصروفات حسب الشهر'!$C$890:$AD$999,14,FALSE),0)</f>
        <v>0</v>
      </c>
      <c r="L123" s="362">
        <f>IFERROR(VLOOKUP(C123,'تقرير المصروفات حسب الشهر'!$C$1016:$AD$1126,14,FALSE),0)</f>
        <v>0</v>
      </c>
      <c r="M123" s="376">
        <f>IFERROR(VLOOKUP(C123,'تقرير المصروفات حسب الشهر'!$C$1143:$AD$1254,14,FALSE),0)</f>
        <v>0</v>
      </c>
      <c r="N123" s="376">
        <f>IFERROR(VLOOKUP(C123,'تقرير المصروفات حسب الشهر'!$C$1270:$AD$1381,14,FALSE),0)</f>
        <v>0</v>
      </c>
      <c r="O123" s="376">
        <f>IFERROR(VLOOKUP(C123,'تقرير المصروفات حسب الشهر'!$C$1397:$AI$1512,14,FALSE),0)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الشهر'!$C$10:$AD$119,14,FALSE),0)</f>
        <v>0</v>
      </c>
      <c r="E124" s="362">
        <f>IFERROR(VLOOKUP(C124,'تقرير المصروفات حسب الشهر'!$C$135:$AD$244,14,FALSE),0)</f>
        <v>0</v>
      </c>
      <c r="F124" s="362">
        <v>0</v>
      </c>
      <c r="G124" s="362">
        <f>IFERROR(VLOOKUP(C124,'تقرير المصروفات حسب الشهر'!$C$387:$AD$495,14,FALSE),0)</f>
        <v>0</v>
      </c>
      <c r="H124" s="362">
        <f>IFERROR(VLOOKUP(C124,'تقرير المصروفات حسب الشهر'!$C$512:$AD$620,14,FALSE),0)</f>
        <v>0</v>
      </c>
      <c r="I124" s="362">
        <f>IFERROR(VLOOKUP(C124,'تقرير المصروفات حسب الشهر'!$C$637:$AD$746,14,FALSE),0)</f>
        <v>0</v>
      </c>
      <c r="J124" s="362">
        <f>IFERROR(VLOOKUP(C124,'تقرير المصروفات حسب الشهر'!$C$763:$AD$872,14,FALSE),0)</f>
        <v>0</v>
      </c>
      <c r="K124" s="362">
        <f>IFERROR(VLOOKUP(C124,'تقرير المصروفات حسب الشهر'!$C$890:$AD$999,14,FALSE),0)</f>
        <v>0</v>
      </c>
      <c r="L124" s="362">
        <f>IFERROR(VLOOKUP(C124,'تقرير المصروفات حسب الشهر'!$C$1016:$AD$1126,14,FALSE),0)</f>
        <v>0</v>
      </c>
      <c r="M124" s="376">
        <f>IFERROR(VLOOKUP(C124,'تقرير المصروفات حسب الشهر'!$C$1143:$AD$1254,14,FALSE),0)</f>
        <v>0</v>
      </c>
      <c r="N124" s="376">
        <f>IFERROR(VLOOKUP(C124,'تقرير المصروفات حسب الشهر'!$C$1270:$AD$1381,14,FALSE),0)</f>
        <v>0</v>
      </c>
      <c r="O124" s="376">
        <f>IFERROR(VLOOKUP(C124,'تقرير المصروفات حسب الشهر'!$C$1397:$AI$1512,14,FALSE),0)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الشهر'!$C$10:$AD$119,14,FALSE),0)</f>
        <v>0</v>
      </c>
      <c r="E125" s="362">
        <f>IFERROR(VLOOKUP(C125,'تقرير المصروفات حسب الشهر'!$C$135:$AD$244,14,FALSE),0)</f>
        <v>0</v>
      </c>
      <c r="F125" s="362">
        <v>0</v>
      </c>
      <c r="G125" s="362">
        <f>IFERROR(VLOOKUP(C125,'تقرير المصروفات حسب الشهر'!$C$387:$AD$495,14,FALSE),0)</f>
        <v>0</v>
      </c>
      <c r="H125" s="362">
        <f>IFERROR(VLOOKUP(C125,'تقرير المصروفات حسب الشهر'!$C$512:$AD$620,14,FALSE),0)</f>
        <v>0</v>
      </c>
      <c r="I125" s="362">
        <f>IFERROR(VLOOKUP(C125,'تقرير المصروفات حسب الشهر'!$C$637:$AD$746,14,FALSE),0)</f>
        <v>0</v>
      </c>
      <c r="J125" s="362">
        <f>IFERROR(VLOOKUP(C125,'تقرير المصروفات حسب الشهر'!$C$763:$AD$872,14,FALSE),0)</f>
        <v>0</v>
      </c>
      <c r="K125" s="362">
        <f>IFERROR(VLOOKUP(C125,'تقرير المصروفات حسب الشهر'!$C$890:$AD$999,14,FALSE),0)</f>
        <v>0</v>
      </c>
      <c r="L125" s="362">
        <f>IFERROR(VLOOKUP(C125,'تقرير المصروفات حسب الشهر'!$C$1016:$AD$1126,14,FALSE),0)</f>
        <v>0</v>
      </c>
      <c r="M125" s="376">
        <f>IFERROR(VLOOKUP(C125,'تقرير المصروفات حسب الشهر'!$C$1143:$AD$1254,14,FALSE),0)</f>
        <v>0</v>
      </c>
      <c r="N125" s="376">
        <f>IFERROR(VLOOKUP(C125,'تقرير المصروفات حسب الشهر'!$C$1270:$AD$1381,14,FALSE),0)</f>
        <v>0</v>
      </c>
      <c r="O125" s="376">
        <f>IFERROR(VLOOKUP(C125,'تقرير المصروفات حسب الشهر'!$C$1397:$AI$1512,14,FALSE),0)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الشهر'!$C$10:$AD$119,14,FALSE),0)</f>
        <v>0</v>
      </c>
      <c r="E126" s="362">
        <f>IFERROR(VLOOKUP(C126,'تقرير المصروفات حسب الشهر'!$C$135:$AD$244,14,FALSE),0)</f>
        <v>0</v>
      </c>
      <c r="F126" s="362">
        <v>0</v>
      </c>
      <c r="G126" s="362">
        <f>IFERROR(VLOOKUP(C126,'تقرير المصروفات حسب الشهر'!$C$387:$AD$495,14,FALSE),0)</f>
        <v>0</v>
      </c>
      <c r="H126" s="362">
        <f>IFERROR(VLOOKUP(C126,'تقرير المصروفات حسب الشهر'!$C$512:$AD$620,14,FALSE),0)</f>
        <v>0</v>
      </c>
      <c r="I126" s="362">
        <f>IFERROR(VLOOKUP(C126,'تقرير المصروفات حسب الشهر'!$C$637:$AD$746,14,FALSE),0)</f>
        <v>0</v>
      </c>
      <c r="J126" s="362">
        <f>IFERROR(VLOOKUP(C126,'تقرير المصروفات حسب الشهر'!$C$763:$AD$872,14,FALSE),0)</f>
        <v>0</v>
      </c>
      <c r="K126" s="362">
        <f>IFERROR(VLOOKUP(C126,'تقرير المصروفات حسب الشهر'!$C$890:$AD$999,14,FALSE),0)</f>
        <v>0</v>
      </c>
      <c r="L126" s="362">
        <f>IFERROR(VLOOKUP(C126,'تقرير المصروفات حسب الشهر'!$C$1016:$AD$1126,14,FALSE),0)</f>
        <v>0</v>
      </c>
      <c r="M126" s="376">
        <f>IFERROR(VLOOKUP(C126,'تقرير المصروفات حسب الشهر'!$C$1143:$AD$1254,14,FALSE),0)</f>
        <v>0</v>
      </c>
      <c r="N126" s="376">
        <f>IFERROR(VLOOKUP(C126,'تقرير المصروفات حسب الشهر'!$C$1270:$AD$1381,14,FALSE),0)</f>
        <v>0</v>
      </c>
      <c r="O126" s="376">
        <f>IFERROR(VLOOKUP(C126,'تقرير المصروفات حسب الشهر'!$C$1397:$AI$1512,14,FALSE),0)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الشهر'!$C$10:$AD$119,14,FALSE),0)</f>
        <v>0</v>
      </c>
      <c r="E127" s="362">
        <f>IFERROR(VLOOKUP(C127,'تقرير المصروفات حسب الشهر'!$C$135:$AD$244,14,FALSE),0)</f>
        <v>0</v>
      </c>
      <c r="F127" s="362">
        <v>0</v>
      </c>
      <c r="G127" s="362">
        <f>IFERROR(VLOOKUP(C127,'تقرير المصروفات حسب الشهر'!$C$387:$AD$495,14,FALSE),0)</f>
        <v>0</v>
      </c>
      <c r="H127" s="362">
        <f>IFERROR(VLOOKUP(C127,'تقرير المصروفات حسب الشهر'!$C$512:$AD$620,14,FALSE),0)</f>
        <v>0</v>
      </c>
      <c r="I127" s="362">
        <f>IFERROR(VLOOKUP(C127,'تقرير المصروفات حسب الشهر'!$C$637:$AD$746,14,FALSE),0)</f>
        <v>0</v>
      </c>
      <c r="J127" s="362">
        <f>IFERROR(VLOOKUP(C127,'تقرير المصروفات حسب الشهر'!$C$763:$AD$872,14,FALSE),0)</f>
        <v>0</v>
      </c>
      <c r="K127" s="362">
        <f>IFERROR(VLOOKUP(C127,'تقرير المصروفات حسب الشهر'!$C$890:$AD$999,14,FALSE),0)</f>
        <v>0</v>
      </c>
      <c r="L127" s="362">
        <f>IFERROR(VLOOKUP(C127,'تقرير المصروفات حسب الشهر'!$C$1016:$AD$1126,14,FALSE),0)</f>
        <v>0</v>
      </c>
      <c r="M127" s="376">
        <f>IFERROR(VLOOKUP(C127,'تقرير المصروفات حسب الشهر'!$C$1143:$AD$1254,14,FALSE),0)</f>
        <v>0</v>
      </c>
      <c r="N127" s="376">
        <f>IFERROR(VLOOKUP(C127,'تقرير المصروفات حسب الشهر'!$C$1270:$AD$1381,14,FALSE),0)</f>
        <v>0</v>
      </c>
      <c r="O127" s="376">
        <f>IFERROR(VLOOKUP(C127,'تقرير المصروفات حسب الشهر'!$C$1397:$AI$1512,14,FALSE),0)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الشهر'!$C$10:$AD$119,14,FALSE),0)</f>
        <v>0</v>
      </c>
      <c r="E128" s="362">
        <f>IFERROR(VLOOKUP(C128,'تقرير المصروفات حسب الشهر'!$C$135:$AD$244,14,FALSE),0)</f>
        <v>0</v>
      </c>
      <c r="F128" s="362">
        <v>0</v>
      </c>
      <c r="G128" s="362">
        <f>IFERROR(VLOOKUP(C128,'تقرير المصروفات حسب الشهر'!$C$387:$AD$495,14,FALSE),0)</f>
        <v>0</v>
      </c>
      <c r="H128" s="362">
        <f>IFERROR(VLOOKUP(C128,'تقرير المصروفات حسب الشهر'!$C$512:$AD$620,14,FALSE),0)</f>
        <v>0</v>
      </c>
      <c r="I128" s="362">
        <f>IFERROR(VLOOKUP(C128,'تقرير المصروفات حسب الشهر'!$C$637:$AD$746,14,FALSE),0)</f>
        <v>0</v>
      </c>
      <c r="J128" s="362">
        <f>IFERROR(VLOOKUP(C128,'تقرير المصروفات حسب الشهر'!$C$763:$AD$872,14,FALSE),0)</f>
        <v>0</v>
      </c>
      <c r="K128" s="362">
        <f>IFERROR(VLOOKUP(C128,'تقرير المصروفات حسب الشهر'!$C$890:$AD$999,14,FALSE),0)</f>
        <v>0</v>
      </c>
      <c r="L128" s="362">
        <f>IFERROR(VLOOKUP(C128,'تقرير المصروفات حسب الشهر'!$C$1016:$AD$1126,14,FALSE),0)</f>
        <v>0</v>
      </c>
      <c r="M128" s="376">
        <f>IFERROR(VLOOKUP(C128,'تقرير المصروفات حسب الشهر'!$C$1143:$AD$1254,14,FALSE),0)</f>
        <v>0</v>
      </c>
      <c r="N128" s="376">
        <f>IFERROR(VLOOKUP(C128,'تقرير المصروفات حسب الشهر'!$C$1270:$AD$1381,14,FALSE),0)</f>
        <v>0</v>
      </c>
      <c r="O128" s="376">
        <f>IFERROR(VLOOKUP(C128,'تقرير المصروفات حسب الشهر'!$C$1397:$AI$1512,14,FALSE),0)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الشهر'!$C$10:$AD$119,14,FALSE),0)</f>
        <v>431.25</v>
      </c>
      <c r="E129" s="362">
        <f>IFERROR(VLOOKUP(C129,'تقرير المصروفات حسب الشهر'!$C$135:$AD$244,14,FALSE),0)</f>
        <v>431.25</v>
      </c>
      <c r="F129" s="362">
        <v>431.25</v>
      </c>
      <c r="G129" s="362">
        <f>IFERROR(VLOOKUP(C129,'تقرير المصروفات حسب الشهر'!$C$387:$AD$495,14,FALSE),0)</f>
        <v>431.25</v>
      </c>
      <c r="H129" s="362">
        <f>IFERROR(VLOOKUP(C129,'تقرير المصروفات حسب الشهر'!$C$512:$AD$620,14,FALSE),0)</f>
        <v>431.25</v>
      </c>
      <c r="I129" s="362">
        <f>IFERROR(VLOOKUP(C129,'تقرير المصروفات حسب الشهر'!$C$637:$AD$746,14,FALSE),0)</f>
        <v>431</v>
      </c>
      <c r="J129" s="362">
        <f>IFERROR(VLOOKUP(C129,'تقرير المصروفات حسب الشهر'!$C$763:$AD$872,14,FALSE),0)</f>
        <v>431.25</v>
      </c>
      <c r="K129" s="362">
        <f>IFERROR(VLOOKUP(C129,'تقرير المصروفات حسب الشهر'!$C$890:$AD$999,14,FALSE),0)</f>
        <v>431.25</v>
      </c>
      <c r="L129" s="362">
        <f>IFERROR(VLOOKUP(C129,'تقرير المصروفات حسب الشهر'!$C$1016:$AD$1126,14,FALSE),0)</f>
        <v>431.25</v>
      </c>
      <c r="M129" s="376">
        <f>IFERROR(VLOOKUP(C129,'تقرير المصروفات حسب الشهر'!$C$1143:$AD$1254,14,FALSE),0)</f>
        <v>431.25</v>
      </c>
      <c r="N129" s="376">
        <f>IFERROR(VLOOKUP(C129,'تقرير المصروفات حسب الشهر'!$C$1270:$AD$1381,14,FALSE),0)</f>
        <v>431.25</v>
      </c>
      <c r="O129" s="376">
        <f>IFERROR(VLOOKUP(C129,'تقرير المصروفات حسب الشهر'!$C$1397:$AI$1512,14,FALSE),0)</f>
        <v>431.25</v>
      </c>
      <c r="P129" s="364">
        <f t="shared" si="6"/>
        <v>5174.75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الشهر'!$C$10:$AD$119,14,FALSE),0)</f>
        <v>0</v>
      </c>
      <c r="E130" s="362">
        <f>IFERROR(VLOOKUP(C130,'تقرير المصروفات حسب الشهر'!$C$135:$AD$244,14,FALSE),0)</f>
        <v>0</v>
      </c>
      <c r="F130" s="362">
        <v>0</v>
      </c>
      <c r="G130" s="362">
        <f>IFERROR(VLOOKUP(C130,'تقرير المصروفات حسب الشهر'!$C$387:$AD$495,14,FALSE),0)</f>
        <v>0</v>
      </c>
      <c r="H130" s="362">
        <f>IFERROR(VLOOKUP(C130,'تقرير المصروفات حسب الشهر'!$C$512:$AD$620,14,FALSE),0)</f>
        <v>0</v>
      </c>
      <c r="I130" s="362">
        <f>IFERROR(VLOOKUP(C130,'تقرير المصروفات حسب الشهر'!$C$637:$AD$746,14,FALSE),0)</f>
        <v>0</v>
      </c>
      <c r="J130" s="362">
        <f>IFERROR(VLOOKUP(C130,'تقرير المصروفات حسب الشهر'!$C$763:$AD$872,14,FALSE),0)</f>
        <v>0</v>
      </c>
      <c r="K130" s="362">
        <f>IFERROR(VLOOKUP(C130,'تقرير المصروفات حسب الشهر'!$C$890:$AD$999,14,FALSE),0)</f>
        <v>0</v>
      </c>
      <c r="L130" s="362">
        <f>IFERROR(VLOOKUP(C130,'تقرير المصروفات حسب الشهر'!$C$1016:$AI$1131,14,FALSE),0)</f>
        <v>0</v>
      </c>
      <c r="M130" s="376">
        <f>IFERROR(VLOOKUP(C130,'تقرير المصروفات حسب الشهر'!$C$1143:$AD$1254,14,FALSE),0)</f>
        <v>0</v>
      </c>
      <c r="N130" s="376">
        <f>IFERROR(VLOOKUP(C130,'تقرير المصروفات حسب الشهر'!$C$1270:$AD$1381,14,FALSE),0)</f>
        <v>0</v>
      </c>
      <c r="O130" s="376">
        <f>IFERROR(VLOOKUP(C130,'تقرير المصروفات حسب الشهر'!$C$1397:$AI$1512,14,FALSE),0)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الشهر'!$C$10:$AD$119,14,FALSE),0)</f>
        <v>0</v>
      </c>
      <c r="E131" s="362">
        <f>IFERROR(VLOOKUP(C131,'تقرير المصروفات حسب الشهر'!$C$135:$AD$244,14,FALSE),0)</f>
        <v>0</v>
      </c>
      <c r="F131" s="362">
        <v>0</v>
      </c>
      <c r="G131" s="362">
        <f>IFERROR(VLOOKUP(C131,'تقرير المصروفات حسب الشهر'!$C$387:$AD$495,14,FALSE),0)</f>
        <v>0</v>
      </c>
      <c r="H131" s="362">
        <f>IFERROR(VLOOKUP(C131,'تقرير المصروفات حسب الشهر'!$C$512:$AD$620,14,FALSE),0)</f>
        <v>0</v>
      </c>
      <c r="I131" s="362">
        <f>IFERROR(VLOOKUP(C131,'تقرير المصروفات حسب الشهر'!$C$637:$AD$746,14,FALSE),0)</f>
        <v>0</v>
      </c>
      <c r="J131" s="362">
        <f>IFERROR(VLOOKUP(C131,'تقرير المصروفات حسب الشهر'!$C$763:$AD$872,14,FALSE),0)</f>
        <v>0</v>
      </c>
      <c r="K131" s="362">
        <f>IFERROR(VLOOKUP(C131,'تقرير المصروفات حسب الشهر'!$C$890:$AD$999,14,FALSE),0)</f>
        <v>0</v>
      </c>
      <c r="L131" s="362">
        <f>IFERROR(VLOOKUP(C131,'تقرير المصروفات حسب الشهر'!$C$1016:$AI$1131,14,FALSE),0)</f>
        <v>0</v>
      </c>
      <c r="M131" s="376">
        <f>IFERROR(VLOOKUP(C131,'تقرير المصروفات حسب الشهر'!$C$1143:$AD$1254,14,FALSE),0)</f>
        <v>0</v>
      </c>
      <c r="N131" s="376">
        <f>IFERROR(VLOOKUP(C131,'تقرير المصروفات حسب الشهر'!$C$1270:$AD$1381,14,FALSE),0)</f>
        <v>0</v>
      </c>
      <c r="O131" s="376">
        <f>IFERROR(VLOOKUP(C131,'تقرير المصروفات حسب الشهر'!$C$1397:$AI$1512,14,FALSE),0)</f>
        <v>0</v>
      </c>
      <c r="P131" s="364">
        <f t="shared" si="6"/>
        <v>0</v>
      </c>
    </row>
    <row r="132" spans="1:17" ht="18" customHeight="1">
      <c r="B132" s="124"/>
      <c r="C132" s="341" t="s">
        <v>360</v>
      </c>
      <c r="D132" s="362">
        <f>IFERROR(VLOOKUP(C132,'تقرير المصروفات حسب الشهر'!$C$10:$AD$124,14,FALSE),0)</f>
        <v>58344.87</v>
      </c>
      <c r="E132" s="362">
        <f>IFERROR(VLOOKUP(C132,'تقرير المصروفات حسب الشهر'!$C$135:$AD$252,14,FALSE),0)</f>
        <v>76459.86</v>
      </c>
      <c r="F132" s="362">
        <v>73014.070000000007</v>
      </c>
      <c r="G132" s="362">
        <f>IFERROR(VLOOKUP(C132,'تقرير المصروفات حسب الشهر'!$C$387:$AD$503,14,FALSE),0)</f>
        <v>113311.44</v>
      </c>
      <c r="H132" s="362">
        <f>IFERROR(VLOOKUP(C132,'تقرير المصروفات حسب الشهر'!$C$512:$AD$622,14,FALSE),0)</f>
        <v>122570.81</v>
      </c>
      <c r="I132" s="362">
        <f>IFERROR(VLOOKUP(C132,'تقرير المصروفات حسب الشهر'!$C$637:$AD$750,14,FALSE),0)</f>
        <v>190714.27000000002</v>
      </c>
      <c r="J132" s="362">
        <f>IFERROR(VLOOKUP(C132,'تقرير المصروفات حسب الشهر'!$C$763:$AD$877,14,FALSE),0)</f>
        <v>136695.21000000002</v>
      </c>
      <c r="K132" s="362">
        <f>IFERROR(VLOOKUP(C132,'تقرير المصروفات حسب الشهر'!$C$890:$AD$1007,14,FALSE),0)</f>
        <v>145597.32</v>
      </c>
      <c r="L132" s="362">
        <f>IFERROR(VLOOKUP(C132,'تقرير المصروفات حسب الشهر'!$C$1016:$AI$1131,14,FALSE),0)</f>
        <v>181567</v>
      </c>
      <c r="M132" s="376">
        <f>IFERROR(VLOOKUP(C132,'تقرير المصروفات حسب الشهر'!$C$1143:$AD$1254,14,FALSE),0)</f>
        <v>180983.7</v>
      </c>
      <c r="N132" s="376">
        <f>IFERROR(VLOOKUP(C132,'تقرير المصروفات حسب الشهر'!$C$1270:$AD$1382,14,FALSE),0)</f>
        <v>199037.43</v>
      </c>
      <c r="O132" s="376">
        <f>IFERROR(VLOOKUP(C132,'تقرير المصروفات حسب الشهر'!$C$1397:$AI$1512,14,FALSE),0)</f>
        <v>220591.28</v>
      </c>
      <c r="P132" s="364">
        <f>SUM(D132:O132)</f>
        <v>1698887.26</v>
      </c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الشهر'!$C$763:$AD$877,14,FALSE),0)</f>
        <v>19425.43</v>
      </c>
      <c r="K133" s="362">
        <f>IFERROR(VLOOKUP(C133,'تقرير المصروفات حسب الشهر'!$C$890:$AD$1007,14,FALSE),0)</f>
        <v>46283.199999999997</v>
      </c>
      <c r="L133" s="362">
        <f>IFERROR(VLOOKUP(C133,'تقرير المصروفات حسب الشهر'!$C$1016:$AI$1131,14,FALSE),0)</f>
        <v>80071.56</v>
      </c>
      <c r="M133" s="376">
        <f>IFERROR(VLOOKUP(C133,'تقرير المصروفات حسب الشهر'!$C$1143:$AD$1260,14,FALSE),0)</f>
        <v>68223.489999999991</v>
      </c>
      <c r="N133" s="376">
        <f>IFERROR(VLOOKUP(C133,'تقرير المصروفات حسب الشهر'!$C$1270:$AI$1384,14,FALSE),0)</f>
        <v>41312.74</v>
      </c>
      <c r="O133" s="376">
        <f>IFERROR(VLOOKUP(C133,'تقرير المصروفات حسب الشهر'!$C$1397:$AI$1512,14,FALSE),0)</f>
        <v>50553.48</v>
      </c>
      <c r="P133" s="436"/>
    </row>
    <row r="134" spans="1:17" ht="18" customHeight="1">
      <c r="B134" s="124"/>
      <c r="C134" s="149" t="s">
        <v>270</v>
      </c>
      <c r="D134" s="146">
        <f t="shared" ref="D134:I134" si="7">SUM(D22:D132)</f>
        <v>274870.72000000003</v>
      </c>
      <c r="E134" s="146">
        <f t="shared" si="7"/>
        <v>315798.69</v>
      </c>
      <c r="F134" s="146">
        <f t="shared" si="7"/>
        <v>313326.64</v>
      </c>
      <c r="G134" s="146">
        <f t="shared" si="7"/>
        <v>357830.77999999997</v>
      </c>
      <c r="H134" s="146">
        <f t="shared" si="7"/>
        <v>393495.03999999998</v>
      </c>
      <c r="I134" s="146">
        <f t="shared" si="7"/>
        <v>442317.02</v>
      </c>
      <c r="J134" s="146">
        <f t="shared" ref="J134:O134" si="8">SUM(J22:J133)</f>
        <v>414195.87</v>
      </c>
      <c r="K134" s="146">
        <f t="shared" si="8"/>
        <v>477880.73000000004</v>
      </c>
      <c r="L134" s="146">
        <f t="shared" si="8"/>
        <v>585464.32999999996</v>
      </c>
      <c r="M134" s="146">
        <f t="shared" si="8"/>
        <v>571541.50800000003</v>
      </c>
      <c r="N134" s="146">
        <f t="shared" si="8"/>
        <v>559283.09</v>
      </c>
      <c r="O134" s="146">
        <f t="shared" si="8"/>
        <v>642541.03999999992</v>
      </c>
      <c r="P134" s="388">
        <f t="shared" si="6"/>
        <v>5348545.4580000006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344051.6399999999</v>
      </c>
      <c r="E136" s="392">
        <f t="shared" si="9"/>
        <v>299803.95999999985</v>
      </c>
      <c r="F136" s="392">
        <f t="shared" si="9"/>
        <v>363073.75999999983</v>
      </c>
      <c r="G136" s="392">
        <f t="shared" si="9"/>
        <v>367550.49000000005</v>
      </c>
      <c r="H136" s="392">
        <f t="shared" si="9"/>
        <v>396622.08999999985</v>
      </c>
      <c r="I136" s="392">
        <f t="shared" si="9"/>
        <v>430825.23999999976</v>
      </c>
      <c r="J136" s="392">
        <f t="shared" si="9"/>
        <v>507041.20000000036</v>
      </c>
      <c r="K136" s="392">
        <f t="shared" si="9"/>
        <v>514585.6399999999</v>
      </c>
      <c r="L136" s="392">
        <f t="shared" si="9"/>
        <v>514573.09999999963</v>
      </c>
      <c r="M136" s="392">
        <f t="shared" si="9"/>
        <v>598384.28000000014</v>
      </c>
      <c r="N136" s="392">
        <f t="shared" si="9"/>
        <v>578353.5900000002</v>
      </c>
      <c r="O136" s="392">
        <f t="shared" si="9"/>
        <v>644251.23000000056</v>
      </c>
      <c r="P136" s="388">
        <f t="shared" si="6"/>
        <v>5559116.2199999997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69180.919999999867</v>
      </c>
      <c r="E139" s="383">
        <f t="shared" ref="E139:O139" si="10">E136-E134</f>
        <v>-15994.730000000156</v>
      </c>
      <c r="F139" s="383">
        <f t="shared" si="10"/>
        <v>49747.119999999821</v>
      </c>
      <c r="G139" s="383">
        <f t="shared" si="10"/>
        <v>9719.7100000000792</v>
      </c>
      <c r="H139" s="383">
        <f t="shared" si="10"/>
        <v>3127.0499999998719</v>
      </c>
      <c r="I139" s="383">
        <f t="shared" si="10"/>
        <v>-11491.780000000261</v>
      </c>
      <c r="J139" s="383">
        <f t="shared" si="10"/>
        <v>92845.330000000366</v>
      </c>
      <c r="K139" s="383">
        <f t="shared" si="10"/>
        <v>36704.909999999858</v>
      </c>
      <c r="L139" s="383">
        <f t="shared" si="10"/>
        <v>-70891.230000000331</v>
      </c>
      <c r="M139" s="383">
        <f t="shared" si="10"/>
        <v>26842.772000000114</v>
      </c>
      <c r="N139" s="383">
        <f t="shared" si="10"/>
        <v>19070.500000000233</v>
      </c>
      <c r="O139" s="383">
        <f t="shared" si="10"/>
        <v>1710.1900000006426</v>
      </c>
      <c r="P139" s="387">
        <f>SUM(D139:O139)</f>
        <v>210570.7620000001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G143" s="459">
        <f>9719.71-G139</f>
        <v>-8.0035533756017685E-11</v>
      </c>
      <c r="H143" s="113">
        <v>3127.05</v>
      </c>
    </row>
    <row r="144" spans="1:17">
      <c r="H144" s="415">
        <f>H139-H143</f>
        <v>-1.2823875294998288E-10</v>
      </c>
      <c r="N144" s="113">
        <v>2528.6799999999998</v>
      </c>
      <c r="O144" s="415"/>
    </row>
    <row r="145" spans="14:15">
      <c r="N145" s="415">
        <f>N139-N144</f>
        <v>16541.820000000233</v>
      </c>
      <c r="O145" s="233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8">
    <tabColor rgb="FFFFC000"/>
  </sheetPr>
  <dimension ref="A1:T144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346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170</v>
      </c>
      <c r="B8" s="390"/>
      <c r="C8" s="369" t="s">
        <v>114</v>
      </c>
      <c r="D8" s="364">
        <f>D9+D10+D11</f>
        <v>497337.42</v>
      </c>
      <c r="E8" s="364">
        <f t="shared" ref="E8:O8" si="0">E9+E10+E11</f>
        <v>610770.19000000018</v>
      </c>
      <c r="F8" s="364">
        <f t="shared" si="0"/>
        <v>526910.86</v>
      </c>
      <c r="G8" s="364">
        <f t="shared" si="0"/>
        <v>816872.83000000007</v>
      </c>
      <c r="H8" s="364">
        <f t="shared" si="0"/>
        <v>647130.46</v>
      </c>
      <c r="I8" s="364">
        <f t="shared" si="0"/>
        <v>970245.54</v>
      </c>
      <c r="J8" s="364">
        <f t="shared" si="0"/>
        <v>913613.22</v>
      </c>
      <c r="K8" s="364">
        <f t="shared" si="0"/>
        <v>1032715.49</v>
      </c>
      <c r="L8" s="364">
        <f t="shared" si="0"/>
        <v>894886.73</v>
      </c>
      <c r="M8" s="364">
        <f t="shared" si="0"/>
        <v>676612.20000000007</v>
      </c>
      <c r="N8" s="364">
        <f t="shared" si="0"/>
        <v>591766.80000000005</v>
      </c>
      <c r="O8" s="364">
        <f t="shared" si="0"/>
        <v>712465.28</v>
      </c>
      <c r="P8" s="364">
        <f>SUM(D8:O8)</f>
        <v>8891327.0199999996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435832.74</v>
      </c>
      <c r="E9" s="365">
        <f>VLOOKUP($A$8,'تقرير إحصائية بحجم المبيعات'!$B$42:$G$73,2,FALSE)</f>
        <v>419067.88000000012</v>
      </c>
      <c r="F9" s="365">
        <f>VLOOKUP($A$8,'تقرير إحصائية بحجم المبيعات'!$B$78:$E$103,2,FALSE)</f>
        <v>462699.32</v>
      </c>
      <c r="G9" s="365">
        <f>VLOOKUP($A$8,'تقرير إحصائية بحجم المبيعات'!$B$112:$G$137,2,FALSE)</f>
        <v>680882.06</v>
      </c>
      <c r="H9" s="365">
        <f>VLOOKUP($A$8,'تقرير إحصائية بحجم المبيعات'!$B$147:$G$177,2,FALSE)</f>
        <v>567877.63</v>
      </c>
      <c r="I9" s="365">
        <f>VLOOKUP($A$8,'تقرير إحصائية بحجم المبيعات'!$B$182:$G$212,2,FALSE)</f>
        <v>842940.85000000009</v>
      </c>
      <c r="J9" s="365">
        <f>VLOOKUP($A$8,'تقرير إحصائية بحجم المبيعات'!$B$217:$L$243,2,FALSE)</f>
        <v>803954.77999999991</v>
      </c>
      <c r="K9" s="365">
        <f>VLOOKUP($A$8,'تقرير إحصائية بحجم المبيعات'!$B$252:$L$278,2,FALSE)</f>
        <v>853967.06</v>
      </c>
      <c r="L9" s="365">
        <f>VLOOKUP($A$8,'تقرير إحصائية بحجم المبيعات'!$B$287:$L$313,2,FALSE)</f>
        <v>761307.5199999999</v>
      </c>
      <c r="M9" s="365">
        <f>VLOOKUP($A$8,'تقرير إحصائية بحجم المبيعات'!$B$322:$L$350,2,FALSE)</f>
        <v>593024.74000000011</v>
      </c>
      <c r="N9" s="365">
        <f>VLOOKUP($A$8,'تقرير إحصائية بحجم المبيعات'!$B$357:$L$383,2,FALSE)</f>
        <v>528388.41</v>
      </c>
      <c r="O9" s="365">
        <f>VLOOKUP($A$8,'تقرير إحصائية بحجم المبيعات'!$B$391:$L$420,2,FALSE)</f>
        <v>638176.97000000009</v>
      </c>
      <c r="P9" s="364">
        <f t="shared" ref="P9:P18" si="1">SUM(D9:O9)</f>
        <v>7588119.96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29868.73</v>
      </c>
      <c r="E10" s="365">
        <f>VLOOKUP($A$8,'تقرير إحصائية بحجم المبيعات'!$B$42:$G$73,3,FALSE)</f>
        <v>12363.55</v>
      </c>
      <c r="F10" s="365">
        <f>VLOOKUP($A$8,'تقرير إحصائية بحجم المبيعات'!$B$78:$E$103,3,FALSE)</f>
        <v>37337.67</v>
      </c>
      <c r="G10" s="365">
        <f>VLOOKUP($A$8,'تقرير إحصائية بحجم المبيعات'!$B$112:$G$137,3,FALSE)</f>
        <v>103339.84</v>
      </c>
      <c r="H10" s="365">
        <f>VLOOKUP($A$8,'تقرير إحصائية بحجم المبيعات'!$B$147:$G$177,3,FALSE)</f>
        <v>47867.82</v>
      </c>
      <c r="I10" s="365">
        <f>VLOOKUP($A$8,'تقرير إحصائية بحجم المبيعات'!$B$182:$G$212,3,FALSE)</f>
        <v>99037.35</v>
      </c>
      <c r="J10" s="365">
        <f>VLOOKUP($A$8,'تقرير إحصائية بحجم المبيعات'!$B$217:$L$243,3,FALSE)</f>
        <v>78467.53</v>
      </c>
      <c r="K10" s="365">
        <f>VLOOKUP($A$8,'تقرير إحصائية بحجم المبيعات'!$B$252:$L$278,3,FALSE)</f>
        <v>135743.44</v>
      </c>
      <c r="L10" s="365">
        <f>VLOOKUP($A$8,'تقرير إحصائية بحجم المبيعات'!$B$287:$L$313,3,FALSE)</f>
        <v>94919.8</v>
      </c>
      <c r="M10" s="365">
        <f>VLOOKUP($A$8,'تقرير إحصائية بحجم المبيعات'!$B$322:$L$350,3,FALSE)</f>
        <v>49666.1</v>
      </c>
      <c r="N10" s="365">
        <f>VLOOKUP($A$8,'تقرير إحصائية بحجم المبيعات'!$B$357:$L$383,3,FALSE)</f>
        <v>31594.79</v>
      </c>
      <c r="O10" s="365">
        <f>VLOOKUP($A$8,'تقرير إحصائية بحجم المبيعات'!$B$391:$L$420,3,FALSE)</f>
        <v>42014.45</v>
      </c>
      <c r="P10" s="364">
        <f t="shared" si="1"/>
        <v>762221.07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31635.95</v>
      </c>
      <c r="E11" s="365">
        <f>VLOOKUP($A$8,'تقرير إحصائية بحجم المبيعات'!$B$42:$G$73,4,FALSE)</f>
        <v>179338.76</v>
      </c>
      <c r="F11" s="365">
        <f>VLOOKUP($A$8,'تقرير إحصائية بحجم المبيعات'!$B$78:$E$103,4,FALSE)</f>
        <v>26873.87</v>
      </c>
      <c r="G11" s="365">
        <f>VLOOKUP($A$8,'تقرير إحصائية بحجم المبيعات'!$B$112:$G$137,4,FALSE)</f>
        <v>32650.93</v>
      </c>
      <c r="H11" s="365">
        <f>VLOOKUP($A$8,'تقرير إحصائية بحجم المبيعات'!$B$147:$G$177,4,FALSE)</f>
        <v>31385.01</v>
      </c>
      <c r="I11" s="365">
        <f>VLOOKUP($A$8,'تقرير إحصائية بحجم المبيعات'!$B$182:$G$212,4,FALSE)</f>
        <v>28267.34</v>
      </c>
      <c r="J11" s="365">
        <f>VLOOKUP($A$8,'تقرير إحصائية بحجم المبيعات'!$B$217:$L$243,4,FALSE)</f>
        <v>31190.91</v>
      </c>
      <c r="K11" s="365">
        <f>VLOOKUP($A$8,'تقرير إحصائية بحجم المبيعات'!$B$252:$L$278,4,FALSE)</f>
        <v>43004.99</v>
      </c>
      <c r="L11" s="365">
        <f>VLOOKUP($A$8,'تقرير إحصائية بحجم المبيعات'!$B$287:$L$313,4,FALSE)</f>
        <v>38659.410000000003</v>
      </c>
      <c r="M11" s="365">
        <f>VLOOKUP($A$8,'تقرير إحصائية بحجم المبيعات'!$B$322:$L$350,4,FALSE)</f>
        <v>33921.360000000001</v>
      </c>
      <c r="N11" s="365">
        <f>VLOOKUP($A$8,'تقرير إحصائية بحجم المبيعات'!$B$357:$L$383,4,FALSE)</f>
        <v>31783.599999999999</v>
      </c>
      <c r="O11" s="365">
        <f>VLOOKUP($A$8,'تقرير إحصائية بحجم المبيعات'!$B$391:$L$420,4,FALSE)</f>
        <v>32273.86</v>
      </c>
      <c r="P11" s="364">
        <f t="shared" si="1"/>
        <v>540985.99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373251.78</v>
      </c>
      <c r="E12" s="364">
        <f>VLOOKUP($A$8,'تقرير إحصائية بحجم المبيعات'!$B$42:$L$73,11,FALSE)</f>
        <v>466132.05</v>
      </c>
      <c r="F12" s="364">
        <f>VLOOKUP($A$8,'تقرير إحصائية بحجم المبيعات'!$B$78:$L$103,11,FALSE)</f>
        <v>395755.08</v>
      </c>
      <c r="G12" s="364">
        <f>VLOOKUP($A$8,'تقرير إحصائية بحجم المبيعات'!$B$112:$L$137,11,FALSE)</f>
        <v>610904.94999999995</v>
      </c>
      <c r="H12" s="364">
        <f>VLOOKUP($A$8,'تقرير إحصائية بحجم المبيعات'!$B$147:$L$177,11,FALSE)</f>
        <v>486955.05</v>
      </c>
      <c r="I12" s="364">
        <f>VLOOKUP($A$8,'تقرير إحصائية بحجم المبيعات'!$B$182:$L$212,11,FALSE)</f>
        <v>732008.61</v>
      </c>
      <c r="J12" s="365">
        <f>VLOOKUP($A$8,'تقرير إحصائية بحجم المبيعات'!$B$217:$L$243,11,FALSE)</f>
        <v>687045.2</v>
      </c>
      <c r="K12" s="364">
        <f>VLOOKUP($A$8,'تقرير إحصائية بحجم المبيعات'!$B$252:$L$278,11,FALSE)</f>
        <v>776458.03</v>
      </c>
      <c r="L12" s="364">
        <f>VLOOKUP($A$8,'تقرير إحصائية بحجم المبيعات'!$B$287:$L$313,11,FALSE)</f>
        <v>671247.1</v>
      </c>
      <c r="M12" s="365">
        <f>VLOOKUP($A$8,'تقرير إحصائية بحجم المبيعات'!$B$322:$L$350,11,FALSE)</f>
        <v>505394.67</v>
      </c>
      <c r="N12" s="365">
        <f>VLOOKUP($A$8,'تقرير إحصائية بحجم المبيعات'!$B$357:$L$383,11,FALSE)</f>
        <v>441954.36</v>
      </c>
      <c r="O12" s="365">
        <f>VLOOKUP($A$8,'تقرير إحصائية بحجم المبيعات'!$B$391:$L$420,11,FALSE)</f>
        <v>533809.54</v>
      </c>
      <c r="P12" s="364">
        <f t="shared" si="1"/>
        <v>6680916.4199999999</v>
      </c>
    </row>
    <row r="13" spans="1:20" ht="18" customHeight="1">
      <c r="B13" s="124"/>
      <c r="C13" s="371" t="s">
        <v>14</v>
      </c>
      <c r="D13" s="366">
        <f t="shared" ref="D13:O13" si="2">D8-D12</f>
        <v>124085.63999999996</v>
      </c>
      <c r="E13" s="366">
        <f t="shared" si="2"/>
        <v>144638.14000000019</v>
      </c>
      <c r="F13" s="366">
        <f t="shared" si="2"/>
        <v>131155.77999999997</v>
      </c>
      <c r="G13" s="366">
        <f t="shared" si="2"/>
        <v>205967.88000000012</v>
      </c>
      <c r="H13" s="366">
        <f t="shared" si="2"/>
        <v>160175.40999999997</v>
      </c>
      <c r="I13" s="366">
        <f t="shared" si="2"/>
        <v>238236.93000000005</v>
      </c>
      <c r="J13" s="366">
        <f t="shared" si="2"/>
        <v>226568.02000000002</v>
      </c>
      <c r="K13" s="366">
        <f t="shared" si="2"/>
        <v>256257.45999999996</v>
      </c>
      <c r="L13" s="366">
        <f t="shared" si="2"/>
        <v>223639.63</v>
      </c>
      <c r="M13" s="366">
        <f t="shared" si="2"/>
        <v>171217.53000000009</v>
      </c>
      <c r="N13" s="366">
        <f t="shared" si="2"/>
        <v>149812.44000000006</v>
      </c>
      <c r="O13" s="366">
        <f t="shared" si="2"/>
        <v>178655.74</v>
      </c>
      <c r="P13" s="366">
        <f t="shared" si="1"/>
        <v>2210410.6000000006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>
        <v>-9.2200000000000006</v>
      </c>
      <c r="F16" s="367">
        <v>-11.109999999998763</v>
      </c>
      <c r="G16" s="367">
        <v>6495.95</v>
      </c>
      <c r="H16" s="367"/>
      <c r="I16" s="367"/>
      <c r="J16" s="367">
        <v>3768.66</v>
      </c>
      <c r="K16" s="367"/>
      <c r="L16" s="367"/>
      <c r="M16" s="367"/>
      <c r="N16" s="367">
        <v>8299.6099999999988</v>
      </c>
      <c r="O16" s="367"/>
      <c r="P16" s="364">
        <f t="shared" si="1"/>
        <v>18543.89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-9.2200000000000006</v>
      </c>
      <c r="F18" s="363">
        <f t="shared" si="3"/>
        <v>-11.109999999998763</v>
      </c>
      <c r="G18" s="363">
        <f t="shared" si="3"/>
        <v>6495.95</v>
      </c>
      <c r="H18" s="363">
        <f t="shared" si="3"/>
        <v>0</v>
      </c>
      <c r="I18" s="363">
        <f t="shared" si="3"/>
        <v>0</v>
      </c>
      <c r="J18" s="363">
        <f t="shared" si="3"/>
        <v>3768.66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 t="shared" si="3"/>
        <v>8299.6099999999988</v>
      </c>
      <c r="O18" s="368">
        <f t="shared" si="3"/>
        <v>0</v>
      </c>
      <c r="P18" s="364">
        <f t="shared" si="1"/>
        <v>18543.89</v>
      </c>
    </row>
    <row r="19" spans="2:16" ht="18" customHeight="1">
      <c r="B19" s="124"/>
      <c r="C19" s="386" t="s">
        <v>14</v>
      </c>
      <c r="D19" s="374">
        <f t="shared" ref="D19:O19" si="4">D13+D18</f>
        <v>124085.63999999996</v>
      </c>
      <c r="E19" s="374">
        <f t="shared" si="4"/>
        <v>144628.92000000019</v>
      </c>
      <c r="F19" s="374">
        <f t="shared" si="4"/>
        <v>131144.66999999998</v>
      </c>
      <c r="G19" s="374">
        <f t="shared" si="4"/>
        <v>212463.83000000013</v>
      </c>
      <c r="H19" s="374">
        <f t="shared" si="4"/>
        <v>160175.40999999997</v>
      </c>
      <c r="I19" s="374">
        <f t="shared" si="4"/>
        <v>238236.93000000005</v>
      </c>
      <c r="J19" s="374">
        <f t="shared" si="4"/>
        <v>230336.68000000002</v>
      </c>
      <c r="K19" s="374">
        <f t="shared" si="4"/>
        <v>256257.45999999996</v>
      </c>
      <c r="L19" s="374">
        <f t="shared" si="4"/>
        <v>223639.63</v>
      </c>
      <c r="M19" s="374">
        <f t="shared" si="4"/>
        <v>171217.53000000009</v>
      </c>
      <c r="N19" s="374">
        <f t="shared" si="4"/>
        <v>158112.05000000005</v>
      </c>
      <c r="O19" s="374">
        <f t="shared" si="4"/>
        <v>178655.74</v>
      </c>
      <c r="P19" s="382">
        <f>SUM(D19:O19)</f>
        <v>2228954.4900000002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الشهر'!$C$10:$AD$119,16,FALSE),0)</f>
        <v>0</v>
      </c>
      <c r="E22" s="362">
        <f>IFERROR(VLOOKUP(C22,'تقرير المصروفات حسب الشهر'!$C$135:$AD$244,16,FALSE),0)</f>
        <v>0</v>
      </c>
      <c r="F22" s="362">
        <v>0</v>
      </c>
      <c r="G22" s="362">
        <f>IFERROR(VLOOKUP(C22,'تقرير المصروفات حسب الشهر'!$C$387:$AD$495,16,FALSE),0)</f>
        <v>0</v>
      </c>
      <c r="H22" s="362">
        <f>IFERROR(VLOOKUP(C22,'تقرير المصروفات حسب الشهر'!$C$512:$AD$620,16,FALSE),0)</f>
        <v>0</v>
      </c>
      <c r="I22" s="362">
        <f>IFERROR(VLOOKUP(C22,'تقرير المصروفات حسب الشهر'!$C$637:$AD$746,16,FALSE),0)</f>
        <v>0</v>
      </c>
      <c r="J22" s="362">
        <f>IFERROR(VLOOKUP(C22,'تقرير المصروفات حسب الشهر'!$C$763:$AD$872,16,FALSE),0)</f>
        <v>0</v>
      </c>
      <c r="K22" s="362">
        <f>IFERROR(VLOOKUP(C22,'تقرير المصروفات حسب الشهر'!$C$890:$AD$999,16,FALSE),0)</f>
        <v>0</v>
      </c>
      <c r="L22" s="362">
        <f>IFERROR(VLOOKUP(C22,'تقرير المصروفات حسب الشهر'!$C$1016:$AD$1126,16,FALSE),0)</f>
        <v>0</v>
      </c>
      <c r="M22" s="376">
        <f>IFERROR(VLOOKUP(C22,'تقرير المصروفات حسب الشهر'!$C$1143:$AD$1254,16,FALSE),0)</f>
        <v>0</v>
      </c>
      <c r="N22" s="376">
        <f>IFERROR(VLOOKUP(C22,'تقرير المصروفات حسب الشهر'!$C$1270:$AD$1381,16,FALSE),0)</f>
        <v>0</v>
      </c>
      <c r="O22" s="376">
        <f>IFERROR(VLOOKUP(C22,'تقرير المصروفات حسب الشهر'!$C$1397:$AI$1512,16,FALSE),0)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الشهر'!$C$10:$AD$119,16,FALSE),0)</f>
        <v>43064.82</v>
      </c>
      <c r="E23" s="362">
        <f>IFERROR(VLOOKUP(C23,'تقرير المصروفات حسب الشهر'!$C$135:$AD$244,16,FALSE),0)</f>
        <v>27076.59</v>
      </c>
      <c r="F23" s="362">
        <v>51935.520000000004</v>
      </c>
      <c r="G23" s="362">
        <f>IFERROR(VLOOKUP(C23,'تقرير المصروفات حسب الشهر'!$C$387:$AD$495,16,FALSE),0)</f>
        <v>41396.11</v>
      </c>
      <c r="H23" s="362">
        <f>IFERROR(VLOOKUP(C23,'تقرير المصروفات حسب الشهر'!$C$512:$AD$620,16,FALSE),0)</f>
        <v>36317.699999999997</v>
      </c>
      <c r="I23" s="362">
        <f>IFERROR(VLOOKUP(C23,'تقرير المصروفات حسب الشهر'!$C$637:$AD$746,16,FALSE),0)</f>
        <v>40589.660000000003</v>
      </c>
      <c r="J23" s="362">
        <f>IFERROR(VLOOKUP(C23,'تقرير المصروفات حسب الشهر'!$C$763:$AD$872,16,FALSE),0)</f>
        <v>34523.54</v>
      </c>
      <c r="K23" s="362">
        <f>IFERROR(VLOOKUP(C23,'تقرير المصروفات حسب الشهر'!$C$890:$AD$999,16,FALSE),0)</f>
        <v>57300.4</v>
      </c>
      <c r="L23" s="362">
        <f>IFERROR(VLOOKUP(C23,'تقرير المصروفات حسب الشهر'!$C$1016:$AD$1126,16,FALSE),0)</f>
        <v>35266.910000000003</v>
      </c>
      <c r="M23" s="376">
        <f>IFERROR(VLOOKUP(C23,'تقرير المصروفات حسب الشهر'!$C$1143:$AD$1254,16,FALSE),0)</f>
        <v>56440.06</v>
      </c>
      <c r="N23" s="376">
        <f>IFERROR(VLOOKUP(C23,'تقرير المصروفات حسب الشهر'!$C$1270:$AD$1381,16,FALSE),0)</f>
        <v>42680.450000000004</v>
      </c>
      <c r="O23" s="376">
        <f>IFERROR(VLOOKUP(C23,'تقرير المصروفات حسب الشهر'!$C$1397:$AI$1512,16,FALSE),0)</f>
        <v>42523.59</v>
      </c>
      <c r="P23" s="364">
        <f t="shared" ref="P23:P86" si="5">SUM(D23:O23)</f>
        <v>509115.35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الشهر'!$C$10:$AD$119,16,FALSE),0)</f>
        <v>4200</v>
      </c>
      <c r="E24" s="362">
        <f>IFERROR(VLOOKUP(C24,'تقرير المصروفات حسب الشهر'!$C$135:$AD$244,16,FALSE),0)</f>
        <v>0</v>
      </c>
      <c r="F24" s="362">
        <v>8400</v>
      </c>
      <c r="G24" s="362">
        <f>IFERROR(VLOOKUP(C24,'تقرير المصروفات حسب الشهر'!$C$387:$AD$495,16,FALSE),0)</f>
        <v>4200</v>
      </c>
      <c r="H24" s="362">
        <f>IFERROR(VLOOKUP(C24,'تقرير المصروفات حسب الشهر'!$C$512:$AD$620,16,FALSE),0)</f>
        <v>4200</v>
      </c>
      <c r="I24" s="362">
        <f>IFERROR(VLOOKUP(C24,'تقرير المصروفات حسب الشهر'!$C$637:$AD$746,16,FALSE),0)</f>
        <v>6300</v>
      </c>
      <c r="J24" s="362">
        <f>IFERROR(VLOOKUP(C24,'تقرير المصروفات حسب الشهر'!$C$763:$AD$872,16,FALSE),0)</f>
        <v>4200</v>
      </c>
      <c r="K24" s="362">
        <f>IFERROR(VLOOKUP(C24,'تقرير المصروفات حسب الشهر'!$C$890:$AD$999,16,FALSE),0)</f>
        <v>4200</v>
      </c>
      <c r="L24" s="362">
        <f>IFERROR(VLOOKUP(C24,'تقرير المصروفات حسب الشهر'!$C$1016:$AD$1126,16,FALSE),0)</f>
        <v>4200</v>
      </c>
      <c r="M24" s="376">
        <f>IFERROR(VLOOKUP(C24,'تقرير المصروفات حسب الشهر'!$C$1143:$AD$1254,16,FALSE),0)</f>
        <v>4200</v>
      </c>
      <c r="N24" s="376">
        <f>IFERROR(VLOOKUP(C24,'تقرير المصروفات حسب الشهر'!$C$1270:$AD$1381,16,FALSE),0)</f>
        <v>4200</v>
      </c>
      <c r="O24" s="376">
        <f>IFERROR(VLOOKUP(C24,'تقرير المصروفات حسب الشهر'!$C$1397:$AI$1512,16,FALSE),0)</f>
        <v>4200</v>
      </c>
      <c r="P24" s="364">
        <f t="shared" si="5"/>
        <v>52500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الشهر'!$C$10:$AD$119,16,FALSE),0)</f>
        <v>0</v>
      </c>
      <c r="E25" s="362">
        <f>IFERROR(VLOOKUP(C25,'تقرير المصروفات حسب الشهر'!$C$135:$AD$244,16,FALSE),0)</f>
        <v>0</v>
      </c>
      <c r="F25" s="362">
        <v>0</v>
      </c>
      <c r="G25" s="362">
        <f>IFERROR(VLOOKUP(C25,'تقرير المصروفات حسب الشهر'!$C$387:$AD$495,16,FALSE),0)</f>
        <v>0</v>
      </c>
      <c r="H25" s="362">
        <f>IFERROR(VLOOKUP(C25,'تقرير المصروفات حسب الشهر'!$C$512:$AD$620,16,FALSE),0)</f>
        <v>6500</v>
      </c>
      <c r="I25" s="362">
        <f>IFERROR(VLOOKUP(C25,'تقرير المصروفات حسب الشهر'!$C$637:$AD$746,16,FALSE),0)</f>
        <v>0</v>
      </c>
      <c r="J25" s="362">
        <f>IFERROR(VLOOKUP(C25,'تقرير المصروفات حسب الشهر'!$C$763:$AD$872,16,FALSE),0)</f>
        <v>0</v>
      </c>
      <c r="K25" s="362">
        <f>IFERROR(VLOOKUP(C25,'تقرير المصروفات حسب الشهر'!$C$890:$AD$999,16,FALSE),0)</f>
        <v>540</v>
      </c>
      <c r="L25" s="362">
        <f>IFERROR(VLOOKUP(C25,'تقرير المصروفات حسب الشهر'!$C$1016:$AD$1126,16,FALSE),0)</f>
        <v>0</v>
      </c>
      <c r="M25" s="376">
        <f>IFERROR(VLOOKUP(C25,'تقرير المصروفات حسب الشهر'!$C$1143:$AD$1254,16,FALSE),0)</f>
        <v>560</v>
      </c>
      <c r="N25" s="376">
        <f>IFERROR(VLOOKUP(C25,'تقرير المصروفات حسب الشهر'!$C$1270:$AD$1381,16,FALSE),0)</f>
        <v>0</v>
      </c>
      <c r="O25" s="376">
        <f>IFERROR(VLOOKUP(C25,'تقرير المصروفات حسب الشهر'!$C$1397:$AI$1512,16,FALSE),0)</f>
        <v>550</v>
      </c>
      <c r="P25" s="364">
        <f t="shared" si="5"/>
        <v>8150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الشهر'!$C$10:$AD$119,16,FALSE),0)</f>
        <v>0</v>
      </c>
      <c r="E26" s="362">
        <f>IFERROR(VLOOKUP(C26,'تقرير المصروفات حسب الشهر'!$C$135:$AD$244,16,FALSE),0)</f>
        <v>0</v>
      </c>
      <c r="F26" s="362">
        <v>0</v>
      </c>
      <c r="G26" s="362">
        <f>IFERROR(VLOOKUP(C26,'تقرير المصروفات حسب الشهر'!$C$387:$AD$495,16,FALSE),0)</f>
        <v>0</v>
      </c>
      <c r="H26" s="362">
        <f>IFERROR(VLOOKUP(C26,'تقرير المصروفات حسب الشهر'!$C$512:$AD$620,16,FALSE),0)</f>
        <v>0</v>
      </c>
      <c r="I26" s="362">
        <f>IFERROR(VLOOKUP(C26,'تقرير المصروفات حسب الشهر'!$C$637:$AD$746,16,FALSE),0)</f>
        <v>0</v>
      </c>
      <c r="J26" s="362">
        <f>IFERROR(VLOOKUP(C26,'تقرير المصروفات حسب الشهر'!$C$763:$AD$872,16,FALSE),0)</f>
        <v>0</v>
      </c>
      <c r="K26" s="362">
        <f>IFERROR(VLOOKUP(C26,'تقرير المصروفات حسب الشهر'!$C$890:$AD$999,16,FALSE),0)</f>
        <v>0</v>
      </c>
      <c r="L26" s="362">
        <f>IFERROR(VLOOKUP(C26,'تقرير المصروفات حسب الشهر'!$C$1016:$AD$1126,16,FALSE),0)</f>
        <v>0</v>
      </c>
      <c r="M26" s="376">
        <f>IFERROR(VLOOKUP(C26,'تقرير المصروفات حسب الشهر'!$C$1143:$AD$1254,16,FALSE),0)</f>
        <v>0</v>
      </c>
      <c r="N26" s="376">
        <f>IFERROR(VLOOKUP(C26,'تقرير المصروفات حسب الشهر'!$C$1270:$AD$1381,16,FALSE),0)</f>
        <v>0</v>
      </c>
      <c r="O26" s="376">
        <f>IFERROR(VLOOKUP(C26,'تقرير المصروفات حسب الشهر'!$C$1397:$AI$1512,16,FALSE),0)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الشهر'!$C$10:$AD$119,16,FALSE),0)</f>
        <v>0</v>
      </c>
      <c r="E27" s="362">
        <f>IFERROR(VLOOKUP(C27,'تقرير المصروفات حسب الشهر'!$C$135:$AD$244,16,FALSE),0)</f>
        <v>0</v>
      </c>
      <c r="F27" s="362">
        <v>0</v>
      </c>
      <c r="G27" s="362">
        <f>IFERROR(VLOOKUP(C27,'تقرير المصروفات حسب الشهر'!$C$387:$AD$495,16,FALSE),0)</f>
        <v>0</v>
      </c>
      <c r="H27" s="362">
        <f>IFERROR(VLOOKUP(C27,'تقرير المصروفات حسب الشهر'!$C$512:$AD$620,16,FALSE),0)</f>
        <v>0</v>
      </c>
      <c r="I27" s="362">
        <f>IFERROR(VLOOKUP(C27,'تقرير المصروفات حسب الشهر'!$C$637:$AD$746,16,FALSE),0)</f>
        <v>0</v>
      </c>
      <c r="J27" s="362">
        <f>IFERROR(VLOOKUP(C27,'تقرير المصروفات حسب الشهر'!$C$763:$AD$872,16,FALSE),0)</f>
        <v>0</v>
      </c>
      <c r="K27" s="362">
        <f>IFERROR(VLOOKUP(C27,'تقرير المصروفات حسب الشهر'!$C$890:$AD$999,16,FALSE),0)</f>
        <v>0</v>
      </c>
      <c r="L27" s="362">
        <f>IFERROR(VLOOKUP(C27,'تقرير المصروفات حسب الشهر'!$C$1016:$AD$1126,16,FALSE),0)</f>
        <v>0</v>
      </c>
      <c r="M27" s="376">
        <f>IFERROR(VLOOKUP(C27,'تقرير المصروفات حسب الشهر'!$C$1143:$AD$1254,16,FALSE),0)</f>
        <v>0</v>
      </c>
      <c r="N27" s="376">
        <f>IFERROR(VLOOKUP(C27,'تقرير المصروفات حسب الشهر'!$C$1270:$AD$1381,16,FALSE),0)</f>
        <v>0</v>
      </c>
      <c r="O27" s="376">
        <f>IFERROR(VLOOKUP(C27,'تقرير المصروفات حسب الشهر'!$C$1397:$AI$1512,16,FALSE),0)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الشهر'!$C$10:$AD$119,16,FALSE),0)</f>
        <v>0</v>
      </c>
      <c r="E28" s="362">
        <f>IFERROR(VLOOKUP(C28,'تقرير المصروفات حسب الشهر'!$C$135:$AD$244,16,FALSE),0)</f>
        <v>0</v>
      </c>
      <c r="F28" s="362">
        <v>0</v>
      </c>
      <c r="G28" s="362">
        <f>IFERROR(VLOOKUP(C28,'تقرير المصروفات حسب الشهر'!$C$387:$AD$495,16,FALSE),0)</f>
        <v>0</v>
      </c>
      <c r="H28" s="362">
        <f>IFERROR(VLOOKUP(C28,'تقرير المصروفات حسب الشهر'!$C$512:$AD$620,16,FALSE),0)</f>
        <v>0</v>
      </c>
      <c r="I28" s="362">
        <f>IFERROR(VLOOKUP(C28,'تقرير المصروفات حسب الشهر'!$C$637:$AD$746,16,FALSE),0)</f>
        <v>0</v>
      </c>
      <c r="J28" s="362">
        <f>IFERROR(VLOOKUP(C28,'تقرير المصروفات حسب الشهر'!$C$763:$AD$872,16,FALSE),0)</f>
        <v>0</v>
      </c>
      <c r="K28" s="362">
        <f>IFERROR(VLOOKUP(C28,'تقرير المصروفات حسب الشهر'!$C$890:$AD$999,16,FALSE),0)</f>
        <v>0</v>
      </c>
      <c r="L28" s="362">
        <f>IFERROR(VLOOKUP(C28,'تقرير المصروفات حسب الشهر'!$C$1016:$AD$1126,16,FALSE),0)</f>
        <v>0</v>
      </c>
      <c r="M28" s="376">
        <f>IFERROR(VLOOKUP(C28,'تقرير المصروفات حسب الشهر'!$C$1143:$AD$1254,16,FALSE),0)</f>
        <v>0</v>
      </c>
      <c r="N28" s="376">
        <f>IFERROR(VLOOKUP(C28,'تقرير المصروفات حسب الشهر'!$C$1270:$AD$1381,16,FALSE),0)</f>
        <v>0</v>
      </c>
      <c r="O28" s="376">
        <f>IFERROR(VLOOKUP(C28,'تقرير المصروفات حسب الشهر'!$C$1397:$AI$1512,16,FALSE),0)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الشهر'!$C$10:$AD$119,16,FALSE),0)</f>
        <v>22420</v>
      </c>
      <c r="E29" s="362">
        <f>IFERROR(VLOOKUP(C29,'تقرير المصروفات حسب الشهر'!$C$135:$AD$244,16,FALSE),0)</f>
        <v>22420</v>
      </c>
      <c r="F29" s="362">
        <v>22420</v>
      </c>
      <c r="G29" s="362">
        <f>IFERROR(VLOOKUP(C29,'تقرير المصروفات حسب الشهر'!$C$387:$AD$495,16,FALSE),0)</f>
        <v>22420</v>
      </c>
      <c r="H29" s="362">
        <f>IFERROR(VLOOKUP(C29,'تقرير المصروفات حسب الشهر'!$C$512:$AD$620,16,FALSE),0)</f>
        <v>23420</v>
      </c>
      <c r="I29" s="362">
        <f>IFERROR(VLOOKUP(C29,'تقرير المصروفات حسب الشهر'!$C$637:$AD$746,16,FALSE),0)</f>
        <v>23420</v>
      </c>
      <c r="J29" s="362">
        <f>IFERROR(VLOOKUP(C29,'تقرير المصروفات حسب الشهر'!$C$763:$AD$872,16,FALSE),0)</f>
        <v>23420</v>
      </c>
      <c r="K29" s="362">
        <f>IFERROR(VLOOKUP(C29,'تقرير المصروفات حسب الشهر'!$C$890:$AD$999,16,FALSE),0)</f>
        <v>23420</v>
      </c>
      <c r="L29" s="362">
        <f>IFERROR(VLOOKUP(C29,'تقرير المصروفات حسب الشهر'!$C$1016:$AD$1126,16,FALSE),0)</f>
        <v>23420</v>
      </c>
      <c r="M29" s="376">
        <f>IFERROR(VLOOKUP(C29,'تقرير المصروفات حسب الشهر'!$C$1143:$AD$1254,16,FALSE),0)</f>
        <v>23420</v>
      </c>
      <c r="N29" s="376">
        <f>IFERROR(VLOOKUP(C29,'تقرير المصروفات حسب الشهر'!$C$1270:$AD$1381,16,FALSE),0)</f>
        <v>23420</v>
      </c>
      <c r="O29" s="376">
        <f>IFERROR(VLOOKUP(C29,'تقرير المصروفات حسب الشهر'!$C$1397:$AI$1512,16,FALSE),0)</f>
        <v>23420</v>
      </c>
      <c r="P29" s="364">
        <f t="shared" si="5"/>
        <v>277040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الشهر'!$C$10:$AD$119,16,FALSE),0)</f>
        <v>0</v>
      </c>
      <c r="E30" s="362">
        <f>IFERROR(VLOOKUP(C30,'تقرير المصروفات حسب الشهر'!$C$135:$AD$244,16,FALSE),0)</f>
        <v>0</v>
      </c>
      <c r="F30" s="362">
        <v>0</v>
      </c>
      <c r="G30" s="362">
        <f>IFERROR(VLOOKUP(C30,'تقرير المصروفات حسب الشهر'!$C$387:$AD$495,16,FALSE),0)</f>
        <v>0</v>
      </c>
      <c r="H30" s="362">
        <f>IFERROR(VLOOKUP(C30,'تقرير المصروفات حسب الشهر'!$C$512:$AD$620,16,FALSE),0)</f>
        <v>0</v>
      </c>
      <c r="I30" s="362">
        <f>IFERROR(VLOOKUP(C30,'تقرير المصروفات حسب الشهر'!$C$637:$AD$746,16,FALSE),0)</f>
        <v>325.36</v>
      </c>
      <c r="J30" s="362">
        <f>IFERROR(VLOOKUP(C30,'تقرير المصروفات حسب الشهر'!$C$763:$AD$872,16,FALSE),0)</f>
        <v>0</v>
      </c>
      <c r="K30" s="362">
        <f>IFERROR(VLOOKUP(C30,'تقرير المصروفات حسب الشهر'!$C$890:$AD$999,16,FALSE),0)</f>
        <v>0</v>
      </c>
      <c r="L30" s="362">
        <f>IFERROR(VLOOKUP(C30,'تقرير المصروفات حسب الشهر'!$C$1016:$AD$1126,16,FALSE),0)</f>
        <v>0</v>
      </c>
      <c r="M30" s="376">
        <f>IFERROR(VLOOKUP(C30,'تقرير المصروفات حسب الشهر'!$C$1143:$AD$1254,16,FALSE),0)</f>
        <v>350</v>
      </c>
      <c r="N30" s="376">
        <f>IFERROR(VLOOKUP(C30,'تقرير المصروفات حسب الشهر'!$C$1270:$AD$1381,16,FALSE),0)</f>
        <v>0</v>
      </c>
      <c r="O30" s="376">
        <f>IFERROR(VLOOKUP(C30,'تقرير المصروفات حسب الشهر'!$C$1397:$AI$1512,16,FALSE),0)</f>
        <v>0</v>
      </c>
      <c r="P30" s="364">
        <f t="shared" si="5"/>
        <v>675.36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الشهر'!$C$10:$AD$119,16,FALSE),0)</f>
        <v>65.87</v>
      </c>
      <c r="E31" s="362">
        <f>IFERROR(VLOOKUP(C31,'تقرير المصروفات حسب الشهر'!$C$135:$AD$244,16,FALSE),0)</f>
        <v>65.87</v>
      </c>
      <c r="F31" s="362">
        <v>65.87</v>
      </c>
      <c r="G31" s="362">
        <f>IFERROR(VLOOKUP(C31,'تقرير المصروفات حسب الشهر'!$C$387:$AD$495,16,FALSE),0)</f>
        <v>165.87</v>
      </c>
      <c r="H31" s="362">
        <f>IFERROR(VLOOKUP(C31,'تقرير المصروفات حسب الشهر'!$C$512:$AD$620,16,FALSE),0)</f>
        <v>65.87</v>
      </c>
      <c r="I31" s="362">
        <f>IFERROR(VLOOKUP(C31,'تقرير المصروفات حسب الشهر'!$C$637:$AD$746,16,FALSE),0)</f>
        <v>65.87</v>
      </c>
      <c r="J31" s="362">
        <f>IFERROR(VLOOKUP(C31,'تقرير المصروفات حسب الشهر'!$C$763:$AD$872,16,FALSE),0)</f>
        <v>270.87</v>
      </c>
      <c r="K31" s="362">
        <f>IFERROR(VLOOKUP(C31,'تقرير المصروفات حسب الشهر'!$C$890:$AD$999,16,FALSE),0)</f>
        <v>65.87</v>
      </c>
      <c r="L31" s="362">
        <f>IFERROR(VLOOKUP(C31,'تقرير المصروفات حسب الشهر'!$C$1016:$AD$1126,16,FALSE),0)</f>
        <v>65.87</v>
      </c>
      <c r="M31" s="376">
        <f>IFERROR(VLOOKUP(C31,'تقرير المصروفات حسب الشهر'!$C$1143:$AD$1254,16,FALSE),0)</f>
        <v>65.87</v>
      </c>
      <c r="N31" s="376">
        <f>IFERROR(VLOOKUP(C31,'تقرير المصروفات حسب الشهر'!$C$1270:$AD$1381,16,FALSE),0)</f>
        <v>65.87</v>
      </c>
      <c r="O31" s="376">
        <f>IFERROR(VLOOKUP(C31,'تقرير المصروفات حسب الشهر'!$C$1397:$AI$1512,16,FALSE),0)</f>
        <v>65.87</v>
      </c>
      <c r="P31" s="364">
        <f t="shared" si="5"/>
        <v>1095.44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الشهر'!$C$10:$AD$119,16,FALSE),0)</f>
        <v>0</v>
      </c>
      <c r="E32" s="362">
        <f>IFERROR(VLOOKUP(C32,'تقرير المصروفات حسب الشهر'!$C$135:$AD$244,16,FALSE),0)</f>
        <v>0</v>
      </c>
      <c r="F32" s="362">
        <v>0</v>
      </c>
      <c r="G32" s="362">
        <f>IFERROR(VLOOKUP(C32,'تقرير المصروفات حسب الشهر'!$C$387:$AD$495,16,FALSE),0)</f>
        <v>0</v>
      </c>
      <c r="H32" s="362">
        <f>IFERROR(VLOOKUP(C32,'تقرير المصروفات حسب الشهر'!$C$512:$AD$620,16,FALSE),0)</f>
        <v>0</v>
      </c>
      <c r="I32" s="362">
        <f>IFERROR(VLOOKUP(C32,'تقرير المصروفات حسب الشهر'!$C$637:$AD$746,16,FALSE),0)</f>
        <v>0</v>
      </c>
      <c r="J32" s="362">
        <f>IFERROR(VLOOKUP(C32,'تقرير المصروفات حسب الشهر'!$C$763:$AD$872,16,FALSE),0)</f>
        <v>0</v>
      </c>
      <c r="K32" s="362">
        <f>IFERROR(VLOOKUP(C32,'تقرير المصروفات حسب الشهر'!$C$890:$AD$999,16,FALSE),0)</f>
        <v>0</v>
      </c>
      <c r="L32" s="362">
        <f>IFERROR(VLOOKUP(C32,'تقرير المصروفات حسب الشهر'!$C$1016:$AD$1126,16,FALSE),0)</f>
        <v>0</v>
      </c>
      <c r="M32" s="376">
        <f>IFERROR(VLOOKUP(C32,'تقرير المصروفات حسب الشهر'!$C$1143:$AD$1254,16,FALSE),0)</f>
        <v>0</v>
      </c>
      <c r="N32" s="376">
        <f>IFERROR(VLOOKUP(C32,'تقرير المصروفات حسب الشهر'!$C$1270:$AD$1381,16,FALSE),0)</f>
        <v>0</v>
      </c>
      <c r="O32" s="376">
        <f>IFERROR(VLOOKUP(C32,'تقرير المصروفات حسب الشهر'!$C$1397:$AI$1512,16,FALSE),0)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الشهر'!$C$10:$AD$119,16,FALSE),0)</f>
        <v>0</v>
      </c>
      <c r="E33" s="362">
        <f>IFERROR(VLOOKUP(C33,'تقرير المصروفات حسب الشهر'!$C$135:$AD$244,16,FALSE),0)</f>
        <v>0</v>
      </c>
      <c r="F33" s="362">
        <v>0</v>
      </c>
      <c r="G33" s="362">
        <f>IFERROR(VLOOKUP(C33,'تقرير المصروفات حسب الشهر'!$C$387:$AD$495,16,FALSE),0)</f>
        <v>0</v>
      </c>
      <c r="H33" s="362">
        <f>IFERROR(VLOOKUP(C33,'تقرير المصروفات حسب الشهر'!$C$512:$AD$620,16,FALSE),0)</f>
        <v>0</v>
      </c>
      <c r="I33" s="362">
        <f>IFERROR(VLOOKUP(C33,'تقرير المصروفات حسب الشهر'!$C$637:$AD$746,16,FALSE),0)</f>
        <v>0</v>
      </c>
      <c r="J33" s="362">
        <f>IFERROR(VLOOKUP(C33,'تقرير المصروفات حسب الشهر'!$C$763:$AD$872,16,FALSE),0)</f>
        <v>0</v>
      </c>
      <c r="K33" s="362">
        <f>IFERROR(VLOOKUP(C33,'تقرير المصروفات حسب الشهر'!$C$890:$AD$999,16,FALSE),0)</f>
        <v>1325</v>
      </c>
      <c r="L33" s="362">
        <f>IFERROR(VLOOKUP(C33,'تقرير المصروفات حسب الشهر'!$C$1016:$AD$1126,16,FALSE),0)</f>
        <v>280</v>
      </c>
      <c r="M33" s="376">
        <f>IFERROR(VLOOKUP(C33,'تقرير المصروفات حسب الشهر'!$C$1143:$AD$1254,16,FALSE),0)</f>
        <v>0</v>
      </c>
      <c r="N33" s="376">
        <f>IFERROR(VLOOKUP(C33,'تقرير المصروفات حسب الشهر'!$C$1270:$AD$1381,16,FALSE),0)</f>
        <v>0</v>
      </c>
      <c r="O33" s="376">
        <f>IFERROR(VLOOKUP(C33,'تقرير المصروفات حسب الشهر'!$C$1397:$AI$1512,16,FALSE),0)</f>
        <v>0</v>
      </c>
      <c r="P33" s="364">
        <f t="shared" si="5"/>
        <v>1605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الشهر'!$C$10:$AD$119,16,FALSE),0)</f>
        <v>0</v>
      </c>
      <c r="E34" s="362">
        <f>IFERROR(VLOOKUP(C34,'تقرير المصروفات حسب الشهر'!$C$135:$AD$244,16,FALSE),0)</f>
        <v>0</v>
      </c>
      <c r="F34" s="362">
        <v>0</v>
      </c>
      <c r="G34" s="362">
        <f>IFERROR(VLOOKUP(C34,'تقرير المصروفات حسب الشهر'!$C$387:$AD$495,16,FALSE),0)</f>
        <v>0</v>
      </c>
      <c r="H34" s="362">
        <f>IFERROR(VLOOKUP(C34,'تقرير المصروفات حسب الشهر'!$C$512:$AD$620,16,FALSE),0)</f>
        <v>0</v>
      </c>
      <c r="I34" s="362">
        <f>IFERROR(VLOOKUP(C34,'تقرير المصروفات حسب الشهر'!$C$637:$AD$746,16,FALSE),0)</f>
        <v>0</v>
      </c>
      <c r="J34" s="362">
        <f>IFERROR(VLOOKUP(C34,'تقرير المصروفات حسب الشهر'!$C$763:$AD$872,16,FALSE),0)</f>
        <v>0</v>
      </c>
      <c r="K34" s="362">
        <f>IFERROR(VLOOKUP(C34,'تقرير المصروفات حسب الشهر'!$C$890:$AD$999,16,FALSE),0)</f>
        <v>0</v>
      </c>
      <c r="L34" s="362">
        <f>IFERROR(VLOOKUP(C34,'تقرير المصروفات حسب الشهر'!$C$1016:$AD$1126,16,FALSE),0)</f>
        <v>0</v>
      </c>
      <c r="M34" s="376">
        <f>IFERROR(VLOOKUP(C34,'تقرير المصروفات حسب الشهر'!$C$1143:$AD$1254,16,FALSE),0)</f>
        <v>0</v>
      </c>
      <c r="N34" s="376">
        <f>IFERROR(VLOOKUP(C34,'تقرير المصروفات حسب الشهر'!$C$1270:$AD$1381,16,FALSE),0)</f>
        <v>0</v>
      </c>
      <c r="O34" s="376">
        <f>IFERROR(VLOOKUP(C34,'تقرير المصروفات حسب الشهر'!$C$1397:$AI$1512,16,FALSE),0)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الشهر'!$C$10:$AD$119,16,FALSE),0)</f>
        <v>0</v>
      </c>
      <c r="E35" s="362">
        <f>IFERROR(VLOOKUP(C35,'تقرير المصروفات حسب الشهر'!$C$135:$AD$244,16,FALSE),0)</f>
        <v>0</v>
      </c>
      <c r="F35" s="362">
        <v>0</v>
      </c>
      <c r="G35" s="362">
        <f>IFERROR(VLOOKUP(C35,'تقرير المصروفات حسب الشهر'!$C$387:$AD$495,16,FALSE),0)</f>
        <v>0</v>
      </c>
      <c r="H35" s="362">
        <f>IFERROR(VLOOKUP(C35,'تقرير المصروفات حسب الشهر'!$C$512:$AD$620,16,FALSE),0)</f>
        <v>0</v>
      </c>
      <c r="I35" s="362">
        <f>IFERROR(VLOOKUP(C35,'تقرير المصروفات حسب الشهر'!$C$637:$AD$746,16,FALSE),0)</f>
        <v>0</v>
      </c>
      <c r="J35" s="362">
        <f>IFERROR(VLOOKUP(C35,'تقرير المصروفات حسب الشهر'!$C$763:$AD$872,16,FALSE),0)</f>
        <v>0</v>
      </c>
      <c r="K35" s="362">
        <f>IFERROR(VLOOKUP(C35,'تقرير المصروفات حسب الشهر'!$C$890:$AD$999,16,FALSE),0)</f>
        <v>0</v>
      </c>
      <c r="L35" s="362">
        <f>IFERROR(VLOOKUP(C35,'تقرير المصروفات حسب الشهر'!$C$1016:$AD$1126,16,FALSE),0)</f>
        <v>0</v>
      </c>
      <c r="M35" s="376">
        <f>IFERROR(VLOOKUP(C35,'تقرير المصروفات حسب الشهر'!$C$1143:$AD$1254,16,FALSE),0)</f>
        <v>0</v>
      </c>
      <c r="N35" s="376">
        <f>IFERROR(VLOOKUP(C35,'تقرير المصروفات حسب الشهر'!$C$1270:$AD$1381,16,FALSE),0)</f>
        <v>0</v>
      </c>
      <c r="O35" s="376">
        <f>IFERROR(VLOOKUP(C35,'تقرير المصروفات حسب الشهر'!$C$1397:$AI$1512,16,FALSE),0)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الشهر'!$C$10:$AD$119,16,FALSE),0)</f>
        <v>0</v>
      </c>
      <c r="E36" s="362">
        <f>IFERROR(VLOOKUP(C36,'تقرير المصروفات حسب الشهر'!$C$135:$AD$244,16,FALSE),0)</f>
        <v>0</v>
      </c>
      <c r="F36" s="362">
        <v>0</v>
      </c>
      <c r="G36" s="362">
        <f>IFERROR(VLOOKUP(C36,'تقرير المصروفات حسب الشهر'!$C$387:$AD$495,16,FALSE),0)</f>
        <v>0</v>
      </c>
      <c r="H36" s="362">
        <f>IFERROR(VLOOKUP(C36,'تقرير المصروفات حسب الشهر'!$C$512:$AD$620,16,FALSE),0)</f>
        <v>0</v>
      </c>
      <c r="I36" s="362">
        <f>IFERROR(VLOOKUP(C36,'تقرير المصروفات حسب الشهر'!$C$637:$AD$746,16,FALSE),0)</f>
        <v>770</v>
      </c>
      <c r="J36" s="362">
        <f>IFERROR(VLOOKUP(C36,'تقرير المصروفات حسب الشهر'!$C$763:$AD$872,16,FALSE),0)</f>
        <v>0</v>
      </c>
      <c r="K36" s="362">
        <f>IFERROR(VLOOKUP(C36,'تقرير المصروفات حسب الشهر'!$C$890:$AD$999,16,FALSE),0)</f>
        <v>0</v>
      </c>
      <c r="L36" s="362">
        <f>IFERROR(VLOOKUP(C36,'تقرير المصروفات حسب الشهر'!$C$1016:$AD$1126,16,FALSE),0)</f>
        <v>0</v>
      </c>
      <c r="M36" s="376">
        <f>IFERROR(VLOOKUP(C36,'تقرير المصروفات حسب الشهر'!$C$1143:$AD$1254,16,FALSE),0)</f>
        <v>0</v>
      </c>
      <c r="N36" s="376">
        <f>IFERROR(VLOOKUP(C36,'تقرير المصروفات حسب الشهر'!$C$1270:$AD$1381,16,FALSE),0)</f>
        <v>0</v>
      </c>
      <c r="O36" s="376">
        <f>IFERROR(VLOOKUP(C36,'تقرير المصروفات حسب الشهر'!$C$1397:$AI$1512,16,FALSE),0)</f>
        <v>770</v>
      </c>
      <c r="P36" s="364">
        <f t="shared" si="5"/>
        <v>1540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الشهر'!$C$10:$AD$119,16,FALSE),0)</f>
        <v>2250</v>
      </c>
      <c r="E37" s="362">
        <f>IFERROR(VLOOKUP(C37,'تقرير المصروفات حسب الشهر'!$C$135:$AD$244,16,FALSE),0)</f>
        <v>0</v>
      </c>
      <c r="F37" s="362">
        <v>0</v>
      </c>
      <c r="G37" s="362">
        <f>IFERROR(VLOOKUP(C37,'تقرير المصروفات حسب الشهر'!$C$387:$AD$495,16,FALSE),0)</f>
        <v>2250</v>
      </c>
      <c r="H37" s="362">
        <f>IFERROR(VLOOKUP(C37,'تقرير المصروفات حسب الشهر'!$C$512:$AD$620,16,FALSE),0)</f>
        <v>0</v>
      </c>
      <c r="I37" s="362">
        <f>IFERROR(VLOOKUP(C37,'تقرير المصروفات حسب الشهر'!$C$637:$AD$746,16,FALSE),0)</f>
        <v>2250</v>
      </c>
      <c r="J37" s="362">
        <f>IFERROR(VLOOKUP(C37,'تقرير المصروفات حسب الشهر'!$C$763:$AD$872,16,FALSE),0)</f>
        <v>0</v>
      </c>
      <c r="K37" s="362">
        <f>IFERROR(VLOOKUP(C37,'تقرير المصروفات حسب الشهر'!$C$890:$AD$999,16,FALSE),0)</f>
        <v>0</v>
      </c>
      <c r="L37" s="362">
        <f>IFERROR(VLOOKUP(C37,'تقرير المصروفات حسب الشهر'!$C$1016:$AD$1126,16,FALSE),0)</f>
        <v>0</v>
      </c>
      <c r="M37" s="376">
        <f>IFERROR(VLOOKUP(C37,'تقرير المصروفات حسب الشهر'!$C$1143:$AD$1254,16,FALSE),0)</f>
        <v>0</v>
      </c>
      <c r="N37" s="376">
        <f>IFERROR(VLOOKUP(C37,'تقرير المصروفات حسب الشهر'!$C$1270:$AD$1381,16,FALSE),0)</f>
        <v>0</v>
      </c>
      <c r="O37" s="376">
        <f>IFERROR(VLOOKUP(C37,'تقرير المصروفات حسب الشهر'!$C$1397:$AI$1512,16,FALSE),0)</f>
        <v>0</v>
      </c>
      <c r="P37" s="364">
        <f t="shared" si="5"/>
        <v>6750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الشهر'!$C$10:$AD$119,16,FALSE),0)</f>
        <v>0</v>
      </c>
      <c r="E38" s="362">
        <f>IFERROR(VLOOKUP(C38,'تقرير المصروفات حسب الشهر'!$C$135:$AD$244,16,FALSE),0)</f>
        <v>0</v>
      </c>
      <c r="F38" s="362">
        <v>0</v>
      </c>
      <c r="G38" s="362">
        <f>IFERROR(VLOOKUP(C38,'تقرير المصروفات حسب الشهر'!$C$387:$AD$495,16,FALSE),0)</f>
        <v>0</v>
      </c>
      <c r="H38" s="362">
        <f>IFERROR(VLOOKUP(C38,'تقرير المصروفات حسب الشهر'!$C$512:$AD$620,16,FALSE),0)</f>
        <v>0</v>
      </c>
      <c r="I38" s="362">
        <f>IFERROR(VLOOKUP(C38,'تقرير المصروفات حسب الشهر'!$C$637:$AD$746,16,FALSE),0)</f>
        <v>0</v>
      </c>
      <c r="J38" s="362">
        <f>IFERROR(VLOOKUP(C38,'تقرير المصروفات حسب الشهر'!$C$763:$AD$872,16,FALSE),0)</f>
        <v>0</v>
      </c>
      <c r="K38" s="362">
        <f>IFERROR(VLOOKUP(C38,'تقرير المصروفات حسب الشهر'!$C$890:$AD$999,16,FALSE),0)</f>
        <v>0</v>
      </c>
      <c r="L38" s="362">
        <f>IFERROR(VLOOKUP(C38,'تقرير المصروفات حسب الشهر'!$C$1016:$AD$1126,16,FALSE),0)</f>
        <v>0</v>
      </c>
      <c r="M38" s="376">
        <f>IFERROR(VLOOKUP(C38,'تقرير المصروفات حسب الشهر'!$C$1143:$AD$1254,16,FALSE),0)</f>
        <v>0</v>
      </c>
      <c r="N38" s="376">
        <f>IFERROR(VLOOKUP(C38,'تقرير المصروفات حسب الشهر'!$C$1270:$AD$1381,16,FALSE),0)</f>
        <v>0</v>
      </c>
      <c r="O38" s="376">
        <f>IFERROR(VLOOKUP(C38,'تقرير المصروفات حسب الشهر'!$C$1397:$AI$1512,16,FALSE),0)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الشهر'!$C$10:$AD$119,16,FALSE),0)</f>
        <v>4422.5</v>
      </c>
      <c r="E39" s="362">
        <f>IFERROR(VLOOKUP(C39,'تقرير المصروفات حسب الشهر'!$C$135:$AD$244,16,FALSE),0)</f>
        <v>4442.1000000000004</v>
      </c>
      <c r="F39" s="362">
        <v>3952.5</v>
      </c>
      <c r="G39" s="362">
        <f>IFERROR(VLOOKUP(C39,'تقرير المصروفات حسب الشهر'!$C$387:$AD$495,16,FALSE),0)</f>
        <v>3436.9</v>
      </c>
      <c r="H39" s="362">
        <f>IFERROR(VLOOKUP(C39,'تقرير المصروفات حسب الشهر'!$C$512:$AD$620,16,FALSE),0)</f>
        <v>8878</v>
      </c>
      <c r="I39" s="362">
        <f>IFERROR(VLOOKUP(C39,'تقرير المصروفات حسب الشهر'!$C$637:$AD$746,16,FALSE),0)</f>
        <v>3787</v>
      </c>
      <c r="J39" s="362">
        <f>IFERROR(VLOOKUP(C39,'تقرير المصروفات حسب الشهر'!$C$763:$AD$872,16,FALSE),0)</f>
        <v>2478</v>
      </c>
      <c r="K39" s="362">
        <f>IFERROR(VLOOKUP(C39,'تقرير المصروفات حسب الشهر'!$C$890:$AD$999,16,FALSE),0)</f>
        <v>2071</v>
      </c>
      <c r="L39" s="362">
        <f>IFERROR(VLOOKUP(C39,'تقرير المصروفات حسب الشهر'!$C$1016:$AD$1126,16,FALSE),0)</f>
        <v>1867</v>
      </c>
      <c r="M39" s="376">
        <f>IFERROR(VLOOKUP(C39,'تقرير المصروفات حسب الشهر'!$C$1143:$AD$1254,16,FALSE),0)</f>
        <v>1382</v>
      </c>
      <c r="N39" s="376">
        <f>IFERROR(VLOOKUP(C39,'تقرير المصروفات حسب الشهر'!$C$1270:$AD$1381,16,FALSE),0)</f>
        <v>2906</v>
      </c>
      <c r="O39" s="376">
        <f>IFERROR(VLOOKUP(C39,'تقرير المصروفات حسب الشهر'!$C$1397:$AI$1512,16,FALSE),0)</f>
        <v>4605</v>
      </c>
      <c r="P39" s="364">
        <f t="shared" si="5"/>
        <v>44228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الشهر'!$C$10:$AD$119,16,FALSE),0)</f>
        <v>400</v>
      </c>
      <c r="E40" s="362">
        <f>IFERROR(VLOOKUP(C40,'تقرير المصروفات حسب الشهر'!$C$135:$AD$244,16,FALSE),0)</f>
        <v>400</v>
      </c>
      <c r="F40" s="362">
        <v>400</v>
      </c>
      <c r="G40" s="362">
        <f>IFERROR(VLOOKUP(C40,'تقرير المصروفات حسب الشهر'!$C$387:$AD$495,16,FALSE),0)</f>
        <v>400</v>
      </c>
      <c r="H40" s="362">
        <f>IFERROR(VLOOKUP(C40,'تقرير المصروفات حسب الشهر'!$C$512:$AD$620,16,FALSE),0)</f>
        <v>600</v>
      </c>
      <c r="I40" s="362">
        <f>IFERROR(VLOOKUP(C40,'تقرير المصروفات حسب الشهر'!$C$637:$AD$746,16,FALSE),0)</f>
        <v>0</v>
      </c>
      <c r="J40" s="362">
        <f>IFERROR(VLOOKUP(C40,'تقرير المصروفات حسب الشهر'!$C$763:$AD$872,16,FALSE),0)</f>
        <v>400</v>
      </c>
      <c r="K40" s="362">
        <f>IFERROR(VLOOKUP(C40,'تقرير المصروفات حسب الشهر'!$C$890:$AD$999,16,FALSE),0)</f>
        <v>400</v>
      </c>
      <c r="L40" s="362">
        <f>IFERROR(VLOOKUP(C40,'تقرير المصروفات حسب الشهر'!$C$1016:$AD$1126,16,FALSE),0)</f>
        <v>400</v>
      </c>
      <c r="M40" s="376">
        <f>IFERROR(VLOOKUP(C40,'تقرير المصروفات حسب الشهر'!$C$1143:$AD$1254,16,FALSE),0)</f>
        <v>400</v>
      </c>
      <c r="N40" s="376">
        <f>IFERROR(VLOOKUP(C40,'تقرير المصروفات حسب الشهر'!$C$1270:$AD$1381,16,FALSE),0)</f>
        <v>400</v>
      </c>
      <c r="O40" s="376">
        <f>IFERROR(VLOOKUP(C40,'تقرير المصروفات حسب الشهر'!$C$1397:$AI$1512,16,FALSE),0)</f>
        <v>400</v>
      </c>
      <c r="P40" s="364">
        <f t="shared" si="5"/>
        <v>4600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الشهر'!$C$10:$AD$119,16,FALSE),0)</f>
        <v>0</v>
      </c>
      <c r="E41" s="362">
        <f>IFERROR(VLOOKUP(C41,'تقرير المصروفات حسب الشهر'!$C$135:$AD$244,16,FALSE),0)</f>
        <v>0</v>
      </c>
      <c r="F41" s="362">
        <v>0</v>
      </c>
      <c r="G41" s="362">
        <f>IFERROR(VLOOKUP(C41,'تقرير المصروفات حسب الشهر'!$C$387:$AD$495,16,FALSE),0)</f>
        <v>0</v>
      </c>
      <c r="H41" s="362">
        <f>IFERROR(VLOOKUP(C41,'تقرير المصروفات حسب الشهر'!$C$512:$AD$620,16,FALSE),0)</f>
        <v>0</v>
      </c>
      <c r="I41" s="362">
        <f>IFERROR(VLOOKUP(C41,'تقرير المصروفات حسب الشهر'!$C$637:$AD$746,16,FALSE),0)</f>
        <v>0</v>
      </c>
      <c r="J41" s="362">
        <f>IFERROR(VLOOKUP(C41,'تقرير المصروفات حسب الشهر'!$C$763:$AD$872,16,FALSE),0)</f>
        <v>0</v>
      </c>
      <c r="K41" s="362">
        <f>IFERROR(VLOOKUP(C41,'تقرير المصروفات حسب الشهر'!$C$890:$AD$999,16,FALSE),0)</f>
        <v>0</v>
      </c>
      <c r="L41" s="362">
        <f>IFERROR(VLOOKUP(C41,'تقرير المصروفات حسب الشهر'!$C$1016:$AD$1126,16,FALSE),0)</f>
        <v>0</v>
      </c>
      <c r="M41" s="376">
        <f>IFERROR(VLOOKUP(C41,'تقرير المصروفات حسب الشهر'!$C$1143:$AD$1254,16,FALSE),0)</f>
        <v>0</v>
      </c>
      <c r="N41" s="376">
        <f>IFERROR(VLOOKUP(C41,'تقرير المصروفات حسب الشهر'!$C$1270:$AD$1381,16,FALSE),0)</f>
        <v>0</v>
      </c>
      <c r="O41" s="376">
        <f>IFERROR(VLOOKUP(C41,'تقرير المصروفات حسب الشهر'!$C$1397:$AI$1512,16,FALSE),0)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الشهر'!$C$10:$AD$119,16,FALSE),0)</f>
        <v>0</v>
      </c>
      <c r="E42" s="362">
        <f>IFERROR(VLOOKUP(C42,'تقرير المصروفات حسب الشهر'!$C$135:$AD$244,16,FALSE),0)</f>
        <v>0</v>
      </c>
      <c r="F42" s="362">
        <v>0</v>
      </c>
      <c r="G42" s="362">
        <f>IFERROR(VLOOKUP(C42,'تقرير المصروفات حسب الشهر'!$C$387:$AD$495,16,FALSE),0)</f>
        <v>0</v>
      </c>
      <c r="H42" s="362">
        <f>IFERROR(VLOOKUP(C42,'تقرير المصروفات حسب الشهر'!$C$512:$AD$620,16,FALSE),0)</f>
        <v>0</v>
      </c>
      <c r="I42" s="362">
        <f>IFERROR(VLOOKUP(C42,'تقرير المصروفات حسب الشهر'!$C$637:$AD$746,16,FALSE),0)</f>
        <v>0</v>
      </c>
      <c r="J42" s="362">
        <f>IFERROR(VLOOKUP(C42,'تقرير المصروفات حسب الشهر'!$C$763:$AD$872,16,FALSE),0)</f>
        <v>0</v>
      </c>
      <c r="K42" s="362">
        <f>IFERROR(VLOOKUP(C42,'تقرير المصروفات حسب الشهر'!$C$890:$AD$999,16,FALSE),0)</f>
        <v>0</v>
      </c>
      <c r="L42" s="362">
        <f>IFERROR(VLOOKUP(C42,'تقرير المصروفات حسب الشهر'!$C$1016:$AD$1126,16,FALSE),0)</f>
        <v>0</v>
      </c>
      <c r="M42" s="376">
        <f>IFERROR(VLOOKUP(C42,'تقرير المصروفات حسب الشهر'!$C$1143:$AD$1254,16,FALSE),0)</f>
        <v>0</v>
      </c>
      <c r="N42" s="376">
        <f>IFERROR(VLOOKUP(C42,'تقرير المصروفات حسب الشهر'!$C$1270:$AD$1381,16,FALSE),0)</f>
        <v>0</v>
      </c>
      <c r="O42" s="376">
        <f>IFERROR(VLOOKUP(C42,'تقرير المصروفات حسب الشهر'!$C$1397:$AI$1512,16,FALSE),0)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الشهر'!$C$10:$AD$119,16,FALSE),0)</f>
        <v>0</v>
      </c>
      <c r="E43" s="362">
        <f>IFERROR(VLOOKUP(C43,'تقرير المصروفات حسب الشهر'!$C$135:$AD$244,16,FALSE),0)</f>
        <v>0</v>
      </c>
      <c r="F43" s="362">
        <v>0</v>
      </c>
      <c r="G43" s="362">
        <f>IFERROR(VLOOKUP(C43,'تقرير المصروفات حسب الشهر'!$C$387:$AD$495,16,FALSE),0)</f>
        <v>0</v>
      </c>
      <c r="H43" s="362">
        <f>IFERROR(VLOOKUP(C43,'تقرير المصروفات حسب الشهر'!$C$512:$AD$620,16,FALSE),0)</f>
        <v>0</v>
      </c>
      <c r="I43" s="362">
        <f>IFERROR(VLOOKUP(C43,'تقرير المصروفات حسب الشهر'!$C$637:$AD$746,16,FALSE),0)</f>
        <v>0</v>
      </c>
      <c r="J43" s="362">
        <f>IFERROR(VLOOKUP(C43,'تقرير المصروفات حسب الشهر'!$C$763:$AD$872,16,FALSE),0)</f>
        <v>0</v>
      </c>
      <c r="K43" s="362">
        <f>IFERROR(VLOOKUP(C43,'تقرير المصروفات حسب الشهر'!$C$890:$AD$999,16,FALSE),0)</f>
        <v>0</v>
      </c>
      <c r="L43" s="362">
        <f>IFERROR(VLOOKUP(C43,'تقرير المصروفات حسب الشهر'!$C$1016:$AD$1126,16,FALSE),0)</f>
        <v>0</v>
      </c>
      <c r="M43" s="376">
        <f>IFERROR(VLOOKUP(C43,'تقرير المصروفات حسب الشهر'!$C$1143:$AD$1254,16,FALSE),0)</f>
        <v>0</v>
      </c>
      <c r="N43" s="376">
        <f>IFERROR(VLOOKUP(C43,'تقرير المصروفات حسب الشهر'!$C$1270:$AD$1381,16,FALSE),0)</f>
        <v>0</v>
      </c>
      <c r="O43" s="376">
        <f>IFERROR(VLOOKUP(C43,'تقرير المصروفات حسب الشهر'!$C$1397:$AI$1512,16,FALSE),0)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الشهر'!$C$10:$AD$119,16,FALSE),0)</f>
        <v>300</v>
      </c>
      <c r="E44" s="362">
        <f>IFERROR(VLOOKUP(C44,'تقرير المصروفات حسب الشهر'!$C$135:$AD$244,16,FALSE),0)</f>
        <v>0</v>
      </c>
      <c r="F44" s="362">
        <v>65</v>
      </c>
      <c r="G44" s="362">
        <f>IFERROR(VLOOKUP(C44,'تقرير المصروفات حسب الشهر'!$C$387:$AD$495,16,FALSE),0)</f>
        <v>115</v>
      </c>
      <c r="H44" s="362">
        <f>IFERROR(VLOOKUP(C44,'تقرير المصروفات حسب الشهر'!$C$512:$AD$620,16,FALSE),0)</f>
        <v>145</v>
      </c>
      <c r="I44" s="362">
        <f>IFERROR(VLOOKUP(C44,'تقرير المصروفات حسب الشهر'!$C$637:$AD$746,16,FALSE),0)</f>
        <v>295</v>
      </c>
      <c r="J44" s="362">
        <f>IFERROR(VLOOKUP(C44,'تقرير المصروفات حسب الشهر'!$C$763:$AD$872,16,FALSE),0)</f>
        <v>255</v>
      </c>
      <c r="K44" s="362">
        <f>IFERROR(VLOOKUP(C44,'تقرير المصروفات حسب الشهر'!$C$890:$AD$999,16,FALSE),0)</f>
        <v>60</v>
      </c>
      <c r="L44" s="362">
        <f>IFERROR(VLOOKUP(C44,'تقرير المصروفات حسب الشهر'!$C$1016:$AD$1126,16,FALSE),0)</f>
        <v>200</v>
      </c>
      <c r="M44" s="376">
        <f>IFERROR(VLOOKUP(C44,'تقرير المصروفات حسب الشهر'!$C$1143:$AD$1254,16,FALSE),0)</f>
        <v>440</v>
      </c>
      <c r="N44" s="376">
        <f>IFERROR(VLOOKUP(C44,'تقرير المصروفات حسب الشهر'!$C$1270:$AD$1381,16,FALSE),0)</f>
        <v>300</v>
      </c>
      <c r="O44" s="376">
        <f>IFERROR(VLOOKUP(C44,'تقرير المصروفات حسب الشهر'!$C$1397:$AI$1512,16,FALSE),0)</f>
        <v>330</v>
      </c>
      <c r="P44" s="364">
        <f t="shared" si="5"/>
        <v>2505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الشهر'!$C$10:$AD$119,16,FALSE),0)</f>
        <v>0</v>
      </c>
      <c r="E45" s="362">
        <f>IFERROR(VLOOKUP(C45,'تقرير المصروفات حسب الشهر'!$C$135:$AD$244,16,FALSE),0)</f>
        <v>0</v>
      </c>
      <c r="F45" s="362">
        <v>0</v>
      </c>
      <c r="G45" s="362">
        <f>IFERROR(VLOOKUP(C45,'تقرير المصروفات حسب الشهر'!$C$387:$AD$495,16,FALSE),0)</f>
        <v>0</v>
      </c>
      <c r="H45" s="362">
        <f>IFERROR(VLOOKUP(C45,'تقرير المصروفات حسب الشهر'!$C$512:$AD$620,16,FALSE),0)</f>
        <v>0</v>
      </c>
      <c r="I45" s="362">
        <f>IFERROR(VLOOKUP(C45,'تقرير المصروفات حسب الشهر'!$C$637:$AD$746,16,FALSE),0)</f>
        <v>0</v>
      </c>
      <c r="J45" s="362">
        <f>IFERROR(VLOOKUP(C45,'تقرير المصروفات حسب الشهر'!$C$763:$AD$872,16,FALSE),0)</f>
        <v>0</v>
      </c>
      <c r="K45" s="362">
        <f>IFERROR(VLOOKUP(C45,'تقرير المصروفات حسب الشهر'!$C$890:$AD$999,16,FALSE),0)</f>
        <v>0</v>
      </c>
      <c r="L45" s="362">
        <f>IFERROR(VLOOKUP(C45,'تقرير المصروفات حسب الشهر'!$C$1016:$AD$1126,16,FALSE),0)</f>
        <v>0</v>
      </c>
      <c r="M45" s="376">
        <f>IFERROR(VLOOKUP(C45,'تقرير المصروفات حسب الشهر'!$C$1143:$AD$1254,16,FALSE),0)</f>
        <v>0</v>
      </c>
      <c r="N45" s="376">
        <f>IFERROR(VLOOKUP(C45,'تقرير المصروفات حسب الشهر'!$C$1270:$AD$1381,16,FALSE),0)</f>
        <v>0</v>
      </c>
      <c r="O45" s="376">
        <f>IFERROR(VLOOKUP(C45,'تقرير المصروفات حسب الشهر'!$C$1397:$AI$1512,16,FALSE),0)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الشهر'!$C$10:$AD$119,16,FALSE),0)</f>
        <v>0</v>
      </c>
      <c r="E46" s="362">
        <f>IFERROR(VLOOKUP(C46,'تقرير المصروفات حسب الشهر'!$C$135:$AD$244,16,FALSE),0)</f>
        <v>0</v>
      </c>
      <c r="F46" s="362">
        <v>0</v>
      </c>
      <c r="G46" s="362">
        <f>IFERROR(VLOOKUP(C46,'تقرير المصروفات حسب الشهر'!$C$387:$AD$495,16,FALSE),0)</f>
        <v>0</v>
      </c>
      <c r="H46" s="362">
        <f>IFERROR(VLOOKUP(C46,'تقرير المصروفات حسب الشهر'!$C$512:$AD$620,16,FALSE),0)</f>
        <v>0</v>
      </c>
      <c r="I46" s="362">
        <f>IFERROR(VLOOKUP(C46,'تقرير المصروفات حسب الشهر'!$C$637:$AD$746,16,FALSE),0)</f>
        <v>0</v>
      </c>
      <c r="J46" s="362">
        <f>IFERROR(VLOOKUP(C46,'تقرير المصروفات حسب الشهر'!$C$763:$AD$872,16,FALSE),0)</f>
        <v>0</v>
      </c>
      <c r="K46" s="362">
        <f>IFERROR(VLOOKUP(C46,'تقرير المصروفات حسب الشهر'!$C$890:$AD$999,16,FALSE),0)</f>
        <v>0</v>
      </c>
      <c r="L46" s="362">
        <f>IFERROR(VLOOKUP(C46,'تقرير المصروفات حسب الشهر'!$C$1016:$AD$1126,16,FALSE),0)</f>
        <v>0</v>
      </c>
      <c r="M46" s="376">
        <f>IFERROR(VLOOKUP(C46,'تقرير المصروفات حسب الشهر'!$C$1143:$AD$1254,16,FALSE),0)</f>
        <v>0</v>
      </c>
      <c r="N46" s="376">
        <f>IFERROR(VLOOKUP(C46,'تقرير المصروفات حسب الشهر'!$C$1270:$AD$1381,16,FALSE),0)</f>
        <v>0</v>
      </c>
      <c r="O46" s="376">
        <f>IFERROR(VLOOKUP(C46,'تقرير المصروفات حسب الشهر'!$C$1397:$AI$1512,16,FALSE),0)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الشهر'!$C$10:$AD$119,16,FALSE),0)</f>
        <v>0</v>
      </c>
      <c r="E47" s="362">
        <f>IFERROR(VLOOKUP(C47,'تقرير المصروفات حسب الشهر'!$C$135:$AD$244,16,FALSE),0)</f>
        <v>0</v>
      </c>
      <c r="F47" s="362">
        <v>0</v>
      </c>
      <c r="G47" s="362">
        <f>IFERROR(VLOOKUP(C47,'تقرير المصروفات حسب الشهر'!$C$387:$AD$495,16,FALSE),0)</f>
        <v>1100</v>
      </c>
      <c r="H47" s="362">
        <f>IFERROR(VLOOKUP(C47,'تقرير المصروفات حسب الشهر'!$C$512:$AD$620,16,FALSE),0)</f>
        <v>4900</v>
      </c>
      <c r="I47" s="362">
        <f>IFERROR(VLOOKUP(C47,'تقرير المصروفات حسب الشهر'!$C$637:$AD$746,16,FALSE),0)</f>
        <v>350</v>
      </c>
      <c r="J47" s="362">
        <f>IFERROR(VLOOKUP(C47,'تقرير المصروفات حسب الشهر'!$C$763:$AD$872,16,FALSE),0)</f>
        <v>0</v>
      </c>
      <c r="K47" s="362">
        <f>IFERROR(VLOOKUP(C47,'تقرير المصروفات حسب الشهر'!$C$890:$AD$999,16,FALSE),0)</f>
        <v>1190</v>
      </c>
      <c r="L47" s="362">
        <f>IFERROR(VLOOKUP(C47,'تقرير المصروفات حسب الشهر'!$C$1016:$AD$1126,16,FALSE),0)</f>
        <v>0</v>
      </c>
      <c r="M47" s="376">
        <f>IFERROR(VLOOKUP(C47,'تقرير المصروفات حسب الشهر'!$C$1143:$AD$1254,16,FALSE),0)</f>
        <v>0</v>
      </c>
      <c r="N47" s="376">
        <f>IFERROR(VLOOKUP(C47,'تقرير المصروفات حسب الشهر'!$C$1270:$AD$1381,16,FALSE),0)</f>
        <v>0</v>
      </c>
      <c r="O47" s="376">
        <f>IFERROR(VLOOKUP(C47,'تقرير المصروفات حسب الشهر'!$C$1397:$AI$1512,16,FALSE),0)</f>
        <v>0</v>
      </c>
      <c r="P47" s="364">
        <f t="shared" si="5"/>
        <v>7540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الشهر'!$C$10:$AD$119,16,FALSE),0)</f>
        <v>50</v>
      </c>
      <c r="E48" s="362">
        <f>IFERROR(VLOOKUP(C48,'تقرير المصروفات حسب الشهر'!$C$135:$AD$244,16,FALSE),0)</f>
        <v>0</v>
      </c>
      <c r="F48" s="362">
        <v>0</v>
      </c>
      <c r="G48" s="362">
        <f>IFERROR(VLOOKUP(C48,'تقرير المصروفات حسب الشهر'!$C$387:$AD$495,16,FALSE),0)</f>
        <v>0</v>
      </c>
      <c r="H48" s="362">
        <f>IFERROR(VLOOKUP(C48,'تقرير المصروفات حسب الشهر'!$C$512:$AD$620,16,FALSE),0)</f>
        <v>0</v>
      </c>
      <c r="I48" s="362">
        <f>IFERROR(VLOOKUP(C48,'تقرير المصروفات حسب الشهر'!$C$637:$AD$746,16,FALSE),0)</f>
        <v>0</v>
      </c>
      <c r="J48" s="362">
        <f>IFERROR(VLOOKUP(C48,'تقرير المصروفات حسب الشهر'!$C$763:$AD$872,16,FALSE),0)</f>
        <v>0</v>
      </c>
      <c r="K48" s="362">
        <f>IFERROR(VLOOKUP(C48,'تقرير المصروفات حسب الشهر'!$C$890:$AD$999,16,FALSE),0)</f>
        <v>0</v>
      </c>
      <c r="L48" s="362">
        <f>IFERROR(VLOOKUP(C48,'تقرير المصروفات حسب الشهر'!$C$1016:$AD$1126,16,FALSE),0)</f>
        <v>11580</v>
      </c>
      <c r="M48" s="376">
        <f>IFERROR(VLOOKUP(C48,'تقرير المصروفات حسب الشهر'!$C$1143:$AD$1254,16,FALSE),0)</f>
        <v>0</v>
      </c>
      <c r="N48" s="376">
        <f>IFERROR(VLOOKUP(C48,'تقرير المصروفات حسب الشهر'!$C$1270:$AD$1381,16,FALSE),0)</f>
        <v>985</v>
      </c>
      <c r="O48" s="376">
        <f>IFERROR(VLOOKUP(C48,'تقرير المصروفات حسب الشهر'!$C$1397:$AI$1512,16,FALSE),0)</f>
        <v>700</v>
      </c>
      <c r="P48" s="364">
        <f t="shared" si="5"/>
        <v>13315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الشهر'!$C$10:$AD$119,16,FALSE),0)</f>
        <v>0</v>
      </c>
      <c r="E49" s="362">
        <f>IFERROR(VLOOKUP(C49,'تقرير المصروفات حسب الشهر'!$C$135:$AD$244,16,FALSE),0)</f>
        <v>350</v>
      </c>
      <c r="F49" s="362">
        <v>0</v>
      </c>
      <c r="G49" s="362">
        <f>IFERROR(VLOOKUP(C49,'تقرير المصروفات حسب الشهر'!$C$387:$AD$495,16,FALSE),0)</f>
        <v>0</v>
      </c>
      <c r="H49" s="362">
        <f>IFERROR(VLOOKUP(C49,'تقرير المصروفات حسب الشهر'!$C$512:$AD$620,16,FALSE),0)</f>
        <v>0</v>
      </c>
      <c r="I49" s="362">
        <f>IFERROR(VLOOKUP(C49,'تقرير المصروفات حسب الشهر'!$C$637:$AD$746,16,FALSE),0)</f>
        <v>0</v>
      </c>
      <c r="J49" s="362">
        <f>IFERROR(VLOOKUP(C49,'تقرير المصروفات حسب الشهر'!$C$763:$AD$872,16,FALSE),0)</f>
        <v>0</v>
      </c>
      <c r="K49" s="362">
        <f>IFERROR(VLOOKUP(C49,'تقرير المصروفات حسب الشهر'!$C$890:$AD$999,16,FALSE),0)</f>
        <v>0</v>
      </c>
      <c r="L49" s="362">
        <f>IFERROR(VLOOKUP(C49,'تقرير المصروفات حسب الشهر'!$C$1016:$AD$1126,16,FALSE),0)</f>
        <v>200</v>
      </c>
      <c r="M49" s="376">
        <f>IFERROR(VLOOKUP(C49,'تقرير المصروفات حسب الشهر'!$C$1143:$AD$1254,16,FALSE),0)</f>
        <v>0</v>
      </c>
      <c r="N49" s="376">
        <f>IFERROR(VLOOKUP(C49,'تقرير المصروفات حسب الشهر'!$C$1270:$AD$1381,16,FALSE),0)</f>
        <v>0</v>
      </c>
      <c r="O49" s="376">
        <f>IFERROR(VLOOKUP(C49,'تقرير المصروفات حسب الشهر'!$C$1397:$AI$1512,16,FALSE),0)</f>
        <v>0</v>
      </c>
      <c r="P49" s="364">
        <f t="shared" si="5"/>
        <v>550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الشهر'!$C$10:$AD$119,16,FALSE),0)</f>
        <v>0</v>
      </c>
      <c r="E50" s="362">
        <f>IFERROR(VLOOKUP(C50,'تقرير المصروفات حسب الشهر'!$C$135:$AD$244,16,FALSE),0)</f>
        <v>0</v>
      </c>
      <c r="F50" s="362">
        <v>0</v>
      </c>
      <c r="G50" s="362">
        <f>IFERROR(VLOOKUP(C50,'تقرير المصروفات حسب الشهر'!$C$387:$AD$495,16,FALSE),0)</f>
        <v>0</v>
      </c>
      <c r="H50" s="362">
        <f>IFERROR(VLOOKUP(C50,'تقرير المصروفات حسب الشهر'!$C$512:$AD$620,16,FALSE),0)</f>
        <v>0</v>
      </c>
      <c r="I50" s="362">
        <f>IFERROR(VLOOKUP(C50,'تقرير المصروفات حسب الشهر'!$C$637:$AD$746,16,FALSE),0)</f>
        <v>0</v>
      </c>
      <c r="J50" s="362">
        <f>IFERROR(VLOOKUP(C50,'تقرير المصروفات حسب الشهر'!$C$763:$AD$872,16,FALSE),0)</f>
        <v>0</v>
      </c>
      <c r="K50" s="362">
        <f>IFERROR(VLOOKUP(C50,'تقرير المصروفات حسب الشهر'!$C$890:$AD$999,16,FALSE),0)</f>
        <v>0</v>
      </c>
      <c r="L50" s="362">
        <f>IFERROR(VLOOKUP(C50,'تقرير المصروفات حسب الشهر'!$C$1016:$AD$1126,16,FALSE),0)</f>
        <v>0</v>
      </c>
      <c r="M50" s="376">
        <f>IFERROR(VLOOKUP(C50,'تقرير المصروفات حسب الشهر'!$C$1143:$AD$1254,16,FALSE),0)</f>
        <v>0</v>
      </c>
      <c r="N50" s="376">
        <f>IFERROR(VLOOKUP(C50,'تقرير المصروفات حسب الشهر'!$C$1270:$AD$1381,16,FALSE),0)</f>
        <v>0</v>
      </c>
      <c r="O50" s="376">
        <f>IFERROR(VLOOKUP(C50,'تقرير المصروفات حسب الشهر'!$C$1397:$AI$1512,16,FALSE),0)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الشهر'!$C$10:$AD$119,16,FALSE),0)</f>
        <v>735</v>
      </c>
      <c r="E51" s="362">
        <f>IFERROR(VLOOKUP(C51,'تقرير المصروفات حسب الشهر'!$C$135:$AD$244,16,FALSE),0)</f>
        <v>0</v>
      </c>
      <c r="F51" s="362">
        <v>0</v>
      </c>
      <c r="G51" s="362">
        <f>IFERROR(VLOOKUP(C51,'تقرير المصروفات حسب الشهر'!$C$387:$AD$495,16,FALSE),0)</f>
        <v>2150</v>
      </c>
      <c r="H51" s="362">
        <f>IFERROR(VLOOKUP(C51,'تقرير المصروفات حسب الشهر'!$C$512:$AD$620,16,FALSE),0)</f>
        <v>0</v>
      </c>
      <c r="I51" s="362">
        <f>IFERROR(VLOOKUP(C51,'تقرير المصروفات حسب الشهر'!$C$637:$AD$746,16,FALSE),0)</f>
        <v>1785</v>
      </c>
      <c r="J51" s="362">
        <f>IFERROR(VLOOKUP(C51,'تقرير المصروفات حسب الشهر'!$C$763:$AD$872,16,FALSE),0)</f>
        <v>160</v>
      </c>
      <c r="K51" s="362">
        <f>IFERROR(VLOOKUP(C51,'تقرير المصروفات حسب الشهر'!$C$890:$AD$999,16,FALSE),0)</f>
        <v>100</v>
      </c>
      <c r="L51" s="362">
        <f>IFERROR(VLOOKUP(C51,'تقرير المصروفات حسب الشهر'!$C$1016:$AD$1126,16,FALSE),0)</f>
        <v>200</v>
      </c>
      <c r="M51" s="376">
        <f>IFERROR(VLOOKUP(C51,'تقرير المصروفات حسب الشهر'!$C$1143:$AD$1254,16,FALSE),0)</f>
        <v>0</v>
      </c>
      <c r="N51" s="376">
        <f>IFERROR(VLOOKUP(C51,'تقرير المصروفات حسب الشهر'!$C$1270:$AD$1381,16,FALSE),0)</f>
        <v>13100</v>
      </c>
      <c r="O51" s="376">
        <f>IFERROR(VLOOKUP(C51,'تقرير المصروفات حسب الشهر'!$C$1397:$AI$1512,16,FALSE),0)</f>
        <v>0</v>
      </c>
      <c r="P51" s="364">
        <f t="shared" si="5"/>
        <v>18230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الشهر'!$C$10:$AD$119,16,FALSE),0)</f>
        <v>0</v>
      </c>
      <c r="E52" s="362">
        <f>IFERROR(VLOOKUP(C52,'تقرير المصروفات حسب الشهر'!$C$135:$AD$244,16,FALSE),0)</f>
        <v>0</v>
      </c>
      <c r="F52" s="362">
        <v>0</v>
      </c>
      <c r="G52" s="362">
        <f>IFERROR(VLOOKUP(C52,'تقرير المصروفات حسب الشهر'!$C$387:$AD$495,16,FALSE),0)</f>
        <v>0</v>
      </c>
      <c r="H52" s="362">
        <f>IFERROR(VLOOKUP(C52,'تقرير المصروفات حسب الشهر'!$C$512:$AD$620,16,FALSE),0)</f>
        <v>0</v>
      </c>
      <c r="I52" s="362">
        <f>IFERROR(VLOOKUP(C52,'تقرير المصروفات حسب الشهر'!$C$637:$AD$746,16,FALSE),0)</f>
        <v>0</v>
      </c>
      <c r="J52" s="362">
        <f>IFERROR(VLOOKUP(C52,'تقرير المصروفات حسب الشهر'!$C$763:$AD$872,16,FALSE),0)</f>
        <v>0</v>
      </c>
      <c r="K52" s="362">
        <f>IFERROR(VLOOKUP(C52,'تقرير المصروفات حسب الشهر'!$C$890:$AD$999,16,FALSE),0)</f>
        <v>0</v>
      </c>
      <c r="L52" s="362">
        <f>IFERROR(VLOOKUP(C52,'تقرير المصروفات حسب الشهر'!$C$1016:$AD$1126,16,FALSE),0)</f>
        <v>0</v>
      </c>
      <c r="M52" s="376">
        <f>IFERROR(VLOOKUP(C52,'تقرير المصروفات حسب الشهر'!$C$1143:$AD$1254,16,FALSE),0)</f>
        <v>0</v>
      </c>
      <c r="N52" s="376">
        <f>IFERROR(VLOOKUP(C52,'تقرير المصروفات حسب الشهر'!$C$1270:$AD$1381,16,FALSE),0)</f>
        <v>0</v>
      </c>
      <c r="O52" s="376">
        <f>IFERROR(VLOOKUP(C52,'تقرير المصروفات حسب الشهر'!$C$1397:$AI$1512,16,FALSE),0)</f>
        <v>0</v>
      </c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الشهر'!$C$10:$AD$119,16,FALSE),0)</f>
        <v>0</v>
      </c>
      <c r="E53" s="362">
        <f>IFERROR(VLOOKUP(C53,'تقرير المصروفات حسب الشهر'!$C$135:$AD$244,16,FALSE),0)</f>
        <v>0</v>
      </c>
      <c r="F53" s="362">
        <v>0</v>
      </c>
      <c r="G53" s="362">
        <f>IFERROR(VLOOKUP(C53,'تقرير المصروفات حسب الشهر'!$C$387:$AD$495,16,FALSE),0)</f>
        <v>0</v>
      </c>
      <c r="H53" s="362">
        <f>IFERROR(VLOOKUP(C53,'تقرير المصروفات حسب الشهر'!$C$512:$AD$620,16,FALSE),0)</f>
        <v>0</v>
      </c>
      <c r="I53" s="362">
        <f>IFERROR(VLOOKUP(C53,'تقرير المصروفات حسب الشهر'!$C$637:$AD$746,16,FALSE),0)</f>
        <v>0</v>
      </c>
      <c r="J53" s="362">
        <f>IFERROR(VLOOKUP(C53,'تقرير المصروفات حسب الشهر'!$C$763:$AD$872,16,FALSE),0)</f>
        <v>0</v>
      </c>
      <c r="K53" s="362">
        <f>IFERROR(VLOOKUP(C53,'تقرير المصروفات حسب الشهر'!$C$890:$AD$999,16,FALSE),0)</f>
        <v>0</v>
      </c>
      <c r="L53" s="362">
        <f>IFERROR(VLOOKUP(C53,'تقرير المصروفات حسب الشهر'!$C$1016:$AD$1126,16,FALSE),0)</f>
        <v>0</v>
      </c>
      <c r="M53" s="376">
        <f>IFERROR(VLOOKUP(C53,'تقرير المصروفات حسب الشهر'!$C$1143:$AD$1254,16,FALSE),0)</f>
        <v>0</v>
      </c>
      <c r="N53" s="376">
        <f>IFERROR(VLOOKUP(C53,'تقرير المصروفات حسب الشهر'!$C$1270:$AD$1381,16,FALSE),0)</f>
        <v>0</v>
      </c>
      <c r="O53" s="376">
        <f>IFERROR(VLOOKUP(C53,'تقرير المصروفات حسب الشهر'!$C$1397:$AI$1512,16,FALSE),0)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الشهر'!$C$10:$AD$119,16,FALSE),0)</f>
        <v>1650</v>
      </c>
      <c r="E54" s="362">
        <f>IFERROR(VLOOKUP(C54,'تقرير المصروفات حسب الشهر'!$C$135:$AD$244,16,FALSE),0)</f>
        <v>0</v>
      </c>
      <c r="F54" s="362">
        <v>1900</v>
      </c>
      <c r="G54" s="362">
        <f>IFERROR(VLOOKUP(C54,'تقرير المصروفات حسب الشهر'!$C$387:$AD$495,16,FALSE),0)</f>
        <v>1900</v>
      </c>
      <c r="H54" s="362">
        <f>IFERROR(VLOOKUP(C54,'تقرير المصروفات حسب الشهر'!$C$512:$AD$620,16,FALSE),0)</f>
        <v>2700</v>
      </c>
      <c r="I54" s="362">
        <f>IFERROR(VLOOKUP(C54,'تقرير المصروفات حسب الشهر'!$C$637:$AD$746,16,FALSE),0)</f>
        <v>2100</v>
      </c>
      <c r="J54" s="362">
        <f>IFERROR(VLOOKUP(C54,'تقرير المصروفات حسب الشهر'!$C$763:$AD$872,16,FALSE),0)</f>
        <v>3260</v>
      </c>
      <c r="K54" s="362">
        <f>IFERROR(VLOOKUP(C54,'تقرير المصروفات حسب الشهر'!$C$890:$AD$999,16,FALSE),0)</f>
        <v>0</v>
      </c>
      <c r="L54" s="362">
        <f>IFERROR(VLOOKUP(C54,'تقرير المصروفات حسب الشهر'!$C$1016:$AD$1126,16,FALSE),0)</f>
        <v>3940</v>
      </c>
      <c r="M54" s="376">
        <f>IFERROR(VLOOKUP(C54,'تقرير المصروفات حسب الشهر'!$C$1143:$AD$1254,16,FALSE),0)</f>
        <v>3000</v>
      </c>
      <c r="N54" s="376">
        <f>IFERROR(VLOOKUP(C54,'تقرير المصروفات حسب الشهر'!$C$1270:$AD$1381,16,FALSE),0)</f>
        <v>0</v>
      </c>
      <c r="O54" s="376">
        <f>IFERROR(VLOOKUP(C54,'تقرير المصروفات حسب الشهر'!$C$1397:$AI$1512,16,FALSE),0)</f>
        <v>0</v>
      </c>
      <c r="P54" s="364">
        <f t="shared" si="5"/>
        <v>20450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الشهر'!$C$10:$AD$119,16,FALSE),0)</f>
        <v>0</v>
      </c>
      <c r="E55" s="362">
        <f>IFERROR(VLOOKUP(C55,'تقرير المصروفات حسب الشهر'!$C$135:$AD$244,16,FALSE),0)</f>
        <v>0</v>
      </c>
      <c r="F55" s="362">
        <v>0</v>
      </c>
      <c r="G55" s="362">
        <f>IFERROR(VLOOKUP(C55,'تقرير المصروفات حسب الشهر'!$C$387:$AD$495,16,FALSE),0)</f>
        <v>0</v>
      </c>
      <c r="H55" s="362">
        <f>IFERROR(VLOOKUP(C55,'تقرير المصروفات حسب الشهر'!$C$512:$AD$620,16,FALSE),0)</f>
        <v>0</v>
      </c>
      <c r="I55" s="362">
        <f>IFERROR(VLOOKUP(C55,'تقرير المصروفات حسب الشهر'!$C$637:$AD$746,16,FALSE),0)</f>
        <v>0</v>
      </c>
      <c r="J55" s="362">
        <f>IFERROR(VLOOKUP(C55,'تقرير المصروفات حسب الشهر'!$C$763:$AD$872,16,FALSE),0)</f>
        <v>0</v>
      </c>
      <c r="K55" s="362">
        <f>IFERROR(VLOOKUP(C55,'تقرير المصروفات حسب الشهر'!$C$890:$AD$999,16,FALSE),0)</f>
        <v>0</v>
      </c>
      <c r="L55" s="362">
        <f>IFERROR(VLOOKUP(C55,'تقرير المصروفات حسب الشهر'!$C$1016:$AD$1126,16,FALSE),0)</f>
        <v>0</v>
      </c>
      <c r="M55" s="376">
        <f>IFERROR(VLOOKUP(C55,'تقرير المصروفات حسب الشهر'!$C$1143:$AD$1254,16,FALSE),0)</f>
        <v>0</v>
      </c>
      <c r="N55" s="376">
        <f>IFERROR(VLOOKUP(C55,'تقرير المصروفات حسب الشهر'!$C$1270:$AD$1381,16,FALSE),0)</f>
        <v>0</v>
      </c>
      <c r="O55" s="376">
        <f>IFERROR(VLOOKUP(C55,'تقرير المصروفات حسب الشهر'!$C$1397:$AI$1512,16,FALSE),0)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الشهر'!$C$10:$AD$119,16,FALSE),0)</f>
        <v>0</v>
      </c>
      <c r="E56" s="362">
        <f>IFERROR(VLOOKUP(C56,'تقرير المصروفات حسب الشهر'!$C$135:$AD$244,16,FALSE),0)</f>
        <v>267.29000000000002</v>
      </c>
      <c r="F56" s="362">
        <v>0</v>
      </c>
      <c r="G56" s="362">
        <f>IFERROR(VLOOKUP(C56,'تقرير المصروفات حسب الشهر'!$C$387:$AD$495,16,FALSE),0)</f>
        <v>156.78</v>
      </c>
      <c r="H56" s="362">
        <f>IFERROR(VLOOKUP(C56,'تقرير المصروفات حسب الشهر'!$C$512:$AD$620,16,FALSE),0)</f>
        <v>926.48</v>
      </c>
      <c r="I56" s="362">
        <f>IFERROR(VLOOKUP(C56,'تقرير المصروفات حسب الشهر'!$C$637:$AD$746,16,FALSE),0)</f>
        <v>0</v>
      </c>
      <c r="J56" s="362">
        <f>IFERROR(VLOOKUP(C56,'تقرير المصروفات حسب الشهر'!$C$763:$AD$872,16,FALSE),0)</f>
        <v>266.58</v>
      </c>
      <c r="K56" s="362">
        <f>IFERROR(VLOOKUP(C56,'تقرير المصروفات حسب الشهر'!$C$890:$AD$999,16,FALSE),0)</f>
        <v>0</v>
      </c>
      <c r="L56" s="362">
        <f>IFERROR(VLOOKUP(C56,'تقرير المصروفات حسب الشهر'!$C$1016:$AD$1126,16,FALSE),0)</f>
        <v>0</v>
      </c>
      <c r="M56" s="376">
        <f>IFERROR(VLOOKUP(C56,'تقرير المصروفات حسب الشهر'!$C$1143:$AD$1254,16,FALSE),0)</f>
        <v>715.89</v>
      </c>
      <c r="N56" s="376">
        <f>IFERROR(VLOOKUP(C56,'تقرير المصروفات حسب الشهر'!$C$1270:$AD$1381,16,FALSE),0)</f>
        <v>0</v>
      </c>
      <c r="O56" s="376">
        <f>IFERROR(VLOOKUP(C56,'تقرير المصروفات حسب الشهر'!$C$1397:$AI$1512,16,FALSE),0)</f>
        <v>385.11</v>
      </c>
      <c r="P56" s="364">
        <f t="shared" si="5"/>
        <v>2718.13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الشهر'!$C$10:$AD$119,16,FALSE),0)</f>
        <v>0</v>
      </c>
      <c r="E57" s="362">
        <f>IFERROR(VLOOKUP(C57,'تقرير المصروفات حسب الشهر'!$C$135:$AD$244,16,FALSE),0)</f>
        <v>0</v>
      </c>
      <c r="F57" s="362">
        <v>0</v>
      </c>
      <c r="G57" s="362">
        <f>IFERROR(VLOOKUP(C57,'تقرير المصروفات حسب الشهر'!$C$387:$AD$495,16,FALSE),0)</f>
        <v>0</v>
      </c>
      <c r="H57" s="362">
        <f>IFERROR(VLOOKUP(C57,'تقرير المصروفات حسب الشهر'!$C$512:$AD$620,16,FALSE),0)</f>
        <v>0</v>
      </c>
      <c r="I57" s="362">
        <f>IFERROR(VLOOKUP(C57,'تقرير المصروفات حسب الشهر'!$C$637:$AD$746,16,FALSE),0)</f>
        <v>0</v>
      </c>
      <c r="J57" s="362">
        <f>IFERROR(VLOOKUP(C57,'تقرير المصروفات حسب الشهر'!$C$763:$AD$872,16,FALSE),0)</f>
        <v>0</v>
      </c>
      <c r="K57" s="362">
        <f>IFERROR(VLOOKUP(C57,'تقرير المصروفات حسب الشهر'!$C$890:$AD$999,16,FALSE),0)</f>
        <v>0</v>
      </c>
      <c r="L57" s="362">
        <f>IFERROR(VLOOKUP(C57,'تقرير المصروفات حسب الشهر'!$C$1016:$AD$1126,16,FALSE),0)</f>
        <v>0</v>
      </c>
      <c r="M57" s="376">
        <f>IFERROR(VLOOKUP(C57,'تقرير المصروفات حسب الشهر'!$C$1143:$AD$1254,16,FALSE),0)</f>
        <v>0</v>
      </c>
      <c r="N57" s="376">
        <f>IFERROR(VLOOKUP(C57,'تقرير المصروفات حسب الشهر'!$C$1270:$AD$1381,16,FALSE),0)</f>
        <v>0</v>
      </c>
      <c r="O57" s="376">
        <f>IFERROR(VLOOKUP(C57,'تقرير المصروفات حسب الشهر'!$C$1397:$AI$1512,16,FALSE),0)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الشهر'!$C$10:$AD$119,16,FALSE),0)</f>
        <v>0</v>
      </c>
      <c r="E58" s="362">
        <f>IFERROR(VLOOKUP(C58,'تقرير المصروفات حسب الشهر'!$C$135:$AD$244,16,FALSE),0)</f>
        <v>0</v>
      </c>
      <c r="F58" s="362">
        <v>0</v>
      </c>
      <c r="G58" s="362">
        <f>IFERROR(VLOOKUP(C58,'تقرير المصروفات حسب الشهر'!$C$387:$AD$495,16,FALSE),0)</f>
        <v>0</v>
      </c>
      <c r="H58" s="362">
        <f>IFERROR(VLOOKUP(C58,'تقرير المصروفات حسب الشهر'!$C$512:$AD$620,16,FALSE),0)</f>
        <v>0</v>
      </c>
      <c r="I58" s="362">
        <f>IFERROR(VLOOKUP(C58,'تقرير المصروفات حسب الشهر'!$C$637:$AD$746,16,FALSE),0)</f>
        <v>0</v>
      </c>
      <c r="J58" s="362">
        <f>IFERROR(VLOOKUP(C58,'تقرير المصروفات حسب الشهر'!$C$763:$AD$872,16,FALSE),0)</f>
        <v>0</v>
      </c>
      <c r="K58" s="362">
        <f>IFERROR(VLOOKUP(C58,'تقرير المصروفات حسب الشهر'!$C$890:$AD$999,16,FALSE),0)</f>
        <v>0</v>
      </c>
      <c r="L58" s="362">
        <f>IFERROR(VLOOKUP(C58,'تقرير المصروفات حسب الشهر'!$C$1016:$AD$1126,16,FALSE),0)</f>
        <v>0</v>
      </c>
      <c r="M58" s="376">
        <f>IFERROR(VLOOKUP(C58,'تقرير المصروفات حسب الشهر'!$C$1143:$AD$1254,16,FALSE),0)</f>
        <v>0</v>
      </c>
      <c r="N58" s="376">
        <f>IFERROR(VLOOKUP(C58,'تقرير المصروفات حسب الشهر'!$C$1270:$AD$1381,16,FALSE),0)</f>
        <v>0</v>
      </c>
      <c r="O58" s="376">
        <f>IFERROR(VLOOKUP(C58,'تقرير المصروفات حسب الشهر'!$C$1397:$AI$1512,16,FALSE),0)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الشهر'!$C$10:$AD$119,16,FALSE),0)</f>
        <v>0</v>
      </c>
      <c r="E59" s="362">
        <f>IFERROR(VLOOKUP(C59,'تقرير المصروفات حسب الشهر'!$C$135:$AD$244,16,FALSE),0)</f>
        <v>2200.25</v>
      </c>
      <c r="F59" s="362">
        <v>2200.25</v>
      </c>
      <c r="G59" s="362">
        <f>IFERROR(VLOOKUP(C59,'تقرير المصروفات حسب الشهر'!$C$387:$AD$495,16,FALSE),0)</f>
        <v>1200.25</v>
      </c>
      <c r="H59" s="362">
        <f>IFERROR(VLOOKUP(C59,'تقرير المصروفات حسب الشهر'!$C$512:$AD$620,16,FALSE),0)</f>
        <v>0</v>
      </c>
      <c r="I59" s="362">
        <f>IFERROR(VLOOKUP(C59,'تقرير المصروفات حسب الشهر'!$C$637:$AD$746,16,FALSE),0)</f>
        <v>1965.75</v>
      </c>
      <c r="J59" s="362">
        <f>IFERROR(VLOOKUP(C59,'تقرير المصروفات حسب الشهر'!$C$763:$AD$872,16,FALSE),0)</f>
        <v>1100.25</v>
      </c>
      <c r="K59" s="362">
        <f>IFERROR(VLOOKUP(C59,'تقرير المصروفات حسب الشهر'!$C$890:$AD$999,16,FALSE),0)</f>
        <v>0</v>
      </c>
      <c r="L59" s="362">
        <f>IFERROR(VLOOKUP(C59,'تقرير المصروفات حسب الشهر'!$C$1016:$AD$1126,16,FALSE),0)</f>
        <v>3555.5</v>
      </c>
      <c r="M59" s="376">
        <f>IFERROR(VLOOKUP(C59,'تقرير المصروفات حسب الشهر'!$C$1143:$AD$1254,16,FALSE),0)</f>
        <v>1400.25</v>
      </c>
      <c r="N59" s="376">
        <f>IFERROR(VLOOKUP(C59,'تقرير المصروفات حسب الشهر'!$C$1270:$AD$1381,16,FALSE),0)</f>
        <v>2200</v>
      </c>
      <c r="O59" s="376">
        <f>IFERROR(VLOOKUP(C59,'تقرير المصروفات حسب الشهر'!$C$1397:$AI$1512,16,FALSE),0)</f>
        <v>900.25</v>
      </c>
      <c r="P59" s="364">
        <f t="shared" si="5"/>
        <v>16722.75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الشهر'!$C$10:$AD$119,16,FALSE),0)</f>
        <v>3120</v>
      </c>
      <c r="E60" s="362">
        <f>IFERROR(VLOOKUP(C60,'تقرير المصروفات حسب الشهر'!$C$135:$AD$244,16,FALSE),0)</f>
        <v>0</v>
      </c>
      <c r="F60" s="362">
        <v>4500</v>
      </c>
      <c r="G60" s="362">
        <f>IFERROR(VLOOKUP(C60,'تقرير المصروفات حسب الشهر'!$C$387:$AD$495,16,FALSE),0)</f>
        <v>1860</v>
      </c>
      <c r="H60" s="362">
        <f>IFERROR(VLOOKUP(C60,'تقرير المصروفات حسب الشهر'!$C$512:$AD$620,16,FALSE),0)</f>
        <v>0</v>
      </c>
      <c r="I60" s="362">
        <f>IFERROR(VLOOKUP(C60,'تقرير المصروفات حسب الشهر'!$C$637:$AD$746,16,FALSE),0)</f>
        <v>3100</v>
      </c>
      <c r="J60" s="362">
        <f>IFERROR(VLOOKUP(C60,'تقرير المصروفات حسب الشهر'!$C$763:$AD$872,16,FALSE),0)</f>
        <v>0</v>
      </c>
      <c r="K60" s="362">
        <f>IFERROR(VLOOKUP(C60,'تقرير المصروفات حسب الشهر'!$C$890:$AD$999,16,FALSE),0)</f>
        <v>9900</v>
      </c>
      <c r="L60" s="362">
        <f>IFERROR(VLOOKUP(C60,'تقرير المصروفات حسب الشهر'!$C$1016:$AD$1126,16,FALSE),0)</f>
        <v>0</v>
      </c>
      <c r="M60" s="376">
        <f>IFERROR(VLOOKUP(C60,'تقرير المصروفات حسب الشهر'!$C$1143:$AD$1254,16,FALSE),0)</f>
        <v>3300</v>
      </c>
      <c r="N60" s="376">
        <f>IFERROR(VLOOKUP(C60,'تقرير المصروفات حسب الشهر'!$C$1270:$AD$1381,16,FALSE),0)</f>
        <v>0</v>
      </c>
      <c r="O60" s="376">
        <f>IFERROR(VLOOKUP(C60,'تقرير المصروفات حسب الشهر'!$C$1397:$AI$1512,16,FALSE),0)</f>
        <v>4950</v>
      </c>
      <c r="P60" s="364">
        <f t="shared" si="5"/>
        <v>30730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الشهر'!$C$10:$AD$119,16,FALSE),0)</f>
        <v>0</v>
      </c>
      <c r="E61" s="362">
        <f>IFERROR(VLOOKUP(C61,'تقرير المصروفات حسب الشهر'!$C$135:$AD$244,16,FALSE),0)</f>
        <v>0</v>
      </c>
      <c r="F61" s="362">
        <v>0</v>
      </c>
      <c r="G61" s="362">
        <f>IFERROR(VLOOKUP(C61,'تقرير المصروفات حسب الشهر'!$C$387:$AD$495,16,FALSE),0)</f>
        <v>0</v>
      </c>
      <c r="H61" s="362">
        <f>IFERROR(VLOOKUP(C61,'تقرير المصروفات حسب الشهر'!$C$512:$AD$620,16,FALSE),0)</f>
        <v>0</v>
      </c>
      <c r="I61" s="362">
        <f>IFERROR(VLOOKUP(C61,'تقرير المصروفات حسب الشهر'!$C$637:$AD$746,16,FALSE),0)</f>
        <v>0</v>
      </c>
      <c r="J61" s="362">
        <f>IFERROR(VLOOKUP(C61,'تقرير المصروفات حسب الشهر'!$C$763:$AD$872,16,FALSE),0)</f>
        <v>0</v>
      </c>
      <c r="K61" s="362">
        <f>IFERROR(VLOOKUP(C61,'تقرير المصروفات حسب الشهر'!$C$890:$AD$999,16,FALSE),0)</f>
        <v>0</v>
      </c>
      <c r="L61" s="362">
        <f>IFERROR(VLOOKUP(C61,'تقرير المصروفات حسب الشهر'!$C$1016:$AD$1126,16,FALSE),0)</f>
        <v>350</v>
      </c>
      <c r="M61" s="376">
        <f>IFERROR(VLOOKUP(C61,'تقرير المصروفات حسب الشهر'!$C$1143:$AD$1254,16,FALSE),0)</f>
        <v>0</v>
      </c>
      <c r="N61" s="376">
        <f>IFERROR(VLOOKUP(C61,'تقرير المصروفات حسب الشهر'!$C$1270:$AD$1381,16,FALSE),0)</f>
        <v>0</v>
      </c>
      <c r="O61" s="376">
        <f>IFERROR(VLOOKUP(C61,'تقرير المصروفات حسب الشهر'!$C$1397:$AI$1512,16,FALSE),0)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الشهر'!$C$10:$AD$119,16,FALSE),0)</f>
        <v>0</v>
      </c>
      <c r="E62" s="362">
        <f>IFERROR(VLOOKUP(C62,'تقرير المصروفات حسب الشهر'!$C$135:$AD$244,16,FALSE),0)</f>
        <v>0</v>
      </c>
      <c r="F62" s="362">
        <v>3420</v>
      </c>
      <c r="G62" s="362">
        <f>IFERROR(VLOOKUP(C62,'تقرير المصروفات حسب الشهر'!$C$387:$AD$495,16,FALSE),0)</f>
        <v>0</v>
      </c>
      <c r="H62" s="362">
        <f>IFERROR(VLOOKUP(C62,'تقرير المصروفات حسب الشهر'!$C$512:$AD$620,16,FALSE),0)</f>
        <v>3110</v>
      </c>
      <c r="I62" s="362">
        <f>IFERROR(VLOOKUP(C62,'تقرير المصروفات حسب الشهر'!$C$637:$AD$746,16,FALSE),0)</f>
        <v>0</v>
      </c>
      <c r="J62" s="362">
        <f>IFERROR(VLOOKUP(C62,'تقرير المصروفات حسب الشهر'!$C$763:$AD$872,16,FALSE),0)</f>
        <v>0</v>
      </c>
      <c r="K62" s="362">
        <f>IFERROR(VLOOKUP(C62,'تقرير المصروفات حسب الشهر'!$C$890:$AD$999,16,FALSE),0)</f>
        <v>0</v>
      </c>
      <c r="L62" s="362">
        <f>IFERROR(VLOOKUP(C62,'تقرير المصروفات حسب الشهر'!$C$1016:$AD$1126,16,FALSE),0)</f>
        <v>3608</v>
      </c>
      <c r="M62" s="376">
        <f>IFERROR(VLOOKUP(C62,'تقرير المصروفات حسب الشهر'!$C$1143:$AD$1254,16,FALSE),0)</f>
        <v>0</v>
      </c>
      <c r="N62" s="376">
        <f>IFERROR(VLOOKUP(C62,'تقرير المصروفات حسب الشهر'!$C$1270:$AD$1381,16,FALSE),0)</f>
        <v>0</v>
      </c>
      <c r="O62" s="376">
        <f>IFERROR(VLOOKUP(C62,'تقرير المصروفات حسب الشهر'!$C$1397:$AI$1512,16,FALSE),0)</f>
        <v>0</v>
      </c>
      <c r="P62" s="364">
        <f t="shared" si="5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الشهر'!$C$10:$AD$119,16,FALSE),0)</f>
        <v>0</v>
      </c>
      <c r="E63" s="362">
        <f>IFERROR(VLOOKUP(C63,'تقرير المصروفات حسب الشهر'!$C$135:$AD$244,16,FALSE),0)</f>
        <v>0</v>
      </c>
      <c r="F63" s="362">
        <v>0</v>
      </c>
      <c r="G63" s="362">
        <f>IFERROR(VLOOKUP(C63,'تقرير المصروفات حسب الشهر'!$C$387:$AD$495,16,FALSE),0)</f>
        <v>0</v>
      </c>
      <c r="H63" s="362">
        <f>IFERROR(VLOOKUP(C63,'تقرير المصروفات حسب الشهر'!$C$512:$AD$620,16,FALSE),0)</f>
        <v>0</v>
      </c>
      <c r="I63" s="362">
        <f>IFERROR(VLOOKUP(C63,'تقرير المصروفات حسب الشهر'!$C$637:$AD$746,16,FALSE),0)</f>
        <v>0</v>
      </c>
      <c r="J63" s="362">
        <f>IFERROR(VLOOKUP(C63,'تقرير المصروفات حسب الشهر'!$C$763:$AD$872,16,FALSE),0)</f>
        <v>0</v>
      </c>
      <c r="K63" s="362">
        <f>IFERROR(VLOOKUP(C63,'تقرير المصروفات حسب الشهر'!$C$890:$AD$999,16,FALSE),0)</f>
        <v>0</v>
      </c>
      <c r="L63" s="362">
        <f>IFERROR(VLOOKUP(C63,'تقرير المصروفات حسب الشهر'!$C$1016:$AD$1126,16,FALSE),0)</f>
        <v>0</v>
      </c>
      <c r="M63" s="376">
        <f>IFERROR(VLOOKUP(C63,'تقرير المصروفات حسب الشهر'!$C$1143:$AD$1254,16,FALSE),0)</f>
        <v>0</v>
      </c>
      <c r="N63" s="376">
        <f>IFERROR(VLOOKUP(C63,'تقرير المصروفات حسب الشهر'!$C$1270:$AD$1381,16,FALSE),0)</f>
        <v>0</v>
      </c>
      <c r="O63" s="376">
        <f>IFERROR(VLOOKUP(C63,'تقرير المصروفات حسب الشهر'!$C$1397:$AI$1512,16,FALSE),0)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الشهر'!$C$10:$AD$119,16,FALSE),0)</f>
        <v>0</v>
      </c>
      <c r="E64" s="362">
        <f>IFERROR(VLOOKUP(C64,'تقرير المصروفات حسب الشهر'!$C$135:$AD$244,16,FALSE),0)</f>
        <v>0</v>
      </c>
      <c r="F64" s="362">
        <v>4320</v>
      </c>
      <c r="G64" s="362">
        <f>IFERROR(VLOOKUP(C64,'تقرير المصروفات حسب الشهر'!$C$387:$AD$495,16,FALSE),0)</f>
        <v>8635</v>
      </c>
      <c r="H64" s="362">
        <f>IFERROR(VLOOKUP(C64,'تقرير المصروفات حسب الشهر'!$C$512:$AD$620,16,FALSE),0)</f>
        <v>0</v>
      </c>
      <c r="I64" s="362">
        <f>IFERROR(VLOOKUP(C64,'تقرير المصروفات حسب الشهر'!$C$637:$AD$746,16,FALSE),0)</f>
        <v>0</v>
      </c>
      <c r="J64" s="362">
        <f>IFERROR(VLOOKUP(C64,'تقرير المصروفات حسب الشهر'!$C$763:$AD$872,16,FALSE),0)</f>
        <v>0</v>
      </c>
      <c r="K64" s="362">
        <f>IFERROR(VLOOKUP(C64,'تقرير المصروفات حسب الشهر'!$C$890:$AD$999,16,FALSE),0)</f>
        <v>0</v>
      </c>
      <c r="L64" s="362">
        <f>IFERROR(VLOOKUP(C64,'تقرير المصروفات حسب الشهر'!$C$1016:$AD$1126,16,FALSE),0)</f>
        <v>0</v>
      </c>
      <c r="M64" s="376">
        <f>IFERROR(VLOOKUP(C64,'تقرير المصروفات حسب الشهر'!$C$1143:$AD$1254,16,FALSE),0)</f>
        <v>0</v>
      </c>
      <c r="N64" s="376">
        <f>IFERROR(VLOOKUP(C64,'تقرير المصروفات حسب الشهر'!$C$1270:$AD$1381,16,FALSE),0)</f>
        <v>0</v>
      </c>
      <c r="O64" s="376">
        <f>IFERROR(VLOOKUP(C64,'تقرير المصروفات حسب الشهر'!$C$1397:$AI$1512,16,FALSE),0)</f>
        <v>0</v>
      </c>
      <c r="P64" s="364">
        <f t="shared" si="5"/>
        <v>12955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الشهر'!$C$10:$AD$119,16,FALSE),0)</f>
        <v>0</v>
      </c>
      <c r="E65" s="362">
        <f>IFERROR(VLOOKUP(C65,'تقرير المصروفات حسب الشهر'!$C$135:$AD$244,16,FALSE),0)</f>
        <v>0</v>
      </c>
      <c r="F65" s="362">
        <v>0</v>
      </c>
      <c r="G65" s="362">
        <f>IFERROR(VLOOKUP(C65,'تقرير المصروفات حسب الشهر'!$C$387:$AD$495,16,FALSE),0)</f>
        <v>0</v>
      </c>
      <c r="H65" s="362">
        <f>IFERROR(VLOOKUP(C65,'تقرير المصروفات حسب الشهر'!$C$512:$AD$620,16,FALSE),0)</f>
        <v>0</v>
      </c>
      <c r="I65" s="362">
        <f>IFERROR(VLOOKUP(C65,'تقرير المصروفات حسب الشهر'!$C$637:$AD$746,16,FALSE),0)</f>
        <v>0</v>
      </c>
      <c r="J65" s="362">
        <f>IFERROR(VLOOKUP(C65,'تقرير المصروفات حسب الشهر'!$C$763:$AD$872,16,FALSE),0)</f>
        <v>0</v>
      </c>
      <c r="K65" s="362">
        <f>IFERROR(VLOOKUP(C65,'تقرير المصروفات حسب الشهر'!$C$890:$AD$999,16,FALSE),0)</f>
        <v>0</v>
      </c>
      <c r="L65" s="362">
        <f>IFERROR(VLOOKUP(C65,'تقرير المصروفات حسب الشهر'!$C$1016:$AD$1126,16,FALSE),0)</f>
        <v>0</v>
      </c>
      <c r="M65" s="376">
        <f>IFERROR(VLOOKUP(C65,'تقرير المصروفات حسب الشهر'!$C$1143:$AD$1254,16,FALSE),0)</f>
        <v>0</v>
      </c>
      <c r="N65" s="376">
        <f>IFERROR(VLOOKUP(C65,'تقرير المصروفات حسب الشهر'!$C$1270:$AD$1381,16,FALSE),0)</f>
        <v>0</v>
      </c>
      <c r="O65" s="376">
        <f>IFERROR(VLOOKUP(C65,'تقرير المصروفات حسب الشهر'!$C$1397:$AI$1512,16,FALSE),0)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الشهر'!$C$10:$AD$119,16,FALSE),0)</f>
        <v>0</v>
      </c>
      <c r="E66" s="362">
        <f>IFERROR(VLOOKUP(C66,'تقرير المصروفات حسب الشهر'!$C$135:$AD$244,16,FALSE),0)</f>
        <v>0</v>
      </c>
      <c r="F66" s="362">
        <v>0</v>
      </c>
      <c r="G66" s="362">
        <f>IFERROR(VLOOKUP(C66,'تقرير المصروفات حسب الشهر'!$C$387:$AD$495,16,FALSE),0)</f>
        <v>370</v>
      </c>
      <c r="H66" s="362">
        <f>IFERROR(VLOOKUP(C66,'تقرير المصروفات حسب الشهر'!$C$512:$AD$620,16,FALSE),0)</f>
        <v>0</v>
      </c>
      <c r="I66" s="362">
        <f>IFERROR(VLOOKUP(C66,'تقرير المصروفات حسب الشهر'!$C$637:$AD$746,16,FALSE),0)</f>
        <v>0</v>
      </c>
      <c r="J66" s="362">
        <f>IFERROR(VLOOKUP(C66,'تقرير المصروفات حسب الشهر'!$C$763:$AD$872,16,FALSE),0)</f>
        <v>400</v>
      </c>
      <c r="K66" s="362">
        <f>IFERROR(VLOOKUP(C66,'تقرير المصروفات حسب الشهر'!$C$890:$AD$999,16,FALSE),0)</f>
        <v>1600</v>
      </c>
      <c r="L66" s="362">
        <f>IFERROR(VLOOKUP(C66,'تقرير المصروفات حسب الشهر'!$C$1016:$AD$1126,16,FALSE),0)</f>
        <v>590</v>
      </c>
      <c r="M66" s="376">
        <f>IFERROR(VLOOKUP(C66,'تقرير المصروفات حسب الشهر'!$C$1143:$AD$1254,16,FALSE),0)</f>
        <v>0</v>
      </c>
      <c r="N66" s="376">
        <f>IFERROR(VLOOKUP(C66,'تقرير المصروفات حسب الشهر'!$C$1270:$AD$1381,16,FALSE),0)</f>
        <v>400</v>
      </c>
      <c r="O66" s="376">
        <f>IFERROR(VLOOKUP(C66,'تقرير المصروفات حسب الشهر'!$C$1397:$AI$1512,16,FALSE),0)</f>
        <v>0</v>
      </c>
      <c r="P66" s="364">
        <f t="shared" si="5"/>
        <v>3360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الشهر'!$C$10:$AD$119,16,FALSE),0)</f>
        <v>0</v>
      </c>
      <c r="E67" s="362">
        <f>IFERROR(VLOOKUP(C67,'تقرير المصروفات حسب الشهر'!$C$135:$AD$244,16,FALSE),0)</f>
        <v>0</v>
      </c>
      <c r="F67" s="362">
        <v>0</v>
      </c>
      <c r="G67" s="362">
        <f>IFERROR(VLOOKUP(C67,'تقرير المصروفات حسب الشهر'!$C$387:$AD$495,16,FALSE),0)</f>
        <v>0</v>
      </c>
      <c r="H67" s="362">
        <f>IFERROR(VLOOKUP(C67,'تقرير المصروفات حسب الشهر'!$C$512:$AD$620,16,FALSE),0)</f>
        <v>0</v>
      </c>
      <c r="I67" s="362">
        <f>IFERROR(VLOOKUP(C67,'تقرير المصروفات حسب الشهر'!$C$637:$AD$746,16,FALSE),0)</f>
        <v>0</v>
      </c>
      <c r="J67" s="362">
        <f>IFERROR(VLOOKUP(C67,'تقرير المصروفات حسب الشهر'!$C$763:$AD$872,16,FALSE),0)</f>
        <v>0</v>
      </c>
      <c r="K67" s="362">
        <f>IFERROR(VLOOKUP(C67,'تقرير المصروفات حسب الشهر'!$C$890:$AD$999,16,FALSE),0)</f>
        <v>0</v>
      </c>
      <c r="L67" s="362">
        <f>IFERROR(VLOOKUP(C67,'تقرير المصروفات حسب الشهر'!$C$1016:$AD$1126,16,FALSE),0)</f>
        <v>0</v>
      </c>
      <c r="M67" s="376">
        <f>IFERROR(VLOOKUP(C67,'تقرير المصروفات حسب الشهر'!$C$1143:$AD$1254,16,FALSE),0)</f>
        <v>0</v>
      </c>
      <c r="N67" s="376">
        <f>IFERROR(VLOOKUP(C67,'تقرير المصروفات حسب الشهر'!$C$1270:$AD$1381,16,FALSE),0)</f>
        <v>0</v>
      </c>
      <c r="O67" s="376">
        <f>IFERROR(VLOOKUP(C67,'تقرير المصروفات حسب الشهر'!$C$1397:$AI$1512,16,FALSE),0)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الشهر'!$C$10:$AD$119,16,FALSE),0)</f>
        <v>0</v>
      </c>
      <c r="E68" s="362">
        <f>IFERROR(VLOOKUP(C68,'تقرير المصروفات حسب الشهر'!$C$135:$AD$244,16,FALSE),0)</f>
        <v>0</v>
      </c>
      <c r="F68" s="362">
        <v>0</v>
      </c>
      <c r="G68" s="362">
        <f>IFERROR(VLOOKUP(C68,'تقرير المصروفات حسب الشهر'!$C$387:$AD$495,16,FALSE),0)</f>
        <v>0</v>
      </c>
      <c r="H68" s="362">
        <f>IFERROR(VLOOKUP(C68,'تقرير المصروفات حسب الشهر'!$C$512:$AD$620,16,FALSE),0)</f>
        <v>0</v>
      </c>
      <c r="I68" s="362">
        <f>IFERROR(VLOOKUP(C68,'تقرير المصروفات حسب الشهر'!$C$637:$AD$746,16,FALSE),0)</f>
        <v>0</v>
      </c>
      <c r="J68" s="362">
        <f>IFERROR(VLOOKUP(C68,'تقرير المصروفات حسب الشهر'!$C$763:$AD$872,16,FALSE),0)</f>
        <v>0</v>
      </c>
      <c r="K68" s="362">
        <f>IFERROR(VLOOKUP(C68,'تقرير المصروفات حسب الشهر'!$C$890:$AD$999,16,FALSE),0)</f>
        <v>0</v>
      </c>
      <c r="L68" s="362">
        <f>IFERROR(VLOOKUP(C68,'تقرير المصروفات حسب الشهر'!$C$1016:$AD$1126,16,FALSE),0)</f>
        <v>0</v>
      </c>
      <c r="M68" s="376">
        <f>IFERROR(VLOOKUP(C68,'تقرير المصروفات حسب الشهر'!$C$1143:$AD$1254,16,FALSE),0)</f>
        <v>0</v>
      </c>
      <c r="N68" s="376">
        <f>IFERROR(VLOOKUP(C68,'تقرير المصروفات حسب الشهر'!$C$1270:$AD$1381,16,FALSE),0)</f>
        <v>0</v>
      </c>
      <c r="O68" s="376">
        <f>IFERROR(VLOOKUP(C68,'تقرير المصروفات حسب الشهر'!$C$1397:$AI$1512,16,FALSE),0)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الشهر'!$C$10:$AD$119,16,FALSE),0)</f>
        <v>0</v>
      </c>
      <c r="E69" s="362">
        <f>IFERROR(VLOOKUP(C69,'تقرير المصروفات حسب الشهر'!$C$135:$AD$244,16,FALSE),0)</f>
        <v>0</v>
      </c>
      <c r="F69" s="362">
        <v>0</v>
      </c>
      <c r="G69" s="362">
        <f>IFERROR(VLOOKUP(C69,'تقرير المصروفات حسب الشهر'!$C$387:$AD$495,16,FALSE),0)</f>
        <v>0</v>
      </c>
      <c r="H69" s="362">
        <f>IFERROR(VLOOKUP(C69,'تقرير المصروفات حسب الشهر'!$C$512:$AD$620,16,FALSE),0)</f>
        <v>0</v>
      </c>
      <c r="I69" s="362">
        <f>IFERROR(VLOOKUP(C69,'تقرير المصروفات حسب الشهر'!$C$637:$AD$746,16,FALSE),0)</f>
        <v>0</v>
      </c>
      <c r="J69" s="362">
        <f>IFERROR(VLOOKUP(C69,'تقرير المصروفات حسب الشهر'!$C$763:$AD$872,16,FALSE),0)</f>
        <v>0</v>
      </c>
      <c r="K69" s="362">
        <f>IFERROR(VLOOKUP(C69,'تقرير المصروفات حسب الشهر'!$C$890:$AD$999,16,FALSE),0)</f>
        <v>0</v>
      </c>
      <c r="L69" s="362">
        <f>IFERROR(VLOOKUP(C69,'تقرير المصروفات حسب الشهر'!$C$1016:$AD$1126,16,FALSE),0)</f>
        <v>0</v>
      </c>
      <c r="M69" s="376">
        <f>IFERROR(VLOOKUP(C69,'تقرير المصروفات حسب الشهر'!$C$1143:$AD$1254,16,FALSE),0)</f>
        <v>0</v>
      </c>
      <c r="N69" s="376">
        <f>IFERROR(VLOOKUP(C69,'تقرير المصروفات حسب الشهر'!$C$1270:$AD$1381,16,FALSE),0)</f>
        <v>0</v>
      </c>
      <c r="O69" s="376">
        <f>IFERROR(VLOOKUP(C69,'تقرير المصروفات حسب الشهر'!$C$1397:$AI$1512,16,FALSE),0)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الشهر'!$C$10:$AD$119,16,FALSE),0)</f>
        <v>0</v>
      </c>
      <c r="E70" s="362">
        <f>IFERROR(VLOOKUP(C70,'تقرير المصروفات حسب الشهر'!$C$135:$AD$244,16,FALSE),0)</f>
        <v>0</v>
      </c>
      <c r="F70" s="362">
        <v>0</v>
      </c>
      <c r="G70" s="362">
        <f>IFERROR(VLOOKUP(C70,'تقرير المصروفات حسب الشهر'!$C$387:$AD$495,16,FALSE),0)</f>
        <v>0</v>
      </c>
      <c r="H70" s="362">
        <f>IFERROR(VLOOKUP(C70,'تقرير المصروفات حسب الشهر'!$C$512:$AD$620,16,FALSE),0)</f>
        <v>0</v>
      </c>
      <c r="I70" s="362">
        <f>IFERROR(VLOOKUP(C70,'تقرير المصروفات حسب الشهر'!$C$637:$AD$746,16,FALSE),0)</f>
        <v>0</v>
      </c>
      <c r="J70" s="362">
        <f>IFERROR(VLOOKUP(C70,'تقرير المصروفات حسب الشهر'!$C$763:$AD$872,16,FALSE),0)</f>
        <v>0</v>
      </c>
      <c r="K70" s="362">
        <f>IFERROR(VLOOKUP(C70,'تقرير المصروفات حسب الشهر'!$C$890:$AD$999,16,FALSE),0)</f>
        <v>0</v>
      </c>
      <c r="L70" s="362">
        <f>IFERROR(VLOOKUP(C70,'تقرير المصروفات حسب الشهر'!$C$1016:$AD$1126,16,FALSE),0)</f>
        <v>0</v>
      </c>
      <c r="M70" s="376">
        <f>IFERROR(VLOOKUP(C70,'تقرير المصروفات حسب الشهر'!$C$1143:$AD$1254,16,FALSE),0)</f>
        <v>0</v>
      </c>
      <c r="N70" s="376">
        <f>IFERROR(VLOOKUP(C70,'تقرير المصروفات حسب الشهر'!$C$1270:$AD$1381,16,FALSE),0)</f>
        <v>0</v>
      </c>
      <c r="O70" s="376">
        <f>IFERROR(VLOOKUP(C70,'تقرير المصروفات حسب الشهر'!$C$1397:$AI$1512,16,FALSE),0)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الشهر'!$C$10:$AD$119,16,FALSE),0)</f>
        <v>0</v>
      </c>
      <c r="E71" s="362">
        <f>IFERROR(VLOOKUP(C71,'تقرير المصروفات حسب الشهر'!$C$135:$AD$244,16,FALSE),0)</f>
        <v>0</v>
      </c>
      <c r="F71" s="362">
        <v>0</v>
      </c>
      <c r="G71" s="362">
        <f>IFERROR(VLOOKUP(C71,'تقرير المصروفات حسب الشهر'!$C$387:$AD$495,16,FALSE),0)</f>
        <v>0</v>
      </c>
      <c r="H71" s="362">
        <f>IFERROR(VLOOKUP(C71,'تقرير المصروفات حسب الشهر'!$C$512:$AD$620,16,FALSE),0)</f>
        <v>0</v>
      </c>
      <c r="I71" s="362">
        <f>IFERROR(VLOOKUP(C71,'تقرير المصروفات حسب الشهر'!$C$637:$AD$746,16,FALSE),0)</f>
        <v>0</v>
      </c>
      <c r="J71" s="362">
        <f>IFERROR(VLOOKUP(C71,'تقرير المصروفات حسب الشهر'!$C$763:$AD$872,16,FALSE),0)</f>
        <v>0</v>
      </c>
      <c r="K71" s="362">
        <f>IFERROR(VLOOKUP(C71,'تقرير المصروفات حسب الشهر'!$C$890:$AD$999,16,FALSE),0)</f>
        <v>0</v>
      </c>
      <c r="L71" s="362">
        <f>IFERROR(VLOOKUP(C71,'تقرير المصروفات حسب الشهر'!$C$1016:$AD$1126,16,FALSE),0)</f>
        <v>0</v>
      </c>
      <c r="M71" s="376">
        <f>IFERROR(VLOOKUP(C71,'تقرير المصروفات حسب الشهر'!$C$1143:$AD$1254,16,FALSE),0)</f>
        <v>0</v>
      </c>
      <c r="N71" s="376">
        <f>IFERROR(VLOOKUP(C71,'تقرير المصروفات حسب الشهر'!$C$1270:$AD$1381,16,FALSE),0)</f>
        <v>0</v>
      </c>
      <c r="O71" s="376">
        <f>IFERROR(VLOOKUP(C71,'تقرير المصروفات حسب الشهر'!$C$1397:$AI$1512,16,FALSE),0)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الشهر'!$C$10:$AD$119,16,FALSE),0)</f>
        <v>0</v>
      </c>
      <c r="E72" s="362">
        <f>IFERROR(VLOOKUP(C72,'تقرير المصروفات حسب الشهر'!$C$135:$AD$244,16,FALSE),0)</f>
        <v>0</v>
      </c>
      <c r="F72" s="362">
        <v>0</v>
      </c>
      <c r="G72" s="362">
        <f>IFERROR(VLOOKUP(C72,'تقرير المصروفات حسب الشهر'!$C$387:$AD$495,16,FALSE),0)</f>
        <v>0</v>
      </c>
      <c r="H72" s="362">
        <f>IFERROR(VLOOKUP(C72,'تقرير المصروفات حسب الشهر'!$C$512:$AD$620,16,FALSE),0)</f>
        <v>0</v>
      </c>
      <c r="I72" s="362">
        <f>IFERROR(VLOOKUP(C72,'تقرير المصروفات حسب الشهر'!$C$637:$AD$746,16,FALSE),0)</f>
        <v>0</v>
      </c>
      <c r="J72" s="362">
        <f>IFERROR(VLOOKUP(C72,'تقرير المصروفات حسب الشهر'!$C$763:$AD$872,16,FALSE),0)</f>
        <v>0</v>
      </c>
      <c r="K72" s="362">
        <f>IFERROR(VLOOKUP(C72,'تقرير المصروفات حسب الشهر'!$C$890:$AD$999,16,FALSE),0)</f>
        <v>0</v>
      </c>
      <c r="L72" s="362">
        <f>IFERROR(VLOOKUP(C72,'تقرير المصروفات حسب الشهر'!$C$1016:$AD$1126,16,FALSE),0)</f>
        <v>0</v>
      </c>
      <c r="M72" s="376">
        <f>IFERROR(VLOOKUP(C72,'تقرير المصروفات حسب الشهر'!$C$1143:$AD$1254,16,FALSE),0)</f>
        <v>0</v>
      </c>
      <c r="N72" s="376">
        <f>IFERROR(VLOOKUP(C72,'تقرير المصروفات حسب الشهر'!$C$1270:$AD$1381,16,FALSE),0)</f>
        <v>0</v>
      </c>
      <c r="O72" s="376">
        <f>IFERROR(VLOOKUP(C72,'تقرير المصروفات حسب الشهر'!$C$1397:$AI$1512,16,FALSE),0)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الشهر'!$C$10:$AD$119,16,FALSE),0)</f>
        <v>0</v>
      </c>
      <c r="E73" s="362">
        <f>IFERROR(VLOOKUP(C73,'تقرير المصروفات حسب الشهر'!$C$135:$AD$244,16,FALSE),0)</f>
        <v>0</v>
      </c>
      <c r="F73" s="362">
        <v>0</v>
      </c>
      <c r="G73" s="362">
        <f>IFERROR(VLOOKUP(C73,'تقرير المصروفات حسب الشهر'!$C$387:$AD$495,16,FALSE),0)</f>
        <v>0</v>
      </c>
      <c r="H73" s="362">
        <f>IFERROR(VLOOKUP(C73,'تقرير المصروفات حسب الشهر'!$C$512:$AD$620,16,FALSE),0)</f>
        <v>0</v>
      </c>
      <c r="I73" s="362">
        <f>IFERROR(VLOOKUP(C73,'تقرير المصروفات حسب الشهر'!$C$637:$AD$746,16,FALSE),0)</f>
        <v>0</v>
      </c>
      <c r="J73" s="362">
        <f>IFERROR(VLOOKUP(C73,'تقرير المصروفات حسب الشهر'!$C$763:$AD$872,16,FALSE),0)</f>
        <v>0</v>
      </c>
      <c r="K73" s="362">
        <f>IFERROR(VLOOKUP(C73,'تقرير المصروفات حسب الشهر'!$C$890:$AD$999,16,FALSE),0)</f>
        <v>0</v>
      </c>
      <c r="L73" s="362">
        <f>IFERROR(VLOOKUP(C73,'تقرير المصروفات حسب الشهر'!$C$1016:$AD$1126,16,FALSE),0)</f>
        <v>0</v>
      </c>
      <c r="M73" s="376">
        <f>IFERROR(VLOOKUP(C73,'تقرير المصروفات حسب الشهر'!$C$1143:$AD$1254,16,FALSE),0)</f>
        <v>0</v>
      </c>
      <c r="N73" s="376">
        <f>IFERROR(VLOOKUP(C73,'تقرير المصروفات حسب الشهر'!$C$1270:$AD$1381,16,FALSE),0)</f>
        <v>0</v>
      </c>
      <c r="O73" s="376">
        <f>IFERROR(VLOOKUP(C73,'تقرير المصروفات حسب الشهر'!$C$1397:$AI$1512,16,FALSE),0)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الشهر'!$C$10:$AD$119,16,FALSE),0)</f>
        <v>0</v>
      </c>
      <c r="E74" s="362">
        <f>IFERROR(VLOOKUP(C74,'تقرير المصروفات حسب الشهر'!$C$135:$AD$244,16,FALSE),0)</f>
        <v>0</v>
      </c>
      <c r="F74" s="362">
        <v>0</v>
      </c>
      <c r="G74" s="362">
        <f>IFERROR(VLOOKUP(C74,'تقرير المصروفات حسب الشهر'!$C$387:$AD$495,16,FALSE),0)</f>
        <v>0</v>
      </c>
      <c r="H74" s="362">
        <f>IFERROR(VLOOKUP(C74,'تقرير المصروفات حسب الشهر'!$C$512:$AD$620,16,FALSE),0)</f>
        <v>0</v>
      </c>
      <c r="I74" s="362">
        <f>IFERROR(VLOOKUP(C74,'تقرير المصروفات حسب الشهر'!$C$637:$AD$746,16,FALSE),0)</f>
        <v>0</v>
      </c>
      <c r="J74" s="362">
        <f>IFERROR(VLOOKUP(C74,'تقرير المصروفات حسب الشهر'!$C$763:$AD$872,16,FALSE),0)</f>
        <v>0</v>
      </c>
      <c r="K74" s="362">
        <f>IFERROR(VLOOKUP(C74,'تقرير المصروفات حسب الشهر'!$C$890:$AD$999,16,FALSE),0)</f>
        <v>0</v>
      </c>
      <c r="L74" s="362">
        <f>IFERROR(VLOOKUP(C74,'تقرير المصروفات حسب الشهر'!$C$1016:$AD$1126,16,FALSE),0)</f>
        <v>0</v>
      </c>
      <c r="M74" s="376">
        <f>IFERROR(VLOOKUP(C74,'تقرير المصروفات حسب الشهر'!$C$1143:$AD$1254,16,FALSE),0)</f>
        <v>0</v>
      </c>
      <c r="N74" s="376">
        <f>IFERROR(VLOOKUP(C74,'تقرير المصروفات حسب الشهر'!$C$1270:$AD$1381,16,FALSE),0)</f>
        <v>0</v>
      </c>
      <c r="O74" s="376">
        <f>IFERROR(VLOOKUP(C74,'تقرير المصروفات حسب الشهر'!$C$1397:$AI$1512,16,FALSE),0)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الشهر'!$C$10:$AD$119,16,FALSE),0)</f>
        <v>0</v>
      </c>
      <c r="E75" s="362">
        <f>IFERROR(VLOOKUP(C75,'تقرير المصروفات حسب الشهر'!$C$135:$AD$244,16,FALSE),0)</f>
        <v>0</v>
      </c>
      <c r="F75" s="362">
        <v>0</v>
      </c>
      <c r="G75" s="362">
        <f>IFERROR(VLOOKUP(C75,'تقرير المصروفات حسب الشهر'!$C$387:$AD$495,16,FALSE),0)</f>
        <v>0</v>
      </c>
      <c r="H75" s="362">
        <f>IFERROR(VLOOKUP(C75,'تقرير المصروفات حسب الشهر'!$C$512:$AD$620,16,FALSE),0)</f>
        <v>0</v>
      </c>
      <c r="I75" s="362">
        <f>IFERROR(VLOOKUP(C75,'تقرير المصروفات حسب الشهر'!$C$637:$AD$746,16,FALSE),0)</f>
        <v>0</v>
      </c>
      <c r="J75" s="362">
        <f>IFERROR(VLOOKUP(C75,'تقرير المصروفات حسب الشهر'!$C$763:$AD$872,16,FALSE),0)</f>
        <v>0</v>
      </c>
      <c r="K75" s="362">
        <f>IFERROR(VLOOKUP(C75,'تقرير المصروفات حسب الشهر'!$C$890:$AD$999,16,FALSE),0)</f>
        <v>0</v>
      </c>
      <c r="L75" s="362">
        <f>IFERROR(VLOOKUP(C75,'تقرير المصروفات حسب الشهر'!$C$1016:$AD$1126,16,FALSE),0)</f>
        <v>0</v>
      </c>
      <c r="M75" s="376">
        <f>IFERROR(VLOOKUP(C75,'تقرير المصروفات حسب الشهر'!$C$1143:$AD$1254,16,FALSE),0)</f>
        <v>0</v>
      </c>
      <c r="N75" s="376">
        <f>IFERROR(VLOOKUP(C75,'تقرير المصروفات حسب الشهر'!$C$1270:$AD$1381,16,FALSE),0)</f>
        <v>0</v>
      </c>
      <c r="O75" s="376">
        <f>IFERROR(VLOOKUP(C75,'تقرير المصروفات حسب الشهر'!$C$1397:$AI$1512,16,FALSE),0)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الشهر'!$C$10:$AD$119,16,FALSE),0)</f>
        <v>0</v>
      </c>
      <c r="E76" s="362">
        <f>IFERROR(VLOOKUP(C76,'تقرير المصروفات حسب الشهر'!$C$135:$AD$244,16,FALSE),0)</f>
        <v>0</v>
      </c>
      <c r="F76" s="362">
        <v>0</v>
      </c>
      <c r="G76" s="362">
        <f>IFERROR(VLOOKUP(C76,'تقرير المصروفات حسب الشهر'!$C$387:$AD$495,16,FALSE),0)</f>
        <v>0</v>
      </c>
      <c r="H76" s="362">
        <f>IFERROR(VLOOKUP(C76,'تقرير المصروفات حسب الشهر'!$C$512:$AD$620,16,FALSE),0)</f>
        <v>0</v>
      </c>
      <c r="I76" s="362">
        <f>IFERROR(VLOOKUP(C76,'تقرير المصروفات حسب الشهر'!$C$637:$AD$746,16,FALSE),0)</f>
        <v>0</v>
      </c>
      <c r="J76" s="362">
        <f>IFERROR(VLOOKUP(C76,'تقرير المصروفات حسب الشهر'!$C$763:$AD$872,16,FALSE),0)</f>
        <v>0</v>
      </c>
      <c r="K76" s="362">
        <f>IFERROR(VLOOKUP(C76,'تقرير المصروفات حسب الشهر'!$C$890:$AD$999,16,FALSE),0)</f>
        <v>0</v>
      </c>
      <c r="L76" s="362">
        <f>IFERROR(VLOOKUP(C76,'تقرير المصروفات حسب الشهر'!$C$1016:$AD$1126,16,FALSE),0)</f>
        <v>0</v>
      </c>
      <c r="M76" s="376">
        <f>IFERROR(VLOOKUP(C76,'تقرير المصروفات حسب الشهر'!$C$1143:$AD$1254,16,FALSE),0)</f>
        <v>0</v>
      </c>
      <c r="N76" s="376">
        <f>IFERROR(VLOOKUP(C76,'تقرير المصروفات حسب الشهر'!$C$1270:$AD$1381,16,FALSE),0)</f>
        <v>0</v>
      </c>
      <c r="O76" s="376">
        <f>IFERROR(VLOOKUP(C76,'تقرير المصروفات حسب الشهر'!$C$1397:$AI$1512,16,FALSE),0)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الشهر'!$C$10:$AD$119,16,FALSE),0)</f>
        <v>0</v>
      </c>
      <c r="E77" s="362">
        <f>IFERROR(VLOOKUP(C77,'تقرير المصروفات حسب الشهر'!$C$135:$AD$244,16,FALSE),0)</f>
        <v>0</v>
      </c>
      <c r="F77" s="362">
        <v>0</v>
      </c>
      <c r="G77" s="362">
        <f>IFERROR(VLOOKUP(C77,'تقرير المصروفات حسب الشهر'!$C$387:$AD$495,16,FALSE),0)</f>
        <v>0</v>
      </c>
      <c r="H77" s="362">
        <f>IFERROR(VLOOKUP(C77,'تقرير المصروفات حسب الشهر'!$C$512:$AD$620,16,FALSE),0)</f>
        <v>0</v>
      </c>
      <c r="I77" s="362">
        <f>IFERROR(VLOOKUP(C77,'تقرير المصروفات حسب الشهر'!$C$637:$AD$746,16,FALSE),0)</f>
        <v>0</v>
      </c>
      <c r="J77" s="362">
        <f>IFERROR(VLOOKUP(C77,'تقرير المصروفات حسب الشهر'!$C$763:$AD$872,16,FALSE),0)</f>
        <v>0</v>
      </c>
      <c r="K77" s="362">
        <f>IFERROR(VLOOKUP(C77,'تقرير المصروفات حسب الشهر'!$C$890:$AD$999,16,FALSE),0)</f>
        <v>0</v>
      </c>
      <c r="L77" s="362">
        <f>IFERROR(VLOOKUP(C77,'تقرير المصروفات حسب الشهر'!$C$1016:$AD$1126,16,FALSE),0)</f>
        <v>0</v>
      </c>
      <c r="M77" s="376">
        <f>IFERROR(VLOOKUP(C77,'تقرير المصروفات حسب الشهر'!$C$1143:$AD$1254,16,FALSE),0)</f>
        <v>0</v>
      </c>
      <c r="N77" s="376">
        <f>IFERROR(VLOOKUP(C77,'تقرير المصروفات حسب الشهر'!$C$1270:$AD$1381,16,FALSE),0)</f>
        <v>0</v>
      </c>
      <c r="O77" s="376">
        <f>IFERROR(VLOOKUP(C77,'تقرير المصروفات حسب الشهر'!$C$1397:$AI$1512,16,FALSE),0)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الشهر'!$C$10:$AD$119,16,FALSE),0)</f>
        <v>0</v>
      </c>
      <c r="E78" s="362">
        <f>IFERROR(VLOOKUP(C78,'تقرير المصروفات حسب الشهر'!$C$135:$AD$244,16,FALSE),0)</f>
        <v>0</v>
      </c>
      <c r="F78" s="362">
        <v>0</v>
      </c>
      <c r="G78" s="362">
        <f>IFERROR(VLOOKUP(C78,'تقرير المصروفات حسب الشهر'!$C$387:$AD$495,16,FALSE),0)</f>
        <v>0</v>
      </c>
      <c r="H78" s="362">
        <f>IFERROR(VLOOKUP(C78,'تقرير المصروفات حسب الشهر'!$C$512:$AD$620,16,FALSE),0)</f>
        <v>0</v>
      </c>
      <c r="I78" s="362">
        <f>IFERROR(VLOOKUP(C78,'تقرير المصروفات حسب الشهر'!$C$637:$AD$746,16,FALSE),0)</f>
        <v>0</v>
      </c>
      <c r="J78" s="362">
        <f>IFERROR(VLOOKUP(C78,'تقرير المصروفات حسب الشهر'!$C$763:$AD$872,16,FALSE),0)</f>
        <v>0</v>
      </c>
      <c r="K78" s="362">
        <f>IFERROR(VLOOKUP(C78,'تقرير المصروفات حسب الشهر'!$C$890:$AD$999,16,FALSE),0)</f>
        <v>0</v>
      </c>
      <c r="L78" s="362">
        <f>IFERROR(VLOOKUP(C78,'تقرير المصروفات حسب الشهر'!$C$1016:$AD$1126,16,FALSE),0)</f>
        <v>0</v>
      </c>
      <c r="M78" s="376">
        <f>IFERROR(VLOOKUP(C78,'تقرير المصروفات حسب الشهر'!$C$1143:$AD$1254,16,FALSE),0)</f>
        <v>0</v>
      </c>
      <c r="N78" s="376">
        <f>IFERROR(VLOOKUP(C78,'تقرير المصروفات حسب الشهر'!$C$1270:$AD$1381,16,FALSE),0)</f>
        <v>0</v>
      </c>
      <c r="O78" s="376">
        <f>IFERROR(VLOOKUP(C78,'تقرير المصروفات حسب الشهر'!$C$1397:$AI$1512,16,FALSE),0)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الشهر'!$C$10:$AD$119,16,FALSE),0)</f>
        <v>0</v>
      </c>
      <c r="E79" s="362">
        <f>IFERROR(VLOOKUP(C79,'تقرير المصروفات حسب الشهر'!$C$135:$AD$244,16,FALSE),0)</f>
        <v>0</v>
      </c>
      <c r="F79" s="362">
        <v>0</v>
      </c>
      <c r="G79" s="362">
        <f>IFERROR(VLOOKUP(C79,'تقرير المصروفات حسب الشهر'!$C$387:$AD$495,16,FALSE),0)</f>
        <v>0</v>
      </c>
      <c r="H79" s="362">
        <f>IFERROR(VLOOKUP(C79,'تقرير المصروفات حسب الشهر'!$C$512:$AD$620,16,FALSE),0)</f>
        <v>0</v>
      </c>
      <c r="I79" s="362">
        <f>IFERROR(VLOOKUP(C79,'تقرير المصروفات حسب الشهر'!$C$637:$AD$746,16,FALSE),0)</f>
        <v>0</v>
      </c>
      <c r="J79" s="362">
        <f>IFERROR(VLOOKUP(C79,'تقرير المصروفات حسب الشهر'!$C$763:$AD$872,16,FALSE),0)</f>
        <v>0</v>
      </c>
      <c r="K79" s="362">
        <f>IFERROR(VLOOKUP(C79,'تقرير المصروفات حسب الشهر'!$C$890:$AD$999,16,FALSE),0)</f>
        <v>0</v>
      </c>
      <c r="L79" s="362">
        <f>IFERROR(VLOOKUP(C79,'تقرير المصروفات حسب الشهر'!$C$1016:$AD$1126,16,FALSE),0)</f>
        <v>0</v>
      </c>
      <c r="M79" s="376">
        <f>IFERROR(VLOOKUP(C79,'تقرير المصروفات حسب الشهر'!$C$1143:$AD$1254,16,FALSE),0)</f>
        <v>0</v>
      </c>
      <c r="N79" s="376">
        <f>IFERROR(VLOOKUP(C79,'تقرير المصروفات حسب الشهر'!$C$1270:$AD$1381,16,FALSE),0)</f>
        <v>0</v>
      </c>
      <c r="O79" s="376">
        <f>IFERROR(VLOOKUP(C79,'تقرير المصروفات حسب الشهر'!$C$1397:$AI$1512,16,FALSE),0)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الشهر'!$C$10:$AD$119,16,FALSE),0)</f>
        <v>0</v>
      </c>
      <c r="E80" s="362">
        <f>IFERROR(VLOOKUP(C80,'تقرير المصروفات حسب الشهر'!$C$135:$AD$244,16,FALSE),0)</f>
        <v>0</v>
      </c>
      <c r="F80" s="362">
        <v>0</v>
      </c>
      <c r="G80" s="362">
        <f>IFERROR(VLOOKUP(C80,'تقرير المصروفات حسب الشهر'!$C$387:$AD$495,16,FALSE),0)</f>
        <v>0</v>
      </c>
      <c r="H80" s="362">
        <f>IFERROR(VLOOKUP(C80,'تقرير المصروفات حسب الشهر'!$C$512:$AD$620,16,FALSE),0)</f>
        <v>0</v>
      </c>
      <c r="I80" s="362">
        <f>IFERROR(VLOOKUP(C80,'تقرير المصروفات حسب الشهر'!$C$637:$AD$746,16,FALSE),0)</f>
        <v>0</v>
      </c>
      <c r="J80" s="362">
        <f>IFERROR(VLOOKUP(C80,'تقرير المصروفات حسب الشهر'!$C$763:$AD$872,16,FALSE),0)</f>
        <v>0</v>
      </c>
      <c r="K80" s="362">
        <f>IFERROR(VLOOKUP(C80,'تقرير المصروفات حسب الشهر'!$C$890:$AD$999,16,FALSE),0)</f>
        <v>0</v>
      </c>
      <c r="L80" s="362">
        <f>IFERROR(VLOOKUP(C80,'تقرير المصروفات حسب الشهر'!$C$1016:$AD$1126,16,FALSE),0)</f>
        <v>0</v>
      </c>
      <c r="M80" s="376">
        <f>IFERROR(VLOOKUP(C80,'تقرير المصروفات حسب الشهر'!$C$1143:$AD$1254,16,FALSE),0)</f>
        <v>0</v>
      </c>
      <c r="N80" s="376">
        <f>IFERROR(VLOOKUP(C80,'تقرير المصروفات حسب الشهر'!$C$1270:$AD$1381,16,FALSE),0)</f>
        <v>0</v>
      </c>
      <c r="O80" s="376">
        <f>IFERROR(VLOOKUP(C80,'تقرير المصروفات حسب الشهر'!$C$1397:$AI$1512,16,FALSE),0)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الشهر'!$C$10:$AD$119,16,FALSE),0)</f>
        <v>216</v>
      </c>
      <c r="E81" s="362">
        <f>IFERROR(VLOOKUP(C81,'تقرير المصروفات حسب الشهر'!$C$135:$AD$244,16,FALSE),0)</f>
        <v>0</v>
      </c>
      <c r="F81" s="362">
        <v>0</v>
      </c>
      <c r="G81" s="362">
        <f>IFERROR(VLOOKUP(C81,'تقرير المصروفات حسب الشهر'!$C$387:$AD$495,16,FALSE),0)</f>
        <v>0</v>
      </c>
      <c r="H81" s="362">
        <f>IFERROR(VLOOKUP(C81,'تقرير المصروفات حسب الشهر'!$C$512:$AD$620,16,FALSE),0)</f>
        <v>692</v>
      </c>
      <c r="I81" s="362">
        <f>IFERROR(VLOOKUP(C81,'تقرير المصروفات حسب الشهر'!$C$637:$AD$746,16,FALSE),0)</f>
        <v>100</v>
      </c>
      <c r="J81" s="362">
        <f>IFERROR(VLOOKUP(C81,'تقرير المصروفات حسب الشهر'!$C$763:$AD$872,16,FALSE),0)</f>
        <v>0</v>
      </c>
      <c r="K81" s="362">
        <f>IFERROR(VLOOKUP(C81,'تقرير المصروفات حسب الشهر'!$C$890:$AD$999,16,FALSE),0)</f>
        <v>300</v>
      </c>
      <c r="L81" s="362">
        <f>IFERROR(VLOOKUP(C81,'تقرير المصروفات حسب الشهر'!$C$1016:$AD$1126,16,FALSE),0)</f>
        <v>0</v>
      </c>
      <c r="M81" s="376">
        <f>IFERROR(VLOOKUP(C81,'تقرير المصروفات حسب الشهر'!$C$1143:$AD$1254,16,FALSE),0)</f>
        <v>0</v>
      </c>
      <c r="N81" s="376">
        <f>IFERROR(VLOOKUP(C81,'تقرير المصروفات حسب الشهر'!$C$1270:$AD$1381,16,FALSE),0)</f>
        <v>0</v>
      </c>
      <c r="O81" s="376">
        <f>IFERROR(VLOOKUP(C81,'تقرير المصروفات حسب الشهر'!$C$1397:$AI$1512,16,FALSE),0)</f>
        <v>1092</v>
      </c>
      <c r="P81" s="364">
        <f t="shared" si="5"/>
        <v>2400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الشهر'!$C$10:$AD$119,16,FALSE),0)</f>
        <v>0</v>
      </c>
      <c r="E82" s="362">
        <f>IFERROR(VLOOKUP(C82,'تقرير المصروفات حسب الشهر'!$C$135:$AD$244,16,FALSE),0)</f>
        <v>0</v>
      </c>
      <c r="F82" s="362">
        <v>0</v>
      </c>
      <c r="G82" s="362">
        <f>IFERROR(VLOOKUP(C82,'تقرير المصروفات حسب الشهر'!$C$387:$AD$495,16,FALSE),0)</f>
        <v>0</v>
      </c>
      <c r="H82" s="362">
        <f>IFERROR(VLOOKUP(C82,'تقرير المصروفات حسب الشهر'!$C$512:$AD$620,16,FALSE),0)</f>
        <v>0</v>
      </c>
      <c r="I82" s="362">
        <f>IFERROR(VLOOKUP(C82,'تقرير المصروفات حسب الشهر'!$C$637:$AD$746,16,FALSE),0)</f>
        <v>0</v>
      </c>
      <c r="J82" s="362">
        <f>IFERROR(VLOOKUP(C82,'تقرير المصروفات حسب الشهر'!$C$763:$AD$872,16,FALSE),0)</f>
        <v>0</v>
      </c>
      <c r="K82" s="362">
        <f>IFERROR(VLOOKUP(C82,'تقرير المصروفات حسب الشهر'!$C$890:$AD$999,16,FALSE),0)</f>
        <v>0</v>
      </c>
      <c r="L82" s="362">
        <f>IFERROR(VLOOKUP(C82,'تقرير المصروفات حسب الشهر'!$C$1016:$AD$1126,16,FALSE),0)</f>
        <v>0</v>
      </c>
      <c r="M82" s="376">
        <f>IFERROR(VLOOKUP(C82,'تقرير المصروفات حسب الشهر'!$C$1143:$AD$1254,16,FALSE),0)</f>
        <v>0</v>
      </c>
      <c r="N82" s="376">
        <f>IFERROR(VLOOKUP(C82,'تقرير المصروفات حسب الشهر'!$C$1270:$AD$1381,16,FALSE),0)</f>
        <v>0</v>
      </c>
      <c r="O82" s="376">
        <f>IFERROR(VLOOKUP(C82,'تقرير المصروفات حسب الشهر'!$C$1397:$AI$1512,16,FALSE),0)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الشهر'!$C$10:$AD$119,16,FALSE),0)</f>
        <v>0</v>
      </c>
      <c r="E83" s="362">
        <f>IFERROR(VLOOKUP(C83,'تقرير المصروفات حسب الشهر'!$C$135:$AD$244,16,FALSE),0)</f>
        <v>0</v>
      </c>
      <c r="F83" s="362">
        <v>0</v>
      </c>
      <c r="G83" s="362">
        <f>IFERROR(VLOOKUP(C83,'تقرير المصروفات حسب الشهر'!$C$387:$AD$495,16,FALSE),0)</f>
        <v>0</v>
      </c>
      <c r="H83" s="362">
        <f>IFERROR(VLOOKUP(C83,'تقرير المصروفات حسب الشهر'!$C$512:$AD$620,16,FALSE),0)</f>
        <v>0</v>
      </c>
      <c r="I83" s="362">
        <f>IFERROR(VLOOKUP(C83,'تقرير المصروفات حسب الشهر'!$C$637:$AD$746,16,FALSE),0)</f>
        <v>0</v>
      </c>
      <c r="J83" s="362">
        <f>IFERROR(VLOOKUP(C83,'تقرير المصروفات حسب الشهر'!$C$763:$AD$872,16,FALSE),0)</f>
        <v>0</v>
      </c>
      <c r="K83" s="362">
        <f>IFERROR(VLOOKUP(C83,'تقرير المصروفات حسب الشهر'!$C$890:$AD$999,16,FALSE),0)</f>
        <v>0</v>
      </c>
      <c r="L83" s="362">
        <f>IFERROR(VLOOKUP(C83,'تقرير المصروفات حسب الشهر'!$C$1016:$AD$1126,16,FALSE),0)</f>
        <v>0</v>
      </c>
      <c r="M83" s="376">
        <f>IFERROR(VLOOKUP(C83,'تقرير المصروفات حسب الشهر'!$C$1143:$AD$1254,16,FALSE),0)</f>
        <v>0</v>
      </c>
      <c r="N83" s="376">
        <f>IFERROR(VLOOKUP(C83,'تقرير المصروفات حسب الشهر'!$C$1270:$AD$1381,16,FALSE),0)</f>
        <v>0</v>
      </c>
      <c r="O83" s="376">
        <f>IFERROR(VLOOKUP(C83,'تقرير المصروفات حسب الشهر'!$C$1397:$AI$1512,16,FALSE),0)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الشهر'!$C$10:$AD$119,16,FALSE),0)</f>
        <v>0</v>
      </c>
      <c r="E84" s="362">
        <f>IFERROR(VLOOKUP(C84,'تقرير المصروفات حسب الشهر'!$C$135:$AD$244,16,FALSE),0)</f>
        <v>0</v>
      </c>
      <c r="F84" s="362">
        <v>0</v>
      </c>
      <c r="G84" s="362">
        <f>IFERROR(VLOOKUP(C84,'تقرير المصروفات حسب الشهر'!$C$387:$AD$495,16,FALSE),0)</f>
        <v>0</v>
      </c>
      <c r="H84" s="362">
        <f>IFERROR(VLOOKUP(C84,'تقرير المصروفات حسب الشهر'!$C$512:$AD$620,16,FALSE),0)</f>
        <v>0</v>
      </c>
      <c r="I84" s="362">
        <f>IFERROR(VLOOKUP(C84,'تقرير المصروفات حسب الشهر'!$C$637:$AD$746,16,FALSE),0)</f>
        <v>0</v>
      </c>
      <c r="J84" s="362">
        <f>IFERROR(VLOOKUP(C84,'تقرير المصروفات حسب الشهر'!$C$763:$AD$872,16,FALSE),0)</f>
        <v>0</v>
      </c>
      <c r="K84" s="362">
        <f>IFERROR(VLOOKUP(C84,'تقرير المصروفات حسب الشهر'!$C$890:$AD$999,16,FALSE),0)</f>
        <v>0</v>
      </c>
      <c r="L84" s="362">
        <f>IFERROR(VLOOKUP(C84,'تقرير المصروفات حسب الشهر'!$C$1016:$AD$1126,16,FALSE),0)</f>
        <v>0</v>
      </c>
      <c r="M84" s="376">
        <f>IFERROR(VLOOKUP(C84,'تقرير المصروفات حسب الشهر'!$C$1143:$AD$1254,16,FALSE),0)</f>
        <v>0</v>
      </c>
      <c r="N84" s="376">
        <f>IFERROR(VLOOKUP(C84,'تقرير المصروفات حسب الشهر'!$C$1270:$AD$1381,16,FALSE),0)</f>
        <v>0</v>
      </c>
      <c r="O84" s="376">
        <f>IFERROR(VLOOKUP(C84,'تقرير المصروفات حسب الشهر'!$C$1397:$AI$1512,16,FALSE),0)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الشهر'!$C$10:$AD$119,16,FALSE),0)</f>
        <v>0</v>
      </c>
      <c r="E85" s="362">
        <f>IFERROR(VLOOKUP(C85,'تقرير المصروفات حسب الشهر'!$C$135:$AD$244,16,FALSE),0)</f>
        <v>0</v>
      </c>
      <c r="F85" s="362">
        <v>0</v>
      </c>
      <c r="G85" s="362">
        <f>IFERROR(VLOOKUP(C85,'تقرير المصروفات حسب الشهر'!$C$387:$AD$495,16,FALSE),0)</f>
        <v>0</v>
      </c>
      <c r="H85" s="362">
        <f>IFERROR(VLOOKUP(C85,'تقرير المصروفات حسب الشهر'!$C$512:$AD$620,16,FALSE),0)</f>
        <v>0</v>
      </c>
      <c r="I85" s="362">
        <f>IFERROR(VLOOKUP(C85,'تقرير المصروفات حسب الشهر'!$C$637:$AD$746,16,FALSE),0)</f>
        <v>0</v>
      </c>
      <c r="J85" s="362">
        <f>IFERROR(VLOOKUP(C85,'تقرير المصروفات حسب الشهر'!$C$763:$AD$872,16,FALSE),0)</f>
        <v>0</v>
      </c>
      <c r="K85" s="362">
        <f>IFERROR(VLOOKUP(C85,'تقرير المصروفات حسب الشهر'!$C$890:$AD$999,16,FALSE),0)</f>
        <v>0</v>
      </c>
      <c r="L85" s="362">
        <f>IFERROR(VLOOKUP(C85,'تقرير المصروفات حسب الشهر'!$C$1016:$AD$1126,16,FALSE),0)</f>
        <v>0</v>
      </c>
      <c r="M85" s="376">
        <f>IFERROR(VLOOKUP(C85,'تقرير المصروفات حسب الشهر'!$C$1143:$AD$1254,16,FALSE),0)</f>
        <v>0</v>
      </c>
      <c r="N85" s="376">
        <f>IFERROR(VLOOKUP(C85,'تقرير المصروفات حسب الشهر'!$C$1270:$AD$1381,16,FALSE),0)</f>
        <v>0</v>
      </c>
      <c r="O85" s="376">
        <f>IFERROR(VLOOKUP(C85,'تقرير المصروفات حسب الشهر'!$C$1397:$AI$1512,16,FALSE),0)</f>
        <v>3005</v>
      </c>
      <c r="P85" s="364">
        <f t="shared" si="5"/>
        <v>3005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الشهر'!$C$10:$AD$119,16,FALSE),0)</f>
        <v>0</v>
      </c>
      <c r="E86" s="362">
        <f>IFERROR(VLOOKUP(C86,'تقرير المصروفات حسب الشهر'!$C$135:$AD$244,16,FALSE),0)</f>
        <v>1959.65</v>
      </c>
      <c r="F86" s="362">
        <v>0</v>
      </c>
      <c r="G86" s="362">
        <f>IFERROR(VLOOKUP(C86,'تقرير المصروفات حسب الشهر'!$C$387:$AD$495,16,FALSE),0)</f>
        <v>653</v>
      </c>
      <c r="H86" s="362">
        <f>IFERROR(VLOOKUP(C86,'تقرير المصروفات حسب الشهر'!$C$512:$AD$620,16,FALSE),0)</f>
        <v>0</v>
      </c>
      <c r="I86" s="362">
        <f>IFERROR(VLOOKUP(C86,'تقرير المصروفات حسب الشهر'!$C$637:$AD$746,16,FALSE),0)</f>
        <v>395.5</v>
      </c>
      <c r="J86" s="362">
        <f>IFERROR(VLOOKUP(C86,'تقرير المصروفات حسب الشهر'!$C$763:$AD$872,16,FALSE),0)</f>
        <v>979</v>
      </c>
      <c r="K86" s="362">
        <f>IFERROR(VLOOKUP(C86,'تقرير المصروفات حسب الشهر'!$C$890:$AD$999,16,FALSE),0)</f>
        <v>0</v>
      </c>
      <c r="L86" s="362">
        <f>IFERROR(VLOOKUP(C86,'تقرير المصروفات حسب الشهر'!$C$1016:$AD$1126,16,FALSE),0)</f>
        <v>0</v>
      </c>
      <c r="M86" s="376">
        <f>IFERROR(VLOOKUP(C86,'تقرير المصروفات حسب الشهر'!$C$1143:$AD$1254,16,FALSE),0)</f>
        <v>1335.76</v>
      </c>
      <c r="N86" s="376">
        <f>IFERROR(VLOOKUP(C86,'تقرير المصروفات حسب الشهر'!$C$1270:$AD$1381,16,FALSE),0)</f>
        <v>1105.82</v>
      </c>
      <c r="O86" s="376">
        <f>IFERROR(VLOOKUP(C86,'تقرير المصروفات حسب الشهر'!$C$1397:$AI$1512,16,FALSE),0)</f>
        <v>0</v>
      </c>
      <c r="P86" s="364">
        <f t="shared" si="5"/>
        <v>6428.73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الشهر'!$C$10:$AD$119,16,FALSE),0)</f>
        <v>0</v>
      </c>
      <c r="E87" s="362">
        <f>IFERROR(VLOOKUP(C87,'تقرير المصروفات حسب الشهر'!$C$135:$AD$244,16,FALSE),0)</f>
        <v>0</v>
      </c>
      <c r="F87" s="362">
        <v>0</v>
      </c>
      <c r="G87" s="362">
        <f>IFERROR(VLOOKUP(C87,'تقرير المصروفات حسب الشهر'!$C$387:$AD$495,16,FALSE),0)</f>
        <v>0</v>
      </c>
      <c r="H87" s="362">
        <f>IFERROR(VLOOKUP(C87,'تقرير المصروفات حسب الشهر'!$C$512:$AD$620,16,FALSE),0)</f>
        <v>0</v>
      </c>
      <c r="I87" s="362">
        <f>IFERROR(VLOOKUP(C87,'تقرير المصروفات حسب الشهر'!$C$637:$AD$746,16,FALSE),0)</f>
        <v>0</v>
      </c>
      <c r="J87" s="362">
        <f>IFERROR(VLOOKUP(C87,'تقرير المصروفات حسب الشهر'!$C$763:$AD$872,16,FALSE),0)</f>
        <v>0</v>
      </c>
      <c r="K87" s="362">
        <f>IFERROR(VLOOKUP(C87,'تقرير المصروفات حسب الشهر'!$C$890:$AD$999,16,FALSE),0)</f>
        <v>0</v>
      </c>
      <c r="L87" s="362">
        <f>IFERROR(VLOOKUP(C87,'تقرير المصروفات حسب الشهر'!$C$1016:$AD$1126,16,FALSE),0)</f>
        <v>0</v>
      </c>
      <c r="M87" s="376">
        <f>IFERROR(VLOOKUP(C87,'تقرير المصروفات حسب الشهر'!$C$1143:$AD$1254,16,FALSE),0)</f>
        <v>0</v>
      </c>
      <c r="N87" s="376">
        <f>IFERROR(VLOOKUP(C87,'تقرير المصروفات حسب الشهر'!$C$1270:$AD$1381,16,FALSE),0)</f>
        <v>0</v>
      </c>
      <c r="O87" s="376">
        <f>IFERROR(VLOOKUP(C87,'تقرير المصروفات حسب الشهر'!$C$1397:$AI$1512,16,FALSE),0)</f>
        <v>4372</v>
      </c>
      <c r="P87" s="364">
        <f t="shared" ref="P87:P136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الشهر'!$C$10:$AD$119,16,FALSE),0)</f>
        <v>0</v>
      </c>
      <c r="E88" s="362">
        <f>IFERROR(VLOOKUP(C88,'تقرير المصروفات حسب الشهر'!$C$135:$AD$244,16,FALSE),0)</f>
        <v>0</v>
      </c>
      <c r="F88" s="362">
        <v>0</v>
      </c>
      <c r="G88" s="362">
        <f>IFERROR(VLOOKUP(C88,'تقرير المصروفات حسب الشهر'!$C$387:$AD$495,16,FALSE),0)</f>
        <v>0</v>
      </c>
      <c r="H88" s="362">
        <f>IFERROR(VLOOKUP(C88,'تقرير المصروفات حسب الشهر'!$C$512:$AD$620,16,FALSE),0)</f>
        <v>333</v>
      </c>
      <c r="I88" s="362">
        <f>IFERROR(VLOOKUP(C88,'تقرير المصروفات حسب الشهر'!$C$637:$AD$746,16,FALSE),0)</f>
        <v>0</v>
      </c>
      <c r="J88" s="362">
        <f>IFERROR(VLOOKUP(C88,'تقرير المصروفات حسب الشهر'!$C$763:$AD$872,16,FALSE),0)</f>
        <v>0</v>
      </c>
      <c r="K88" s="362">
        <f>IFERROR(VLOOKUP(C88,'تقرير المصروفات حسب الشهر'!$C$890:$AD$999,16,FALSE),0)</f>
        <v>0</v>
      </c>
      <c r="L88" s="362">
        <f>IFERROR(VLOOKUP(C88,'تقرير المصروفات حسب الشهر'!$C$1016:$AD$1126,16,FALSE),0)</f>
        <v>0</v>
      </c>
      <c r="M88" s="376">
        <f>IFERROR(VLOOKUP(C88,'تقرير المصروفات حسب الشهر'!$C$1143:$AD$1254,16,FALSE),0)</f>
        <v>0</v>
      </c>
      <c r="N88" s="376">
        <f>IFERROR(VLOOKUP(C88,'تقرير المصروفات حسب الشهر'!$C$1270:$AD$1381,16,FALSE),0)</f>
        <v>0</v>
      </c>
      <c r="O88" s="376">
        <f>IFERROR(VLOOKUP(C88,'تقرير المصروفات حسب الشهر'!$C$1397:$AI$1512,16,FALSE),0)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الشهر'!$C$10:$AD$119,16,FALSE),0)</f>
        <v>0</v>
      </c>
      <c r="E89" s="362">
        <f>IFERROR(VLOOKUP(C89,'تقرير المصروفات حسب الشهر'!$C$135:$AD$244,16,FALSE),0)</f>
        <v>0</v>
      </c>
      <c r="F89" s="362">
        <v>0</v>
      </c>
      <c r="G89" s="362">
        <f>IFERROR(VLOOKUP(C89,'تقرير المصروفات حسب الشهر'!$C$387:$AD$495,16,FALSE),0)</f>
        <v>0</v>
      </c>
      <c r="H89" s="362">
        <f>IFERROR(VLOOKUP(C89,'تقرير المصروفات حسب الشهر'!$C$512:$AD$620,16,FALSE),0)</f>
        <v>0</v>
      </c>
      <c r="I89" s="362">
        <f>IFERROR(VLOOKUP(C89,'تقرير المصروفات حسب الشهر'!$C$637:$AD$746,16,FALSE),0)</f>
        <v>0</v>
      </c>
      <c r="J89" s="362">
        <f>IFERROR(VLOOKUP(C89,'تقرير المصروفات حسب الشهر'!$C$763:$AD$872,16,FALSE),0)</f>
        <v>0</v>
      </c>
      <c r="K89" s="362">
        <f>IFERROR(VLOOKUP(C89,'تقرير المصروفات حسب الشهر'!$C$890:$AD$999,16,FALSE),0)</f>
        <v>0</v>
      </c>
      <c r="L89" s="362">
        <f>IFERROR(VLOOKUP(C89,'تقرير المصروفات حسب الشهر'!$C$1016:$AD$1126,16,FALSE),0)</f>
        <v>0</v>
      </c>
      <c r="M89" s="376">
        <f>IFERROR(VLOOKUP(C89,'تقرير المصروفات حسب الشهر'!$C$1143:$AD$1254,16,FALSE),0)</f>
        <v>0</v>
      </c>
      <c r="N89" s="376">
        <f>IFERROR(VLOOKUP(C89,'تقرير المصروفات حسب الشهر'!$C$1270:$AD$1381,16,FALSE),0)</f>
        <v>0</v>
      </c>
      <c r="O89" s="376">
        <f>IFERROR(VLOOKUP(C89,'تقرير المصروفات حسب الشهر'!$C$1397:$AI$1512,16,FALSE),0)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الشهر'!$C$10:$AD$119,16,FALSE),0)</f>
        <v>0</v>
      </c>
      <c r="E90" s="362">
        <f>IFERROR(VLOOKUP(C90,'تقرير المصروفات حسب الشهر'!$C$135:$AD$244,16,FALSE),0)</f>
        <v>0</v>
      </c>
      <c r="F90" s="362">
        <v>0</v>
      </c>
      <c r="G90" s="362">
        <f>IFERROR(VLOOKUP(C90,'تقرير المصروفات حسب الشهر'!$C$387:$AD$495,16,FALSE),0)</f>
        <v>0</v>
      </c>
      <c r="H90" s="362">
        <f>IFERROR(VLOOKUP(C90,'تقرير المصروفات حسب الشهر'!$C$512:$AD$620,16,FALSE),0)</f>
        <v>0</v>
      </c>
      <c r="I90" s="362">
        <f>IFERROR(VLOOKUP(C90,'تقرير المصروفات حسب الشهر'!$C$637:$AD$746,16,FALSE),0)</f>
        <v>0</v>
      </c>
      <c r="J90" s="362">
        <f>IFERROR(VLOOKUP(C90,'تقرير المصروفات حسب الشهر'!$C$763:$AD$872,16,FALSE),0)</f>
        <v>0</v>
      </c>
      <c r="K90" s="362">
        <f>IFERROR(VLOOKUP(C90,'تقرير المصروفات حسب الشهر'!$C$890:$AD$999,16,FALSE),0)</f>
        <v>0</v>
      </c>
      <c r="L90" s="362">
        <f>IFERROR(VLOOKUP(C90,'تقرير المصروفات حسب الشهر'!$C$1016:$AD$1126,16,FALSE),0)</f>
        <v>0</v>
      </c>
      <c r="M90" s="376">
        <f>IFERROR(VLOOKUP(C90,'تقرير المصروفات حسب الشهر'!$C$1143:$AD$1254,16,FALSE),0)</f>
        <v>0</v>
      </c>
      <c r="N90" s="376">
        <f>IFERROR(VLOOKUP(C90,'تقرير المصروفات حسب الشهر'!$C$1270:$AD$1381,16,FALSE),0)</f>
        <v>0</v>
      </c>
      <c r="O90" s="376">
        <f>IFERROR(VLOOKUP(C90,'تقرير المصروفات حسب الشهر'!$C$1397:$AI$1512,16,FALSE),0)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الشهر'!$C$10:$AD$119,16,FALSE),0)</f>
        <v>2200</v>
      </c>
      <c r="E91" s="362">
        <f>IFERROR(VLOOKUP(C91,'تقرير المصروفات حسب الشهر'!$C$135:$AD$244,16,FALSE),0)</f>
        <v>2200</v>
      </c>
      <c r="F91" s="362">
        <v>2500</v>
      </c>
      <c r="G91" s="362">
        <f>IFERROR(VLOOKUP(C91,'تقرير المصروفات حسب الشهر'!$C$387:$AD$495,16,FALSE),0)</f>
        <v>2200</v>
      </c>
      <c r="H91" s="362">
        <f>IFERROR(VLOOKUP(C91,'تقرير المصروفات حسب الشهر'!$C$512:$AD$620,16,FALSE),0)</f>
        <v>2200</v>
      </c>
      <c r="I91" s="362">
        <f>IFERROR(VLOOKUP(C91,'تقرير المصروفات حسب الشهر'!$C$637:$AD$746,16,FALSE),0)</f>
        <v>2200</v>
      </c>
      <c r="J91" s="362">
        <f>IFERROR(VLOOKUP(C91,'تقرير المصروفات حسب الشهر'!$C$763:$AD$872,16,FALSE),0)</f>
        <v>2200</v>
      </c>
      <c r="K91" s="362">
        <f>IFERROR(VLOOKUP(C91,'تقرير المصروفات حسب الشهر'!$C$890:$AD$999,16,FALSE),0)</f>
        <v>2200</v>
      </c>
      <c r="L91" s="362">
        <f>IFERROR(VLOOKUP(C91,'تقرير المصروفات حسب الشهر'!$C$1016:$AD$1126,16,FALSE),0)</f>
        <v>2200</v>
      </c>
      <c r="M91" s="376">
        <f>IFERROR(VLOOKUP(C91,'تقرير المصروفات حسب الشهر'!$C$1143:$AD$1254,16,FALSE),0)</f>
        <v>2200</v>
      </c>
      <c r="N91" s="376">
        <f>IFERROR(VLOOKUP(C91,'تقرير المصروفات حسب الشهر'!$C$1270:$AD$1381,16,FALSE),0)</f>
        <v>2200</v>
      </c>
      <c r="O91" s="376">
        <f>IFERROR(VLOOKUP(C91,'تقرير المصروفات حسب الشهر'!$C$1397:$AI$1512,16,FALSE),0)</f>
        <v>2200</v>
      </c>
      <c r="P91" s="364">
        <f t="shared" si="6"/>
        <v>26700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الشهر'!$C$10:$AD$119,16,FALSE),0)</f>
        <v>0</v>
      </c>
      <c r="E92" s="362">
        <f>IFERROR(VLOOKUP(C92,'تقرير المصروفات حسب الشهر'!$C$135:$AD$244,16,FALSE),0)</f>
        <v>0</v>
      </c>
      <c r="F92" s="362">
        <v>0</v>
      </c>
      <c r="G92" s="362">
        <f>IFERROR(VLOOKUP(C92,'تقرير المصروفات حسب الشهر'!$C$387:$AD$495,16,FALSE),0)</f>
        <v>0</v>
      </c>
      <c r="H92" s="362">
        <f>IFERROR(VLOOKUP(C92,'تقرير المصروفات حسب الشهر'!$C$512:$AD$620,16,FALSE),0)</f>
        <v>0</v>
      </c>
      <c r="I92" s="362">
        <f>IFERROR(VLOOKUP(C92,'تقرير المصروفات حسب الشهر'!$C$637:$AD$746,16,FALSE),0)</f>
        <v>0</v>
      </c>
      <c r="J92" s="362">
        <f>IFERROR(VLOOKUP(C92,'تقرير المصروفات حسب الشهر'!$C$763:$AD$872,16,FALSE),0)</f>
        <v>1165</v>
      </c>
      <c r="K92" s="362">
        <f>IFERROR(VLOOKUP(C92,'تقرير المصروفات حسب الشهر'!$C$890:$AD$999,16,FALSE),0)</f>
        <v>0</v>
      </c>
      <c r="L92" s="362">
        <f>IFERROR(VLOOKUP(C92,'تقرير المصروفات حسب الشهر'!$C$1016:$AD$1126,16,FALSE),0)</f>
        <v>0</v>
      </c>
      <c r="M92" s="376">
        <f>IFERROR(VLOOKUP(C92,'تقرير المصروفات حسب الشهر'!$C$1143:$AD$1254,16,FALSE),0)</f>
        <v>0</v>
      </c>
      <c r="N92" s="376">
        <f>IFERROR(VLOOKUP(C92,'تقرير المصروفات حسب الشهر'!$C$1270:$AD$1381,16,FALSE),0)</f>
        <v>0</v>
      </c>
      <c r="O92" s="376">
        <f>IFERROR(VLOOKUP(C92,'تقرير المصروفات حسب الشهر'!$C$1397:$AI$1512,16,FALSE),0)</f>
        <v>0</v>
      </c>
      <c r="P92" s="364">
        <f t="shared" si="6"/>
        <v>1165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الشهر'!$C$10:$AD$119,16,FALSE),0)</f>
        <v>0</v>
      </c>
      <c r="E93" s="362">
        <f>IFERROR(VLOOKUP(C93,'تقرير المصروفات حسب الشهر'!$C$135:$AD$244,16,FALSE),0)</f>
        <v>706</v>
      </c>
      <c r="F93" s="362">
        <v>0</v>
      </c>
      <c r="G93" s="362">
        <f>IFERROR(VLOOKUP(C93,'تقرير المصروفات حسب الشهر'!$C$387:$AD$495,16,FALSE),0)</f>
        <v>621.5</v>
      </c>
      <c r="H93" s="362">
        <f>IFERROR(VLOOKUP(C93,'تقرير المصروفات حسب الشهر'!$C$512:$AD$620,16,FALSE),0)</f>
        <v>0</v>
      </c>
      <c r="I93" s="362">
        <f>IFERROR(VLOOKUP(C93,'تقرير المصروفات حسب الشهر'!$C$637:$AD$746,16,FALSE),0)</f>
        <v>0</v>
      </c>
      <c r="J93" s="362">
        <f>IFERROR(VLOOKUP(C93,'تقرير المصروفات حسب الشهر'!$C$763:$AD$872,16,FALSE),0)</f>
        <v>668</v>
      </c>
      <c r="K93" s="362">
        <f>IFERROR(VLOOKUP(C93,'تقرير المصروفات حسب الشهر'!$C$890:$AD$999,16,FALSE),0)</f>
        <v>0</v>
      </c>
      <c r="L93" s="362">
        <f>IFERROR(VLOOKUP(C93,'تقرير المصروفات حسب الشهر'!$C$1016:$AD$1126,16,FALSE),0)</f>
        <v>0</v>
      </c>
      <c r="M93" s="376">
        <f>IFERROR(VLOOKUP(C93,'تقرير المصروفات حسب الشهر'!$C$1143:$AD$1254,16,FALSE),0)</f>
        <v>0</v>
      </c>
      <c r="N93" s="376">
        <f>IFERROR(VLOOKUP(C93,'تقرير المصروفات حسب الشهر'!$C$1270:$AD$1381,16,FALSE),0)</f>
        <v>0</v>
      </c>
      <c r="O93" s="376">
        <f>IFERROR(VLOOKUP(C93,'تقرير المصروفات حسب الشهر'!$C$1397:$AI$1512,16,FALSE),0)</f>
        <v>0</v>
      </c>
      <c r="P93" s="364">
        <f t="shared" si="6"/>
        <v>1995.5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الشهر'!$C$10:$AD$119,16,FALSE),0)</f>
        <v>296.31</v>
      </c>
      <c r="E94" s="362">
        <f>IFERROR(VLOOKUP(C94,'تقرير المصروفات حسب الشهر'!$C$135:$AD$244,16,FALSE),0)</f>
        <v>296.31</v>
      </c>
      <c r="F94" s="362">
        <v>296.31</v>
      </c>
      <c r="G94" s="362">
        <f>IFERROR(VLOOKUP(C94,'تقرير المصروفات حسب الشهر'!$C$387:$AD$495,16,FALSE),0)</f>
        <v>296.31</v>
      </c>
      <c r="H94" s="362">
        <f>IFERROR(VLOOKUP(C94,'تقرير المصروفات حسب الشهر'!$C$512:$AD$620,16,FALSE),0)</f>
        <v>296.3</v>
      </c>
      <c r="I94" s="362">
        <f>IFERROR(VLOOKUP(C94,'تقرير المصروفات حسب الشهر'!$C$637:$AD$746,16,FALSE),0)</f>
        <v>296.3</v>
      </c>
      <c r="J94" s="362">
        <f>IFERROR(VLOOKUP(C94,'تقرير المصروفات حسب الشهر'!$C$763:$AD$872,16,FALSE),0)</f>
        <v>400.96</v>
      </c>
      <c r="K94" s="362">
        <f>IFERROR(VLOOKUP(C94,'تقرير المصروفات حسب الشهر'!$C$890:$AD$999,16,FALSE),0)</f>
        <v>400.96</v>
      </c>
      <c r="L94" s="362">
        <f>IFERROR(VLOOKUP(C94,'تقرير المصروفات حسب الشهر'!$C$1016:$AD$1126,16,FALSE),0)</f>
        <v>400.96</v>
      </c>
      <c r="M94" s="376">
        <f>IFERROR(VLOOKUP(C94,'تقرير المصروفات حسب الشهر'!$C$1143:$AD$1254,16,FALSE),0)</f>
        <v>400.96</v>
      </c>
      <c r="N94" s="376">
        <f>IFERROR(VLOOKUP(C94,'تقرير المصروفات حسب الشهر'!$C$1270:$AD$1381,16,FALSE),0)</f>
        <v>400.96</v>
      </c>
      <c r="O94" s="376">
        <f>IFERROR(VLOOKUP(C94,'تقرير المصروفات حسب الشهر'!$C$1397:$AI$1512,16,FALSE),0)</f>
        <v>400.96</v>
      </c>
      <c r="P94" s="364">
        <f t="shared" si="6"/>
        <v>4183.5999999999995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الشهر'!$C$10:$AD$119,16,FALSE),0)</f>
        <v>0</v>
      </c>
      <c r="E95" s="362">
        <f>IFERROR(VLOOKUP(C95,'تقرير المصروفات حسب الشهر'!$C$135:$AD$244,16,FALSE),0)</f>
        <v>0</v>
      </c>
      <c r="F95" s="362">
        <v>0</v>
      </c>
      <c r="G95" s="362">
        <f>IFERROR(VLOOKUP(C95,'تقرير المصروفات حسب الشهر'!$C$387:$AD$495,16,FALSE),0)</f>
        <v>0</v>
      </c>
      <c r="H95" s="362">
        <f>IFERROR(VLOOKUP(C95,'تقرير المصروفات حسب الشهر'!$C$512:$AD$620,16,FALSE),0)</f>
        <v>0</v>
      </c>
      <c r="I95" s="362">
        <f>IFERROR(VLOOKUP(C95,'تقرير المصروفات حسب الشهر'!$C$637:$AD$746,16,FALSE),0)</f>
        <v>0</v>
      </c>
      <c r="J95" s="362">
        <f>IFERROR(VLOOKUP(C95,'تقرير المصروفات حسب الشهر'!$C$763:$AD$872,16,FALSE),0)</f>
        <v>0</v>
      </c>
      <c r="K95" s="362">
        <f>IFERROR(VLOOKUP(C95,'تقرير المصروفات حسب الشهر'!$C$890:$AD$999,16,FALSE),0)</f>
        <v>0</v>
      </c>
      <c r="L95" s="362">
        <f>IFERROR(VLOOKUP(C95,'تقرير المصروفات حسب الشهر'!$C$1016:$AD$1126,16,FALSE),0)</f>
        <v>2130</v>
      </c>
      <c r="M95" s="376">
        <f>IFERROR(VLOOKUP(C95,'تقرير المصروفات حسب الشهر'!$C$1143:$AD$1254,16,FALSE),0)</f>
        <v>1065</v>
      </c>
      <c r="N95" s="376">
        <f>IFERROR(VLOOKUP(C95,'تقرير المصروفات حسب الشهر'!$C$1270:$AD$1381,16,FALSE),0)</f>
        <v>1065</v>
      </c>
      <c r="O95" s="376">
        <f>IFERROR(VLOOKUP(C95,'تقرير المصروفات حسب الشهر'!$C$1397:$AI$1512,16,FALSE),0)</f>
        <v>15759</v>
      </c>
      <c r="P95" s="364">
        <f t="shared" si="6"/>
        <v>20019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الشهر'!$C$10:$AD$119,16,FALSE),0)</f>
        <v>0</v>
      </c>
      <c r="E96" s="362">
        <f>IFERROR(VLOOKUP(C96,'تقرير المصروفات حسب الشهر'!$C$135:$AD$244,16,FALSE),0)</f>
        <v>0</v>
      </c>
      <c r="F96" s="362">
        <v>0</v>
      </c>
      <c r="G96" s="362">
        <f>IFERROR(VLOOKUP(C96,'تقرير المصروفات حسب الشهر'!$C$387:$AD$495,16,FALSE),0)</f>
        <v>0</v>
      </c>
      <c r="H96" s="362">
        <f>IFERROR(VLOOKUP(C96,'تقرير المصروفات حسب الشهر'!$C$512:$AD$620,16,FALSE),0)</f>
        <v>0</v>
      </c>
      <c r="I96" s="362">
        <f>IFERROR(VLOOKUP(C96,'تقرير المصروفات حسب الشهر'!$C$637:$AD$746,16,FALSE),0)</f>
        <v>0</v>
      </c>
      <c r="J96" s="362">
        <f>IFERROR(VLOOKUP(C96,'تقرير المصروفات حسب الشهر'!$C$763:$AD$872,16,FALSE),0)</f>
        <v>0</v>
      </c>
      <c r="K96" s="362">
        <f>IFERROR(VLOOKUP(C96,'تقرير المصروفات حسب الشهر'!$C$890:$AD$999,16,FALSE),0)</f>
        <v>0</v>
      </c>
      <c r="L96" s="362">
        <f>IFERROR(VLOOKUP(C96,'تقرير المصروفات حسب الشهر'!$C$1016:$AD$1126,16,FALSE),0)</f>
        <v>0</v>
      </c>
      <c r="M96" s="376">
        <f>IFERROR(VLOOKUP(C96,'تقرير المصروفات حسب الشهر'!$C$1143:$AD$1254,16,FALSE),0)</f>
        <v>0</v>
      </c>
      <c r="N96" s="376">
        <f>IFERROR(VLOOKUP(C96,'تقرير المصروفات حسب الشهر'!$C$1270:$AD$1381,16,FALSE),0)</f>
        <v>0</v>
      </c>
      <c r="O96" s="376">
        <f>IFERROR(VLOOKUP(C96,'تقرير المصروفات حسب الشهر'!$C$1397:$AI$1512,16,FALSE),0)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الشهر'!$C$10:$AD$119,16,FALSE),0)</f>
        <v>0</v>
      </c>
      <c r="E97" s="362">
        <f>IFERROR(VLOOKUP(C97,'تقرير المصروفات حسب الشهر'!$C$135:$AD$244,16,FALSE),0)</f>
        <v>0</v>
      </c>
      <c r="F97" s="362">
        <v>0</v>
      </c>
      <c r="G97" s="362">
        <f>IFERROR(VLOOKUP(C97,'تقرير المصروفات حسب الشهر'!$C$387:$AD$495,16,FALSE),0)</f>
        <v>0</v>
      </c>
      <c r="H97" s="362">
        <f>IFERROR(VLOOKUP(C97,'تقرير المصروفات حسب الشهر'!$C$512:$AD$620,16,FALSE),0)</f>
        <v>0</v>
      </c>
      <c r="I97" s="362">
        <f>IFERROR(VLOOKUP(C97,'تقرير المصروفات حسب الشهر'!$C$637:$AD$746,16,FALSE),0)</f>
        <v>0</v>
      </c>
      <c r="J97" s="362">
        <f>IFERROR(VLOOKUP(C97,'تقرير المصروفات حسب الشهر'!$C$763:$AD$872,16,FALSE),0)</f>
        <v>0</v>
      </c>
      <c r="K97" s="362">
        <f>IFERROR(VLOOKUP(C97,'تقرير المصروفات حسب الشهر'!$C$890:$AD$999,16,FALSE),0)</f>
        <v>0</v>
      </c>
      <c r="L97" s="362">
        <f>IFERROR(VLOOKUP(C97,'تقرير المصروفات حسب الشهر'!$C$1016:$AD$1126,16,FALSE),0)</f>
        <v>0</v>
      </c>
      <c r="M97" s="376">
        <f>IFERROR(VLOOKUP(C97,'تقرير المصروفات حسب الشهر'!$C$1143:$AD$1254,16,FALSE),0)</f>
        <v>0</v>
      </c>
      <c r="N97" s="376">
        <f>IFERROR(VLOOKUP(C97,'تقرير المصروفات حسب الشهر'!$C$1270:$AD$1381,16,FALSE),0)</f>
        <v>0</v>
      </c>
      <c r="O97" s="376">
        <f>IFERROR(VLOOKUP(C97,'تقرير المصروفات حسب الشهر'!$C$1397:$AI$1512,16,FALSE),0)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الشهر'!$C$10:$AD$119,16,FALSE),0)</f>
        <v>0</v>
      </c>
      <c r="E98" s="362">
        <f>IFERROR(VLOOKUP(C98,'تقرير المصروفات حسب الشهر'!$C$135:$AD$244,16,FALSE),0)</f>
        <v>0</v>
      </c>
      <c r="F98" s="362">
        <v>0</v>
      </c>
      <c r="G98" s="362">
        <f>IFERROR(VLOOKUP(C98,'تقرير المصروفات حسب الشهر'!$C$387:$AD$495,16,FALSE),0)</f>
        <v>0</v>
      </c>
      <c r="H98" s="362">
        <f>IFERROR(VLOOKUP(C98,'تقرير المصروفات حسب الشهر'!$C$512:$AD$620,16,FALSE),0)</f>
        <v>0</v>
      </c>
      <c r="I98" s="362">
        <f>IFERROR(VLOOKUP(C98,'تقرير المصروفات حسب الشهر'!$C$637:$AD$746,16,FALSE),0)</f>
        <v>0</v>
      </c>
      <c r="J98" s="362">
        <f>IFERROR(VLOOKUP(C98,'تقرير المصروفات حسب الشهر'!$C$763:$AD$872,16,FALSE),0)</f>
        <v>0</v>
      </c>
      <c r="K98" s="362">
        <f>IFERROR(VLOOKUP(C98,'تقرير المصروفات حسب الشهر'!$C$890:$AD$999,16,FALSE),0)</f>
        <v>0</v>
      </c>
      <c r="L98" s="362">
        <f>IFERROR(VLOOKUP(C98,'تقرير المصروفات حسب الشهر'!$C$1016:$AD$1126,16,FALSE),0)</f>
        <v>0</v>
      </c>
      <c r="M98" s="376">
        <f>IFERROR(VLOOKUP(C98,'تقرير المصروفات حسب الشهر'!$C$1143:$AD$1254,16,FALSE),0)</f>
        <v>0</v>
      </c>
      <c r="N98" s="376">
        <f>IFERROR(VLOOKUP(C98,'تقرير المصروفات حسب الشهر'!$C$1270:$AD$1381,16,FALSE),0)</f>
        <v>0</v>
      </c>
      <c r="O98" s="376">
        <f>IFERROR(VLOOKUP(C98,'تقرير المصروفات حسب الشهر'!$C$1397:$AI$1512,16,FALSE),0)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الشهر'!$C$10:$AD$119,16,FALSE),0)</f>
        <v>0</v>
      </c>
      <c r="E99" s="362">
        <f>IFERROR(VLOOKUP(C99,'تقرير المصروفات حسب الشهر'!$C$135:$AD$244,16,FALSE),0)</f>
        <v>0</v>
      </c>
      <c r="F99" s="362">
        <v>0</v>
      </c>
      <c r="G99" s="362">
        <f>IFERROR(VLOOKUP(C99,'تقرير المصروفات حسب الشهر'!$C$387:$AD$495,16,FALSE),0)</f>
        <v>0</v>
      </c>
      <c r="H99" s="362">
        <f>IFERROR(VLOOKUP(C99,'تقرير المصروفات حسب الشهر'!$C$512:$AD$620,16,FALSE),0)</f>
        <v>0</v>
      </c>
      <c r="I99" s="362">
        <f>IFERROR(VLOOKUP(C99,'تقرير المصروفات حسب الشهر'!$C$637:$AD$746,16,FALSE),0)</f>
        <v>0</v>
      </c>
      <c r="J99" s="362">
        <f>IFERROR(VLOOKUP(C99,'تقرير المصروفات حسب الشهر'!$C$763:$AD$872,16,FALSE),0)</f>
        <v>0</v>
      </c>
      <c r="K99" s="362">
        <f>IFERROR(VLOOKUP(C99,'تقرير المصروفات حسب الشهر'!$C$890:$AD$999,16,FALSE),0)</f>
        <v>0</v>
      </c>
      <c r="L99" s="362">
        <f>IFERROR(VLOOKUP(C99,'تقرير المصروفات حسب الشهر'!$C$1016:$AD$1126,16,FALSE),0)</f>
        <v>0</v>
      </c>
      <c r="M99" s="376">
        <f>IFERROR(VLOOKUP(C99,'تقرير المصروفات حسب الشهر'!$C$1143:$AD$1254,16,FALSE),0)</f>
        <v>0</v>
      </c>
      <c r="N99" s="376">
        <f>IFERROR(VLOOKUP(C99,'تقرير المصروفات حسب الشهر'!$C$1270:$AD$1381,16,FALSE),0)</f>
        <v>0</v>
      </c>
      <c r="O99" s="376">
        <f>IFERROR(VLOOKUP(C99,'تقرير المصروفات حسب الشهر'!$C$1397:$AI$1512,16,FALSE),0)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الشهر'!$C$10:$AD$119,16,FALSE),0)</f>
        <v>69.790000000000006</v>
      </c>
      <c r="E100" s="362">
        <f>IFERROR(VLOOKUP(C100,'تقرير المصروفات حسب الشهر'!$C$135:$AD$244,16,FALSE),0)</f>
        <v>91.27</v>
      </c>
      <c r="F100" s="362">
        <v>29.57</v>
      </c>
      <c r="G100" s="362">
        <f>IFERROR(VLOOKUP(C100,'تقرير المصروفات حسب الشهر'!$C$387:$AD$495,16,FALSE),0)</f>
        <v>0</v>
      </c>
      <c r="H100" s="362">
        <f>IFERROR(VLOOKUP(C100,'تقرير المصروفات حسب الشهر'!$C$512:$AD$620,16,FALSE),0)</f>
        <v>0</v>
      </c>
      <c r="I100" s="362">
        <f>IFERROR(VLOOKUP(C100,'تقرير المصروفات حسب الشهر'!$C$637:$AD$746,16,FALSE),0)</f>
        <v>0</v>
      </c>
      <c r="J100" s="362">
        <f>IFERROR(VLOOKUP(C100,'تقرير المصروفات حسب الشهر'!$C$763:$AD$872,16,FALSE),0)</f>
        <v>0</v>
      </c>
      <c r="K100" s="362">
        <f>IFERROR(VLOOKUP(C100,'تقرير المصروفات حسب الشهر'!$C$890:$AD$999,16,FALSE),0)</f>
        <v>0</v>
      </c>
      <c r="L100" s="362">
        <f>IFERROR(VLOOKUP(C100,'تقرير المصروفات حسب الشهر'!$C$1016:$AD$1126,16,FALSE),0)</f>
        <v>0</v>
      </c>
      <c r="M100" s="376">
        <f>IFERROR(VLOOKUP(C100,'تقرير المصروفات حسب الشهر'!$C$1143:$AD$1254,16,FALSE),0)</f>
        <v>0</v>
      </c>
      <c r="N100" s="376">
        <f>IFERROR(VLOOKUP(C100,'تقرير المصروفات حسب الشهر'!$C$1270:$AD$1381,16,FALSE),0)</f>
        <v>0</v>
      </c>
      <c r="O100" s="376">
        <f>IFERROR(VLOOKUP(C100,'تقرير المصروفات حسب الشهر'!$C$1397:$AI$1512,16,FALSE),0)</f>
        <v>0</v>
      </c>
      <c r="P100" s="364">
        <f t="shared" si="6"/>
        <v>190.63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الشهر'!$C$10:$AD$119,16,FALSE),0)</f>
        <v>53.44</v>
      </c>
      <c r="E101" s="362">
        <f>IFERROR(VLOOKUP(C101,'تقرير المصروفات حسب الشهر'!$C$135:$AD$244,16,FALSE),0)</f>
        <v>53.44</v>
      </c>
      <c r="F101" s="362">
        <v>53.44</v>
      </c>
      <c r="G101" s="362">
        <f>IFERROR(VLOOKUP(C101,'تقرير المصروفات حسب الشهر'!$C$387:$AD$495,16,FALSE),0)</f>
        <v>53.44</v>
      </c>
      <c r="H101" s="362">
        <f>IFERROR(VLOOKUP(C101,'تقرير المصروفات حسب الشهر'!$C$512:$AD$620,16,FALSE),0)</f>
        <v>53.44</v>
      </c>
      <c r="I101" s="362">
        <f>IFERROR(VLOOKUP(C101,'تقرير المصروفات حسب الشهر'!$C$637:$AD$746,16,FALSE),0)</f>
        <v>53.44</v>
      </c>
      <c r="J101" s="362">
        <f>IFERROR(VLOOKUP(C101,'تقرير المصروفات حسب الشهر'!$C$763:$AD$872,16,FALSE),0)</f>
        <v>79.5</v>
      </c>
      <c r="K101" s="362">
        <f>IFERROR(VLOOKUP(C101,'تقرير المصروفات حسب الشهر'!$C$890:$AD$999,16,FALSE),0)</f>
        <v>67.040000000000006</v>
      </c>
      <c r="L101" s="362">
        <f>IFERROR(VLOOKUP(C101,'تقرير المصروفات حسب الشهر'!$C$1016:$AD$1126,16,FALSE),0)</f>
        <v>28.87</v>
      </c>
      <c r="M101" s="376">
        <f>IFERROR(VLOOKUP(C101,'تقرير المصروفات حسب الشهر'!$C$1143:$AD$1254,16,FALSE),0)</f>
        <v>28.87</v>
      </c>
      <c r="N101" s="376">
        <f>IFERROR(VLOOKUP(C101,'تقرير المصروفات حسب الشهر'!$C$1270:$AD$1381,16,FALSE),0)</f>
        <v>28.87</v>
      </c>
      <c r="O101" s="376">
        <f>IFERROR(VLOOKUP(C101,'تقرير المصروفات حسب الشهر'!$C$1397:$AI$1512,16,FALSE),0)</f>
        <v>28.87</v>
      </c>
      <c r="P101" s="364">
        <f t="shared" si="6"/>
        <v>582.66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الشهر'!$C$10:$AD$119,16,FALSE),0)</f>
        <v>843.3</v>
      </c>
      <c r="E102" s="362">
        <f>IFERROR(VLOOKUP(C102,'تقرير المصروفات حسب الشهر'!$C$135:$AD$244,16,FALSE),0)</f>
        <v>843.3</v>
      </c>
      <c r="F102" s="362">
        <v>843.3</v>
      </c>
      <c r="G102" s="362">
        <f>IFERROR(VLOOKUP(C102,'تقرير المصروفات حسب الشهر'!$C$387:$AD$495,16,FALSE),0)</f>
        <v>843.3</v>
      </c>
      <c r="H102" s="362">
        <f>IFERROR(VLOOKUP(C102,'تقرير المصروفات حسب الشهر'!$C$512:$AD$620,16,FALSE),0)</f>
        <v>843.3</v>
      </c>
      <c r="I102" s="362">
        <f>IFERROR(VLOOKUP(C102,'تقرير المصروفات حسب الشهر'!$C$637:$AD$746,16,FALSE),0)</f>
        <v>843.3</v>
      </c>
      <c r="J102" s="362">
        <f>IFERROR(VLOOKUP(C102,'تقرير المصروفات حسب الشهر'!$C$763:$AD$872,16,FALSE),0)</f>
        <v>843.3</v>
      </c>
      <c r="K102" s="362">
        <f>IFERROR(VLOOKUP(C102,'تقرير المصروفات حسب الشهر'!$C$890:$AD$999,16,FALSE),0)</f>
        <v>843.3</v>
      </c>
      <c r="L102" s="362">
        <f>IFERROR(VLOOKUP(C102,'تقرير المصروفات حسب الشهر'!$C$1016:$AD$1126,16,FALSE),0)</f>
        <v>843.3</v>
      </c>
      <c r="M102" s="376">
        <f>IFERROR(VLOOKUP(C102,'تقرير المصروفات حسب الشهر'!$C$1143:$AD$1254,16,FALSE),0)</f>
        <v>818.09</v>
      </c>
      <c r="N102" s="376">
        <f>IFERROR(VLOOKUP(C102,'تقرير المصروفات حسب الشهر'!$C$1270:$AD$1381,16,FALSE),0)</f>
        <v>777.52</v>
      </c>
      <c r="O102" s="376">
        <f>IFERROR(VLOOKUP(C102,'تقرير المصروفات حسب الشهر'!$C$1397:$AI$1512,16,FALSE),0)</f>
        <v>0</v>
      </c>
      <c r="P102" s="364">
        <f t="shared" si="6"/>
        <v>9185.3100000000013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الشهر'!$C$10:$AD$119,16,FALSE),0)</f>
        <v>1093.48</v>
      </c>
      <c r="E103" s="362">
        <f>IFERROR(VLOOKUP(C103,'تقرير المصروفات حسب الشهر'!$C$135:$AD$244,16,FALSE),0)</f>
        <v>1051.8499999999999</v>
      </c>
      <c r="F103" s="362">
        <v>887.49</v>
      </c>
      <c r="G103" s="362">
        <f>IFERROR(VLOOKUP(C103,'تقرير المصروفات حسب الشهر'!$C$387:$AD$495,16,FALSE),0)</f>
        <v>887.49</v>
      </c>
      <c r="H103" s="362">
        <f>IFERROR(VLOOKUP(C103,'تقرير المصروفات حسب الشهر'!$C$512:$AD$620,16,FALSE),0)</f>
        <v>887.49</v>
      </c>
      <c r="I103" s="362">
        <f>IFERROR(VLOOKUP(C103,'تقرير المصروفات حسب الشهر'!$C$637:$AD$746,16,FALSE),0)</f>
        <v>887.49</v>
      </c>
      <c r="J103" s="362">
        <f>IFERROR(VLOOKUP(C103,'تقرير المصروفات حسب الشهر'!$C$763:$AD$872,16,FALSE),0)</f>
        <v>851.16</v>
      </c>
      <c r="K103" s="362">
        <f>IFERROR(VLOOKUP(C103,'تقرير المصروفات حسب الشهر'!$C$890:$AD$999,16,FALSE),0)</f>
        <v>851.16</v>
      </c>
      <c r="L103" s="362">
        <f>IFERROR(VLOOKUP(C103,'تقرير المصروفات حسب الشهر'!$C$1016:$AD$1126,16,FALSE),0)</f>
        <v>851.16</v>
      </c>
      <c r="M103" s="376">
        <f>IFERROR(VLOOKUP(C103,'تقرير المصروفات حسب الشهر'!$C$1143:$AD$1254,16,FALSE),0)</f>
        <v>851.16</v>
      </c>
      <c r="N103" s="376">
        <f>IFERROR(VLOOKUP(C103,'تقرير المصروفات حسب الشهر'!$C$1270:$AD$1381,16,FALSE),0)</f>
        <v>870.49</v>
      </c>
      <c r="O103" s="376">
        <f>IFERROR(VLOOKUP(C103,'تقرير المصروفات حسب الشهر'!$C$1397:$AI$1512,16,FALSE),0)</f>
        <v>116.8</v>
      </c>
      <c r="P103" s="364">
        <f t="shared" si="6"/>
        <v>10087.219999999998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الشهر'!$C$10:$AD$119,16,FALSE),0)</f>
        <v>0</v>
      </c>
      <c r="E104" s="362">
        <f>IFERROR(VLOOKUP(C104,'تقرير المصروفات حسب الشهر'!$C$135:$AD$244,16,FALSE),0)</f>
        <v>0</v>
      </c>
      <c r="F104" s="362">
        <v>0</v>
      </c>
      <c r="G104" s="362">
        <f>IFERROR(VLOOKUP(C104,'تقرير المصروفات حسب الشهر'!$C$387:$AD$495,16,FALSE),0)</f>
        <v>0</v>
      </c>
      <c r="H104" s="362">
        <f>IFERROR(VLOOKUP(C104,'تقرير المصروفات حسب الشهر'!$C$512:$AD$620,16,FALSE),0)</f>
        <v>0</v>
      </c>
      <c r="I104" s="362">
        <f>IFERROR(VLOOKUP(C104,'تقرير المصروفات حسب الشهر'!$C$637:$AD$746,16,FALSE),0)</f>
        <v>0</v>
      </c>
      <c r="J104" s="362">
        <f>IFERROR(VLOOKUP(C104,'تقرير المصروفات حسب الشهر'!$C$763:$AD$872,16,FALSE),0)</f>
        <v>0</v>
      </c>
      <c r="K104" s="362">
        <f>IFERROR(VLOOKUP(C104,'تقرير المصروفات حسب الشهر'!$C$890:$AD$999,16,FALSE),0)</f>
        <v>0</v>
      </c>
      <c r="L104" s="362">
        <f>IFERROR(VLOOKUP(C104,'تقرير المصروفات حسب الشهر'!$C$1016:$AD$1126,16,FALSE),0)</f>
        <v>0</v>
      </c>
      <c r="M104" s="376">
        <f>IFERROR(VLOOKUP(C104,'تقرير المصروفات حسب الشهر'!$C$1143:$AD$1254,16,FALSE),0)</f>
        <v>0</v>
      </c>
      <c r="N104" s="376">
        <f>IFERROR(VLOOKUP(C104,'تقرير المصروفات حسب الشهر'!$C$1270:$AD$1381,16,FALSE),0)</f>
        <v>0</v>
      </c>
      <c r="O104" s="376">
        <f>IFERROR(VLOOKUP(C104,'تقرير المصروفات حسب الشهر'!$C$1397:$AI$1512,16,FALSE),0)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الشهر'!$C$10:$AD$119,16,FALSE),0)</f>
        <v>0</v>
      </c>
      <c r="E105" s="362">
        <f>IFERROR(VLOOKUP(C105,'تقرير المصروفات حسب الشهر'!$C$135:$AD$244,16,FALSE),0)</f>
        <v>0</v>
      </c>
      <c r="F105" s="362">
        <v>0</v>
      </c>
      <c r="G105" s="362">
        <f>IFERROR(VLOOKUP(C105,'تقرير المصروفات حسب الشهر'!$C$387:$AD$495,16,FALSE),0)</f>
        <v>0</v>
      </c>
      <c r="H105" s="362">
        <f>IFERROR(VLOOKUP(C105,'تقرير المصروفات حسب الشهر'!$C$512:$AD$620,16,FALSE),0)</f>
        <v>0</v>
      </c>
      <c r="I105" s="362">
        <f>IFERROR(VLOOKUP(C105,'تقرير المصروفات حسب الشهر'!$C$637:$AD$746,16,FALSE),0)</f>
        <v>0</v>
      </c>
      <c r="J105" s="362">
        <f>IFERROR(VLOOKUP(C105,'تقرير المصروفات حسب الشهر'!$C$763:$AD$872,16,FALSE),0)</f>
        <v>0</v>
      </c>
      <c r="K105" s="362">
        <f>IFERROR(VLOOKUP(C105,'تقرير المصروفات حسب الشهر'!$C$890:$AD$999,16,FALSE),0)</f>
        <v>0</v>
      </c>
      <c r="L105" s="362">
        <f>IFERROR(VLOOKUP(C105,'تقرير المصروفات حسب الشهر'!$C$1016:$AD$1126,16,FALSE),0)</f>
        <v>0</v>
      </c>
      <c r="M105" s="376">
        <f>IFERROR(VLOOKUP(C105,'تقرير المصروفات حسب الشهر'!$C$1143:$AD$1254,16,FALSE),0)</f>
        <v>0</v>
      </c>
      <c r="N105" s="376">
        <f>IFERROR(VLOOKUP(C105,'تقرير المصروفات حسب الشهر'!$C$1270:$AD$1381,16,FALSE),0)</f>
        <v>0</v>
      </c>
      <c r="O105" s="376">
        <f>IFERROR(VLOOKUP(C105,'تقرير المصروفات حسب الشهر'!$C$1397:$AI$1512,16,FALSE),0)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الشهر'!$C$10:$AD$119,16,FALSE),0)</f>
        <v>1280</v>
      </c>
      <c r="E106" s="362">
        <f>IFERROR(VLOOKUP(C106,'تقرير المصروفات حسب الشهر'!$C$135:$AD$244,16,FALSE),0)</f>
        <v>914</v>
      </c>
      <c r="F106" s="362">
        <v>1580</v>
      </c>
      <c r="G106" s="362">
        <f>IFERROR(VLOOKUP(C106,'تقرير المصروفات حسب الشهر'!$C$387:$AD$495,16,FALSE),0)</f>
        <v>4838.5</v>
      </c>
      <c r="H106" s="362">
        <f>IFERROR(VLOOKUP(C106,'تقرير المصروفات حسب الشهر'!$C$512:$AD$620,16,FALSE),0)</f>
        <v>1110.31</v>
      </c>
      <c r="I106" s="362">
        <f>IFERROR(VLOOKUP(C106,'تقرير المصروفات حسب الشهر'!$C$637:$AD$746,16,FALSE),0)</f>
        <v>4520</v>
      </c>
      <c r="J106" s="362">
        <f>IFERROR(VLOOKUP(C106,'تقرير المصروفات حسب الشهر'!$C$763:$AD$872,16,FALSE),0)</f>
        <v>3497</v>
      </c>
      <c r="K106" s="362">
        <f>IFERROR(VLOOKUP(C106,'تقرير المصروفات حسب الشهر'!$C$890:$AD$999,16,FALSE),0)</f>
        <v>5888</v>
      </c>
      <c r="L106" s="362">
        <f>IFERROR(VLOOKUP(C106,'تقرير المصروفات حسب الشهر'!$C$1016:$AD$1126,16,FALSE),0)</f>
        <v>3583.3</v>
      </c>
      <c r="M106" s="376">
        <f>IFERROR(VLOOKUP(C106,'تقرير المصروفات حسب الشهر'!$C$1143:$AD$1254,16,FALSE),0)</f>
        <v>897.74</v>
      </c>
      <c r="N106" s="376">
        <f>IFERROR(VLOOKUP(C106,'تقرير المصروفات حسب الشهر'!$C$1270:$AD$1381,16,FALSE),0)</f>
        <v>1330</v>
      </c>
      <c r="O106" s="376">
        <f>IFERROR(VLOOKUP(C106,'تقرير المصروفات حسب الشهر'!$C$1397:$AI$1512,16,FALSE),0)</f>
        <v>1553</v>
      </c>
      <c r="P106" s="364">
        <f t="shared" si="6"/>
        <v>30991.85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الشهر'!$C$10:$AD$119,16,FALSE),0)</f>
        <v>0</v>
      </c>
      <c r="E107" s="362">
        <f>IFERROR(VLOOKUP(C107,'تقرير المصروفات حسب الشهر'!$C$135:$AD$244,16,FALSE),0)</f>
        <v>0</v>
      </c>
      <c r="F107" s="362">
        <v>0</v>
      </c>
      <c r="G107" s="362">
        <f>IFERROR(VLOOKUP(C107,'تقرير المصروفات حسب الشهر'!$C$387:$AD$495,16,FALSE),0)</f>
        <v>0</v>
      </c>
      <c r="H107" s="362">
        <f>IFERROR(VLOOKUP(C107,'تقرير المصروفات حسب الشهر'!$C$512:$AD$620,16,FALSE),0)</f>
        <v>0</v>
      </c>
      <c r="I107" s="362">
        <f>IFERROR(VLOOKUP(C107,'تقرير المصروفات حسب الشهر'!$C$637:$AD$746,16,FALSE),0)</f>
        <v>0</v>
      </c>
      <c r="J107" s="362">
        <f>IFERROR(VLOOKUP(C107,'تقرير المصروفات حسب الشهر'!$C$763:$AD$872,16,FALSE),0)</f>
        <v>0</v>
      </c>
      <c r="K107" s="362">
        <f>IFERROR(VLOOKUP(C107,'تقرير المصروفات حسب الشهر'!$C$890:$AD$999,16,FALSE),0)</f>
        <v>0</v>
      </c>
      <c r="L107" s="362">
        <f>IFERROR(VLOOKUP(C107,'تقرير المصروفات حسب الشهر'!$C$1016:$AD$1126,16,FALSE),0)</f>
        <v>0</v>
      </c>
      <c r="M107" s="376">
        <f>IFERROR(VLOOKUP(C107,'تقرير المصروفات حسب الشهر'!$C$1143:$AD$1254,16,FALSE),0)</f>
        <v>0</v>
      </c>
      <c r="N107" s="376">
        <f>IFERROR(VLOOKUP(C107,'تقرير المصروفات حسب الشهر'!$C$1270:$AD$1381,16,FALSE),0)</f>
        <v>0</v>
      </c>
      <c r="O107" s="376">
        <f>IFERROR(VLOOKUP(C107,'تقرير المصروفات حسب الشهر'!$C$1397:$AI$1512,16,FALSE),0)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الشهر'!$C$10:$AD$119,16,FALSE),0)</f>
        <v>0</v>
      </c>
      <c r="E108" s="362">
        <f>IFERROR(VLOOKUP(C108,'تقرير المصروفات حسب الشهر'!$C$135:$AD$244,16,FALSE),0)</f>
        <v>0</v>
      </c>
      <c r="F108" s="362">
        <v>0</v>
      </c>
      <c r="G108" s="362">
        <f>IFERROR(VLOOKUP(C108,'تقرير المصروفات حسب الشهر'!$C$387:$AD$495,16,FALSE),0)</f>
        <v>0</v>
      </c>
      <c r="H108" s="362">
        <f>IFERROR(VLOOKUP(C108,'تقرير المصروفات حسب الشهر'!$C$512:$AD$620,16,FALSE),0)</f>
        <v>0</v>
      </c>
      <c r="I108" s="362">
        <f>IFERROR(VLOOKUP(C108,'تقرير المصروفات حسب الشهر'!$C$637:$AD$746,16,FALSE),0)</f>
        <v>0</v>
      </c>
      <c r="J108" s="362">
        <f>IFERROR(VLOOKUP(C108,'تقرير المصروفات حسب الشهر'!$C$763:$AD$872,16,FALSE),0)</f>
        <v>0</v>
      </c>
      <c r="K108" s="362">
        <f>IFERROR(VLOOKUP(C108,'تقرير المصروفات حسب الشهر'!$C$890:$AD$999,16,FALSE),0)</f>
        <v>0</v>
      </c>
      <c r="L108" s="362">
        <f>IFERROR(VLOOKUP(C108,'تقرير المصروفات حسب الشهر'!$C$1016:$AD$1126,16,FALSE),0)</f>
        <v>0</v>
      </c>
      <c r="M108" s="376">
        <f>IFERROR(VLOOKUP(C108,'تقرير المصروفات حسب الشهر'!$C$1143:$AD$1254,16,FALSE),0)</f>
        <v>0</v>
      </c>
      <c r="N108" s="376">
        <f>IFERROR(VLOOKUP(C108,'تقرير المصروفات حسب الشهر'!$C$1270:$AD$1381,16,FALSE),0)</f>
        <v>0</v>
      </c>
      <c r="O108" s="376">
        <f>IFERROR(VLOOKUP(C108,'تقرير المصروفات حسب الشهر'!$C$1397:$AI$1512,16,FALSE),0)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الشهر'!$C$10:$AD$119,16,FALSE),0)</f>
        <v>0</v>
      </c>
      <c r="E109" s="362">
        <f>IFERROR(VLOOKUP(C109,'تقرير المصروفات حسب الشهر'!$C$135:$AD$244,16,FALSE),0)</f>
        <v>0</v>
      </c>
      <c r="F109" s="362">
        <v>0</v>
      </c>
      <c r="G109" s="362">
        <f>IFERROR(VLOOKUP(C109,'تقرير المصروفات حسب الشهر'!$C$387:$AD$495,16,FALSE),0)</f>
        <v>0</v>
      </c>
      <c r="H109" s="362">
        <f>IFERROR(VLOOKUP(C109,'تقرير المصروفات حسب الشهر'!$C$512:$AD$620,16,FALSE),0)</f>
        <v>0</v>
      </c>
      <c r="I109" s="362">
        <f>IFERROR(VLOOKUP(C109,'تقرير المصروفات حسب الشهر'!$C$637:$AD$746,16,FALSE),0)</f>
        <v>0</v>
      </c>
      <c r="J109" s="362">
        <f>IFERROR(VLOOKUP(C109,'تقرير المصروفات حسب الشهر'!$C$763:$AD$872,16,FALSE),0)</f>
        <v>0</v>
      </c>
      <c r="K109" s="362">
        <f>IFERROR(VLOOKUP(C109,'تقرير المصروفات حسب الشهر'!$C$890:$AD$999,16,FALSE),0)</f>
        <v>0</v>
      </c>
      <c r="L109" s="362">
        <f>IFERROR(VLOOKUP(C109,'تقرير المصروفات حسب الشهر'!$C$1016:$AD$1126,16,FALSE),0)</f>
        <v>0</v>
      </c>
      <c r="M109" s="376">
        <f>IFERROR(VLOOKUP(C109,'تقرير المصروفات حسب الشهر'!$C$1143:$AD$1254,16,FALSE),0)</f>
        <v>0</v>
      </c>
      <c r="N109" s="376">
        <f>IFERROR(VLOOKUP(C109,'تقرير المصروفات حسب الشهر'!$C$1270:$AD$1381,16,FALSE),0)</f>
        <v>0</v>
      </c>
      <c r="O109" s="376">
        <f>IFERROR(VLOOKUP(C109,'تقرير المصروفات حسب الشهر'!$C$1397:$AI$1512,16,FALSE),0)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الشهر'!$C$10:$AD$119,16,FALSE),0)</f>
        <v>10.06</v>
      </c>
      <c r="E110" s="362">
        <f>IFERROR(VLOOKUP(C110,'تقرير المصروفات حسب الشهر'!$C$135:$AD$244,16,FALSE),0)</f>
        <v>0</v>
      </c>
      <c r="F110" s="362">
        <v>0</v>
      </c>
      <c r="G110" s="362">
        <f>IFERROR(VLOOKUP(C110,'تقرير المصروفات حسب الشهر'!$C$387:$AD$495,16,FALSE),0)</f>
        <v>0</v>
      </c>
      <c r="H110" s="362">
        <f>IFERROR(VLOOKUP(C110,'تقرير المصروفات حسب الشهر'!$C$512:$AD$620,16,FALSE),0)</f>
        <v>14038.6</v>
      </c>
      <c r="I110" s="362">
        <v>4.2100000000000399</v>
      </c>
      <c r="J110" s="362">
        <f>IFERROR(VLOOKUP(C110,'تقرير المصروفات حسب الشهر'!$C$763:$AD$872,16,FALSE),0)</f>
        <v>0</v>
      </c>
      <c r="K110" s="362">
        <f>IFERROR(VLOOKUP(C110,'تقرير المصروفات حسب الشهر'!$C$890:$AD$999,16,FALSE),0)</f>
        <v>9.24</v>
      </c>
      <c r="L110" s="362">
        <f>IFERROR(VLOOKUP(C110,'تقرير المصروفات حسب الشهر'!$C$1016:$AD$1126,16,FALSE),0)</f>
        <v>13.34</v>
      </c>
      <c r="M110" s="376">
        <f>IFERROR(VLOOKUP(C110,'تقرير المصروفات حسب الشهر'!$C$1143:$AD$1254,16,FALSE),0)</f>
        <v>13.81</v>
      </c>
      <c r="N110" s="376">
        <f>IFERROR(VLOOKUP(C110,'تقرير المصروفات حسب الشهر'!$C$1270:$AD$1381,16,FALSE),0)</f>
        <v>0</v>
      </c>
      <c r="O110" s="376">
        <f>IFERROR(VLOOKUP(C110,'تقرير المصروفات حسب الشهر'!$C$1397:$AI$1512,16,FALSE),0)</f>
        <v>13762.79</v>
      </c>
      <c r="P110" s="364">
        <f t="shared" si="6"/>
        <v>27852.050000000003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الشهر'!$C$10:$AD$119,16,FALSE),0)</f>
        <v>0</v>
      </c>
      <c r="E111" s="362">
        <f>IFERROR(VLOOKUP(C111,'تقرير المصروفات حسب الشهر'!$C$135:$AD$244,16,FALSE),0)</f>
        <v>0</v>
      </c>
      <c r="F111" s="362">
        <v>0</v>
      </c>
      <c r="G111" s="362">
        <f>IFERROR(VLOOKUP(C111,'تقرير المصروفات حسب الشهر'!$C$387:$AD$495,16,FALSE),0)</f>
        <v>0</v>
      </c>
      <c r="H111" s="362">
        <f>IFERROR(VLOOKUP(C111,'تقرير المصروفات حسب الشهر'!$C$512:$AD$620,16,FALSE),0)</f>
        <v>0</v>
      </c>
      <c r="I111" s="362">
        <f>IFERROR(VLOOKUP(C111,'تقرير المصروفات حسب الشهر'!$C$637:$AD$746,16,FALSE),0)</f>
        <v>0</v>
      </c>
      <c r="J111" s="362">
        <f>IFERROR(VLOOKUP(C111,'تقرير المصروفات حسب الشهر'!$C$763:$AD$872,16,FALSE),0)</f>
        <v>0</v>
      </c>
      <c r="K111" s="362">
        <f>IFERROR(VLOOKUP(C111,'تقرير المصروفات حسب الشهر'!$C$890:$AD$999,16,FALSE),0)</f>
        <v>0</v>
      </c>
      <c r="L111" s="362">
        <f>IFERROR(VLOOKUP(C111,'تقرير المصروفات حسب الشهر'!$C$1016:$AD$1126,16,FALSE),0)</f>
        <v>0</v>
      </c>
      <c r="M111" s="376">
        <f>IFERROR(VLOOKUP(C111,'تقرير المصروفات حسب الشهر'!$C$1143:$AD$1254,16,FALSE),0)</f>
        <v>0</v>
      </c>
      <c r="N111" s="376">
        <f>IFERROR(VLOOKUP(C111,'تقرير المصروفات حسب الشهر'!$C$1270:$AD$1381,16,FALSE),0)</f>
        <v>0</v>
      </c>
      <c r="O111" s="376">
        <f>IFERROR(VLOOKUP(C111,'تقرير المصروفات حسب الشهر'!$C$1397:$AI$1512,16,FALSE),0)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الشهر'!$C$10:$AD$119,16,FALSE),0)</f>
        <v>0</v>
      </c>
      <c r="E112" s="362">
        <f>IFERROR(VLOOKUP(C112,'تقرير المصروفات حسب الشهر'!$C$135:$AD$244,16,FALSE),0)</f>
        <v>0</v>
      </c>
      <c r="F112" s="362">
        <v>0</v>
      </c>
      <c r="G112" s="362">
        <f>IFERROR(VLOOKUP(C112,'تقرير المصروفات حسب الشهر'!$C$387:$AD$495,16,FALSE),0)</f>
        <v>130</v>
      </c>
      <c r="H112" s="362">
        <f>IFERROR(VLOOKUP(C112,'تقرير المصروفات حسب الشهر'!$C$512:$AD$620,16,FALSE),0)</f>
        <v>0</v>
      </c>
      <c r="I112" s="362">
        <f>IFERROR(VLOOKUP(C112,'تقرير المصروفات حسب الشهر'!$C$637:$AD$746,16,FALSE),0)</f>
        <v>0</v>
      </c>
      <c r="J112" s="362">
        <f>IFERROR(VLOOKUP(C112,'تقرير المصروفات حسب الشهر'!$C$763:$AD$872,16,FALSE),0)</f>
        <v>0</v>
      </c>
      <c r="K112" s="362">
        <f>IFERROR(VLOOKUP(C112,'تقرير المصروفات حسب الشهر'!$C$890:$AD$999,16,FALSE),0)</f>
        <v>0</v>
      </c>
      <c r="L112" s="362">
        <f>IFERROR(VLOOKUP(C112,'تقرير المصروفات حسب الشهر'!$C$1016:$AD$1126,16,FALSE),0)</f>
        <v>0</v>
      </c>
      <c r="M112" s="376">
        <f>IFERROR(VLOOKUP(C112,'تقرير المصروفات حسب الشهر'!$C$1143:$AD$1254,16,FALSE),0)</f>
        <v>0</v>
      </c>
      <c r="N112" s="376">
        <f>IFERROR(VLOOKUP(C112,'تقرير المصروفات حسب الشهر'!$C$1270:$AD$1381,16,FALSE),0)</f>
        <v>0</v>
      </c>
      <c r="O112" s="376">
        <f>IFERROR(VLOOKUP(C112,'تقرير المصروفات حسب الشهر'!$C$1397:$AI$1512,16,FALSE),0)</f>
        <v>0</v>
      </c>
      <c r="P112" s="364">
        <f t="shared" si="6"/>
        <v>130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الشهر'!$C$10:$AD$119,16,FALSE),0)</f>
        <v>0</v>
      </c>
      <c r="E113" s="362">
        <f>IFERROR(VLOOKUP(C113,'تقرير المصروفات حسب الشهر'!$C$135:$AD$244,16,FALSE),0)</f>
        <v>0</v>
      </c>
      <c r="F113" s="362">
        <v>0</v>
      </c>
      <c r="G113" s="362">
        <f>IFERROR(VLOOKUP(C113,'تقرير المصروفات حسب الشهر'!$C$387:$AD$495,16,FALSE),0)</f>
        <v>0</v>
      </c>
      <c r="H113" s="362">
        <f>IFERROR(VLOOKUP(C113,'تقرير المصروفات حسب الشهر'!$C$512:$AD$620,16,FALSE),0)</f>
        <v>0</v>
      </c>
      <c r="I113" s="362">
        <f>IFERROR(VLOOKUP(C113,'تقرير المصروفات حسب الشهر'!$C$637:$AD$746,16,FALSE),0)</f>
        <v>0</v>
      </c>
      <c r="J113" s="362">
        <f>IFERROR(VLOOKUP(C113,'تقرير المصروفات حسب الشهر'!$C$763:$AD$872,16,FALSE),0)</f>
        <v>0</v>
      </c>
      <c r="K113" s="362">
        <f>IFERROR(VLOOKUP(C113,'تقرير المصروفات حسب الشهر'!$C$890:$AD$999,16,FALSE),0)</f>
        <v>0</v>
      </c>
      <c r="L113" s="362">
        <f>IFERROR(VLOOKUP(C113,'تقرير المصروفات حسب الشهر'!$C$1016:$AD$1126,16,FALSE),0)</f>
        <v>0</v>
      </c>
      <c r="M113" s="376">
        <f>IFERROR(VLOOKUP(C113,'تقرير المصروفات حسب الشهر'!$C$1143:$AD$1254,16,FALSE),0)</f>
        <v>0</v>
      </c>
      <c r="N113" s="376">
        <f>IFERROR(VLOOKUP(C113,'تقرير المصروفات حسب الشهر'!$C$1270:$AD$1381,16,FALSE),0)</f>
        <v>0</v>
      </c>
      <c r="O113" s="376">
        <f>IFERROR(VLOOKUP(C113,'تقرير المصروفات حسب الشهر'!$C$1397:$AI$1512,16,FALSE),0)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الشهر'!$C$10:$AD$119,16,FALSE),0)</f>
        <v>0</v>
      </c>
      <c r="E114" s="362">
        <f>IFERROR(VLOOKUP(C114,'تقرير المصروفات حسب الشهر'!$C$135:$AD$244,16,FALSE),0)</f>
        <v>0</v>
      </c>
      <c r="F114" s="362">
        <v>0</v>
      </c>
      <c r="G114" s="362">
        <f>IFERROR(VLOOKUP(C114,'تقرير المصروفات حسب الشهر'!$C$387:$AD$495,16,FALSE),0)</f>
        <v>0</v>
      </c>
      <c r="H114" s="362">
        <f>IFERROR(VLOOKUP(C114,'تقرير المصروفات حسب الشهر'!$C$512:$AD$620,16,FALSE),0)</f>
        <v>0</v>
      </c>
      <c r="I114" s="362">
        <f>IFERROR(VLOOKUP(C114,'تقرير المصروفات حسب الشهر'!$C$637:$AD$746,16,FALSE),0)</f>
        <v>0</v>
      </c>
      <c r="J114" s="362">
        <f>IFERROR(VLOOKUP(C114,'تقرير المصروفات حسب الشهر'!$C$763:$AD$872,16,FALSE),0)</f>
        <v>0</v>
      </c>
      <c r="K114" s="362">
        <f>IFERROR(VLOOKUP(C114,'تقرير المصروفات حسب الشهر'!$C$890:$AD$999,16,FALSE),0)</f>
        <v>0</v>
      </c>
      <c r="L114" s="362">
        <f>IFERROR(VLOOKUP(C114,'تقرير المصروفات حسب الشهر'!$C$1016:$AD$1126,16,FALSE),0)</f>
        <v>0</v>
      </c>
      <c r="M114" s="376">
        <f>IFERROR(VLOOKUP(C114,'تقرير المصروفات حسب الشهر'!$C$1143:$AD$1254,16,FALSE),0)</f>
        <v>0</v>
      </c>
      <c r="N114" s="376">
        <f>IFERROR(VLOOKUP(C114,'تقرير المصروفات حسب الشهر'!$C$1270:$AD$1381,16,FALSE),0)</f>
        <v>0</v>
      </c>
      <c r="O114" s="376">
        <f>IFERROR(VLOOKUP(C114,'تقرير المصروفات حسب الشهر'!$C$1397:$AI$1512,16,FALSE),0)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الشهر'!$C$10:$AD$119,16,FALSE),0)</f>
        <v>0</v>
      </c>
      <c r="E115" s="362">
        <f>IFERROR(VLOOKUP(C115,'تقرير المصروفات حسب الشهر'!$C$135:$AD$244,16,FALSE),0)</f>
        <v>0</v>
      </c>
      <c r="F115" s="362">
        <v>0</v>
      </c>
      <c r="G115" s="362">
        <f>IFERROR(VLOOKUP(C115,'تقرير المصروفات حسب الشهر'!$C$387:$AD$495,16,FALSE),0)</f>
        <v>0</v>
      </c>
      <c r="H115" s="362">
        <f>IFERROR(VLOOKUP(C115,'تقرير المصروفات حسب الشهر'!$C$512:$AD$620,16,FALSE),0)</f>
        <v>0</v>
      </c>
      <c r="I115" s="362">
        <f>IFERROR(VLOOKUP(C115,'تقرير المصروفات حسب الشهر'!$C$637:$AD$746,16,FALSE),0)</f>
        <v>0</v>
      </c>
      <c r="J115" s="362">
        <f>IFERROR(VLOOKUP(C115,'تقرير المصروفات حسب الشهر'!$C$763:$AD$872,16,FALSE),0)</f>
        <v>0</v>
      </c>
      <c r="K115" s="362">
        <f>IFERROR(VLOOKUP(C115,'تقرير المصروفات حسب الشهر'!$C$890:$AD$999,16,FALSE),0)</f>
        <v>0</v>
      </c>
      <c r="L115" s="362">
        <f>IFERROR(VLOOKUP(C115,'تقرير المصروفات حسب الشهر'!$C$1016:$AD$1126,16,FALSE),0)</f>
        <v>0</v>
      </c>
      <c r="M115" s="376">
        <f>IFERROR(VLOOKUP(C115,'تقرير المصروفات حسب الشهر'!$C$1143:$AD$1254,16,FALSE),0)</f>
        <v>0</v>
      </c>
      <c r="N115" s="376">
        <f>IFERROR(VLOOKUP(C115,'تقرير المصروفات حسب الشهر'!$C$1270:$AD$1381,16,FALSE),0)</f>
        <v>0</v>
      </c>
      <c r="O115" s="376">
        <f>IFERROR(VLOOKUP(C115,'تقرير المصروفات حسب الشهر'!$C$1397:$AI$1512,16,FALSE),0)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الشهر'!$C$10:$AD$119,16,FALSE),0)</f>
        <v>0</v>
      </c>
      <c r="E116" s="362">
        <f>IFERROR(VLOOKUP(C116,'تقرير المصروفات حسب الشهر'!$C$135:$AD$244,16,FALSE),0)</f>
        <v>0</v>
      </c>
      <c r="F116" s="362">
        <v>0</v>
      </c>
      <c r="G116" s="362">
        <f>IFERROR(VLOOKUP(C116,'تقرير المصروفات حسب الشهر'!$C$387:$AD$495,16,FALSE),0)</f>
        <v>0</v>
      </c>
      <c r="H116" s="362">
        <f>IFERROR(VLOOKUP(C116,'تقرير المصروفات حسب الشهر'!$C$512:$AD$620,16,FALSE),0)</f>
        <v>0</v>
      </c>
      <c r="I116" s="362">
        <f>IFERROR(VLOOKUP(C116,'تقرير المصروفات حسب الشهر'!$C$637:$AD$746,16,FALSE),0)</f>
        <v>0</v>
      </c>
      <c r="J116" s="362">
        <f>IFERROR(VLOOKUP(C116,'تقرير المصروفات حسب الشهر'!$C$763:$AD$872,16,FALSE),0)</f>
        <v>0</v>
      </c>
      <c r="K116" s="362">
        <f>IFERROR(VLOOKUP(C116,'تقرير المصروفات حسب الشهر'!$C$890:$AD$999,16,FALSE),0)</f>
        <v>0</v>
      </c>
      <c r="L116" s="362">
        <f>IFERROR(VLOOKUP(C116,'تقرير المصروفات حسب الشهر'!$C$1016:$AD$1126,16,FALSE),0)</f>
        <v>0</v>
      </c>
      <c r="M116" s="376">
        <f>IFERROR(VLOOKUP(C116,'تقرير المصروفات حسب الشهر'!$C$1143:$AD$1254,16,FALSE),0)</f>
        <v>0</v>
      </c>
      <c r="N116" s="376">
        <f>IFERROR(VLOOKUP(C116,'تقرير المصروفات حسب الشهر'!$C$1270:$AD$1381,16,FALSE),0)</f>
        <v>0</v>
      </c>
      <c r="O116" s="376">
        <f>IFERROR(VLOOKUP(C116,'تقرير المصروفات حسب الشهر'!$C$1397:$AI$1512,16,FALSE),0)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الشهر'!$C$10:$AD$119,16,FALSE),0)</f>
        <v>0</v>
      </c>
      <c r="E117" s="362">
        <f>IFERROR(VLOOKUP(C117,'تقرير المصروفات حسب الشهر'!$C$135:$AD$244,16,FALSE),0)</f>
        <v>0</v>
      </c>
      <c r="F117" s="362">
        <v>0</v>
      </c>
      <c r="G117" s="362">
        <f>IFERROR(VLOOKUP(C117,'تقرير المصروفات حسب الشهر'!$C$387:$AD$495,16,FALSE),0)</f>
        <v>0</v>
      </c>
      <c r="H117" s="362">
        <f>IFERROR(VLOOKUP(C117,'تقرير المصروفات حسب الشهر'!$C$512:$AD$620,16,FALSE),0)</f>
        <v>0</v>
      </c>
      <c r="I117" s="362">
        <f>IFERROR(VLOOKUP(C117,'تقرير المصروفات حسب الشهر'!$C$637:$AD$746,16,FALSE),0)</f>
        <v>0</v>
      </c>
      <c r="J117" s="362">
        <f>IFERROR(VLOOKUP(C117,'تقرير المصروفات حسب الشهر'!$C$763:$AD$872,16,FALSE),0)</f>
        <v>0</v>
      </c>
      <c r="K117" s="362">
        <f>IFERROR(VLOOKUP(C117,'تقرير المصروفات حسب الشهر'!$C$890:$AD$999,16,FALSE),0)</f>
        <v>0</v>
      </c>
      <c r="L117" s="362">
        <f>IFERROR(VLOOKUP(C117,'تقرير المصروفات حسب الشهر'!$C$1016:$AD$1126,16,FALSE),0)</f>
        <v>0</v>
      </c>
      <c r="M117" s="376">
        <f>IFERROR(VLOOKUP(C117,'تقرير المصروفات حسب الشهر'!$C$1143:$AD$1254,16,FALSE),0)</f>
        <v>0</v>
      </c>
      <c r="N117" s="376">
        <f>IFERROR(VLOOKUP(C117,'تقرير المصروفات حسب الشهر'!$C$1270:$AD$1381,16,FALSE),0)</f>
        <v>0</v>
      </c>
      <c r="O117" s="376">
        <f>IFERROR(VLOOKUP(C117,'تقرير المصروفات حسب الشهر'!$C$1397:$AI$1512,16,FALSE),0)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الشهر'!$C$10:$AD$119,16,FALSE),0)</f>
        <v>0</v>
      </c>
      <c r="E118" s="362">
        <f>IFERROR(VLOOKUP(C118,'تقرير المصروفات حسب الشهر'!$C$135:$AD$244,16,FALSE),0)</f>
        <v>0</v>
      </c>
      <c r="F118" s="362">
        <v>0</v>
      </c>
      <c r="G118" s="362">
        <f>IFERROR(VLOOKUP(C118,'تقرير المصروفات حسب الشهر'!$C$387:$AD$495,16,FALSE),0)</f>
        <v>0</v>
      </c>
      <c r="H118" s="362">
        <f>IFERROR(VLOOKUP(C118,'تقرير المصروفات حسب الشهر'!$C$512:$AD$620,16,FALSE),0)</f>
        <v>0</v>
      </c>
      <c r="I118" s="362">
        <f>IFERROR(VLOOKUP(C118,'تقرير المصروفات حسب الشهر'!$C$637:$AD$746,16,FALSE),0)</f>
        <v>0</v>
      </c>
      <c r="J118" s="362">
        <f>IFERROR(VLOOKUP(C118,'تقرير المصروفات حسب الشهر'!$C$763:$AD$872,16,FALSE),0)</f>
        <v>0</v>
      </c>
      <c r="K118" s="362">
        <f>IFERROR(VLOOKUP(C118,'تقرير المصروفات حسب الشهر'!$C$890:$AD$999,16,FALSE),0)</f>
        <v>0</v>
      </c>
      <c r="L118" s="362">
        <f>IFERROR(VLOOKUP(C118,'تقرير المصروفات حسب الشهر'!$C$1016:$AD$1126,16,FALSE),0)</f>
        <v>0</v>
      </c>
      <c r="M118" s="376">
        <f>IFERROR(VLOOKUP(C118,'تقرير المصروفات حسب الشهر'!$C$1143:$AD$1254,16,FALSE),0)</f>
        <v>0</v>
      </c>
      <c r="N118" s="376">
        <f>IFERROR(VLOOKUP(C118,'تقرير المصروفات حسب الشهر'!$C$1270:$AD$1381,16,FALSE),0)</f>
        <v>0</v>
      </c>
      <c r="O118" s="376">
        <f>IFERROR(VLOOKUP(C118,'تقرير المصروفات حسب الشهر'!$C$1397:$AI$1512,16,FALSE),0)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الشهر'!$C$10:$AD$119,16,FALSE),0)</f>
        <v>0</v>
      </c>
      <c r="E119" s="362">
        <f>IFERROR(VLOOKUP(C119,'تقرير المصروفات حسب الشهر'!$C$135:$AD$244,16,FALSE),0)</f>
        <v>0</v>
      </c>
      <c r="F119" s="362">
        <v>0</v>
      </c>
      <c r="G119" s="362">
        <f>IFERROR(VLOOKUP(C119,'تقرير المصروفات حسب الشهر'!$C$387:$AD$495,16,FALSE),0)</f>
        <v>0</v>
      </c>
      <c r="H119" s="362">
        <f>IFERROR(VLOOKUP(C119,'تقرير المصروفات حسب الشهر'!$C$512:$AD$620,16,FALSE),0)</f>
        <v>0</v>
      </c>
      <c r="I119" s="362">
        <f>IFERROR(VLOOKUP(C119,'تقرير المصروفات حسب الشهر'!$C$637:$AD$746,16,FALSE),0)</f>
        <v>0</v>
      </c>
      <c r="J119" s="362">
        <f>IFERROR(VLOOKUP(C119,'تقرير المصروفات حسب الشهر'!$C$763:$AD$872,16,FALSE),0)</f>
        <v>0</v>
      </c>
      <c r="K119" s="362">
        <f>IFERROR(VLOOKUP(C119,'تقرير المصروفات حسب الشهر'!$C$890:$AD$999,16,FALSE),0)</f>
        <v>0</v>
      </c>
      <c r="L119" s="362">
        <f>IFERROR(VLOOKUP(C119,'تقرير المصروفات حسب الشهر'!$C$1016:$AD$1126,16,FALSE),0)</f>
        <v>0</v>
      </c>
      <c r="M119" s="376">
        <f>IFERROR(VLOOKUP(C119,'تقرير المصروفات حسب الشهر'!$C$1143:$AD$1254,16,FALSE),0)</f>
        <v>0</v>
      </c>
      <c r="N119" s="376">
        <f>IFERROR(VLOOKUP(C119,'تقرير المصروفات حسب الشهر'!$C$1270:$AD$1381,16,FALSE),0)</f>
        <v>0</v>
      </c>
      <c r="O119" s="376">
        <f>IFERROR(VLOOKUP(C119,'تقرير المصروفات حسب الشهر'!$C$1397:$AI$1512,16,FALSE),0)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الشهر'!$C$10:$AD$119,16,FALSE),0)</f>
        <v>0</v>
      </c>
      <c r="E120" s="362">
        <f>IFERROR(VLOOKUP(C120,'تقرير المصروفات حسب الشهر'!$C$135:$AD$244,16,FALSE),0)</f>
        <v>0</v>
      </c>
      <c r="F120" s="362">
        <v>0</v>
      </c>
      <c r="G120" s="362">
        <f>IFERROR(VLOOKUP(C120,'تقرير المصروفات حسب الشهر'!$C$387:$AD$495,16,FALSE),0)</f>
        <v>0</v>
      </c>
      <c r="H120" s="362">
        <f>IFERROR(VLOOKUP(C120,'تقرير المصروفات حسب الشهر'!$C$512:$AD$620,16,FALSE),0)</f>
        <v>0</v>
      </c>
      <c r="I120" s="362">
        <f>IFERROR(VLOOKUP(C120,'تقرير المصروفات حسب الشهر'!$C$637:$AD$746,16,FALSE),0)</f>
        <v>0</v>
      </c>
      <c r="J120" s="362">
        <f>IFERROR(VLOOKUP(C120,'تقرير المصروفات حسب الشهر'!$C$763:$AD$872,16,FALSE),0)</f>
        <v>0</v>
      </c>
      <c r="K120" s="362">
        <f>IFERROR(VLOOKUP(C120,'تقرير المصروفات حسب الشهر'!$C$890:$AD$999,16,FALSE),0)</f>
        <v>0</v>
      </c>
      <c r="L120" s="362">
        <f>IFERROR(VLOOKUP(C120,'تقرير المصروفات حسب الشهر'!$C$1016:$AD$1126,16,FALSE),0)</f>
        <v>0</v>
      </c>
      <c r="M120" s="376">
        <f>IFERROR(VLOOKUP(C120,'تقرير المصروفات حسب الشهر'!$C$1143:$AD$1254,16,FALSE),0)</f>
        <v>0</v>
      </c>
      <c r="N120" s="376">
        <f>IFERROR(VLOOKUP(C120,'تقرير المصروفات حسب الشهر'!$C$1270:$AD$1381,16,FALSE),0)</f>
        <v>0</v>
      </c>
      <c r="O120" s="376">
        <f>IFERROR(VLOOKUP(C120,'تقرير المصروفات حسب الشهر'!$C$1397:$AI$1512,16,FALSE),0)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الشهر'!$C$10:$AD$119,16,FALSE),0)</f>
        <v>0</v>
      </c>
      <c r="E121" s="362">
        <f>IFERROR(VLOOKUP(C121,'تقرير المصروفات حسب الشهر'!$C$135:$AD$244,16,FALSE),0)</f>
        <v>0</v>
      </c>
      <c r="F121" s="362">
        <v>0</v>
      </c>
      <c r="G121" s="362">
        <f>IFERROR(VLOOKUP(C121,'تقرير المصروفات حسب الشهر'!$C$387:$AD$495,16,FALSE),0)</f>
        <v>0</v>
      </c>
      <c r="H121" s="362">
        <f>IFERROR(VLOOKUP(C121,'تقرير المصروفات حسب الشهر'!$C$512:$AD$620,16,FALSE),0)</f>
        <v>0</v>
      </c>
      <c r="I121" s="362">
        <f>IFERROR(VLOOKUP(C121,'تقرير المصروفات حسب الشهر'!$C$637:$AD$746,16,FALSE),0)</f>
        <v>0</v>
      </c>
      <c r="J121" s="362">
        <f>IFERROR(VLOOKUP(C121,'تقرير المصروفات حسب الشهر'!$C$763:$AD$872,16,FALSE),0)</f>
        <v>0</v>
      </c>
      <c r="K121" s="362">
        <f>IFERROR(VLOOKUP(C121,'تقرير المصروفات حسب الشهر'!$C$890:$AD$999,16,FALSE),0)</f>
        <v>0</v>
      </c>
      <c r="L121" s="362">
        <f>IFERROR(VLOOKUP(C121,'تقرير المصروفات حسب الشهر'!$C$1016:$AD$1126,16,FALSE),0)</f>
        <v>0</v>
      </c>
      <c r="M121" s="376">
        <f>IFERROR(VLOOKUP(C121,'تقرير المصروفات حسب الشهر'!$C$1143:$AD$1254,16,FALSE),0)</f>
        <v>0</v>
      </c>
      <c r="N121" s="376">
        <f>IFERROR(VLOOKUP(C121,'تقرير المصروفات حسب الشهر'!$C$1270:$AD$1381,16,FALSE),0)</f>
        <v>0</v>
      </c>
      <c r="O121" s="376">
        <f>IFERROR(VLOOKUP(C121,'تقرير المصروفات حسب الشهر'!$C$1397:$AI$1512,16,FALSE),0)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الشهر'!$C$10:$AD$119,16,FALSE),0)</f>
        <v>0</v>
      </c>
      <c r="E122" s="362">
        <f>IFERROR(VLOOKUP(C122,'تقرير المصروفات حسب الشهر'!$C$135:$AD$244,16,FALSE),0)</f>
        <v>0</v>
      </c>
      <c r="F122" s="362">
        <v>0</v>
      </c>
      <c r="G122" s="362">
        <f>IFERROR(VLOOKUP(C122,'تقرير المصروفات حسب الشهر'!$C$387:$AD$495,16,FALSE),0)</f>
        <v>0</v>
      </c>
      <c r="H122" s="362">
        <f>IFERROR(VLOOKUP(C122,'تقرير المصروفات حسب الشهر'!$C$512:$AD$620,16,FALSE),0)</f>
        <v>0</v>
      </c>
      <c r="I122" s="362">
        <f>IFERROR(VLOOKUP(C122,'تقرير المصروفات حسب الشهر'!$C$637:$AD$746,16,FALSE),0)</f>
        <v>0</v>
      </c>
      <c r="J122" s="362">
        <f>IFERROR(VLOOKUP(C122,'تقرير المصروفات حسب الشهر'!$C$763:$AD$872,16,FALSE),0)</f>
        <v>0</v>
      </c>
      <c r="K122" s="362">
        <f>IFERROR(VLOOKUP(C122,'تقرير المصروفات حسب الشهر'!$C$890:$AD$999,16,FALSE),0)</f>
        <v>0</v>
      </c>
      <c r="L122" s="362">
        <f>IFERROR(VLOOKUP(C122,'تقرير المصروفات حسب الشهر'!$C$1016:$AD$1126,16,FALSE),0)</f>
        <v>0</v>
      </c>
      <c r="M122" s="376">
        <f>IFERROR(VLOOKUP(C122,'تقرير المصروفات حسب الشهر'!$C$1143:$AD$1254,16,FALSE),0)</f>
        <v>0</v>
      </c>
      <c r="N122" s="376">
        <f>IFERROR(VLOOKUP(C122,'تقرير المصروفات حسب الشهر'!$C$1270:$AD$1381,16,FALSE),0)</f>
        <v>0</v>
      </c>
      <c r="O122" s="376">
        <f>IFERROR(VLOOKUP(C122,'تقرير المصروفات حسب الشهر'!$C$1397:$AI$1512,16,FALSE),0)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الشهر'!$C$10:$AD$119,16,FALSE),0)</f>
        <v>0</v>
      </c>
      <c r="E123" s="362">
        <f>IFERROR(VLOOKUP(C123,'تقرير المصروفات حسب الشهر'!$C$135:$AD$244,16,FALSE),0)</f>
        <v>0</v>
      </c>
      <c r="F123" s="362">
        <v>0</v>
      </c>
      <c r="G123" s="362">
        <f>IFERROR(VLOOKUP(C123,'تقرير المصروفات حسب الشهر'!$C$387:$AD$495,16,FALSE),0)</f>
        <v>0</v>
      </c>
      <c r="H123" s="362">
        <f>IFERROR(VLOOKUP(C123,'تقرير المصروفات حسب الشهر'!$C$512:$AD$620,16,FALSE),0)</f>
        <v>0</v>
      </c>
      <c r="I123" s="362">
        <f>IFERROR(VLOOKUP(C123,'تقرير المصروفات حسب الشهر'!$C$637:$AD$746,16,FALSE),0)</f>
        <v>0</v>
      </c>
      <c r="J123" s="362">
        <f>IFERROR(VLOOKUP(C123,'تقرير المصروفات حسب الشهر'!$C$763:$AD$872,16,FALSE),0)</f>
        <v>0</v>
      </c>
      <c r="K123" s="362">
        <f>IFERROR(VLOOKUP(C123,'تقرير المصروفات حسب الشهر'!$C$890:$AD$999,16,FALSE),0)</f>
        <v>0</v>
      </c>
      <c r="L123" s="362">
        <f>IFERROR(VLOOKUP(C123,'تقرير المصروفات حسب الشهر'!$C$1016:$AD$1126,16,FALSE),0)</f>
        <v>0</v>
      </c>
      <c r="M123" s="376">
        <f>IFERROR(VLOOKUP(C123,'تقرير المصروفات حسب الشهر'!$C$1143:$AD$1254,16,FALSE),0)</f>
        <v>0</v>
      </c>
      <c r="N123" s="376">
        <f>IFERROR(VLOOKUP(C123,'تقرير المصروفات حسب الشهر'!$C$1270:$AD$1381,16,FALSE),0)</f>
        <v>0</v>
      </c>
      <c r="O123" s="376">
        <f>IFERROR(VLOOKUP(C123,'تقرير المصروفات حسب الشهر'!$C$1397:$AI$1512,16,FALSE),0)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الشهر'!$C$10:$AD$119,16,FALSE),0)</f>
        <v>0</v>
      </c>
      <c r="E124" s="362">
        <f>IFERROR(VLOOKUP(C124,'تقرير المصروفات حسب الشهر'!$C$135:$AD$244,16,FALSE),0)</f>
        <v>0</v>
      </c>
      <c r="F124" s="362">
        <v>0</v>
      </c>
      <c r="G124" s="362">
        <f>IFERROR(VLOOKUP(C124,'تقرير المصروفات حسب الشهر'!$C$387:$AD$495,16,FALSE),0)</f>
        <v>0</v>
      </c>
      <c r="H124" s="362">
        <f>IFERROR(VLOOKUP(C124,'تقرير المصروفات حسب الشهر'!$C$512:$AD$620,16,FALSE),0)</f>
        <v>0</v>
      </c>
      <c r="I124" s="362">
        <f>IFERROR(VLOOKUP(C124,'تقرير المصروفات حسب الشهر'!$C$637:$AD$746,16,FALSE),0)</f>
        <v>0</v>
      </c>
      <c r="J124" s="362">
        <f>IFERROR(VLOOKUP(C124,'تقرير المصروفات حسب الشهر'!$C$763:$AD$872,16,FALSE),0)</f>
        <v>0</v>
      </c>
      <c r="K124" s="362">
        <f>IFERROR(VLOOKUP(C124,'تقرير المصروفات حسب الشهر'!$C$890:$AD$999,16,FALSE),0)</f>
        <v>0</v>
      </c>
      <c r="L124" s="362">
        <f>IFERROR(VLOOKUP(C124,'تقرير المصروفات حسب الشهر'!$C$1016:$AD$1126,16,FALSE),0)</f>
        <v>0</v>
      </c>
      <c r="M124" s="376">
        <f>IFERROR(VLOOKUP(C124,'تقرير المصروفات حسب الشهر'!$C$1143:$AD$1254,16,FALSE),0)</f>
        <v>0</v>
      </c>
      <c r="N124" s="376">
        <f>IFERROR(VLOOKUP(C124,'تقرير المصروفات حسب الشهر'!$C$1270:$AD$1381,16,FALSE),0)</f>
        <v>0</v>
      </c>
      <c r="O124" s="376">
        <f>IFERROR(VLOOKUP(C124,'تقرير المصروفات حسب الشهر'!$C$1397:$AI$1512,16,FALSE),0)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الشهر'!$C$10:$AD$119,16,FALSE),0)</f>
        <v>0</v>
      </c>
      <c r="E125" s="362">
        <f>IFERROR(VLOOKUP(C125,'تقرير المصروفات حسب الشهر'!$C$135:$AD$244,16,FALSE),0)</f>
        <v>0</v>
      </c>
      <c r="F125" s="362">
        <v>0</v>
      </c>
      <c r="G125" s="362">
        <f>IFERROR(VLOOKUP(C125,'تقرير المصروفات حسب الشهر'!$C$387:$AD$495,16,FALSE),0)</f>
        <v>0</v>
      </c>
      <c r="H125" s="362">
        <f>IFERROR(VLOOKUP(C125,'تقرير المصروفات حسب الشهر'!$C$512:$AD$620,16,FALSE),0)</f>
        <v>0</v>
      </c>
      <c r="I125" s="362">
        <f>IFERROR(VLOOKUP(C125,'تقرير المصروفات حسب الشهر'!$C$637:$AD$746,16,FALSE),0)</f>
        <v>0</v>
      </c>
      <c r="J125" s="362">
        <f>IFERROR(VLOOKUP(C125,'تقرير المصروفات حسب الشهر'!$C$763:$AD$872,16,FALSE),0)</f>
        <v>0</v>
      </c>
      <c r="K125" s="362">
        <f>IFERROR(VLOOKUP(C125,'تقرير المصروفات حسب الشهر'!$C$890:$AD$999,16,FALSE),0)</f>
        <v>0</v>
      </c>
      <c r="L125" s="362">
        <f>IFERROR(VLOOKUP(C125,'تقرير المصروفات حسب الشهر'!$C$1016:$AD$1126,16,FALSE),0)</f>
        <v>0</v>
      </c>
      <c r="M125" s="376">
        <f>IFERROR(VLOOKUP(C125,'تقرير المصروفات حسب الشهر'!$C$1143:$AD$1254,16,FALSE),0)</f>
        <v>0</v>
      </c>
      <c r="N125" s="376">
        <f>IFERROR(VLOOKUP(C125,'تقرير المصروفات حسب الشهر'!$C$1270:$AD$1381,16,FALSE),0)</f>
        <v>0</v>
      </c>
      <c r="O125" s="376">
        <f>IFERROR(VLOOKUP(C125,'تقرير المصروفات حسب الشهر'!$C$1397:$AI$1512,16,FALSE),0)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الشهر'!$C$10:$AD$119,16,FALSE),0)</f>
        <v>0</v>
      </c>
      <c r="E126" s="362">
        <f>IFERROR(VLOOKUP(C126,'تقرير المصروفات حسب الشهر'!$C$135:$AD$244,16,FALSE),0)</f>
        <v>0</v>
      </c>
      <c r="F126" s="362">
        <v>0</v>
      </c>
      <c r="G126" s="362">
        <f>IFERROR(VLOOKUP(C126,'تقرير المصروفات حسب الشهر'!$C$387:$AD$495,16,FALSE),0)</f>
        <v>0</v>
      </c>
      <c r="H126" s="362">
        <f>IFERROR(VLOOKUP(C126,'تقرير المصروفات حسب الشهر'!$C$512:$AD$620,16,FALSE),0)</f>
        <v>0</v>
      </c>
      <c r="I126" s="362">
        <f>IFERROR(VLOOKUP(C126,'تقرير المصروفات حسب الشهر'!$C$637:$AD$746,16,FALSE),0)</f>
        <v>0</v>
      </c>
      <c r="J126" s="362">
        <f>IFERROR(VLOOKUP(C126,'تقرير المصروفات حسب الشهر'!$C$763:$AD$872,16,FALSE),0)</f>
        <v>0</v>
      </c>
      <c r="K126" s="362">
        <f>IFERROR(VLOOKUP(C126,'تقرير المصروفات حسب الشهر'!$C$890:$AD$999,16,FALSE),0)</f>
        <v>0</v>
      </c>
      <c r="L126" s="362">
        <f>IFERROR(VLOOKUP(C126,'تقرير المصروفات حسب الشهر'!$C$1016:$AD$1126,16,FALSE),0)</f>
        <v>0</v>
      </c>
      <c r="M126" s="376">
        <f>IFERROR(VLOOKUP(C126,'تقرير المصروفات حسب الشهر'!$C$1143:$AD$1254,16,FALSE),0)</f>
        <v>0</v>
      </c>
      <c r="N126" s="376">
        <f>IFERROR(VLOOKUP(C126,'تقرير المصروفات حسب الشهر'!$C$1270:$AD$1381,16,FALSE),0)</f>
        <v>0</v>
      </c>
      <c r="O126" s="376">
        <f>IFERROR(VLOOKUP(C126,'تقرير المصروفات حسب الشهر'!$C$1397:$AI$1512,16,FALSE),0)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الشهر'!$C$10:$AD$119,16,FALSE),0)</f>
        <v>0</v>
      </c>
      <c r="E127" s="362">
        <f>IFERROR(VLOOKUP(C127,'تقرير المصروفات حسب الشهر'!$C$135:$AD$244,16,FALSE),0)</f>
        <v>0</v>
      </c>
      <c r="F127" s="362">
        <v>0</v>
      </c>
      <c r="G127" s="362">
        <f>IFERROR(VLOOKUP(C127,'تقرير المصروفات حسب الشهر'!$C$387:$AD$495,16,FALSE),0)</f>
        <v>0</v>
      </c>
      <c r="H127" s="362">
        <f>IFERROR(VLOOKUP(C127,'تقرير المصروفات حسب الشهر'!$C$512:$AD$620,16,FALSE),0)</f>
        <v>0</v>
      </c>
      <c r="I127" s="362">
        <f>IFERROR(VLOOKUP(C127,'تقرير المصروفات حسب الشهر'!$C$637:$AD$746,16,FALSE),0)</f>
        <v>0</v>
      </c>
      <c r="J127" s="362">
        <f>IFERROR(VLOOKUP(C127,'تقرير المصروفات حسب الشهر'!$C$763:$AD$872,16,FALSE),0)</f>
        <v>0</v>
      </c>
      <c r="K127" s="362">
        <f>IFERROR(VLOOKUP(C127,'تقرير المصروفات حسب الشهر'!$C$890:$AD$999,16,FALSE),0)</f>
        <v>0</v>
      </c>
      <c r="L127" s="362">
        <f>IFERROR(VLOOKUP(C127,'تقرير المصروفات حسب الشهر'!$C$1016:$AD$1126,16,FALSE),0)</f>
        <v>0</v>
      </c>
      <c r="M127" s="376">
        <f>IFERROR(VLOOKUP(C127,'تقرير المصروفات حسب الشهر'!$C$1143:$AD$1254,16,FALSE),0)</f>
        <v>0</v>
      </c>
      <c r="N127" s="376">
        <f>IFERROR(VLOOKUP(C127,'تقرير المصروفات حسب الشهر'!$C$1270:$AD$1381,16,FALSE),0)</f>
        <v>0</v>
      </c>
      <c r="O127" s="376">
        <f>IFERROR(VLOOKUP(C127,'تقرير المصروفات حسب الشهر'!$C$1397:$AI$1512,16,FALSE),0)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الشهر'!$C$10:$AD$119,16,FALSE),0)</f>
        <v>0</v>
      </c>
      <c r="E128" s="362">
        <f>IFERROR(VLOOKUP(C128,'تقرير المصروفات حسب الشهر'!$C$135:$AD$244,16,FALSE),0)</f>
        <v>0</v>
      </c>
      <c r="F128" s="362">
        <v>0</v>
      </c>
      <c r="G128" s="362">
        <f>IFERROR(VLOOKUP(C128,'تقرير المصروفات حسب الشهر'!$C$387:$AD$495,16,FALSE),0)</f>
        <v>0</v>
      </c>
      <c r="H128" s="362">
        <f>IFERROR(VLOOKUP(C128,'تقرير المصروفات حسب الشهر'!$C$512:$AD$620,16,FALSE),0)</f>
        <v>0</v>
      </c>
      <c r="I128" s="362">
        <f>IFERROR(VLOOKUP(C128,'تقرير المصروفات حسب الشهر'!$C$637:$AD$746,16,FALSE),0)</f>
        <v>0</v>
      </c>
      <c r="J128" s="362">
        <f>IFERROR(VLOOKUP(C128,'تقرير المصروفات حسب الشهر'!$C$763:$AD$872,16,FALSE),0)</f>
        <v>0</v>
      </c>
      <c r="K128" s="362">
        <f>IFERROR(VLOOKUP(C128,'تقرير المصروفات حسب الشهر'!$C$890:$AD$999,16,FALSE),0)</f>
        <v>0</v>
      </c>
      <c r="L128" s="362">
        <f>IFERROR(VLOOKUP(C128,'تقرير المصروفات حسب الشهر'!$C$1016:$AD$1126,16,FALSE),0)</f>
        <v>0</v>
      </c>
      <c r="M128" s="376">
        <f>IFERROR(VLOOKUP(C128,'تقرير المصروفات حسب الشهر'!$C$1143:$AD$1254,16,FALSE),0)</f>
        <v>0</v>
      </c>
      <c r="N128" s="376">
        <f>IFERROR(VLOOKUP(C128,'تقرير المصروفات حسب الشهر'!$C$1270:$AD$1381,16,FALSE),0)</f>
        <v>0</v>
      </c>
      <c r="O128" s="376">
        <f>IFERROR(VLOOKUP(C128,'تقرير المصروفات حسب الشهر'!$C$1397:$AI$1512,16,FALSE),0)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الشهر'!$C$10:$AD$119,16,FALSE),0)</f>
        <v>1387.5</v>
      </c>
      <c r="E129" s="362">
        <f>IFERROR(VLOOKUP(C129,'تقرير المصروفات حسب الشهر'!$C$135:$AD$244,16,FALSE),0)</f>
        <v>1387.5</v>
      </c>
      <c r="F129" s="362">
        <v>1387.5</v>
      </c>
      <c r="G129" s="362">
        <f>IFERROR(VLOOKUP(C129,'تقرير المصروفات حسب الشهر'!$C$387:$AD$495,16,FALSE),0)</f>
        <v>1387.5</v>
      </c>
      <c r="H129" s="362">
        <f>IFERROR(VLOOKUP(C129,'تقرير المصروفات حسب الشهر'!$C$512:$AD$620,16,FALSE),0)</f>
        <v>1387.5</v>
      </c>
      <c r="I129" s="362">
        <f>IFERROR(VLOOKUP(C129,'تقرير المصروفات حسب الشهر'!$C$637:$AD$746,16,FALSE),0)</f>
        <v>1388</v>
      </c>
      <c r="J129" s="362">
        <f>IFERROR(VLOOKUP(C129,'تقرير المصروفات حسب الشهر'!$C$763:$AD$872,16,FALSE),0)</f>
        <v>1387.5</v>
      </c>
      <c r="K129" s="362">
        <f>IFERROR(VLOOKUP(C129,'تقرير المصروفات حسب الشهر'!$C$890:$AD$999,16,FALSE),0)</f>
        <v>1387.5</v>
      </c>
      <c r="L129" s="362">
        <f>IFERROR(VLOOKUP(C129,'تقرير المصروفات حسب الشهر'!$C$1016:$AD$1126,16,FALSE),0)</f>
        <v>1387.5</v>
      </c>
      <c r="M129" s="376">
        <f>IFERROR(VLOOKUP(C129,'تقرير المصروفات حسب الشهر'!$C$1143:$AD$1254,16,FALSE),0)</f>
        <v>1387.5</v>
      </c>
      <c r="N129" s="376">
        <f>IFERROR(VLOOKUP(C129,'تقرير المصروفات حسب الشهر'!$C$1270:$AD$1381,16,FALSE),0)</f>
        <v>1387.5</v>
      </c>
      <c r="O129" s="376">
        <f>IFERROR(VLOOKUP(C129,'تقرير المصروفات حسب الشهر'!$C$1397:$AI$1512,16,FALSE),0)</f>
        <v>1387.5</v>
      </c>
      <c r="P129" s="364">
        <f t="shared" si="6"/>
        <v>16650.5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الشهر'!$C$10:$AD$119,16,FALSE),0)</f>
        <v>0</v>
      </c>
      <c r="E130" s="362">
        <f>IFERROR(VLOOKUP(C130,'تقرير المصروفات حسب الشهر'!$C$135:$AD$244,16,FALSE),0)</f>
        <v>0</v>
      </c>
      <c r="F130" s="362">
        <v>0</v>
      </c>
      <c r="G130" s="362">
        <f>IFERROR(VLOOKUP(C130,'تقرير المصروفات حسب الشهر'!$C$387:$AD$495,16,FALSE),0)</f>
        <v>0</v>
      </c>
      <c r="H130" s="362">
        <f>IFERROR(VLOOKUP(C130,'تقرير المصروفات حسب الشهر'!$C$512:$AD$620,16,FALSE),0)</f>
        <v>0</v>
      </c>
      <c r="I130" s="362">
        <f>IFERROR(VLOOKUP(C130,'تقرير المصروفات حسب الشهر'!$C$637:$AD$746,16,FALSE),0)</f>
        <v>0</v>
      </c>
      <c r="J130" s="362">
        <f>IFERROR(VLOOKUP(C130,'تقرير المصروفات حسب الشهر'!$C$763:$AD$872,16,FALSE),0)</f>
        <v>0</v>
      </c>
      <c r="K130" s="362">
        <f>IFERROR(VLOOKUP(C130,'تقرير المصروفات حسب الشهر'!$C$890:$AD$999,16,FALSE),0)</f>
        <v>0</v>
      </c>
      <c r="L130" s="362">
        <f>IFERROR(VLOOKUP(C130,'تقرير المصروفات حسب الشهر'!$C$1016:$AI$1131,16,FALSE),0)</f>
        <v>0</v>
      </c>
      <c r="M130" s="376">
        <f>IFERROR(VLOOKUP(C130,'تقرير المصروفات حسب الشهر'!$C$1143:$AD$1254,16,FALSE),0)</f>
        <v>0</v>
      </c>
      <c r="N130" s="376">
        <f>IFERROR(VLOOKUP(C130,'تقرير المصروفات حسب الشهر'!$C$1270:$AD$1381,16,FALSE),0)</f>
        <v>0</v>
      </c>
      <c r="O130" s="376">
        <f>IFERROR(VLOOKUP(C130,'تقرير المصروفات حسب الشهر'!$C$1397:$AI$1512,16,FALSE),0)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الشهر'!$C$10:$AD$119,16,FALSE),0)</f>
        <v>0</v>
      </c>
      <c r="E131" s="362">
        <f>IFERROR(VLOOKUP(C131,'تقرير المصروفات حسب الشهر'!$C$135:$AD$244,16,FALSE),0)</f>
        <v>0</v>
      </c>
      <c r="F131" s="362">
        <v>0</v>
      </c>
      <c r="G131" s="362">
        <f>IFERROR(VLOOKUP(C131,'تقرير المصروفات حسب الشهر'!$C$387:$AD$495,16,FALSE),0)</f>
        <v>0</v>
      </c>
      <c r="H131" s="362">
        <f>IFERROR(VLOOKUP(C131,'تقرير المصروفات حسب الشهر'!$C$512:$AD$620,16,FALSE),0)</f>
        <v>0</v>
      </c>
      <c r="I131" s="362">
        <f>IFERROR(VLOOKUP(C131,'تقرير المصروفات حسب الشهر'!$C$637:$AD$746,16,FALSE),0)</f>
        <v>0</v>
      </c>
      <c r="J131" s="362">
        <f>IFERROR(VLOOKUP(C131,'تقرير المصروفات حسب الشهر'!$C$763:$AD$872,16,FALSE),0)</f>
        <v>0</v>
      </c>
      <c r="K131" s="362">
        <f>IFERROR(VLOOKUP(C131,'تقرير المصروفات حسب الشهر'!$C$890:$AD$999,16,FALSE),0)</f>
        <v>0</v>
      </c>
      <c r="L131" s="362">
        <f>IFERROR(VLOOKUP(C131,'تقرير المصروفات حسب الشهر'!$C$1016:$AI$1131,16,FALSE),0)</f>
        <v>0</v>
      </c>
      <c r="M131" s="376">
        <f>IFERROR(VLOOKUP(C131,'تقرير المصروفات حسب الشهر'!$C$1143:$AD$1254,16,FALSE),0)</f>
        <v>0</v>
      </c>
      <c r="N131" s="376">
        <f>IFERROR(VLOOKUP(C131,'تقرير المصروفات حسب الشهر'!$C$1270:$AD$1381,16,FALSE),0)</f>
        <v>0</v>
      </c>
      <c r="O131" s="376">
        <f>IFERROR(VLOOKUP(C131,'تقرير المصروفات حسب الشهر'!$C$1397:$AI$1512,16,FALSE),0)</f>
        <v>0</v>
      </c>
      <c r="P131" s="364">
        <f t="shared" si="6"/>
        <v>0</v>
      </c>
    </row>
    <row r="132" spans="1:17" ht="18" customHeight="1">
      <c r="B132" s="124"/>
      <c r="C132" s="341" t="s">
        <v>360</v>
      </c>
      <c r="D132" s="362">
        <f>IFERROR(VLOOKUP(C132,'تقرير المصروفات حسب الشهر'!$C$10:$AD$124,16,FALSE),0)</f>
        <v>3.6</v>
      </c>
      <c r="E132" s="362">
        <f>IFERROR(VLOOKUP(C132,'تقرير المصروفات حسب الشهر'!$C$135:$AD$252,16,FALSE),0)</f>
        <v>36.020000000000003</v>
      </c>
      <c r="F132" s="362">
        <v>4.08</v>
      </c>
      <c r="G132" s="362">
        <f>IFERROR(VLOOKUP(C132,'تقرير المصروفات حسب الشهر'!$C$387:$AD$503,16,FALSE),0)</f>
        <v>0</v>
      </c>
      <c r="H132" s="362">
        <f>IFERROR(VLOOKUP(C132,'تقرير المصروفات حسب الشهر'!$C$512:$AD$622,16,FALSE),0)</f>
        <v>50.2</v>
      </c>
      <c r="I132" s="362">
        <f>IFERROR(VLOOKUP(C132,'تقرير المصروفات حسب الشهر'!$C$637:$AD$746,16,FALSE),0)</f>
        <v>0</v>
      </c>
      <c r="J132" s="362">
        <f>IFERROR(VLOOKUP(C132,'تقرير المصروفات حسب الشهر'!$C$763:$AD$877,16,FALSE),0)</f>
        <v>96.05</v>
      </c>
      <c r="K132" s="362">
        <f>IFERROR(VLOOKUP(C132,'تقرير المصروفات حسب الشهر'!$C$890:$AD$1007,16,FALSE),0)</f>
        <v>154.47999999999999</v>
      </c>
      <c r="L132" s="362">
        <f>IFERROR(VLOOKUP(C132,'تقرير المصروفات حسب الشهر'!$C$1016:$AI$1131,16,FALSE),0)</f>
        <v>53.98</v>
      </c>
      <c r="M132" s="376">
        <f>IFERROR(VLOOKUP(C132,'تقرير المصروفات حسب الشهر'!$C$1143:$AD$1254,16,FALSE),0)</f>
        <v>0</v>
      </c>
      <c r="N132" s="376">
        <f>IFERROR(VLOOKUP(C132,'تقرير المصروفات حسب الشهر'!$C$1270:$AD$1381,16,FALSE),0)</f>
        <v>0</v>
      </c>
      <c r="O132" s="376">
        <f>IFERROR(VLOOKUP(C132,'تقرير المصروفات حسب الشهر'!$C$1397:$AI$1512,16,FALSE),0)</f>
        <v>0</v>
      </c>
      <c r="P132" s="436"/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الشهر'!$C$763:$AD$877,16,FALSE),0)</f>
        <v>35</v>
      </c>
      <c r="K133" s="362">
        <f>IFERROR(VLOOKUP(C133,'تقرير المصروفات حسب الشهر'!$C$890:$AD$1007,16,FALSE),0)</f>
        <v>0</v>
      </c>
      <c r="L133" s="362">
        <f>IFERROR(VLOOKUP(C133,'تقرير المصروفات حسب الشهر'!$C$1016:$AI$1131,16,FALSE),0)</f>
        <v>0</v>
      </c>
      <c r="M133" s="376">
        <f>IFERROR(VLOOKUP(C133,'تقرير المصروفات حسب الشهر'!$C$1143:$AD$1260,16,FALSE),0)</f>
        <v>0</v>
      </c>
      <c r="N133" s="500"/>
      <c r="O133" s="376">
        <f>IFERROR(VLOOKUP(C133,'تقرير المصروفات حسب الشهر'!$C$1397:$AI$1512,16,FALSE),0)</f>
        <v>0</v>
      </c>
      <c r="P133" s="436"/>
    </row>
    <row r="134" spans="1:17" ht="18" customHeight="1">
      <c r="B134" s="124"/>
      <c r="C134" s="149" t="s">
        <v>270</v>
      </c>
      <c r="D134" s="146">
        <f t="shared" ref="D134:I134" si="7">SUM(D22:D132)</f>
        <v>90131.67</v>
      </c>
      <c r="E134" s="146">
        <f t="shared" si="7"/>
        <v>66761.440000000002</v>
      </c>
      <c r="F134" s="146">
        <f t="shared" si="7"/>
        <v>111160.83000000002</v>
      </c>
      <c r="G134" s="146">
        <f t="shared" si="7"/>
        <v>103666.95</v>
      </c>
      <c r="H134" s="146">
        <f t="shared" si="7"/>
        <v>113655.19</v>
      </c>
      <c r="I134" s="146">
        <f t="shared" si="7"/>
        <v>97791.880000000019</v>
      </c>
      <c r="J134" s="146">
        <f t="shared" ref="J134:O134" si="8">SUM(J22:J133)</f>
        <v>82936.710000000021</v>
      </c>
      <c r="K134" s="146">
        <f t="shared" si="8"/>
        <v>114273.95</v>
      </c>
      <c r="L134" s="146">
        <f t="shared" si="8"/>
        <v>101215.69</v>
      </c>
      <c r="M134" s="146">
        <f t="shared" si="8"/>
        <v>104672.95999999999</v>
      </c>
      <c r="N134" s="146">
        <f t="shared" si="8"/>
        <v>99823.480000000025</v>
      </c>
      <c r="O134" s="146">
        <f t="shared" si="8"/>
        <v>127477.73999999999</v>
      </c>
      <c r="P134" s="388">
        <f t="shared" si="6"/>
        <v>1213568.49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124085.63999999996</v>
      </c>
      <c r="E136" s="392">
        <f t="shared" si="9"/>
        <v>144628.92000000019</v>
      </c>
      <c r="F136" s="392">
        <f t="shared" si="9"/>
        <v>131144.66999999998</v>
      </c>
      <c r="G136" s="392">
        <f t="shared" si="9"/>
        <v>212463.83000000013</v>
      </c>
      <c r="H136" s="392">
        <f t="shared" si="9"/>
        <v>160175.40999999997</v>
      </c>
      <c r="I136" s="392">
        <f t="shared" si="9"/>
        <v>238236.93000000005</v>
      </c>
      <c r="J136" s="392">
        <f t="shared" si="9"/>
        <v>230336.68000000002</v>
      </c>
      <c r="K136" s="392">
        <f t="shared" si="9"/>
        <v>256257.45999999996</v>
      </c>
      <c r="L136" s="392">
        <f t="shared" si="9"/>
        <v>223639.63</v>
      </c>
      <c r="M136" s="392">
        <f t="shared" si="9"/>
        <v>171217.53000000009</v>
      </c>
      <c r="N136" s="392">
        <f t="shared" si="9"/>
        <v>158112.05000000005</v>
      </c>
      <c r="O136" s="392">
        <f t="shared" si="9"/>
        <v>178655.74</v>
      </c>
      <c r="P136" s="388">
        <f t="shared" si="6"/>
        <v>2228954.4900000002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33953.969999999958</v>
      </c>
      <c r="E139" s="383">
        <f t="shared" ref="E139:O139" si="10">E136-E134</f>
        <v>77867.480000000185</v>
      </c>
      <c r="F139" s="383">
        <f t="shared" si="10"/>
        <v>19983.839999999967</v>
      </c>
      <c r="G139" s="383">
        <f t="shared" si="10"/>
        <v>108796.88000000014</v>
      </c>
      <c r="H139" s="383">
        <f t="shared" si="10"/>
        <v>46520.219999999972</v>
      </c>
      <c r="I139" s="383">
        <f t="shared" si="10"/>
        <v>140445.05000000005</v>
      </c>
      <c r="J139" s="383">
        <f t="shared" si="10"/>
        <v>147399.97</v>
      </c>
      <c r="K139" s="383">
        <f t="shared" si="10"/>
        <v>141983.50999999995</v>
      </c>
      <c r="L139" s="383">
        <f t="shared" si="10"/>
        <v>122423.94</v>
      </c>
      <c r="M139" s="383">
        <f t="shared" si="10"/>
        <v>66544.570000000094</v>
      </c>
      <c r="N139" s="383">
        <f t="shared" si="10"/>
        <v>58288.570000000022</v>
      </c>
      <c r="O139" s="383">
        <f t="shared" si="10"/>
        <v>51178</v>
      </c>
      <c r="P139" s="387">
        <f>SUM(D139:O139)</f>
        <v>1015386.0000000002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G143" s="238">
        <f>108796.88-G139</f>
        <v>-1.3096723705530167E-10</v>
      </c>
    </row>
    <row r="144" spans="1:17">
      <c r="N144" s="415">
        <f>N139-20130</f>
        <v>38158.570000000022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6">
    <tabColor rgb="FFFFC000"/>
  </sheetPr>
  <dimension ref="A1:T146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347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175</v>
      </c>
      <c r="B8" s="390"/>
      <c r="C8" s="369" t="s">
        <v>114</v>
      </c>
      <c r="D8" s="364">
        <f>D9+D10+D11</f>
        <v>4428696.01</v>
      </c>
      <c r="E8" s="364">
        <f t="shared" ref="E8:O8" si="0">E9+E10+E11</f>
        <v>3813168.48</v>
      </c>
      <c r="F8" s="364">
        <f t="shared" si="0"/>
        <v>4628630.37</v>
      </c>
      <c r="G8" s="364">
        <f t="shared" si="0"/>
        <v>5767840.7999999998</v>
      </c>
      <c r="H8" s="364">
        <f t="shared" si="0"/>
        <v>5278462.8</v>
      </c>
      <c r="I8" s="364">
        <f t="shared" si="0"/>
        <v>5881537.8500000006</v>
      </c>
      <c r="J8" s="364">
        <f t="shared" si="0"/>
        <v>6178618.1500000004</v>
      </c>
      <c r="K8" s="364">
        <f t="shared" si="0"/>
        <v>6288681.6399999997</v>
      </c>
      <c r="L8" s="364">
        <f t="shared" si="0"/>
        <v>6198685.0000000009</v>
      </c>
      <c r="M8" s="364">
        <f t="shared" si="0"/>
        <v>7006826.9100000001</v>
      </c>
      <c r="N8" s="364">
        <f t="shared" si="0"/>
        <v>6960110.2899999991</v>
      </c>
      <c r="O8" s="364">
        <f t="shared" si="0"/>
        <v>7481323.5300000003</v>
      </c>
      <c r="P8" s="364">
        <f>SUM(D8:O8)</f>
        <v>69912581.829999998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2673575.81</v>
      </c>
      <c r="E9" s="365">
        <f>VLOOKUP($A$8,'تقرير إحصائية بحجم المبيعات'!$B$42:$G$73,2,FALSE)</f>
        <v>2386322.75</v>
      </c>
      <c r="F9" s="365">
        <f>VLOOKUP($A$8,'تقرير إحصائية بحجم المبيعات'!$B$78:$E$103,2,FALSE)</f>
        <v>2837223.81</v>
      </c>
      <c r="G9" s="365">
        <f>VLOOKUP($A$8,'تقرير إحصائية بحجم المبيعات'!$B$112:$G$137,2,FALSE)</f>
        <v>3432923.98</v>
      </c>
      <c r="H9" s="365">
        <f>VLOOKUP($A$8,'تقرير إحصائية بحجم المبيعات'!$B$147:$G$177,2,FALSE)</f>
        <v>3507931.4899999998</v>
      </c>
      <c r="I9" s="365">
        <f>VLOOKUP($A$8,'تقرير إحصائية بحجم المبيعات'!$B$182:$G$212,2,FALSE)</f>
        <v>3863395.9200000009</v>
      </c>
      <c r="J9" s="365">
        <f>VLOOKUP($A$8,'تقرير إحصائية بحجم المبيعات'!$B$217:$L$243,2,FALSE)</f>
        <v>4002342.83</v>
      </c>
      <c r="K9" s="365">
        <f>VLOOKUP($A$8,'تقرير إحصائية بحجم المبيعات'!$B$252:$L$278,2,FALSE)</f>
        <v>4404386.3899999997</v>
      </c>
      <c r="L9" s="365">
        <f>VLOOKUP($A$8,'تقرير إحصائية بحجم المبيعات'!$B$287:$L$313,2,FALSE)</f>
        <v>4284154.8800000008</v>
      </c>
      <c r="M9" s="365">
        <f>VLOOKUP($A$8,'تقرير إحصائية بحجم المبيعات'!$B$322:$L$347,2,FALSE)</f>
        <v>4747417.59</v>
      </c>
      <c r="N9" s="365">
        <f>VLOOKUP($A$8,'تقرير إحصائية بحجم المبيعات'!$B$357:$L$383,2,FALSE)</f>
        <v>4955129.3199999994</v>
      </c>
      <c r="O9" s="365">
        <f>VLOOKUP($A$8,'تقرير إحصائية بحجم المبيعات'!$B$391:$L$420,2,FALSE)</f>
        <v>5126415.2300000004</v>
      </c>
      <c r="P9" s="364">
        <f t="shared" ref="P9:P18" si="1">SUM(D9:O9)</f>
        <v>46221220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697477.14</v>
      </c>
      <c r="E10" s="365">
        <f>VLOOKUP($A$8,'تقرير إحصائية بحجم المبيعات'!$B$42:$G$73,3,FALSE)</f>
        <v>714134.81</v>
      </c>
      <c r="F10" s="365">
        <f>VLOOKUP($A$8,'تقرير إحصائية بحجم المبيعات'!$B$78:$E$103,3,FALSE)</f>
        <v>829599.18</v>
      </c>
      <c r="G10" s="365">
        <f>VLOOKUP($A$8,'تقرير إحصائية بحجم المبيعات'!$B$112:$G$137,3,FALSE)</f>
        <v>870141.39</v>
      </c>
      <c r="H10" s="365">
        <f>VLOOKUP($A$8,'تقرير إحصائية بحجم المبيعات'!$B$147:$G$177,3,FALSE)</f>
        <v>894607.13</v>
      </c>
      <c r="I10" s="365">
        <f>VLOOKUP($A$8,'تقرير إحصائية بحجم المبيعات'!$B$182:$G$212,3,FALSE)</f>
        <v>906589.3</v>
      </c>
      <c r="J10" s="365">
        <f>VLOOKUP($A$8,'تقرير إحصائية بحجم المبيعات'!$B$217:$L$243,3,FALSE)</f>
        <v>884226.28</v>
      </c>
      <c r="K10" s="365">
        <f>VLOOKUP($A$8,'تقرير إحصائية بحجم المبيعات'!$B$252:$L$278,3,FALSE)</f>
        <v>997368.4</v>
      </c>
      <c r="L10" s="365">
        <f>VLOOKUP($A$8,'تقرير إحصائية بحجم المبيعات'!$B$287:$L$313,3,FALSE)</f>
        <v>1026793.23</v>
      </c>
      <c r="M10" s="365">
        <f>VLOOKUP($A$8,'تقرير إحصائية بحجم المبيعات'!$B$322:$L$347,3,FALSE)</f>
        <v>1191147.3700000001</v>
      </c>
      <c r="N10" s="365">
        <f>VLOOKUP($A$8,'تقرير إحصائية بحجم المبيعات'!$B$357:$L$383,3,FALSE)</f>
        <v>1155572.73</v>
      </c>
      <c r="O10" s="365">
        <f>VLOOKUP($A$8,'تقرير إحصائية بحجم المبيعات'!$B$391:$L$420,3,FALSE)</f>
        <v>1159154.68</v>
      </c>
      <c r="P10" s="364">
        <f t="shared" si="1"/>
        <v>11326811.640000001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1057643.06</v>
      </c>
      <c r="E11" s="365">
        <f>VLOOKUP($A$8,'تقرير إحصائية بحجم المبيعات'!$B$42:$G$73,4,FALSE)</f>
        <v>712710.92</v>
      </c>
      <c r="F11" s="365">
        <f>VLOOKUP($A$8,'تقرير إحصائية بحجم المبيعات'!$B$78:$E$103,4,FALSE)</f>
        <v>961807.38</v>
      </c>
      <c r="G11" s="365">
        <f>VLOOKUP($A$8,'تقرير إحصائية بحجم المبيعات'!$B$112:$G$137,4,FALSE)</f>
        <v>1464775.43</v>
      </c>
      <c r="H11" s="365">
        <f>VLOOKUP($A$8,'تقرير إحصائية بحجم المبيعات'!$B$147:$G$177,4,FALSE)</f>
        <v>875924.18</v>
      </c>
      <c r="I11" s="365">
        <f>VLOOKUP($A$8,'تقرير إحصائية بحجم المبيعات'!$B$182:$G$212,4,FALSE)</f>
        <v>1111552.6299999999</v>
      </c>
      <c r="J11" s="365">
        <f>VLOOKUP($A$8,'تقرير إحصائية بحجم المبيعات'!$B$217:$L$243,4,FALSE)</f>
        <v>1292049.04</v>
      </c>
      <c r="K11" s="365">
        <f>VLOOKUP($A$8,'تقرير إحصائية بحجم المبيعات'!$B$252:$L$278,4,FALSE)</f>
        <v>886926.85</v>
      </c>
      <c r="L11" s="365">
        <f>VLOOKUP($A$8,'تقرير إحصائية بحجم المبيعات'!$B$287:$L$313,4,FALSE)</f>
        <v>887736.89</v>
      </c>
      <c r="M11" s="365">
        <f>VLOOKUP($A$8,'تقرير إحصائية بحجم المبيعات'!$B$322:$L$347,4,FALSE)</f>
        <v>1068261.95</v>
      </c>
      <c r="N11" s="365">
        <f>VLOOKUP($A$8,'تقرير إحصائية بحجم المبيعات'!$B$357:$L$383,4,FALSE)</f>
        <v>849408.24</v>
      </c>
      <c r="O11" s="365">
        <f>VLOOKUP($A$8,'تقرير إحصائية بحجم المبيعات'!$B$391:$L$420,4,FALSE)</f>
        <v>1195753.6200000001</v>
      </c>
      <c r="P11" s="364">
        <f t="shared" si="1"/>
        <v>12364550.189999998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3515177</v>
      </c>
      <c r="E12" s="364">
        <f>VLOOKUP($A$8,'تقرير إحصائية بحجم المبيعات'!$B$42:$L$73,11,FALSE)</f>
        <v>2984451.71</v>
      </c>
      <c r="F12" s="364">
        <f>VLOOKUP($A$8,'تقرير إحصائية بحجم المبيعات'!$B$78:$L$103,11,FALSE)</f>
        <v>3669554.91</v>
      </c>
      <c r="G12" s="364">
        <f>VLOOKUP($A$8,'تقرير إحصائية بحجم المبيعات'!$B$112:$L$137,11,FALSE)</f>
        <v>4565672.88</v>
      </c>
      <c r="H12" s="364">
        <f>VLOOKUP($A$8,'تقرير إحصائية بحجم المبيعات'!$B$147:$L$177,11,FALSE)</f>
        <v>4185130.34</v>
      </c>
      <c r="I12" s="364">
        <f>VLOOKUP($A$8,'تقرير إحصائية بحجم المبيعات'!$B$182:$L$212,11,FALSE)</f>
        <v>4634280.24</v>
      </c>
      <c r="J12" s="365">
        <f>VLOOKUP($A$8,'تقرير إحصائية بحجم المبيعات'!$B$217:$L$243,11,FALSE)</f>
        <v>4811493.2</v>
      </c>
      <c r="K12" s="364">
        <f>VLOOKUP($A$8,'تقرير إحصائية بحجم المبيعات'!$B$252:$L$278,11,FALSE)</f>
        <v>4920386.49</v>
      </c>
      <c r="L12" s="364">
        <f>VLOOKUP($A$8,'تقرير إحصائية بحجم المبيعات'!$B$287:$L$313,11,FALSE)</f>
        <v>4846244.3499999996</v>
      </c>
      <c r="M12" s="365">
        <f>VLOOKUP($A$8,'تقرير إحصائية بحجم المبيعات'!$B$322:$L$347,11,FALSE)</f>
        <v>5478297.4800000004</v>
      </c>
      <c r="N12" s="365">
        <f>VLOOKUP($A$8,'تقرير إحصائية بحجم المبيعات'!$B$357:$L$383,11,FALSE)</f>
        <v>5490783.0599999996</v>
      </c>
      <c r="O12" s="365">
        <f>VLOOKUP($A$8,'تقرير إحصائية بحجم المبيعات'!$B$391:$L$420,11,FALSE)</f>
        <v>5881231.5899999999</v>
      </c>
      <c r="P12" s="364">
        <f t="shared" si="1"/>
        <v>54982703.25</v>
      </c>
    </row>
    <row r="13" spans="1:20" ht="18" customHeight="1">
      <c r="B13" s="124"/>
      <c r="C13" s="371" t="s">
        <v>14</v>
      </c>
      <c r="D13" s="366">
        <f t="shared" ref="D13:O13" si="2">D8-D12</f>
        <v>913519.00999999978</v>
      </c>
      <c r="E13" s="366">
        <f t="shared" si="2"/>
        <v>828716.77</v>
      </c>
      <c r="F13" s="366">
        <f t="shared" si="2"/>
        <v>959075.46</v>
      </c>
      <c r="G13" s="366">
        <f t="shared" si="2"/>
        <v>1202167.92</v>
      </c>
      <c r="H13" s="366">
        <f t="shared" si="2"/>
        <v>1093332.46</v>
      </c>
      <c r="I13" s="366">
        <f t="shared" si="2"/>
        <v>1247257.6100000003</v>
      </c>
      <c r="J13" s="366">
        <f t="shared" si="2"/>
        <v>1367124.9500000002</v>
      </c>
      <c r="K13" s="366">
        <f t="shared" si="2"/>
        <v>1368295.1499999994</v>
      </c>
      <c r="L13" s="366">
        <f t="shared" si="2"/>
        <v>1352440.6500000013</v>
      </c>
      <c r="M13" s="366">
        <f t="shared" si="2"/>
        <v>1528529.4299999997</v>
      </c>
      <c r="N13" s="366">
        <f t="shared" si="2"/>
        <v>1469327.2299999995</v>
      </c>
      <c r="O13" s="366">
        <f t="shared" si="2"/>
        <v>1600091.9400000004</v>
      </c>
      <c r="P13" s="366">
        <f t="shared" si="1"/>
        <v>14929878.580000002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26.8</v>
      </c>
      <c r="E16" s="367">
        <v>0.56999999999999995</v>
      </c>
      <c r="F16" s="367">
        <v>411.14000000000237</v>
      </c>
      <c r="G16" s="367">
        <v>45.389999999999986</v>
      </c>
      <c r="H16" s="367">
        <v>6828.4100000000035</v>
      </c>
      <c r="I16" s="367">
        <v>311.84000000000003</v>
      </c>
      <c r="J16" s="367"/>
      <c r="K16" s="367"/>
      <c r="L16" s="367"/>
      <c r="M16" s="367"/>
      <c r="N16" s="367"/>
      <c r="O16" s="367"/>
      <c r="P16" s="364">
        <f t="shared" si="1"/>
        <v>7624.150000000006</v>
      </c>
    </row>
    <row r="17" spans="2:16" ht="18" customHeight="1">
      <c r="B17" s="124"/>
      <c r="C17" s="369" t="s">
        <v>119</v>
      </c>
      <c r="D17" s="367">
        <v>0.92</v>
      </c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0.92</v>
      </c>
    </row>
    <row r="18" spans="2:16" ht="18" customHeight="1">
      <c r="B18" s="124"/>
      <c r="C18" s="372" t="s">
        <v>269</v>
      </c>
      <c r="D18" s="363">
        <f>SUM(D14:D17)</f>
        <v>27.720000000000002</v>
      </c>
      <c r="E18" s="363">
        <f t="shared" ref="E18:O18" si="3">SUM(E14:E17)</f>
        <v>0.56999999999999995</v>
      </c>
      <c r="F18" s="363">
        <f t="shared" si="3"/>
        <v>411.14000000000237</v>
      </c>
      <c r="G18" s="363">
        <f t="shared" si="3"/>
        <v>45.389999999999986</v>
      </c>
      <c r="H18" s="363">
        <f t="shared" si="3"/>
        <v>6828.4100000000035</v>
      </c>
      <c r="I18" s="363">
        <f t="shared" si="3"/>
        <v>311.84000000000003</v>
      </c>
      <c r="J18" s="363">
        <f t="shared" si="3"/>
        <v>0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 t="shared" si="3"/>
        <v>0</v>
      </c>
      <c r="O18" s="368">
        <f t="shared" si="3"/>
        <v>0</v>
      </c>
      <c r="P18" s="364">
        <f t="shared" si="1"/>
        <v>7625.0700000000061</v>
      </c>
    </row>
    <row r="19" spans="2:16" ht="18" customHeight="1">
      <c r="B19" s="124"/>
      <c r="C19" s="386" t="s">
        <v>14</v>
      </c>
      <c r="D19" s="374">
        <f t="shared" ref="D19:O19" si="4">D13+D18</f>
        <v>913546.72999999975</v>
      </c>
      <c r="E19" s="374">
        <f t="shared" si="4"/>
        <v>828717.34</v>
      </c>
      <c r="F19" s="374">
        <f t="shared" si="4"/>
        <v>959486.6</v>
      </c>
      <c r="G19" s="374">
        <f t="shared" si="4"/>
        <v>1202213.3099999998</v>
      </c>
      <c r="H19" s="374">
        <f t="shared" si="4"/>
        <v>1100160.8699999999</v>
      </c>
      <c r="I19" s="374">
        <f t="shared" si="4"/>
        <v>1247569.4500000004</v>
      </c>
      <c r="J19" s="374">
        <f t="shared" si="4"/>
        <v>1367124.9500000002</v>
      </c>
      <c r="K19" s="374">
        <f t="shared" si="4"/>
        <v>1368295.1499999994</v>
      </c>
      <c r="L19" s="374">
        <f t="shared" si="4"/>
        <v>1352440.6500000013</v>
      </c>
      <c r="M19" s="374">
        <f t="shared" si="4"/>
        <v>1528529.4299999997</v>
      </c>
      <c r="N19" s="374">
        <f t="shared" si="4"/>
        <v>1469327.2299999995</v>
      </c>
      <c r="O19" s="374">
        <f t="shared" si="4"/>
        <v>1600091.9400000004</v>
      </c>
      <c r="P19" s="382">
        <f>SUM(D19:O19)</f>
        <v>14937503.650000002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الشهر'!$C$10:$AD$119,15,FALSE),0)</f>
        <v>0</v>
      </c>
      <c r="E22" s="362">
        <f>IFERROR(VLOOKUP(C22,'تقرير المصروفات حسب الشهر'!$C$135:$AD$244,15,FALSE),0)</f>
        <v>0</v>
      </c>
      <c r="F22" s="362">
        <v>0</v>
      </c>
      <c r="G22" s="362">
        <f>IFERROR(VLOOKUP(C22,'تقرير المصروفات حسب الشهر'!$C$387:$AD$495,15,FALSE),0)</f>
        <v>0</v>
      </c>
      <c r="H22" s="362">
        <f>IFERROR(VLOOKUP(C22,'تقرير المصروفات حسب الشهر'!$C$512:$AD$620,15,FALSE),0)</f>
        <v>0</v>
      </c>
      <c r="I22" s="362">
        <f>IFERROR(VLOOKUP(C22,'تقرير المصروفات حسب الشهر'!$C$637:$AD$746,15,FALSE),0)</f>
        <v>0</v>
      </c>
      <c r="J22" s="362">
        <f>IFERROR(VLOOKUP(C22,'تقرير المصروفات حسب الشهر'!$C$763:$AD$872,15,FALSE),0)</f>
        <v>0</v>
      </c>
      <c r="K22" s="362">
        <f>IFERROR(VLOOKUP(C22,'تقرير المصروفات حسب الشهر'!$C$890:$AD$999,15,FALSE),0)</f>
        <v>0</v>
      </c>
      <c r="L22" s="362">
        <f>IFERROR(VLOOKUP(C22,'تقرير المصروفات حسب الشهر'!$C$1016:$AD$1126,15,FALSE),0)</f>
        <v>0</v>
      </c>
      <c r="M22" s="376">
        <f>IFERROR(VLOOKUP(C22,'تقرير المصروفات حسب الشهر'!$C$1143:$AD$1254,15,FALSE),0)</f>
        <v>0</v>
      </c>
      <c r="N22" s="376">
        <f>IFERROR(VLOOKUP(C22,'تقرير المصروفات حسب الشهر'!$C$1270:$AD$1381,15,FALSE),0)</f>
        <v>0</v>
      </c>
      <c r="O22" s="376">
        <f>IFERROR(VLOOKUP(C22,'تقرير المصروفات حسب الشهر'!$C$1397:$AI$1512,15,FALSE),0)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الشهر'!$C$10:$AD$119,15,FALSE),0)</f>
        <v>338683.88999999996</v>
      </c>
      <c r="E23" s="362">
        <f>IFERROR(VLOOKUP(C23,'تقرير المصروفات حسب الشهر'!$C$135:$AD$244,15,FALSE),0)</f>
        <v>390468.92000000004</v>
      </c>
      <c r="F23" s="362">
        <v>373906.57</v>
      </c>
      <c r="G23" s="362">
        <f>IFERROR(VLOOKUP(C23,'تقرير المصروفات حسب الشهر'!$C$387:$AD$495,15,FALSE),0)</f>
        <v>403586.22000000003</v>
      </c>
      <c r="H23" s="362">
        <f>IFERROR(VLOOKUP(C23,'تقرير المصروفات حسب الشهر'!$C$512:$AD$620,15,FALSE),0)</f>
        <v>452506.71</v>
      </c>
      <c r="I23" s="362">
        <f>IFERROR(VLOOKUP(C23,'تقرير المصروفات حسب الشهر'!$C$637:$AD$746,15,FALSE),0)</f>
        <v>450500.88</v>
      </c>
      <c r="J23" s="362">
        <f>IFERROR(VLOOKUP(C23,'تقرير المصروفات حسب الشهر'!$C$763:$AD$872,15,FALSE),0)</f>
        <v>458442.54000000004</v>
      </c>
      <c r="K23" s="362">
        <f>IFERROR(VLOOKUP(C23,'تقرير المصروفات حسب الشهر'!$C$890:$AD$999,15,FALSE),0)</f>
        <v>431511.25</v>
      </c>
      <c r="L23" s="362">
        <f>IFERROR(VLOOKUP(C23,'تقرير المصروفات حسب الشهر'!$C$1016:$AD$1126,15,FALSE),0)</f>
        <v>453552.97</v>
      </c>
      <c r="M23" s="376">
        <f>IFERROR(VLOOKUP(C23,'تقرير المصروفات حسب الشهر'!$C$1143:$AD$1254,15,FALSE),0)</f>
        <v>512614.7</v>
      </c>
      <c r="N23" s="376">
        <f>IFERROR(VLOOKUP(C23,'تقرير المصروفات حسب الشهر'!$C$1270:$AD$1381,15,FALSE),0)</f>
        <v>540061.31000000006</v>
      </c>
      <c r="O23" s="376">
        <f>IFERROR(VLOOKUP(C23,'تقرير المصروفات حسب الشهر'!$C$1397:$AI$1512,15,FALSE),0)</f>
        <v>607156.25</v>
      </c>
      <c r="P23" s="364">
        <f t="shared" ref="P23:P86" si="5">SUM(D23:O23)</f>
        <v>5412992.2100000009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الشهر'!$C$10:$AD$119,15,FALSE),0)</f>
        <v>0</v>
      </c>
      <c r="E24" s="362">
        <f>IFERROR(VLOOKUP(C24,'تقرير المصروفات حسب الشهر'!$C$135:$AD$244,15,FALSE),0)</f>
        <v>0</v>
      </c>
      <c r="F24" s="362">
        <v>0</v>
      </c>
      <c r="G24" s="362">
        <f>IFERROR(VLOOKUP(C24,'تقرير المصروفات حسب الشهر'!$C$387:$AD$495,15,FALSE),0)</f>
        <v>11350</v>
      </c>
      <c r="H24" s="362">
        <f>IFERROR(VLOOKUP(C24,'تقرير المصروفات حسب الشهر'!$C$512:$AD$620,15,FALSE),0)</f>
        <v>0</v>
      </c>
      <c r="I24" s="362">
        <f>IFERROR(VLOOKUP(C24,'تقرير المصروفات حسب الشهر'!$C$637:$AD$746,15,FALSE),0)</f>
        <v>0</v>
      </c>
      <c r="J24" s="362">
        <f>IFERROR(VLOOKUP(C24,'تقرير المصروفات حسب الشهر'!$C$763:$AD$872,15,FALSE),0)</f>
        <v>20916</v>
      </c>
      <c r="K24" s="362">
        <f>IFERROR(VLOOKUP(C24,'تقرير المصروفات حسب الشهر'!$C$890:$AD$999,15,FALSE),0)</f>
        <v>0</v>
      </c>
      <c r="L24" s="362">
        <f>IFERROR(VLOOKUP(C24,'تقرير المصروفات حسب الشهر'!$C$1016:$AD$1126,15,FALSE),0)</f>
        <v>27561</v>
      </c>
      <c r="M24" s="376">
        <f>IFERROR(VLOOKUP(C24,'تقرير المصروفات حسب الشهر'!$C$1143:$AD$1254,15,FALSE),0)</f>
        <v>0</v>
      </c>
      <c r="N24" s="376">
        <f>IFERROR(VLOOKUP(C24,'تقرير المصروفات حسب الشهر'!$C$1270:$AD$1381,15,FALSE),0)</f>
        <v>6130</v>
      </c>
      <c r="O24" s="376">
        <f>IFERROR(VLOOKUP(C24,'تقرير المصروفات حسب الشهر'!$C$1397:$AI$1512,15,FALSE),0)</f>
        <v>6615</v>
      </c>
      <c r="P24" s="364">
        <f t="shared" si="5"/>
        <v>72572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الشهر'!$C$10:$AD$119,15,FALSE),0)</f>
        <v>0</v>
      </c>
      <c r="E25" s="362">
        <f>IFERROR(VLOOKUP(C25,'تقرير المصروفات حسب الشهر'!$C$135:$AD$244,15,FALSE),0)</f>
        <v>0</v>
      </c>
      <c r="F25" s="362">
        <v>0</v>
      </c>
      <c r="G25" s="362">
        <f>IFERROR(VLOOKUP(C25,'تقرير المصروفات حسب الشهر'!$C$387:$AD$495,15,FALSE),0)</f>
        <v>0</v>
      </c>
      <c r="H25" s="362">
        <f>IFERROR(VLOOKUP(C25,'تقرير المصروفات حسب الشهر'!$C$512:$AD$620,15,FALSE),0)</f>
        <v>0</v>
      </c>
      <c r="I25" s="362">
        <f>IFERROR(VLOOKUP(C25,'تقرير المصروفات حسب الشهر'!$C$637:$AD$746,15,FALSE),0)</f>
        <v>0</v>
      </c>
      <c r="J25" s="362">
        <f>IFERROR(VLOOKUP(C25,'تقرير المصروفات حسب الشهر'!$C$763:$AD$872,15,FALSE),0)</f>
        <v>0</v>
      </c>
      <c r="K25" s="362">
        <f>IFERROR(VLOOKUP(C25,'تقرير المصروفات حسب الشهر'!$C$890:$AD$999,15,FALSE),0)</f>
        <v>0</v>
      </c>
      <c r="L25" s="362">
        <f>IFERROR(VLOOKUP(C25,'تقرير المصروفات حسب الشهر'!$C$1016:$AD$1126,15,FALSE),0)</f>
        <v>0</v>
      </c>
      <c r="M25" s="376">
        <f>IFERROR(VLOOKUP(C25,'تقرير المصروفات حسب الشهر'!$C$1143:$AD$1254,15,FALSE),0)</f>
        <v>0</v>
      </c>
      <c r="N25" s="376">
        <f>IFERROR(VLOOKUP(C25,'تقرير المصروفات حسب الشهر'!$C$1270:$AD$1381,15,FALSE),0)</f>
        <v>0</v>
      </c>
      <c r="O25" s="376">
        <f>IFERROR(VLOOKUP(C25,'تقرير المصروفات حسب الشهر'!$C$1397:$AI$1512,15,FALSE),0)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الشهر'!$C$10:$AD$119,15,FALSE),0)</f>
        <v>0</v>
      </c>
      <c r="E26" s="362">
        <f>IFERROR(VLOOKUP(C26,'تقرير المصروفات حسب الشهر'!$C$135:$AD$244,15,FALSE),0)</f>
        <v>0</v>
      </c>
      <c r="F26" s="362">
        <v>0</v>
      </c>
      <c r="G26" s="362">
        <f>IFERROR(VLOOKUP(C26,'تقرير المصروفات حسب الشهر'!$C$387:$AD$495,15,FALSE),0)</f>
        <v>0</v>
      </c>
      <c r="H26" s="362">
        <f>IFERROR(VLOOKUP(C26,'تقرير المصروفات حسب الشهر'!$C$512:$AD$620,15,FALSE),0)</f>
        <v>0</v>
      </c>
      <c r="I26" s="362">
        <f>IFERROR(VLOOKUP(C26,'تقرير المصروفات حسب الشهر'!$C$637:$AD$746,15,FALSE),0)</f>
        <v>0</v>
      </c>
      <c r="J26" s="362">
        <f>IFERROR(VLOOKUP(C26,'تقرير المصروفات حسب الشهر'!$C$763:$AD$872,15,FALSE),0)</f>
        <v>0</v>
      </c>
      <c r="K26" s="362">
        <f>IFERROR(VLOOKUP(C26,'تقرير المصروفات حسب الشهر'!$C$890:$AD$999,15,FALSE),0)</f>
        <v>0</v>
      </c>
      <c r="L26" s="362">
        <f>IFERROR(VLOOKUP(C26,'تقرير المصروفات حسب الشهر'!$C$1016:$AD$1126,15,FALSE),0)</f>
        <v>0</v>
      </c>
      <c r="M26" s="376">
        <f>IFERROR(VLOOKUP(C26,'تقرير المصروفات حسب الشهر'!$C$1143:$AD$1254,15,FALSE),0)</f>
        <v>0</v>
      </c>
      <c r="N26" s="376">
        <f>IFERROR(VLOOKUP(C26,'تقرير المصروفات حسب الشهر'!$C$1270:$AD$1381,15,FALSE),0)</f>
        <v>0</v>
      </c>
      <c r="O26" s="376">
        <f>IFERROR(VLOOKUP(C26,'تقرير المصروفات حسب الشهر'!$C$1397:$AI$1512,15,FALSE),0)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الشهر'!$C$10:$AD$119,15,FALSE),0)</f>
        <v>0</v>
      </c>
      <c r="E27" s="362">
        <f>IFERROR(VLOOKUP(C27,'تقرير المصروفات حسب الشهر'!$C$135:$AD$244,15,FALSE),0)</f>
        <v>0</v>
      </c>
      <c r="F27" s="362">
        <v>0</v>
      </c>
      <c r="G27" s="362">
        <f>IFERROR(VLOOKUP(C27,'تقرير المصروفات حسب الشهر'!$C$387:$AD$495,15,FALSE),0)</f>
        <v>0</v>
      </c>
      <c r="H27" s="362">
        <f>IFERROR(VLOOKUP(C27,'تقرير المصروفات حسب الشهر'!$C$512:$AD$620,15,FALSE),0)</f>
        <v>0</v>
      </c>
      <c r="I27" s="362">
        <f>IFERROR(VLOOKUP(C27,'تقرير المصروفات حسب الشهر'!$C$637:$AD$746,15,FALSE),0)</f>
        <v>0</v>
      </c>
      <c r="J27" s="362">
        <f>IFERROR(VLOOKUP(C27,'تقرير المصروفات حسب الشهر'!$C$763:$AD$872,15,FALSE),0)</f>
        <v>0</v>
      </c>
      <c r="K27" s="362">
        <f>IFERROR(VLOOKUP(C27,'تقرير المصروفات حسب الشهر'!$C$890:$AD$999,15,FALSE),0)</f>
        <v>0</v>
      </c>
      <c r="L27" s="362">
        <f>IFERROR(VLOOKUP(C27,'تقرير المصروفات حسب الشهر'!$C$1016:$AD$1126,15,FALSE),0)</f>
        <v>0</v>
      </c>
      <c r="M27" s="376">
        <f>IFERROR(VLOOKUP(C27,'تقرير المصروفات حسب الشهر'!$C$1143:$AD$1254,15,FALSE),0)</f>
        <v>0</v>
      </c>
      <c r="N27" s="376">
        <f>IFERROR(VLOOKUP(C27,'تقرير المصروفات حسب الشهر'!$C$1270:$AD$1381,15,FALSE),0)</f>
        <v>0</v>
      </c>
      <c r="O27" s="376">
        <f>IFERROR(VLOOKUP(C27,'تقرير المصروفات حسب الشهر'!$C$1397:$AI$1512,15,FALSE),0)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الشهر'!$C$10:$AD$119,15,FALSE),0)</f>
        <v>0</v>
      </c>
      <c r="E28" s="362">
        <f>IFERROR(VLOOKUP(C28,'تقرير المصروفات حسب الشهر'!$C$135:$AD$244,15,FALSE),0)</f>
        <v>0</v>
      </c>
      <c r="F28" s="362">
        <v>0</v>
      </c>
      <c r="G28" s="362">
        <f>IFERROR(VLOOKUP(C28,'تقرير المصروفات حسب الشهر'!$C$387:$AD$495,15,FALSE),0)</f>
        <v>0</v>
      </c>
      <c r="H28" s="362">
        <f>IFERROR(VLOOKUP(C28,'تقرير المصروفات حسب الشهر'!$C$512:$AD$620,15,FALSE),0)</f>
        <v>0</v>
      </c>
      <c r="I28" s="362">
        <f>IFERROR(VLOOKUP(C28,'تقرير المصروفات حسب الشهر'!$C$637:$AD$746,15,FALSE),0)</f>
        <v>0</v>
      </c>
      <c r="J28" s="362">
        <f>IFERROR(VLOOKUP(C28,'تقرير المصروفات حسب الشهر'!$C$763:$AD$872,15,FALSE),0)</f>
        <v>0</v>
      </c>
      <c r="K28" s="362">
        <f>IFERROR(VLOOKUP(C28,'تقرير المصروفات حسب الشهر'!$C$890:$AD$999,15,FALSE),0)</f>
        <v>0</v>
      </c>
      <c r="L28" s="362">
        <f>IFERROR(VLOOKUP(C28,'تقرير المصروفات حسب الشهر'!$C$1016:$AD$1126,15,FALSE),0)</f>
        <v>0</v>
      </c>
      <c r="M28" s="376">
        <f>IFERROR(VLOOKUP(C28,'تقرير المصروفات حسب الشهر'!$C$1143:$AD$1254,15,FALSE),0)</f>
        <v>0</v>
      </c>
      <c r="N28" s="376">
        <f>IFERROR(VLOOKUP(C28,'تقرير المصروفات حسب الشهر'!$C$1270:$AD$1381,15,FALSE),0)</f>
        <v>0</v>
      </c>
      <c r="O28" s="376">
        <f>IFERROR(VLOOKUP(C28,'تقرير المصروفات حسب الشهر'!$C$1397:$AI$1512,15,FALSE),0)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الشهر'!$C$10:$AD$119,15,FALSE),0)</f>
        <v>99176</v>
      </c>
      <c r="E29" s="362">
        <f>IFERROR(VLOOKUP(C29,'تقرير المصروفات حسب الشهر'!$C$135:$AD$244,15,FALSE),0)</f>
        <v>99176</v>
      </c>
      <c r="F29" s="362">
        <v>102596</v>
      </c>
      <c r="G29" s="362">
        <f>IFERROR(VLOOKUP(C29,'تقرير المصروفات حسب الشهر'!$C$387:$AD$495,15,FALSE),0)</f>
        <v>100886</v>
      </c>
      <c r="H29" s="362">
        <f>IFERROR(VLOOKUP(C29,'تقرير المصروفات حسب الشهر'!$C$512:$AD$620,15,FALSE),0)</f>
        <v>100886</v>
      </c>
      <c r="I29" s="362">
        <f>IFERROR(VLOOKUP(C29,'تقرير المصروفات حسب الشهر'!$C$637:$AD$746,15,FALSE),0)</f>
        <v>100886</v>
      </c>
      <c r="J29" s="362">
        <f>IFERROR(VLOOKUP(C29,'تقرير المصروفات حسب الشهر'!$C$763:$AD$872,15,FALSE),0)</f>
        <v>100886</v>
      </c>
      <c r="K29" s="362">
        <f>IFERROR(VLOOKUP(C29,'تقرير المصروفات حسب الشهر'!$C$890:$AD$999,15,FALSE),0)</f>
        <v>93886</v>
      </c>
      <c r="L29" s="362">
        <f>IFERROR(VLOOKUP(C29,'تقرير المصروفات حسب الشهر'!$C$1016:$AD$1126,15,FALSE),0)</f>
        <v>108586</v>
      </c>
      <c r="M29" s="376">
        <f>IFERROR(VLOOKUP(C29,'تقرير المصروفات حسب الشهر'!$C$1143:$AD$1254,15,FALSE),0)</f>
        <v>93886</v>
      </c>
      <c r="N29" s="376">
        <f>IFERROR(VLOOKUP(C29,'تقرير المصروفات حسب الشهر'!$C$1270:$AD$1381,15,FALSE),0)</f>
        <v>101586</v>
      </c>
      <c r="O29" s="376">
        <f>IFERROR(VLOOKUP(C29,'تقرير المصروفات حسب الشهر'!$C$1397:$AI$1512,15,FALSE),0)</f>
        <v>101586</v>
      </c>
      <c r="P29" s="364">
        <f t="shared" si="5"/>
        <v>1204022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الشهر'!$C$10:$AD$119,15,FALSE),0)</f>
        <v>0</v>
      </c>
      <c r="E30" s="362">
        <f>IFERROR(VLOOKUP(C30,'تقرير المصروفات حسب الشهر'!$C$135:$AD$244,15,FALSE),0)</f>
        <v>85</v>
      </c>
      <c r="F30" s="362">
        <v>735.15</v>
      </c>
      <c r="G30" s="362">
        <f>IFERROR(VLOOKUP(C30,'تقرير المصروفات حسب الشهر'!$C$387:$AD$495,15,FALSE),0)</f>
        <v>0</v>
      </c>
      <c r="H30" s="362">
        <f>IFERROR(VLOOKUP(C30,'تقرير المصروفات حسب الشهر'!$C$512:$AD$620,15,FALSE),0)</f>
        <v>0</v>
      </c>
      <c r="I30" s="362">
        <f>IFERROR(VLOOKUP(C30,'تقرير المصروفات حسب الشهر'!$C$637:$AD$746,15,FALSE),0)</f>
        <v>390.44</v>
      </c>
      <c r="J30" s="362">
        <f>IFERROR(VLOOKUP(C30,'تقرير المصروفات حسب الشهر'!$C$763:$AD$872,15,FALSE),0)</f>
        <v>50</v>
      </c>
      <c r="K30" s="362">
        <f>IFERROR(VLOOKUP(C30,'تقرير المصروفات حسب الشهر'!$C$890:$AD$999,15,FALSE),0)</f>
        <v>260</v>
      </c>
      <c r="L30" s="362">
        <f>IFERROR(VLOOKUP(C30,'تقرير المصروفات حسب الشهر'!$C$1016:$AD$1126,15,FALSE),0)</f>
        <v>135</v>
      </c>
      <c r="M30" s="376">
        <f>IFERROR(VLOOKUP(C30,'تقرير المصروفات حسب الشهر'!$C$1143:$AD$1254,15,FALSE),0)</f>
        <v>733.25</v>
      </c>
      <c r="N30" s="376">
        <f>IFERROR(VLOOKUP(C30,'تقرير المصروفات حسب الشهر'!$C$1270:$AD$1381,15,FALSE),0)</f>
        <v>0</v>
      </c>
      <c r="O30" s="376">
        <f>IFERROR(VLOOKUP(C30,'تقرير المصروفات حسب الشهر'!$C$1397:$AI$1512,15,FALSE),0)</f>
        <v>1100</v>
      </c>
      <c r="P30" s="364">
        <f t="shared" si="5"/>
        <v>3488.84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الشهر'!$C$10:$AD$119,15,FALSE),0)</f>
        <v>348.43</v>
      </c>
      <c r="E31" s="362">
        <f>IFERROR(VLOOKUP(C31,'تقرير المصروفات حسب الشهر'!$C$135:$AD$244,15,FALSE),0)</f>
        <v>348.43</v>
      </c>
      <c r="F31" s="362">
        <v>348.43</v>
      </c>
      <c r="G31" s="362">
        <f>IFERROR(VLOOKUP(C31,'تقرير المصروفات حسب الشهر'!$C$387:$AD$495,15,FALSE),0)</f>
        <v>378.43</v>
      </c>
      <c r="H31" s="362">
        <f>IFERROR(VLOOKUP(C31,'تقرير المصروفات حسب الشهر'!$C$512:$AD$620,15,FALSE),0)</f>
        <v>348.43</v>
      </c>
      <c r="I31" s="362">
        <f>IFERROR(VLOOKUP(C31,'تقرير المصروفات حسب الشهر'!$C$637:$AD$746,15,FALSE),0)</f>
        <v>848.43</v>
      </c>
      <c r="J31" s="362">
        <f>IFERROR(VLOOKUP(C31,'تقرير المصروفات حسب الشهر'!$C$763:$AD$872,15,FALSE),0)</f>
        <v>448.43</v>
      </c>
      <c r="K31" s="362">
        <f>IFERROR(VLOOKUP(C31,'تقرير المصروفات حسب الشهر'!$C$890:$AD$999,15,FALSE),0)</f>
        <v>348.43</v>
      </c>
      <c r="L31" s="362">
        <f>IFERROR(VLOOKUP(C31,'تقرير المصروفات حسب الشهر'!$C$1016:$AD$1126,15,FALSE),0)</f>
        <v>348.43</v>
      </c>
      <c r="M31" s="376">
        <f>IFERROR(VLOOKUP(C31,'تقرير المصروفات حسب الشهر'!$C$1143:$AD$1254,15,FALSE),0)</f>
        <v>540.5</v>
      </c>
      <c r="N31" s="376">
        <f>IFERROR(VLOOKUP(C31,'تقرير المصروفات حسب الشهر'!$C$1270:$AD$1381,15,FALSE),0)</f>
        <v>540.5</v>
      </c>
      <c r="O31" s="376">
        <f>IFERROR(VLOOKUP(C31,'تقرير المصروفات حسب الشهر'!$C$1397:$AI$1512,15,FALSE),0)</f>
        <v>540.5</v>
      </c>
      <c r="P31" s="364">
        <f t="shared" si="5"/>
        <v>5387.369999999999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الشهر'!$C$10:$AD$119,15,FALSE),0)</f>
        <v>0</v>
      </c>
      <c r="E32" s="362">
        <f>IFERROR(VLOOKUP(C32,'تقرير المصروفات حسب الشهر'!$C$135:$AD$244,15,FALSE),0)</f>
        <v>0</v>
      </c>
      <c r="F32" s="362">
        <v>0</v>
      </c>
      <c r="G32" s="362">
        <f>IFERROR(VLOOKUP(C32,'تقرير المصروفات حسب الشهر'!$C$387:$AD$495,15,FALSE),0)</f>
        <v>0</v>
      </c>
      <c r="H32" s="362">
        <f>IFERROR(VLOOKUP(C32,'تقرير المصروفات حسب الشهر'!$C$512:$AD$620,15,FALSE),0)</f>
        <v>0</v>
      </c>
      <c r="I32" s="362">
        <f>IFERROR(VLOOKUP(C32,'تقرير المصروفات حسب الشهر'!$C$637:$AD$746,15,FALSE),0)</f>
        <v>0</v>
      </c>
      <c r="J32" s="362">
        <f>IFERROR(VLOOKUP(C32,'تقرير المصروفات حسب الشهر'!$C$763:$AD$872,15,FALSE),0)</f>
        <v>0</v>
      </c>
      <c r="K32" s="362">
        <f>IFERROR(VLOOKUP(C32,'تقرير المصروفات حسب الشهر'!$C$890:$AD$999,15,FALSE),0)</f>
        <v>0</v>
      </c>
      <c r="L32" s="362">
        <f>IFERROR(VLOOKUP(C32,'تقرير المصروفات حسب الشهر'!$C$1016:$AD$1126,15,FALSE),0)</f>
        <v>0</v>
      </c>
      <c r="M32" s="376">
        <f>IFERROR(VLOOKUP(C32,'تقرير المصروفات حسب الشهر'!$C$1143:$AD$1254,15,FALSE),0)</f>
        <v>0</v>
      </c>
      <c r="N32" s="376">
        <f>IFERROR(VLOOKUP(C32,'تقرير المصروفات حسب الشهر'!$C$1270:$AD$1381,15,FALSE),0)</f>
        <v>0</v>
      </c>
      <c r="O32" s="376">
        <f>IFERROR(VLOOKUP(C32,'تقرير المصروفات حسب الشهر'!$C$1397:$AI$1512,15,FALSE),0)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الشهر'!$C$10:$AD$119,15,FALSE),0)</f>
        <v>750</v>
      </c>
      <c r="E33" s="362">
        <f>IFERROR(VLOOKUP(C33,'تقرير المصروفات حسب الشهر'!$C$135:$AD$244,15,FALSE),0)</f>
        <v>1800</v>
      </c>
      <c r="F33" s="362">
        <v>0</v>
      </c>
      <c r="G33" s="362">
        <f>IFERROR(VLOOKUP(C33,'تقرير المصروفات حسب الشهر'!$C$387:$AD$495,15,FALSE),0)</f>
        <v>750</v>
      </c>
      <c r="H33" s="362">
        <f>IFERROR(VLOOKUP(C33,'تقرير المصروفات حسب الشهر'!$C$512:$AD$620,15,FALSE),0)</f>
        <v>900</v>
      </c>
      <c r="I33" s="362">
        <f>IFERROR(VLOOKUP(C33,'تقرير المصروفات حسب الشهر'!$C$637:$AD$746,15,FALSE),0)</f>
        <v>650</v>
      </c>
      <c r="J33" s="362">
        <f>IFERROR(VLOOKUP(C33,'تقرير المصروفات حسب الشهر'!$C$763:$AD$872,15,FALSE),0)</f>
        <v>650</v>
      </c>
      <c r="K33" s="362">
        <f>IFERROR(VLOOKUP(C33,'تقرير المصروفات حسب الشهر'!$C$890:$AD$999,15,FALSE),0)</f>
        <v>900</v>
      </c>
      <c r="L33" s="362">
        <f>IFERROR(VLOOKUP(C33,'تقرير المصروفات حسب الشهر'!$C$1016:$AD$1126,15,FALSE),0)</f>
        <v>500</v>
      </c>
      <c r="M33" s="376">
        <f>IFERROR(VLOOKUP(C33,'تقرير المصروفات حسب الشهر'!$C$1143:$AD$1254,15,FALSE),0)</f>
        <v>0</v>
      </c>
      <c r="N33" s="376">
        <f>IFERROR(VLOOKUP(C33,'تقرير المصروفات حسب الشهر'!$C$1270:$AD$1381,15,FALSE),0)</f>
        <v>650</v>
      </c>
      <c r="O33" s="376">
        <f>IFERROR(VLOOKUP(C33,'تقرير المصروفات حسب الشهر'!$C$1397:$AI$1512,15,FALSE),0)</f>
        <v>0</v>
      </c>
      <c r="P33" s="364">
        <f t="shared" si="5"/>
        <v>7550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الشهر'!$C$10:$AD$119,15,FALSE),0)</f>
        <v>0</v>
      </c>
      <c r="E34" s="362">
        <f>IFERROR(VLOOKUP(C34,'تقرير المصروفات حسب الشهر'!$C$135:$AD$244,15,FALSE),0)</f>
        <v>0</v>
      </c>
      <c r="F34" s="362">
        <v>0</v>
      </c>
      <c r="G34" s="362">
        <f>IFERROR(VLOOKUP(C34,'تقرير المصروفات حسب الشهر'!$C$387:$AD$495,15,FALSE),0)</f>
        <v>0</v>
      </c>
      <c r="H34" s="362">
        <f>IFERROR(VLOOKUP(C34,'تقرير المصروفات حسب الشهر'!$C$512:$AD$620,15,FALSE),0)</f>
        <v>0</v>
      </c>
      <c r="I34" s="362">
        <f>IFERROR(VLOOKUP(C34,'تقرير المصروفات حسب الشهر'!$C$637:$AD$746,15,FALSE),0)</f>
        <v>0</v>
      </c>
      <c r="J34" s="362">
        <f>IFERROR(VLOOKUP(C34,'تقرير المصروفات حسب الشهر'!$C$763:$AD$872,15,FALSE),0)</f>
        <v>0</v>
      </c>
      <c r="K34" s="362">
        <f>IFERROR(VLOOKUP(C34,'تقرير المصروفات حسب الشهر'!$C$890:$AD$999,15,FALSE),0)</f>
        <v>0</v>
      </c>
      <c r="L34" s="362">
        <f>IFERROR(VLOOKUP(C34,'تقرير المصروفات حسب الشهر'!$C$1016:$AD$1126,15,FALSE),0)</f>
        <v>0</v>
      </c>
      <c r="M34" s="376">
        <f>IFERROR(VLOOKUP(C34,'تقرير المصروفات حسب الشهر'!$C$1143:$AD$1254,15,FALSE),0)</f>
        <v>0</v>
      </c>
      <c r="N34" s="376">
        <f>IFERROR(VLOOKUP(C34,'تقرير المصروفات حسب الشهر'!$C$1270:$AD$1381,15,FALSE),0)</f>
        <v>0</v>
      </c>
      <c r="O34" s="376">
        <f>IFERROR(VLOOKUP(C34,'تقرير المصروفات حسب الشهر'!$C$1397:$AI$1512,15,FALSE),0)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الشهر'!$C$10:$AD$119,15,FALSE),0)</f>
        <v>0</v>
      </c>
      <c r="E35" s="362">
        <f>IFERROR(VLOOKUP(C35,'تقرير المصروفات حسب الشهر'!$C$135:$AD$244,15,FALSE),0)</f>
        <v>3185</v>
      </c>
      <c r="F35" s="362">
        <v>3810</v>
      </c>
      <c r="G35" s="362">
        <f>IFERROR(VLOOKUP(C35,'تقرير المصروفات حسب الشهر'!$C$387:$AD$495,15,FALSE),0)</f>
        <v>0</v>
      </c>
      <c r="H35" s="362">
        <f>IFERROR(VLOOKUP(C35,'تقرير المصروفات حسب الشهر'!$C$512:$AD$620,15,FALSE),0)</f>
        <v>0</v>
      </c>
      <c r="I35" s="362">
        <f>IFERROR(VLOOKUP(C35,'تقرير المصروفات حسب الشهر'!$C$637:$AD$746,15,FALSE),0)</f>
        <v>0</v>
      </c>
      <c r="J35" s="362">
        <f>IFERROR(VLOOKUP(C35,'تقرير المصروفات حسب الشهر'!$C$763:$AD$872,15,FALSE),0)</f>
        <v>0</v>
      </c>
      <c r="K35" s="362">
        <f>IFERROR(VLOOKUP(C35,'تقرير المصروفات حسب الشهر'!$C$890:$AD$999,15,FALSE),0)</f>
        <v>0</v>
      </c>
      <c r="L35" s="362">
        <f>IFERROR(VLOOKUP(C35,'تقرير المصروفات حسب الشهر'!$C$1016:$AD$1126,15,FALSE),0)</f>
        <v>1150</v>
      </c>
      <c r="M35" s="376">
        <f>IFERROR(VLOOKUP(C35,'تقرير المصروفات حسب الشهر'!$C$1143:$AD$1254,15,FALSE),0)</f>
        <v>0</v>
      </c>
      <c r="N35" s="376">
        <f>IFERROR(VLOOKUP(C35,'تقرير المصروفات حسب الشهر'!$C$1270:$AD$1381,15,FALSE),0)</f>
        <v>0</v>
      </c>
      <c r="O35" s="376">
        <f>IFERROR(VLOOKUP(C35,'تقرير المصروفات حسب الشهر'!$C$1397:$AI$1512,15,FALSE),0)</f>
        <v>0</v>
      </c>
      <c r="P35" s="364">
        <f t="shared" si="5"/>
        <v>8145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الشهر'!$C$10:$AD$119,15,FALSE),0)</f>
        <v>750</v>
      </c>
      <c r="E36" s="362">
        <f>IFERROR(VLOOKUP(C36,'تقرير المصروفات حسب الشهر'!$C$135:$AD$244,15,FALSE),0)</f>
        <v>0</v>
      </c>
      <c r="F36" s="362">
        <v>1500</v>
      </c>
      <c r="G36" s="362">
        <f>IFERROR(VLOOKUP(C36,'تقرير المصروفات حسب الشهر'!$C$387:$AD$495,15,FALSE),0)</f>
        <v>2250</v>
      </c>
      <c r="H36" s="362">
        <f>IFERROR(VLOOKUP(C36,'تقرير المصروفات حسب الشهر'!$C$512:$AD$620,15,FALSE),0)</f>
        <v>0</v>
      </c>
      <c r="I36" s="362">
        <f>IFERROR(VLOOKUP(C36,'تقرير المصروفات حسب الشهر'!$C$637:$AD$746,15,FALSE),0)</f>
        <v>770</v>
      </c>
      <c r="J36" s="362">
        <f>IFERROR(VLOOKUP(C36,'تقرير المصروفات حسب الشهر'!$C$763:$AD$872,15,FALSE),0)</f>
        <v>0</v>
      </c>
      <c r="K36" s="362">
        <f>IFERROR(VLOOKUP(C36,'تقرير المصروفات حسب الشهر'!$C$890:$AD$999,15,FALSE),0)</f>
        <v>0</v>
      </c>
      <c r="L36" s="362">
        <f>IFERROR(VLOOKUP(C36,'تقرير المصروفات حسب الشهر'!$C$1016:$AD$1126,15,FALSE),0)</f>
        <v>0</v>
      </c>
      <c r="M36" s="376">
        <f>IFERROR(VLOOKUP(C36,'تقرير المصروفات حسب الشهر'!$C$1143:$AD$1254,15,FALSE),0)</f>
        <v>0</v>
      </c>
      <c r="N36" s="376">
        <f>IFERROR(VLOOKUP(C36,'تقرير المصروفات حسب الشهر'!$C$1270:$AD$1381,15,FALSE),0)</f>
        <v>0</v>
      </c>
      <c r="O36" s="376">
        <f>IFERROR(VLOOKUP(C36,'تقرير المصروفات حسب الشهر'!$C$1397:$AI$1512,15,FALSE),0)</f>
        <v>2310</v>
      </c>
      <c r="P36" s="364">
        <f t="shared" si="5"/>
        <v>7580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الشهر'!$C$10:$AD$119,15,FALSE),0)</f>
        <v>0</v>
      </c>
      <c r="E37" s="362">
        <f>IFERROR(VLOOKUP(C37,'تقرير المصروفات حسب الشهر'!$C$135:$AD$244,15,FALSE),0)</f>
        <v>0</v>
      </c>
      <c r="F37" s="362">
        <v>6750</v>
      </c>
      <c r="G37" s="362">
        <f>IFERROR(VLOOKUP(C37,'تقرير المصروفات حسب الشهر'!$C$387:$AD$495,15,FALSE),0)</f>
        <v>2250</v>
      </c>
      <c r="H37" s="362">
        <f>IFERROR(VLOOKUP(C37,'تقرير المصروفات حسب الشهر'!$C$512:$AD$620,15,FALSE),0)</f>
        <v>0</v>
      </c>
      <c r="I37" s="362">
        <f>IFERROR(VLOOKUP(C37,'تقرير المصروفات حسب الشهر'!$C$637:$AD$746,15,FALSE),0)</f>
        <v>2250</v>
      </c>
      <c r="J37" s="362">
        <f>IFERROR(VLOOKUP(C37,'تقرير المصروفات حسب الشهر'!$C$763:$AD$872,15,FALSE),0)</f>
        <v>0</v>
      </c>
      <c r="K37" s="362">
        <f>IFERROR(VLOOKUP(C37,'تقرير المصروفات حسب الشهر'!$C$890:$AD$999,15,FALSE),0)</f>
        <v>6750</v>
      </c>
      <c r="L37" s="362">
        <f>IFERROR(VLOOKUP(C37,'تقرير المصروفات حسب الشهر'!$C$1016:$AD$1126,15,FALSE),0)</f>
        <v>0</v>
      </c>
      <c r="M37" s="376">
        <f>IFERROR(VLOOKUP(C37,'تقرير المصروفات حسب الشهر'!$C$1143:$AD$1254,15,FALSE),0)</f>
        <v>4500</v>
      </c>
      <c r="N37" s="376">
        <f>IFERROR(VLOOKUP(C37,'تقرير المصروفات حسب الشهر'!$C$1270:$AD$1381,15,FALSE),0)</f>
        <v>0</v>
      </c>
      <c r="O37" s="376">
        <f>IFERROR(VLOOKUP(C37,'تقرير المصروفات حسب الشهر'!$C$1397:$AI$1512,15,FALSE),0)</f>
        <v>4520</v>
      </c>
      <c r="P37" s="364">
        <f t="shared" si="5"/>
        <v>27020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الشهر'!$C$10:$AD$119,15,FALSE),0)</f>
        <v>0</v>
      </c>
      <c r="E38" s="362">
        <f>IFERROR(VLOOKUP(C38,'تقرير المصروفات حسب الشهر'!$C$135:$AD$244,15,FALSE),0)</f>
        <v>0</v>
      </c>
      <c r="F38" s="362">
        <v>0</v>
      </c>
      <c r="G38" s="362">
        <f>IFERROR(VLOOKUP(C38,'تقرير المصروفات حسب الشهر'!$C$387:$AD$495,15,FALSE),0)</f>
        <v>0</v>
      </c>
      <c r="H38" s="362">
        <f>IFERROR(VLOOKUP(C38,'تقرير المصروفات حسب الشهر'!$C$512:$AD$620,15,FALSE),0)</f>
        <v>0</v>
      </c>
      <c r="I38" s="362">
        <f>IFERROR(VLOOKUP(C38,'تقرير المصروفات حسب الشهر'!$C$637:$AD$746,15,FALSE),0)</f>
        <v>0</v>
      </c>
      <c r="J38" s="362">
        <f>IFERROR(VLOOKUP(C38,'تقرير المصروفات حسب الشهر'!$C$763:$AD$872,15,FALSE),0)</f>
        <v>0</v>
      </c>
      <c r="K38" s="362">
        <f>IFERROR(VLOOKUP(C38,'تقرير المصروفات حسب الشهر'!$C$890:$AD$999,15,FALSE),0)</f>
        <v>0</v>
      </c>
      <c r="L38" s="362">
        <f>IFERROR(VLOOKUP(C38,'تقرير المصروفات حسب الشهر'!$C$1016:$AD$1126,15,FALSE),0)</f>
        <v>0</v>
      </c>
      <c r="M38" s="376">
        <f>IFERROR(VLOOKUP(C38,'تقرير المصروفات حسب الشهر'!$C$1143:$AD$1254,15,FALSE),0)</f>
        <v>0</v>
      </c>
      <c r="N38" s="376">
        <f>IFERROR(VLOOKUP(C38,'تقرير المصروفات حسب الشهر'!$C$1270:$AD$1381,15,FALSE),0)</f>
        <v>0</v>
      </c>
      <c r="O38" s="376">
        <f>IFERROR(VLOOKUP(C38,'تقرير المصروفات حسب الشهر'!$C$1397:$AI$1512,15,FALSE),0)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الشهر'!$C$10:$AD$119,15,FALSE),0)</f>
        <v>4422.5</v>
      </c>
      <c r="E39" s="362">
        <f>IFERROR(VLOOKUP(C39,'تقرير المصروفات حسب الشهر'!$C$135:$AD$244,15,FALSE),0)</f>
        <v>4442.1000000000004</v>
      </c>
      <c r="F39" s="362">
        <v>3952.5</v>
      </c>
      <c r="G39" s="362">
        <f>IFERROR(VLOOKUP(C39,'تقرير المصروفات حسب الشهر'!$C$387:$AD$495,15,FALSE),0)</f>
        <v>3436.9</v>
      </c>
      <c r="H39" s="362">
        <f>IFERROR(VLOOKUP(C39,'تقرير المصروفات حسب الشهر'!$C$512:$AD$620,15,FALSE),0)</f>
        <v>4810</v>
      </c>
      <c r="I39" s="362">
        <f>IFERROR(VLOOKUP(C39,'تقرير المصروفات حسب الشهر'!$C$637:$AD$746,15,FALSE),0)</f>
        <v>3790</v>
      </c>
      <c r="J39" s="362">
        <f>IFERROR(VLOOKUP(C39,'تقرير المصروفات حسب الشهر'!$C$763:$AD$872,15,FALSE),0)</f>
        <v>2478</v>
      </c>
      <c r="K39" s="362">
        <f>IFERROR(VLOOKUP(C39,'تقرير المصروفات حسب الشهر'!$C$890:$AD$999,15,FALSE),0)</f>
        <v>2072</v>
      </c>
      <c r="L39" s="362">
        <f>IFERROR(VLOOKUP(C39,'تقرير المصروفات حسب الشهر'!$C$1016:$AD$1126,15,FALSE),0)</f>
        <v>2193</v>
      </c>
      <c r="M39" s="376">
        <f>IFERROR(VLOOKUP(C39,'تقرير المصروفات حسب الشهر'!$C$1143:$AD$1254,15,FALSE),0)</f>
        <v>1382</v>
      </c>
      <c r="N39" s="376">
        <f>IFERROR(VLOOKUP(C39,'تقرير المصروفات حسب الشهر'!$C$1270:$AD$1381,15,FALSE),0)</f>
        <v>2906</v>
      </c>
      <c r="O39" s="376">
        <f>IFERROR(VLOOKUP(C39,'تقرير المصروفات حسب الشهر'!$C$1397:$AI$1512,15,FALSE),0)</f>
        <v>4623</v>
      </c>
      <c r="P39" s="364">
        <f t="shared" si="5"/>
        <v>40508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الشهر'!$C$10:$AD$119,15,FALSE),0)</f>
        <v>351.25</v>
      </c>
      <c r="E40" s="362">
        <f>IFERROR(VLOOKUP(C40,'تقرير المصروفات حسب الشهر'!$C$135:$AD$244,15,FALSE),0)</f>
        <v>500</v>
      </c>
      <c r="F40" s="362">
        <v>0</v>
      </c>
      <c r="G40" s="362">
        <f>IFERROR(VLOOKUP(C40,'تقرير المصروفات حسب الشهر'!$C$387:$AD$495,15,FALSE),0)</f>
        <v>0</v>
      </c>
      <c r="H40" s="362">
        <f>IFERROR(VLOOKUP(C40,'تقرير المصروفات حسب الشهر'!$C$512:$AD$620,15,FALSE),0)</f>
        <v>1299.32</v>
      </c>
      <c r="I40" s="362">
        <f>IFERROR(VLOOKUP(C40,'تقرير المصروفات حسب الشهر'!$C$637:$AD$746,15,FALSE),0)</f>
        <v>310</v>
      </c>
      <c r="J40" s="362">
        <f>IFERROR(VLOOKUP(C40,'تقرير المصروفات حسب الشهر'!$C$763:$AD$872,15,FALSE),0)</f>
        <v>0</v>
      </c>
      <c r="K40" s="362">
        <f>IFERROR(VLOOKUP(C40,'تقرير المصروفات حسب الشهر'!$C$890:$AD$999,15,FALSE),0)</f>
        <v>0</v>
      </c>
      <c r="L40" s="362">
        <f>IFERROR(VLOOKUP(C40,'تقرير المصروفات حسب الشهر'!$C$1016:$AD$1126,15,FALSE),0)</f>
        <v>0</v>
      </c>
      <c r="M40" s="376">
        <f>IFERROR(VLOOKUP(C40,'تقرير المصروفات حسب الشهر'!$C$1143:$AD$1254,15,FALSE),0)</f>
        <v>0</v>
      </c>
      <c r="N40" s="376">
        <f>IFERROR(VLOOKUP(C40,'تقرير المصروفات حسب الشهر'!$C$1270:$AD$1381,15,FALSE),0)</f>
        <v>0</v>
      </c>
      <c r="O40" s="376">
        <f>IFERROR(VLOOKUP(C40,'تقرير المصروفات حسب الشهر'!$C$1397:$AI$1512,15,FALSE),0)</f>
        <v>0</v>
      </c>
      <c r="P40" s="364">
        <f t="shared" si="5"/>
        <v>2460.5699999999997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الشهر'!$C$10:$AD$119,15,FALSE),0)</f>
        <v>0</v>
      </c>
      <c r="E41" s="362">
        <f>IFERROR(VLOOKUP(C41,'تقرير المصروفات حسب الشهر'!$C$135:$AD$244,15,FALSE),0)</f>
        <v>683.66</v>
      </c>
      <c r="F41" s="362">
        <v>0</v>
      </c>
      <c r="G41" s="362">
        <f>IFERROR(VLOOKUP(C41,'تقرير المصروفات حسب الشهر'!$C$387:$AD$495,15,FALSE),0)</f>
        <v>36</v>
      </c>
      <c r="H41" s="362">
        <f>IFERROR(VLOOKUP(C41,'تقرير المصروفات حسب الشهر'!$C$512:$AD$620,15,FALSE),0)</f>
        <v>0</v>
      </c>
      <c r="I41" s="362">
        <f>IFERROR(VLOOKUP(C41,'تقرير المصروفات حسب الشهر'!$C$637:$AD$746,15,FALSE),0)</f>
        <v>0</v>
      </c>
      <c r="J41" s="362">
        <f>IFERROR(VLOOKUP(C41,'تقرير المصروفات حسب الشهر'!$C$763:$AD$872,15,FALSE),0)</f>
        <v>0</v>
      </c>
      <c r="K41" s="362">
        <f>IFERROR(VLOOKUP(C41,'تقرير المصروفات حسب الشهر'!$C$890:$AD$999,15,FALSE),0)</f>
        <v>0</v>
      </c>
      <c r="L41" s="362">
        <f>IFERROR(VLOOKUP(C41,'تقرير المصروفات حسب الشهر'!$C$1016:$AD$1126,15,FALSE),0)</f>
        <v>0</v>
      </c>
      <c r="M41" s="376">
        <f>IFERROR(VLOOKUP(C41,'تقرير المصروفات حسب الشهر'!$C$1143:$AD$1254,15,FALSE),0)</f>
        <v>0</v>
      </c>
      <c r="N41" s="376">
        <f>IFERROR(VLOOKUP(C41,'تقرير المصروفات حسب الشهر'!$C$1270:$AD$1381,15,FALSE),0)</f>
        <v>0</v>
      </c>
      <c r="O41" s="376">
        <f>IFERROR(VLOOKUP(C41,'تقرير المصروفات حسب الشهر'!$C$1397:$AI$1512,15,FALSE),0)</f>
        <v>0</v>
      </c>
      <c r="P41" s="364">
        <f t="shared" si="5"/>
        <v>719.66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الشهر'!$C$10:$AD$119,15,FALSE),0)</f>
        <v>0</v>
      </c>
      <c r="E42" s="362">
        <f>IFERROR(VLOOKUP(C42,'تقرير المصروفات حسب الشهر'!$C$135:$AD$244,15,FALSE),0)</f>
        <v>0</v>
      </c>
      <c r="F42" s="362">
        <v>0</v>
      </c>
      <c r="G42" s="362">
        <f>IFERROR(VLOOKUP(C42,'تقرير المصروفات حسب الشهر'!$C$387:$AD$495,15,FALSE),0)</f>
        <v>0</v>
      </c>
      <c r="H42" s="362">
        <f>IFERROR(VLOOKUP(C42,'تقرير المصروفات حسب الشهر'!$C$512:$AD$620,15,FALSE),0)</f>
        <v>0</v>
      </c>
      <c r="I42" s="362">
        <f>IFERROR(VLOOKUP(C42,'تقرير المصروفات حسب الشهر'!$C$637:$AD$746,15,FALSE),0)</f>
        <v>0</v>
      </c>
      <c r="J42" s="362">
        <f>IFERROR(VLOOKUP(C42,'تقرير المصروفات حسب الشهر'!$C$763:$AD$872,15,FALSE),0)</f>
        <v>0</v>
      </c>
      <c r="K42" s="362">
        <f>IFERROR(VLOOKUP(C42,'تقرير المصروفات حسب الشهر'!$C$890:$AD$999,15,FALSE),0)</f>
        <v>0</v>
      </c>
      <c r="L42" s="362">
        <f>IFERROR(VLOOKUP(C42,'تقرير المصروفات حسب الشهر'!$C$1016:$AD$1126,15,FALSE),0)</f>
        <v>0</v>
      </c>
      <c r="M42" s="376">
        <f>IFERROR(VLOOKUP(C42,'تقرير المصروفات حسب الشهر'!$C$1143:$AD$1254,15,FALSE),0)</f>
        <v>0</v>
      </c>
      <c r="N42" s="376">
        <f>IFERROR(VLOOKUP(C42,'تقرير المصروفات حسب الشهر'!$C$1270:$AD$1381,15,FALSE),0)</f>
        <v>0</v>
      </c>
      <c r="O42" s="376">
        <f>IFERROR(VLOOKUP(C42,'تقرير المصروفات حسب الشهر'!$C$1397:$AI$1512,15,FALSE),0)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الشهر'!$C$10:$AD$119,15,FALSE),0)</f>
        <v>0</v>
      </c>
      <c r="E43" s="362">
        <f>IFERROR(VLOOKUP(C43,'تقرير المصروفات حسب الشهر'!$C$135:$AD$244,15,FALSE),0)</f>
        <v>0</v>
      </c>
      <c r="F43" s="362">
        <v>0</v>
      </c>
      <c r="G43" s="362">
        <f>IFERROR(VLOOKUP(C43,'تقرير المصروفات حسب الشهر'!$C$387:$AD$495,15,FALSE),0)</f>
        <v>0</v>
      </c>
      <c r="H43" s="362">
        <f>IFERROR(VLOOKUP(C43,'تقرير المصروفات حسب الشهر'!$C$512:$AD$620,15,FALSE),0)</f>
        <v>0</v>
      </c>
      <c r="I43" s="362">
        <f>IFERROR(VLOOKUP(C43,'تقرير المصروفات حسب الشهر'!$C$637:$AD$746,15,FALSE),0)</f>
        <v>0</v>
      </c>
      <c r="J43" s="362">
        <f>IFERROR(VLOOKUP(C43,'تقرير المصروفات حسب الشهر'!$C$763:$AD$872,15,FALSE),0)</f>
        <v>0</v>
      </c>
      <c r="K43" s="362">
        <f>IFERROR(VLOOKUP(C43,'تقرير المصروفات حسب الشهر'!$C$890:$AD$999,15,FALSE),0)</f>
        <v>0</v>
      </c>
      <c r="L43" s="362">
        <f>IFERROR(VLOOKUP(C43,'تقرير المصروفات حسب الشهر'!$C$1016:$AD$1126,15,FALSE),0)</f>
        <v>0</v>
      </c>
      <c r="M43" s="376">
        <f>IFERROR(VLOOKUP(C43,'تقرير المصروفات حسب الشهر'!$C$1143:$AD$1254,15,FALSE),0)</f>
        <v>0</v>
      </c>
      <c r="N43" s="376">
        <f>IFERROR(VLOOKUP(C43,'تقرير المصروفات حسب الشهر'!$C$1270:$AD$1381,15,FALSE),0)</f>
        <v>0</v>
      </c>
      <c r="O43" s="376">
        <f>IFERROR(VLOOKUP(C43,'تقرير المصروفات حسب الشهر'!$C$1397:$AI$1512,15,FALSE),0)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الشهر'!$C$10:$AD$119,15,FALSE),0)</f>
        <v>75</v>
      </c>
      <c r="E44" s="362">
        <f>IFERROR(VLOOKUP(C44,'تقرير المصروفات حسب الشهر'!$C$135:$AD$244,15,FALSE),0)</f>
        <v>50</v>
      </c>
      <c r="F44" s="362">
        <v>479</v>
      </c>
      <c r="G44" s="362">
        <f>IFERROR(VLOOKUP(C44,'تقرير المصروفات حسب الشهر'!$C$387:$AD$495,15,FALSE),0)</f>
        <v>538</v>
      </c>
      <c r="H44" s="362">
        <f>IFERROR(VLOOKUP(C44,'تقرير المصروفات حسب الشهر'!$C$512:$AD$620,15,FALSE),0)</f>
        <v>0</v>
      </c>
      <c r="I44" s="362">
        <f>IFERROR(VLOOKUP(C44,'تقرير المصروفات حسب الشهر'!$C$637:$AD$746,15,FALSE),0)</f>
        <v>965</v>
      </c>
      <c r="J44" s="362">
        <f>IFERROR(VLOOKUP(C44,'تقرير المصروفات حسب الشهر'!$C$763:$AD$872,15,FALSE),0)</f>
        <v>311</v>
      </c>
      <c r="K44" s="362">
        <f>IFERROR(VLOOKUP(C44,'تقرير المصروفات حسب الشهر'!$C$890:$AD$999,15,FALSE),0)</f>
        <v>115</v>
      </c>
      <c r="L44" s="362">
        <f>IFERROR(VLOOKUP(C44,'تقرير المصروفات حسب الشهر'!$C$1016:$AD$1126,15,FALSE),0)</f>
        <v>827</v>
      </c>
      <c r="M44" s="376">
        <f>IFERROR(VLOOKUP(C44,'تقرير المصروفات حسب الشهر'!$C$1143:$AD$1254,15,FALSE),0)</f>
        <v>0</v>
      </c>
      <c r="N44" s="376">
        <f>IFERROR(VLOOKUP(C44,'تقرير المصروفات حسب الشهر'!$C$1270:$AD$1381,15,FALSE),0)</f>
        <v>750</v>
      </c>
      <c r="O44" s="376">
        <f>IFERROR(VLOOKUP(C44,'تقرير المصروفات حسب الشهر'!$C$1397:$AI$1512,15,FALSE),0)</f>
        <v>0</v>
      </c>
      <c r="P44" s="364">
        <f t="shared" si="5"/>
        <v>4110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الشهر'!$C$10:$AD$119,15,FALSE),0)</f>
        <v>0</v>
      </c>
      <c r="E45" s="362">
        <f>IFERROR(VLOOKUP(C45,'تقرير المصروفات حسب الشهر'!$C$135:$AD$244,15,FALSE),0)</f>
        <v>0</v>
      </c>
      <c r="F45" s="362">
        <v>0</v>
      </c>
      <c r="G45" s="362">
        <f>IFERROR(VLOOKUP(C45,'تقرير المصروفات حسب الشهر'!$C$387:$AD$495,15,FALSE),0)</f>
        <v>0</v>
      </c>
      <c r="H45" s="362">
        <f>IFERROR(VLOOKUP(C45,'تقرير المصروفات حسب الشهر'!$C$512:$AD$620,15,FALSE),0)</f>
        <v>200</v>
      </c>
      <c r="I45" s="362">
        <f>IFERROR(VLOOKUP(C45,'تقرير المصروفات حسب الشهر'!$C$637:$AD$746,15,FALSE),0)</f>
        <v>0</v>
      </c>
      <c r="J45" s="362">
        <f>IFERROR(VLOOKUP(C45,'تقرير المصروفات حسب الشهر'!$C$763:$AD$872,15,FALSE),0)</f>
        <v>0</v>
      </c>
      <c r="K45" s="362">
        <f>IFERROR(VLOOKUP(C45,'تقرير المصروفات حسب الشهر'!$C$890:$AD$999,15,FALSE),0)</f>
        <v>0</v>
      </c>
      <c r="L45" s="362">
        <f>IFERROR(VLOOKUP(C45,'تقرير المصروفات حسب الشهر'!$C$1016:$AD$1126,15,FALSE),0)</f>
        <v>0</v>
      </c>
      <c r="M45" s="376">
        <f>IFERROR(VLOOKUP(C45,'تقرير المصروفات حسب الشهر'!$C$1143:$AD$1254,15,FALSE),0)</f>
        <v>0</v>
      </c>
      <c r="N45" s="376">
        <f>IFERROR(VLOOKUP(C45,'تقرير المصروفات حسب الشهر'!$C$1270:$AD$1381,15,FALSE),0)</f>
        <v>0</v>
      </c>
      <c r="O45" s="376">
        <f>IFERROR(VLOOKUP(C45,'تقرير المصروفات حسب الشهر'!$C$1397:$AI$1512,15,FALSE),0)</f>
        <v>0</v>
      </c>
      <c r="P45" s="364">
        <f t="shared" si="5"/>
        <v>200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الشهر'!$C$10:$AD$119,15,FALSE),0)</f>
        <v>209.87</v>
      </c>
      <c r="E46" s="362">
        <f>IFERROR(VLOOKUP(C46,'تقرير المصروفات حسب الشهر'!$C$135:$AD$244,15,FALSE),0)</f>
        <v>209.87</v>
      </c>
      <c r="F46" s="362">
        <v>209.87</v>
      </c>
      <c r="G46" s="362">
        <f>IFERROR(VLOOKUP(C46,'تقرير المصروفات حسب الشهر'!$C$387:$AD$495,15,FALSE),0)</f>
        <v>209.87</v>
      </c>
      <c r="H46" s="362">
        <f>IFERROR(VLOOKUP(C46,'تقرير المصروفات حسب الشهر'!$C$512:$AD$620,15,FALSE),0)</f>
        <v>209.87</v>
      </c>
      <c r="I46" s="362">
        <f>IFERROR(VLOOKUP(C46,'تقرير المصروفات حسب الشهر'!$C$637:$AD$746,15,FALSE),0)</f>
        <v>209.87</v>
      </c>
      <c r="J46" s="362">
        <f>IFERROR(VLOOKUP(C46,'تقرير المصروفات حسب الشهر'!$C$763:$AD$872,15,FALSE),0)</f>
        <v>209.87</v>
      </c>
      <c r="K46" s="362">
        <f>IFERROR(VLOOKUP(C46,'تقرير المصروفات حسب الشهر'!$C$890:$AD$999,15,FALSE),0)</f>
        <v>209.87</v>
      </c>
      <c r="L46" s="362">
        <f>IFERROR(VLOOKUP(C46,'تقرير المصروفات حسب الشهر'!$C$1016:$AD$1126,15,FALSE),0)</f>
        <v>209.87</v>
      </c>
      <c r="M46" s="376">
        <f>IFERROR(VLOOKUP(C46,'تقرير المصروفات حسب الشهر'!$C$1143:$AD$1254,15,FALSE),0)</f>
        <v>209.87</v>
      </c>
      <c r="N46" s="376">
        <f>IFERROR(VLOOKUP(C46,'تقرير المصروفات حسب الشهر'!$C$1270:$AD$1381,15,FALSE),0)</f>
        <v>209.87</v>
      </c>
      <c r="O46" s="376">
        <f>IFERROR(VLOOKUP(C46,'تقرير المصروفات حسب الشهر'!$C$1397:$AI$1512,15,FALSE),0)</f>
        <v>209.87</v>
      </c>
      <c r="P46" s="364">
        <f t="shared" si="5"/>
        <v>2518.4399999999991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الشهر'!$C$10:$AD$119,15,FALSE),0)</f>
        <v>0</v>
      </c>
      <c r="E47" s="362">
        <f>IFERROR(VLOOKUP(C47,'تقرير المصروفات حسب الشهر'!$C$135:$AD$244,15,FALSE),0)</f>
        <v>0</v>
      </c>
      <c r="F47" s="362">
        <v>0</v>
      </c>
      <c r="G47" s="362">
        <f>IFERROR(VLOOKUP(C47,'تقرير المصروفات حسب الشهر'!$C$387:$AD$495,15,FALSE),0)</f>
        <v>1100</v>
      </c>
      <c r="H47" s="362">
        <f>IFERROR(VLOOKUP(C47,'تقرير المصروفات حسب الشهر'!$C$512:$AD$620,15,FALSE),0)</f>
        <v>3200</v>
      </c>
      <c r="I47" s="362">
        <f>IFERROR(VLOOKUP(C47,'تقرير المصروفات حسب الشهر'!$C$637:$AD$746,15,FALSE),0)</f>
        <v>600</v>
      </c>
      <c r="J47" s="362">
        <f>IFERROR(VLOOKUP(C47,'تقرير المصروفات حسب الشهر'!$C$763:$AD$872,15,FALSE),0)</f>
        <v>2600</v>
      </c>
      <c r="K47" s="362">
        <f>IFERROR(VLOOKUP(C47,'تقرير المصروفات حسب الشهر'!$C$890:$AD$999,15,FALSE),0)</f>
        <v>600</v>
      </c>
      <c r="L47" s="362">
        <f>IFERROR(VLOOKUP(C47,'تقرير المصروفات حسب الشهر'!$C$1016:$AD$1126,15,FALSE),0)</f>
        <v>0</v>
      </c>
      <c r="M47" s="376">
        <f>IFERROR(VLOOKUP(C47,'تقرير المصروفات حسب الشهر'!$C$1143:$AD$1254,15,FALSE),0)</f>
        <v>1200</v>
      </c>
      <c r="N47" s="376">
        <f>IFERROR(VLOOKUP(C47,'تقرير المصروفات حسب الشهر'!$C$1270:$AD$1381,15,FALSE),0)</f>
        <v>600</v>
      </c>
      <c r="O47" s="376">
        <f>IFERROR(VLOOKUP(C47,'تقرير المصروفات حسب الشهر'!$C$1397:$AI$1512,15,FALSE),0)</f>
        <v>0</v>
      </c>
      <c r="P47" s="364">
        <f t="shared" si="5"/>
        <v>9900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الشهر'!$C$10:$AD$119,15,FALSE),0)</f>
        <v>0</v>
      </c>
      <c r="E48" s="362">
        <f>IFERROR(VLOOKUP(C48,'تقرير المصروفات حسب الشهر'!$C$135:$AD$244,15,FALSE),0)</f>
        <v>0</v>
      </c>
      <c r="F48" s="362">
        <v>0</v>
      </c>
      <c r="G48" s="362">
        <f>IFERROR(VLOOKUP(C48,'تقرير المصروفات حسب الشهر'!$C$387:$AD$495,15,FALSE),0)</f>
        <v>0</v>
      </c>
      <c r="H48" s="362">
        <f>IFERROR(VLOOKUP(C48,'تقرير المصروفات حسب الشهر'!$C$512:$AD$620,15,FALSE),0)</f>
        <v>0</v>
      </c>
      <c r="I48" s="362">
        <f>IFERROR(VLOOKUP(C48,'تقرير المصروفات حسب الشهر'!$C$637:$AD$746,15,FALSE),0)</f>
        <v>0</v>
      </c>
      <c r="J48" s="362">
        <f>IFERROR(VLOOKUP(C48,'تقرير المصروفات حسب الشهر'!$C$763:$AD$872,15,FALSE),0)</f>
        <v>0</v>
      </c>
      <c r="K48" s="362">
        <f>IFERROR(VLOOKUP(C48,'تقرير المصروفات حسب الشهر'!$C$890:$AD$999,15,FALSE),0)</f>
        <v>0</v>
      </c>
      <c r="L48" s="362">
        <f>IFERROR(VLOOKUP(C48,'تقرير المصروفات حسب الشهر'!$C$1016:$AD$1126,15,FALSE),0)</f>
        <v>210</v>
      </c>
      <c r="M48" s="376">
        <f>IFERROR(VLOOKUP(C48,'تقرير المصروفات حسب الشهر'!$C$1143:$AD$1254,15,FALSE),0)</f>
        <v>0</v>
      </c>
      <c r="N48" s="376">
        <f>IFERROR(VLOOKUP(C48,'تقرير المصروفات حسب الشهر'!$C$1270:$AD$1381,15,FALSE),0)</f>
        <v>10160</v>
      </c>
      <c r="O48" s="376">
        <f>IFERROR(VLOOKUP(C48,'تقرير المصروفات حسب الشهر'!$C$1397:$AI$1512,15,FALSE),0)</f>
        <v>750</v>
      </c>
      <c r="P48" s="364">
        <f t="shared" si="5"/>
        <v>11120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الشهر'!$C$10:$AD$119,15,FALSE),0)</f>
        <v>0</v>
      </c>
      <c r="E49" s="362">
        <f>IFERROR(VLOOKUP(C49,'تقرير المصروفات حسب الشهر'!$C$135:$AD$244,15,FALSE),0)</f>
        <v>0</v>
      </c>
      <c r="F49" s="362">
        <v>0</v>
      </c>
      <c r="G49" s="362">
        <f>IFERROR(VLOOKUP(C49,'تقرير المصروفات حسب الشهر'!$C$387:$AD$495,15,FALSE),0)</f>
        <v>0</v>
      </c>
      <c r="H49" s="362">
        <f>IFERROR(VLOOKUP(C49,'تقرير المصروفات حسب الشهر'!$C$512:$AD$620,15,FALSE),0)</f>
        <v>0</v>
      </c>
      <c r="I49" s="362">
        <f>IFERROR(VLOOKUP(C49,'تقرير المصروفات حسب الشهر'!$C$637:$AD$746,15,FALSE),0)</f>
        <v>300</v>
      </c>
      <c r="J49" s="362">
        <f>IFERROR(VLOOKUP(C49,'تقرير المصروفات حسب الشهر'!$C$763:$AD$872,15,FALSE),0)</f>
        <v>0</v>
      </c>
      <c r="K49" s="362">
        <f>IFERROR(VLOOKUP(C49,'تقرير المصروفات حسب الشهر'!$C$890:$AD$999,15,FALSE),0)</f>
        <v>0</v>
      </c>
      <c r="L49" s="362">
        <f>IFERROR(VLOOKUP(C49,'تقرير المصروفات حسب الشهر'!$C$1016:$AD$1126,15,FALSE),0)</f>
        <v>0</v>
      </c>
      <c r="M49" s="376">
        <f>IFERROR(VLOOKUP(C49,'تقرير المصروفات حسب الشهر'!$C$1143:$AD$1254,15,FALSE),0)</f>
        <v>0</v>
      </c>
      <c r="N49" s="376">
        <f>IFERROR(VLOOKUP(C49,'تقرير المصروفات حسب الشهر'!$C$1270:$AD$1381,15,FALSE),0)</f>
        <v>0</v>
      </c>
      <c r="O49" s="376">
        <f>IFERROR(VLOOKUP(C49,'تقرير المصروفات حسب الشهر'!$C$1397:$AI$1512,15,FALSE),0)</f>
        <v>0</v>
      </c>
      <c r="P49" s="364">
        <f t="shared" si="5"/>
        <v>300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الشهر'!$C$10:$AD$119,15,FALSE),0)</f>
        <v>0</v>
      </c>
      <c r="E50" s="362">
        <f>IFERROR(VLOOKUP(C50,'تقرير المصروفات حسب الشهر'!$C$135:$AD$244,15,FALSE),0)</f>
        <v>0</v>
      </c>
      <c r="F50" s="362">
        <v>0</v>
      </c>
      <c r="G50" s="362">
        <f>IFERROR(VLOOKUP(C50,'تقرير المصروفات حسب الشهر'!$C$387:$AD$495,15,FALSE),0)</f>
        <v>0</v>
      </c>
      <c r="H50" s="362">
        <f>IFERROR(VLOOKUP(C50,'تقرير المصروفات حسب الشهر'!$C$512:$AD$620,15,FALSE),0)</f>
        <v>0</v>
      </c>
      <c r="I50" s="362">
        <f>IFERROR(VLOOKUP(C50,'تقرير المصروفات حسب الشهر'!$C$637:$AD$746,15,FALSE),0)</f>
        <v>0</v>
      </c>
      <c r="J50" s="362">
        <f>IFERROR(VLOOKUP(C50,'تقرير المصروفات حسب الشهر'!$C$763:$AD$872,15,FALSE),0)</f>
        <v>0</v>
      </c>
      <c r="K50" s="362">
        <f>IFERROR(VLOOKUP(C50,'تقرير المصروفات حسب الشهر'!$C$890:$AD$999,15,FALSE),0)</f>
        <v>0</v>
      </c>
      <c r="L50" s="362">
        <f>IFERROR(VLOOKUP(C50,'تقرير المصروفات حسب الشهر'!$C$1016:$AD$1126,15,FALSE),0)</f>
        <v>0</v>
      </c>
      <c r="M50" s="376">
        <f>IFERROR(VLOOKUP(C50,'تقرير المصروفات حسب الشهر'!$C$1143:$AD$1254,15,FALSE),0)</f>
        <v>0</v>
      </c>
      <c r="N50" s="376">
        <f>IFERROR(VLOOKUP(C50,'تقرير المصروفات حسب الشهر'!$C$1270:$AD$1381,15,FALSE),0)</f>
        <v>0</v>
      </c>
      <c r="O50" s="376">
        <f>IFERROR(VLOOKUP(C50,'تقرير المصروفات حسب الشهر'!$C$1397:$AI$1512,15,FALSE),0)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الشهر'!$C$10:$AD$119,15,FALSE),0)</f>
        <v>1700</v>
      </c>
      <c r="E51" s="362">
        <f>IFERROR(VLOOKUP(C51,'تقرير المصروفات حسب الشهر'!$C$135:$AD$244,15,FALSE),0)</f>
        <v>1940</v>
      </c>
      <c r="F51" s="362">
        <v>14200</v>
      </c>
      <c r="G51" s="362">
        <f>IFERROR(VLOOKUP(C51,'تقرير المصروفات حسب الشهر'!$C$387:$AD$495,15,FALSE),0)</f>
        <v>10200</v>
      </c>
      <c r="H51" s="362">
        <f>IFERROR(VLOOKUP(C51,'تقرير المصروفات حسب الشهر'!$C$512:$AD$620,15,FALSE),0)</f>
        <v>1500</v>
      </c>
      <c r="I51" s="362">
        <f>IFERROR(VLOOKUP(C51,'تقرير المصروفات حسب الشهر'!$C$637:$AD$746,15,FALSE),0)</f>
        <v>1700</v>
      </c>
      <c r="J51" s="362">
        <f>IFERROR(VLOOKUP(C51,'تقرير المصروفات حسب الشهر'!$C$763:$AD$872,15,FALSE),0)</f>
        <v>1899.5</v>
      </c>
      <c r="K51" s="362">
        <f>IFERROR(VLOOKUP(C51,'تقرير المصروفات حسب الشهر'!$C$890:$AD$999,15,FALSE),0)</f>
        <v>2080</v>
      </c>
      <c r="L51" s="362">
        <f>IFERROR(VLOOKUP(C51,'تقرير المصروفات حسب الشهر'!$C$1016:$AD$1126,15,FALSE),0)</f>
        <v>1500</v>
      </c>
      <c r="M51" s="376">
        <f>IFERROR(VLOOKUP(C51,'تقرير المصروفات حسب الشهر'!$C$1143:$AD$1254,15,FALSE),0)</f>
        <v>1500</v>
      </c>
      <c r="N51" s="376">
        <f>IFERROR(VLOOKUP(C51,'تقرير المصروفات حسب الشهر'!$C$1270:$AD$1381,15,FALSE),0)</f>
        <v>1700</v>
      </c>
      <c r="O51" s="376">
        <f>IFERROR(VLOOKUP(C51,'تقرير المصروفات حسب الشهر'!$C$1397:$AI$1512,15,FALSE),0)</f>
        <v>4980</v>
      </c>
      <c r="P51" s="364">
        <f t="shared" si="5"/>
        <v>44899.5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الشهر'!$C$10:$AD$119,15,FALSE),0)</f>
        <v>0</v>
      </c>
      <c r="E52" s="362">
        <f>IFERROR(VLOOKUP(C52,'تقرير المصروفات حسب الشهر'!$C$135:$AD$244,15,FALSE),0)</f>
        <v>0</v>
      </c>
      <c r="F52" s="362">
        <v>0</v>
      </c>
      <c r="G52" s="362">
        <f>IFERROR(VLOOKUP(C52,'تقرير المصروفات حسب الشهر'!$C$387:$AD$495,15,FALSE),0)</f>
        <v>0</v>
      </c>
      <c r="H52" s="362">
        <f>IFERROR(VLOOKUP(C52,'تقرير المصروفات حسب الشهر'!$C$512:$AD$620,15,FALSE),0)</f>
        <v>0</v>
      </c>
      <c r="I52" s="362">
        <f>IFERROR(VLOOKUP(C52,'تقرير المصروفات حسب الشهر'!$C$637:$AD$746,15,FALSE),0)</f>
        <v>0</v>
      </c>
      <c r="J52" s="362">
        <f>IFERROR(VLOOKUP(C52,'تقرير المصروفات حسب الشهر'!$C$763:$AD$872,15,FALSE),0)</f>
        <v>0</v>
      </c>
      <c r="K52" s="362">
        <f>IFERROR(VLOOKUP(C52,'تقرير المصروفات حسب الشهر'!$C$890:$AD$999,15,FALSE),0)</f>
        <v>900</v>
      </c>
      <c r="L52" s="362">
        <f>IFERROR(VLOOKUP(C52,'تقرير المصروفات حسب الشهر'!$C$1016:$AD$1126,15,FALSE),0)</f>
        <v>345</v>
      </c>
      <c r="M52" s="376">
        <f>IFERROR(VLOOKUP(C52,'تقرير المصروفات حسب الشهر'!$C$1143:$AD$1254,15,FALSE),0)</f>
        <v>1100</v>
      </c>
      <c r="N52" s="376">
        <f>IFERROR(VLOOKUP(C52,'تقرير المصروفات حسب الشهر'!$C$1270:$AD$1381,15,FALSE),0)</f>
        <v>0</v>
      </c>
      <c r="O52" s="376">
        <f>IFERROR(VLOOKUP(C52,'تقرير المصروفات حسب الشهر'!$C$1397:$AI$1512,15,FALSE),0)</f>
        <v>0</v>
      </c>
      <c r="P52" s="364">
        <f t="shared" si="5"/>
        <v>2345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الشهر'!$C$10:$AD$119,15,FALSE),0)</f>
        <v>0</v>
      </c>
      <c r="E53" s="362">
        <f>IFERROR(VLOOKUP(C53,'تقرير المصروفات حسب الشهر'!$C$135:$AD$244,15,FALSE),0)</f>
        <v>0</v>
      </c>
      <c r="F53" s="362">
        <v>0</v>
      </c>
      <c r="G53" s="362">
        <f>IFERROR(VLOOKUP(C53,'تقرير المصروفات حسب الشهر'!$C$387:$AD$495,15,FALSE),0)</f>
        <v>0</v>
      </c>
      <c r="H53" s="362">
        <f>IFERROR(VLOOKUP(C53,'تقرير المصروفات حسب الشهر'!$C$512:$AD$620,15,FALSE),0)</f>
        <v>0</v>
      </c>
      <c r="I53" s="362">
        <f>IFERROR(VLOOKUP(C53,'تقرير المصروفات حسب الشهر'!$C$637:$AD$746,15,FALSE),0)</f>
        <v>0</v>
      </c>
      <c r="J53" s="362">
        <f>IFERROR(VLOOKUP(C53,'تقرير المصروفات حسب الشهر'!$C$763:$AD$872,15,FALSE),0)</f>
        <v>0</v>
      </c>
      <c r="K53" s="362">
        <f>IFERROR(VLOOKUP(C53,'تقرير المصروفات حسب الشهر'!$C$890:$AD$999,15,FALSE),0)</f>
        <v>0</v>
      </c>
      <c r="L53" s="362">
        <f>IFERROR(VLOOKUP(C53,'تقرير المصروفات حسب الشهر'!$C$1016:$AD$1126,15,FALSE),0)</f>
        <v>0</v>
      </c>
      <c r="M53" s="376">
        <f>IFERROR(VLOOKUP(C53,'تقرير المصروفات حسب الشهر'!$C$1143:$AD$1254,15,FALSE),0)</f>
        <v>0</v>
      </c>
      <c r="N53" s="376">
        <f>IFERROR(VLOOKUP(C53,'تقرير المصروفات حسب الشهر'!$C$1270:$AD$1381,15,FALSE),0)</f>
        <v>0</v>
      </c>
      <c r="O53" s="376">
        <f>IFERROR(VLOOKUP(C53,'تقرير المصروفات حسب الشهر'!$C$1397:$AI$1512,15,FALSE),0)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الشهر'!$C$10:$AD$119,15,FALSE),0)</f>
        <v>11000</v>
      </c>
      <c r="E54" s="362">
        <f>IFERROR(VLOOKUP(C54,'تقرير المصروفات حسب الشهر'!$C$135:$AD$244,15,FALSE),0)</f>
        <v>0</v>
      </c>
      <c r="F54" s="362">
        <v>25300</v>
      </c>
      <c r="G54" s="362">
        <f>IFERROR(VLOOKUP(C54,'تقرير المصروفات حسب الشهر'!$C$387:$AD$495,15,FALSE),0)</f>
        <v>13630</v>
      </c>
      <c r="H54" s="362">
        <f>IFERROR(VLOOKUP(C54,'تقرير المصروفات حسب الشهر'!$C$512:$AD$620,15,FALSE),0)</f>
        <v>17000</v>
      </c>
      <c r="I54" s="362">
        <f>IFERROR(VLOOKUP(C54,'تقرير المصروفات حسب الشهر'!$C$637:$AD$746,15,FALSE),0)</f>
        <v>15900</v>
      </c>
      <c r="J54" s="362">
        <f>IFERROR(VLOOKUP(C54,'تقرير المصروفات حسب الشهر'!$C$763:$AD$872,15,FALSE),0)</f>
        <v>18000</v>
      </c>
      <c r="K54" s="362">
        <f>IFERROR(VLOOKUP(C54,'تقرير المصروفات حسب الشهر'!$C$890:$AD$999,15,FALSE),0)</f>
        <v>18100</v>
      </c>
      <c r="L54" s="362">
        <f>IFERROR(VLOOKUP(C54,'تقرير المصروفات حسب الشهر'!$C$1016:$AD$1126,15,FALSE),0)</f>
        <v>20200</v>
      </c>
      <c r="M54" s="376">
        <f>IFERROR(VLOOKUP(C54,'تقرير المصروفات حسب الشهر'!$C$1143:$AD$1254,15,FALSE),0)</f>
        <v>10000</v>
      </c>
      <c r="N54" s="376">
        <f>IFERROR(VLOOKUP(C54,'تقرير المصروفات حسب الشهر'!$C$1270:$AD$1381,15,FALSE),0)</f>
        <v>0</v>
      </c>
      <c r="O54" s="376">
        <f>IFERROR(VLOOKUP(C54,'تقرير المصروفات حسب الشهر'!$C$1397:$AI$1512,15,FALSE),0)</f>
        <v>43000</v>
      </c>
      <c r="P54" s="364">
        <f t="shared" si="5"/>
        <v>192130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الشهر'!$C$10:$AD$119,15,FALSE),0)</f>
        <v>0</v>
      </c>
      <c r="E55" s="362">
        <f>IFERROR(VLOOKUP(C55,'تقرير المصروفات حسب الشهر'!$C$135:$AD$244,15,FALSE),0)</f>
        <v>0</v>
      </c>
      <c r="F55" s="362">
        <v>0</v>
      </c>
      <c r="G55" s="362">
        <f>IFERROR(VLOOKUP(C55,'تقرير المصروفات حسب الشهر'!$C$387:$AD$495,15,FALSE),0)</f>
        <v>0</v>
      </c>
      <c r="H55" s="362">
        <f>IFERROR(VLOOKUP(C55,'تقرير المصروفات حسب الشهر'!$C$512:$AD$620,15,FALSE),0)</f>
        <v>0</v>
      </c>
      <c r="I55" s="362">
        <f>IFERROR(VLOOKUP(C55,'تقرير المصروفات حسب الشهر'!$C$637:$AD$746,15,FALSE),0)</f>
        <v>0</v>
      </c>
      <c r="J55" s="362">
        <f>IFERROR(VLOOKUP(C55,'تقرير المصروفات حسب الشهر'!$C$763:$AD$872,15,FALSE),0)</f>
        <v>0</v>
      </c>
      <c r="K55" s="362">
        <f>IFERROR(VLOOKUP(C55,'تقرير المصروفات حسب الشهر'!$C$890:$AD$999,15,FALSE),0)</f>
        <v>0</v>
      </c>
      <c r="L55" s="362">
        <f>IFERROR(VLOOKUP(C55,'تقرير المصروفات حسب الشهر'!$C$1016:$AD$1126,15,FALSE),0)</f>
        <v>0</v>
      </c>
      <c r="M55" s="376">
        <f>IFERROR(VLOOKUP(C55,'تقرير المصروفات حسب الشهر'!$C$1143:$AD$1254,15,FALSE),0)</f>
        <v>0</v>
      </c>
      <c r="N55" s="376">
        <f>IFERROR(VLOOKUP(C55,'تقرير المصروفات حسب الشهر'!$C$1270:$AD$1381,15,FALSE),0)</f>
        <v>0</v>
      </c>
      <c r="O55" s="376">
        <f>IFERROR(VLOOKUP(C55,'تقرير المصروفات حسب الشهر'!$C$1397:$AI$1512,15,FALSE),0)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الشهر'!$C$10:$AD$119,15,FALSE),0)</f>
        <v>903.32</v>
      </c>
      <c r="E56" s="362">
        <f>IFERROR(VLOOKUP(C56,'تقرير المصروفات حسب الشهر'!$C$135:$AD$244,15,FALSE),0)</f>
        <v>552.6</v>
      </c>
      <c r="F56" s="362">
        <v>1139.81</v>
      </c>
      <c r="G56" s="362">
        <f>IFERROR(VLOOKUP(C56,'تقرير المصروفات حسب الشهر'!$C$387:$AD$495,15,FALSE),0)</f>
        <v>1340.79</v>
      </c>
      <c r="H56" s="362">
        <f>IFERROR(VLOOKUP(C56,'تقرير المصروفات حسب الشهر'!$C$512:$AD$620,15,FALSE),0)</f>
        <v>1292.79</v>
      </c>
      <c r="I56" s="362">
        <f>IFERROR(VLOOKUP(C56,'تقرير المصروفات حسب الشهر'!$C$637:$AD$746,15,FALSE),0)</f>
        <v>577.69000000000005</v>
      </c>
      <c r="J56" s="362">
        <f>IFERROR(VLOOKUP(C56,'تقرير المصروفات حسب الشهر'!$C$763:$AD$872,15,FALSE),0)</f>
        <v>820</v>
      </c>
      <c r="K56" s="362">
        <f>IFERROR(VLOOKUP(C56,'تقرير المصروفات حسب الشهر'!$C$890:$AD$999,15,FALSE),0)</f>
        <v>1170.29</v>
      </c>
      <c r="L56" s="362">
        <f>IFERROR(VLOOKUP(C56,'تقرير المصروفات حسب الشهر'!$C$1016:$AD$1126,15,FALSE),0)</f>
        <v>1143.57</v>
      </c>
      <c r="M56" s="376">
        <f>IFERROR(VLOOKUP(C56,'تقرير المصروفات حسب الشهر'!$C$1143:$AD$1254,15,FALSE),0)</f>
        <v>1686.29</v>
      </c>
      <c r="N56" s="376">
        <f>IFERROR(VLOOKUP(C56,'تقرير المصروفات حسب الشهر'!$C$1270:$AD$1381,15,FALSE),0)</f>
        <v>744.31</v>
      </c>
      <c r="O56" s="376">
        <f>IFERROR(VLOOKUP(C56,'تقرير المصروفات حسب الشهر'!$C$1397:$AI$1512,15,FALSE),0)</f>
        <v>583.28</v>
      </c>
      <c r="P56" s="364">
        <f t="shared" si="5"/>
        <v>11954.740000000002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الشهر'!$C$10:$AD$119,15,FALSE),0)</f>
        <v>0</v>
      </c>
      <c r="E57" s="362">
        <f>IFERROR(VLOOKUP(C57,'تقرير المصروفات حسب الشهر'!$C$135:$AD$244,15,FALSE),0)</f>
        <v>0</v>
      </c>
      <c r="F57" s="362">
        <v>0</v>
      </c>
      <c r="G57" s="362">
        <f>IFERROR(VLOOKUP(C57,'تقرير المصروفات حسب الشهر'!$C$387:$AD$495,15,FALSE),0)</f>
        <v>0</v>
      </c>
      <c r="H57" s="362">
        <f>IFERROR(VLOOKUP(C57,'تقرير المصروفات حسب الشهر'!$C$512:$AD$620,15,FALSE),0)</f>
        <v>0</v>
      </c>
      <c r="I57" s="362">
        <f>IFERROR(VLOOKUP(C57,'تقرير المصروفات حسب الشهر'!$C$637:$AD$746,15,FALSE),0)</f>
        <v>0</v>
      </c>
      <c r="J57" s="362">
        <f>IFERROR(VLOOKUP(C57,'تقرير المصروفات حسب الشهر'!$C$763:$AD$872,15,FALSE),0)</f>
        <v>0</v>
      </c>
      <c r="K57" s="362">
        <f>IFERROR(VLOOKUP(C57,'تقرير المصروفات حسب الشهر'!$C$890:$AD$999,15,FALSE),0)</f>
        <v>0</v>
      </c>
      <c r="L57" s="362">
        <f>IFERROR(VLOOKUP(C57,'تقرير المصروفات حسب الشهر'!$C$1016:$AD$1126,15,FALSE),0)</f>
        <v>0</v>
      </c>
      <c r="M57" s="376">
        <f>IFERROR(VLOOKUP(C57,'تقرير المصروفات حسب الشهر'!$C$1143:$AD$1254,15,FALSE),0)</f>
        <v>0</v>
      </c>
      <c r="N57" s="376">
        <f>IFERROR(VLOOKUP(C57,'تقرير المصروفات حسب الشهر'!$C$1270:$AD$1381,15,FALSE),0)</f>
        <v>0</v>
      </c>
      <c r="O57" s="376">
        <f>IFERROR(VLOOKUP(C57,'تقرير المصروفات حسب الشهر'!$C$1397:$AI$1512,15,FALSE),0)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الشهر'!$C$10:$AD$119,15,FALSE),0)</f>
        <v>0</v>
      </c>
      <c r="E58" s="362">
        <f>IFERROR(VLOOKUP(C58,'تقرير المصروفات حسب الشهر'!$C$135:$AD$244,15,FALSE),0)</f>
        <v>0</v>
      </c>
      <c r="F58" s="362">
        <v>0</v>
      </c>
      <c r="G58" s="362">
        <f>IFERROR(VLOOKUP(C58,'تقرير المصروفات حسب الشهر'!$C$387:$AD$495,15,FALSE),0)</f>
        <v>0</v>
      </c>
      <c r="H58" s="362">
        <f>IFERROR(VLOOKUP(C58,'تقرير المصروفات حسب الشهر'!$C$512:$AD$620,15,FALSE),0)</f>
        <v>0</v>
      </c>
      <c r="I58" s="362">
        <f>IFERROR(VLOOKUP(C58,'تقرير المصروفات حسب الشهر'!$C$637:$AD$746,15,FALSE),0)</f>
        <v>0</v>
      </c>
      <c r="J58" s="362">
        <f>IFERROR(VLOOKUP(C58,'تقرير المصروفات حسب الشهر'!$C$763:$AD$872,15,FALSE),0)</f>
        <v>0</v>
      </c>
      <c r="K58" s="362">
        <f>IFERROR(VLOOKUP(C58,'تقرير المصروفات حسب الشهر'!$C$890:$AD$999,15,FALSE),0)</f>
        <v>0</v>
      </c>
      <c r="L58" s="362">
        <f>IFERROR(VLOOKUP(C58,'تقرير المصروفات حسب الشهر'!$C$1016:$AD$1126,15,FALSE),0)</f>
        <v>0</v>
      </c>
      <c r="M58" s="376">
        <f>IFERROR(VLOOKUP(C58,'تقرير المصروفات حسب الشهر'!$C$1143:$AD$1254,15,FALSE),0)</f>
        <v>0</v>
      </c>
      <c r="N58" s="376">
        <f>IFERROR(VLOOKUP(C58,'تقرير المصروفات حسب الشهر'!$C$1270:$AD$1381,15,FALSE),0)</f>
        <v>0</v>
      </c>
      <c r="O58" s="376">
        <f>IFERROR(VLOOKUP(C58,'تقرير المصروفات حسب الشهر'!$C$1397:$AI$1512,15,FALSE),0)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الشهر'!$C$10:$AD$119,15,FALSE),0)</f>
        <v>0</v>
      </c>
      <c r="E59" s="362">
        <f>IFERROR(VLOOKUP(C59,'تقرير المصروفات حسب الشهر'!$C$135:$AD$244,15,FALSE),0)</f>
        <v>15225.25</v>
      </c>
      <c r="F59" s="362">
        <v>8777.5</v>
      </c>
      <c r="G59" s="362">
        <f>IFERROR(VLOOKUP(C59,'تقرير المصروفات حسب الشهر'!$C$387:$AD$495,15,FALSE),0)</f>
        <v>8887.25</v>
      </c>
      <c r="H59" s="362">
        <f>IFERROR(VLOOKUP(C59,'تقرير المصروفات حسب الشهر'!$C$512:$AD$620,15,FALSE),0)</f>
        <v>0</v>
      </c>
      <c r="I59" s="362">
        <f>IFERROR(VLOOKUP(C59,'تقرير المصروفات حسب الشهر'!$C$637:$AD$746,15,FALSE),0)</f>
        <v>8888.75</v>
      </c>
      <c r="J59" s="362">
        <f>IFERROR(VLOOKUP(C59,'تقرير المصروفات حسب الشهر'!$C$763:$AD$872,15,FALSE),0)</f>
        <v>8999.25</v>
      </c>
      <c r="K59" s="362">
        <f>IFERROR(VLOOKUP(C59,'تقرير المصروفات حسب الشهر'!$C$890:$AD$999,15,FALSE),0)</f>
        <v>0</v>
      </c>
      <c r="L59" s="362">
        <f>IFERROR(VLOOKUP(C59,'تقرير المصروفات حسب الشهر'!$C$1016:$AD$1126,15,FALSE),0)</f>
        <v>17555.560000000001</v>
      </c>
      <c r="M59" s="376">
        <f>IFERROR(VLOOKUP(C59,'تقرير المصروفات حسب الشهر'!$C$1143:$AD$1254,15,FALSE),0)</f>
        <v>8900.25</v>
      </c>
      <c r="N59" s="376">
        <f>IFERROR(VLOOKUP(C59,'تقرير المصروفات حسب الشهر'!$C$1270:$AD$1381,15,FALSE),0)</f>
        <v>14222.26</v>
      </c>
      <c r="O59" s="376">
        <f>IFERROR(VLOOKUP(C59,'تقرير المصروفات حسب الشهر'!$C$1397:$AI$1512,15,FALSE),0)</f>
        <v>10325.25</v>
      </c>
      <c r="P59" s="364">
        <f t="shared" si="5"/>
        <v>101781.31999999999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الشهر'!$C$10:$AD$119,15,FALSE),0)</f>
        <v>10920</v>
      </c>
      <c r="E60" s="362">
        <f>IFERROR(VLOOKUP(C60,'تقرير المصروفات حسب الشهر'!$C$135:$AD$244,15,FALSE),0)</f>
        <v>0</v>
      </c>
      <c r="F60" s="362">
        <v>6000</v>
      </c>
      <c r="G60" s="362">
        <f>IFERROR(VLOOKUP(C60,'تقرير المصروفات حسب الشهر'!$C$387:$AD$495,15,FALSE),0)</f>
        <v>4960</v>
      </c>
      <c r="H60" s="362">
        <f>IFERROR(VLOOKUP(C60,'تقرير المصروفات حسب الشهر'!$C$512:$AD$620,15,FALSE),0)</f>
        <v>0</v>
      </c>
      <c r="I60" s="362">
        <f>IFERROR(VLOOKUP(C60,'تقرير المصروفات حسب الشهر'!$C$637:$AD$746,15,FALSE),0)</f>
        <v>15500</v>
      </c>
      <c r="J60" s="362">
        <f>IFERROR(VLOOKUP(C60,'تقرير المصروفات حسب الشهر'!$C$763:$AD$872,15,FALSE),0)</f>
        <v>0</v>
      </c>
      <c r="K60" s="362">
        <f>IFERROR(VLOOKUP(C60,'تقرير المصروفات حسب الشهر'!$C$890:$AD$999,15,FALSE),0)</f>
        <v>26400</v>
      </c>
      <c r="L60" s="362">
        <f>IFERROR(VLOOKUP(C60,'تقرير المصروفات حسب الشهر'!$C$1016:$AD$1126,15,FALSE),0)</f>
        <v>0</v>
      </c>
      <c r="M60" s="376">
        <f>IFERROR(VLOOKUP(C60,'تقرير المصروفات حسب الشهر'!$C$1143:$AD$1254,15,FALSE),0)</f>
        <v>6930</v>
      </c>
      <c r="N60" s="376">
        <f>IFERROR(VLOOKUP(C60,'تقرير المصروفات حسب الشهر'!$C$1270:$AD$1381,15,FALSE),0)</f>
        <v>0</v>
      </c>
      <c r="O60" s="376">
        <f>IFERROR(VLOOKUP(C60,'تقرير المصروفات حسب الشهر'!$C$1397:$AI$1512,15,FALSE),0)</f>
        <v>12860</v>
      </c>
      <c r="P60" s="364">
        <f t="shared" si="5"/>
        <v>83570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الشهر'!$C$10:$AD$119,15,FALSE),0)</f>
        <v>0</v>
      </c>
      <c r="E61" s="362">
        <f>IFERROR(VLOOKUP(C61,'تقرير المصروفات حسب الشهر'!$C$135:$AD$244,15,FALSE),0)</f>
        <v>1500</v>
      </c>
      <c r="F61" s="362">
        <v>300</v>
      </c>
      <c r="G61" s="362">
        <f>IFERROR(VLOOKUP(C61,'تقرير المصروفات حسب الشهر'!$C$387:$AD$495,15,FALSE),0)</f>
        <v>1000</v>
      </c>
      <c r="H61" s="362">
        <f>IFERROR(VLOOKUP(C61,'تقرير المصروفات حسب الشهر'!$C$512:$AD$620,15,FALSE),0)</f>
        <v>200</v>
      </c>
      <c r="I61" s="362">
        <f>IFERROR(VLOOKUP(C61,'تقرير المصروفات حسب الشهر'!$C$637:$AD$746,15,FALSE),0)</f>
        <v>300</v>
      </c>
      <c r="J61" s="362">
        <f>IFERROR(VLOOKUP(C61,'تقرير المصروفات حسب الشهر'!$C$763:$AD$872,15,FALSE),0)</f>
        <v>600</v>
      </c>
      <c r="K61" s="362">
        <f>IFERROR(VLOOKUP(C61,'تقرير المصروفات حسب الشهر'!$C$890:$AD$999,15,FALSE),0)</f>
        <v>1000</v>
      </c>
      <c r="L61" s="362">
        <f>IFERROR(VLOOKUP(C61,'تقرير المصروفات حسب الشهر'!$C$1016:$AD$1126,15,FALSE),0)</f>
        <v>950</v>
      </c>
      <c r="M61" s="376">
        <f>IFERROR(VLOOKUP(C61,'تقرير المصروفات حسب الشهر'!$C$1143:$AD$1254,15,FALSE),0)</f>
        <v>2620</v>
      </c>
      <c r="N61" s="376">
        <f>IFERROR(VLOOKUP(C61,'تقرير المصروفات حسب الشهر'!$C$1270:$AD$1381,15,FALSE),0)</f>
        <v>1000</v>
      </c>
      <c r="O61" s="376">
        <f>IFERROR(VLOOKUP(C61,'تقرير المصروفات حسب الشهر'!$C$1397:$AI$1512,15,FALSE),0)</f>
        <v>700</v>
      </c>
      <c r="P61" s="364">
        <f t="shared" si="5"/>
        <v>10170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الشهر'!$C$10:$AD$119,15,FALSE),0)</f>
        <v>0</v>
      </c>
      <c r="E62" s="362">
        <f>IFERROR(VLOOKUP(C62,'تقرير المصروفات حسب الشهر'!$C$135:$AD$244,15,FALSE),0)</f>
        <v>0</v>
      </c>
      <c r="F62" s="362">
        <v>3420</v>
      </c>
      <c r="G62" s="362">
        <f>IFERROR(VLOOKUP(C62,'تقرير المصروفات حسب الشهر'!$C$387:$AD$495,15,FALSE),0)</f>
        <v>0</v>
      </c>
      <c r="H62" s="362">
        <f>IFERROR(VLOOKUP(C62,'تقرير المصروفات حسب الشهر'!$C$512:$AD$620,15,FALSE),0)</f>
        <v>3110</v>
      </c>
      <c r="I62" s="362">
        <f>IFERROR(VLOOKUP(C62,'تقرير المصروفات حسب الشهر'!$C$637:$AD$746,15,FALSE),0)</f>
        <v>0</v>
      </c>
      <c r="J62" s="362">
        <f>IFERROR(VLOOKUP(C62,'تقرير المصروفات حسب الشهر'!$C$763:$AD$872,15,FALSE),0)</f>
        <v>0</v>
      </c>
      <c r="K62" s="362">
        <f>IFERROR(VLOOKUP(C62,'تقرير المصروفات حسب الشهر'!$C$890:$AD$999,15,FALSE),0)</f>
        <v>0</v>
      </c>
      <c r="L62" s="362">
        <f>IFERROR(VLOOKUP(C62,'تقرير المصروفات حسب الشهر'!$C$1016:$AD$1126,15,FALSE),0)</f>
        <v>3608</v>
      </c>
      <c r="M62" s="376">
        <f>IFERROR(VLOOKUP(C62,'تقرير المصروفات حسب الشهر'!$C$1143:$AD$1254,15,FALSE),0)</f>
        <v>0</v>
      </c>
      <c r="N62" s="376">
        <f>IFERROR(VLOOKUP(C62,'تقرير المصروفات حسب الشهر'!$C$1270:$AD$1381,15,FALSE),0)</f>
        <v>0</v>
      </c>
      <c r="O62" s="376">
        <f>IFERROR(VLOOKUP(C62,'تقرير المصروفات حسب الشهر'!$C$1397:$AI$1512,15,FALSE),0)</f>
        <v>0</v>
      </c>
      <c r="P62" s="364">
        <f t="shared" si="5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الشهر'!$C$10:$AD$119,15,FALSE),0)</f>
        <v>4800</v>
      </c>
      <c r="E63" s="362">
        <f>IFERROR(VLOOKUP(C63,'تقرير المصروفات حسب الشهر'!$C$135:$AD$244,15,FALSE),0)</f>
        <v>0</v>
      </c>
      <c r="F63" s="362">
        <v>0</v>
      </c>
      <c r="G63" s="362">
        <f>IFERROR(VLOOKUP(C63,'تقرير المصروفات حسب الشهر'!$C$387:$AD$495,15,FALSE),0)</f>
        <v>0</v>
      </c>
      <c r="H63" s="362">
        <f>IFERROR(VLOOKUP(C63,'تقرير المصروفات حسب الشهر'!$C$512:$AD$620,15,FALSE),0)</f>
        <v>0</v>
      </c>
      <c r="I63" s="362">
        <f>IFERROR(VLOOKUP(C63,'تقرير المصروفات حسب الشهر'!$C$637:$AD$746,15,FALSE),0)</f>
        <v>0</v>
      </c>
      <c r="J63" s="362">
        <f>IFERROR(VLOOKUP(C63,'تقرير المصروفات حسب الشهر'!$C$763:$AD$872,15,FALSE),0)</f>
        <v>2200</v>
      </c>
      <c r="K63" s="362">
        <f>IFERROR(VLOOKUP(C63,'تقرير المصروفات حسب الشهر'!$C$890:$AD$999,15,FALSE),0)</f>
        <v>0</v>
      </c>
      <c r="L63" s="362">
        <f>IFERROR(VLOOKUP(C63,'تقرير المصروفات حسب الشهر'!$C$1016:$AD$1126,15,FALSE),0)</f>
        <v>0</v>
      </c>
      <c r="M63" s="376">
        <f>IFERROR(VLOOKUP(C63,'تقرير المصروفات حسب الشهر'!$C$1143:$AD$1254,15,FALSE),0)</f>
        <v>0</v>
      </c>
      <c r="N63" s="376">
        <f>IFERROR(VLOOKUP(C63,'تقرير المصروفات حسب الشهر'!$C$1270:$AD$1381,15,FALSE),0)</f>
        <v>700</v>
      </c>
      <c r="O63" s="376">
        <f>IFERROR(VLOOKUP(C63,'تقرير المصروفات حسب الشهر'!$C$1397:$AI$1512,15,FALSE),0)</f>
        <v>0</v>
      </c>
      <c r="P63" s="364">
        <f t="shared" si="5"/>
        <v>7700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الشهر'!$C$10:$AD$119,15,FALSE),0)</f>
        <v>0</v>
      </c>
      <c r="E64" s="362">
        <f>IFERROR(VLOOKUP(C64,'تقرير المصروفات حسب الشهر'!$C$135:$AD$244,15,FALSE),0)</f>
        <v>0</v>
      </c>
      <c r="F64" s="362">
        <v>9225</v>
      </c>
      <c r="G64" s="362">
        <f>IFERROR(VLOOKUP(C64,'تقرير المصروفات حسب الشهر'!$C$387:$AD$495,15,FALSE),0)</f>
        <v>4710</v>
      </c>
      <c r="H64" s="362">
        <f>IFERROR(VLOOKUP(C64,'تقرير المصروفات حسب الشهر'!$C$512:$AD$620,15,FALSE),0)</f>
        <v>0</v>
      </c>
      <c r="I64" s="362">
        <f>IFERROR(VLOOKUP(C64,'تقرير المصروفات حسب الشهر'!$C$637:$AD$746,15,FALSE),0)</f>
        <v>0</v>
      </c>
      <c r="J64" s="362">
        <f>IFERROR(VLOOKUP(C64,'تقرير المصروفات حسب الشهر'!$C$763:$AD$872,15,FALSE),0)</f>
        <v>0</v>
      </c>
      <c r="K64" s="362">
        <f>IFERROR(VLOOKUP(C64,'تقرير المصروفات حسب الشهر'!$C$890:$AD$999,15,FALSE),0)</f>
        <v>0</v>
      </c>
      <c r="L64" s="362">
        <f>IFERROR(VLOOKUP(C64,'تقرير المصروفات حسب الشهر'!$C$1016:$AD$1126,15,FALSE),0)</f>
        <v>0</v>
      </c>
      <c r="M64" s="376">
        <f>IFERROR(VLOOKUP(C64,'تقرير المصروفات حسب الشهر'!$C$1143:$AD$1254,15,FALSE),0)</f>
        <v>0</v>
      </c>
      <c r="N64" s="376">
        <f>IFERROR(VLOOKUP(C64,'تقرير المصروفات حسب الشهر'!$C$1270:$AD$1381,15,FALSE),0)</f>
        <v>0</v>
      </c>
      <c r="O64" s="376">
        <f>IFERROR(VLOOKUP(C64,'تقرير المصروفات حسب الشهر'!$C$1397:$AI$1512,15,FALSE),0)</f>
        <v>0</v>
      </c>
      <c r="P64" s="364">
        <f t="shared" si="5"/>
        <v>13935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الشهر'!$C$10:$AD$119,15,FALSE),0)</f>
        <v>0</v>
      </c>
      <c r="E65" s="362">
        <f>IFERROR(VLOOKUP(C65,'تقرير المصروفات حسب الشهر'!$C$135:$AD$244,15,FALSE),0)</f>
        <v>0</v>
      </c>
      <c r="F65" s="362">
        <v>0</v>
      </c>
      <c r="G65" s="362">
        <f>IFERROR(VLOOKUP(C65,'تقرير المصروفات حسب الشهر'!$C$387:$AD$495,15,FALSE),0)</f>
        <v>0</v>
      </c>
      <c r="H65" s="362">
        <f>IFERROR(VLOOKUP(C65,'تقرير المصروفات حسب الشهر'!$C$512:$AD$620,15,FALSE),0)</f>
        <v>0</v>
      </c>
      <c r="I65" s="362">
        <f>IFERROR(VLOOKUP(C65,'تقرير المصروفات حسب الشهر'!$C$637:$AD$746,15,FALSE),0)</f>
        <v>0</v>
      </c>
      <c r="J65" s="362">
        <f>IFERROR(VLOOKUP(C65,'تقرير المصروفات حسب الشهر'!$C$763:$AD$872,15,FALSE),0)</f>
        <v>0</v>
      </c>
      <c r="K65" s="362">
        <f>IFERROR(VLOOKUP(C65,'تقرير المصروفات حسب الشهر'!$C$890:$AD$999,15,FALSE),0)</f>
        <v>0</v>
      </c>
      <c r="L65" s="362">
        <f>IFERROR(VLOOKUP(C65,'تقرير المصروفات حسب الشهر'!$C$1016:$AD$1126,15,FALSE),0)</f>
        <v>0</v>
      </c>
      <c r="M65" s="376">
        <f>IFERROR(VLOOKUP(C65,'تقرير المصروفات حسب الشهر'!$C$1143:$AD$1254,15,FALSE),0)</f>
        <v>0</v>
      </c>
      <c r="N65" s="376">
        <f>IFERROR(VLOOKUP(C65,'تقرير المصروفات حسب الشهر'!$C$1270:$AD$1381,15,FALSE),0)</f>
        <v>0</v>
      </c>
      <c r="O65" s="376">
        <f>IFERROR(VLOOKUP(C65,'تقرير المصروفات حسب الشهر'!$C$1397:$AI$1512,15,FALSE),0)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الشهر'!$C$10:$AD$119,15,FALSE),0)</f>
        <v>0</v>
      </c>
      <c r="E66" s="362">
        <f>IFERROR(VLOOKUP(C66,'تقرير المصروفات حسب الشهر'!$C$135:$AD$244,15,FALSE),0)</f>
        <v>0</v>
      </c>
      <c r="F66" s="362">
        <v>0</v>
      </c>
      <c r="G66" s="362">
        <f>IFERROR(VLOOKUP(C66,'تقرير المصروفات حسب الشهر'!$C$387:$AD$495,15,FALSE),0)</f>
        <v>0</v>
      </c>
      <c r="H66" s="362">
        <f>IFERROR(VLOOKUP(C66,'تقرير المصروفات حسب الشهر'!$C$512:$AD$620,15,FALSE),0)</f>
        <v>0</v>
      </c>
      <c r="I66" s="362">
        <f>IFERROR(VLOOKUP(C66,'تقرير المصروفات حسب الشهر'!$C$637:$AD$746,15,FALSE),0)</f>
        <v>0</v>
      </c>
      <c r="J66" s="362">
        <f>IFERROR(VLOOKUP(C66,'تقرير المصروفات حسب الشهر'!$C$763:$AD$872,15,FALSE),0)</f>
        <v>0</v>
      </c>
      <c r="K66" s="362">
        <f>IFERROR(VLOOKUP(C66,'تقرير المصروفات حسب الشهر'!$C$890:$AD$999,15,FALSE),0)</f>
        <v>0</v>
      </c>
      <c r="L66" s="362">
        <f>IFERROR(VLOOKUP(C66,'تقرير المصروفات حسب الشهر'!$C$1016:$AD$1126,15,FALSE),0)</f>
        <v>0</v>
      </c>
      <c r="M66" s="376">
        <f>IFERROR(VLOOKUP(C66,'تقرير المصروفات حسب الشهر'!$C$1143:$AD$1254,15,FALSE),0)</f>
        <v>0</v>
      </c>
      <c r="N66" s="376">
        <f>IFERROR(VLOOKUP(C66,'تقرير المصروفات حسب الشهر'!$C$1270:$AD$1381,15,FALSE),0)</f>
        <v>0</v>
      </c>
      <c r="O66" s="376">
        <f>IFERROR(VLOOKUP(C66,'تقرير المصروفات حسب الشهر'!$C$1397:$AI$1512,15,FALSE),0)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الشهر'!$C$10:$AD$119,15,FALSE),0)</f>
        <v>0</v>
      </c>
      <c r="E67" s="362">
        <f>IFERROR(VLOOKUP(C67,'تقرير المصروفات حسب الشهر'!$C$135:$AD$244,15,FALSE),0)</f>
        <v>0</v>
      </c>
      <c r="F67" s="362">
        <v>0</v>
      </c>
      <c r="G67" s="362">
        <f>IFERROR(VLOOKUP(C67,'تقرير المصروفات حسب الشهر'!$C$387:$AD$495,15,FALSE),0)</f>
        <v>0</v>
      </c>
      <c r="H67" s="362">
        <f>IFERROR(VLOOKUP(C67,'تقرير المصروفات حسب الشهر'!$C$512:$AD$620,15,FALSE),0)</f>
        <v>0</v>
      </c>
      <c r="I67" s="362">
        <f>IFERROR(VLOOKUP(C67,'تقرير المصروفات حسب الشهر'!$C$637:$AD$746,15,FALSE),0)</f>
        <v>0</v>
      </c>
      <c r="J67" s="362">
        <f>IFERROR(VLOOKUP(C67,'تقرير المصروفات حسب الشهر'!$C$763:$AD$872,15,FALSE),0)</f>
        <v>0</v>
      </c>
      <c r="K67" s="362">
        <f>IFERROR(VLOOKUP(C67,'تقرير المصروفات حسب الشهر'!$C$890:$AD$999,15,FALSE),0)</f>
        <v>0</v>
      </c>
      <c r="L67" s="362">
        <f>IFERROR(VLOOKUP(C67,'تقرير المصروفات حسب الشهر'!$C$1016:$AD$1126,15,FALSE),0)</f>
        <v>0</v>
      </c>
      <c r="M67" s="376">
        <f>IFERROR(VLOOKUP(C67,'تقرير المصروفات حسب الشهر'!$C$1143:$AD$1254,15,FALSE),0)</f>
        <v>0</v>
      </c>
      <c r="N67" s="376">
        <f>IFERROR(VLOOKUP(C67,'تقرير المصروفات حسب الشهر'!$C$1270:$AD$1381,15,FALSE),0)</f>
        <v>0</v>
      </c>
      <c r="O67" s="376">
        <f>IFERROR(VLOOKUP(C67,'تقرير المصروفات حسب الشهر'!$C$1397:$AI$1512,15,FALSE),0)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الشهر'!$C$10:$AD$119,15,FALSE),0)</f>
        <v>0</v>
      </c>
      <c r="E68" s="362">
        <f>IFERROR(VLOOKUP(C68,'تقرير المصروفات حسب الشهر'!$C$135:$AD$244,15,FALSE),0)</f>
        <v>0</v>
      </c>
      <c r="F68" s="362">
        <v>0</v>
      </c>
      <c r="G68" s="362">
        <f>IFERROR(VLOOKUP(C68,'تقرير المصروفات حسب الشهر'!$C$387:$AD$495,15,FALSE),0)</f>
        <v>0</v>
      </c>
      <c r="H68" s="362">
        <f>IFERROR(VLOOKUP(C68,'تقرير المصروفات حسب الشهر'!$C$512:$AD$620,15,FALSE),0)</f>
        <v>0</v>
      </c>
      <c r="I68" s="362">
        <f>IFERROR(VLOOKUP(C68,'تقرير المصروفات حسب الشهر'!$C$637:$AD$746,15,FALSE),0)</f>
        <v>0</v>
      </c>
      <c r="J68" s="362">
        <f>IFERROR(VLOOKUP(C68,'تقرير المصروفات حسب الشهر'!$C$763:$AD$872,15,FALSE),0)</f>
        <v>0</v>
      </c>
      <c r="K68" s="362">
        <f>IFERROR(VLOOKUP(C68,'تقرير المصروفات حسب الشهر'!$C$890:$AD$999,15,FALSE),0)</f>
        <v>0</v>
      </c>
      <c r="L68" s="362">
        <f>IFERROR(VLOOKUP(C68,'تقرير المصروفات حسب الشهر'!$C$1016:$AD$1126,15,FALSE),0)</f>
        <v>0</v>
      </c>
      <c r="M68" s="376">
        <f>IFERROR(VLOOKUP(C68,'تقرير المصروفات حسب الشهر'!$C$1143:$AD$1254,15,FALSE),0)</f>
        <v>0</v>
      </c>
      <c r="N68" s="376">
        <f>IFERROR(VLOOKUP(C68,'تقرير المصروفات حسب الشهر'!$C$1270:$AD$1381,15,FALSE),0)</f>
        <v>0</v>
      </c>
      <c r="O68" s="376">
        <f>IFERROR(VLOOKUP(C68,'تقرير المصروفات حسب الشهر'!$C$1397:$AI$1512,15,FALSE),0)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الشهر'!$C$10:$AD$119,15,FALSE),0)</f>
        <v>0</v>
      </c>
      <c r="E69" s="362">
        <f>IFERROR(VLOOKUP(C69,'تقرير المصروفات حسب الشهر'!$C$135:$AD$244,15,FALSE),0)</f>
        <v>0</v>
      </c>
      <c r="F69" s="362">
        <v>0</v>
      </c>
      <c r="G69" s="362">
        <f>IFERROR(VLOOKUP(C69,'تقرير المصروفات حسب الشهر'!$C$387:$AD$495,15,FALSE),0)</f>
        <v>0</v>
      </c>
      <c r="H69" s="362">
        <f>IFERROR(VLOOKUP(C69,'تقرير المصروفات حسب الشهر'!$C$512:$AD$620,15,FALSE),0)</f>
        <v>0</v>
      </c>
      <c r="I69" s="362">
        <f>IFERROR(VLOOKUP(C69,'تقرير المصروفات حسب الشهر'!$C$637:$AD$746,15,FALSE),0)</f>
        <v>0</v>
      </c>
      <c r="J69" s="362">
        <f>IFERROR(VLOOKUP(C69,'تقرير المصروفات حسب الشهر'!$C$763:$AD$872,15,FALSE),0)</f>
        <v>0</v>
      </c>
      <c r="K69" s="362">
        <f>IFERROR(VLOOKUP(C69,'تقرير المصروفات حسب الشهر'!$C$890:$AD$999,15,FALSE),0)</f>
        <v>0</v>
      </c>
      <c r="L69" s="362">
        <f>IFERROR(VLOOKUP(C69,'تقرير المصروفات حسب الشهر'!$C$1016:$AD$1126,15,FALSE),0)</f>
        <v>0</v>
      </c>
      <c r="M69" s="376">
        <f>IFERROR(VLOOKUP(C69,'تقرير المصروفات حسب الشهر'!$C$1143:$AD$1254,15,FALSE),0)</f>
        <v>0</v>
      </c>
      <c r="N69" s="376">
        <f>IFERROR(VLOOKUP(C69,'تقرير المصروفات حسب الشهر'!$C$1270:$AD$1381,15,FALSE),0)</f>
        <v>0</v>
      </c>
      <c r="O69" s="376">
        <f>IFERROR(VLOOKUP(C69,'تقرير المصروفات حسب الشهر'!$C$1397:$AI$1512,15,FALSE),0)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الشهر'!$C$10:$AD$119,15,FALSE),0)</f>
        <v>0</v>
      </c>
      <c r="E70" s="362">
        <f>IFERROR(VLOOKUP(C70,'تقرير المصروفات حسب الشهر'!$C$135:$AD$244,15,FALSE),0)</f>
        <v>0</v>
      </c>
      <c r="F70" s="362">
        <v>0</v>
      </c>
      <c r="G70" s="362">
        <f>IFERROR(VLOOKUP(C70,'تقرير المصروفات حسب الشهر'!$C$387:$AD$495,15,FALSE),0)</f>
        <v>0</v>
      </c>
      <c r="H70" s="362">
        <f>IFERROR(VLOOKUP(C70,'تقرير المصروفات حسب الشهر'!$C$512:$AD$620,15,FALSE),0)</f>
        <v>0</v>
      </c>
      <c r="I70" s="362">
        <f>IFERROR(VLOOKUP(C70,'تقرير المصروفات حسب الشهر'!$C$637:$AD$746,15,FALSE),0)</f>
        <v>0</v>
      </c>
      <c r="J70" s="362">
        <f>IFERROR(VLOOKUP(C70,'تقرير المصروفات حسب الشهر'!$C$763:$AD$872,15,FALSE),0)</f>
        <v>0</v>
      </c>
      <c r="K70" s="362">
        <f>IFERROR(VLOOKUP(C70,'تقرير المصروفات حسب الشهر'!$C$890:$AD$999,15,FALSE),0)</f>
        <v>0</v>
      </c>
      <c r="L70" s="362">
        <f>IFERROR(VLOOKUP(C70,'تقرير المصروفات حسب الشهر'!$C$1016:$AD$1126,15,FALSE),0)</f>
        <v>0</v>
      </c>
      <c r="M70" s="376">
        <f>IFERROR(VLOOKUP(C70,'تقرير المصروفات حسب الشهر'!$C$1143:$AD$1254,15,FALSE),0)</f>
        <v>0</v>
      </c>
      <c r="N70" s="376">
        <f>IFERROR(VLOOKUP(C70,'تقرير المصروفات حسب الشهر'!$C$1270:$AD$1381,15,FALSE),0)</f>
        <v>0</v>
      </c>
      <c r="O70" s="376">
        <f>IFERROR(VLOOKUP(C70,'تقرير المصروفات حسب الشهر'!$C$1397:$AI$1512,15,FALSE),0)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الشهر'!$C$10:$AD$119,15,FALSE),0)</f>
        <v>0</v>
      </c>
      <c r="E71" s="362">
        <f>IFERROR(VLOOKUP(C71,'تقرير المصروفات حسب الشهر'!$C$135:$AD$244,15,FALSE),0)</f>
        <v>0</v>
      </c>
      <c r="F71" s="362">
        <v>0</v>
      </c>
      <c r="G71" s="362">
        <f>IFERROR(VLOOKUP(C71,'تقرير المصروفات حسب الشهر'!$C$387:$AD$495,15,FALSE),0)</f>
        <v>0</v>
      </c>
      <c r="H71" s="362">
        <f>IFERROR(VLOOKUP(C71,'تقرير المصروفات حسب الشهر'!$C$512:$AD$620,15,FALSE),0)</f>
        <v>0</v>
      </c>
      <c r="I71" s="362">
        <f>IFERROR(VLOOKUP(C71,'تقرير المصروفات حسب الشهر'!$C$637:$AD$746,15,FALSE),0)</f>
        <v>0</v>
      </c>
      <c r="J71" s="362">
        <f>IFERROR(VLOOKUP(C71,'تقرير المصروفات حسب الشهر'!$C$763:$AD$872,15,FALSE),0)</f>
        <v>0</v>
      </c>
      <c r="K71" s="362">
        <f>IFERROR(VLOOKUP(C71,'تقرير المصروفات حسب الشهر'!$C$890:$AD$999,15,FALSE),0)</f>
        <v>0</v>
      </c>
      <c r="L71" s="362">
        <f>IFERROR(VLOOKUP(C71,'تقرير المصروفات حسب الشهر'!$C$1016:$AD$1126,15,FALSE),0)</f>
        <v>0</v>
      </c>
      <c r="M71" s="376">
        <f>IFERROR(VLOOKUP(C71,'تقرير المصروفات حسب الشهر'!$C$1143:$AD$1254,15,FALSE),0)</f>
        <v>0</v>
      </c>
      <c r="N71" s="376">
        <f>IFERROR(VLOOKUP(C71,'تقرير المصروفات حسب الشهر'!$C$1270:$AD$1381,15,FALSE),0)</f>
        <v>0</v>
      </c>
      <c r="O71" s="376">
        <f>IFERROR(VLOOKUP(C71,'تقرير المصروفات حسب الشهر'!$C$1397:$AI$1512,15,FALSE),0)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الشهر'!$C$10:$AD$119,15,FALSE),0)</f>
        <v>0</v>
      </c>
      <c r="E72" s="362">
        <f>IFERROR(VLOOKUP(C72,'تقرير المصروفات حسب الشهر'!$C$135:$AD$244,15,FALSE),0)</f>
        <v>0</v>
      </c>
      <c r="F72" s="362">
        <v>0</v>
      </c>
      <c r="G72" s="362">
        <f>IFERROR(VLOOKUP(C72,'تقرير المصروفات حسب الشهر'!$C$387:$AD$495,15,FALSE),0)</f>
        <v>0</v>
      </c>
      <c r="H72" s="362">
        <f>IFERROR(VLOOKUP(C72,'تقرير المصروفات حسب الشهر'!$C$512:$AD$620,15,FALSE),0)</f>
        <v>0</v>
      </c>
      <c r="I72" s="362">
        <f>IFERROR(VLOOKUP(C72,'تقرير المصروفات حسب الشهر'!$C$637:$AD$746,15,FALSE),0)</f>
        <v>0</v>
      </c>
      <c r="J72" s="362">
        <f>IFERROR(VLOOKUP(C72,'تقرير المصروفات حسب الشهر'!$C$763:$AD$872,15,FALSE),0)</f>
        <v>0</v>
      </c>
      <c r="K72" s="362">
        <f>IFERROR(VLOOKUP(C72,'تقرير المصروفات حسب الشهر'!$C$890:$AD$999,15,FALSE),0)</f>
        <v>0</v>
      </c>
      <c r="L72" s="362">
        <f>IFERROR(VLOOKUP(C72,'تقرير المصروفات حسب الشهر'!$C$1016:$AD$1126,15,FALSE),0)</f>
        <v>0</v>
      </c>
      <c r="M72" s="376">
        <f>IFERROR(VLOOKUP(C72,'تقرير المصروفات حسب الشهر'!$C$1143:$AD$1254,15,FALSE),0)</f>
        <v>0</v>
      </c>
      <c r="N72" s="376">
        <f>IFERROR(VLOOKUP(C72,'تقرير المصروفات حسب الشهر'!$C$1270:$AD$1381,15,FALSE),0)</f>
        <v>0</v>
      </c>
      <c r="O72" s="376">
        <f>IFERROR(VLOOKUP(C72,'تقرير المصروفات حسب الشهر'!$C$1397:$AI$1512,15,FALSE),0)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الشهر'!$C$10:$AD$119,15,FALSE),0)</f>
        <v>0</v>
      </c>
      <c r="E73" s="362">
        <f>IFERROR(VLOOKUP(C73,'تقرير المصروفات حسب الشهر'!$C$135:$AD$244,15,FALSE),0)</f>
        <v>0</v>
      </c>
      <c r="F73" s="362">
        <v>0</v>
      </c>
      <c r="G73" s="362">
        <f>IFERROR(VLOOKUP(C73,'تقرير المصروفات حسب الشهر'!$C$387:$AD$495,15,FALSE),0)</f>
        <v>0</v>
      </c>
      <c r="H73" s="362">
        <f>IFERROR(VLOOKUP(C73,'تقرير المصروفات حسب الشهر'!$C$512:$AD$620,15,FALSE),0)</f>
        <v>0</v>
      </c>
      <c r="I73" s="362">
        <f>IFERROR(VLOOKUP(C73,'تقرير المصروفات حسب الشهر'!$C$637:$AD$746,15,FALSE),0)</f>
        <v>0</v>
      </c>
      <c r="J73" s="362">
        <f>IFERROR(VLOOKUP(C73,'تقرير المصروفات حسب الشهر'!$C$763:$AD$872,15,FALSE),0)</f>
        <v>0</v>
      </c>
      <c r="K73" s="362">
        <f>IFERROR(VLOOKUP(C73,'تقرير المصروفات حسب الشهر'!$C$890:$AD$999,15,FALSE),0)</f>
        <v>0</v>
      </c>
      <c r="L73" s="362">
        <f>IFERROR(VLOOKUP(C73,'تقرير المصروفات حسب الشهر'!$C$1016:$AD$1126,15,FALSE),0)</f>
        <v>0</v>
      </c>
      <c r="M73" s="376">
        <f>IFERROR(VLOOKUP(C73,'تقرير المصروفات حسب الشهر'!$C$1143:$AD$1254,15,FALSE),0)</f>
        <v>0</v>
      </c>
      <c r="N73" s="376">
        <f>IFERROR(VLOOKUP(C73,'تقرير المصروفات حسب الشهر'!$C$1270:$AD$1381,15,FALSE),0)</f>
        <v>0</v>
      </c>
      <c r="O73" s="376">
        <f>IFERROR(VLOOKUP(C73,'تقرير المصروفات حسب الشهر'!$C$1397:$AI$1512,15,FALSE),0)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الشهر'!$C$10:$AD$119,15,FALSE),0)</f>
        <v>0</v>
      </c>
      <c r="E74" s="362">
        <f>IFERROR(VLOOKUP(C74,'تقرير المصروفات حسب الشهر'!$C$135:$AD$244,15,FALSE),0)</f>
        <v>0</v>
      </c>
      <c r="F74" s="362">
        <v>0</v>
      </c>
      <c r="G74" s="362">
        <f>IFERROR(VLOOKUP(C74,'تقرير المصروفات حسب الشهر'!$C$387:$AD$495,15,FALSE),0)</f>
        <v>0</v>
      </c>
      <c r="H74" s="362">
        <f>IFERROR(VLOOKUP(C74,'تقرير المصروفات حسب الشهر'!$C$512:$AD$620,15,FALSE),0)</f>
        <v>0</v>
      </c>
      <c r="I74" s="362">
        <f>IFERROR(VLOOKUP(C74,'تقرير المصروفات حسب الشهر'!$C$637:$AD$746,15,FALSE),0)</f>
        <v>0</v>
      </c>
      <c r="J74" s="362">
        <f>IFERROR(VLOOKUP(C74,'تقرير المصروفات حسب الشهر'!$C$763:$AD$872,15,FALSE),0)</f>
        <v>0</v>
      </c>
      <c r="K74" s="362">
        <f>IFERROR(VLOOKUP(C74,'تقرير المصروفات حسب الشهر'!$C$890:$AD$999,15,FALSE),0)</f>
        <v>0</v>
      </c>
      <c r="L74" s="362">
        <f>IFERROR(VLOOKUP(C74,'تقرير المصروفات حسب الشهر'!$C$1016:$AD$1126,15,FALSE),0)</f>
        <v>0</v>
      </c>
      <c r="M74" s="376">
        <f>IFERROR(VLOOKUP(C74,'تقرير المصروفات حسب الشهر'!$C$1143:$AD$1254,15,FALSE),0)</f>
        <v>0</v>
      </c>
      <c r="N74" s="376">
        <f>IFERROR(VLOOKUP(C74,'تقرير المصروفات حسب الشهر'!$C$1270:$AD$1381,15,FALSE),0)</f>
        <v>0</v>
      </c>
      <c r="O74" s="376">
        <f>IFERROR(VLOOKUP(C74,'تقرير المصروفات حسب الشهر'!$C$1397:$AI$1512,15,FALSE),0)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الشهر'!$C$10:$AD$119,15,FALSE),0)</f>
        <v>0</v>
      </c>
      <c r="E75" s="362">
        <f>IFERROR(VLOOKUP(C75,'تقرير المصروفات حسب الشهر'!$C$135:$AD$244,15,FALSE),0)</f>
        <v>0</v>
      </c>
      <c r="F75" s="362">
        <v>0</v>
      </c>
      <c r="G75" s="362">
        <f>IFERROR(VLOOKUP(C75,'تقرير المصروفات حسب الشهر'!$C$387:$AD$495,15,FALSE),0)</f>
        <v>0</v>
      </c>
      <c r="H75" s="362">
        <f>IFERROR(VLOOKUP(C75,'تقرير المصروفات حسب الشهر'!$C$512:$AD$620,15,FALSE),0)</f>
        <v>0</v>
      </c>
      <c r="I75" s="362">
        <f>IFERROR(VLOOKUP(C75,'تقرير المصروفات حسب الشهر'!$C$637:$AD$746,15,FALSE),0)</f>
        <v>0</v>
      </c>
      <c r="J75" s="362">
        <f>IFERROR(VLOOKUP(C75,'تقرير المصروفات حسب الشهر'!$C$763:$AD$872,15,FALSE),0)</f>
        <v>0</v>
      </c>
      <c r="K75" s="362">
        <f>IFERROR(VLOOKUP(C75,'تقرير المصروفات حسب الشهر'!$C$890:$AD$999,15,FALSE),0)</f>
        <v>0</v>
      </c>
      <c r="L75" s="362">
        <f>IFERROR(VLOOKUP(C75,'تقرير المصروفات حسب الشهر'!$C$1016:$AD$1126,15,FALSE),0)</f>
        <v>0</v>
      </c>
      <c r="M75" s="376">
        <f>IFERROR(VLOOKUP(C75,'تقرير المصروفات حسب الشهر'!$C$1143:$AD$1254,15,FALSE),0)</f>
        <v>0</v>
      </c>
      <c r="N75" s="376">
        <f>IFERROR(VLOOKUP(C75,'تقرير المصروفات حسب الشهر'!$C$1270:$AD$1381,15,FALSE),0)</f>
        <v>0</v>
      </c>
      <c r="O75" s="376">
        <f>IFERROR(VLOOKUP(C75,'تقرير المصروفات حسب الشهر'!$C$1397:$AI$1512,15,FALSE),0)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الشهر'!$C$10:$AD$119,15,FALSE),0)</f>
        <v>0</v>
      </c>
      <c r="E76" s="362">
        <f>IFERROR(VLOOKUP(C76,'تقرير المصروفات حسب الشهر'!$C$135:$AD$244,15,FALSE),0)</f>
        <v>0</v>
      </c>
      <c r="F76" s="362">
        <v>0</v>
      </c>
      <c r="G76" s="362">
        <f>IFERROR(VLOOKUP(C76,'تقرير المصروفات حسب الشهر'!$C$387:$AD$495,15,FALSE),0)</f>
        <v>0</v>
      </c>
      <c r="H76" s="362">
        <f>IFERROR(VLOOKUP(C76,'تقرير المصروفات حسب الشهر'!$C$512:$AD$620,15,FALSE),0)</f>
        <v>0</v>
      </c>
      <c r="I76" s="362">
        <f>IFERROR(VLOOKUP(C76,'تقرير المصروفات حسب الشهر'!$C$637:$AD$746,15,FALSE),0)</f>
        <v>0</v>
      </c>
      <c r="J76" s="362">
        <f>IFERROR(VLOOKUP(C76,'تقرير المصروفات حسب الشهر'!$C$763:$AD$872,15,FALSE),0)</f>
        <v>0</v>
      </c>
      <c r="K76" s="362">
        <f>IFERROR(VLOOKUP(C76,'تقرير المصروفات حسب الشهر'!$C$890:$AD$999,15,FALSE),0)</f>
        <v>0</v>
      </c>
      <c r="L76" s="362">
        <f>IFERROR(VLOOKUP(C76,'تقرير المصروفات حسب الشهر'!$C$1016:$AD$1126,15,FALSE),0)</f>
        <v>0</v>
      </c>
      <c r="M76" s="376">
        <f>IFERROR(VLOOKUP(C76,'تقرير المصروفات حسب الشهر'!$C$1143:$AD$1254,15,FALSE),0)</f>
        <v>0</v>
      </c>
      <c r="N76" s="376">
        <f>IFERROR(VLOOKUP(C76,'تقرير المصروفات حسب الشهر'!$C$1270:$AD$1381,15,FALSE),0)</f>
        <v>0</v>
      </c>
      <c r="O76" s="376">
        <f>IFERROR(VLOOKUP(C76,'تقرير المصروفات حسب الشهر'!$C$1397:$AI$1512,15,FALSE),0)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الشهر'!$C$10:$AD$119,15,FALSE),0)</f>
        <v>0</v>
      </c>
      <c r="E77" s="362">
        <f>IFERROR(VLOOKUP(C77,'تقرير المصروفات حسب الشهر'!$C$135:$AD$244,15,FALSE),0)</f>
        <v>0</v>
      </c>
      <c r="F77" s="362">
        <v>0</v>
      </c>
      <c r="G77" s="362">
        <f>IFERROR(VLOOKUP(C77,'تقرير المصروفات حسب الشهر'!$C$387:$AD$495,15,FALSE),0)</f>
        <v>0</v>
      </c>
      <c r="H77" s="362">
        <f>IFERROR(VLOOKUP(C77,'تقرير المصروفات حسب الشهر'!$C$512:$AD$620,15,FALSE),0)</f>
        <v>0</v>
      </c>
      <c r="I77" s="362">
        <f>IFERROR(VLOOKUP(C77,'تقرير المصروفات حسب الشهر'!$C$637:$AD$746,15,FALSE),0)</f>
        <v>0</v>
      </c>
      <c r="J77" s="362">
        <f>IFERROR(VLOOKUP(C77,'تقرير المصروفات حسب الشهر'!$C$763:$AD$872,15,FALSE),0)</f>
        <v>0</v>
      </c>
      <c r="K77" s="362">
        <f>IFERROR(VLOOKUP(C77,'تقرير المصروفات حسب الشهر'!$C$890:$AD$999,15,FALSE),0)</f>
        <v>0</v>
      </c>
      <c r="L77" s="362">
        <f>IFERROR(VLOOKUP(C77,'تقرير المصروفات حسب الشهر'!$C$1016:$AD$1126,15,FALSE),0)</f>
        <v>0</v>
      </c>
      <c r="M77" s="376">
        <f>IFERROR(VLOOKUP(C77,'تقرير المصروفات حسب الشهر'!$C$1143:$AD$1254,15,FALSE),0)</f>
        <v>0</v>
      </c>
      <c r="N77" s="376">
        <f>IFERROR(VLOOKUP(C77,'تقرير المصروفات حسب الشهر'!$C$1270:$AD$1381,15,FALSE),0)</f>
        <v>0</v>
      </c>
      <c r="O77" s="376">
        <f>IFERROR(VLOOKUP(C77,'تقرير المصروفات حسب الشهر'!$C$1397:$AI$1512,15,FALSE),0)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الشهر'!$C$10:$AD$119,15,FALSE),0)</f>
        <v>0</v>
      </c>
      <c r="E78" s="362">
        <f>IFERROR(VLOOKUP(C78,'تقرير المصروفات حسب الشهر'!$C$135:$AD$244,15,FALSE),0)</f>
        <v>0</v>
      </c>
      <c r="F78" s="362">
        <v>0</v>
      </c>
      <c r="G78" s="362">
        <f>IFERROR(VLOOKUP(C78,'تقرير المصروفات حسب الشهر'!$C$387:$AD$495,15,FALSE),0)</f>
        <v>0</v>
      </c>
      <c r="H78" s="362">
        <f>IFERROR(VLOOKUP(C78,'تقرير المصروفات حسب الشهر'!$C$512:$AD$620,15,FALSE),0)</f>
        <v>0</v>
      </c>
      <c r="I78" s="362">
        <f>IFERROR(VLOOKUP(C78,'تقرير المصروفات حسب الشهر'!$C$637:$AD$746,15,FALSE),0)</f>
        <v>0</v>
      </c>
      <c r="J78" s="362">
        <f>IFERROR(VLOOKUP(C78,'تقرير المصروفات حسب الشهر'!$C$763:$AD$872,15,FALSE),0)</f>
        <v>0</v>
      </c>
      <c r="K78" s="362">
        <f>IFERROR(VLOOKUP(C78,'تقرير المصروفات حسب الشهر'!$C$890:$AD$999,15,FALSE),0)</f>
        <v>0</v>
      </c>
      <c r="L78" s="362">
        <f>IFERROR(VLOOKUP(C78,'تقرير المصروفات حسب الشهر'!$C$1016:$AD$1126,15,FALSE),0)</f>
        <v>0</v>
      </c>
      <c r="M78" s="376">
        <f>IFERROR(VLOOKUP(C78,'تقرير المصروفات حسب الشهر'!$C$1143:$AD$1254,15,FALSE),0)</f>
        <v>0</v>
      </c>
      <c r="N78" s="376">
        <f>IFERROR(VLOOKUP(C78,'تقرير المصروفات حسب الشهر'!$C$1270:$AD$1381,15,FALSE),0)</f>
        <v>0</v>
      </c>
      <c r="O78" s="376">
        <f>IFERROR(VLOOKUP(C78,'تقرير المصروفات حسب الشهر'!$C$1397:$AI$1512,15,FALSE),0)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الشهر'!$C$10:$AD$119,15,FALSE),0)</f>
        <v>0</v>
      </c>
      <c r="E79" s="362">
        <f>IFERROR(VLOOKUP(C79,'تقرير المصروفات حسب الشهر'!$C$135:$AD$244,15,FALSE),0)</f>
        <v>0</v>
      </c>
      <c r="F79" s="362">
        <v>0</v>
      </c>
      <c r="G79" s="362">
        <f>IFERROR(VLOOKUP(C79,'تقرير المصروفات حسب الشهر'!$C$387:$AD$495,15,FALSE),0)</f>
        <v>0</v>
      </c>
      <c r="H79" s="362">
        <f>IFERROR(VLOOKUP(C79,'تقرير المصروفات حسب الشهر'!$C$512:$AD$620,15,FALSE),0)</f>
        <v>0</v>
      </c>
      <c r="I79" s="362">
        <f>IFERROR(VLOOKUP(C79,'تقرير المصروفات حسب الشهر'!$C$637:$AD$746,15,FALSE),0)</f>
        <v>0</v>
      </c>
      <c r="J79" s="362">
        <f>IFERROR(VLOOKUP(C79,'تقرير المصروفات حسب الشهر'!$C$763:$AD$872,15,FALSE),0)</f>
        <v>0</v>
      </c>
      <c r="K79" s="362">
        <f>IFERROR(VLOOKUP(C79,'تقرير المصروفات حسب الشهر'!$C$890:$AD$999,15,FALSE),0)</f>
        <v>0</v>
      </c>
      <c r="L79" s="362">
        <f>IFERROR(VLOOKUP(C79,'تقرير المصروفات حسب الشهر'!$C$1016:$AD$1126,15,FALSE),0)</f>
        <v>0</v>
      </c>
      <c r="M79" s="376">
        <f>IFERROR(VLOOKUP(C79,'تقرير المصروفات حسب الشهر'!$C$1143:$AD$1254,15,FALSE),0)</f>
        <v>0</v>
      </c>
      <c r="N79" s="376">
        <f>IFERROR(VLOOKUP(C79,'تقرير المصروفات حسب الشهر'!$C$1270:$AD$1381,15,FALSE),0)</f>
        <v>0</v>
      </c>
      <c r="O79" s="376">
        <f>IFERROR(VLOOKUP(C79,'تقرير المصروفات حسب الشهر'!$C$1397:$AI$1512,15,FALSE),0)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الشهر'!$C$10:$AD$119,15,FALSE),0)</f>
        <v>0</v>
      </c>
      <c r="E80" s="362">
        <f>IFERROR(VLOOKUP(C80,'تقرير المصروفات حسب الشهر'!$C$135:$AD$244,15,FALSE),0)</f>
        <v>0</v>
      </c>
      <c r="F80" s="362">
        <v>0</v>
      </c>
      <c r="G80" s="362">
        <f>IFERROR(VLOOKUP(C80,'تقرير المصروفات حسب الشهر'!$C$387:$AD$495,15,FALSE),0)</f>
        <v>0</v>
      </c>
      <c r="H80" s="362">
        <f>IFERROR(VLOOKUP(C80,'تقرير المصروفات حسب الشهر'!$C$512:$AD$620,15,FALSE),0)</f>
        <v>3700</v>
      </c>
      <c r="I80" s="362">
        <f>IFERROR(VLOOKUP(C80,'تقرير المصروفات حسب الشهر'!$C$637:$AD$746,15,FALSE),0)</f>
        <v>0</v>
      </c>
      <c r="J80" s="362">
        <f>IFERROR(VLOOKUP(C80,'تقرير المصروفات حسب الشهر'!$C$763:$AD$872,15,FALSE),0)</f>
        <v>0</v>
      </c>
      <c r="K80" s="362">
        <f>IFERROR(VLOOKUP(C80,'تقرير المصروفات حسب الشهر'!$C$890:$AD$999,15,FALSE),0)</f>
        <v>0</v>
      </c>
      <c r="L80" s="362">
        <f>IFERROR(VLOOKUP(C80,'تقرير المصروفات حسب الشهر'!$C$1016:$AD$1126,15,FALSE),0)</f>
        <v>0</v>
      </c>
      <c r="M80" s="376">
        <f>IFERROR(VLOOKUP(C80,'تقرير المصروفات حسب الشهر'!$C$1143:$AD$1254,15,FALSE),0)</f>
        <v>0</v>
      </c>
      <c r="N80" s="376">
        <f>IFERROR(VLOOKUP(C80,'تقرير المصروفات حسب الشهر'!$C$1270:$AD$1381,15,FALSE),0)</f>
        <v>0</v>
      </c>
      <c r="O80" s="376">
        <f>IFERROR(VLOOKUP(C80,'تقرير المصروفات حسب الشهر'!$C$1397:$AI$1512,15,FALSE),0)</f>
        <v>0</v>
      </c>
      <c r="P80" s="364">
        <f t="shared" si="5"/>
        <v>3700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الشهر'!$C$10:$AD$119,15,FALSE),0)</f>
        <v>316</v>
      </c>
      <c r="E81" s="362">
        <f>IFERROR(VLOOKUP(C81,'تقرير المصروفات حسب الشهر'!$C$135:$AD$244,15,FALSE),0)</f>
        <v>100</v>
      </c>
      <c r="F81" s="362">
        <v>100</v>
      </c>
      <c r="G81" s="362">
        <f>IFERROR(VLOOKUP(C81,'تقرير المصروفات حسب الشهر'!$C$387:$AD$495,15,FALSE),0)</f>
        <v>100</v>
      </c>
      <c r="H81" s="362">
        <f>IFERROR(VLOOKUP(C81,'تقرير المصروفات حسب الشهر'!$C$512:$AD$620,15,FALSE),0)</f>
        <v>100</v>
      </c>
      <c r="I81" s="362">
        <f>IFERROR(VLOOKUP(C81,'تقرير المصروفات حسب الشهر'!$C$637:$AD$746,15,FALSE),0)</f>
        <v>100</v>
      </c>
      <c r="J81" s="362">
        <f>IFERROR(VLOOKUP(C81,'تقرير المصروفات حسب الشهر'!$C$763:$AD$872,15,FALSE),0)</f>
        <v>8880</v>
      </c>
      <c r="K81" s="362">
        <f>IFERROR(VLOOKUP(C81,'تقرير المصروفات حسب الشهر'!$C$890:$AD$999,15,FALSE),0)</f>
        <v>300</v>
      </c>
      <c r="L81" s="362">
        <f>IFERROR(VLOOKUP(C81,'تقرير المصروفات حسب الشهر'!$C$1016:$AD$1126,15,FALSE),0)</f>
        <v>200</v>
      </c>
      <c r="M81" s="376">
        <f>IFERROR(VLOOKUP(C81,'تقرير المصروفات حسب الشهر'!$C$1143:$AD$1254,15,FALSE),0)</f>
        <v>200</v>
      </c>
      <c r="N81" s="376">
        <f>IFERROR(VLOOKUP(C81,'تقرير المصروفات حسب الشهر'!$C$1270:$AD$1381,15,FALSE),0)</f>
        <v>200</v>
      </c>
      <c r="O81" s="376">
        <f>IFERROR(VLOOKUP(C81,'تقرير المصروفات حسب الشهر'!$C$1397:$AI$1512,15,FALSE),0)</f>
        <v>8776</v>
      </c>
      <c r="P81" s="364">
        <f t="shared" si="5"/>
        <v>19372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الشهر'!$C$10:$AD$119,15,FALSE),0)</f>
        <v>0</v>
      </c>
      <c r="E82" s="362">
        <f>IFERROR(VLOOKUP(C82,'تقرير المصروفات حسب الشهر'!$C$135:$AD$244,15,FALSE),0)</f>
        <v>0</v>
      </c>
      <c r="F82" s="362">
        <v>0</v>
      </c>
      <c r="G82" s="362">
        <f>IFERROR(VLOOKUP(C82,'تقرير المصروفات حسب الشهر'!$C$387:$AD$495,15,FALSE),0)</f>
        <v>0</v>
      </c>
      <c r="H82" s="362">
        <f>IFERROR(VLOOKUP(C82,'تقرير المصروفات حسب الشهر'!$C$512:$AD$620,15,FALSE),0)</f>
        <v>0</v>
      </c>
      <c r="I82" s="362">
        <f>IFERROR(VLOOKUP(C82,'تقرير المصروفات حسب الشهر'!$C$637:$AD$746,15,FALSE),0)</f>
        <v>0</v>
      </c>
      <c r="J82" s="362">
        <f>IFERROR(VLOOKUP(C82,'تقرير المصروفات حسب الشهر'!$C$763:$AD$872,15,FALSE),0)</f>
        <v>0</v>
      </c>
      <c r="K82" s="362">
        <f>IFERROR(VLOOKUP(C82,'تقرير المصروفات حسب الشهر'!$C$890:$AD$999,15,FALSE),0)</f>
        <v>0</v>
      </c>
      <c r="L82" s="362">
        <f>IFERROR(VLOOKUP(C82,'تقرير المصروفات حسب الشهر'!$C$1016:$AD$1126,15,FALSE),0)</f>
        <v>0</v>
      </c>
      <c r="M82" s="376">
        <f>IFERROR(VLOOKUP(C82,'تقرير المصروفات حسب الشهر'!$C$1143:$AD$1254,15,FALSE),0)</f>
        <v>0</v>
      </c>
      <c r="N82" s="376">
        <f>IFERROR(VLOOKUP(C82,'تقرير المصروفات حسب الشهر'!$C$1270:$AD$1381,15,FALSE),0)</f>
        <v>0</v>
      </c>
      <c r="O82" s="376">
        <f>IFERROR(VLOOKUP(C82,'تقرير المصروفات حسب الشهر'!$C$1397:$AI$1512,15,FALSE),0)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الشهر'!$C$10:$AD$119,15,FALSE),0)</f>
        <v>0</v>
      </c>
      <c r="E83" s="362">
        <f>IFERROR(VLOOKUP(C83,'تقرير المصروفات حسب الشهر'!$C$135:$AD$244,15,FALSE),0)</f>
        <v>0</v>
      </c>
      <c r="F83" s="362">
        <v>0</v>
      </c>
      <c r="G83" s="362">
        <f>IFERROR(VLOOKUP(C83,'تقرير المصروفات حسب الشهر'!$C$387:$AD$495,15,FALSE),0)</f>
        <v>0</v>
      </c>
      <c r="H83" s="362">
        <f>IFERROR(VLOOKUP(C83,'تقرير المصروفات حسب الشهر'!$C$512:$AD$620,15,FALSE),0)</f>
        <v>0</v>
      </c>
      <c r="I83" s="362">
        <f>IFERROR(VLOOKUP(C83,'تقرير المصروفات حسب الشهر'!$C$637:$AD$746,15,FALSE),0)</f>
        <v>0</v>
      </c>
      <c r="J83" s="362">
        <f>IFERROR(VLOOKUP(C83,'تقرير المصروفات حسب الشهر'!$C$763:$AD$872,15,FALSE),0)</f>
        <v>3832</v>
      </c>
      <c r="K83" s="362">
        <f>IFERROR(VLOOKUP(C83,'تقرير المصروفات حسب الشهر'!$C$890:$AD$999,15,FALSE),0)</f>
        <v>0</v>
      </c>
      <c r="L83" s="362">
        <f>IFERROR(VLOOKUP(C83,'تقرير المصروفات حسب الشهر'!$C$1016:$AD$1126,15,FALSE),0)</f>
        <v>0</v>
      </c>
      <c r="M83" s="376">
        <f>IFERROR(VLOOKUP(C83,'تقرير المصروفات حسب الشهر'!$C$1143:$AD$1254,15,FALSE),0)</f>
        <v>0</v>
      </c>
      <c r="N83" s="376">
        <f>IFERROR(VLOOKUP(C83,'تقرير المصروفات حسب الشهر'!$C$1270:$AD$1381,15,FALSE),0)</f>
        <v>0</v>
      </c>
      <c r="O83" s="376">
        <f>IFERROR(VLOOKUP(C83,'تقرير المصروفات حسب الشهر'!$C$1397:$AI$1512,15,FALSE),0)</f>
        <v>2235</v>
      </c>
      <c r="P83" s="364">
        <f t="shared" si="5"/>
        <v>6067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الشهر'!$C$10:$AD$119,15,FALSE),0)</f>
        <v>0</v>
      </c>
      <c r="E84" s="362">
        <f>IFERROR(VLOOKUP(C84,'تقرير المصروفات حسب الشهر'!$C$135:$AD$244,15,FALSE),0)</f>
        <v>0</v>
      </c>
      <c r="F84" s="362">
        <v>0</v>
      </c>
      <c r="G84" s="362">
        <f>IFERROR(VLOOKUP(C84,'تقرير المصروفات حسب الشهر'!$C$387:$AD$495,15,FALSE),0)</f>
        <v>0</v>
      </c>
      <c r="H84" s="362">
        <f>IFERROR(VLOOKUP(C84,'تقرير المصروفات حسب الشهر'!$C$512:$AD$620,15,FALSE),0)</f>
        <v>0</v>
      </c>
      <c r="I84" s="362">
        <f>IFERROR(VLOOKUP(C84,'تقرير المصروفات حسب الشهر'!$C$637:$AD$746,15,FALSE),0)</f>
        <v>0</v>
      </c>
      <c r="J84" s="362">
        <f>IFERROR(VLOOKUP(C84,'تقرير المصروفات حسب الشهر'!$C$763:$AD$872,15,FALSE),0)</f>
        <v>0</v>
      </c>
      <c r="K84" s="362">
        <f>IFERROR(VLOOKUP(C84,'تقرير المصروفات حسب الشهر'!$C$890:$AD$999,15,FALSE),0)</f>
        <v>0</v>
      </c>
      <c r="L84" s="362">
        <f>IFERROR(VLOOKUP(C84,'تقرير المصروفات حسب الشهر'!$C$1016:$AD$1126,15,FALSE),0)</f>
        <v>0</v>
      </c>
      <c r="M84" s="376">
        <f>IFERROR(VLOOKUP(C84,'تقرير المصروفات حسب الشهر'!$C$1143:$AD$1254,15,FALSE),0)</f>
        <v>0</v>
      </c>
      <c r="N84" s="376">
        <f>IFERROR(VLOOKUP(C84,'تقرير المصروفات حسب الشهر'!$C$1270:$AD$1381,15,FALSE),0)</f>
        <v>0</v>
      </c>
      <c r="O84" s="376">
        <f>IFERROR(VLOOKUP(C84,'تقرير المصروفات حسب الشهر'!$C$1397:$AI$1512,15,FALSE),0)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الشهر'!$C$10:$AD$119,15,FALSE),0)</f>
        <v>0</v>
      </c>
      <c r="E85" s="362">
        <f>IFERROR(VLOOKUP(C85,'تقرير المصروفات حسب الشهر'!$C$135:$AD$244,15,FALSE),0)</f>
        <v>0</v>
      </c>
      <c r="F85" s="362">
        <v>0</v>
      </c>
      <c r="G85" s="362">
        <f>IFERROR(VLOOKUP(C85,'تقرير المصروفات حسب الشهر'!$C$387:$AD$495,15,FALSE),0)</f>
        <v>0</v>
      </c>
      <c r="H85" s="362">
        <f>IFERROR(VLOOKUP(C85,'تقرير المصروفات حسب الشهر'!$C$512:$AD$620,15,FALSE),0)</f>
        <v>0</v>
      </c>
      <c r="I85" s="362">
        <f>IFERROR(VLOOKUP(C85,'تقرير المصروفات حسب الشهر'!$C$637:$AD$746,15,FALSE),0)</f>
        <v>0</v>
      </c>
      <c r="J85" s="362">
        <f>IFERROR(VLOOKUP(C85,'تقرير المصروفات حسب الشهر'!$C$763:$AD$872,15,FALSE),0)</f>
        <v>0</v>
      </c>
      <c r="K85" s="362">
        <f>IFERROR(VLOOKUP(C85,'تقرير المصروفات حسب الشهر'!$C$890:$AD$999,15,FALSE),0)</f>
        <v>0</v>
      </c>
      <c r="L85" s="362">
        <f>IFERROR(VLOOKUP(C85,'تقرير المصروفات حسب الشهر'!$C$1016:$AD$1126,15,FALSE),0)</f>
        <v>0</v>
      </c>
      <c r="M85" s="376">
        <f>IFERROR(VLOOKUP(C85,'تقرير المصروفات حسب الشهر'!$C$1143:$AD$1254,15,FALSE),0)</f>
        <v>0</v>
      </c>
      <c r="N85" s="376">
        <f>IFERROR(VLOOKUP(C85,'تقرير المصروفات حسب الشهر'!$C$1270:$AD$1381,15,FALSE),0)</f>
        <v>0</v>
      </c>
      <c r="O85" s="376">
        <f>IFERROR(VLOOKUP(C85,'تقرير المصروفات حسب الشهر'!$C$1397:$AI$1512,15,FALSE),0)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الشهر'!$C$10:$AD$119,15,FALSE),0)</f>
        <v>23.96</v>
      </c>
      <c r="E86" s="362">
        <f>IFERROR(VLOOKUP(C86,'تقرير المصروفات حسب الشهر'!$C$135:$AD$244,15,FALSE),0)</f>
        <v>1959.65</v>
      </c>
      <c r="F86" s="362">
        <v>1281.5</v>
      </c>
      <c r="G86" s="362">
        <f>IFERROR(VLOOKUP(C86,'تقرير المصروفات حسب الشهر'!$C$387:$AD$495,15,FALSE),0)</f>
        <v>1915.5</v>
      </c>
      <c r="H86" s="362">
        <f>IFERROR(VLOOKUP(C86,'تقرير المصروفات حسب الشهر'!$C$512:$AD$620,15,FALSE),0)</f>
        <v>2072</v>
      </c>
      <c r="I86" s="362">
        <f>IFERROR(VLOOKUP(C86,'تقرير المصروفات حسب الشهر'!$C$637:$AD$746,15,FALSE),0)</f>
        <v>4181</v>
      </c>
      <c r="J86" s="362">
        <f>IFERROR(VLOOKUP(C86,'تقرير المصروفات حسب الشهر'!$C$763:$AD$872,15,FALSE),0)</f>
        <v>979</v>
      </c>
      <c r="K86" s="362">
        <f>IFERROR(VLOOKUP(C86,'تقرير المصروفات حسب الشهر'!$C$890:$AD$999,15,FALSE),0)</f>
        <v>4439.3999999999996</v>
      </c>
      <c r="L86" s="362">
        <f>IFERROR(VLOOKUP(C86,'تقرير المصروفات حسب الشهر'!$C$1016:$AD$1126,15,FALSE),0)</f>
        <v>0</v>
      </c>
      <c r="M86" s="376">
        <f>IFERROR(VLOOKUP(C86,'تقرير المصروفات حسب الشهر'!$C$1143:$AD$1254,15,FALSE),0)</f>
        <v>1325.76</v>
      </c>
      <c r="N86" s="376">
        <f>IFERROR(VLOOKUP(C86,'تقرير المصروفات حسب الشهر'!$C$1270:$AD$1381,15,FALSE),0)</f>
        <v>1105.82</v>
      </c>
      <c r="O86" s="376">
        <f>IFERROR(VLOOKUP(C86,'تقرير المصروفات حسب الشهر'!$C$1397:$AI$1512,15,FALSE),0)</f>
        <v>5457.9</v>
      </c>
      <c r="P86" s="364">
        <f t="shared" si="5"/>
        <v>24741.489999999998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الشهر'!$C$10:$AD$119,15,FALSE),0)</f>
        <v>0</v>
      </c>
      <c r="E87" s="362">
        <f>IFERROR(VLOOKUP(C87,'تقرير المصروفات حسب الشهر'!$C$135:$AD$244,15,FALSE),0)</f>
        <v>0</v>
      </c>
      <c r="F87" s="362">
        <v>0</v>
      </c>
      <c r="G87" s="362">
        <f>IFERROR(VLOOKUP(C87,'تقرير المصروفات حسب الشهر'!$C$387:$AD$495,15,FALSE),0)</f>
        <v>0</v>
      </c>
      <c r="H87" s="362">
        <f>IFERROR(VLOOKUP(C87,'تقرير المصروفات حسب الشهر'!$C$512:$AD$620,15,FALSE),0)</f>
        <v>0</v>
      </c>
      <c r="I87" s="362">
        <f>IFERROR(VLOOKUP(C87,'تقرير المصروفات حسب الشهر'!$C$637:$AD$746,15,FALSE),0)</f>
        <v>0</v>
      </c>
      <c r="J87" s="362">
        <f>IFERROR(VLOOKUP(C87,'تقرير المصروفات حسب الشهر'!$C$763:$AD$872,15,FALSE),0)</f>
        <v>0</v>
      </c>
      <c r="K87" s="362">
        <f>IFERROR(VLOOKUP(C87,'تقرير المصروفات حسب الشهر'!$C$890:$AD$999,15,FALSE),0)</f>
        <v>0</v>
      </c>
      <c r="L87" s="362">
        <f>IFERROR(VLOOKUP(C87,'تقرير المصروفات حسب الشهر'!$C$1016:$AD$1126,15,FALSE),0)</f>
        <v>0</v>
      </c>
      <c r="M87" s="376">
        <f>IFERROR(VLOOKUP(C87,'تقرير المصروفات حسب الشهر'!$C$1143:$AD$1254,15,FALSE),0)</f>
        <v>0</v>
      </c>
      <c r="N87" s="376">
        <f>IFERROR(VLOOKUP(C87,'تقرير المصروفات حسب الشهر'!$C$1270:$AD$1381,15,FALSE),0)</f>
        <v>0</v>
      </c>
      <c r="O87" s="376">
        <f>IFERROR(VLOOKUP(C87,'تقرير المصروفات حسب الشهر'!$C$1397:$AI$1512,15,FALSE),0)</f>
        <v>4372</v>
      </c>
      <c r="P87" s="364">
        <f t="shared" ref="P87:P136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الشهر'!$C$10:$AD$119,15,FALSE),0)</f>
        <v>0</v>
      </c>
      <c r="E88" s="362">
        <f>IFERROR(VLOOKUP(C88,'تقرير المصروفات حسب الشهر'!$C$135:$AD$244,15,FALSE),0)</f>
        <v>0</v>
      </c>
      <c r="F88" s="362">
        <v>0</v>
      </c>
      <c r="G88" s="362">
        <f>IFERROR(VLOOKUP(C88,'تقرير المصروفات حسب الشهر'!$C$387:$AD$495,15,FALSE),0)</f>
        <v>0</v>
      </c>
      <c r="H88" s="362">
        <f>IFERROR(VLOOKUP(C88,'تقرير المصروفات حسب الشهر'!$C$512:$AD$620,15,FALSE),0)</f>
        <v>342</v>
      </c>
      <c r="I88" s="362">
        <f>IFERROR(VLOOKUP(C88,'تقرير المصروفات حسب الشهر'!$C$637:$AD$746,15,FALSE),0)</f>
        <v>120</v>
      </c>
      <c r="J88" s="362">
        <f>IFERROR(VLOOKUP(C88,'تقرير المصروفات حسب الشهر'!$C$763:$AD$872,15,FALSE),0)</f>
        <v>0</v>
      </c>
      <c r="K88" s="362">
        <f>IFERROR(VLOOKUP(C88,'تقرير المصروفات حسب الشهر'!$C$890:$AD$999,15,FALSE),0)</f>
        <v>0</v>
      </c>
      <c r="L88" s="362">
        <f>IFERROR(VLOOKUP(C88,'تقرير المصروفات حسب الشهر'!$C$1016:$AD$1126,15,FALSE),0)</f>
        <v>0</v>
      </c>
      <c r="M88" s="376">
        <f>IFERROR(VLOOKUP(C88,'تقرير المصروفات حسب الشهر'!$C$1143:$AD$1254,15,FALSE),0)</f>
        <v>0</v>
      </c>
      <c r="N88" s="376">
        <f>IFERROR(VLOOKUP(C88,'تقرير المصروفات حسب الشهر'!$C$1270:$AD$1381,15,FALSE),0)</f>
        <v>0</v>
      </c>
      <c r="O88" s="376">
        <f>IFERROR(VLOOKUP(C88,'تقرير المصروفات حسب الشهر'!$C$1397:$AI$1512,15,FALSE),0)</f>
        <v>0</v>
      </c>
      <c r="P88" s="364">
        <f t="shared" si="6"/>
        <v>462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الشهر'!$C$10:$AD$119,15,FALSE),0)</f>
        <v>0</v>
      </c>
      <c r="E89" s="362">
        <f>IFERROR(VLOOKUP(C89,'تقرير المصروفات حسب الشهر'!$C$135:$AD$244,15,FALSE),0)</f>
        <v>0</v>
      </c>
      <c r="F89" s="362">
        <v>0</v>
      </c>
      <c r="G89" s="362">
        <f>IFERROR(VLOOKUP(C89,'تقرير المصروفات حسب الشهر'!$C$387:$AD$495,15,FALSE),0)</f>
        <v>0</v>
      </c>
      <c r="H89" s="362">
        <f>IFERROR(VLOOKUP(C89,'تقرير المصروفات حسب الشهر'!$C$512:$AD$620,15,FALSE),0)</f>
        <v>0</v>
      </c>
      <c r="I89" s="362">
        <f>IFERROR(VLOOKUP(C89,'تقرير المصروفات حسب الشهر'!$C$637:$AD$746,15,FALSE),0)</f>
        <v>0</v>
      </c>
      <c r="J89" s="362">
        <f>IFERROR(VLOOKUP(C89,'تقرير المصروفات حسب الشهر'!$C$763:$AD$872,15,FALSE),0)</f>
        <v>0</v>
      </c>
      <c r="K89" s="362">
        <f>IFERROR(VLOOKUP(C89,'تقرير المصروفات حسب الشهر'!$C$890:$AD$999,15,FALSE),0)</f>
        <v>0</v>
      </c>
      <c r="L89" s="362">
        <f>IFERROR(VLOOKUP(C89,'تقرير المصروفات حسب الشهر'!$C$1016:$AD$1126,15,FALSE),0)</f>
        <v>0</v>
      </c>
      <c r="M89" s="376">
        <f>IFERROR(VLOOKUP(C89,'تقرير المصروفات حسب الشهر'!$C$1143:$AD$1254,15,FALSE),0)</f>
        <v>0</v>
      </c>
      <c r="N89" s="376">
        <f>IFERROR(VLOOKUP(C89,'تقرير المصروفات حسب الشهر'!$C$1270:$AD$1381,15,FALSE),0)</f>
        <v>0</v>
      </c>
      <c r="O89" s="376">
        <f>IFERROR(VLOOKUP(C89,'تقرير المصروفات حسب الشهر'!$C$1397:$AI$1512,15,FALSE),0)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الشهر'!$C$10:$AD$119,15,FALSE),0)</f>
        <v>0</v>
      </c>
      <c r="E90" s="362">
        <f>IFERROR(VLOOKUP(C90,'تقرير المصروفات حسب الشهر'!$C$135:$AD$244,15,FALSE),0)</f>
        <v>0</v>
      </c>
      <c r="F90" s="362">
        <v>0</v>
      </c>
      <c r="G90" s="362">
        <f>IFERROR(VLOOKUP(C90,'تقرير المصروفات حسب الشهر'!$C$387:$AD$495,15,FALSE),0)</f>
        <v>0</v>
      </c>
      <c r="H90" s="362">
        <f>IFERROR(VLOOKUP(C90,'تقرير المصروفات حسب الشهر'!$C$512:$AD$620,15,FALSE),0)</f>
        <v>0</v>
      </c>
      <c r="I90" s="362">
        <f>IFERROR(VLOOKUP(C90,'تقرير المصروفات حسب الشهر'!$C$637:$AD$746,15,FALSE),0)</f>
        <v>0</v>
      </c>
      <c r="J90" s="362">
        <f>IFERROR(VLOOKUP(C90,'تقرير المصروفات حسب الشهر'!$C$763:$AD$872,15,FALSE),0)</f>
        <v>0</v>
      </c>
      <c r="K90" s="362">
        <f>IFERROR(VLOOKUP(C90,'تقرير المصروفات حسب الشهر'!$C$890:$AD$999,15,FALSE),0)</f>
        <v>0</v>
      </c>
      <c r="L90" s="362">
        <f>IFERROR(VLOOKUP(C90,'تقرير المصروفات حسب الشهر'!$C$1016:$AD$1126,15,FALSE),0)</f>
        <v>0</v>
      </c>
      <c r="M90" s="376">
        <f>IFERROR(VLOOKUP(C90,'تقرير المصروفات حسب الشهر'!$C$1143:$AD$1254,15,FALSE),0)</f>
        <v>0</v>
      </c>
      <c r="N90" s="376">
        <f>IFERROR(VLOOKUP(C90,'تقرير المصروفات حسب الشهر'!$C$1270:$AD$1381,15,FALSE),0)</f>
        <v>0</v>
      </c>
      <c r="O90" s="376">
        <f>IFERROR(VLOOKUP(C90,'تقرير المصروفات حسب الشهر'!$C$1397:$AI$1512,15,FALSE),0)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الشهر'!$C$10:$AD$119,15,FALSE),0)</f>
        <v>4000</v>
      </c>
      <c r="E91" s="362">
        <f>IFERROR(VLOOKUP(C91,'تقرير المصروفات حسب الشهر'!$C$135:$AD$244,15,FALSE),0)</f>
        <v>4330</v>
      </c>
      <c r="F91" s="362">
        <v>4400</v>
      </c>
      <c r="G91" s="362">
        <f>IFERROR(VLOOKUP(C91,'تقرير المصروفات حسب الشهر'!$C$387:$AD$495,15,FALSE),0)</f>
        <v>4262</v>
      </c>
      <c r="H91" s="362">
        <f>IFERROR(VLOOKUP(C91,'تقرير المصروفات حسب الشهر'!$C$512:$AD$620,15,FALSE),0)</f>
        <v>4630</v>
      </c>
      <c r="I91" s="362">
        <f>IFERROR(VLOOKUP(C91,'تقرير المصروفات حسب الشهر'!$C$637:$AD$746,15,FALSE),0)</f>
        <v>4650</v>
      </c>
      <c r="J91" s="362">
        <f>IFERROR(VLOOKUP(C91,'تقرير المصروفات حسب الشهر'!$C$763:$AD$872,15,FALSE),0)</f>
        <v>4630</v>
      </c>
      <c r="K91" s="362">
        <f>IFERROR(VLOOKUP(C91,'تقرير المصروفات حسب الشهر'!$C$890:$AD$999,15,FALSE),0)</f>
        <v>4755</v>
      </c>
      <c r="L91" s="362">
        <f>IFERROR(VLOOKUP(C91,'تقرير المصروفات حسب الشهر'!$C$1016:$AD$1126,15,FALSE),0)</f>
        <v>4265</v>
      </c>
      <c r="M91" s="376">
        <f>IFERROR(VLOOKUP(C91,'تقرير المصروفات حسب الشهر'!$C$1143:$AD$1254,15,FALSE),0)</f>
        <v>4150</v>
      </c>
      <c r="N91" s="376">
        <f>IFERROR(VLOOKUP(C91,'تقرير المصروفات حسب الشهر'!$C$1270:$AD$1381,15,FALSE),0)</f>
        <v>5980</v>
      </c>
      <c r="O91" s="376">
        <f>IFERROR(VLOOKUP(C91,'تقرير المصروفات حسب الشهر'!$C$1397:$AI$1512,15,FALSE),0)</f>
        <v>5500</v>
      </c>
      <c r="P91" s="364">
        <f t="shared" si="6"/>
        <v>55552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الشهر'!$C$10:$AD$119,15,FALSE),0)</f>
        <v>0</v>
      </c>
      <c r="E92" s="362">
        <f>IFERROR(VLOOKUP(C92,'تقرير المصروفات حسب الشهر'!$C$135:$AD$244,15,FALSE),0)</f>
        <v>0</v>
      </c>
      <c r="F92" s="362">
        <v>0</v>
      </c>
      <c r="G92" s="362">
        <f>IFERROR(VLOOKUP(C92,'تقرير المصروفات حسب الشهر'!$C$387:$AD$495,15,FALSE),0)</f>
        <v>0</v>
      </c>
      <c r="H92" s="362">
        <f>IFERROR(VLOOKUP(C92,'تقرير المصروفات حسب الشهر'!$C$512:$AD$620,15,FALSE),0)</f>
        <v>0</v>
      </c>
      <c r="I92" s="362">
        <f>IFERROR(VLOOKUP(C92,'تقرير المصروفات حسب الشهر'!$C$637:$AD$746,15,FALSE),0)</f>
        <v>0</v>
      </c>
      <c r="J92" s="362">
        <f>IFERROR(VLOOKUP(C92,'تقرير المصروفات حسب الشهر'!$C$763:$AD$872,15,FALSE),0)</f>
        <v>1396.5</v>
      </c>
      <c r="K92" s="362">
        <f>IFERROR(VLOOKUP(C92,'تقرير المصروفات حسب الشهر'!$C$890:$AD$999,15,FALSE),0)</f>
        <v>0</v>
      </c>
      <c r="L92" s="362">
        <f>IFERROR(VLOOKUP(C92,'تقرير المصروفات حسب الشهر'!$C$1016:$AD$1126,15,FALSE),0)</f>
        <v>0</v>
      </c>
      <c r="M92" s="376">
        <f>IFERROR(VLOOKUP(C92,'تقرير المصروفات حسب الشهر'!$C$1143:$AD$1254,15,FALSE),0)</f>
        <v>0</v>
      </c>
      <c r="N92" s="376">
        <f>IFERROR(VLOOKUP(C92,'تقرير المصروفات حسب الشهر'!$C$1270:$AD$1381,15,FALSE),0)</f>
        <v>0</v>
      </c>
      <c r="O92" s="376">
        <f>IFERROR(VLOOKUP(C92,'تقرير المصروفات حسب الشهر'!$C$1397:$AI$1512,15,FALSE),0)</f>
        <v>0</v>
      </c>
      <c r="P92" s="364">
        <f t="shared" si="6"/>
        <v>1396.5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الشهر'!$C$10:$AD$119,15,FALSE),0)</f>
        <v>0</v>
      </c>
      <c r="E93" s="362">
        <f>IFERROR(VLOOKUP(C93,'تقرير المصروفات حسب الشهر'!$C$135:$AD$244,15,FALSE),0)</f>
        <v>706</v>
      </c>
      <c r="F93" s="362">
        <v>0</v>
      </c>
      <c r="G93" s="362">
        <f>IFERROR(VLOOKUP(C93,'تقرير المصروفات حسب الشهر'!$C$387:$AD$495,15,FALSE),0)</f>
        <v>0</v>
      </c>
      <c r="H93" s="362">
        <f>IFERROR(VLOOKUP(C93,'تقرير المصروفات حسب الشهر'!$C$512:$AD$620,15,FALSE),0)</f>
        <v>1865</v>
      </c>
      <c r="I93" s="362">
        <f>IFERROR(VLOOKUP(C93,'تقرير المصروفات حسب الشهر'!$C$637:$AD$746,15,FALSE),0)</f>
        <v>0</v>
      </c>
      <c r="J93" s="362">
        <f>IFERROR(VLOOKUP(C93,'تقرير المصروفات حسب الشهر'!$C$763:$AD$872,15,FALSE),0)</f>
        <v>668</v>
      </c>
      <c r="K93" s="362">
        <f>IFERROR(VLOOKUP(C93,'تقرير المصروفات حسب الشهر'!$C$890:$AD$999,15,FALSE),0)</f>
        <v>1331.8</v>
      </c>
      <c r="L93" s="362">
        <f>IFERROR(VLOOKUP(C93,'تقرير المصروفات حسب الشهر'!$C$1016:$AD$1126,15,FALSE),0)</f>
        <v>0</v>
      </c>
      <c r="M93" s="376">
        <f>IFERROR(VLOOKUP(C93,'تقرير المصروفات حسب الشهر'!$C$1143:$AD$1254,15,FALSE),0)</f>
        <v>0</v>
      </c>
      <c r="N93" s="376">
        <f>IFERROR(VLOOKUP(C93,'تقرير المصروفات حسب الشهر'!$C$1270:$AD$1381,15,FALSE),0)</f>
        <v>0</v>
      </c>
      <c r="O93" s="376">
        <f>IFERROR(VLOOKUP(C93,'تقرير المصروفات حسب الشهر'!$C$1397:$AI$1512,15,FALSE),0)</f>
        <v>0</v>
      </c>
      <c r="P93" s="364">
        <f t="shared" si="6"/>
        <v>4570.8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الشهر'!$C$10:$AD$119,15,FALSE),0)</f>
        <v>296.31</v>
      </c>
      <c r="E94" s="362">
        <f>IFERROR(VLOOKUP(C94,'تقرير المصروفات حسب الشهر'!$C$135:$AD$244,15,FALSE),0)</f>
        <v>592.62</v>
      </c>
      <c r="F94" s="362">
        <v>592.63</v>
      </c>
      <c r="G94" s="362">
        <f>IFERROR(VLOOKUP(C94,'تقرير المصروفات حسب الشهر'!$C$387:$AD$495,15,FALSE),0)</f>
        <v>592.63</v>
      </c>
      <c r="H94" s="362">
        <f>IFERROR(VLOOKUP(C94,'تقرير المصروفات حسب الشهر'!$C$512:$AD$620,15,FALSE),0)</f>
        <v>592.63</v>
      </c>
      <c r="I94" s="362">
        <f>IFERROR(VLOOKUP(C94,'تقرير المصروفات حسب الشهر'!$C$637:$AD$746,15,FALSE),0)</f>
        <v>592.63</v>
      </c>
      <c r="J94" s="362">
        <f>IFERROR(VLOOKUP(C94,'تقرير المصروفات حسب الشهر'!$C$763:$AD$872,15,FALSE),0)</f>
        <v>801.93</v>
      </c>
      <c r="K94" s="362">
        <f>IFERROR(VLOOKUP(C94,'تقرير المصروفات حسب الشهر'!$C$890:$AD$999,15,FALSE),0)</f>
        <v>801.93</v>
      </c>
      <c r="L94" s="362">
        <f>IFERROR(VLOOKUP(C94,'تقرير المصروفات حسب الشهر'!$C$1016:$AD$1126,15,FALSE),0)</f>
        <v>1191.93</v>
      </c>
      <c r="M94" s="376">
        <f>IFERROR(VLOOKUP(C94,'تقرير المصروفات حسب الشهر'!$C$1143:$AD$1254,15,FALSE),0)</f>
        <v>1181.93</v>
      </c>
      <c r="N94" s="376">
        <f>IFERROR(VLOOKUP(C94,'تقرير المصروفات حسب الشهر'!$C$1270:$AD$1381,15,FALSE),0)</f>
        <v>801.93</v>
      </c>
      <c r="O94" s="376">
        <f>IFERROR(VLOOKUP(C94,'تقرير المصروفات حسب الشهر'!$C$1397:$AI$1512,15,FALSE),0)</f>
        <v>801.93</v>
      </c>
      <c r="P94" s="364">
        <f t="shared" si="6"/>
        <v>8841.0300000000007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الشهر'!$C$10:$AD$119,15,FALSE),0)</f>
        <v>0</v>
      </c>
      <c r="E95" s="362">
        <f>IFERROR(VLOOKUP(C95,'تقرير المصروفات حسب الشهر'!$C$135:$AD$244,15,FALSE),0)</f>
        <v>0</v>
      </c>
      <c r="F95" s="362">
        <v>0</v>
      </c>
      <c r="G95" s="362">
        <f>IFERROR(VLOOKUP(C95,'تقرير المصروفات حسب الشهر'!$C$387:$AD$495,15,FALSE),0)</f>
        <v>0</v>
      </c>
      <c r="H95" s="362">
        <f>IFERROR(VLOOKUP(C95,'تقرير المصروفات حسب الشهر'!$C$512:$AD$620,15,FALSE),0)</f>
        <v>0</v>
      </c>
      <c r="I95" s="362">
        <f>IFERROR(VLOOKUP(C95,'تقرير المصروفات حسب الشهر'!$C$637:$AD$746,15,FALSE),0)</f>
        <v>0</v>
      </c>
      <c r="J95" s="362">
        <f>IFERROR(VLOOKUP(C95,'تقرير المصروفات حسب الشهر'!$C$763:$AD$872,15,FALSE),0)</f>
        <v>0</v>
      </c>
      <c r="K95" s="362">
        <f>IFERROR(VLOOKUP(C95,'تقرير المصروفات حسب الشهر'!$C$890:$AD$999,15,FALSE),0)</f>
        <v>0</v>
      </c>
      <c r="L95" s="362">
        <f>IFERROR(VLOOKUP(C95,'تقرير المصروفات حسب الشهر'!$C$1016:$AD$1126,15,FALSE),0)</f>
        <v>2130</v>
      </c>
      <c r="M95" s="376">
        <f>IFERROR(VLOOKUP(C95,'تقرير المصروفات حسب الشهر'!$C$1143:$AD$1254,15,FALSE),0)</f>
        <v>1065</v>
      </c>
      <c r="N95" s="376">
        <f>IFERROR(VLOOKUP(C95,'تقرير المصروفات حسب الشهر'!$C$1270:$AD$1381,15,FALSE),0)</f>
        <v>1065</v>
      </c>
      <c r="O95" s="376">
        <f>IFERROR(VLOOKUP(C95,'تقرير المصروفات حسب الشهر'!$C$1397:$AI$1512,15,FALSE),0)</f>
        <v>15759</v>
      </c>
      <c r="P95" s="364">
        <f t="shared" si="6"/>
        <v>20019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الشهر'!$C$10:$AD$119,15,FALSE),0)</f>
        <v>0</v>
      </c>
      <c r="E96" s="362">
        <f>IFERROR(VLOOKUP(C96,'تقرير المصروفات حسب الشهر'!$C$135:$AD$244,15,FALSE),0)</f>
        <v>0</v>
      </c>
      <c r="F96" s="362">
        <v>0</v>
      </c>
      <c r="G96" s="362">
        <f>IFERROR(VLOOKUP(C96,'تقرير المصروفات حسب الشهر'!$C$387:$AD$495,15,FALSE),0)</f>
        <v>0</v>
      </c>
      <c r="H96" s="362">
        <f>IFERROR(VLOOKUP(C96,'تقرير المصروفات حسب الشهر'!$C$512:$AD$620,15,FALSE),0)</f>
        <v>0</v>
      </c>
      <c r="I96" s="362">
        <f>IFERROR(VLOOKUP(C96,'تقرير المصروفات حسب الشهر'!$C$637:$AD$746,15,FALSE),0)</f>
        <v>0</v>
      </c>
      <c r="J96" s="362">
        <f>IFERROR(VLOOKUP(C96,'تقرير المصروفات حسب الشهر'!$C$763:$AD$872,15,FALSE),0)</f>
        <v>0</v>
      </c>
      <c r="K96" s="362">
        <f>IFERROR(VLOOKUP(C96,'تقرير المصروفات حسب الشهر'!$C$890:$AD$999,15,FALSE),0)</f>
        <v>0</v>
      </c>
      <c r="L96" s="362">
        <f>IFERROR(VLOOKUP(C96,'تقرير المصروفات حسب الشهر'!$C$1016:$AD$1126,15,FALSE),0)</f>
        <v>0</v>
      </c>
      <c r="M96" s="376">
        <f>IFERROR(VLOOKUP(C96,'تقرير المصروفات حسب الشهر'!$C$1143:$AD$1254,15,FALSE),0)</f>
        <v>0</v>
      </c>
      <c r="N96" s="376">
        <f>IFERROR(VLOOKUP(C96,'تقرير المصروفات حسب الشهر'!$C$1270:$AD$1381,15,FALSE),0)</f>
        <v>0</v>
      </c>
      <c r="O96" s="376">
        <f>IFERROR(VLOOKUP(C96,'تقرير المصروفات حسب الشهر'!$C$1397:$AI$1512,15,FALSE),0)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الشهر'!$C$10:$AD$119,15,FALSE),0)</f>
        <v>0</v>
      </c>
      <c r="E97" s="362">
        <f>IFERROR(VLOOKUP(C97,'تقرير المصروفات حسب الشهر'!$C$135:$AD$244,15,FALSE),0)</f>
        <v>0</v>
      </c>
      <c r="F97" s="362">
        <v>0</v>
      </c>
      <c r="G97" s="362">
        <f>IFERROR(VLOOKUP(C97,'تقرير المصروفات حسب الشهر'!$C$387:$AD$495,15,FALSE),0)</f>
        <v>0</v>
      </c>
      <c r="H97" s="362">
        <f>IFERROR(VLOOKUP(C97,'تقرير المصروفات حسب الشهر'!$C$512:$AD$620,15,FALSE),0)</f>
        <v>0</v>
      </c>
      <c r="I97" s="362">
        <f>IFERROR(VLOOKUP(C97,'تقرير المصروفات حسب الشهر'!$C$637:$AD$746,15,FALSE),0)</f>
        <v>0</v>
      </c>
      <c r="J97" s="362">
        <f>IFERROR(VLOOKUP(C97,'تقرير المصروفات حسب الشهر'!$C$763:$AD$872,15,FALSE),0)</f>
        <v>0</v>
      </c>
      <c r="K97" s="362">
        <f>IFERROR(VLOOKUP(C97,'تقرير المصروفات حسب الشهر'!$C$890:$AD$999,15,FALSE),0)</f>
        <v>0</v>
      </c>
      <c r="L97" s="362">
        <f>IFERROR(VLOOKUP(C97,'تقرير المصروفات حسب الشهر'!$C$1016:$AD$1126,15,FALSE),0)</f>
        <v>0</v>
      </c>
      <c r="M97" s="376">
        <f>IFERROR(VLOOKUP(C97,'تقرير المصروفات حسب الشهر'!$C$1143:$AD$1254,15,FALSE),0)</f>
        <v>0</v>
      </c>
      <c r="N97" s="376">
        <f>IFERROR(VLOOKUP(C97,'تقرير المصروفات حسب الشهر'!$C$1270:$AD$1381,15,FALSE),0)</f>
        <v>0</v>
      </c>
      <c r="O97" s="376">
        <f>IFERROR(VLOOKUP(C97,'تقرير المصروفات حسب الشهر'!$C$1397:$AI$1512,15,FALSE),0)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الشهر'!$C$10:$AD$119,15,FALSE),0)</f>
        <v>23.33</v>
      </c>
      <c r="E98" s="362">
        <f>IFERROR(VLOOKUP(C98,'تقرير المصروفات حسب الشهر'!$C$135:$AD$244,15,FALSE),0)</f>
        <v>23.33</v>
      </c>
      <c r="F98" s="362">
        <v>23.33</v>
      </c>
      <c r="G98" s="362">
        <f>IFERROR(VLOOKUP(C98,'تقرير المصروفات حسب الشهر'!$C$387:$AD$495,15,FALSE),0)</f>
        <v>23.33</v>
      </c>
      <c r="H98" s="362">
        <f>IFERROR(VLOOKUP(C98,'تقرير المصروفات حسب الشهر'!$C$512:$AD$620,15,FALSE),0)</f>
        <v>23.33</v>
      </c>
      <c r="I98" s="362">
        <f>IFERROR(VLOOKUP(C98,'تقرير المصروفات حسب الشهر'!$C$637:$AD$746,15,FALSE),0)</f>
        <v>23.33</v>
      </c>
      <c r="J98" s="362">
        <f>IFERROR(VLOOKUP(C98,'تقرير المصروفات حسب الشهر'!$C$763:$AD$872,15,FALSE),0)</f>
        <v>23.33</v>
      </c>
      <c r="K98" s="362">
        <f>IFERROR(VLOOKUP(C98,'تقرير المصروفات حسب الشهر'!$C$890:$AD$999,15,FALSE),0)</f>
        <v>23.33</v>
      </c>
      <c r="L98" s="362">
        <f>IFERROR(VLOOKUP(C98,'تقرير المصروفات حسب الشهر'!$C$1016:$AD$1126,15,FALSE),0)</f>
        <v>23.33</v>
      </c>
      <c r="M98" s="376">
        <f>IFERROR(VLOOKUP(C98,'تقرير المصروفات حسب الشهر'!$C$1143:$AD$1254,15,FALSE),0)</f>
        <v>23.33</v>
      </c>
      <c r="N98" s="376">
        <f>IFERROR(VLOOKUP(C98,'تقرير المصروفات حسب الشهر'!$C$1270:$AD$1381,15,FALSE),0)</f>
        <v>23.33</v>
      </c>
      <c r="O98" s="376">
        <f>IFERROR(VLOOKUP(C98,'تقرير المصروفات حسب الشهر'!$C$1397:$AI$1512,15,FALSE),0)</f>
        <v>0.08</v>
      </c>
      <c r="P98" s="364">
        <f t="shared" si="6"/>
        <v>256.70999999999992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الشهر'!$C$10:$AD$119,15,FALSE),0)</f>
        <v>23.33</v>
      </c>
      <c r="E99" s="362">
        <f>IFERROR(VLOOKUP(C99,'تقرير المصروفات حسب الشهر'!$C$135:$AD$244,15,FALSE),0)</f>
        <v>23.33</v>
      </c>
      <c r="F99" s="362">
        <v>23.33</v>
      </c>
      <c r="G99" s="362">
        <f>IFERROR(VLOOKUP(C99,'تقرير المصروفات حسب الشهر'!$C$387:$AD$495,15,FALSE),0)</f>
        <v>23.33</v>
      </c>
      <c r="H99" s="362">
        <f>IFERROR(VLOOKUP(C99,'تقرير المصروفات حسب الشهر'!$C$512:$AD$620,15,FALSE),0)</f>
        <v>23.33</v>
      </c>
      <c r="I99" s="362">
        <f>IFERROR(VLOOKUP(C99,'تقرير المصروفات حسب الشهر'!$C$637:$AD$746,15,FALSE),0)</f>
        <v>608.41</v>
      </c>
      <c r="J99" s="362">
        <f>IFERROR(VLOOKUP(C99,'تقرير المصروفات حسب الشهر'!$C$763:$AD$872,15,FALSE),0)</f>
        <v>1404.17</v>
      </c>
      <c r="K99" s="362">
        <f>IFERROR(VLOOKUP(C99,'تقرير المصروفات حسب الشهر'!$C$890:$AD$999,15,FALSE),0)</f>
        <v>1404.17</v>
      </c>
      <c r="L99" s="362">
        <f>IFERROR(VLOOKUP(C99,'تقرير المصروفات حسب الشهر'!$C$1016:$AD$1126,15,FALSE),0)</f>
        <v>1404.17</v>
      </c>
      <c r="M99" s="376">
        <f>IFERROR(VLOOKUP(C99,'تقرير المصروفات حسب الشهر'!$C$1143:$AD$1254,15,FALSE),0)</f>
        <v>1404.17</v>
      </c>
      <c r="N99" s="376">
        <f>IFERROR(VLOOKUP(C99,'تقرير المصروفات حسب الشهر'!$C$1270:$AD$1381,15,FALSE),0)</f>
        <v>1404.17</v>
      </c>
      <c r="O99" s="376">
        <f>IFERROR(VLOOKUP(C99,'تقرير المصروفات حسب الشهر'!$C$1397:$AI$1512,15,FALSE),0)</f>
        <v>1404.17</v>
      </c>
      <c r="P99" s="364">
        <f t="shared" si="6"/>
        <v>9150.08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الشهر'!$C$10:$AD$119,15,FALSE),0)</f>
        <v>710.67</v>
      </c>
      <c r="E100" s="362">
        <f>IFERROR(VLOOKUP(C100,'تقرير المصروفات حسب الشهر'!$C$135:$AD$244,15,FALSE),0)</f>
        <v>934.62</v>
      </c>
      <c r="F100" s="362">
        <v>1030.8399999999999</v>
      </c>
      <c r="G100" s="362">
        <f>IFERROR(VLOOKUP(C100,'تقرير المصروفات حسب الشهر'!$C$387:$AD$495,15,FALSE),0)</f>
        <v>1030.8399999999999</v>
      </c>
      <c r="H100" s="362">
        <f>IFERROR(VLOOKUP(C100,'تقرير المصروفات حسب الشهر'!$C$512:$AD$620,15,FALSE),0)</f>
        <v>1184.6500000000001</v>
      </c>
      <c r="I100" s="362">
        <f>IFERROR(VLOOKUP(C100,'تقرير المصروفات حسب الشهر'!$C$637:$AD$746,15,FALSE),0)</f>
        <v>1560.52</v>
      </c>
      <c r="J100" s="362">
        <f>IFERROR(VLOOKUP(C100,'تقرير المصروفات حسب الشهر'!$C$763:$AD$872,15,FALSE),0)</f>
        <v>1560.52</v>
      </c>
      <c r="K100" s="362">
        <f>IFERROR(VLOOKUP(C100,'تقرير المصروفات حسب الشهر'!$C$890:$AD$999,15,FALSE),0)</f>
        <v>1565.82</v>
      </c>
      <c r="L100" s="362">
        <f>IFERROR(VLOOKUP(C100,'تقرير المصروفات حسب الشهر'!$C$1016:$AD$1126,15,FALSE),0)</f>
        <v>1601.73</v>
      </c>
      <c r="M100" s="376">
        <f>IFERROR(VLOOKUP(C100,'تقرير المصروفات حسب الشهر'!$C$1143:$AD$1254,15,FALSE),0)</f>
        <v>1680.63</v>
      </c>
      <c r="N100" s="376">
        <f>IFERROR(VLOOKUP(C100,'تقرير المصروفات حسب الشهر'!$C$1270:$AD$1381,15,FALSE),0)</f>
        <v>1674.48</v>
      </c>
      <c r="O100" s="376">
        <f>IFERROR(VLOOKUP(C100,'تقرير المصروفات حسب الشهر'!$C$1397:$AI$1512,15,FALSE),0)</f>
        <v>2437.3200000000002</v>
      </c>
      <c r="P100" s="364">
        <f t="shared" si="6"/>
        <v>16972.64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الشهر'!$C$10:$AD$119,15,FALSE),0)</f>
        <v>53.44</v>
      </c>
      <c r="E101" s="362">
        <f>IFERROR(VLOOKUP(C101,'تقرير المصروفات حسب الشهر'!$C$135:$AD$244,15,FALSE),0)</f>
        <v>53.44</v>
      </c>
      <c r="F101" s="362">
        <v>53.44</v>
      </c>
      <c r="G101" s="362">
        <f>IFERROR(VLOOKUP(C101,'تقرير المصروفات حسب الشهر'!$C$387:$AD$495,15,FALSE),0)</f>
        <v>53.44</v>
      </c>
      <c r="H101" s="362">
        <f>IFERROR(VLOOKUP(C101,'تقرير المصروفات حسب الشهر'!$C$512:$AD$620,15,FALSE),0)</f>
        <v>53.44</v>
      </c>
      <c r="I101" s="362">
        <f>IFERROR(VLOOKUP(C101,'تقرير المصروفات حسب الشهر'!$C$637:$AD$746,15,FALSE),0)</f>
        <v>53.44</v>
      </c>
      <c r="J101" s="362">
        <f>IFERROR(VLOOKUP(C101,'تقرير المصروفات حسب الشهر'!$C$763:$AD$872,15,FALSE),0)</f>
        <v>53.44</v>
      </c>
      <c r="K101" s="362">
        <f>IFERROR(VLOOKUP(C101,'تقرير المصروفات حسب الشهر'!$C$890:$AD$999,15,FALSE),0)</f>
        <v>38.17</v>
      </c>
      <c r="L101" s="362">
        <f>IFERROR(VLOOKUP(C101,'تقرير المصروفات حسب الشهر'!$C$1016:$AD$1126,15,FALSE),0)</f>
        <v>0</v>
      </c>
      <c r="M101" s="376">
        <f>IFERROR(VLOOKUP(C101,'تقرير المصروفات حسب الشهر'!$C$1143:$AD$1254,15,FALSE),0)</f>
        <v>0</v>
      </c>
      <c r="N101" s="376">
        <f>IFERROR(VLOOKUP(C101,'تقرير المصروفات حسب الشهر'!$C$1270:$AD$1381,15,FALSE),0)</f>
        <v>0</v>
      </c>
      <c r="O101" s="376">
        <f>IFERROR(VLOOKUP(C101,'تقرير المصروفات حسب الشهر'!$C$1397:$AI$1512,15,FALSE),0)</f>
        <v>0</v>
      </c>
      <c r="P101" s="364">
        <f t="shared" si="6"/>
        <v>412.25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الشهر'!$C$10:$AD$119,15,FALSE),0)</f>
        <v>305.82</v>
      </c>
      <c r="E102" s="362">
        <f>IFERROR(VLOOKUP(C102,'تقرير المصروفات حسب الشهر'!$C$135:$AD$244,15,FALSE),0)</f>
        <v>305.82</v>
      </c>
      <c r="F102" s="362">
        <v>305.82</v>
      </c>
      <c r="G102" s="362">
        <f>IFERROR(VLOOKUP(C102,'تقرير المصروفات حسب الشهر'!$C$387:$AD$495,15,FALSE),0)</f>
        <v>305.82</v>
      </c>
      <c r="H102" s="362">
        <f>IFERROR(VLOOKUP(C102,'تقرير المصروفات حسب الشهر'!$C$512:$AD$620,15,FALSE),0)</f>
        <v>305.82</v>
      </c>
      <c r="I102" s="362">
        <f>IFERROR(VLOOKUP(C102,'تقرير المصروفات حسب الشهر'!$C$637:$AD$746,15,FALSE),0)</f>
        <v>300.8</v>
      </c>
      <c r="J102" s="362">
        <f>IFERROR(VLOOKUP(C102,'تقرير المصروفات حسب الشهر'!$C$763:$AD$872,15,FALSE),0)</f>
        <v>274.49</v>
      </c>
      <c r="K102" s="362">
        <f>IFERROR(VLOOKUP(C102,'تقرير المصروفات حسب الشهر'!$C$890:$AD$999,15,FALSE),0)</f>
        <v>274.49</v>
      </c>
      <c r="L102" s="362">
        <f>IFERROR(VLOOKUP(C102,'تقرير المصروفات حسب الشهر'!$C$1016:$AD$1126,15,FALSE),0)</f>
        <v>274.49</v>
      </c>
      <c r="M102" s="376">
        <f>IFERROR(VLOOKUP(C102,'تقرير المصروفات حسب الشهر'!$C$1143:$AD$1254,15,FALSE),0)</f>
        <v>274.49</v>
      </c>
      <c r="N102" s="376">
        <f>IFERROR(VLOOKUP(C102,'تقرير المصروفات حسب الشهر'!$C$1270:$AD$1381,15,FALSE),0)</f>
        <v>274.36</v>
      </c>
      <c r="O102" s="376">
        <f>IFERROR(VLOOKUP(C102,'تقرير المصروفات حسب الشهر'!$C$1397:$AI$1512,15,FALSE),0)</f>
        <v>0</v>
      </c>
      <c r="P102" s="364">
        <f t="shared" si="6"/>
        <v>3202.22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الشهر'!$C$10:$AD$119,15,FALSE),0)</f>
        <v>5967.45</v>
      </c>
      <c r="E103" s="362">
        <f>IFERROR(VLOOKUP(C103,'تقرير المصروفات حسب الشهر'!$C$135:$AD$244,15,FALSE),0)</f>
        <v>5967.45</v>
      </c>
      <c r="F103" s="362">
        <v>5967.45</v>
      </c>
      <c r="G103" s="362">
        <f>IFERROR(VLOOKUP(C103,'تقرير المصروفات حسب الشهر'!$C$387:$AD$495,15,FALSE),0)</f>
        <v>5644.11</v>
      </c>
      <c r="H103" s="362">
        <f>IFERROR(VLOOKUP(C103,'تقرير المصروفات حسب الشهر'!$C$512:$AD$620,15,FALSE),0)</f>
        <v>5644.11</v>
      </c>
      <c r="I103" s="362">
        <f>IFERROR(VLOOKUP(C103,'تقرير المصروفات حسب الشهر'!$C$637:$AD$746,15,FALSE),0)</f>
        <v>5644.11</v>
      </c>
      <c r="J103" s="362">
        <f>IFERROR(VLOOKUP(C103,'تقرير المصروفات حسب الشهر'!$C$763:$AD$872,15,FALSE),0)</f>
        <v>5393.6</v>
      </c>
      <c r="K103" s="362">
        <f>IFERROR(VLOOKUP(C103,'تقرير المصروفات حسب الشهر'!$C$890:$AD$999,15,FALSE),0)</f>
        <v>3077.44</v>
      </c>
      <c r="L103" s="362">
        <f>IFERROR(VLOOKUP(C103,'تقرير المصروفات حسب الشهر'!$C$1016:$AD$1126,15,FALSE),0)</f>
        <v>2915.77</v>
      </c>
      <c r="M103" s="376">
        <f>IFERROR(VLOOKUP(C103,'تقرير المصروفات حسب الشهر'!$C$1143:$AD$1254,15,FALSE),0)</f>
        <v>2754.1</v>
      </c>
      <c r="N103" s="376">
        <f>IFERROR(VLOOKUP(C103,'تقرير المصروفات حسب الشهر'!$C$1270:$AD$1381,15,FALSE),0)</f>
        <v>2784.32</v>
      </c>
      <c r="O103" s="376">
        <f>IFERROR(VLOOKUP(C103,'تقرير المصروفات حسب الشهر'!$C$1397:$AI$1512,15,FALSE),0)</f>
        <v>182.41</v>
      </c>
      <c r="P103" s="364">
        <f t="shared" si="6"/>
        <v>51942.32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الشهر'!$C$10:$AD$119,15,FALSE),0)</f>
        <v>0</v>
      </c>
      <c r="E104" s="362">
        <f>IFERROR(VLOOKUP(C104,'تقرير المصروفات حسب الشهر'!$C$135:$AD$244,15,FALSE),0)</f>
        <v>0</v>
      </c>
      <c r="F104" s="362">
        <v>0</v>
      </c>
      <c r="G104" s="362">
        <f>IFERROR(VLOOKUP(C104,'تقرير المصروفات حسب الشهر'!$C$387:$AD$495,15,FALSE),0)</f>
        <v>0</v>
      </c>
      <c r="H104" s="362">
        <f>IFERROR(VLOOKUP(C104,'تقرير المصروفات حسب الشهر'!$C$512:$AD$620,15,FALSE),0)</f>
        <v>0</v>
      </c>
      <c r="I104" s="362">
        <f>IFERROR(VLOOKUP(C104,'تقرير المصروفات حسب الشهر'!$C$637:$AD$746,15,FALSE),0)</f>
        <v>0</v>
      </c>
      <c r="J104" s="362">
        <f>IFERROR(VLOOKUP(C104,'تقرير المصروفات حسب الشهر'!$C$763:$AD$872,15,FALSE),0)</f>
        <v>0</v>
      </c>
      <c r="K104" s="362">
        <f>IFERROR(VLOOKUP(C104,'تقرير المصروفات حسب الشهر'!$C$890:$AD$999,15,FALSE),0)</f>
        <v>0</v>
      </c>
      <c r="L104" s="362">
        <f>IFERROR(VLOOKUP(C104,'تقرير المصروفات حسب الشهر'!$C$1016:$AD$1126,15,FALSE),0)</f>
        <v>0</v>
      </c>
      <c r="M104" s="376">
        <f>IFERROR(VLOOKUP(C104,'تقرير المصروفات حسب الشهر'!$C$1143:$AD$1254,15,FALSE),0)</f>
        <v>0</v>
      </c>
      <c r="N104" s="376">
        <f>IFERROR(VLOOKUP(C104,'تقرير المصروفات حسب الشهر'!$C$1270:$AD$1381,15,FALSE),0)</f>
        <v>0</v>
      </c>
      <c r="O104" s="376">
        <f>IFERROR(VLOOKUP(C104,'تقرير المصروفات حسب الشهر'!$C$1397:$AI$1512,15,FALSE),0)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الشهر'!$C$10:$AD$119,15,FALSE),0)</f>
        <v>0</v>
      </c>
      <c r="E105" s="362">
        <f>IFERROR(VLOOKUP(C105,'تقرير المصروفات حسب الشهر'!$C$135:$AD$244,15,FALSE),0)</f>
        <v>0</v>
      </c>
      <c r="F105" s="362">
        <v>0</v>
      </c>
      <c r="G105" s="362">
        <f>IFERROR(VLOOKUP(C105,'تقرير المصروفات حسب الشهر'!$C$387:$AD$495,15,FALSE),0)</f>
        <v>0</v>
      </c>
      <c r="H105" s="362">
        <f>IFERROR(VLOOKUP(C105,'تقرير المصروفات حسب الشهر'!$C$512:$AD$620,15,FALSE),0)</f>
        <v>0</v>
      </c>
      <c r="I105" s="362">
        <f>IFERROR(VLOOKUP(C105,'تقرير المصروفات حسب الشهر'!$C$637:$AD$746,15,FALSE),0)</f>
        <v>0</v>
      </c>
      <c r="J105" s="362">
        <f>IFERROR(VLOOKUP(C105,'تقرير المصروفات حسب الشهر'!$C$763:$AD$872,15,FALSE),0)</f>
        <v>0</v>
      </c>
      <c r="K105" s="362">
        <f>IFERROR(VLOOKUP(C105,'تقرير المصروفات حسب الشهر'!$C$890:$AD$999,15,FALSE),0)</f>
        <v>0</v>
      </c>
      <c r="L105" s="362">
        <f>IFERROR(VLOOKUP(C105,'تقرير المصروفات حسب الشهر'!$C$1016:$AD$1126,15,FALSE),0)</f>
        <v>0</v>
      </c>
      <c r="M105" s="376">
        <f>IFERROR(VLOOKUP(C105,'تقرير المصروفات حسب الشهر'!$C$1143:$AD$1254,15,FALSE),0)</f>
        <v>0</v>
      </c>
      <c r="N105" s="376">
        <f>IFERROR(VLOOKUP(C105,'تقرير المصروفات حسب الشهر'!$C$1270:$AD$1381,15,FALSE),0)</f>
        <v>0</v>
      </c>
      <c r="O105" s="376">
        <f>IFERROR(VLOOKUP(C105,'تقرير المصروفات حسب الشهر'!$C$1397:$AI$1512,15,FALSE),0)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الشهر'!$C$10:$AD$119,15,FALSE),0)</f>
        <v>32065.59</v>
      </c>
      <c r="E106" s="362">
        <f>IFERROR(VLOOKUP(C106,'تقرير المصروفات حسب الشهر'!$C$135:$AD$244,15,FALSE),0)</f>
        <v>31764.07</v>
      </c>
      <c r="F106" s="362">
        <v>37942.69</v>
      </c>
      <c r="G106" s="362">
        <f>IFERROR(VLOOKUP(C106,'تقرير المصروفات حسب الشهر'!$C$387:$AD$495,15,FALSE),0)</f>
        <v>40192.199999999997</v>
      </c>
      <c r="H106" s="362">
        <f>IFERROR(VLOOKUP(C106,'تقرير المصروفات حسب الشهر'!$C$512:$AD$620,15,FALSE),0)</f>
        <v>34242.74</v>
      </c>
      <c r="I106" s="362">
        <f>IFERROR(VLOOKUP(C106,'تقرير المصروفات حسب الشهر'!$C$637:$AD$746,15,FALSE),0)</f>
        <v>31021.200000000001</v>
      </c>
      <c r="J106" s="362">
        <f>IFERROR(VLOOKUP(C106,'تقرير المصروفات حسب الشهر'!$C$763:$AD$872,15,FALSE),0)</f>
        <v>34033.93</v>
      </c>
      <c r="K106" s="362">
        <f>IFERROR(VLOOKUP(C106,'تقرير المصروفات حسب الشهر'!$C$890:$AD$999,15,FALSE),0)</f>
        <v>35058.89</v>
      </c>
      <c r="L106" s="362">
        <f>IFERROR(VLOOKUP(C106,'تقرير المصروفات حسب الشهر'!$C$1016:$AD$1126,15,FALSE),0)</f>
        <v>34471.050000000003</v>
      </c>
      <c r="M106" s="376">
        <f>IFERROR(VLOOKUP(C106,'تقرير المصروفات حسب الشهر'!$C$1143:$AD$1254,15,FALSE),0)</f>
        <v>34755.020000000004</v>
      </c>
      <c r="N106" s="376">
        <f>IFERROR(VLOOKUP(C106,'تقرير المصروفات حسب الشهر'!$C$1270:$AD$1381,15,FALSE),0)</f>
        <v>31033.94</v>
      </c>
      <c r="O106" s="376">
        <f>IFERROR(VLOOKUP(C106,'تقرير المصروفات حسب الشهر'!$C$1397:$AI$1512,15,FALSE),0)</f>
        <v>31953.030000000002</v>
      </c>
      <c r="P106" s="364">
        <f t="shared" si="6"/>
        <v>408534.35000000003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الشهر'!$C$10:$AD$119,15,FALSE),0)</f>
        <v>0</v>
      </c>
      <c r="E107" s="362">
        <f>IFERROR(VLOOKUP(C107,'تقرير المصروفات حسب الشهر'!$C$135:$AD$244,15,FALSE),0)</f>
        <v>0</v>
      </c>
      <c r="F107" s="362">
        <v>0</v>
      </c>
      <c r="G107" s="362">
        <f>IFERROR(VLOOKUP(C107,'تقرير المصروفات حسب الشهر'!$C$387:$AD$495,15,FALSE),0)</f>
        <v>0</v>
      </c>
      <c r="H107" s="362">
        <f>IFERROR(VLOOKUP(C107,'تقرير المصروفات حسب الشهر'!$C$512:$AD$620,15,FALSE),0)</f>
        <v>0</v>
      </c>
      <c r="I107" s="362">
        <f>IFERROR(VLOOKUP(C107,'تقرير المصروفات حسب الشهر'!$C$637:$AD$746,15,FALSE),0)</f>
        <v>0</v>
      </c>
      <c r="J107" s="362">
        <f>IFERROR(VLOOKUP(C107,'تقرير المصروفات حسب الشهر'!$C$763:$AD$872,15,FALSE),0)</f>
        <v>0</v>
      </c>
      <c r="K107" s="362">
        <f>IFERROR(VLOOKUP(C107,'تقرير المصروفات حسب الشهر'!$C$890:$AD$999,15,FALSE),0)</f>
        <v>0</v>
      </c>
      <c r="L107" s="362">
        <f>IFERROR(VLOOKUP(C107,'تقرير المصروفات حسب الشهر'!$C$1016:$AD$1126,15,FALSE),0)</f>
        <v>0</v>
      </c>
      <c r="M107" s="376">
        <f>IFERROR(VLOOKUP(C107,'تقرير المصروفات حسب الشهر'!$C$1143:$AD$1254,15,FALSE),0)</f>
        <v>0</v>
      </c>
      <c r="N107" s="376">
        <f>IFERROR(VLOOKUP(C107,'تقرير المصروفات حسب الشهر'!$C$1270:$AD$1381,15,FALSE),0)</f>
        <v>0</v>
      </c>
      <c r="O107" s="376">
        <f>IFERROR(VLOOKUP(C107,'تقرير المصروفات حسب الشهر'!$C$1397:$AI$1512,15,FALSE),0)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الشهر'!$C$10:$AD$119,15,FALSE),0)</f>
        <v>0</v>
      </c>
      <c r="E108" s="362">
        <f>IFERROR(VLOOKUP(C108,'تقرير المصروفات حسب الشهر'!$C$135:$AD$244,15,FALSE),0)</f>
        <v>0</v>
      </c>
      <c r="F108" s="362">
        <v>0</v>
      </c>
      <c r="G108" s="362">
        <f>IFERROR(VLOOKUP(C108,'تقرير المصروفات حسب الشهر'!$C$387:$AD$495,15,FALSE),0)</f>
        <v>0</v>
      </c>
      <c r="H108" s="362">
        <f>IFERROR(VLOOKUP(C108,'تقرير المصروفات حسب الشهر'!$C$512:$AD$620,15,FALSE),0)</f>
        <v>0</v>
      </c>
      <c r="I108" s="362">
        <f>IFERROR(VLOOKUP(C108,'تقرير المصروفات حسب الشهر'!$C$637:$AD$746,15,FALSE),0)</f>
        <v>0</v>
      </c>
      <c r="J108" s="362">
        <f>IFERROR(VLOOKUP(C108,'تقرير المصروفات حسب الشهر'!$C$763:$AD$872,15,FALSE),0)</f>
        <v>0</v>
      </c>
      <c r="K108" s="362">
        <f>IFERROR(VLOOKUP(C108,'تقرير المصروفات حسب الشهر'!$C$890:$AD$999,15,FALSE),0)</f>
        <v>0</v>
      </c>
      <c r="L108" s="362">
        <f>IFERROR(VLOOKUP(C108,'تقرير المصروفات حسب الشهر'!$C$1016:$AD$1126,15,FALSE),0)</f>
        <v>0</v>
      </c>
      <c r="M108" s="376">
        <f>IFERROR(VLOOKUP(C108,'تقرير المصروفات حسب الشهر'!$C$1143:$AD$1254,15,FALSE),0)</f>
        <v>0</v>
      </c>
      <c r="N108" s="376">
        <f>IFERROR(VLOOKUP(C108,'تقرير المصروفات حسب الشهر'!$C$1270:$AD$1381,15,FALSE),0)</f>
        <v>0</v>
      </c>
      <c r="O108" s="376">
        <f>IFERROR(VLOOKUP(C108,'تقرير المصروفات حسب الشهر'!$C$1397:$AI$1512,15,FALSE),0)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الشهر'!$C$10:$AD$119,15,FALSE),0)</f>
        <v>0</v>
      </c>
      <c r="E109" s="362">
        <f>IFERROR(VLOOKUP(C109,'تقرير المصروفات حسب الشهر'!$C$135:$AD$244,15,FALSE),0)</f>
        <v>0</v>
      </c>
      <c r="F109" s="362">
        <v>0</v>
      </c>
      <c r="G109" s="362">
        <f>IFERROR(VLOOKUP(C109,'تقرير المصروفات حسب الشهر'!$C$387:$AD$495,15,FALSE),0)</f>
        <v>8029.4</v>
      </c>
      <c r="H109" s="362">
        <f>IFERROR(VLOOKUP(C109,'تقرير المصروفات حسب الشهر'!$C$512:$AD$620,15,FALSE),0)</f>
        <v>0</v>
      </c>
      <c r="I109" s="362">
        <f>IFERROR(VLOOKUP(C109,'تقرير المصروفات حسب الشهر'!$C$637:$AD$746,15,FALSE),0)</f>
        <v>0</v>
      </c>
      <c r="J109" s="362">
        <f>IFERROR(VLOOKUP(C109,'تقرير المصروفات حسب الشهر'!$C$763:$AD$872,15,FALSE),0)</f>
        <v>0</v>
      </c>
      <c r="K109" s="362">
        <f>IFERROR(VLOOKUP(C109,'تقرير المصروفات حسب الشهر'!$C$890:$AD$999,15,FALSE),0)</f>
        <v>0</v>
      </c>
      <c r="L109" s="362">
        <f>IFERROR(VLOOKUP(C109,'تقرير المصروفات حسب الشهر'!$C$1016:$AD$1126,15,FALSE),0)</f>
        <v>0</v>
      </c>
      <c r="M109" s="376">
        <f>IFERROR(VLOOKUP(C109,'تقرير المصروفات حسب الشهر'!$C$1143:$AD$1254,15,FALSE),0)</f>
        <v>0</v>
      </c>
      <c r="N109" s="376">
        <f>IFERROR(VLOOKUP(C109,'تقرير المصروفات حسب الشهر'!$C$1270:$AD$1381,15,FALSE),0)</f>
        <v>5808.29</v>
      </c>
      <c r="O109" s="376">
        <f>IFERROR(VLOOKUP(C109,'تقرير المصروفات حسب الشهر'!$C$1397:$AI$1512,15,FALSE),0)</f>
        <v>0</v>
      </c>
      <c r="P109" s="364">
        <f t="shared" si="6"/>
        <v>13837.689999999999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الشهر'!$C$10:$AD$119,15,FALSE),0)</f>
        <v>0</v>
      </c>
      <c r="E110" s="362">
        <f>IFERROR(VLOOKUP(C110,'تقرير المصروفات حسب الشهر'!$C$135:$AD$244,15,FALSE),0)</f>
        <v>0</v>
      </c>
      <c r="F110" s="362">
        <v>0</v>
      </c>
      <c r="G110" s="362">
        <f>IFERROR(VLOOKUP(C110,'تقرير المصروفات حسب الشهر'!$C$387:$AD$495,15,FALSE),0)</f>
        <v>0</v>
      </c>
      <c r="H110" s="362">
        <f>IFERROR(VLOOKUP(C110,'تقرير المصروفات حسب الشهر'!$C$512:$AD$620,15,FALSE),0)</f>
        <v>0</v>
      </c>
      <c r="I110" s="362">
        <f>IFERROR(VLOOKUP(C110,'تقرير المصروفات حسب الشهر'!$C$637:$AD$746,15,FALSE),0)</f>
        <v>0</v>
      </c>
      <c r="J110" s="362">
        <f>IFERROR(VLOOKUP(C110,'تقرير المصروفات حسب الشهر'!$C$763:$AD$872,15,FALSE),0)</f>
        <v>6645.16</v>
      </c>
      <c r="K110" s="362">
        <f>IFERROR(VLOOKUP(C110,'تقرير المصروفات حسب الشهر'!$C$890:$AD$999,15,FALSE),0)</f>
        <v>0</v>
      </c>
      <c r="L110" s="362">
        <f>IFERROR(VLOOKUP(C110,'تقرير المصروفات حسب الشهر'!$C$1016:$AD$1126,15,FALSE),0)</f>
        <v>0</v>
      </c>
      <c r="M110" s="376">
        <f>IFERROR(VLOOKUP(C110,'تقرير المصروفات حسب الشهر'!$C$1143:$AD$1254,15,FALSE),0)</f>
        <v>0</v>
      </c>
      <c r="N110" s="376">
        <f>IFERROR(VLOOKUP(C110,'تقرير المصروفات حسب الشهر'!$C$1270:$AD$1381,15,FALSE),0)</f>
        <v>2269.62</v>
      </c>
      <c r="O110" s="376">
        <f>IFERROR(VLOOKUP(C110,'تقرير المصروفات حسب الشهر'!$C$1397:$AI$1512,15,FALSE),0)</f>
        <v>9252.84</v>
      </c>
      <c r="P110" s="364">
        <f t="shared" si="6"/>
        <v>18167.62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الشهر'!$C$10:$AD$119,15,FALSE),0)</f>
        <v>0</v>
      </c>
      <c r="E111" s="362">
        <f>IFERROR(VLOOKUP(C111,'تقرير المصروفات حسب الشهر'!$C$135:$AD$244,15,FALSE),0)</f>
        <v>0</v>
      </c>
      <c r="F111" s="362">
        <v>0</v>
      </c>
      <c r="G111" s="362">
        <f>IFERROR(VLOOKUP(C111,'تقرير المصروفات حسب الشهر'!$C$387:$AD$495,15,FALSE),0)</f>
        <v>0</v>
      </c>
      <c r="H111" s="362">
        <f>IFERROR(VLOOKUP(C111,'تقرير المصروفات حسب الشهر'!$C$512:$AD$620,15,FALSE),0)</f>
        <v>0</v>
      </c>
      <c r="I111" s="362">
        <f>IFERROR(VLOOKUP(C111,'تقرير المصروفات حسب الشهر'!$C$637:$AD$746,15,FALSE),0)</f>
        <v>0</v>
      </c>
      <c r="J111" s="362">
        <f>IFERROR(VLOOKUP(C111,'تقرير المصروفات حسب الشهر'!$C$763:$AD$872,15,FALSE),0)</f>
        <v>0</v>
      </c>
      <c r="K111" s="362">
        <f>IFERROR(VLOOKUP(C111,'تقرير المصروفات حسب الشهر'!$C$890:$AD$999,15,FALSE),0)</f>
        <v>0</v>
      </c>
      <c r="L111" s="362">
        <f>IFERROR(VLOOKUP(C111,'تقرير المصروفات حسب الشهر'!$C$1016:$AD$1126,15,FALSE),0)</f>
        <v>0</v>
      </c>
      <c r="M111" s="376">
        <f>IFERROR(VLOOKUP(C111,'تقرير المصروفات حسب الشهر'!$C$1143:$AD$1254,15,FALSE),0)</f>
        <v>0</v>
      </c>
      <c r="N111" s="376">
        <f>IFERROR(VLOOKUP(C111,'تقرير المصروفات حسب الشهر'!$C$1270:$AD$1381,15,FALSE),0)</f>
        <v>0</v>
      </c>
      <c r="O111" s="376">
        <f>IFERROR(VLOOKUP(C111,'تقرير المصروفات حسب الشهر'!$C$1397:$AI$1512,15,FALSE),0)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الشهر'!$C$10:$AD$119,15,FALSE),0)</f>
        <v>901</v>
      </c>
      <c r="E112" s="362">
        <f>IFERROR(VLOOKUP(C112,'تقرير المصروفات حسب الشهر'!$C$135:$AD$244,15,FALSE),0)</f>
        <v>821</v>
      </c>
      <c r="F112" s="362">
        <v>1260</v>
      </c>
      <c r="G112" s="362">
        <f>IFERROR(VLOOKUP(C112,'تقرير المصروفات حسب الشهر'!$C$387:$AD$495,15,FALSE),0)</f>
        <v>222</v>
      </c>
      <c r="H112" s="362">
        <f>IFERROR(VLOOKUP(C112,'تقرير المصروفات حسب الشهر'!$C$512:$AD$620,15,FALSE),0)</f>
        <v>1223</v>
      </c>
      <c r="I112" s="362">
        <f>IFERROR(VLOOKUP(C112,'تقرير المصروفات حسب الشهر'!$C$637:$AD$746,15,FALSE),0)</f>
        <v>0</v>
      </c>
      <c r="J112" s="362">
        <f>IFERROR(VLOOKUP(C112,'تقرير المصروفات حسب الشهر'!$C$763:$AD$872,15,FALSE),0)</f>
        <v>820</v>
      </c>
      <c r="K112" s="362">
        <f>IFERROR(VLOOKUP(C112,'تقرير المصروفات حسب الشهر'!$C$890:$AD$999,15,FALSE),0)</f>
        <v>0</v>
      </c>
      <c r="L112" s="362">
        <f>IFERROR(VLOOKUP(C112,'تقرير المصروفات حسب الشهر'!$C$1016:$AD$1126,15,FALSE),0)</f>
        <v>0</v>
      </c>
      <c r="M112" s="376">
        <f>IFERROR(VLOOKUP(C112,'تقرير المصروفات حسب الشهر'!$C$1143:$AD$1254,15,FALSE),0)</f>
        <v>2832</v>
      </c>
      <c r="N112" s="376">
        <f>IFERROR(VLOOKUP(C112,'تقرير المصروفات حسب الشهر'!$C$1270:$AD$1381,15,FALSE),0)</f>
        <v>0</v>
      </c>
      <c r="O112" s="376">
        <f>IFERROR(VLOOKUP(C112,'تقرير المصروفات حسب الشهر'!$C$1397:$AI$1512,15,FALSE),0)</f>
        <v>0</v>
      </c>
      <c r="P112" s="364">
        <f t="shared" si="6"/>
        <v>8079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الشهر'!$C$10:$AD$119,15,FALSE),0)</f>
        <v>0</v>
      </c>
      <c r="E113" s="362">
        <f>IFERROR(VLOOKUP(C113,'تقرير المصروفات حسب الشهر'!$C$135:$AD$244,15,FALSE),0)</f>
        <v>0</v>
      </c>
      <c r="F113" s="362">
        <v>0</v>
      </c>
      <c r="G113" s="362">
        <f>IFERROR(VLOOKUP(C113,'تقرير المصروفات حسب الشهر'!$C$387:$AD$495,15,FALSE),0)</f>
        <v>0</v>
      </c>
      <c r="H113" s="362">
        <f>IFERROR(VLOOKUP(C113,'تقرير المصروفات حسب الشهر'!$C$512:$AD$620,15,FALSE),0)</f>
        <v>0</v>
      </c>
      <c r="I113" s="362">
        <f>IFERROR(VLOOKUP(C113,'تقرير المصروفات حسب الشهر'!$C$637:$AD$746,15,FALSE),0)</f>
        <v>0</v>
      </c>
      <c r="J113" s="362">
        <f>IFERROR(VLOOKUP(C113,'تقرير المصروفات حسب الشهر'!$C$763:$AD$872,15,FALSE),0)</f>
        <v>0</v>
      </c>
      <c r="K113" s="362">
        <f>IFERROR(VLOOKUP(C113,'تقرير المصروفات حسب الشهر'!$C$890:$AD$999,15,FALSE),0)</f>
        <v>0</v>
      </c>
      <c r="L113" s="362">
        <f>IFERROR(VLOOKUP(C113,'تقرير المصروفات حسب الشهر'!$C$1016:$AD$1126,15,FALSE),0)</f>
        <v>0</v>
      </c>
      <c r="M113" s="376">
        <f>IFERROR(VLOOKUP(C113,'تقرير المصروفات حسب الشهر'!$C$1143:$AD$1254,15,FALSE),0)</f>
        <v>0</v>
      </c>
      <c r="N113" s="376">
        <f>IFERROR(VLOOKUP(C113,'تقرير المصروفات حسب الشهر'!$C$1270:$AD$1381,15,FALSE),0)</f>
        <v>0</v>
      </c>
      <c r="O113" s="376">
        <f>IFERROR(VLOOKUP(C113,'تقرير المصروفات حسب الشهر'!$C$1397:$AI$1512,15,FALSE),0)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الشهر'!$C$10:$AD$119,15,FALSE),0)</f>
        <v>0</v>
      </c>
      <c r="E114" s="362">
        <f>IFERROR(VLOOKUP(C114,'تقرير المصروفات حسب الشهر'!$C$135:$AD$244,15,FALSE),0)</f>
        <v>0</v>
      </c>
      <c r="F114" s="362">
        <v>0</v>
      </c>
      <c r="G114" s="362">
        <f>IFERROR(VLOOKUP(C114,'تقرير المصروفات حسب الشهر'!$C$387:$AD$495,15,FALSE),0)</f>
        <v>6200</v>
      </c>
      <c r="H114" s="362">
        <f>IFERROR(VLOOKUP(C114,'تقرير المصروفات حسب الشهر'!$C$512:$AD$620,15,FALSE),0)</f>
        <v>600</v>
      </c>
      <c r="I114" s="362">
        <f>IFERROR(VLOOKUP(C114,'تقرير المصروفات حسب الشهر'!$C$637:$AD$746,15,FALSE),0)</f>
        <v>0</v>
      </c>
      <c r="J114" s="362">
        <f>IFERROR(VLOOKUP(C114,'تقرير المصروفات حسب الشهر'!$C$763:$AD$872,15,FALSE),0)</f>
        <v>0</v>
      </c>
      <c r="K114" s="362">
        <f>IFERROR(VLOOKUP(C114,'تقرير المصروفات حسب الشهر'!$C$890:$AD$999,15,FALSE),0)</f>
        <v>3400</v>
      </c>
      <c r="L114" s="362">
        <f>IFERROR(VLOOKUP(C114,'تقرير المصروفات حسب الشهر'!$C$1016:$AD$1126,15,FALSE),0)</f>
        <v>-6000</v>
      </c>
      <c r="M114" s="376">
        <f>IFERROR(VLOOKUP(C114,'تقرير المصروفات حسب الشهر'!$C$1143:$AD$1254,15,FALSE),0)</f>
        <v>0</v>
      </c>
      <c r="N114" s="376">
        <f>IFERROR(VLOOKUP(C114,'تقرير المصروفات حسب الشهر'!$C$1270:$AD$1381,15,FALSE),0)</f>
        <v>0</v>
      </c>
      <c r="O114" s="376">
        <f>IFERROR(VLOOKUP(C114,'تقرير المصروفات حسب الشهر'!$C$1397:$AI$1512,15,FALSE),0)</f>
        <v>0</v>
      </c>
      <c r="P114" s="364">
        <f t="shared" si="6"/>
        <v>4200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الشهر'!$C$10:$AD$119,15,FALSE),0)</f>
        <v>0</v>
      </c>
      <c r="E115" s="362">
        <f>IFERROR(VLOOKUP(C115,'تقرير المصروفات حسب الشهر'!$C$135:$AD$244,15,FALSE),0)</f>
        <v>0</v>
      </c>
      <c r="F115" s="362">
        <v>0</v>
      </c>
      <c r="G115" s="362">
        <f>IFERROR(VLOOKUP(C115,'تقرير المصروفات حسب الشهر'!$C$387:$AD$495,15,FALSE),0)</f>
        <v>0</v>
      </c>
      <c r="H115" s="362">
        <f>IFERROR(VLOOKUP(C115,'تقرير المصروفات حسب الشهر'!$C$512:$AD$620,15,FALSE),0)</f>
        <v>0</v>
      </c>
      <c r="I115" s="362">
        <f>IFERROR(VLOOKUP(C115,'تقرير المصروفات حسب الشهر'!$C$637:$AD$746,15,FALSE),0)</f>
        <v>0</v>
      </c>
      <c r="J115" s="362">
        <f>IFERROR(VLOOKUP(C115,'تقرير المصروفات حسب الشهر'!$C$763:$AD$872,15,FALSE),0)</f>
        <v>0</v>
      </c>
      <c r="K115" s="362">
        <f>IFERROR(VLOOKUP(C115,'تقرير المصروفات حسب الشهر'!$C$890:$AD$999,15,FALSE),0)</f>
        <v>0</v>
      </c>
      <c r="L115" s="362">
        <f>IFERROR(VLOOKUP(C115,'تقرير المصروفات حسب الشهر'!$C$1016:$AD$1126,15,FALSE),0)</f>
        <v>0</v>
      </c>
      <c r="M115" s="376">
        <f>IFERROR(VLOOKUP(C115,'تقرير المصروفات حسب الشهر'!$C$1143:$AD$1254,15,FALSE),0)</f>
        <v>0</v>
      </c>
      <c r="N115" s="376">
        <f>IFERROR(VLOOKUP(C115,'تقرير المصروفات حسب الشهر'!$C$1270:$AD$1381,15,FALSE),0)</f>
        <v>0</v>
      </c>
      <c r="O115" s="376">
        <f>IFERROR(VLOOKUP(C115,'تقرير المصروفات حسب الشهر'!$C$1397:$AI$1512,15,FALSE),0)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الشهر'!$C$10:$AD$119,15,FALSE),0)</f>
        <v>0</v>
      </c>
      <c r="E116" s="362">
        <f>IFERROR(VLOOKUP(C116,'تقرير المصروفات حسب الشهر'!$C$135:$AD$244,15,FALSE),0)</f>
        <v>0</v>
      </c>
      <c r="F116" s="362">
        <v>0</v>
      </c>
      <c r="G116" s="362">
        <f>IFERROR(VLOOKUP(C116,'تقرير المصروفات حسب الشهر'!$C$387:$AD$495,15,FALSE),0)</f>
        <v>0</v>
      </c>
      <c r="H116" s="362">
        <f>IFERROR(VLOOKUP(C116,'تقرير المصروفات حسب الشهر'!$C$512:$AD$620,15,FALSE),0)</f>
        <v>0</v>
      </c>
      <c r="I116" s="362">
        <f>IFERROR(VLOOKUP(C116,'تقرير المصروفات حسب الشهر'!$C$637:$AD$746,15,FALSE),0)</f>
        <v>0</v>
      </c>
      <c r="J116" s="362">
        <f>IFERROR(VLOOKUP(C116,'تقرير المصروفات حسب الشهر'!$C$763:$AD$872,15,FALSE),0)</f>
        <v>0</v>
      </c>
      <c r="K116" s="362">
        <f>IFERROR(VLOOKUP(C116,'تقرير المصروفات حسب الشهر'!$C$890:$AD$999,15,FALSE),0)</f>
        <v>0</v>
      </c>
      <c r="L116" s="362">
        <f>IFERROR(VLOOKUP(C116,'تقرير المصروفات حسب الشهر'!$C$1016:$AD$1126,15,FALSE),0)</f>
        <v>0</v>
      </c>
      <c r="M116" s="376">
        <f>IFERROR(VLOOKUP(C116,'تقرير المصروفات حسب الشهر'!$C$1143:$AD$1254,15,FALSE),0)</f>
        <v>0</v>
      </c>
      <c r="N116" s="376">
        <f>IFERROR(VLOOKUP(C116,'تقرير المصروفات حسب الشهر'!$C$1270:$AD$1381,15,FALSE),0)</f>
        <v>0</v>
      </c>
      <c r="O116" s="376">
        <f>IFERROR(VLOOKUP(C116,'تقرير المصروفات حسب الشهر'!$C$1397:$AI$1512,15,FALSE),0)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الشهر'!$C$10:$AD$119,15,FALSE),0)</f>
        <v>0</v>
      </c>
      <c r="E117" s="362">
        <f>IFERROR(VLOOKUP(C117,'تقرير المصروفات حسب الشهر'!$C$135:$AD$244,15,FALSE),0)</f>
        <v>0</v>
      </c>
      <c r="F117" s="362">
        <v>0</v>
      </c>
      <c r="G117" s="362">
        <f>IFERROR(VLOOKUP(C117,'تقرير المصروفات حسب الشهر'!$C$387:$AD$495,15,FALSE),0)</f>
        <v>0</v>
      </c>
      <c r="H117" s="362">
        <f>IFERROR(VLOOKUP(C117,'تقرير المصروفات حسب الشهر'!$C$512:$AD$620,15,FALSE),0)</f>
        <v>0</v>
      </c>
      <c r="I117" s="362">
        <f>IFERROR(VLOOKUP(C117,'تقرير المصروفات حسب الشهر'!$C$637:$AD$746,15,FALSE),0)</f>
        <v>0</v>
      </c>
      <c r="J117" s="362">
        <f>IFERROR(VLOOKUP(C117,'تقرير المصروفات حسب الشهر'!$C$763:$AD$872,15,FALSE),0)</f>
        <v>0</v>
      </c>
      <c r="K117" s="362">
        <f>IFERROR(VLOOKUP(C117,'تقرير المصروفات حسب الشهر'!$C$890:$AD$999,15,FALSE),0)</f>
        <v>0</v>
      </c>
      <c r="L117" s="362">
        <f>IFERROR(VLOOKUP(C117,'تقرير المصروفات حسب الشهر'!$C$1016:$AD$1126,15,FALSE),0)</f>
        <v>0</v>
      </c>
      <c r="M117" s="376">
        <f>IFERROR(VLOOKUP(C117,'تقرير المصروفات حسب الشهر'!$C$1143:$AD$1254,15,FALSE),0)</f>
        <v>0</v>
      </c>
      <c r="N117" s="376">
        <f>IFERROR(VLOOKUP(C117,'تقرير المصروفات حسب الشهر'!$C$1270:$AD$1381,15,FALSE),0)</f>
        <v>0</v>
      </c>
      <c r="O117" s="376">
        <f>IFERROR(VLOOKUP(C117,'تقرير المصروفات حسب الشهر'!$C$1397:$AI$1512,15,FALSE),0)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الشهر'!$C$10:$AD$119,15,FALSE),0)</f>
        <v>0</v>
      </c>
      <c r="E118" s="362">
        <f>IFERROR(VLOOKUP(C118,'تقرير المصروفات حسب الشهر'!$C$135:$AD$244,15,FALSE),0)</f>
        <v>0</v>
      </c>
      <c r="F118" s="362">
        <v>0</v>
      </c>
      <c r="G118" s="362">
        <f>IFERROR(VLOOKUP(C118,'تقرير المصروفات حسب الشهر'!$C$387:$AD$495,15,FALSE),0)</f>
        <v>0</v>
      </c>
      <c r="H118" s="362">
        <f>IFERROR(VLOOKUP(C118,'تقرير المصروفات حسب الشهر'!$C$512:$AD$620,15,FALSE),0)</f>
        <v>0</v>
      </c>
      <c r="I118" s="362">
        <f>IFERROR(VLOOKUP(C118,'تقرير المصروفات حسب الشهر'!$C$637:$AD$746,15,FALSE),0)</f>
        <v>0</v>
      </c>
      <c r="J118" s="362">
        <f>IFERROR(VLOOKUP(C118,'تقرير المصروفات حسب الشهر'!$C$763:$AD$872,15,FALSE),0)</f>
        <v>0</v>
      </c>
      <c r="K118" s="362">
        <f>IFERROR(VLOOKUP(C118,'تقرير المصروفات حسب الشهر'!$C$890:$AD$999,15,FALSE),0)</f>
        <v>0</v>
      </c>
      <c r="L118" s="362">
        <f>IFERROR(VLOOKUP(C118,'تقرير المصروفات حسب الشهر'!$C$1016:$AD$1126,15,FALSE),0)</f>
        <v>0</v>
      </c>
      <c r="M118" s="376">
        <f>IFERROR(VLOOKUP(C118,'تقرير المصروفات حسب الشهر'!$C$1143:$AD$1254,15,FALSE),0)</f>
        <v>0</v>
      </c>
      <c r="N118" s="376">
        <f>IFERROR(VLOOKUP(C118,'تقرير المصروفات حسب الشهر'!$C$1270:$AD$1381,15,FALSE),0)</f>
        <v>0</v>
      </c>
      <c r="O118" s="376">
        <f>IFERROR(VLOOKUP(C118,'تقرير المصروفات حسب الشهر'!$C$1397:$AI$1512,15,FALSE),0)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الشهر'!$C$10:$AD$119,15,FALSE),0)</f>
        <v>0</v>
      </c>
      <c r="E119" s="362">
        <f>IFERROR(VLOOKUP(C119,'تقرير المصروفات حسب الشهر'!$C$135:$AD$244,15,FALSE),0)</f>
        <v>7418</v>
      </c>
      <c r="F119" s="362">
        <v>0</v>
      </c>
      <c r="G119" s="362">
        <f>IFERROR(VLOOKUP(C119,'تقرير المصروفات حسب الشهر'!$C$387:$AD$495,15,FALSE),0)</f>
        <v>0</v>
      </c>
      <c r="H119" s="362">
        <f>IFERROR(VLOOKUP(C119,'تقرير المصروفات حسب الشهر'!$C$512:$AD$620,15,FALSE),0)</f>
        <v>10568</v>
      </c>
      <c r="I119" s="362">
        <f>IFERROR(VLOOKUP(C119,'تقرير المصروفات حسب الشهر'!$C$637:$AD$746,15,FALSE),0)</f>
        <v>15154.77</v>
      </c>
      <c r="J119" s="362">
        <f>IFERROR(VLOOKUP(C119,'تقرير المصروفات حسب الشهر'!$C$763:$AD$872,15,FALSE),0)</f>
        <v>4679.95</v>
      </c>
      <c r="K119" s="362">
        <f>IFERROR(VLOOKUP(C119,'تقرير المصروفات حسب الشهر'!$C$890:$AD$999,15,FALSE),0)</f>
        <v>1926</v>
      </c>
      <c r="L119" s="362">
        <f>IFERROR(VLOOKUP(C119,'تقرير المصروفات حسب الشهر'!$C$1016:$AD$1126,15,FALSE),0)</f>
        <v>0</v>
      </c>
      <c r="M119" s="376">
        <f>IFERROR(VLOOKUP(C119,'تقرير المصروفات حسب الشهر'!$C$1143:$AD$1254,15,FALSE),0)</f>
        <v>0</v>
      </c>
      <c r="N119" s="376">
        <f>IFERROR(VLOOKUP(C119,'تقرير المصروفات حسب الشهر'!$C$1270:$AD$1381,15,FALSE),0)</f>
        <v>0</v>
      </c>
      <c r="O119" s="376">
        <f>IFERROR(VLOOKUP(C119,'تقرير المصروفات حسب الشهر'!$C$1397:$AI$1512,15,FALSE),0)</f>
        <v>15467.34</v>
      </c>
      <c r="P119" s="364">
        <f t="shared" si="6"/>
        <v>55214.06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الشهر'!$C$10:$AD$119,15,FALSE),0)</f>
        <v>0</v>
      </c>
      <c r="E120" s="362">
        <f>IFERROR(VLOOKUP(C120,'تقرير المصروفات حسب الشهر'!$C$135:$AD$244,15,FALSE),0)</f>
        <v>0</v>
      </c>
      <c r="F120" s="362">
        <v>0</v>
      </c>
      <c r="G120" s="362">
        <f>IFERROR(VLOOKUP(C120,'تقرير المصروفات حسب الشهر'!$C$387:$AD$495,15,FALSE),0)</f>
        <v>0</v>
      </c>
      <c r="H120" s="362">
        <f>IFERROR(VLOOKUP(C120,'تقرير المصروفات حسب الشهر'!$C$512:$AD$620,15,FALSE),0)</f>
        <v>0</v>
      </c>
      <c r="I120" s="362">
        <f>IFERROR(VLOOKUP(C120,'تقرير المصروفات حسب الشهر'!$C$637:$AD$746,15,FALSE),0)</f>
        <v>0</v>
      </c>
      <c r="J120" s="362">
        <f>IFERROR(VLOOKUP(C120,'تقرير المصروفات حسب الشهر'!$C$763:$AD$872,15,FALSE),0)</f>
        <v>0</v>
      </c>
      <c r="K120" s="362">
        <f>IFERROR(VLOOKUP(C120,'تقرير المصروفات حسب الشهر'!$C$890:$AD$999,15,FALSE),0)</f>
        <v>0</v>
      </c>
      <c r="L120" s="362">
        <f>IFERROR(VLOOKUP(C120,'تقرير المصروفات حسب الشهر'!$C$1016:$AD$1126,15,FALSE),0)</f>
        <v>0</v>
      </c>
      <c r="M120" s="376">
        <f>IFERROR(VLOOKUP(C120,'تقرير المصروفات حسب الشهر'!$C$1143:$AD$1254,15,FALSE),0)</f>
        <v>0</v>
      </c>
      <c r="N120" s="376">
        <f>IFERROR(VLOOKUP(C120,'تقرير المصروفات حسب الشهر'!$C$1270:$AD$1381,15,FALSE),0)</f>
        <v>0</v>
      </c>
      <c r="O120" s="376">
        <f>IFERROR(VLOOKUP(C120,'تقرير المصروفات حسب الشهر'!$C$1397:$AI$1512,15,FALSE),0)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الشهر'!$C$10:$AD$119,15,FALSE),0)</f>
        <v>0</v>
      </c>
      <c r="E121" s="362">
        <f>IFERROR(VLOOKUP(C121,'تقرير المصروفات حسب الشهر'!$C$135:$AD$244,15,FALSE),0)</f>
        <v>0</v>
      </c>
      <c r="F121" s="362">
        <v>0</v>
      </c>
      <c r="G121" s="362">
        <f>IFERROR(VLOOKUP(C121,'تقرير المصروفات حسب الشهر'!$C$387:$AD$495,15,FALSE),0)</f>
        <v>0</v>
      </c>
      <c r="H121" s="362">
        <f>IFERROR(VLOOKUP(C121,'تقرير المصروفات حسب الشهر'!$C$512:$AD$620,15,FALSE),0)</f>
        <v>0</v>
      </c>
      <c r="I121" s="362">
        <f>IFERROR(VLOOKUP(C121,'تقرير المصروفات حسب الشهر'!$C$637:$AD$746,15,FALSE),0)</f>
        <v>0</v>
      </c>
      <c r="J121" s="362">
        <f>IFERROR(VLOOKUP(C121,'تقرير المصروفات حسب الشهر'!$C$763:$AD$872,15,FALSE),0)</f>
        <v>0</v>
      </c>
      <c r="K121" s="362">
        <f>IFERROR(VLOOKUP(C121,'تقرير المصروفات حسب الشهر'!$C$890:$AD$999,15,FALSE),0)</f>
        <v>0</v>
      </c>
      <c r="L121" s="362">
        <f>IFERROR(VLOOKUP(C121,'تقرير المصروفات حسب الشهر'!$C$1016:$AD$1126,15,FALSE),0)</f>
        <v>0</v>
      </c>
      <c r="M121" s="376">
        <f>IFERROR(VLOOKUP(C121,'تقرير المصروفات حسب الشهر'!$C$1143:$AD$1254,15,FALSE),0)</f>
        <v>0</v>
      </c>
      <c r="N121" s="376">
        <f>IFERROR(VLOOKUP(C121,'تقرير المصروفات حسب الشهر'!$C$1270:$AD$1381,15,FALSE),0)</f>
        <v>0</v>
      </c>
      <c r="O121" s="376">
        <f>IFERROR(VLOOKUP(C121,'تقرير المصروفات حسب الشهر'!$C$1397:$AI$1512,15,FALSE),0)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الشهر'!$C$10:$AD$119,15,FALSE),0)</f>
        <v>0</v>
      </c>
      <c r="E122" s="362">
        <f>IFERROR(VLOOKUP(C122,'تقرير المصروفات حسب الشهر'!$C$135:$AD$244,15,FALSE),0)</f>
        <v>0</v>
      </c>
      <c r="F122" s="362">
        <v>0</v>
      </c>
      <c r="G122" s="362">
        <f>IFERROR(VLOOKUP(C122,'تقرير المصروفات حسب الشهر'!$C$387:$AD$495,15,FALSE),0)</f>
        <v>0</v>
      </c>
      <c r="H122" s="362">
        <f>IFERROR(VLOOKUP(C122,'تقرير المصروفات حسب الشهر'!$C$512:$AD$620,15,FALSE),0)</f>
        <v>0</v>
      </c>
      <c r="I122" s="362">
        <f>IFERROR(VLOOKUP(C122,'تقرير المصروفات حسب الشهر'!$C$637:$AD$746,15,FALSE),0)</f>
        <v>0</v>
      </c>
      <c r="J122" s="362">
        <f>IFERROR(VLOOKUP(C122,'تقرير المصروفات حسب الشهر'!$C$763:$AD$872,15,FALSE),0)</f>
        <v>0</v>
      </c>
      <c r="K122" s="362">
        <f>IFERROR(VLOOKUP(C122,'تقرير المصروفات حسب الشهر'!$C$890:$AD$999,15,FALSE),0)</f>
        <v>0</v>
      </c>
      <c r="L122" s="362">
        <f>IFERROR(VLOOKUP(C122,'تقرير المصروفات حسب الشهر'!$C$1016:$AD$1126,15,FALSE),0)</f>
        <v>0</v>
      </c>
      <c r="M122" s="376">
        <f>IFERROR(VLOOKUP(C122,'تقرير المصروفات حسب الشهر'!$C$1143:$AD$1254,15,FALSE),0)</f>
        <v>0</v>
      </c>
      <c r="N122" s="376">
        <f>IFERROR(VLOOKUP(C122,'تقرير المصروفات حسب الشهر'!$C$1270:$AD$1381,15,FALSE),0)</f>
        <v>0</v>
      </c>
      <c r="O122" s="376">
        <f>IFERROR(VLOOKUP(C122,'تقرير المصروفات حسب الشهر'!$C$1397:$AI$1512,15,FALSE),0)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الشهر'!$C$10:$AD$119,15,FALSE),0)</f>
        <v>0</v>
      </c>
      <c r="E123" s="362">
        <f>IFERROR(VLOOKUP(C123,'تقرير المصروفات حسب الشهر'!$C$135:$AD$244,15,FALSE),0)</f>
        <v>0</v>
      </c>
      <c r="F123" s="362">
        <v>0</v>
      </c>
      <c r="G123" s="362">
        <f>IFERROR(VLOOKUP(C123,'تقرير المصروفات حسب الشهر'!$C$387:$AD$495,15,FALSE),0)</f>
        <v>0</v>
      </c>
      <c r="H123" s="362">
        <f>IFERROR(VLOOKUP(C123,'تقرير المصروفات حسب الشهر'!$C$512:$AD$620,15,FALSE),0)</f>
        <v>0</v>
      </c>
      <c r="I123" s="362">
        <f>IFERROR(VLOOKUP(C123,'تقرير المصروفات حسب الشهر'!$C$637:$AD$746,15,FALSE),0)</f>
        <v>0</v>
      </c>
      <c r="J123" s="362">
        <f>IFERROR(VLOOKUP(C123,'تقرير المصروفات حسب الشهر'!$C$763:$AD$872,15,FALSE),0)</f>
        <v>0</v>
      </c>
      <c r="K123" s="362">
        <f>IFERROR(VLOOKUP(C123,'تقرير المصروفات حسب الشهر'!$C$890:$AD$999,15,FALSE),0)</f>
        <v>0</v>
      </c>
      <c r="L123" s="362">
        <f>IFERROR(VLOOKUP(C123,'تقرير المصروفات حسب الشهر'!$C$1016:$AD$1126,15,FALSE),0)</f>
        <v>0</v>
      </c>
      <c r="M123" s="376">
        <f>IFERROR(VLOOKUP(C123,'تقرير المصروفات حسب الشهر'!$C$1143:$AD$1254,15,FALSE),0)</f>
        <v>0</v>
      </c>
      <c r="N123" s="376">
        <f>IFERROR(VLOOKUP(C123,'تقرير المصروفات حسب الشهر'!$C$1270:$AD$1381,15,FALSE),0)</f>
        <v>0</v>
      </c>
      <c r="O123" s="376">
        <f>IFERROR(VLOOKUP(C123,'تقرير المصروفات حسب الشهر'!$C$1397:$AI$1512,15,FALSE),0)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الشهر'!$C$10:$AD$119,15,FALSE),0)</f>
        <v>0</v>
      </c>
      <c r="E124" s="362">
        <f>IFERROR(VLOOKUP(C124,'تقرير المصروفات حسب الشهر'!$C$135:$AD$244,15,FALSE),0)</f>
        <v>0</v>
      </c>
      <c r="F124" s="362">
        <v>0</v>
      </c>
      <c r="G124" s="362">
        <f>IFERROR(VLOOKUP(C124,'تقرير المصروفات حسب الشهر'!$C$387:$AD$495,15,FALSE),0)</f>
        <v>0</v>
      </c>
      <c r="H124" s="362">
        <f>IFERROR(VLOOKUP(C124,'تقرير المصروفات حسب الشهر'!$C$512:$AD$620,15,FALSE),0)</f>
        <v>0</v>
      </c>
      <c r="I124" s="362">
        <f>IFERROR(VLOOKUP(C124,'تقرير المصروفات حسب الشهر'!$C$637:$AD$746,15,FALSE),0)</f>
        <v>0</v>
      </c>
      <c r="J124" s="362">
        <f>IFERROR(VLOOKUP(C124,'تقرير المصروفات حسب الشهر'!$C$763:$AD$872,15,FALSE),0)</f>
        <v>0</v>
      </c>
      <c r="K124" s="362">
        <f>IFERROR(VLOOKUP(C124,'تقرير المصروفات حسب الشهر'!$C$890:$AD$999,15,FALSE),0)</f>
        <v>0</v>
      </c>
      <c r="L124" s="362">
        <f>IFERROR(VLOOKUP(C124,'تقرير المصروفات حسب الشهر'!$C$1016:$AD$1126,15,FALSE),0)</f>
        <v>0</v>
      </c>
      <c r="M124" s="376">
        <f>IFERROR(VLOOKUP(C124,'تقرير المصروفات حسب الشهر'!$C$1143:$AD$1254,15,FALSE),0)</f>
        <v>0</v>
      </c>
      <c r="N124" s="376">
        <f>IFERROR(VLOOKUP(C124,'تقرير المصروفات حسب الشهر'!$C$1270:$AD$1381,15,FALSE),0)</f>
        <v>0</v>
      </c>
      <c r="O124" s="376">
        <f>IFERROR(VLOOKUP(C124,'تقرير المصروفات حسب الشهر'!$C$1397:$AI$1512,15,FALSE),0)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الشهر'!$C$10:$AD$119,15,FALSE),0)</f>
        <v>0</v>
      </c>
      <c r="E125" s="362">
        <f>IFERROR(VLOOKUP(C125,'تقرير المصروفات حسب الشهر'!$C$135:$AD$244,15,FALSE),0)</f>
        <v>0</v>
      </c>
      <c r="F125" s="362">
        <v>0</v>
      </c>
      <c r="G125" s="362">
        <f>IFERROR(VLOOKUP(C125,'تقرير المصروفات حسب الشهر'!$C$387:$AD$495,15,FALSE),0)</f>
        <v>0</v>
      </c>
      <c r="H125" s="362">
        <f>IFERROR(VLOOKUP(C125,'تقرير المصروفات حسب الشهر'!$C$512:$AD$620,15,FALSE),0)</f>
        <v>0</v>
      </c>
      <c r="I125" s="362">
        <f>IFERROR(VLOOKUP(C125,'تقرير المصروفات حسب الشهر'!$C$637:$AD$746,15,FALSE),0)</f>
        <v>0</v>
      </c>
      <c r="J125" s="362">
        <f>IFERROR(VLOOKUP(C125,'تقرير المصروفات حسب الشهر'!$C$763:$AD$872,15,FALSE),0)</f>
        <v>0</v>
      </c>
      <c r="K125" s="362">
        <f>IFERROR(VLOOKUP(C125,'تقرير المصروفات حسب الشهر'!$C$890:$AD$999,15,FALSE),0)</f>
        <v>0</v>
      </c>
      <c r="L125" s="362">
        <f>IFERROR(VLOOKUP(C125,'تقرير المصروفات حسب الشهر'!$C$1016:$AD$1126,15,FALSE),0)</f>
        <v>0</v>
      </c>
      <c r="M125" s="376">
        <f>IFERROR(VLOOKUP(C125,'تقرير المصروفات حسب الشهر'!$C$1143:$AD$1254,15,FALSE),0)</f>
        <v>0</v>
      </c>
      <c r="N125" s="376">
        <f>IFERROR(VLOOKUP(C125,'تقرير المصروفات حسب الشهر'!$C$1270:$AD$1381,15,FALSE),0)</f>
        <v>0</v>
      </c>
      <c r="O125" s="376">
        <f>IFERROR(VLOOKUP(C125,'تقرير المصروفات حسب الشهر'!$C$1397:$AI$1512,15,FALSE),0)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الشهر'!$C$10:$AD$119,15,FALSE),0)</f>
        <v>0</v>
      </c>
      <c r="E126" s="362">
        <f>IFERROR(VLOOKUP(C126,'تقرير المصروفات حسب الشهر'!$C$135:$AD$244,15,FALSE),0)</f>
        <v>0</v>
      </c>
      <c r="F126" s="362">
        <v>0</v>
      </c>
      <c r="G126" s="362">
        <f>IFERROR(VLOOKUP(C126,'تقرير المصروفات حسب الشهر'!$C$387:$AD$495,15,FALSE),0)</f>
        <v>0</v>
      </c>
      <c r="H126" s="362">
        <f>IFERROR(VLOOKUP(C126,'تقرير المصروفات حسب الشهر'!$C$512:$AD$620,15,FALSE),0)</f>
        <v>0</v>
      </c>
      <c r="I126" s="362">
        <f>IFERROR(VLOOKUP(C126,'تقرير المصروفات حسب الشهر'!$C$637:$AD$746,15,FALSE),0)</f>
        <v>0</v>
      </c>
      <c r="J126" s="362">
        <f>IFERROR(VLOOKUP(C126,'تقرير المصروفات حسب الشهر'!$C$763:$AD$872,15,FALSE),0)</f>
        <v>0</v>
      </c>
      <c r="K126" s="362">
        <f>IFERROR(VLOOKUP(C126,'تقرير المصروفات حسب الشهر'!$C$890:$AD$999,15,FALSE),0)</f>
        <v>0</v>
      </c>
      <c r="L126" s="362">
        <f>IFERROR(VLOOKUP(C126,'تقرير المصروفات حسب الشهر'!$C$1016:$AD$1126,15,FALSE),0)</f>
        <v>0</v>
      </c>
      <c r="M126" s="376">
        <f>IFERROR(VLOOKUP(C126,'تقرير المصروفات حسب الشهر'!$C$1143:$AD$1254,15,FALSE),0)</f>
        <v>0</v>
      </c>
      <c r="N126" s="376">
        <f>IFERROR(VLOOKUP(C126,'تقرير المصروفات حسب الشهر'!$C$1270:$AD$1381,15,FALSE),0)</f>
        <v>0</v>
      </c>
      <c r="O126" s="376">
        <f>IFERROR(VLOOKUP(C126,'تقرير المصروفات حسب الشهر'!$C$1397:$AI$1512,15,FALSE),0)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الشهر'!$C$10:$AD$119,15,FALSE),0)</f>
        <v>0</v>
      </c>
      <c r="E127" s="362">
        <f>IFERROR(VLOOKUP(C127,'تقرير المصروفات حسب الشهر'!$C$135:$AD$244,15,FALSE),0)</f>
        <v>0</v>
      </c>
      <c r="F127" s="362">
        <v>0</v>
      </c>
      <c r="G127" s="362">
        <f>IFERROR(VLOOKUP(C127,'تقرير المصروفات حسب الشهر'!$C$387:$AD$495,15,FALSE),0)</f>
        <v>0</v>
      </c>
      <c r="H127" s="362">
        <f>IFERROR(VLOOKUP(C127,'تقرير المصروفات حسب الشهر'!$C$512:$AD$620,15,FALSE),0)</f>
        <v>0</v>
      </c>
      <c r="I127" s="362">
        <f>IFERROR(VLOOKUP(C127,'تقرير المصروفات حسب الشهر'!$C$637:$AD$746,15,FALSE),0)</f>
        <v>0</v>
      </c>
      <c r="J127" s="362">
        <f>IFERROR(VLOOKUP(C127,'تقرير المصروفات حسب الشهر'!$C$763:$AD$872,15,FALSE),0)</f>
        <v>0</v>
      </c>
      <c r="K127" s="362">
        <f>IFERROR(VLOOKUP(C127,'تقرير المصروفات حسب الشهر'!$C$890:$AD$999,15,FALSE),0)</f>
        <v>0</v>
      </c>
      <c r="L127" s="362">
        <f>IFERROR(VLOOKUP(C127,'تقرير المصروفات حسب الشهر'!$C$1016:$AD$1126,15,FALSE),0)</f>
        <v>0</v>
      </c>
      <c r="M127" s="376">
        <f>IFERROR(VLOOKUP(C127,'تقرير المصروفات حسب الشهر'!$C$1143:$AD$1254,15,FALSE),0)</f>
        <v>0</v>
      </c>
      <c r="N127" s="376">
        <f>IFERROR(VLOOKUP(C127,'تقرير المصروفات حسب الشهر'!$C$1270:$AD$1381,15,FALSE),0)</f>
        <v>0</v>
      </c>
      <c r="O127" s="376">
        <f>IFERROR(VLOOKUP(C127,'تقرير المصروفات حسب الشهر'!$C$1397:$AI$1512,15,FALSE),0)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الشهر'!$C$10:$AD$119,15,FALSE),0)</f>
        <v>0</v>
      </c>
      <c r="E128" s="362">
        <f>IFERROR(VLOOKUP(C128,'تقرير المصروفات حسب الشهر'!$C$135:$AD$244,15,FALSE),0)</f>
        <v>0</v>
      </c>
      <c r="F128" s="362">
        <v>0</v>
      </c>
      <c r="G128" s="362">
        <f>IFERROR(VLOOKUP(C128,'تقرير المصروفات حسب الشهر'!$C$387:$AD$495,15,FALSE),0)</f>
        <v>0</v>
      </c>
      <c r="H128" s="362">
        <f>IFERROR(VLOOKUP(C128,'تقرير المصروفات حسب الشهر'!$C$512:$AD$620,15,FALSE),0)</f>
        <v>0</v>
      </c>
      <c r="I128" s="362">
        <f>IFERROR(VLOOKUP(C128,'تقرير المصروفات حسب الشهر'!$C$637:$AD$746,15,FALSE),0)</f>
        <v>0</v>
      </c>
      <c r="J128" s="362">
        <f>IFERROR(VLOOKUP(C128,'تقرير المصروفات حسب الشهر'!$C$763:$AD$872,15,FALSE),0)</f>
        <v>0</v>
      </c>
      <c r="K128" s="362">
        <f>IFERROR(VLOOKUP(C128,'تقرير المصروفات حسب الشهر'!$C$890:$AD$999,15,FALSE),0)</f>
        <v>0</v>
      </c>
      <c r="L128" s="362">
        <f>IFERROR(VLOOKUP(C128,'تقرير المصروفات حسب الشهر'!$C$1016:$AD$1126,15,FALSE),0)</f>
        <v>0</v>
      </c>
      <c r="M128" s="376">
        <f>IFERROR(VLOOKUP(C128,'تقرير المصروفات حسب الشهر'!$C$1143:$AD$1254,15,FALSE),0)</f>
        <v>0</v>
      </c>
      <c r="N128" s="376">
        <f>IFERROR(VLOOKUP(C128,'تقرير المصروفات حسب الشهر'!$C$1270:$AD$1381,15,FALSE),0)</f>
        <v>0</v>
      </c>
      <c r="O128" s="376">
        <f>IFERROR(VLOOKUP(C128,'تقرير المصروفات حسب الشهر'!$C$1397:$AI$1512,15,FALSE),0)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الشهر'!$C$10:$AD$119,15,FALSE),0)</f>
        <v>431.25</v>
      </c>
      <c r="E129" s="362">
        <f>IFERROR(VLOOKUP(C129,'تقرير المصروفات حسب الشهر'!$C$135:$AD$244,15,FALSE),0)</f>
        <v>431.25</v>
      </c>
      <c r="F129" s="362">
        <v>431.25</v>
      </c>
      <c r="G129" s="362">
        <f>IFERROR(VLOOKUP(C129,'تقرير المصروفات حسب الشهر'!$C$387:$AD$495,15,FALSE),0)</f>
        <v>431.25</v>
      </c>
      <c r="H129" s="362">
        <f>IFERROR(VLOOKUP(C129,'تقرير المصروفات حسب الشهر'!$C$512:$AD$620,15,FALSE),0)</f>
        <v>431.25</v>
      </c>
      <c r="I129" s="362">
        <f>IFERROR(VLOOKUP(C129,'تقرير المصروفات حسب الشهر'!$C$637:$AD$746,15,FALSE),0)</f>
        <v>431</v>
      </c>
      <c r="J129" s="362">
        <f>IFERROR(VLOOKUP(C129,'تقرير المصروفات حسب الشهر'!$C$763:$AD$872,15,FALSE),0)</f>
        <v>431.25</v>
      </c>
      <c r="K129" s="362">
        <f>IFERROR(VLOOKUP(C129,'تقرير المصروفات حسب الشهر'!$C$890:$AD$999,15,FALSE),0)</f>
        <v>431.25</v>
      </c>
      <c r="L129" s="362">
        <f>IFERROR(VLOOKUP(C129,'تقرير المصروفات حسب الشهر'!$C$1016:$AD$1126,15,FALSE),0)</f>
        <v>431.25</v>
      </c>
      <c r="M129" s="376">
        <f>IFERROR(VLOOKUP(C129,'تقرير المصروفات حسب الشهر'!$C$1143:$AD$1254,15,FALSE),0)</f>
        <v>431.25</v>
      </c>
      <c r="N129" s="376">
        <f>IFERROR(VLOOKUP(C129,'تقرير المصروفات حسب الشهر'!$C$1270:$AD$1381,15,FALSE),0)</f>
        <v>431.25</v>
      </c>
      <c r="O129" s="376">
        <f>IFERROR(VLOOKUP(C129,'تقرير المصروفات حسب الشهر'!$C$1397:$AI$1512,15,FALSE),0)</f>
        <v>431.25</v>
      </c>
      <c r="P129" s="364">
        <f t="shared" si="6"/>
        <v>5174.75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الشهر'!$C$10:$AD$119,15,FALSE),0)</f>
        <v>0</v>
      </c>
      <c r="E130" s="362">
        <f>IFERROR(VLOOKUP(C130,'تقرير المصروفات حسب الشهر'!$C$135:$AD$244,15,FALSE),0)</f>
        <v>0</v>
      </c>
      <c r="F130" s="362">
        <v>0</v>
      </c>
      <c r="G130" s="362">
        <f>IFERROR(VLOOKUP(C130,'تقرير المصروفات حسب الشهر'!$C$387:$AD$495,15,FALSE),0)</f>
        <v>0</v>
      </c>
      <c r="H130" s="362">
        <f>IFERROR(VLOOKUP(C130,'تقرير المصروفات حسب الشهر'!$C$512:$AD$620,15,FALSE),0)</f>
        <v>0</v>
      </c>
      <c r="I130" s="362">
        <f>IFERROR(VLOOKUP(C130,'تقرير المصروفات حسب الشهر'!$C$637:$AD$746,15,FALSE),0)</f>
        <v>0</v>
      </c>
      <c r="J130" s="362">
        <f>IFERROR(VLOOKUP(C130,'تقرير المصروفات حسب الشهر'!$C$763:$AD$872,15,FALSE),0)</f>
        <v>0</v>
      </c>
      <c r="K130" s="362">
        <f>IFERROR(VLOOKUP(C130,'تقرير المصروفات حسب الشهر'!$C$890:$AD$999,15,FALSE),0)</f>
        <v>0</v>
      </c>
      <c r="L130" s="362">
        <f>IFERROR(VLOOKUP(C130,'تقرير المصروفات حسب الشهر'!$C$1016:$AI$1131,15,FALSE),0)</f>
        <v>0</v>
      </c>
      <c r="M130" s="376">
        <f>IFERROR(VLOOKUP(C130,'تقرير المصروفات حسب الشهر'!$C$1143:$AD$1254,15,FALSE),0)</f>
        <v>0</v>
      </c>
      <c r="N130" s="376">
        <f>IFERROR(VLOOKUP(C130,'تقرير المصروفات حسب الشهر'!$C$1270:$AD$1381,15,FALSE),0)</f>
        <v>0</v>
      </c>
      <c r="O130" s="376">
        <f>IFERROR(VLOOKUP(C130,'تقرير المصروفات حسب الشهر'!$C$1397:$AI$1512,15,FALSE),0)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الشهر'!$C$10:$AD$119,15,FALSE),0)</f>
        <v>0</v>
      </c>
      <c r="E131" s="362">
        <f>IFERROR(VLOOKUP(C131,'تقرير المصروفات حسب الشهر'!$C$135:$AD$244,15,FALSE),0)</f>
        <v>0</v>
      </c>
      <c r="F131" s="362">
        <v>0</v>
      </c>
      <c r="G131" s="362">
        <f>IFERROR(VLOOKUP(C131,'تقرير المصروفات حسب الشهر'!$C$387:$AD$495,15,FALSE),0)</f>
        <v>0</v>
      </c>
      <c r="H131" s="362">
        <f>IFERROR(VLOOKUP(C131,'تقرير المصروفات حسب الشهر'!$C$512:$AD$620,15,FALSE),0)</f>
        <v>0</v>
      </c>
      <c r="I131" s="362">
        <f>IFERROR(VLOOKUP(C131,'تقرير المصروفات حسب الشهر'!$C$637:$AD$746,15,FALSE),0)</f>
        <v>0</v>
      </c>
      <c r="J131" s="362">
        <f>IFERROR(VLOOKUP(C131,'تقرير المصروفات حسب الشهر'!$C$763:$AD$872,15,FALSE),0)</f>
        <v>0</v>
      </c>
      <c r="K131" s="362">
        <f>IFERROR(VLOOKUP(C131,'تقرير المصروفات حسب الشهر'!$C$890:$AD$999,15,FALSE),0)</f>
        <v>0</v>
      </c>
      <c r="L131" s="362">
        <f>IFERROR(VLOOKUP(C131,'تقرير المصروفات حسب الشهر'!$C$1016:$AI$1131,15,FALSE),0)</f>
        <v>0</v>
      </c>
      <c r="M131" s="376">
        <f>IFERROR(VLOOKUP(C131,'تقرير المصروفات حسب الشهر'!$C$1143:$AD$1254,15,FALSE),0)</f>
        <v>0</v>
      </c>
      <c r="N131" s="376">
        <f>IFERROR(VLOOKUP(C131,'تقرير المصروفات حسب الشهر'!$C$1270:$AD$1381,15,FALSE),0)</f>
        <v>0</v>
      </c>
      <c r="O131" s="376">
        <f>IFERROR(VLOOKUP(C131,'تقرير المصروفات حسب الشهر'!$C$1397:$AI$1512,15,FALSE),0)</f>
        <v>0</v>
      </c>
      <c r="P131" s="364">
        <f t="shared" si="6"/>
        <v>0</v>
      </c>
    </row>
    <row r="132" spans="1:17" ht="18" customHeight="1">
      <c r="B132" s="124"/>
      <c r="C132" s="150" t="s">
        <v>360</v>
      </c>
      <c r="D132" s="362">
        <f>IFERROR(VLOOKUP(C132,'تقرير المصروفات حسب الشهر'!$C$10:$AD$124,15,FALSE),0)</f>
        <v>123291.55</v>
      </c>
      <c r="E132" s="362">
        <f>IFERROR(VLOOKUP(C132,'تقرير المصروفات حسب الشهر'!$C$135:$AD$252,15,FALSE),0)</f>
        <v>139019.62</v>
      </c>
      <c r="F132" s="362">
        <v>128626.3</v>
      </c>
      <c r="G132" s="362">
        <f>IFERROR(VLOOKUP(C132,'تقرير المصروفات حسب الشهر'!$C$387:$AD$503,15,FALSE),0)</f>
        <v>183577.03</v>
      </c>
      <c r="H132" s="362">
        <f>IFERROR(VLOOKUP(C132,'تقرير المصروفات حسب الشهر'!$C$512:$AD$622,15,FALSE),0)</f>
        <v>208833.08</v>
      </c>
      <c r="I132" s="362">
        <f>IFERROR(VLOOKUP(C132,'تقرير المصروفات حسب الشهر'!$C$637:$AD$750,15,FALSE),0)</f>
        <v>281877.86</v>
      </c>
      <c r="J132" s="362">
        <f>IFERROR(VLOOKUP(C132,'تقرير المصروفات حسب الشهر'!$C$763:$AD$877,15,FALSE),0)</f>
        <v>268238.49</v>
      </c>
      <c r="K132" s="362">
        <f>IFERROR(VLOOKUP(C132,'تقرير المصروفات حسب الشهر'!$C$890:$AD$1007,15,FALSE),0)</f>
        <v>263509.51</v>
      </c>
      <c r="L132" s="362">
        <f>IFERROR(VLOOKUP(C132,'تقرير المصروفات حسب الشهر'!$C$1016:$AI$1131,15,FALSE),0)</f>
        <v>293373.28999999998</v>
      </c>
      <c r="M132" s="376">
        <f>IFERROR(VLOOKUP(C132,'تقرير المصروفات حسب الشهر'!$C$1143:$AD$1254,15,FALSE),0)</f>
        <v>298588.46000000002</v>
      </c>
      <c r="N132" s="376">
        <f>IFERROR(VLOOKUP(C132,'تقرير المصروفات حسب الشهر'!$C$1270:$AD$1382,15,FALSE),0)</f>
        <v>355164.85</v>
      </c>
      <c r="O132" s="376">
        <f>IFERROR(VLOOKUP(C132,'تقرير المصروفات حسب الشهر'!$C$1397:$AI$1512,15,FALSE),0)</f>
        <v>420380.31</v>
      </c>
      <c r="P132" s="364">
        <f>SUM(D132:O132)</f>
        <v>2964480.35</v>
      </c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الشهر'!$C$763:$AD$877,15,FALSE),0)</f>
        <v>46287.32</v>
      </c>
      <c r="K133" s="362">
        <f>IFERROR(VLOOKUP(C133,'تقرير المصروفات حسب الشهر'!$C$890:$AD$1007,15,FALSE),0)</f>
        <v>70023.94</v>
      </c>
      <c r="L133" s="362">
        <f>IFERROR(VLOOKUP(C133,'تقرير المصروفات حسب الشهر'!$C$1016:$AI$1131,15,FALSE),0)</f>
        <v>95367.87</v>
      </c>
      <c r="M133" s="376">
        <f>IFERROR(VLOOKUP(C133,'تقرير المصروفات حسب الشهر'!$C$1143:$AD$1260,15,FALSE),0)</f>
        <v>99134.7</v>
      </c>
      <c r="N133" s="376">
        <f>IFERROR(VLOOKUP(C133,'تقرير المصروفات حسب الشهر'!$C$1270:$AI$1384,15,FALSE),0)</f>
        <v>45995.18</v>
      </c>
      <c r="O133" s="376">
        <f>IFERROR(VLOOKUP(C133,'تقرير المصروفات حسب الشهر'!$C$1397:$AI$1512,15,FALSE),0)</f>
        <v>80585.11</v>
      </c>
      <c r="P133" s="436"/>
    </row>
    <row r="134" spans="1:17" ht="18" customHeight="1">
      <c r="B134" s="124"/>
      <c r="C134" s="149" t="s">
        <v>270</v>
      </c>
      <c r="D134" s="146">
        <f>SUM(D22:D132)</f>
        <v>642499.96000000008</v>
      </c>
      <c r="E134" s="146">
        <f t="shared" ref="E134:I134" si="7">SUM(E22:E132)</f>
        <v>714617.02999999968</v>
      </c>
      <c r="F134" s="146">
        <f t="shared" si="7"/>
        <v>744688.40999999992</v>
      </c>
      <c r="G134" s="146">
        <f t="shared" si="7"/>
        <v>824102.33999999985</v>
      </c>
      <c r="H134" s="146">
        <f t="shared" si="7"/>
        <v>863897.49999999977</v>
      </c>
      <c r="I134" s="146">
        <f t="shared" si="7"/>
        <v>951656.12999999989</v>
      </c>
      <c r="J134" s="146">
        <f t="shared" ref="J134:O134" si="8">SUM(J22:J133)</f>
        <v>1010543.67</v>
      </c>
      <c r="K134" s="146">
        <f t="shared" si="8"/>
        <v>978663.98000000021</v>
      </c>
      <c r="L134" s="146">
        <f t="shared" si="8"/>
        <v>1072225.2800000003</v>
      </c>
      <c r="M134" s="146">
        <f t="shared" si="8"/>
        <v>1097603.7</v>
      </c>
      <c r="N134" s="146">
        <f t="shared" si="8"/>
        <v>1137976.7899999998</v>
      </c>
      <c r="O134" s="146">
        <f t="shared" si="8"/>
        <v>1406854.84</v>
      </c>
      <c r="P134" s="388">
        <f t="shared" si="6"/>
        <v>11445329.629999999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913546.72999999975</v>
      </c>
      <c r="E136" s="392">
        <f t="shared" si="9"/>
        <v>828717.34</v>
      </c>
      <c r="F136" s="392">
        <f t="shared" si="9"/>
        <v>959486.6</v>
      </c>
      <c r="G136" s="392">
        <f t="shared" si="9"/>
        <v>1202213.3099999998</v>
      </c>
      <c r="H136" s="392">
        <f t="shared" si="9"/>
        <v>1100160.8699999999</v>
      </c>
      <c r="I136" s="392">
        <f t="shared" si="9"/>
        <v>1247569.4500000004</v>
      </c>
      <c r="J136" s="392">
        <f t="shared" si="9"/>
        <v>1367124.9500000002</v>
      </c>
      <c r="K136" s="392">
        <f t="shared" si="9"/>
        <v>1368295.1499999994</v>
      </c>
      <c r="L136" s="392">
        <f t="shared" si="9"/>
        <v>1352440.6500000013</v>
      </c>
      <c r="M136" s="392">
        <f t="shared" si="9"/>
        <v>1528529.4299999997</v>
      </c>
      <c r="N136" s="392">
        <f t="shared" si="9"/>
        <v>1469327.2299999995</v>
      </c>
      <c r="O136" s="392">
        <f t="shared" si="9"/>
        <v>1600091.9400000004</v>
      </c>
      <c r="P136" s="388">
        <f t="shared" si="6"/>
        <v>14937503.650000002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271046.76999999967</v>
      </c>
      <c r="E139" s="383">
        <f t="shared" ref="E139:O139" si="10">E136-E134</f>
        <v>114100.31000000029</v>
      </c>
      <c r="F139" s="383">
        <f t="shared" si="10"/>
        <v>214798.19000000006</v>
      </c>
      <c r="G139" s="383">
        <f t="shared" si="10"/>
        <v>378110.97</v>
      </c>
      <c r="H139" s="383">
        <f t="shared" si="10"/>
        <v>236263.37000000011</v>
      </c>
      <c r="I139" s="383">
        <f t="shared" si="10"/>
        <v>295913.32000000053</v>
      </c>
      <c r="J139" s="383">
        <f t="shared" si="10"/>
        <v>356581.28000000014</v>
      </c>
      <c r="K139" s="383">
        <f t="shared" si="10"/>
        <v>389631.16999999923</v>
      </c>
      <c r="L139" s="383">
        <f t="shared" si="10"/>
        <v>280215.37000000104</v>
      </c>
      <c r="M139" s="383">
        <f t="shared" si="10"/>
        <v>430925.72999999975</v>
      </c>
      <c r="N139" s="383">
        <f t="shared" si="10"/>
        <v>331350.43999999971</v>
      </c>
      <c r="O139" s="383">
        <f t="shared" si="10"/>
        <v>193237.10000000033</v>
      </c>
      <c r="P139" s="387">
        <f>SUM(D139:O139)</f>
        <v>3492174.0200000005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G143" s="459">
        <f>378110.97-G139</f>
        <v>0</v>
      </c>
      <c r="H143" s="233">
        <v>234263.37</v>
      </c>
    </row>
    <row r="144" spans="1:17">
      <c r="H144" s="233">
        <f>+H139-H143</f>
        <v>2000.0000000001164</v>
      </c>
      <c r="N144" s="238">
        <v>179543</v>
      </c>
    </row>
    <row r="145" spans="8:14">
      <c r="N145" s="238">
        <f>N144-173851.35</f>
        <v>5691.6499999999942</v>
      </c>
    </row>
    <row r="146" spans="8:14">
      <c r="H146" s="443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ignoredErrors>
    <ignoredError sqref="D8:O8 D13:O13 D9:I12" unlocked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40">
    <tabColor rgb="FFFFC000"/>
  </sheetPr>
  <dimension ref="A1:T147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345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203</v>
      </c>
      <c r="B8" s="390"/>
      <c r="C8" s="369" t="s">
        <v>114</v>
      </c>
      <c r="D8" s="364">
        <f>D9+D10+D11</f>
        <v>1953151.14</v>
      </c>
      <c r="E8" s="364">
        <f t="shared" ref="E8:O8" si="0">E9+E10+E11</f>
        <v>1848510.54</v>
      </c>
      <c r="F8" s="364">
        <f t="shared" si="0"/>
        <v>1994057.8099999998</v>
      </c>
      <c r="G8" s="364">
        <f t="shared" si="0"/>
        <v>2197222.5400000005</v>
      </c>
      <c r="H8" s="364">
        <f t="shared" si="0"/>
        <v>2454010.46</v>
      </c>
      <c r="I8" s="364">
        <f t="shared" si="0"/>
        <v>2342258.91</v>
      </c>
      <c r="J8" s="364">
        <f t="shared" si="0"/>
        <v>2548381.5</v>
      </c>
      <c r="K8" s="364">
        <f t="shared" si="0"/>
        <v>2625355.46</v>
      </c>
      <c r="L8" s="364">
        <f t="shared" si="0"/>
        <v>4008852.8400000008</v>
      </c>
      <c r="M8" s="364">
        <f t="shared" si="0"/>
        <v>2856852.4400000004</v>
      </c>
      <c r="N8" s="364">
        <f t="shared" si="0"/>
        <v>2498858.5499999998</v>
      </c>
      <c r="O8" s="364">
        <f t="shared" si="0"/>
        <v>2614331.6399999997</v>
      </c>
      <c r="P8" s="364">
        <f>SUM(D8:O8)</f>
        <v>29941843.830000002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1393484.69</v>
      </c>
      <c r="E9" s="365">
        <f>VLOOKUP($A$8,'تقرير إحصائية بحجم المبيعات'!$B$42:$G$73,2,FALSE)</f>
        <v>1219973.8700000001</v>
      </c>
      <c r="F9" s="365">
        <f>VLOOKUP($A$8,'تقرير إحصائية بحجم المبيعات'!$B$78:$E$103,2,FALSE)</f>
        <v>1203388.9999999998</v>
      </c>
      <c r="G9" s="365">
        <f>VLOOKUP($A$8,'تقرير إحصائية بحجم المبيعات'!$B$112:$G$137,2,FALSE)</f>
        <v>1485894.1200000003</v>
      </c>
      <c r="H9" s="365">
        <f>VLOOKUP($A$8,'تقرير إحصائية بحجم المبيعات'!$B$147:$G$177,2,FALSE)</f>
        <v>1730201.06</v>
      </c>
      <c r="I9" s="365">
        <f>VLOOKUP($A$8,'تقرير إحصائية بحجم المبيعات'!$B$182:$G$212,2,FALSE)</f>
        <v>1657794</v>
      </c>
      <c r="J9" s="365">
        <f>VLOOKUP($A$8,'تقرير إحصائية بحجم المبيعات'!$B$217:$L$243,2,FALSE)</f>
        <v>1813528.52</v>
      </c>
      <c r="K9" s="365">
        <f>VLOOKUP($A$8,'تقرير إحصائية بحجم المبيعات'!$B$252:$L$278,2,FALSE)</f>
        <v>1936967.87</v>
      </c>
      <c r="L9" s="365">
        <f>VLOOKUP($A$8,'تقرير إحصائية بحجم المبيعات'!$B$287:$L$313,2,FALSE)</f>
        <v>1898377.6200000006</v>
      </c>
      <c r="M9" s="365">
        <f>VLOOKUP($A$8,'تقرير إحصائية بحجم المبيعات'!$B$322:$L$347,2,FALSE)</f>
        <v>1734542.9700000004</v>
      </c>
      <c r="N9" s="365">
        <f>VLOOKUP($A$8,'تقرير إحصائية بحجم المبيعات'!$B$357:$L$383,2,FALSE)</f>
        <v>1814758.0199999998</v>
      </c>
      <c r="O9" s="365">
        <f>VLOOKUP($A$8,'تقرير إحصائية بحجم المبيعات'!$B$391:$L$420,2,FALSE)</f>
        <v>1877377.94</v>
      </c>
      <c r="P9" s="364">
        <f t="shared" ref="P9:P18" si="1">SUM(D9:O9)</f>
        <v>19766289.680000003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63734.45</v>
      </c>
      <c r="E10" s="365">
        <f>VLOOKUP($A$8,'تقرير إحصائية بحجم المبيعات'!$B$42:$G$73,3,FALSE)</f>
        <v>56680.33</v>
      </c>
      <c r="F10" s="365">
        <f>VLOOKUP($A$8,'تقرير إحصائية بحجم المبيعات'!$B$78:$E$103,3,FALSE)</f>
        <v>56329.35</v>
      </c>
      <c r="G10" s="365">
        <f>VLOOKUP($A$8,'تقرير إحصائية بحجم المبيعات'!$B$112:$G$137,3,FALSE)</f>
        <v>87957.8</v>
      </c>
      <c r="H10" s="365">
        <f>VLOOKUP($A$8,'تقرير إحصائية بحجم المبيعات'!$B$147:$G$177,3,FALSE)</f>
        <v>72098.48</v>
      </c>
      <c r="I10" s="365">
        <f>VLOOKUP($A$8,'تقرير إحصائية بحجم المبيعات'!$B$182:$G$212,3,FALSE)</f>
        <v>70741.34</v>
      </c>
      <c r="J10" s="365">
        <f>VLOOKUP($A$8,'تقرير إحصائية بحجم المبيعات'!$B$217:$L$243,3,FALSE)</f>
        <v>61400.02</v>
      </c>
      <c r="K10" s="365">
        <f>VLOOKUP($A$8,'تقرير إحصائية بحجم المبيعات'!$B$252:$L$278,3,FALSE)</f>
        <v>56720.36</v>
      </c>
      <c r="L10" s="365">
        <f>VLOOKUP($A$8,'تقرير إحصائية بحجم المبيعات'!$B$287:$L$313,3,FALSE)</f>
        <v>383770.22</v>
      </c>
      <c r="M10" s="365">
        <f>VLOOKUP($A$8,'تقرير إحصائية بحجم المبيعات'!$B$322:$L$347,3,FALSE)</f>
        <v>97651.17</v>
      </c>
      <c r="N10" s="365">
        <f>VLOOKUP($A$8,'تقرير إحصائية بحجم المبيعات'!$B$357:$L$383,3,FALSE)</f>
        <v>83953.81</v>
      </c>
      <c r="O10" s="365">
        <f>VLOOKUP($A$8,'تقرير إحصائية بحجم المبيعات'!$B$391:$L$420,3,FALSE)</f>
        <v>57922.7</v>
      </c>
      <c r="P10" s="364">
        <f t="shared" si="1"/>
        <v>1148960.03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495932</v>
      </c>
      <c r="E11" s="365">
        <f>VLOOKUP($A$8,'تقرير إحصائية بحجم المبيعات'!$B$42:$G$73,4,FALSE)</f>
        <v>571856.34</v>
      </c>
      <c r="F11" s="365">
        <f>VLOOKUP($A$8,'تقرير إحصائية بحجم المبيعات'!$B$78:$E$103,4,FALSE)</f>
        <v>734339.46</v>
      </c>
      <c r="G11" s="365">
        <f>VLOOKUP($A$8,'تقرير إحصائية بحجم المبيعات'!$B$112:$G$137,4,FALSE)</f>
        <v>623370.62</v>
      </c>
      <c r="H11" s="365">
        <f>VLOOKUP($A$8,'تقرير إحصائية بحجم المبيعات'!$B$147:$G$177,4,FALSE)</f>
        <v>651710.92000000004</v>
      </c>
      <c r="I11" s="365">
        <f>VLOOKUP($A$8,'تقرير إحصائية بحجم المبيعات'!$B$182:$G$212,4,FALSE)</f>
        <v>613723.56999999995</v>
      </c>
      <c r="J11" s="365">
        <f>VLOOKUP($A$8,'تقرير إحصائية بحجم المبيعات'!$B$217:$L$243,4,FALSE)</f>
        <v>673452.96</v>
      </c>
      <c r="K11" s="365">
        <f>VLOOKUP($A$8,'تقرير إحصائية بحجم المبيعات'!$B$252:$L$278,4,FALSE)</f>
        <v>631667.23</v>
      </c>
      <c r="L11" s="365">
        <f>VLOOKUP($A$8,'تقرير إحصائية بحجم المبيعات'!$B$287:$L$313,4,FALSE)</f>
        <v>1726705</v>
      </c>
      <c r="M11" s="365">
        <f>VLOOKUP($A$8,'تقرير إحصائية بحجم المبيعات'!$B$322:$L$347,4,FALSE)</f>
        <v>1024658.3</v>
      </c>
      <c r="N11" s="365">
        <f>VLOOKUP($A$8,'تقرير إحصائية بحجم المبيعات'!$B$357:$L$383,4,FALSE)</f>
        <v>600146.72</v>
      </c>
      <c r="O11" s="365">
        <f>VLOOKUP($A$8,'تقرير إحصائية بحجم المبيعات'!$B$391:$L$420,4,FALSE)</f>
        <v>679031</v>
      </c>
      <c r="P11" s="364">
        <f t="shared" si="1"/>
        <v>9026594.1199999992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1567628.82</v>
      </c>
      <c r="E12" s="364">
        <f>VLOOKUP($A$8,'تقرير إحصائية بحجم المبيعات'!$B$42:$L$73,11,FALSE)</f>
        <v>1492408.02</v>
      </c>
      <c r="F12" s="364">
        <f>VLOOKUP($A$8,'تقرير إحصائية بحجم المبيعات'!$B$78:$L$103,11,FALSE)</f>
        <v>1615595.68</v>
      </c>
      <c r="G12" s="364">
        <f>VLOOKUP($A$8,'تقرير إحصائية بحجم المبيعات'!$B$112:$L$137,11,FALSE)</f>
        <v>1764630.89</v>
      </c>
      <c r="H12" s="364">
        <f>VLOOKUP($A$8,'تقرير إحصائية بحجم المبيعات'!$B$147:$L$177,11,FALSE)</f>
        <v>1981910.94</v>
      </c>
      <c r="I12" s="364">
        <f>VLOOKUP($A$8,'تقرير إحصائية بحجم المبيعات'!$B$182:$L$212,11,FALSE)</f>
        <v>1883622.14</v>
      </c>
      <c r="J12" s="365">
        <f>VLOOKUP($A$8,'تقرير إحصائية بحجم المبيعات'!$B$217:$L$243,11,FALSE)</f>
        <v>2046850.53</v>
      </c>
      <c r="K12" s="364">
        <f>VLOOKUP($A$8,'تقرير إحصائية بحجم المبيعات'!$B$252:$L$278,11,FALSE)</f>
        <v>2103029.54</v>
      </c>
      <c r="L12" s="364">
        <f>VLOOKUP($A$8,'تقرير إحصائية بحجم المبيعات'!$B$287:$L$313,11,FALSE)</f>
        <v>3264292.12</v>
      </c>
      <c r="M12" s="365">
        <f>VLOOKUP($A$8,'تقرير إحصائية بحجم المبيعات'!$B$322:$L$347,11,FALSE)</f>
        <v>2312384.39</v>
      </c>
      <c r="N12" s="365">
        <f>VLOOKUP($A$8,'تقرير إحصائية بحجم المبيعات'!$B$357:$L$383,11,FALSE)</f>
        <v>1984801.87</v>
      </c>
      <c r="O12" s="365">
        <f>VLOOKUP($A$8,'تقرير إحصائية بحجم المبيعات'!$B$391:$L$420,11,FALSE)</f>
        <v>2083459.93</v>
      </c>
      <c r="P12" s="364">
        <f t="shared" si="1"/>
        <v>24100614.870000001</v>
      </c>
    </row>
    <row r="13" spans="1:20" ht="18" customHeight="1">
      <c r="B13" s="124"/>
      <c r="C13" s="371" t="s">
        <v>14</v>
      </c>
      <c r="D13" s="366">
        <f t="shared" ref="D13:O13" si="2">D8-D12</f>
        <v>385522.31999999983</v>
      </c>
      <c r="E13" s="366">
        <f t="shared" si="2"/>
        <v>356102.52</v>
      </c>
      <c r="F13" s="366">
        <f t="shared" si="2"/>
        <v>378462.12999999989</v>
      </c>
      <c r="G13" s="366">
        <f t="shared" si="2"/>
        <v>432591.65000000061</v>
      </c>
      <c r="H13" s="366">
        <f t="shared" si="2"/>
        <v>472099.52</v>
      </c>
      <c r="I13" s="366">
        <f t="shared" si="2"/>
        <v>458636.77000000025</v>
      </c>
      <c r="J13" s="366">
        <f t="shared" si="2"/>
        <v>501530.97</v>
      </c>
      <c r="K13" s="366">
        <f t="shared" si="2"/>
        <v>522325.91999999993</v>
      </c>
      <c r="L13" s="366">
        <f t="shared" si="2"/>
        <v>744560.72000000067</v>
      </c>
      <c r="M13" s="366">
        <f t="shared" si="2"/>
        <v>544468.05000000028</v>
      </c>
      <c r="N13" s="366">
        <f t="shared" si="2"/>
        <v>514056.6799999997</v>
      </c>
      <c r="O13" s="366">
        <f t="shared" si="2"/>
        <v>530871.70999999973</v>
      </c>
      <c r="P13" s="366">
        <f t="shared" si="1"/>
        <v>5841228.9600000018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2451.2199999999998</v>
      </c>
      <c r="E16" s="367">
        <v>-2143.33</v>
      </c>
      <c r="F16" s="367">
        <v>2</v>
      </c>
      <c r="G16" s="367">
        <v>1780.7000000000003</v>
      </c>
      <c r="H16" s="367">
        <v>5118.1500000000051</v>
      </c>
      <c r="I16" s="367">
        <v>3805.5700000000006</v>
      </c>
      <c r="J16" s="367">
        <v>2451.0099999999998</v>
      </c>
      <c r="K16" s="367"/>
      <c r="L16" s="367">
        <v>4776.88</v>
      </c>
      <c r="M16" s="367"/>
      <c r="N16" s="367"/>
      <c r="O16" s="367"/>
      <c r="P16" s="364">
        <f t="shared" si="1"/>
        <v>18242.200000000004</v>
      </c>
    </row>
    <row r="17" spans="2:16" ht="18" customHeight="1">
      <c r="B17" s="124"/>
      <c r="C17" s="369" t="s">
        <v>119</v>
      </c>
      <c r="D17" s="367"/>
      <c r="E17" s="367">
        <v>46000</v>
      </c>
      <c r="F17" s="367"/>
      <c r="G17" s="367"/>
      <c r="H17" s="367">
        <v>3000</v>
      </c>
      <c r="I17" s="367"/>
      <c r="J17" s="367"/>
      <c r="K17" s="367">
        <v>2000</v>
      </c>
      <c r="L17" s="367"/>
      <c r="M17" s="367">
        <v>10670</v>
      </c>
      <c r="N17" s="367"/>
      <c r="O17" s="367">
        <v>620</v>
      </c>
      <c r="P17" s="364">
        <f t="shared" si="1"/>
        <v>62290</v>
      </c>
    </row>
    <row r="18" spans="2:16" ht="18" customHeight="1">
      <c r="B18" s="124"/>
      <c r="C18" s="372" t="s">
        <v>269</v>
      </c>
      <c r="D18" s="363">
        <f>SUM(D14:D17)</f>
        <v>2451.2199999999998</v>
      </c>
      <c r="E18" s="363">
        <f t="shared" ref="E18:O18" si="3">SUM(E14:E17)</f>
        <v>43856.67</v>
      </c>
      <c r="F18" s="363">
        <f t="shared" si="3"/>
        <v>2</v>
      </c>
      <c r="G18" s="363">
        <f t="shared" si="3"/>
        <v>1780.7000000000003</v>
      </c>
      <c r="H18" s="363">
        <f t="shared" si="3"/>
        <v>8118.1500000000051</v>
      </c>
      <c r="I18" s="363">
        <f t="shared" si="3"/>
        <v>3805.5700000000006</v>
      </c>
      <c r="J18" s="363">
        <f t="shared" si="3"/>
        <v>2451.0099999999998</v>
      </c>
      <c r="K18" s="363">
        <f t="shared" si="3"/>
        <v>2000</v>
      </c>
      <c r="L18" s="363">
        <f t="shared" si="3"/>
        <v>4776.88</v>
      </c>
      <c r="M18" s="368">
        <f t="shared" si="3"/>
        <v>10670</v>
      </c>
      <c r="N18" s="368">
        <f t="shared" si="3"/>
        <v>0</v>
      </c>
      <c r="O18" s="368">
        <f t="shared" si="3"/>
        <v>620</v>
      </c>
      <c r="P18" s="364">
        <f t="shared" si="1"/>
        <v>80532.200000000012</v>
      </c>
    </row>
    <row r="19" spans="2:16" ht="18" customHeight="1">
      <c r="B19" s="124"/>
      <c r="C19" s="386" t="s">
        <v>14</v>
      </c>
      <c r="D19" s="374">
        <f t="shared" ref="D19:O19" si="4">D13+D18</f>
        <v>387973.5399999998</v>
      </c>
      <c r="E19" s="374">
        <f t="shared" si="4"/>
        <v>399959.19</v>
      </c>
      <c r="F19" s="374">
        <f t="shared" si="4"/>
        <v>378464.12999999989</v>
      </c>
      <c r="G19" s="374">
        <f t="shared" si="4"/>
        <v>434372.35000000062</v>
      </c>
      <c r="H19" s="374">
        <f t="shared" si="4"/>
        <v>480217.67000000004</v>
      </c>
      <c r="I19" s="374">
        <f t="shared" si="4"/>
        <v>462442.34000000026</v>
      </c>
      <c r="J19" s="374">
        <f t="shared" si="4"/>
        <v>503981.98</v>
      </c>
      <c r="K19" s="374">
        <f t="shared" si="4"/>
        <v>524325.91999999993</v>
      </c>
      <c r="L19" s="374">
        <f t="shared" si="4"/>
        <v>749337.60000000068</v>
      </c>
      <c r="M19" s="374">
        <f t="shared" si="4"/>
        <v>555138.05000000028</v>
      </c>
      <c r="N19" s="374">
        <f t="shared" si="4"/>
        <v>514056.6799999997</v>
      </c>
      <c r="O19" s="374">
        <f t="shared" si="4"/>
        <v>531491.70999999973</v>
      </c>
      <c r="P19" s="382">
        <f>SUM(D19:O19)</f>
        <v>5921761.1600000011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الشهر'!$C$10:$AD$119,17,FALSE),0)</f>
        <v>0</v>
      </c>
      <c r="E22" s="362">
        <f>IFERROR(VLOOKUP(C22,'تقرير المصروفات حسب الشهر'!$C$135:$AD$244,17,FALSE),0)</f>
        <v>0</v>
      </c>
      <c r="F22" s="362">
        <v>0</v>
      </c>
      <c r="G22" s="362">
        <f>IFERROR(VLOOKUP(C22,'تقرير المصروفات حسب الشهر'!$C$387:$AD$495,17,FALSE),0)</f>
        <v>0</v>
      </c>
      <c r="H22" s="362">
        <f>IFERROR(VLOOKUP(C22,'تقرير المصروفات حسب الشهر'!$C$512:$AD$620,17,FALSE),0)</f>
        <v>0</v>
      </c>
      <c r="I22" s="362">
        <f>IFERROR(VLOOKUP(C22,'تقرير المصروفات حسب الشهر'!$C$637:$AD$746,17,FALSE),0)</f>
        <v>0</v>
      </c>
      <c r="J22" s="362">
        <f>IFERROR(VLOOKUP(C22,'تقرير المصروفات حسب الشهر'!$C$763:$AD$872,17,FALSE),0)</f>
        <v>0</v>
      </c>
      <c r="K22" s="362">
        <f>IFERROR(VLOOKUP(C22,'تقرير المصروفات حسب الشهر'!$C$890:$AD$999,17,FALSE),0)</f>
        <v>0</v>
      </c>
      <c r="L22" s="362">
        <f>IFERROR(VLOOKUP(C22,'تقرير المصروفات حسب الشهر'!$C$1016:$AD$1126,17,FALSE),0)</f>
        <v>0</v>
      </c>
      <c r="M22" s="376">
        <f>IFERROR(VLOOKUP(C22,'تقرير المصروفات حسب الشهر'!$C$1143:$AD$1254,17,FALSE),0)</f>
        <v>0</v>
      </c>
      <c r="N22" s="376">
        <f>IFERROR(VLOOKUP(C22,'تقرير المصروفات حسب الشهر'!$C$1270:$AD$1381,17,FALSE),0)</f>
        <v>0</v>
      </c>
      <c r="O22" s="376">
        <f>IFERROR(VLOOKUP(C22,'تقرير المصروفات حسب الشهر'!$C$1397:$AI$1512,17,FALSE),0)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الشهر'!$C$10:$AD$119,17,FALSE),0)</f>
        <v>143039.19</v>
      </c>
      <c r="E23" s="362">
        <f>IFERROR(VLOOKUP(C23,'تقرير المصروفات حسب الشهر'!$C$135:$AD$244,17,FALSE),0)</f>
        <v>150363.25</v>
      </c>
      <c r="F23" s="362">
        <v>144648.63</v>
      </c>
      <c r="G23" s="362">
        <f>IFERROR(VLOOKUP(C23,'تقرير المصروفات حسب الشهر'!$C$387:$AD$495,17,FALSE),0)</f>
        <v>166781.63</v>
      </c>
      <c r="H23" s="362">
        <f>IFERROR(VLOOKUP(C23,'تقرير المصروفات حسب الشهر'!$C$512:$AD$620,17,FALSE),0)</f>
        <v>164446.08000000002</v>
      </c>
      <c r="I23" s="362">
        <f>IFERROR(VLOOKUP(C23,'تقرير المصروفات حسب الشهر'!$C$637:$AD$746,17,FALSE),0)</f>
        <v>192489.01</v>
      </c>
      <c r="J23" s="362">
        <f>IFERROR(VLOOKUP(C23,'تقرير المصروفات حسب الشهر'!$C$763:$AD$872,17,FALSE),0)</f>
        <v>183960.06</v>
      </c>
      <c r="K23" s="362">
        <f>IFERROR(VLOOKUP(C23,'تقرير المصروفات حسب الشهر'!$C$890:$AD$999,17,FALSE),0)</f>
        <v>181585.56</v>
      </c>
      <c r="L23" s="362">
        <f>IFERROR(VLOOKUP(C23,'تقرير المصروفات حسب الشهر'!$C$1016:$AD$1126,17,FALSE),0)</f>
        <v>187903.08999999997</v>
      </c>
      <c r="M23" s="376">
        <f>IFERROR(VLOOKUP(C23,'تقرير المصروفات حسب الشهر'!$C$1143:$AD$1254,17,FALSE),0)</f>
        <v>213754.41000000003</v>
      </c>
      <c r="N23" s="376">
        <f>IFERROR(VLOOKUP(C23,'تقرير المصروفات حسب الشهر'!$C$1270:$AD$1381,17,FALSE),0)</f>
        <v>237152.18</v>
      </c>
      <c r="O23" s="376">
        <f>IFERROR(VLOOKUP(C23,'تقرير المصروفات حسب الشهر'!$C$1397:$AI$1512,17,FALSE),0)</f>
        <v>225368.62</v>
      </c>
      <c r="P23" s="364">
        <f t="shared" ref="P23:P86" si="5">SUM(D23:O23)</f>
        <v>2191491.71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الشهر'!$C$10:$AD$119,17,FALSE),0)</f>
        <v>3393</v>
      </c>
      <c r="E24" s="362">
        <f>IFERROR(VLOOKUP(C24,'تقرير المصروفات حسب الشهر'!$C$135:$AD$244,17,FALSE),0)</f>
        <v>3555</v>
      </c>
      <c r="F24" s="362">
        <v>4105</v>
      </c>
      <c r="G24" s="362">
        <f>IFERROR(VLOOKUP(C24,'تقرير المصروفات حسب الشهر'!$C$387:$AD$495,17,FALSE),0)</f>
        <v>4007</v>
      </c>
      <c r="H24" s="362">
        <f>IFERROR(VLOOKUP(C24,'تقرير المصروفات حسب الشهر'!$C$512:$AD$620,17,FALSE),0)</f>
        <v>4148</v>
      </c>
      <c r="I24" s="362">
        <f>IFERROR(VLOOKUP(C24,'تقرير المصروفات حسب الشهر'!$C$637:$AD$746,17,FALSE),0)</f>
        <v>4405</v>
      </c>
      <c r="J24" s="362">
        <f>IFERROR(VLOOKUP(C24,'تقرير المصروفات حسب الشهر'!$C$763:$AD$872,17,FALSE),0)</f>
        <v>5237</v>
      </c>
      <c r="K24" s="362">
        <f>IFERROR(VLOOKUP(C24,'تقرير المصروفات حسب الشهر'!$C$890:$AD$999,17,FALSE),0)</f>
        <v>5480</v>
      </c>
      <c r="L24" s="362">
        <f>IFERROR(VLOOKUP(C24,'تقرير المصروفات حسب الشهر'!$C$1016:$AD$1126,17,FALSE),0)</f>
        <v>5925</v>
      </c>
      <c r="M24" s="376">
        <f>IFERROR(VLOOKUP(C24,'تقرير المصروفات حسب الشهر'!$C$1143:$AD$1254,17,FALSE),0)</f>
        <v>6800</v>
      </c>
      <c r="N24" s="376">
        <f>IFERROR(VLOOKUP(C24,'تقرير المصروفات حسب الشهر'!$C$1270:$AD$1381,17,FALSE),0)</f>
        <v>7011</v>
      </c>
      <c r="O24" s="376">
        <f>IFERROR(VLOOKUP(C24,'تقرير المصروفات حسب الشهر'!$C$1397:$AI$1512,17,FALSE),0)</f>
        <v>6595</v>
      </c>
      <c r="P24" s="364">
        <f t="shared" si="5"/>
        <v>60661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الشهر'!$C$10:$AD$119,17,FALSE),0)</f>
        <v>0</v>
      </c>
      <c r="E25" s="362">
        <f>IFERROR(VLOOKUP(C25,'تقرير المصروفات حسب الشهر'!$C$135:$AD$244,17,FALSE),0)</f>
        <v>0</v>
      </c>
      <c r="F25" s="362">
        <v>0</v>
      </c>
      <c r="G25" s="362">
        <f>IFERROR(VLOOKUP(C25,'تقرير المصروفات حسب الشهر'!$C$387:$AD$495,17,FALSE),0)</f>
        <v>0</v>
      </c>
      <c r="H25" s="362">
        <f>IFERROR(VLOOKUP(C25,'تقرير المصروفات حسب الشهر'!$C$512:$AD$620,17,FALSE),0)</f>
        <v>0</v>
      </c>
      <c r="I25" s="362">
        <f>IFERROR(VLOOKUP(C25,'تقرير المصروفات حسب الشهر'!$C$637:$AD$746,17,FALSE),0)</f>
        <v>0</v>
      </c>
      <c r="J25" s="362">
        <f>IFERROR(VLOOKUP(C25,'تقرير المصروفات حسب الشهر'!$C$763:$AD$872,17,FALSE),0)</f>
        <v>0</v>
      </c>
      <c r="K25" s="362">
        <f>IFERROR(VLOOKUP(C25,'تقرير المصروفات حسب الشهر'!$C$890:$AD$999,17,FALSE),0)</f>
        <v>0</v>
      </c>
      <c r="L25" s="362">
        <f>IFERROR(VLOOKUP(C25,'تقرير المصروفات حسب الشهر'!$C$1016:$AD$1126,17,FALSE),0)</f>
        <v>0</v>
      </c>
      <c r="M25" s="376">
        <f>IFERROR(VLOOKUP(C25,'تقرير المصروفات حسب الشهر'!$C$1143:$AD$1254,17,FALSE),0)</f>
        <v>0</v>
      </c>
      <c r="N25" s="376">
        <f>IFERROR(VLOOKUP(C25,'تقرير المصروفات حسب الشهر'!$C$1270:$AD$1381,17,FALSE),0)</f>
        <v>0</v>
      </c>
      <c r="O25" s="376">
        <f>IFERROR(VLOOKUP(C25,'تقرير المصروفات حسب الشهر'!$C$1397:$AI$1512,17,FALSE),0)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الشهر'!$C$10:$AD$119,17,FALSE),0)</f>
        <v>200</v>
      </c>
      <c r="E26" s="362">
        <f>IFERROR(VLOOKUP(C26,'تقرير المصروفات حسب الشهر'!$C$135:$AD$244,17,FALSE),0)</f>
        <v>0</v>
      </c>
      <c r="F26" s="362">
        <v>300</v>
      </c>
      <c r="G26" s="362">
        <f>IFERROR(VLOOKUP(C26,'تقرير المصروفات حسب الشهر'!$C$387:$AD$495,17,FALSE),0)</f>
        <v>0</v>
      </c>
      <c r="H26" s="362">
        <f>IFERROR(VLOOKUP(C26,'تقرير المصروفات حسب الشهر'!$C$512:$AD$620,17,FALSE),0)</f>
        <v>0</v>
      </c>
      <c r="I26" s="362">
        <f>IFERROR(VLOOKUP(C26,'تقرير المصروفات حسب الشهر'!$C$637:$AD$746,17,FALSE),0)</f>
        <v>1000</v>
      </c>
      <c r="J26" s="362">
        <f>IFERROR(VLOOKUP(C26,'تقرير المصروفات حسب الشهر'!$C$763:$AD$872,17,FALSE),0)</f>
        <v>0</v>
      </c>
      <c r="K26" s="362">
        <f>IFERROR(VLOOKUP(C26,'تقرير المصروفات حسب الشهر'!$C$890:$AD$999,17,FALSE),0)</f>
        <v>0</v>
      </c>
      <c r="L26" s="362">
        <f>IFERROR(VLOOKUP(C26,'تقرير المصروفات حسب الشهر'!$C$1016:$AD$1126,17,FALSE),0)</f>
        <v>0</v>
      </c>
      <c r="M26" s="376">
        <f>IFERROR(VLOOKUP(C26,'تقرير المصروفات حسب الشهر'!$C$1143:$AD$1254,17,FALSE),0)</f>
        <v>0</v>
      </c>
      <c r="N26" s="376">
        <f>IFERROR(VLOOKUP(C26,'تقرير المصروفات حسب الشهر'!$C$1270:$AD$1381,17,FALSE),0)</f>
        <v>400</v>
      </c>
      <c r="O26" s="376">
        <f>IFERROR(VLOOKUP(C26,'تقرير المصروفات حسب الشهر'!$C$1397:$AI$1512,17,FALSE),0)</f>
        <v>0</v>
      </c>
      <c r="P26" s="364">
        <f t="shared" si="5"/>
        <v>1900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الشهر'!$C$10:$AD$119,17,FALSE),0)</f>
        <v>0</v>
      </c>
      <c r="E27" s="362">
        <f>IFERROR(VLOOKUP(C27,'تقرير المصروفات حسب الشهر'!$C$135:$AD$244,17,FALSE),0)</f>
        <v>0</v>
      </c>
      <c r="F27" s="362">
        <v>0</v>
      </c>
      <c r="G27" s="362">
        <f>IFERROR(VLOOKUP(C27,'تقرير المصروفات حسب الشهر'!$C$387:$AD$495,17,FALSE),0)</f>
        <v>0</v>
      </c>
      <c r="H27" s="362">
        <f>IFERROR(VLOOKUP(C27,'تقرير المصروفات حسب الشهر'!$C$512:$AD$620,17,FALSE),0)</f>
        <v>0</v>
      </c>
      <c r="I27" s="362">
        <f>IFERROR(VLOOKUP(C27,'تقرير المصروفات حسب الشهر'!$C$637:$AD$746,17,FALSE),0)</f>
        <v>0</v>
      </c>
      <c r="J27" s="362">
        <f>IFERROR(VLOOKUP(C27,'تقرير المصروفات حسب الشهر'!$C$763:$AD$872,17,FALSE),0)</f>
        <v>0</v>
      </c>
      <c r="K27" s="362">
        <f>IFERROR(VLOOKUP(C27,'تقرير المصروفات حسب الشهر'!$C$890:$AD$999,17,FALSE),0)</f>
        <v>0</v>
      </c>
      <c r="L27" s="362">
        <f>IFERROR(VLOOKUP(C27,'تقرير المصروفات حسب الشهر'!$C$1016:$AD$1126,17,FALSE),0)</f>
        <v>0</v>
      </c>
      <c r="M27" s="376">
        <f>IFERROR(VLOOKUP(C27,'تقرير المصروفات حسب الشهر'!$C$1143:$AD$1254,17,FALSE),0)</f>
        <v>0</v>
      </c>
      <c r="N27" s="376">
        <f>IFERROR(VLOOKUP(C27,'تقرير المصروفات حسب الشهر'!$C$1270:$AD$1381,17,FALSE),0)</f>
        <v>0</v>
      </c>
      <c r="O27" s="376">
        <f>IFERROR(VLOOKUP(C27,'تقرير المصروفات حسب الشهر'!$C$1397:$AI$1512,17,FALSE),0)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الشهر'!$C$10:$AD$119,17,FALSE),0)</f>
        <v>0</v>
      </c>
      <c r="E28" s="362">
        <f>IFERROR(VLOOKUP(C28,'تقرير المصروفات حسب الشهر'!$C$135:$AD$244,17,FALSE),0)</f>
        <v>0</v>
      </c>
      <c r="F28" s="362">
        <v>0</v>
      </c>
      <c r="G28" s="362">
        <f>IFERROR(VLOOKUP(C28,'تقرير المصروفات حسب الشهر'!$C$387:$AD$495,17,FALSE),0)</f>
        <v>0</v>
      </c>
      <c r="H28" s="362">
        <f>IFERROR(VLOOKUP(C28,'تقرير المصروفات حسب الشهر'!$C$512:$AD$620,17,FALSE),0)</f>
        <v>0</v>
      </c>
      <c r="I28" s="362">
        <f>IFERROR(VLOOKUP(C28,'تقرير المصروفات حسب الشهر'!$C$637:$AD$746,17,FALSE),0)</f>
        <v>0</v>
      </c>
      <c r="J28" s="362">
        <f>IFERROR(VLOOKUP(C28,'تقرير المصروفات حسب الشهر'!$C$763:$AD$872,17,FALSE),0)</f>
        <v>0</v>
      </c>
      <c r="K28" s="362">
        <f>IFERROR(VLOOKUP(C28,'تقرير المصروفات حسب الشهر'!$C$890:$AD$999,17,FALSE),0)</f>
        <v>0</v>
      </c>
      <c r="L28" s="362">
        <f>IFERROR(VLOOKUP(C28,'تقرير المصروفات حسب الشهر'!$C$1016:$AD$1126,17,FALSE),0)</f>
        <v>0</v>
      </c>
      <c r="M28" s="376">
        <f>IFERROR(VLOOKUP(C28,'تقرير المصروفات حسب الشهر'!$C$1143:$AD$1254,17,FALSE),0)</f>
        <v>0</v>
      </c>
      <c r="N28" s="376">
        <f>IFERROR(VLOOKUP(C28,'تقرير المصروفات حسب الشهر'!$C$1270:$AD$1381,17,FALSE),0)</f>
        <v>0</v>
      </c>
      <c r="O28" s="376">
        <f>IFERROR(VLOOKUP(C28,'تقرير المصروفات حسب الشهر'!$C$1397:$AI$1512,17,FALSE),0)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الشهر'!$C$10:$AD$119,17,FALSE),0)</f>
        <v>50625</v>
      </c>
      <c r="E29" s="362">
        <f>IFERROR(VLOOKUP(C29,'تقرير المصروفات حسب الشهر'!$C$135:$AD$244,17,FALSE),0)</f>
        <v>50625</v>
      </c>
      <c r="F29" s="362">
        <f>90625-40000</f>
        <v>50625</v>
      </c>
      <c r="G29" s="362">
        <f>IFERROR(VLOOKUP(C29,'تقرير المصروفات حسب الشهر'!$C$387:$AD$495,17,FALSE),0)</f>
        <v>50625</v>
      </c>
      <c r="H29" s="362">
        <f>IFERROR(VLOOKUP(C29,'تقرير المصروفات حسب الشهر'!$C$512:$AD$620,17,FALSE),0)</f>
        <v>50625</v>
      </c>
      <c r="I29" s="362">
        <f>IFERROR(VLOOKUP(C29,'تقرير المصروفات حسب الشهر'!$C$637:$AD$746,17,FALSE),0)</f>
        <v>50625</v>
      </c>
      <c r="J29" s="362">
        <f>IFERROR(VLOOKUP(C29,'تقرير المصروفات حسب الشهر'!$C$763:$AD$872,17,FALSE),0)</f>
        <v>50625</v>
      </c>
      <c r="K29" s="362">
        <f>IFERROR(VLOOKUP(C29,'تقرير المصروفات حسب الشهر'!$C$890:$AD$999,17,FALSE),0)</f>
        <v>50620</v>
      </c>
      <c r="L29" s="362">
        <f>IFERROR(VLOOKUP(C29,'تقرير المصروفات حسب الشهر'!$C$1016:$AD$1126,17,FALSE),0)</f>
        <v>50620</v>
      </c>
      <c r="M29" s="376">
        <f>IFERROR(VLOOKUP(C29,'تقرير المصروفات حسب الشهر'!$C$1143:$AD$1254,17,FALSE),0)</f>
        <v>50620</v>
      </c>
      <c r="N29" s="376">
        <f>IFERROR(VLOOKUP(C29,'تقرير المصروفات حسب الشهر'!$C$1270:$AD$1381,17,FALSE),0)</f>
        <v>56950</v>
      </c>
      <c r="O29" s="376">
        <f>IFERROR(VLOOKUP(C29,'تقرير المصروفات حسب الشهر'!$C$1397:$AI$1512,17,FALSE),0)</f>
        <v>56950</v>
      </c>
      <c r="P29" s="364">
        <f t="shared" si="5"/>
        <v>620135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الشهر'!$C$10:$AD$119,17,FALSE),0)</f>
        <v>50</v>
      </c>
      <c r="E30" s="362">
        <f>IFERROR(VLOOKUP(C30,'تقرير المصروفات حسب الشهر'!$C$135:$AD$244,17,FALSE),0)</f>
        <v>25</v>
      </c>
      <c r="F30" s="362">
        <v>909.5</v>
      </c>
      <c r="G30" s="362">
        <f>IFERROR(VLOOKUP(C30,'تقرير المصروفات حسب الشهر'!$C$387:$AD$495,17,FALSE),0)</f>
        <v>35</v>
      </c>
      <c r="H30" s="362">
        <f>IFERROR(VLOOKUP(C30,'تقرير المصروفات حسب الشهر'!$C$512:$AD$620,17,FALSE),0)</f>
        <v>30</v>
      </c>
      <c r="I30" s="362">
        <f>IFERROR(VLOOKUP(C30,'تقرير المصروفات حسب الشهر'!$C$637:$AD$746,17,FALSE),0)</f>
        <v>582.25</v>
      </c>
      <c r="J30" s="362">
        <f>IFERROR(VLOOKUP(C30,'تقرير المصروفات حسب الشهر'!$C$763:$AD$872,17,FALSE),0)</f>
        <v>0</v>
      </c>
      <c r="K30" s="362">
        <f>IFERROR(VLOOKUP(C30,'تقرير المصروفات حسب الشهر'!$C$890:$AD$999,17,FALSE),0)</f>
        <v>0</v>
      </c>
      <c r="L30" s="362">
        <f>IFERROR(VLOOKUP(C30,'تقرير المصروفات حسب الشهر'!$C$1016:$AD$1126,17,FALSE),0)</f>
        <v>0</v>
      </c>
      <c r="M30" s="376">
        <f>IFERROR(VLOOKUP(C30,'تقرير المصروفات حسب الشهر'!$C$1143:$AD$1254,17,FALSE),0)</f>
        <v>515.5</v>
      </c>
      <c r="N30" s="376">
        <f>IFERROR(VLOOKUP(C30,'تقرير المصروفات حسب الشهر'!$C$1270:$AD$1381,17,FALSE),0)</f>
        <v>0</v>
      </c>
      <c r="O30" s="376">
        <f>IFERROR(VLOOKUP(C30,'تقرير المصروفات حسب الشهر'!$C$1397:$AI$1512,17,FALSE),0)</f>
        <v>985</v>
      </c>
      <c r="P30" s="364">
        <f t="shared" si="5"/>
        <v>3132.25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الشهر'!$C$10:$AD$119,17,FALSE),0)</f>
        <v>586.1</v>
      </c>
      <c r="E31" s="362">
        <f>IFERROR(VLOOKUP(C31,'تقرير المصروفات حسب الشهر'!$C$135:$AD$244,17,FALSE),0)</f>
        <v>526.1</v>
      </c>
      <c r="F31" s="362">
        <v>501.1</v>
      </c>
      <c r="G31" s="362">
        <f>IFERROR(VLOOKUP(C31,'تقرير المصروفات حسب الشهر'!$C$387:$AD$495,17,FALSE),0)</f>
        <v>501.1</v>
      </c>
      <c r="H31" s="362">
        <f>IFERROR(VLOOKUP(C31,'تقرير المصروفات حسب الشهر'!$C$512:$AD$620,17,FALSE),0)</f>
        <v>666.1</v>
      </c>
      <c r="I31" s="362">
        <f>IFERROR(VLOOKUP(C31,'تقرير المصروفات حسب الشهر'!$C$637:$AD$746,17,FALSE),0)</f>
        <v>601.1</v>
      </c>
      <c r="J31" s="362">
        <f>IFERROR(VLOOKUP(C31,'تقرير المصروفات حسب الشهر'!$C$763:$AD$872,17,FALSE),0)</f>
        <v>861.1</v>
      </c>
      <c r="K31" s="362">
        <f>IFERROR(VLOOKUP(C31,'تقرير المصروفات حسب الشهر'!$C$890:$AD$999,17,FALSE),0)</f>
        <v>686.1</v>
      </c>
      <c r="L31" s="362">
        <f>IFERROR(VLOOKUP(C31,'تقرير المصروفات حسب الشهر'!$C$1016:$AD$1126,17,FALSE),0)</f>
        <v>711.1</v>
      </c>
      <c r="M31" s="376">
        <f>IFERROR(VLOOKUP(C31,'تقرير المصروفات حسب الشهر'!$C$1143:$AD$1254,17,FALSE),0)</f>
        <v>551.1</v>
      </c>
      <c r="N31" s="376">
        <f>IFERROR(VLOOKUP(C31,'تقرير المصروفات حسب الشهر'!$C$1270:$AD$1381,17,FALSE),0)</f>
        <v>616.1</v>
      </c>
      <c r="O31" s="376">
        <f>IFERROR(VLOOKUP(C31,'تقرير المصروفات حسب الشهر'!$C$1397:$AI$1512,17,FALSE),0)</f>
        <v>390.29</v>
      </c>
      <c r="P31" s="364">
        <f t="shared" si="5"/>
        <v>7197.3900000000012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الشهر'!$C$10:$AD$119,17,FALSE),0)</f>
        <v>0</v>
      </c>
      <c r="E32" s="362">
        <f>IFERROR(VLOOKUP(C32,'تقرير المصروفات حسب الشهر'!$C$135:$AD$244,17,FALSE),0)</f>
        <v>0</v>
      </c>
      <c r="F32" s="362">
        <v>0</v>
      </c>
      <c r="G32" s="362">
        <f>IFERROR(VLOOKUP(C32,'تقرير المصروفات حسب الشهر'!$C$387:$AD$495,17,FALSE),0)</f>
        <v>0</v>
      </c>
      <c r="H32" s="362">
        <f>IFERROR(VLOOKUP(C32,'تقرير المصروفات حسب الشهر'!$C$512:$AD$620,17,FALSE),0)</f>
        <v>0</v>
      </c>
      <c r="I32" s="362">
        <f>IFERROR(VLOOKUP(C32,'تقرير المصروفات حسب الشهر'!$C$637:$AD$746,17,FALSE),0)</f>
        <v>0</v>
      </c>
      <c r="J32" s="362">
        <f>IFERROR(VLOOKUP(C32,'تقرير المصروفات حسب الشهر'!$C$763:$AD$872,17,FALSE),0)</f>
        <v>0</v>
      </c>
      <c r="K32" s="362">
        <f>IFERROR(VLOOKUP(C32,'تقرير المصروفات حسب الشهر'!$C$890:$AD$999,17,FALSE),0)</f>
        <v>0</v>
      </c>
      <c r="L32" s="362">
        <f>IFERROR(VLOOKUP(C32,'تقرير المصروفات حسب الشهر'!$C$1016:$AD$1126,17,FALSE),0)</f>
        <v>0</v>
      </c>
      <c r="M32" s="376">
        <f>IFERROR(VLOOKUP(C32,'تقرير المصروفات حسب الشهر'!$C$1143:$AD$1254,17,FALSE),0)</f>
        <v>0</v>
      </c>
      <c r="N32" s="376">
        <f>IFERROR(VLOOKUP(C32,'تقرير المصروفات حسب الشهر'!$C$1270:$AD$1381,17,FALSE),0)</f>
        <v>0</v>
      </c>
      <c r="O32" s="376">
        <f>IFERROR(VLOOKUP(C32,'تقرير المصروفات حسب الشهر'!$C$1397:$AI$1512,17,FALSE),0)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الشهر'!$C$10:$AD$119,17,FALSE),0)</f>
        <v>750</v>
      </c>
      <c r="E33" s="362">
        <f>IFERROR(VLOOKUP(C33,'تقرير المصروفات حسب الشهر'!$C$135:$AD$244,17,FALSE),0)</f>
        <v>750</v>
      </c>
      <c r="F33" s="362">
        <v>650</v>
      </c>
      <c r="G33" s="362">
        <f>IFERROR(VLOOKUP(C33,'تقرير المصروفات حسب الشهر'!$C$387:$AD$495,17,FALSE),0)</f>
        <v>0</v>
      </c>
      <c r="H33" s="362">
        <f>IFERROR(VLOOKUP(C33,'تقرير المصروفات حسب الشهر'!$C$512:$AD$620,17,FALSE),0)</f>
        <v>1165</v>
      </c>
      <c r="I33" s="362">
        <f>IFERROR(VLOOKUP(C33,'تقرير المصروفات حسب الشهر'!$C$637:$AD$746,17,FALSE),0)</f>
        <v>900</v>
      </c>
      <c r="J33" s="362">
        <f>IFERROR(VLOOKUP(C33,'تقرير المصروفات حسب الشهر'!$C$763:$AD$872,17,FALSE),0)</f>
        <v>0</v>
      </c>
      <c r="K33" s="362">
        <f>IFERROR(VLOOKUP(C33,'تقرير المصروفات حسب الشهر'!$C$890:$AD$999,17,FALSE),0)</f>
        <v>500</v>
      </c>
      <c r="L33" s="362">
        <f>IFERROR(VLOOKUP(C33,'تقرير المصروفات حسب الشهر'!$C$1016:$AD$1126,17,FALSE),0)</f>
        <v>500</v>
      </c>
      <c r="M33" s="376">
        <f>IFERROR(VLOOKUP(C33,'تقرير المصروفات حسب الشهر'!$C$1143:$AD$1254,17,FALSE),0)</f>
        <v>0</v>
      </c>
      <c r="N33" s="376">
        <f>IFERROR(VLOOKUP(C33,'تقرير المصروفات حسب الشهر'!$C$1270:$AD$1381,17,FALSE),0)</f>
        <v>0</v>
      </c>
      <c r="O33" s="376">
        <f>IFERROR(VLOOKUP(C33,'تقرير المصروفات حسب الشهر'!$C$1397:$AI$1512,17,FALSE),0)</f>
        <v>750</v>
      </c>
      <c r="P33" s="364">
        <f t="shared" si="5"/>
        <v>5965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الشهر'!$C$10:$AD$119,17,FALSE),0)</f>
        <v>0</v>
      </c>
      <c r="E34" s="362">
        <f>IFERROR(VLOOKUP(C34,'تقرير المصروفات حسب الشهر'!$C$135:$AD$244,17,FALSE),0)</f>
        <v>0</v>
      </c>
      <c r="F34" s="362">
        <v>0</v>
      </c>
      <c r="G34" s="362">
        <f>IFERROR(VLOOKUP(C34,'تقرير المصروفات حسب الشهر'!$C$387:$AD$495,17,FALSE),0)</f>
        <v>0</v>
      </c>
      <c r="H34" s="362">
        <f>IFERROR(VLOOKUP(C34,'تقرير المصروفات حسب الشهر'!$C$512:$AD$620,17,FALSE),0)</f>
        <v>0</v>
      </c>
      <c r="I34" s="362">
        <f>IFERROR(VLOOKUP(C34,'تقرير المصروفات حسب الشهر'!$C$637:$AD$746,17,FALSE),0)</f>
        <v>0</v>
      </c>
      <c r="J34" s="362">
        <f>IFERROR(VLOOKUP(C34,'تقرير المصروفات حسب الشهر'!$C$763:$AD$872,17,FALSE),0)</f>
        <v>0</v>
      </c>
      <c r="K34" s="362">
        <f>IFERROR(VLOOKUP(C34,'تقرير المصروفات حسب الشهر'!$C$890:$AD$999,17,FALSE),0)</f>
        <v>0</v>
      </c>
      <c r="L34" s="362">
        <f>IFERROR(VLOOKUP(C34,'تقرير المصروفات حسب الشهر'!$C$1016:$AD$1126,17,FALSE),0)</f>
        <v>0</v>
      </c>
      <c r="M34" s="376">
        <f>IFERROR(VLOOKUP(C34,'تقرير المصروفات حسب الشهر'!$C$1143:$AD$1254,17,FALSE),0)</f>
        <v>0</v>
      </c>
      <c r="N34" s="376">
        <f>IFERROR(VLOOKUP(C34,'تقرير المصروفات حسب الشهر'!$C$1270:$AD$1381,17,FALSE),0)</f>
        <v>0</v>
      </c>
      <c r="O34" s="376">
        <f>IFERROR(VLOOKUP(C34,'تقرير المصروفات حسب الشهر'!$C$1397:$AI$1512,17,FALSE),0)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الشهر'!$C$10:$AD$119,17,FALSE),0)</f>
        <v>0</v>
      </c>
      <c r="E35" s="362">
        <f>IFERROR(VLOOKUP(C35,'تقرير المصروفات حسب الشهر'!$C$135:$AD$244,17,FALSE),0)</f>
        <v>0</v>
      </c>
      <c r="F35" s="362">
        <v>0</v>
      </c>
      <c r="G35" s="362">
        <f>IFERROR(VLOOKUP(C35,'تقرير المصروفات حسب الشهر'!$C$387:$AD$495,17,FALSE),0)</f>
        <v>0</v>
      </c>
      <c r="H35" s="362">
        <f>IFERROR(VLOOKUP(C35,'تقرير المصروفات حسب الشهر'!$C$512:$AD$620,17,FALSE),0)</f>
        <v>0</v>
      </c>
      <c r="I35" s="362">
        <f>IFERROR(VLOOKUP(C35,'تقرير المصروفات حسب الشهر'!$C$637:$AD$746,17,FALSE),0)</f>
        <v>0</v>
      </c>
      <c r="J35" s="362">
        <f>IFERROR(VLOOKUP(C35,'تقرير المصروفات حسب الشهر'!$C$763:$AD$872,17,FALSE),0)</f>
        <v>6000</v>
      </c>
      <c r="K35" s="362">
        <f>IFERROR(VLOOKUP(C35,'تقرير المصروفات حسب الشهر'!$C$890:$AD$999,17,FALSE),0)</f>
        <v>0</v>
      </c>
      <c r="L35" s="362">
        <f>IFERROR(VLOOKUP(C35,'تقرير المصروفات حسب الشهر'!$C$1016:$AD$1126,17,FALSE),0)</f>
        <v>0</v>
      </c>
      <c r="M35" s="376">
        <f>IFERROR(VLOOKUP(C35,'تقرير المصروفات حسب الشهر'!$C$1143:$AD$1254,17,FALSE),0)</f>
        <v>0</v>
      </c>
      <c r="N35" s="376">
        <f>IFERROR(VLOOKUP(C35,'تقرير المصروفات حسب الشهر'!$C$1270:$AD$1381,17,FALSE),0)</f>
        <v>4910</v>
      </c>
      <c r="O35" s="376">
        <f>IFERROR(VLOOKUP(C35,'تقرير المصروفات حسب الشهر'!$C$1397:$AI$1512,17,FALSE),0)</f>
        <v>0</v>
      </c>
      <c r="P35" s="364">
        <f t="shared" si="5"/>
        <v>10910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الشهر'!$C$10:$AD$119,17,FALSE),0)</f>
        <v>750</v>
      </c>
      <c r="E36" s="362">
        <f>IFERROR(VLOOKUP(C36,'تقرير المصروفات حسب الشهر'!$C$135:$AD$244,17,FALSE),0)</f>
        <v>0</v>
      </c>
      <c r="F36" s="362">
        <v>0</v>
      </c>
      <c r="G36" s="362">
        <f>IFERROR(VLOOKUP(C36,'تقرير المصروفات حسب الشهر'!$C$387:$AD$495,17,FALSE),0)</f>
        <v>750</v>
      </c>
      <c r="H36" s="362">
        <f>IFERROR(VLOOKUP(C36,'تقرير المصروفات حسب الشهر'!$C$512:$AD$620,17,FALSE),0)</f>
        <v>0</v>
      </c>
      <c r="I36" s="362">
        <f>IFERROR(VLOOKUP(C36,'تقرير المصروفات حسب الشهر'!$C$637:$AD$746,17,FALSE),0)</f>
        <v>770</v>
      </c>
      <c r="J36" s="362">
        <f>IFERROR(VLOOKUP(C36,'تقرير المصروفات حسب الشهر'!$C$763:$AD$872,17,FALSE),0)</f>
        <v>0</v>
      </c>
      <c r="K36" s="362">
        <f>IFERROR(VLOOKUP(C36,'تقرير المصروفات حسب الشهر'!$C$890:$AD$999,17,FALSE),0)</f>
        <v>1540</v>
      </c>
      <c r="L36" s="362">
        <f>IFERROR(VLOOKUP(C36,'تقرير المصروفات حسب الشهر'!$C$1016:$AD$1126,17,FALSE),0)</f>
        <v>0</v>
      </c>
      <c r="M36" s="376">
        <f>IFERROR(VLOOKUP(C36,'تقرير المصروفات حسب الشهر'!$C$1143:$AD$1254,17,FALSE),0)</f>
        <v>770</v>
      </c>
      <c r="N36" s="376">
        <f>IFERROR(VLOOKUP(C36,'تقرير المصروفات حسب الشهر'!$C$1270:$AD$1381,17,FALSE),0)</f>
        <v>0</v>
      </c>
      <c r="O36" s="376">
        <f>IFERROR(VLOOKUP(C36,'تقرير المصروفات حسب الشهر'!$C$1397:$AI$1512,17,FALSE),0)</f>
        <v>770</v>
      </c>
      <c r="P36" s="364">
        <f t="shared" si="5"/>
        <v>5350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الشهر'!$C$10:$AD$119,17,FALSE),0)</f>
        <v>2250</v>
      </c>
      <c r="E37" s="362">
        <f>IFERROR(VLOOKUP(C37,'تقرير المصروفات حسب الشهر'!$C$135:$AD$244,17,FALSE),0)</f>
        <v>0</v>
      </c>
      <c r="F37" s="362">
        <v>0</v>
      </c>
      <c r="G37" s="362">
        <f>IFERROR(VLOOKUP(C37,'تقرير المصروفات حسب الشهر'!$C$387:$AD$495,17,FALSE),0)</f>
        <v>0</v>
      </c>
      <c r="H37" s="362">
        <f>IFERROR(VLOOKUP(C37,'تقرير المصروفات حسب الشهر'!$C$512:$AD$620,17,FALSE),0)</f>
        <v>0</v>
      </c>
      <c r="I37" s="362">
        <f>IFERROR(VLOOKUP(C37,'تقرير المصروفات حسب الشهر'!$C$637:$AD$746,17,FALSE),0)</f>
        <v>2250</v>
      </c>
      <c r="J37" s="362">
        <f>IFERROR(VLOOKUP(C37,'تقرير المصروفات حسب الشهر'!$C$763:$AD$872,17,FALSE),0)</f>
        <v>0</v>
      </c>
      <c r="K37" s="362">
        <f>IFERROR(VLOOKUP(C37,'تقرير المصروفات حسب الشهر'!$C$890:$AD$999,17,FALSE),0)</f>
        <v>2250</v>
      </c>
      <c r="L37" s="362">
        <f>IFERROR(VLOOKUP(C37,'تقرير المصروفات حسب الشهر'!$C$1016:$AD$1126,17,FALSE),0)</f>
        <v>0</v>
      </c>
      <c r="M37" s="376">
        <f>IFERROR(VLOOKUP(C37,'تقرير المصروفات حسب الشهر'!$C$1143:$AD$1254,17,FALSE),0)</f>
        <v>2250</v>
      </c>
      <c r="N37" s="376">
        <f>IFERROR(VLOOKUP(C37,'تقرير المصروفات حسب الشهر'!$C$1270:$AD$1381,17,FALSE),0)</f>
        <v>0</v>
      </c>
      <c r="O37" s="376">
        <f>IFERROR(VLOOKUP(C37,'تقرير المصروفات حسب الشهر'!$C$1397:$AI$1512,17,FALSE),0)</f>
        <v>2260</v>
      </c>
      <c r="P37" s="364">
        <f t="shared" si="5"/>
        <v>11260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الشهر'!$C$10:$AD$119,17,FALSE),0)</f>
        <v>0</v>
      </c>
      <c r="E38" s="362">
        <f>IFERROR(VLOOKUP(C38,'تقرير المصروفات حسب الشهر'!$C$135:$AD$244,17,FALSE),0)</f>
        <v>0</v>
      </c>
      <c r="F38" s="362">
        <v>0</v>
      </c>
      <c r="G38" s="362">
        <f>IFERROR(VLOOKUP(C38,'تقرير المصروفات حسب الشهر'!$C$387:$AD$495,17,FALSE),0)</f>
        <v>0</v>
      </c>
      <c r="H38" s="362">
        <f>IFERROR(VLOOKUP(C38,'تقرير المصروفات حسب الشهر'!$C$512:$AD$620,17,FALSE),0)</f>
        <v>0</v>
      </c>
      <c r="I38" s="362">
        <f>IFERROR(VLOOKUP(C38,'تقرير المصروفات حسب الشهر'!$C$637:$AD$746,17,FALSE),0)</f>
        <v>0</v>
      </c>
      <c r="J38" s="362">
        <f>IFERROR(VLOOKUP(C38,'تقرير المصروفات حسب الشهر'!$C$763:$AD$872,17,FALSE),0)</f>
        <v>0</v>
      </c>
      <c r="K38" s="362">
        <f>IFERROR(VLOOKUP(C38,'تقرير المصروفات حسب الشهر'!$C$890:$AD$999,17,FALSE),0)</f>
        <v>0</v>
      </c>
      <c r="L38" s="362">
        <f>IFERROR(VLOOKUP(C38,'تقرير المصروفات حسب الشهر'!$C$1016:$AD$1126,17,FALSE),0)</f>
        <v>0</v>
      </c>
      <c r="M38" s="376">
        <f>IFERROR(VLOOKUP(C38,'تقرير المصروفات حسب الشهر'!$C$1143:$AD$1254,17,FALSE),0)</f>
        <v>0</v>
      </c>
      <c r="N38" s="376">
        <f>IFERROR(VLOOKUP(C38,'تقرير المصروفات حسب الشهر'!$C$1270:$AD$1381,17,FALSE),0)</f>
        <v>0</v>
      </c>
      <c r="O38" s="376">
        <f>IFERROR(VLOOKUP(C38,'تقرير المصروفات حسب الشهر'!$C$1397:$AI$1512,17,FALSE),0)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الشهر'!$C$10:$AD$119,17,FALSE),0)</f>
        <v>4422.5</v>
      </c>
      <c r="E39" s="362">
        <f>IFERROR(VLOOKUP(C39,'تقرير المصروفات حسب الشهر'!$C$135:$AD$244,17,FALSE),0)</f>
        <v>4442.1000000000004</v>
      </c>
      <c r="F39" s="362">
        <v>3952.5</v>
      </c>
      <c r="G39" s="362">
        <f>IFERROR(VLOOKUP(C39,'تقرير المصروفات حسب الشهر'!$C$387:$AD$495,17,FALSE),0)</f>
        <v>3436.9</v>
      </c>
      <c r="H39" s="362">
        <f>IFERROR(VLOOKUP(C39,'تقرير المصروفات حسب الشهر'!$C$512:$AD$620,17,FALSE),0)</f>
        <v>4803</v>
      </c>
      <c r="I39" s="362">
        <f>IFERROR(VLOOKUP(C39,'تقرير المصروفات حسب الشهر'!$C$637:$AD$746,17,FALSE),0)</f>
        <v>3787</v>
      </c>
      <c r="J39" s="362">
        <f>IFERROR(VLOOKUP(C39,'تقرير المصروفات حسب الشهر'!$C$763:$AD$872,17,FALSE),0)</f>
        <v>2478</v>
      </c>
      <c r="K39" s="362">
        <f>IFERROR(VLOOKUP(C39,'تقرير المصروفات حسب الشهر'!$C$890:$AD$999,17,FALSE),0)</f>
        <v>2070</v>
      </c>
      <c r="L39" s="362">
        <f>IFERROR(VLOOKUP(C39,'تقرير المصروفات حسب الشهر'!$C$1016:$AD$1126,17,FALSE),0)</f>
        <v>1866</v>
      </c>
      <c r="M39" s="376">
        <f>IFERROR(VLOOKUP(C39,'تقرير المصروفات حسب الشهر'!$C$1143:$AD$1254,17,FALSE),0)</f>
        <v>1382</v>
      </c>
      <c r="N39" s="376">
        <f>IFERROR(VLOOKUP(C39,'تقرير المصروفات حسب الشهر'!$C$1270:$AD$1381,17,FALSE),0)</f>
        <v>2906</v>
      </c>
      <c r="O39" s="376">
        <f>IFERROR(VLOOKUP(C39,'تقرير المصروفات حسب الشهر'!$C$1397:$AI$1512,17,FALSE),0)</f>
        <v>4605</v>
      </c>
      <c r="P39" s="364">
        <f t="shared" si="5"/>
        <v>40151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الشهر'!$C$10:$AD$119,17,FALSE),0)</f>
        <v>1100</v>
      </c>
      <c r="E40" s="362">
        <f>IFERROR(VLOOKUP(C40,'تقرير المصروفات حسب الشهر'!$C$135:$AD$244,17,FALSE),0)</f>
        <v>350</v>
      </c>
      <c r="F40" s="362">
        <v>835</v>
      </c>
      <c r="G40" s="362">
        <f>IFERROR(VLOOKUP(C40,'تقرير المصروفات حسب الشهر'!$C$387:$AD$495,17,FALSE),0)</f>
        <v>2025</v>
      </c>
      <c r="H40" s="362">
        <f>IFERROR(VLOOKUP(C40,'تقرير المصروفات حسب الشهر'!$C$512:$AD$620,17,FALSE),0)</f>
        <v>1270</v>
      </c>
      <c r="I40" s="362">
        <f>IFERROR(VLOOKUP(C40,'تقرير المصروفات حسب الشهر'!$C$637:$AD$746,17,FALSE),0)</f>
        <v>4500</v>
      </c>
      <c r="J40" s="362">
        <f>IFERROR(VLOOKUP(C40,'تقرير المصروفات حسب الشهر'!$C$763:$AD$872,17,FALSE),0)</f>
        <v>1506</v>
      </c>
      <c r="K40" s="362">
        <f>IFERROR(VLOOKUP(C40,'تقرير المصروفات حسب الشهر'!$C$890:$AD$999,17,FALSE),0)</f>
        <v>2341</v>
      </c>
      <c r="L40" s="362">
        <f>IFERROR(VLOOKUP(C40,'تقرير المصروفات حسب الشهر'!$C$1016:$AD$1126,17,FALSE),0)</f>
        <v>741.4</v>
      </c>
      <c r="M40" s="376">
        <f>IFERROR(VLOOKUP(C40,'تقرير المصروفات حسب الشهر'!$C$1143:$AD$1254,17,FALSE),0)</f>
        <v>10425</v>
      </c>
      <c r="N40" s="376">
        <f>IFERROR(VLOOKUP(C40,'تقرير المصروفات حسب الشهر'!$C$1270:$AD$1381,17,FALSE),0)</f>
        <v>8619.7999999999993</v>
      </c>
      <c r="O40" s="376">
        <f>IFERROR(VLOOKUP(C40,'تقرير المصروفات حسب الشهر'!$C$1397:$AI$1512,17,FALSE),0)</f>
        <v>1645</v>
      </c>
      <c r="P40" s="364">
        <f t="shared" si="5"/>
        <v>35358.199999999997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الشهر'!$C$10:$AD$119,17,FALSE),0)</f>
        <v>0</v>
      </c>
      <c r="E41" s="362">
        <f>IFERROR(VLOOKUP(C41,'تقرير المصروفات حسب الشهر'!$C$135:$AD$244,17,FALSE),0)</f>
        <v>0</v>
      </c>
      <c r="F41" s="362">
        <v>0</v>
      </c>
      <c r="G41" s="362">
        <f>IFERROR(VLOOKUP(C41,'تقرير المصروفات حسب الشهر'!$C$387:$AD$495,17,FALSE),0)</f>
        <v>0</v>
      </c>
      <c r="H41" s="362">
        <f>IFERROR(VLOOKUP(C41,'تقرير المصروفات حسب الشهر'!$C$512:$AD$620,17,FALSE),0)</f>
        <v>0</v>
      </c>
      <c r="I41" s="362">
        <f>IFERROR(VLOOKUP(C41,'تقرير المصروفات حسب الشهر'!$C$637:$AD$746,17,FALSE),0)</f>
        <v>0</v>
      </c>
      <c r="J41" s="362">
        <f>IFERROR(VLOOKUP(C41,'تقرير المصروفات حسب الشهر'!$C$763:$AD$872,17,FALSE),0)</f>
        <v>0</v>
      </c>
      <c r="K41" s="362">
        <f>IFERROR(VLOOKUP(C41,'تقرير المصروفات حسب الشهر'!$C$890:$AD$999,17,FALSE),0)</f>
        <v>0</v>
      </c>
      <c r="L41" s="362">
        <f>IFERROR(VLOOKUP(C41,'تقرير المصروفات حسب الشهر'!$C$1016:$AD$1126,17,FALSE),0)</f>
        <v>0</v>
      </c>
      <c r="M41" s="376">
        <f>IFERROR(VLOOKUP(C41,'تقرير المصروفات حسب الشهر'!$C$1143:$AD$1254,17,FALSE),0)</f>
        <v>0</v>
      </c>
      <c r="N41" s="376">
        <f>IFERROR(VLOOKUP(C41,'تقرير المصروفات حسب الشهر'!$C$1270:$AD$1381,17,FALSE),0)</f>
        <v>0</v>
      </c>
      <c r="O41" s="376">
        <f>IFERROR(VLOOKUP(C41,'تقرير المصروفات حسب الشهر'!$C$1397:$AI$1512,17,FALSE),0)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الشهر'!$C$10:$AD$119,17,FALSE),0)</f>
        <v>0</v>
      </c>
      <c r="E42" s="362">
        <f>IFERROR(VLOOKUP(C42,'تقرير المصروفات حسب الشهر'!$C$135:$AD$244,17,FALSE),0)</f>
        <v>0</v>
      </c>
      <c r="F42" s="362">
        <v>0</v>
      </c>
      <c r="G42" s="362">
        <f>IFERROR(VLOOKUP(C42,'تقرير المصروفات حسب الشهر'!$C$387:$AD$495,17,FALSE),0)</f>
        <v>60</v>
      </c>
      <c r="H42" s="362">
        <f>IFERROR(VLOOKUP(C42,'تقرير المصروفات حسب الشهر'!$C$512:$AD$620,17,FALSE),0)</f>
        <v>0</v>
      </c>
      <c r="I42" s="362">
        <f>IFERROR(VLOOKUP(C42,'تقرير المصروفات حسب الشهر'!$C$637:$AD$746,17,FALSE),0)</f>
        <v>0</v>
      </c>
      <c r="J42" s="362">
        <f>IFERROR(VLOOKUP(C42,'تقرير المصروفات حسب الشهر'!$C$763:$AD$872,17,FALSE),0)</f>
        <v>0</v>
      </c>
      <c r="K42" s="362">
        <f>IFERROR(VLOOKUP(C42,'تقرير المصروفات حسب الشهر'!$C$890:$AD$999,17,FALSE),0)</f>
        <v>0</v>
      </c>
      <c r="L42" s="362">
        <f>IFERROR(VLOOKUP(C42,'تقرير المصروفات حسب الشهر'!$C$1016:$AD$1126,17,FALSE),0)</f>
        <v>0</v>
      </c>
      <c r="M42" s="376">
        <f>IFERROR(VLOOKUP(C42,'تقرير المصروفات حسب الشهر'!$C$1143:$AD$1254,17,FALSE),0)</f>
        <v>0</v>
      </c>
      <c r="N42" s="376">
        <f>IFERROR(VLOOKUP(C42,'تقرير المصروفات حسب الشهر'!$C$1270:$AD$1381,17,FALSE),0)</f>
        <v>100</v>
      </c>
      <c r="O42" s="376">
        <f>IFERROR(VLOOKUP(C42,'تقرير المصروفات حسب الشهر'!$C$1397:$AI$1512,17,FALSE),0)</f>
        <v>0</v>
      </c>
      <c r="P42" s="364">
        <f t="shared" si="5"/>
        <v>160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الشهر'!$C$10:$AD$119,17,FALSE),0)</f>
        <v>0</v>
      </c>
      <c r="E43" s="362">
        <f>IFERROR(VLOOKUP(C43,'تقرير المصروفات حسب الشهر'!$C$135:$AD$244,17,FALSE),0)</f>
        <v>0</v>
      </c>
      <c r="F43" s="362">
        <v>0</v>
      </c>
      <c r="G43" s="362">
        <f>IFERROR(VLOOKUP(C43,'تقرير المصروفات حسب الشهر'!$C$387:$AD$495,17,FALSE),0)</f>
        <v>0</v>
      </c>
      <c r="H43" s="362">
        <f>IFERROR(VLOOKUP(C43,'تقرير المصروفات حسب الشهر'!$C$512:$AD$620,17,FALSE),0)</f>
        <v>0</v>
      </c>
      <c r="I43" s="362">
        <f>IFERROR(VLOOKUP(C43,'تقرير المصروفات حسب الشهر'!$C$637:$AD$746,17,FALSE),0)</f>
        <v>0</v>
      </c>
      <c r="J43" s="362">
        <f>IFERROR(VLOOKUP(C43,'تقرير المصروفات حسب الشهر'!$C$763:$AD$872,17,FALSE),0)</f>
        <v>0</v>
      </c>
      <c r="K43" s="362">
        <f>IFERROR(VLOOKUP(C43,'تقرير المصروفات حسب الشهر'!$C$890:$AD$999,17,FALSE),0)</f>
        <v>0</v>
      </c>
      <c r="L43" s="362">
        <f>IFERROR(VLOOKUP(C43,'تقرير المصروفات حسب الشهر'!$C$1016:$AD$1126,17,FALSE),0)</f>
        <v>0</v>
      </c>
      <c r="M43" s="376">
        <f>IFERROR(VLOOKUP(C43,'تقرير المصروفات حسب الشهر'!$C$1143:$AD$1254,17,FALSE),0)</f>
        <v>0</v>
      </c>
      <c r="N43" s="376">
        <f>IFERROR(VLOOKUP(C43,'تقرير المصروفات حسب الشهر'!$C$1270:$AD$1381,17,FALSE),0)</f>
        <v>0</v>
      </c>
      <c r="O43" s="376">
        <f>IFERROR(VLOOKUP(C43,'تقرير المصروفات حسب الشهر'!$C$1397:$AI$1512,17,FALSE),0)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الشهر'!$C$10:$AD$119,17,FALSE),0)</f>
        <v>150</v>
      </c>
      <c r="E44" s="362">
        <f>IFERROR(VLOOKUP(C44,'تقرير المصروفات حسب الشهر'!$C$135:$AD$244,17,FALSE),0)</f>
        <v>120</v>
      </c>
      <c r="F44" s="362">
        <v>80</v>
      </c>
      <c r="G44" s="362">
        <f>IFERROR(VLOOKUP(C44,'تقرير المصروفات حسب الشهر'!$C$387:$AD$495,17,FALSE),0)</f>
        <v>40</v>
      </c>
      <c r="H44" s="362">
        <f>IFERROR(VLOOKUP(C44,'تقرير المصروفات حسب الشهر'!$C$512:$AD$620,17,FALSE),0)</f>
        <v>30</v>
      </c>
      <c r="I44" s="362">
        <f>IFERROR(VLOOKUP(C44,'تقرير المصروفات حسب الشهر'!$C$637:$AD$746,17,FALSE),0)</f>
        <v>190</v>
      </c>
      <c r="J44" s="362">
        <f>IFERROR(VLOOKUP(C44,'تقرير المصروفات حسب الشهر'!$C$763:$AD$872,17,FALSE),0)</f>
        <v>230</v>
      </c>
      <c r="K44" s="362">
        <f>IFERROR(VLOOKUP(C44,'تقرير المصروفات حسب الشهر'!$C$890:$AD$999,17,FALSE),0)</f>
        <v>225</v>
      </c>
      <c r="L44" s="362">
        <f>IFERROR(VLOOKUP(C44,'تقرير المصروفات حسب الشهر'!$C$1016:$AD$1126,17,FALSE),0)</f>
        <v>0</v>
      </c>
      <c r="M44" s="376">
        <f>IFERROR(VLOOKUP(C44,'تقرير المصروفات حسب الشهر'!$C$1143:$AD$1254,17,FALSE),0)</f>
        <v>135</v>
      </c>
      <c r="N44" s="376">
        <f>IFERROR(VLOOKUP(C44,'تقرير المصروفات حسب الشهر'!$C$1270:$AD$1381,17,FALSE),0)</f>
        <v>118</v>
      </c>
      <c r="O44" s="376">
        <f>IFERROR(VLOOKUP(C44,'تقرير المصروفات حسب الشهر'!$C$1397:$AI$1512,17,FALSE),0)</f>
        <v>90</v>
      </c>
      <c r="P44" s="364">
        <f t="shared" si="5"/>
        <v>1408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الشهر'!$C$10:$AD$119,17,FALSE),0)</f>
        <v>0</v>
      </c>
      <c r="E45" s="362">
        <f>IFERROR(VLOOKUP(C45,'تقرير المصروفات حسب الشهر'!$C$135:$AD$244,17,FALSE),0)</f>
        <v>0</v>
      </c>
      <c r="F45" s="362">
        <v>0</v>
      </c>
      <c r="G45" s="362">
        <f>IFERROR(VLOOKUP(C45,'تقرير المصروفات حسب الشهر'!$C$387:$AD$495,17,FALSE),0)</f>
        <v>0</v>
      </c>
      <c r="H45" s="362">
        <f>IFERROR(VLOOKUP(C45,'تقرير المصروفات حسب الشهر'!$C$512:$AD$620,17,FALSE),0)</f>
        <v>0</v>
      </c>
      <c r="I45" s="362">
        <f>IFERROR(VLOOKUP(C45,'تقرير المصروفات حسب الشهر'!$C$637:$AD$746,17,FALSE),0)</f>
        <v>0</v>
      </c>
      <c r="J45" s="362">
        <f>IFERROR(VLOOKUP(C45,'تقرير المصروفات حسب الشهر'!$C$763:$AD$872,17,FALSE),0)</f>
        <v>0</v>
      </c>
      <c r="K45" s="362">
        <f>IFERROR(VLOOKUP(C45,'تقرير المصروفات حسب الشهر'!$C$890:$AD$999,17,FALSE),0)</f>
        <v>0</v>
      </c>
      <c r="L45" s="362">
        <f>IFERROR(VLOOKUP(C45,'تقرير المصروفات حسب الشهر'!$C$1016:$AD$1126,17,FALSE),0)</f>
        <v>0</v>
      </c>
      <c r="M45" s="376">
        <f>IFERROR(VLOOKUP(C45,'تقرير المصروفات حسب الشهر'!$C$1143:$AD$1254,17,FALSE),0)</f>
        <v>0</v>
      </c>
      <c r="N45" s="376">
        <f>IFERROR(VLOOKUP(C45,'تقرير المصروفات حسب الشهر'!$C$1270:$AD$1381,17,FALSE),0)</f>
        <v>0</v>
      </c>
      <c r="O45" s="376">
        <f>IFERROR(VLOOKUP(C45,'تقرير المصروفات حسب الشهر'!$C$1397:$AI$1512,17,FALSE),0)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الشهر'!$C$10:$AD$119,17,FALSE),0)</f>
        <v>0</v>
      </c>
      <c r="E46" s="362">
        <f>IFERROR(VLOOKUP(C46,'تقرير المصروفات حسب الشهر'!$C$135:$AD$244,17,FALSE),0)</f>
        <v>0</v>
      </c>
      <c r="F46" s="362">
        <v>0</v>
      </c>
      <c r="G46" s="362">
        <f>IFERROR(VLOOKUP(C46,'تقرير المصروفات حسب الشهر'!$C$387:$AD$495,17,FALSE),0)</f>
        <v>0</v>
      </c>
      <c r="H46" s="362">
        <f>IFERROR(VLOOKUP(C46,'تقرير المصروفات حسب الشهر'!$C$512:$AD$620,17,FALSE),0)</f>
        <v>0</v>
      </c>
      <c r="I46" s="362">
        <f>IFERROR(VLOOKUP(C46,'تقرير المصروفات حسب الشهر'!$C$637:$AD$746,17,FALSE),0)</f>
        <v>0</v>
      </c>
      <c r="J46" s="362">
        <f>IFERROR(VLOOKUP(C46,'تقرير المصروفات حسب الشهر'!$C$763:$AD$872,17,FALSE),0)</f>
        <v>0</v>
      </c>
      <c r="K46" s="362">
        <f>IFERROR(VLOOKUP(C46,'تقرير المصروفات حسب الشهر'!$C$890:$AD$999,17,FALSE),0)</f>
        <v>0</v>
      </c>
      <c r="L46" s="362">
        <f>IFERROR(VLOOKUP(C46,'تقرير المصروفات حسب الشهر'!$C$1016:$AD$1126,17,FALSE),0)</f>
        <v>0</v>
      </c>
      <c r="M46" s="376">
        <f>IFERROR(VLOOKUP(C46,'تقرير المصروفات حسب الشهر'!$C$1143:$AD$1254,17,FALSE),0)</f>
        <v>0</v>
      </c>
      <c r="N46" s="376">
        <f>IFERROR(VLOOKUP(C46,'تقرير المصروفات حسب الشهر'!$C$1270:$AD$1381,17,FALSE),0)</f>
        <v>0</v>
      </c>
      <c r="O46" s="376">
        <f>IFERROR(VLOOKUP(C46,'تقرير المصروفات حسب الشهر'!$C$1397:$AI$1512,17,FALSE),0)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الشهر'!$C$10:$AD$119,17,FALSE),0)</f>
        <v>3375</v>
      </c>
      <c r="E47" s="362">
        <f>IFERROR(VLOOKUP(C47,'تقرير المصروفات حسب الشهر'!$C$135:$AD$244,17,FALSE),0)</f>
        <v>0</v>
      </c>
      <c r="F47" s="362">
        <v>0</v>
      </c>
      <c r="G47" s="362">
        <f>IFERROR(VLOOKUP(C47,'تقرير المصروفات حسب الشهر'!$C$387:$AD$495,17,FALSE),0)</f>
        <v>1900</v>
      </c>
      <c r="H47" s="362">
        <f>IFERROR(VLOOKUP(C47,'تقرير المصروفات حسب الشهر'!$C$512:$AD$620,17,FALSE),0)</f>
        <v>0</v>
      </c>
      <c r="I47" s="362">
        <f>IFERROR(VLOOKUP(C47,'تقرير المصروفات حسب الشهر'!$C$637:$AD$746,17,FALSE),0)</f>
        <v>150</v>
      </c>
      <c r="J47" s="362">
        <f>IFERROR(VLOOKUP(C47,'تقرير المصروفات حسب الشهر'!$C$763:$AD$872,17,FALSE),0)</f>
        <v>150</v>
      </c>
      <c r="K47" s="362">
        <f>IFERROR(VLOOKUP(C47,'تقرير المصروفات حسب الشهر'!$C$890:$AD$999,17,FALSE),0)</f>
        <v>150</v>
      </c>
      <c r="L47" s="362">
        <f>IFERROR(VLOOKUP(C47,'تقرير المصروفات حسب الشهر'!$C$1016:$AD$1126,17,FALSE),0)</f>
        <v>0</v>
      </c>
      <c r="M47" s="376">
        <f>IFERROR(VLOOKUP(C47,'تقرير المصروفات حسب الشهر'!$C$1143:$AD$1254,17,FALSE),0)</f>
        <v>2250</v>
      </c>
      <c r="N47" s="376">
        <f>IFERROR(VLOOKUP(C47,'تقرير المصروفات حسب الشهر'!$C$1270:$AD$1381,17,FALSE),0)</f>
        <v>150</v>
      </c>
      <c r="O47" s="376">
        <f>IFERROR(VLOOKUP(C47,'تقرير المصروفات حسب الشهر'!$C$1397:$AI$1512,17,FALSE),0)</f>
        <v>0</v>
      </c>
      <c r="P47" s="364">
        <f t="shared" si="5"/>
        <v>8125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الشهر'!$C$10:$AD$119,17,FALSE),0)</f>
        <v>22345</v>
      </c>
      <c r="E48" s="362">
        <f>IFERROR(VLOOKUP(C48,'تقرير المصروفات حسب الشهر'!$C$135:$AD$244,17,FALSE),0)</f>
        <v>0</v>
      </c>
      <c r="F48" s="362">
        <v>50</v>
      </c>
      <c r="G48" s="362">
        <f>IFERROR(VLOOKUP(C48,'تقرير المصروفات حسب الشهر'!$C$387:$AD$495,17,FALSE),0)</f>
        <v>0</v>
      </c>
      <c r="H48" s="362">
        <f>IFERROR(VLOOKUP(C48,'تقرير المصروفات حسب الشهر'!$C$512:$AD$620,17,FALSE),0)</f>
        <v>0</v>
      </c>
      <c r="I48" s="362">
        <f>IFERROR(VLOOKUP(C48,'تقرير المصروفات حسب الشهر'!$C$637:$AD$746,17,FALSE),0)</f>
        <v>0</v>
      </c>
      <c r="J48" s="362">
        <f>IFERROR(VLOOKUP(C48,'تقرير المصروفات حسب الشهر'!$C$763:$AD$872,17,FALSE),0)</f>
        <v>0</v>
      </c>
      <c r="K48" s="362">
        <f>IFERROR(VLOOKUP(C48,'تقرير المصروفات حسب الشهر'!$C$890:$AD$999,17,FALSE),0)</f>
        <v>0</v>
      </c>
      <c r="L48" s="362">
        <f>IFERROR(VLOOKUP(C48,'تقرير المصروفات حسب الشهر'!$C$1016:$AD$1126,17,FALSE),0)</f>
        <v>730</v>
      </c>
      <c r="M48" s="376">
        <f>IFERROR(VLOOKUP(C48,'تقرير المصروفات حسب الشهر'!$C$1143:$AD$1254,17,FALSE),0)</f>
        <v>0</v>
      </c>
      <c r="N48" s="376">
        <f>IFERROR(VLOOKUP(C48,'تقرير المصروفات حسب الشهر'!$C$1270:$AD$1381,17,FALSE),0)</f>
        <v>0</v>
      </c>
      <c r="O48" s="376">
        <f>IFERROR(VLOOKUP(C48,'تقرير المصروفات حسب الشهر'!$C$1397:$AI$1512,17,FALSE),0)</f>
        <v>0</v>
      </c>
      <c r="P48" s="364">
        <f t="shared" si="5"/>
        <v>23125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الشهر'!$C$10:$AD$119,17,FALSE),0)</f>
        <v>235</v>
      </c>
      <c r="E49" s="362">
        <f>IFERROR(VLOOKUP(C49,'تقرير المصروفات حسب الشهر'!$C$135:$AD$244,17,FALSE),0)</f>
        <v>0</v>
      </c>
      <c r="F49" s="362">
        <v>0</v>
      </c>
      <c r="G49" s="362">
        <f>IFERROR(VLOOKUP(C49,'تقرير المصروفات حسب الشهر'!$C$387:$AD$495,17,FALSE),0)</f>
        <v>0</v>
      </c>
      <c r="H49" s="362">
        <f>IFERROR(VLOOKUP(C49,'تقرير المصروفات حسب الشهر'!$C$512:$AD$620,17,FALSE),0)</f>
        <v>0</v>
      </c>
      <c r="I49" s="362">
        <f>IFERROR(VLOOKUP(C49,'تقرير المصروفات حسب الشهر'!$C$637:$AD$746,17,FALSE),0)</f>
        <v>0</v>
      </c>
      <c r="J49" s="362">
        <f>IFERROR(VLOOKUP(C49,'تقرير المصروفات حسب الشهر'!$C$763:$AD$872,17,FALSE),0)</f>
        <v>0</v>
      </c>
      <c r="K49" s="362">
        <f>IFERROR(VLOOKUP(C49,'تقرير المصروفات حسب الشهر'!$C$890:$AD$999,17,FALSE),0)</f>
        <v>0</v>
      </c>
      <c r="L49" s="362">
        <f>IFERROR(VLOOKUP(C49,'تقرير المصروفات حسب الشهر'!$C$1016:$AD$1126,17,FALSE),0)</f>
        <v>130</v>
      </c>
      <c r="M49" s="376">
        <f>IFERROR(VLOOKUP(C49,'تقرير المصروفات حسب الشهر'!$C$1143:$AD$1254,17,FALSE),0)</f>
        <v>0</v>
      </c>
      <c r="N49" s="376">
        <f>IFERROR(VLOOKUP(C49,'تقرير المصروفات حسب الشهر'!$C$1270:$AD$1381,17,FALSE),0)</f>
        <v>0</v>
      </c>
      <c r="O49" s="376">
        <f>IFERROR(VLOOKUP(C49,'تقرير المصروفات حسب الشهر'!$C$1397:$AI$1512,17,FALSE),0)</f>
        <v>0</v>
      </c>
      <c r="P49" s="364">
        <f t="shared" si="5"/>
        <v>365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الشهر'!$C$10:$AD$119,17,FALSE),0)</f>
        <v>0</v>
      </c>
      <c r="E50" s="362">
        <f>IFERROR(VLOOKUP(C50,'تقرير المصروفات حسب الشهر'!$C$135:$AD$244,17,FALSE),0)</f>
        <v>0</v>
      </c>
      <c r="F50" s="362">
        <v>0</v>
      </c>
      <c r="G50" s="362">
        <f>IFERROR(VLOOKUP(C50,'تقرير المصروفات حسب الشهر'!$C$387:$AD$495,17,FALSE),0)</f>
        <v>0</v>
      </c>
      <c r="H50" s="362">
        <f>IFERROR(VLOOKUP(C50,'تقرير المصروفات حسب الشهر'!$C$512:$AD$620,17,FALSE),0)</f>
        <v>0</v>
      </c>
      <c r="I50" s="362">
        <f>IFERROR(VLOOKUP(C50,'تقرير المصروفات حسب الشهر'!$C$637:$AD$746,17,FALSE),0)</f>
        <v>0</v>
      </c>
      <c r="J50" s="362">
        <f>IFERROR(VLOOKUP(C50,'تقرير المصروفات حسب الشهر'!$C$763:$AD$872,17,FALSE),0)</f>
        <v>0</v>
      </c>
      <c r="K50" s="362">
        <f>IFERROR(VLOOKUP(C50,'تقرير المصروفات حسب الشهر'!$C$890:$AD$999,17,FALSE),0)</f>
        <v>0</v>
      </c>
      <c r="L50" s="362">
        <f>IFERROR(VLOOKUP(C50,'تقرير المصروفات حسب الشهر'!$C$1016:$AD$1126,17,FALSE),0)</f>
        <v>0</v>
      </c>
      <c r="M50" s="376">
        <f>IFERROR(VLOOKUP(C50,'تقرير المصروفات حسب الشهر'!$C$1143:$AD$1254,17,FALSE),0)</f>
        <v>0</v>
      </c>
      <c r="N50" s="376">
        <f>IFERROR(VLOOKUP(C50,'تقرير المصروفات حسب الشهر'!$C$1270:$AD$1381,17,FALSE),0)</f>
        <v>0</v>
      </c>
      <c r="O50" s="376">
        <f>IFERROR(VLOOKUP(C50,'تقرير المصروفات حسب الشهر'!$C$1397:$AI$1512,17,FALSE),0)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الشهر'!$C$10:$AD$119,17,FALSE),0)</f>
        <v>300</v>
      </c>
      <c r="E51" s="362">
        <f>IFERROR(VLOOKUP(C51,'تقرير المصروفات حسب الشهر'!$C$135:$AD$244,17,FALSE),0)</f>
        <v>50</v>
      </c>
      <c r="F51" s="362">
        <v>0</v>
      </c>
      <c r="G51" s="362">
        <f>IFERROR(VLOOKUP(C51,'تقرير المصروفات حسب الشهر'!$C$387:$AD$495,17,FALSE),0)</f>
        <v>600</v>
      </c>
      <c r="H51" s="362">
        <f>IFERROR(VLOOKUP(C51,'تقرير المصروفات حسب الشهر'!$C$512:$AD$620,17,FALSE),0)</f>
        <v>80</v>
      </c>
      <c r="I51" s="362">
        <f>IFERROR(VLOOKUP(C51,'تقرير المصروفات حسب الشهر'!$C$637:$AD$746,17,FALSE),0)</f>
        <v>0</v>
      </c>
      <c r="J51" s="362">
        <f>IFERROR(VLOOKUP(C51,'تقرير المصروفات حسب الشهر'!$C$763:$AD$872,17,FALSE),0)</f>
        <v>450</v>
      </c>
      <c r="K51" s="362">
        <f>IFERROR(VLOOKUP(C51,'تقرير المصروفات حسب الشهر'!$C$890:$AD$999,17,FALSE),0)</f>
        <v>760</v>
      </c>
      <c r="L51" s="362">
        <f>IFERROR(VLOOKUP(C51,'تقرير المصروفات حسب الشهر'!$C$1016:$AD$1126,17,FALSE),0)</f>
        <v>760</v>
      </c>
      <c r="M51" s="376">
        <f>IFERROR(VLOOKUP(C51,'تقرير المصروفات حسب الشهر'!$C$1143:$AD$1254,17,FALSE),0)</f>
        <v>0</v>
      </c>
      <c r="N51" s="376">
        <f>IFERROR(VLOOKUP(C51,'تقرير المصروفات حسب الشهر'!$C$1270:$AD$1381,17,FALSE),0)</f>
        <v>0</v>
      </c>
      <c r="O51" s="376">
        <f>IFERROR(VLOOKUP(C51,'تقرير المصروفات حسب الشهر'!$C$1397:$AI$1512,17,FALSE),0)</f>
        <v>370</v>
      </c>
      <c r="P51" s="364">
        <f t="shared" si="5"/>
        <v>3370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الشهر'!$C$10:$AD$119,17,FALSE),0)</f>
        <v>160</v>
      </c>
      <c r="E52" s="362">
        <f>IFERROR(VLOOKUP(C52,'تقرير المصروفات حسب الشهر'!$C$135:$AD$244,17,FALSE),0)</f>
        <v>0</v>
      </c>
      <c r="F52" s="362">
        <v>0</v>
      </c>
      <c r="G52" s="362">
        <f>IFERROR(VLOOKUP(C52,'تقرير المصروفات حسب الشهر'!$C$387:$AD$495,17,FALSE),0)</f>
        <v>630</v>
      </c>
      <c r="H52" s="362">
        <f>IFERROR(VLOOKUP(C52,'تقرير المصروفات حسب الشهر'!$C$512:$AD$620,17,FALSE),0)</f>
        <v>0</v>
      </c>
      <c r="I52" s="362">
        <f>IFERROR(VLOOKUP(C52,'تقرير المصروفات حسب الشهر'!$C$637:$AD$746,17,FALSE),0)</f>
        <v>0</v>
      </c>
      <c r="J52" s="362">
        <f>IFERROR(VLOOKUP(C52,'تقرير المصروفات حسب الشهر'!$C$763:$AD$872,17,FALSE),0)</f>
        <v>280</v>
      </c>
      <c r="K52" s="362">
        <f>IFERROR(VLOOKUP(C52,'تقرير المصروفات حسب الشهر'!$C$890:$AD$999,17,FALSE),0)</f>
        <v>0</v>
      </c>
      <c r="L52" s="362">
        <f>IFERROR(VLOOKUP(C52,'تقرير المصروفات حسب الشهر'!$C$1016:$AD$1126,17,FALSE),0)</f>
        <v>280</v>
      </c>
      <c r="M52" s="376">
        <f>IFERROR(VLOOKUP(C52,'تقرير المصروفات حسب الشهر'!$C$1143:$AD$1254,17,FALSE),0)</f>
        <v>0</v>
      </c>
      <c r="N52" s="376">
        <f>IFERROR(VLOOKUP(C52,'تقرير المصروفات حسب الشهر'!$C$1270:$AD$1381,17,FALSE),0)</f>
        <v>0</v>
      </c>
      <c r="O52" s="376">
        <f>IFERROR(VLOOKUP(C52,'تقرير المصروفات حسب الشهر'!$C$1397:$AI$1512,17,FALSE),0)</f>
        <v>0</v>
      </c>
      <c r="P52" s="364">
        <f t="shared" si="5"/>
        <v>1350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الشهر'!$C$10:$AD$119,17,FALSE),0)</f>
        <v>0</v>
      </c>
      <c r="E53" s="362">
        <f>IFERROR(VLOOKUP(C53,'تقرير المصروفات حسب الشهر'!$C$135:$AD$244,17,FALSE),0)</f>
        <v>0</v>
      </c>
      <c r="F53" s="362">
        <v>0</v>
      </c>
      <c r="G53" s="362">
        <f>IFERROR(VLOOKUP(C53,'تقرير المصروفات حسب الشهر'!$C$387:$AD$495,17,FALSE),0)</f>
        <v>0</v>
      </c>
      <c r="H53" s="362">
        <f>IFERROR(VLOOKUP(C53,'تقرير المصروفات حسب الشهر'!$C$512:$AD$620,17,FALSE),0)</f>
        <v>0</v>
      </c>
      <c r="I53" s="362">
        <f>IFERROR(VLOOKUP(C53,'تقرير المصروفات حسب الشهر'!$C$637:$AD$746,17,FALSE),0)</f>
        <v>0</v>
      </c>
      <c r="J53" s="362">
        <f>IFERROR(VLOOKUP(C53,'تقرير المصروفات حسب الشهر'!$C$763:$AD$872,17,FALSE),0)</f>
        <v>0</v>
      </c>
      <c r="K53" s="362">
        <f>IFERROR(VLOOKUP(C53,'تقرير المصروفات حسب الشهر'!$C$890:$AD$999,17,FALSE),0)</f>
        <v>0</v>
      </c>
      <c r="L53" s="362">
        <f>IFERROR(VLOOKUP(C53,'تقرير المصروفات حسب الشهر'!$C$1016:$AD$1126,17,FALSE),0)</f>
        <v>0</v>
      </c>
      <c r="M53" s="376">
        <f>IFERROR(VLOOKUP(C53,'تقرير المصروفات حسب الشهر'!$C$1143:$AD$1254,17,FALSE),0)</f>
        <v>0</v>
      </c>
      <c r="N53" s="376">
        <f>IFERROR(VLOOKUP(C53,'تقرير المصروفات حسب الشهر'!$C$1270:$AD$1381,17,FALSE),0)</f>
        <v>0</v>
      </c>
      <c r="O53" s="376">
        <f>IFERROR(VLOOKUP(C53,'تقرير المصروفات حسب الشهر'!$C$1397:$AI$1512,17,FALSE),0)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الشهر'!$C$10:$AD$119,17,FALSE),0)</f>
        <v>4400</v>
      </c>
      <c r="E54" s="362">
        <f>IFERROR(VLOOKUP(C54,'تقرير المصروفات حسب الشهر'!$C$135:$AD$244,17,FALSE),0)</f>
        <v>0</v>
      </c>
      <c r="F54" s="362">
        <v>11300</v>
      </c>
      <c r="G54" s="362">
        <f>IFERROR(VLOOKUP(C54,'تقرير المصروفات حسب الشهر'!$C$387:$AD$495,17,FALSE),0)</f>
        <v>5350</v>
      </c>
      <c r="H54" s="362">
        <f>IFERROR(VLOOKUP(C54,'تقرير المصروفات حسب الشهر'!$C$512:$AD$620,17,FALSE),0)</f>
        <v>6400</v>
      </c>
      <c r="I54" s="362">
        <f>IFERROR(VLOOKUP(C54,'تقرير المصروفات حسب الشهر'!$C$637:$AD$746,17,FALSE),0)</f>
        <v>7000</v>
      </c>
      <c r="J54" s="362">
        <f>IFERROR(VLOOKUP(C54,'تقرير المصروفات حسب الشهر'!$C$763:$AD$872,17,FALSE),0)</f>
        <v>0</v>
      </c>
      <c r="K54" s="362">
        <f>IFERROR(VLOOKUP(C54,'تقرير المصروفات حسب الشهر'!$C$890:$AD$999,17,FALSE),0)</f>
        <v>0</v>
      </c>
      <c r="L54" s="362">
        <f>IFERROR(VLOOKUP(C54,'تقرير المصروفات حسب الشهر'!$C$1016:$AD$1126,17,FALSE),0)</f>
        <v>8300</v>
      </c>
      <c r="M54" s="376">
        <f>IFERROR(VLOOKUP(C54,'تقرير المصروفات حسب الشهر'!$C$1143:$AD$1254,17,FALSE),0)</f>
        <v>10650</v>
      </c>
      <c r="N54" s="376">
        <f>IFERROR(VLOOKUP(C54,'تقرير المصروفات حسب الشهر'!$C$1270:$AD$1381,17,FALSE),0)</f>
        <v>0</v>
      </c>
      <c r="O54" s="376">
        <f>IFERROR(VLOOKUP(C54,'تقرير المصروفات حسب الشهر'!$C$1397:$AI$1512,17,FALSE),0)</f>
        <v>11600</v>
      </c>
      <c r="P54" s="364">
        <f t="shared" si="5"/>
        <v>65000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الشهر'!$C$10:$AD$119,17,FALSE),0)</f>
        <v>0</v>
      </c>
      <c r="E55" s="362">
        <f>IFERROR(VLOOKUP(C55,'تقرير المصروفات حسب الشهر'!$C$135:$AD$244,17,FALSE),0)</f>
        <v>0</v>
      </c>
      <c r="F55" s="362">
        <v>0</v>
      </c>
      <c r="G55" s="362">
        <f>IFERROR(VLOOKUP(C55,'تقرير المصروفات حسب الشهر'!$C$387:$AD$495,17,FALSE),0)</f>
        <v>0</v>
      </c>
      <c r="H55" s="362">
        <f>IFERROR(VLOOKUP(C55,'تقرير المصروفات حسب الشهر'!$C$512:$AD$620,17,FALSE),0)</f>
        <v>0</v>
      </c>
      <c r="I55" s="362">
        <f>IFERROR(VLOOKUP(C55,'تقرير المصروفات حسب الشهر'!$C$637:$AD$746,17,FALSE),0)</f>
        <v>0</v>
      </c>
      <c r="J55" s="362">
        <f>IFERROR(VLOOKUP(C55,'تقرير المصروفات حسب الشهر'!$C$763:$AD$872,17,FALSE),0)</f>
        <v>0</v>
      </c>
      <c r="K55" s="362">
        <f>IFERROR(VLOOKUP(C55,'تقرير المصروفات حسب الشهر'!$C$890:$AD$999,17,FALSE),0)</f>
        <v>0</v>
      </c>
      <c r="L55" s="362">
        <f>IFERROR(VLOOKUP(C55,'تقرير المصروفات حسب الشهر'!$C$1016:$AD$1126,17,FALSE),0)</f>
        <v>0</v>
      </c>
      <c r="M55" s="376">
        <f>IFERROR(VLOOKUP(C55,'تقرير المصروفات حسب الشهر'!$C$1143:$AD$1254,17,FALSE),0)</f>
        <v>0</v>
      </c>
      <c r="N55" s="376">
        <f>IFERROR(VLOOKUP(C55,'تقرير المصروفات حسب الشهر'!$C$1270:$AD$1381,17,FALSE),0)</f>
        <v>0</v>
      </c>
      <c r="O55" s="376">
        <f>IFERROR(VLOOKUP(C55,'تقرير المصروفات حسب الشهر'!$C$1397:$AI$1512,17,FALSE),0)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الشهر'!$C$10:$AD$119,17,FALSE),0)</f>
        <v>0</v>
      </c>
      <c r="E56" s="362">
        <f>IFERROR(VLOOKUP(C56,'تقرير المصروفات حسب الشهر'!$C$135:$AD$244,17,FALSE),0)</f>
        <v>0</v>
      </c>
      <c r="F56" s="362">
        <v>0</v>
      </c>
      <c r="G56" s="362">
        <f>IFERROR(VLOOKUP(C56,'تقرير المصروفات حسب الشهر'!$C$387:$AD$495,17,FALSE),0)</f>
        <v>0</v>
      </c>
      <c r="H56" s="362">
        <f>IFERROR(VLOOKUP(C56,'تقرير المصروفات حسب الشهر'!$C$512:$AD$620,17,FALSE),0)</f>
        <v>0</v>
      </c>
      <c r="I56" s="362">
        <f>IFERROR(VLOOKUP(C56,'تقرير المصروفات حسب الشهر'!$C$637:$AD$746,17,FALSE),0)</f>
        <v>0</v>
      </c>
      <c r="J56" s="362">
        <f>IFERROR(VLOOKUP(C56,'تقرير المصروفات حسب الشهر'!$C$763:$AD$872,17,FALSE),0)</f>
        <v>0</v>
      </c>
      <c r="K56" s="362">
        <f>IFERROR(VLOOKUP(C56,'تقرير المصروفات حسب الشهر'!$C$890:$AD$999,17,FALSE),0)</f>
        <v>0</v>
      </c>
      <c r="L56" s="362">
        <f>IFERROR(VLOOKUP(C56,'تقرير المصروفات حسب الشهر'!$C$1016:$AD$1126,17,FALSE),0)</f>
        <v>0</v>
      </c>
      <c r="M56" s="376">
        <f>IFERROR(VLOOKUP(C56,'تقرير المصروفات حسب الشهر'!$C$1143:$AD$1254,17,FALSE),0)</f>
        <v>0</v>
      </c>
      <c r="N56" s="376">
        <f>IFERROR(VLOOKUP(C56,'تقرير المصروفات حسب الشهر'!$C$1270:$AD$1381,17,FALSE),0)</f>
        <v>0</v>
      </c>
      <c r="O56" s="376">
        <f>IFERROR(VLOOKUP(C56,'تقرير المصروفات حسب الشهر'!$C$1397:$AI$1512,17,FALSE),0)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الشهر'!$C$10:$AD$119,17,FALSE),0)</f>
        <v>0</v>
      </c>
      <c r="E57" s="362">
        <f>IFERROR(VLOOKUP(C57,'تقرير المصروفات حسب الشهر'!$C$135:$AD$244,17,FALSE),0)</f>
        <v>0</v>
      </c>
      <c r="F57" s="362">
        <v>0</v>
      </c>
      <c r="G57" s="362">
        <f>IFERROR(VLOOKUP(C57,'تقرير المصروفات حسب الشهر'!$C$387:$AD$495,17,FALSE),0)</f>
        <v>0</v>
      </c>
      <c r="H57" s="362">
        <f>IFERROR(VLOOKUP(C57,'تقرير المصروفات حسب الشهر'!$C$512:$AD$620,17,FALSE),0)</f>
        <v>0</v>
      </c>
      <c r="I57" s="362">
        <f>IFERROR(VLOOKUP(C57,'تقرير المصروفات حسب الشهر'!$C$637:$AD$746,17,FALSE),0)</f>
        <v>0</v>
      </c>
      <c r="J57" s="362">
        <f>IFERROR(VLOOKUP(C57,'تقرير المصروفات حسب الشهر'!$C$763:$AD$872,17,FALSE),0)</f>
        <v>0</v>
      </c>
      <c r="K57" s="362">
        <f>IFERROR(VLOOKUP(C57,'تقرير المصروفات حسب الشهر'!$C$890:$AD$999,17,FALSE),0)</f>
        <v>0</v>
      </c>
      <c r="L57" s="362">
        <f>IFERROR(VLOOKUP(C57,'تقرير المصروفات حسب الشهر'!$C$1016:$AD$1126,17,FALSE),0)</f>
        <v>0</v>
      </c>
      <c r="M57" s="376">
        <f>IFERROR(VLOOKUP(C57,'تقرير المصروفات حسب الشهر'!$C$1143:$AD$1254,17,FALSE),0)</f>
        <v>0</v>
      </c>
      <c r="N57" s="376">
        <f>IFERROR(VLOOKUP(C57,'تقرير المصروفات حسب الشهر'!$C$1270:$AD$1381,17,FALSE),0)</f>
        <v>0</v>
      </c>
      <c r="O57" s="376">
        <f>IFERROR(VLOOKUP(C57,'تقرير المصروفات حسب الشهر'!$C$1397:$AI$1512,17,FALSE),0)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الشهر'!$C$10:$AD$119,17,FALSE),0)</f>
        <v>0</v>
      </c>
      <c r="E58" s="362">
        <f>IFERROR(VLOOKUP(C58,'تقرير المصروفات حسب الشهر'!$C$135:$AD$244,17,FALSE),0)</f>
        <v>0</v>
      </c>
      <c r="F58" s="362">
        <v>0</v>
      </c>
      <c r="G58" s="362">
        <f>IFERROR(VLOOKUP(C58,'تقرير المصروفات حسب الشهر'!$C$387:$AD$495,17,FALSE),0)</f>
        <v>0</v>
      </c>
      <c r="H58" s="362">
        <f>IFERROR(VLOOKUP(C58,'تقرير المصروفات حسب الشهر'!$C$512:$AD$620,17,FALSE),0)</f>
        <v>0</v>
      </c>
      <c r="I58" s="362">
        <f>IFERROR(VLOOKUP(C58,'تقرير المصروفات حسب الشهر'!$C$637:$AD$746,17,FALSE),0)</f>
        <v>0</v>
      </c>
      <c r="J58" s="362">
        <f>IFERROR(VLOOKUP(C58,'تقرير المصروفات حسب الشهر'!$C$763:$AD$872,17,FALSE),0)</f>
        <v>0</v>
      </c>
      <c r="K58" s="362">
        <f>IFERROR(VLOOKUP(C58,'تقرير المصروفات حسب الشهر'!$C$890:$AD$999,17,FALSE),0)</f>
        <v>0</v>
      </c>
      <c r="L58" s="362">
        <f>IFERROR(VLOOKUP(C58,'تقرير المصروفات حسب الشهر'!$C$1016:$AD$1126,17,FALSE),0)</f>
        <v>0</v>
      </c>
      <c r="M58" s="376">
        <f>IFERROR(VLOOKUP(C58,'تقرير المصروفات حسب الشهر'!$C$1143:$AD$1254,17,FALSE),0)</f>
        <v>0</v>
      </c>
      <c r="N58" s="376">
        <f>IFERROR(VLOOKUP(C58,'تقرير المصروفات حسب الشهر'!$C$1270:$AD$1381,17,FALSE),0)</f>
        <v>0</v>
      </c>
      <c r="O58" s="376">
        <f>IFERROR(VLOOKUP(C58,'تقرير المصروفات حسب الشهر'!$C$1397:$AI$1512,17,FALSE),0)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الشهر'!$C$10:$AD$119,17,FALSE),0)</f>
        <v>0</v>
      </c>
      <c r="E59" s="362">
        <f>IFERROR(VLOOKUP(C59,'تقرير المصروفات حسب الشهر'!$C$135:$AD$244,17,FALSE),0)</f>
        <v>4325.25</v>
      </c>
      <c r="F59" s="362">
        <v>2225.2600000000002</v>
      </c>
      <c r="G59" s="362">
        <f>IFERROR(VLOOKUP(C59,'تقرير المصروفات حسب الشهر'!$C$387:$AD$495,17,FALSE),0)</f>
        <v>3225.25</v>
      </c>
      <c r="H59" s="362">
        <f>IFERROR(VLOOKUP(C59,'تقرير المصروفات حسب الشهر'!$C$512:$AD$620,17,FALSE),0)</f>
        <v>0</v>
      </c>
      <c r="I59" s="362">
        <f>IFERROR(VLOOKUP(C59,'تقرير المصروفات حسب الشهر'!$C$637:$AD$746,17,FALSE),0)</f>
        <v>2457.5</v>
      </c>
      <c r="J59" s="362">
        <f>IFERROR(VLOOKUP(C59,'تقرير المصروفات حسب الشهر'!$C$763:$AD$872,17,FALSE),0)</f>
        <v>3225.25</v>
      </c>
      <c r="K59" s="362">
        <f>IFERROR(VLOOKUP(C59,'تقرير المصروفات حسب الشهر'!$C$890:$AD$999,17,FALSE),0)</f>
        <v>0</v>
      </c>
      <c r="L59" s="362">
        <f>IFERROR(VLOOKUP(C59,'تقرير المصروفات حسب الشهر'!$C$1016:$AD$1126,17,FALSE),0)</f>
        <v>6900.25</v>
      </c>
      <c r="M59" s="376">
        <f>IFERROR(VLOOKUP(C59,'تقرير المصروفات حسب الشهر'!$C$1143:$AD$1254,17,FALSE),0)</f>
        <v>3222.25</v>
      </c>
      <c r="N59" s="376">
        <f>IFERROR(VLOOKUP(C59,'تقرير المصروفات حسب الشهر'!$C$1270:$AD$1381,17,FALSE),0)</f>
        <v>4500.25</v>
      </c>
      <c r="O59" s="376">
        <f>IFERROR(VLOOKUP(C59,'تقرير المصروفات حسب الشهر'!$C$1397:$AI$1512,17,FALSE),0)</f>
        <v>4800.25</v>
      </c>
      <c r="P59" s="364">
        <f t="shared" si="5"/>
        <v>34881.51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الشهر'!$C$10:$AD$119,17,FALSE),0)</f>
        <v>2600</v>
      </c>
      <c r="E60" s="362">
        <f>IFERROR(VLOOKUP(C60,'تقرير المصروفات حسب الشهر'!$C$135:$AD$244,17,FALSE),0)</f>
        <v>95</v>
      </c>
      <c r="F60" s="362">
        <v>9000</v>
      </c>
      <c r="G60" s="362">
        <f>IFERROR(VLOOKUP(C60,'تقرير المصروفات حسب الشهر'!$C$387:$AD$495,17,FALSE),0)</f>
        <v>1860</v>
      </c>
      <c r="H60" s="362">
        <f>IFERROR(VLOOKUP(C60,'تقرير المصروفات حسب الشهر'!$C$512:$AD$620,17,FALSE),0)</f>
        <v>0</v>
      </c>
      <c r="I60" s="362">
        <f>IFERROR(VLOOKUP(C60,'تقرير المصروفات حسب الشهر'!$C$637:$AD$746,17,FALSE),0)</f>
        <v>4700</v>
      </c>
      <c r="J60" s="362">
        <f>IFERROR(VLOOKUP(C60,'تقرير المصروفات حسب الشهر'!$C$763:$AD$872,17,FALSE),0)</f>
        <v>140</v>
      </c>
      <c r="K60" s="362">
        <f>IFERROR(VLOOKUP(C60,'تقرير المصروفات حسب الشهر'!$C$890:$AD$999,17,FALSE),0)</f>
        <v>6600</v>
      </c>
      <c r="L60" s="362">
        <f>IFERROR(VLOOKUP(C60,'تقرير المصروفات حسب الشهر'!$C$1016:$AD$1126,17,FALSE),0)</f>
        <v>0</v>
      </c>
      <c r="M60" s="376">
        <f>IFERROR(VLOOKUP(C60,'تقرير المصروفات حسب الشهر'!$C$1143:$AD$1254,17,FALSE),0)</f>
        <v>10560</v>
      </c>
      <c r="N60" s="376">
        <f>IFERROR(VLOOKUP(C60,'تقرير المصروفات حسب الشهر'!$C$1270:$AD$1381,17,FALSE),0)</f>
        <v>0</v>
      </c>
      <c r="O60" s="376">
        <f>IFERROR(VLOOKUP(C60,'تقرير المصروفات حسب الشهر'!$C$1397:$AI$1512,17,FALSE),0)</f>
        <v>11600</v>
      </c>
      <c r="P60" s="364">
        <f t="shared" si="5"/>
        <v>47155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الشهر'!$C$10:$AD$119,17,FALSE),0)</f>
        <v>0</v>
      </c>
      <c r="E61" s="362">
        <f>IFERROR(VLOOKUP(C61,'تقرير المصروفات حسب الشهر'!$C$135:$AD$244,17,FALSE),0)</f>
        <v>0</v>
      </c>
      <c r="F61" s="362">
        <v>200</v>
      </c>
      <c r="G61" s="362">
        <f>IFERROR(VLOOKUP(C61,'تقرير المصروفات حسب الشهر'!$C$387:$AD$495,17,FALSE),0)</f>
        <v>0</v>
      </c>
      <c r="H61" s="362">
        <f>IFERROR(VLOOKUP(C61,'تقرير المصروفات حسب الشهر'!$C$512:$AD$620,17,FALSE),0)</f>
        <v>0</v>
      </c>
      <c r="I61" s="362">
        <f>IFERROR(VLOOKUP(C61,'تقرير المصروفات حسب الشهر'!$C$637:$AD$746,17,FALSE),0)</f>
        <v>200</v>
      </c>
      <c r="J61" s="362">
        <f>IFERROR(VLOOKUP(C61,'تقرير المصروفات حسب الشهر'!$C$763:$AD$872,17,FALSE),0)</f>
        <v>0</v>
      </c>
      <c r="K61" s="362">
        <f>IFERROR(VLOOKUP(C61,'تقرير المصروفات حسب الشهر'!$C$890:$AD$999,17,FALSE),0)</f>
        <v>200</v>
      </c>
      <c r="L61" s="362">
        <f>IFERROR(VLOOKUP(C61,'تقرير المصروفات حسب الشهر'!$C$1016:$AD$1126,17,FALSE),0)</f>
        <v>350</v>
      </c>
      <c r="M61" s="376">
        <f>IFERROR(VLOOKUP(C61,'تقرير المصروفات حسب الشهر'!$C$1143:$AD$1254,17,FALSE),0)</f>
        <v>300</v>
      </c>
      <c r="N61" s="376">
        <f>IFERROR(VLOOKUP(C61,'تقرير المصروفات حسب الشهر'!$C$1270:$AD$1381,17,FALSE),0)</f>
        <v>0</v>
      </c>
      <c r="O61" s="376">
        <f>IFERROR(VLOOKUP(C61,'تقرير المصروفات حسب الشهر'!$C$1397:$AI$1512,17,FALSE),0)</f>
        <v>0</v>
      </c>
      <c r="P61" s="364">
        <f t="shared" si="5"/>
        <v>1250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الشهر'!$C$10:$AD$119,17,FALSE),0)</f>
        <v>0</v>
      </c>
      <c r="E62" s="362">
        <f>IFERROR(VLOOKUP(C62,'تقرير المصروفات حسب الشهر'!$C$135:$AD$244,17,FALSE),0)</f>
        <v>0</v>
      </c>
      <c r="F62" s="362">
        <v>3420</v>
      </c>
      <c r="G62" s="362">
        <f>IFERROR(VLOOKUP(C62,'تقرير المصروفات حسب الشهر'!$C$387:$AD$495,17,FALSE),0)</f>
        <v>0</v>
      </c>
      <c r="H62" s="362">
        <f>IFERROR(VLOOKUP(C62,'تقرير المصروفات حسب الشهر'!$C$512:$AD$620,17,FALSE),0)</f>
        <v>3110</v>
      </c>
      <c r="I62" s="362">
        <f>IFERROR(VLOOKUP(C62,'تقرير المصروفات حسب الشهر'!$C$637:$AD$746,17,FALSE),0)</f>
        <v>0</v>
      </c>
      <c r="J62" s="362">
        <f>IFERROR(VLOOKUP(C62,'تقرير المصروفات حسب الشهر'!$C$763:$AD$872,17,FALSE),0)</f>
        <v>0</v>
      </c>
      <c r="K62" s="362">
        <f>IFERROR(VLOOKUP(C62,'تقرير المصروفات حسب الشهر'!$C$890:$AD$999,17,FALSE),0)</f>
        <v>0</v>
      </c>
      <c r="L62" s="362">
        <f>IFERROR(VLOOKUP(C62,'تقرير المصروفات حسب الشهر'!$C$1016:$AD$1126,17,FALSE),0)</f>
        <v>3608</v>
      </c>
      <c r="M62" s="376">
        <f>IFERROR(VLOOKUP(C62,'تقرير المصروفات حسب الشهر'!$C$1143:$AD$1254,17,FALSE),0)</f>
        <v>0</v>
      </c>
      <c r="N62" s="376">
        <f>IFERROR(VLOOKUP(C62,'تقرير المصروفات حسب الشهر'!$C$1270:$AD$1381,17,FALSE),0)</f>
        <v>0</v>
      </c>
      <c r="O62" s="376">
        <f>IFERROR(VLOOKUP(C62,'تقرير المصروفات حسب الشهر'!$C$1397:$AI$1512,17,FALSE),0)</f>
        <v>0</v>
      </c>
      <c r="P62" s="364">
        <f t="shared" si="5"/>
        <v>10138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الشهر'!$C$10:$AD$119,17,FALSE),0)</f>
        <v>2000</v>
      </c>
      <c r="E63" s="362">
        <f>IFERROR(VLOOKUP(C63,'تقرير المصروفات حسب الشهر'!$C$135:$AD$244,17,FALSE),0)</f>
        <v>0</v>
      </c>
      <c r="F63" s="362">
        <v>0</v>
      </c>
      <c r="G63" s="362">
        <f>IFERROR(VLOOKUP(C63,'تقرير المصروفات حسب الشهر'!$C$387:$AD$495,17,FALSE),0)</f>
        <v>0</v>
      </c>
      <c r="H63" s="362">
        <f>IFERROR(VLOOKUP(C63,'تقرير المصروفات حسب الشهر'!$C$512:$AD$620,17,FALSE),0)</f>
        <v>0</v>
      </c>
      <c r="I63" s="362">
        <f>IFERROR(VLOOKUP(C63,'تقرير المصروفات حسب الشهر'!$C$637:$AD$746,17,FALSE),0)</f>
        <v>0</v>
      </c>
      <c r="J63" s="362">
        <f>IFERROR(VLOOKUP(C63,'تقرير المصروفات حسب الشهر'!$C$763:$AD$872,17,FALSE),0)</f>
        <v>400</v>
      </c>
      <c r="K63" s="362">
        <f>IFERROR(VLOOKUP(C63,'تقرير المصروفات حسب الشهر'!$C$890:$AD$999,17,FALSE),0)</f>
        <v>0</v>
      </c>
      <c r="L63" s="362">
        <f>IFERROR(VLOOKUP(C63,'تقرير المصروفات حسب الشهر'!$C$1016:$AD$1126,17,FALSE),0)</f>
        <v>0</v>
      </c>
      <c r="M63" s="376">
        <f>IFERROR(VLOOKUP(C63,'تقرير المصروفات حسب الشهر'!$C$1143:$AD$1254,17,FALSE),0)</f>
        <v>0</v>
      </c>
      <c r="N63" s="376">
        <f>IFERROR(VLOOKUP(C63,'تقرير المصروفات حسب الشهر'!$C$1270:$AD$1381,17,FALSE),0)</f>
        <v>0</v>
      </c>
      <c r="O63" s="376">
        <f>IFERROR(VLOOKUP(C63,'تقرير المصروفات حسب الشهر'!$C$1397:$AI$1512,17,FALSE),0)</f>
        <v>0</v>
      </c>
      <c r="P63" s="364">
        <f t="shared" si="5"/>
        <v>2400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الشهر'!$C$10:$AD$119,17,FALSE),0)</f>
        <v>0</v>
      </c>
      <c r="E64" s="362">
        <f>IFERROR(VLOOKUP(C64,'تقرير المصروفات حسب الشهر'!$C$135:$AD$244,17,FALSE),0)</f>
        <v>0</v>
      </c>
      <c r="F64" s="362">
        <v>9110</v>
      </c>
      <c r="G64" s="362">
        <f>IFERROR(VLOOKUP(C64,'تقرير المصروفات حسب الشهر'!$C$387:$AD$495,17,FALSE),0)</f>
        <v>1680</v>
      </c>
      <c r="H64" s="362">
        <f>IFERROR(VLOOKUP(C64,'تقرير المصروفات حسب الشهر'!$C$512:$AD$620,17,FALSE),0)</f>
        <v>0</v>
      </c>
      <c r="I64" s="362">
        <f>IFERROR(VLOOKUP(C64,'تقرير المصروفات حسب الشهر'!$C$637:$AD$746,17,FALSE),0)</f>
        <v>0</v>
      </c>
      <c r="J64" s="362">
        <f>IFERROR(VLOOKUP(C64,'تقرير المصروفات حسب الشهر'!$C$763:$AD$872,17,FALSE),0)</f>
        <v>0</v>
      </c>
      <c r="K64" s="362">
        <f>IFERROR(VLOOKUP(C64,'تقرير المصروفات حسب الشهر'!$C$890:$AD$999,17,FALSE),0)</f>
        <v>0</v>
      </c>
      <c r="L64" s="362">
        <f>IFERROR(VLOOKUP(C64,'تقرير المصروفات حسب الشهر'!$C$1016:$AD$1126,17,FALSE),0)</f>
        <v>0</v>
      </c>
      <c r="M64" s="376">
        <f>IFERROR(VLOOKUP(C64,'تقرير المصروفات حسب الشهر'!$C$1143:$AD$1254,17,FALSE),0)</f>
        <v>0</v>
      </c>
      <c r="N64" s="376">
        <f>IFERROR(VLOOKUP(C64,'تقرير المصروفات حسب الشهر'!$C$1270:$AD$1381,17,FALSE),0)</f>
        <v>0</v>
      </c>
      <c r="O64" s="376">
        <f>IFERROR(VLOOKUP(C64,'تقرير المصروفات حسب الشهر'!$C$1397:$AI$1512,17,FALSE),0)</f>
        <v>0</v>
      </c>
      <c r="P64" s="364">
        <f t="shared" si="5"/>
        <v>10790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الشهر'!$C$10:$AD$119,17,FALSE),0)</f>
        <v>0</v>
      </c>
      <c r="E65" s="362">
        <f>IFERROR(VLOOKUP(C65,'تقرير المصروفات حسب الشهر'!$C$135:$AD$244,17,FALSE),0)</f>
        <v>0</v>
      </c>
      <c r="F65" s="362">
        <v>0</v>
      </c>
      <c r="G65" s="362">
        <f>IFERROR(VLOOKUP(C65,'تقرير المصروفات حسب الشهر'!$C$387:$AD$495,17,FALSE),0)</f>
        <v>0</v>
      </c>
      <c r="H65" s="362">
        <f>IFERROR(VLOOKUP(C65,'تقرير المصروفات حسب الشهر'!$C$512:$AD$620,17,FALSE),0)</f>
        <v>0</v>
      </c>
      <c r="I65" s="362">
        <f>IFERROR(VLOOKUP(C65,'تقرير المصروفات حسب الشهر'!$C$637:$AD$746,17,FALSE),0)</f>
        <v>0</v>
      </c>
      <c r="J65" s="362">
        <f>IFERROR(VLOOKUP(C65,'تقرير المصروفات حسب الشهر'!$C$763:$AD$872,17,FALSE),0)</f>
        <v>0</v>
      </c>
      <c r="K65" s="362">
        <f>IFERROR(VLOOKUP(C65,'تقرير المصروفات حسب الشهر'!$C$890:$AD$999,17,FALSE),0)</f>
        <v>0</v>
      </c>
      <c r="L65" s="362">
        <f>IFERROR(VLOOKUP(C65,'تقرير المصروفات حسب الشهر'!$C$1016:$AD$1126,17,FALSE),0)</f>
        <v>0</v>
      </c>
      <c r="M65" s="376">
        <f>IFERROR(VLOOKUP(C65,'تقرير المصروفات حسب الشهر'!$C$1143:$AD$1254,17,FALSE),0)</f>
        <v>0</v>
      </c>
      <c r="N65" s="376">
        <f>IFERROR(VLOOKUP(C65,'تقرير المصروفات حسب الشهر'!$C$1270:$AD$1381,17,FALSE),0)</f>
        <v>0</v>
      </c>
      <c r="O65" s="376">
        <f>IFERROR(VLOOKUP(C65,'تقرير المصروفات حسب الشهر'!$C$1397:$AI$1512,17,FALSE),0)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الشهر'!$C$10:$AD$119,17,FALSE),0)</f>
        <v>0</v>
      </c>
      <c r="E66" s="362">
        <f>IFERROR(VLOOKUP(C66,'تقرير المصروفات حسب الشهر'!$C$135:$AD$244,17,FALSE),0)</f>
        <v>0</v>
      </c>
      <c r="F66" s="362">
        <v>0</v>
      </c>
      <c r="G66" s="362">
        <f>IFERROR(VLOOKUP(C66,'تقرير المصروفات حسب الشهر'!$C$387:$AD$495,17,FALSE),0)</f>
        <v>0</v>
      </c>
      <c r="H66" s="362">
        <f>IFERROR(VLOOKUP(C66,'تقرير المصروفات حسب الشهر'!$C$512:$AD$620,17,FALSE),0)</f>
        <v>0</v>
      </c>
      <c r="I66" s="362">
        <f>IFERROR(VLOOKUP(C66,'تقرير المصروفات حسب الشهر'!$C$637:$AD$746,17,FALSE),0)</f>
        <v>0</v>
      </c>
      <c r="J66" s="362">
        <f>IFERROR(VLOOKUP(C66,'تقرير المصروفات حسب الشهر'!$C$763:$AD$872,17,FALSE),0)</f>
        <v>0</v>
      </c>
      <c r="K66" s="362">
        <f>IFERROR(VLOOKUP(C66,'تقرير المصروفات حسب الشهر'!$C$890:$AD$999,17,FALSE),0)</f>
        <v>0</v>
      </c>
      <c r="L66" s="362">
        <f>IFERROR(VLOOKUP(C66,'تقرير المصروفات حسب الشهر'!$C$1016:$AD$1126,17,FALSE),0)</f>
        <v>0</v>
      </c>
      <c r="M66" s="376">
        <f>IFERROR(VLOOKUP(C66,'تقرير المصروفات حسب الشهر'!$C$1143:$AD$1254,17,FALSE),0)</f>
        <v>0</v>
      </c>
      <c r="N66" s="376">
        <f>IFERROR(VLOOKUP(C66,'تقرير المصروفات حسب الشهر'!$C$1270:$AD$1381,17,FALSE),0)</f>
        <v>0</v>
      </c>
      <c r="O66" s="376">
        <f>IFERROR(VLOOKUP(C66,'تقرير المصروفات حسب الشهر'!$C$1397:$AI$1512,17,FALSE),0)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الشهر'!$C$10:$AD$119,17,FALSE),0)</f>
        <v>0</v>
      </c>
      <c r="E67" s="362">
        <f>IFERROR(VLOOKUP(C67,'تقرير المصروفات حسب الشهر'!$C$135:$AD$244,17,FALSE),0)</f>
        <v>0</v>
      </c>
      <c r="F67" s="362">
        <v>0</v>
      </c>
      <c r="G67" s="362">
        <f>IFERROR(VLOOKUP(C67,'تقرير المصروفات حسب الشهر'!$C$387:$AD$495,17,FALSE),0)</f>
        <v>0</v>
      </c>
      <c r="H67" s="362">
        <f>IFERROR(VLOOKUP(C67,'تقرير المصروفات حسب الشهر'!$C$512:$AD$620,17,FALSE),0)</f>
        <v>0</v>
      </c>
      <c r="I67" s="362">
        <f>IFERROR(VLOOKUP(C67,'تقرير المصروفات حسب الشهر'!$C$637:$AD$746,17,FALSE),0)</f>
        <v>0</v>
      </c>
      <c r="J67" s="362">
        <f>IFERROR(VLOOKUP(C67,'تقرير المصروفات حسب الشهر'!$C$763:$AD$872,17,FALSE),0)</f>
        <v>0</v>
      </c>
      <c r="K67" s="362">
        <f>IFERROR(VLOOKUP(C67,'تقرير المصروفات حسب الشهر'!$C$890:$AD$999,17,FALSE),0)</f>
        <v>0</v>
      </c>
      <c r="L67" s="362">
        <f>IFERROR(VLOOKUP(C67,'تقرير المصروفات حسب الشهر'!$C$1016:$AD$1126,17,FALSE),0)</f>
        <v>0</v>
      </c>
      <c r="M67" s="376">
        <f>IFERROR(VLOOKUP(C67,'تقرير المصروفات حسب الشهر'!$C$1143:$AD$1254,17,FALSE),0)</f>
        <v>0</v>
      </c>
      <c r="N67" s="376">
        <f>IFERROR(VLOOKUP(C67,'تقرير المصروفات حسب الشهر'!$C$1270:$AD$1381,17,FALSE),0)</f>
        <v>0</v>
      </c>
      <c r="O67" s="376">
        <f>IFERROR(VLOOKUP(C67,'تقرير المصروفات حسب الشهر'!$C$1397:$AI$1512,17,FALSE),0)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الشهر'!$C$10:$AD$119,17,FALSE),0)</f>
        <v>0</v>
      </c>
      <c r="E68" s="362">
        <f>IFERROR(VLOOKUP(C68,'تقرير المصروفات حسب الشهر'!$C$135:$AD$244,17,FALSE),0)</f>
        <v>0</v>
      </c>
      <c r="F68" s="362">
        <v>0</v>
      </c>
      <c r="G68" s="362">
        <f>IFERROR(VLOOKUP(C68,'تقرير المصروفات حسب الشهر'!$C$387:$AD$495,17,FALSE),0)</f>
        <v>0</v>
      </c>
      <c r="H68" s="362">
        <f>IFERROR(VLOOKUP(C68,'تقرير المصروفات حسب الشهر'!$C$512:$AD$620,17,FALSE),0)</f>
        <v>0</v>
      </c>
      <c r="I68" s="362">
        <f>IFERROR(VLOOKUP(C68,'تقرير المصروفات حسب الشهر'!$C$637:$AD$746,17,FALSE),0)</f>
        <v>0</v>
      </c>
      <c r="J68" s="362">
        <f>IFERROR(VLOOKUP(C68,'تقرير المصروفات حسب الشهر'!$C$763:$AD$872,17,FALSE),0)</f>
        <v>0</v>
      </c>
      <c r="K68" s="362">
        <f>IFERROR(VLOOKUP(C68,'تقرير المصروفات حسب الشهر'!$C$890:$AD$999,17,FALSE),0)</f>
        <v>0</v>
      </c>
      <c r="L68" s="362">
        <f>IFERROR(VLOOKUP(C68,'تقرير المصروفات حسب الشهر'!$C$1016:$AD$1126,17,FALSE),0)</f>
        <v>0</v>
      </c>
      <c r="M68" s="376">
        <f>IFERROR(VLOOKUP(C68,'تقرير المصروفات حسب الشهر'!$C$1143:$AD$1254,17,FALSE),0)</f>
        <v>0</v>
      </c>
      <c r="N68" s="376">
        <f>IFERROR(VLOOKUP(C68,'تقرير المصروفات حسب الشهر'!$C$1270:$AD$1381,17,FALSE),0)</f>
        <v>0</v>
      </c>
      <c r="O68" s="376">
        <f>IFERROR(VLOOKUP(C68,'تقرير المصروفات حسب الشهر'!$C$1397:$AI$1512,17,FALSE),0)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الشهر'!$C$10:$AD$119,17,FALSE),0)</f>
        <v>0</v>
      </c>
      <c r="E69" s="362">
        <f>IFERROR(VLOOKUP(C69,'تقرير المصروفات حسب الشهر'!$C$135:$AD$244,17,FALSE),0)</f>
        <v>0</v>
      </c>
      <c r="F69" s="362">
        <v>0</v>
      </c>
      <c r="G69" s="362">
        <f>IFERROR(VLOOKUP(C69,'تقرير المصروفات حسب الشهر'!$C$387:$AD$495,17,FALSE),0)</f>
        <v>0</v>
      </c>
      <c r="H69" s="362">
        <f>IFERROR(VLOOKUP(C69,'تقرير المصروفات حسب الشهر'!$C$512:$AD$620,17,FALSE),0)</f>
        <v>0</v>
      </c>
      <c r="I69" s="362">
        <f>IFERROR(VLOOKUP(C69,'تقرير المصروفات حسب الشهر'!$C$637:$AD$746,17,FALSE),0)</f>
        <v>0</v>
      </c>
      <c r="J69" s="362">
        <f>IFERROR(VLOOKUP(C69,'تقرير المصروفات حسب الشهر'!$C$763:$AD$872,17,FALSE),0)</f>
        <v>0</v>
      </c>
      <c r="K69" s="362">
        <f>IFERROR(VLOOKUP(C69,'تقرير المصروفات حسب الشهر'!$C$890:$AD$999,17,FALSE),0)</f>
        <v>0</v>
      </c>
      <c r="L69" s="362">
        <f>IFERROR(VLOOKUP(C69,'تقرير المصروفات حسب الشهر'!$C$1016:$AD$1126,17,FALSE),0)</f>
        <v>0</v>
      </c>
      <c r="M69" s="376">
        <f>IFERROR(VLOOKUP(C69,'تقرير المصروفات حسب الشهر'!$C$1143:$AD$1254,17,FALSE),0)</f>
        <v>0</v>
      </c>
      <c r="N69" s="376">
        <f>IFERROR(VLOOKUP(C69,'تقرير المصروفات حسب الشهر'!$C$1270:$AD$1381,17,FALSE),0)</f>
        <v>0</v>
      </c>
      <c r="O69" s="376">
        <f>IFERROR(VLOOKUP(C69,'تقرير المصروفات حسب الشهر'!$C$1397:$AI$1512,17,FALSE),0)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الشهر'!$C$10:$AD$119,17,FALSE),0)</f>
        <v>0</v>
      </c>
      <c r="E70" s="362">
        <f>IFERROR(VLOOKUP(C70,'تقرير المصروفات حسب الشهر'!$C$135:$AD$244,17,FALSE),0)</f>
        <v>0</v>
      </c>
      <c r="F70" s="362">
        <v>0</v>
      </c>
      <c r="G70" s="362">
        <f>IFERROR(VLOOKUP(C70,'تقرير المصروفات حسب الشهر'!$C$387:$AD$495,17,FALSE),0)</f>
        <v>0</v>
      </c>
      <c r="H70" s="362">
        <f>IFERROR(VLOOKUP(C70,'تقرير المصروفات حسب الشهر'!$C$512:$AD$620,17,FALSE),0)</f>
        <v>0</v>
      </c>
      <c r="I70" s="362">
        <f>IFERROR(VLOOKUP(C70,'تقرير المصروفات حسب الشهر'!$C$637:$AD$746,17,FALSE),0)</f>
        <v>0</v>
      </c>
      <c r="J70" s="362">
        <f>IFERROR(VLOOKUP(C70,'تقرير المصروفات حسب الشهر'!$C$763:$AD$872,17,FALSE),0)</f>
        <v>0</v>
      </c>
      <c r="K70" s="362">
        <f>IFERROR(VLOOKUP(C70,'تقرير المصروفات حسب الشهر'!$C$890:$AD$999,17,FALSE),0)</f>
        <v>0</v>
      </c>
      <c r="L70" s="362">
        <f>IFERROR(VLOOKUP(C70,'تقرير المصروفات حسب الشهر'!$C$1016:$AD$1126,17,FALSE),0)</f>
        <v>0</v>
      </c>
      <c r="M70" s="376">
        <f>IFERROR(VLOOKUP(C70,'تقرير المصروفات حسب الشهر'!$C$1143:$AD$1254,17,FALSE),0)</f>
        <v>0</v>
      </c>
      <c r="N70" s="376">
        <f>IFERROR(VLOOKUP(C70,'تقرير المصروفات حسب الشهر'!$C$1270:$AD$1381,17,FALSE),0)</f>
        <v>0</v>
      </c>
      <c r="O70" s="376">
        <f>IFERROR(VLOOKUP(C70,'تقرير المصروفات حسب الشهر'!$C$1397:$AI$1512,17,FALSE),0)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الشهر'!$C$10:$AD$119,17,FALSE),0)</f>
        <v>0</v>
      </c>
      <c r="E71" s="362">
        <f>IFERROR(VLOOKUP(C71,'تقرير المصروفات حسب الشهر'!$C$135:$AD$244,17,FALSE),0)</f>
        <v>0</v>
      </c>
      <c r="F71" s="362">
        <v>0</v>
      </c>
      <c r="G71" s="362">
        <f>IFERROR(VLOOKUP(C71,'تقرير المصروفات حسب الشهر'!$C$387:$AD$495,17,FALSE),0)</f>
        <v>0</v>
      </c>
      <c r="H71" s="362">
        <f>IFERROR(VLOOKUP(C71,'تقرير المصروفات حسب الشهر'!$C$512:$AD$620,17,FALSE),0)</f>
        <v>0</v>
      </c>
      <c r="I71" s="362">
        <f>IFERROR(VLOOKUP(C71,'تقرير المصروفات حسب الشهر'!$C$637:$AD$746,17,FALSE),0)</f>
        <v>0</v>
      </c>
      <c r="J71" s="362">
        <f>IFERROR(VLOOKUP(C71,'تقرير المصروفات حسب الشهر'!$C$763:$AD$872,17,FALSE),0)</f>
        <v>0</v>
      </c>
      <c r="K71" s="362">
        <f>IFERROR(VLOOKUP(C71,'تقرير المصروفات حسب الشهر'!$C$890:$AD$999,17,FALSE),0)</f>
        <v>0</v>
      </c>
      <c r="L71" s="362">
        <f>IFERROR(VLOOKUP(C71,'تقرير المصروفات حسب الشهر'!$C$1016:$AD$1126,17,FALSE),0)</f>
        <v>0</v>
      </c>
      <c r="M71" s="376">
        <f>IFERROR(VLOOKUP(C71,'تقرير المصروفات حسب الشهر'!$C$1143:$AD$1254,17,FALSE),0)</f>
        <v>0</v>
      </c>
      <c r="N71" s="376">
        <f>IFERROR(VLOOKUP(C71,'تقرير المصروفات حسب الشهر'!$C$1270:$AD$1381,17,FALSE),0)</f>
        <v>0</v>
      </c>
      <c r="O71" s="376">
        <f>IFERROR(VLOOKUP(C71,'تقرير المصروفات حسب الشهر'!$C$1397:$AI$1512,17,FALSE),0)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الشهر'!$C$10:$AD$119,17,FALSE),0)</f>
        <v>0</v>
      </c>
      <c r="E72" s="362">
        <f>IFERROR(VLOOKUP(C72,'تقرير المصروفات حسب الشهر'!$C$135:$AD$244,17,FALSE),0)</f>
        <v>0</v>
      </c>
      <c r="F72" s="362">
        <v>0</v>
      </c>
      <c r="G72" s="362">
        <f>IFERROR(VLOOKUP(C72,'تقرير المصروفات حسب الشهر'!$C$387:$AD$495,17,FALSE),0)</f>
        <v>0</v>
      </c>
      <c r="H72" s="362">
        <f>IFERROR(VLOOKUP(C72,'تقرير المصروفات حسب الشهر'!$C$512:$AD$620,17,FALSE),0)</f>
        <v>0</v>
      </c>
      <c r="I72" s="362">
        <f>IFERROR(VLOOKUP(C72,'تقرير المصروفات حسب الشهر'!$C$637:$AD$746,17,FALSE),0)</f>
        <v>0</v>
      </c>
      <c r="J72" s="362">
        <f>IFERROR(VLOOKUP(C72,'تقرير المصروفات حسب الشهر'!$C$763:$AD$872,17,FALSE),0)</f>
        <v>0</v>
      </c>
      <c r="K72" s="362">
        <f>IFERROR(VLOOKUP(C72,'تقرير المصروفات حسب الشهر'!$C$890:$AD$999,17,FALSE),0)</f>
        <v>0</v>
      </c>
      <c r="L72" s="362">
        <f>IFERROR(VLOOKUP(C72,'تقرير المصروفات حسب الشهر'!$C$1016:$AD$1126,17,FALSE),0)</f>
        <v>0</v>
      </c>
      <c r="M72" s="376">
        <f>IFERROR(VLOOKUP(C72,'تقرير المصروفات حسب الشهر'!$C$1143:$AD$1254,17,FALSE),0)</f>
        <v>0</v>
      </c>
      <c r="N72" s="376">
        <f>IFERROR(VLOOKUP(C72,'تقرير المصروفات حسب الشهر'!$C$1270:$AD$1381,17,FALSE),0)</f>
        <v>0</v>
      </c>
      <c r="O72" s="376">
        <f>IFERROR(VLOOKUP(C72,'تقرير المصروفات حسب الشهر'!$C$1397:$AI$1512,17,FALSE),0)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الشهر'!$C$10:$AD$119,17,FALSE),0)</f>
        <v>0</v>
      </c>
      <c r="E73" s="362">
        <f>IFERROR(VLOOKUP(C73,'تقرير المصروفات حسب الشهر'!$C$135:$AD$244,17,FALSE),0)</f>
        <v>0</v>
      </c>
      <c r="F73" s="362">
        <v>0</v>
      </c>
      <c r="G73" s="362">
        <f>IFERROR(VLOOKUP(C73,'تقرير المصروفات حسب الشهر'!$C$387:$AD$495,17,FALSE),0)</f>
        <v>0</v>
      </c>
      <c r="H73" s="362">
        <f>IFERROR(VLOOKUP(C73,'تقرير المصروفات حسب الشهر'!$C$512:$AD$620,17,FALSE),0)</f>
        <v>0</v>
      </c>
      <c r="I73" s="362">
        <f>IFERROR(VLOOKUP(C73,'تقرير المصروفات حسب الشهر'!$C$637:$AD$746,17,FALSE),0)</f>
        <v>0</v>
      </c>
      <c r="J73" s="362">
        <f>IFERROR(VLOOKUP(C73,'تقرير المصروفات حسب الشهر'!$C$763:$AD$872,17,FALSE),0)</f>
        <v>0</v>
      </c>
      <c r="K73" s="362">
        <f>IFERROR(VLOOKUP(C73,'تقرير المصروفات حسب الشهر'!$C$890:$AD$999,17,FALSE),0)</f>
        <v>0</v>
      </c>
      <c r="L73" s="362">
        <f>IFERROR(VLOOKUP(C73,'تقرير المصروفات حسب الشهر'!$C$1016:$AD$1126,17,FALSE),0)</f>
        <v>0</v>
      </c>
      <c r="M73" s="376">
        <f>IFERROR(VLOOKUP(C73,'تقرير المصروفات حسب الشهر'!$C$1143:$AD$1254,17,FALSE),0)</f>
        <v>0</v>
      </c>
      <c r="N73" s="376">
        <f>IFERROR(VLOOKUP(C73,'تقرير المصروفات حسب الشهر'!$C$1270:$AD$1381,17,FALSE),0)</f>
        <v>0</v>
      </c>
      <c r="O73" s="376">
        <f>IFERROR(VLOOKUP(C73,'تقرير المصروفات حسب الشهر'!$C$1397:$AI$1512,17,FALSE),0)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الشهر'!$C$10:$AD$119,17,FALSE),0)</f>
        <v>0</v>
      </c>
      <c r="E74" s="362">
        <f>IFERROR(VLOOKUP(C74,'تقرير المصروفات حسب الشهر'!$C$135:$AD$244,17,FALSE),0)</f>
        <v>0</v>
      </c>
      <c r="F74" s="362">
        <v>0</v>
      </c>
      <c r="G74" s="362">
        <f>IFERROR(VLOOKUP(C74,'تقرير المصروفات حسب الشهر'!$C$387:$AD$495,17,FALSE),0)</f>
        <v>0</v>
      </c>
      <c r="H74" s="362">
        <f>IFERROR(VLOOKUP(C74,'تقرير المصروفات حسب الشهر'!$C$512:$AD$620,17,FALSE),0)</f>
        <v>0</v>
      </c>
      <c r="I74" s="362">
        <f>IFERROR(VLOOKUP(C74,'تقرير المصروفات حسب الشهر'!$C$637:$AD$746,17,FALSE),0)</f>
        <v>0</v>
      </c>
      <c r="J74" s="362">
        <f>IFERROR(VLOOKUP(C74,'تقرير المصروفات حسب الشهر'!$C$763:$AD$872,17,FALSE),0)</f>
        <v>0</v>
      </c>
      <c r="K74" s="362">
        <f>IFERROR(VLOOKUP(C74,'تقرير المصروفات حسب الشهر'!$C$890:$AD$999,17,FALSE),0)</f>
        <v>0</v>
      </c>
      <c r="L74" s="362">
        <f>IFERROR(VLOOKUP(C74,'تقرير المصروفات حسب الشهر'!$C$1016:$AD$1126,17,FALSE),0)</f>
        <v>0</v>
      </c>
      <c r="M74" s="376">
        <f>IFERROR(VLOOKUP(C74,'تقرير المصروفات حسب الشهر'!$C$1143:$AD$1254,17,FALSE),0)</f>
        <v>0</v>
      </c>
      <c r="N74" s="376">
        <f>IFERROR(VLOOKUP(C74,'تقرير المصروفات حسب الشهر'!$C$1270:$AD$1381,17,FALSE),0)</f>
        <v>0</v>
      </c>
      <c r="O74" s="376">
        <f>IFERROR(VLOOKUP(C74,'تقرير المصروفات حسب الشهر'!$C$1397:$AI$1512,17,FALSE),0)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الشهر'!$C$10:$AD$119,17,FALSE),0)</f>
        <v>0</v>
      </c>
      <c r="E75" s="362">
        <f>IFERROR(VLOOKUP(C75,'تقرير المصروفات حسب الشهر'!$C$135:$AD$244,17,FALSE),0)</f>
        <v>0</v>
      </c>
      <c r="F75" s="362">
        <v>0</v>
      </c>
      <c r="G75" s="362">
        <f>IFERROR(VLOOKUP(C75,'تقرير المصروفات حسب الشهر'!$C$387:$AD$495,17,FALSE),0)</f>
        <v>0</v>
      </c>
      <c r="H75" s="362">
        <f>IFERROR(VLOOKUP(C75,'تقرير المصروفات حسب الشهر'!$C$512:$AD$620,17,FALSE),0)</f>
        <v>0</v>
      </c>
      <c r="I75" s="362">
        <f>IFERROR(VLOOKUP(C75,'تقرير المصروفات حسب الشهر'!$C$637:$AD$746,17,FALSE),0)</f>
        <v>0</v>
      </c>
      <c r="J75" s="362">
        <f>IFERROR(VLOOKUP(C75,'تقرير المصروفات حسب الشهر'!$C$763:$AD$872,17,FALSE),0)</f>
        <v>0</v>
      </c>
      <c r="K75" s="362">
        <f>IFERROR(VLOOKUP(C75,'تقرير المصروفات حسب الشهر'!$C$890:$AD$999,17,FALSE),0)</f>
        <v>0</v>
      </c>
      <c r="L75" s="362">
        <f>IFERROR(VLOOKUP(C75,'تقرير المصروفات حسب الشهر'!$C$1016:$AD$1126,17,FALSE),0)</f>
        <v>0</v>
      </c>
      <c r="M75" s="376">
        <f>IFERROR(VLOOKUP(C75,'تقرير المصروفات حسب الشهر'!$C$1143:$AD$1254,17,FALSE),0)</f>
        <v>0</v>
      </c>
      <c r="N75" s="376">
        <f>IFERROR(VLOOKUP(C75,'تقرير المصروفات حسب الشهر'!$C$1270:$AD$1381,17,FALSE),0)</f>
        <v>0</v>
      </c>
      <c r="O75" s="376">
        <f>IFERROR(VLOOKUP(C75,'تقرير المصروفات حسب الشهر'!$C$1397:$AI$1512,17,FALSE),0)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الشهر'!$C$10:$AD$119,17,FALSE),0)</f>
        <v>0</v>
      </c>
      <c r="E76" s="362">
        <f>IFERROR(VLOOKUP(C76,'تقرير المصروفات حسب الشهر'!$C$135:$AD$244,17,FALSE),0)</f>
        <v>0</v>
      </c>
      <c r="F76" s="362">
        <v>0</v>
      </c>
      <c r="G76" s="362">
        <f>IFERROR(VLOOKUP(C76,'تقرير المصروفات حسب الشهر'!$C$387:$AD$495,17,FALSE),0)</f>
        <v>0</v>
      </c>
      <c r="H76" s="362">
        <f>IFERROR(VLOOKUP(C76,'تقرير المصروفات حسب الشهر'!$C$512:$AD$620,17,FALSE),0)</f>
        <v>0</v>
      </c>
      <c r="I76" s="362">
        <f>IFERROR(VLOOKUP(C76,'تقرير المصروفات حسب الشهر'!$C$637:$AD$746,17,FALSE),0)</f>
        <v>0</v>
      </c>
      <c r="J76" s="362">
        <f>IFERROR(VLOOKUP(C76,'تقرير المصروفات حسب الشهر'!$C$763:$AD$872,17,FALSE),0)</f>
        <v>0</v>
      </c>
      <c r="K76" s="362">
        <f>IFERROR(VLOOKUP(C76,'تقرير المصروفات حسب الشهر'!$C$890:$AD$999,17,FALSE),0)</f>
        <v>0</v>
      </c>
      <c r="L76" s="362">
        <f>IFERROR(VLOOKUP(C76,'تقرير المصروفات حسب الشهر'!$C$1016:$AD$1126,17,FALSE),0)</f>
        <v>0</v>
      </c>
      <c r="M76" s="376">
        <f>IFERROR(VLOOKUP(C76,'تقرير المصروفات حسب الشهر'!$C$1143:$AD$1254,17,FALSE),0)</f>
        <v>0</v>
      </c>
      <c r="N76" s="376">
        <f>IFERROR(VLOOKUP(C76,'تقرير المصروفات حسب الشهر'!$C$1270:$AD$1381,17,FALSE),0)</f>
        <v>0</v>
      </c>
      <c r="O76" s="376">
        <f>IFERROR(VLOOKUP(C76,'تقرير المصروفات حسب الشهر'!$C$1397:$AI$1512,17,FALSE),0)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الشهر'!$C$10:$AD$119,17,FALSE),0)</f>
        <v>0</v>
      </c>
      <c r="E77" s="362">
        <f>IFERROR(VLOOKUP(C77,'تقرير المصروفات حسب الشهر'!$C$135:$AD$244,17,FALSE),0)</f>
        <v>0</v>
      </c>
      <c r="F77" s="362">
        <v>0</v>
      </c>
      <c r="G77" s="362">
        <f>IFERROR(VLOOKUP(C77,'تقرير المصروفات حسب الشهر'!$C$387:$AD$495,17,FALSE),0)</f>
        <v>0</v>
      </c>
      <c r="H77" s="362">
        <f>IFERROR(VLOOKUP(C77,'تقرير المصروفات حسب الشهر'!$C$512:$AD$620,17,FALSE),0)</f>
        <v>0</v>
      </c>
      <c r="I77" s="362">
        <f>IFERROR(VLOOKUP(C77,'تقرير المصروفات حسب الشهر'!$C$637:$AD$746,17,FALSE),0)</f>
        <v>0</v>
      </c>
      <c r="J77" s="362">
        <f>IFERROR(VLOOKUP(C77,'تقرير المصروفات حسب الشهر'!$C$763:$AD$872,17,FALSE),0)</f>
        <v>0</v>
      </c>
      <c r="K77" s="362">
        <f>IFERROR(VLOOKUP(C77,'تقرير المصروفات حسب الشهر'!$C$890:$AD$999,17,FALSE),0)</f>
        <v>0</v>
      </c>
      <c r="L77" s="362">
        <f>IFERROR(VLOOKUP(C77,'تقرير المصروفات حسب الشهر'!$C$1016:$AD$1126,17,FALSE),0)</f>
        <v>0</v>
      </c>
      <c r="M77" s="376">
        <f>IFERROR(VLOOKUP(C77,'تقرير المصروفات حسب الشهر'!$C$1143:$AD$1254,17,FALSE),0)</f>
        <v>0</v>
      </c>
      <c r="N77" s="376">
        <f>IFERROR(VLOOKUP(C77,'تقرير المصروفات حسب الشهر'!$C$1270:$AD$1381,17,FALSE),0)</f>
        <v>0</v>
      </c>
      <c r="O77" s="376">
        <f>IFERROR(VLOOKUP(C77,'تقرير المصروفات حسب الشهر'!$C$1397:$AI$1512,17,FALSE),0)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الشهر'!$C$10:$AD$119,17,FALSE),0)</f>
        <v>0</v>
      </c>
      <c r="E78" s="362">
        <f>IFERROR(VLOOKUP(C78,'تقرير المصروفات حسب الشهر'!$C$135:$AD$244,17,FALSE),0)</f>
        <v>0</v>
      </c>
      <c r="F78" s="362">
        <v>0</v>
      </c>
      <c r="G78" s="362">
        <f>IFERROR(VLOOKUP(C78,'تقرير المصروفات حسب الشهر'!$C$387:$AD$495,17,FALSE),0)</f>
        <v>0</v>
      </c>
      <c r="H78" s="362">
        <f>IFERROR(VLOOKUP(C78,'تقرير المصروفات حسب الشهر'!$C$512:$AD$620,17,FALSE),0)</f>
        <v>0</v>
      </c>
      <c r="I78" s="362">
        <f>IFERROR(VLOOKUP(C78,'تقرير المصروفات حسب الشهر'!$C$637:$AD$746,17,FALSE),0)</f>
        <v>0</v>
      </c>
      <c r="J78" s="362">
        <f>IFERROR(VLOOKUP(C78,'تقرير المصروفات حسب الشهر'!$C$763:$AD$872,17,FALSE),0)</f>
        <v>0</v>
      </c>
      <c r="K78" s="362">
        <f>IFERROR(VLOOKUP(C78,'تقرير المصروفات حسب الشهر'!$C$890:$AD$999,17,FALSE),0)</f>
        <v>0</v>
      </c>
      <c r="L78" s="362">
        <f>IFERROR(VLOOKUP(C78,'تقرير المصروفات حسب الشهر'!$C$1016:$AD$1126,17,FALSE),0)</f>
        <v>0</v>
      </c>
      <c r="M78" s="376">
        <f>IFERROR(VLOOKUP(C78,'تقرير المصروفات حسب الشهر'!$C$1143:$AD$1254,17,FALSE),0)</f>
        <v>0</v>
      </c>
      <c r="N78" s="376">
        <f>IFERROR(VLOOKUP(C78,'تقرير المصروفات حسب الشهر'!$C$1270:$AD$1381,17,FALSE),0)</f>
        <v>0</v>
      </c>
      <c r="O78" s="376">
        <f>IFERROR(VLOOKUP(C78,'تقرير المصروفات حسب الشهر'!$C$1397:$AI$1512,17,FALSE),0)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الشهر'!$C$10:$AD$119,17,FALSE),0)</f>
        <v>0</v>
      </c>
      <c r="E79" s="362">
        <f>IFERROR(VLOOKUP(C79,'تقرير المصروفات حسب الشهر'!$C$135:$AD$244,17,FALSE),0)</f>
        <v>0</v>
      </c>
      <c r="F79" s="362">
        <v>0</v>
      </c>
      <c r="G79" s="362">
        <f>IFERROR(VLOOKUP(C79,'تقرير المصروفات حسب الشهر'!$C$387:$AD$495,17,FALSE),0)</f>
        <v>0</v>
      </c>
      <c r="H79" s="362">
        <f>IFERROR(VLOOKUP(C79,'تقرير المصروفات حسب الشهر'!$C$512:$AD$620,17,FALSE),0)</f>
        <v>0</v>
      </c>
      <c r="I79" s="362">
        <f>IFERROR(VLOOKUP(C79,'تقرير المصروفات حسب الشهر'!$C$637:$AD$746,17,FALSE),0)</f>
        <v>0</v>
      </c>
      <c r="J79" s="362">
        <f>IFERROR(VLOOKUP(C79,'تقرير المصروفات حسب الشهر'!$C$763:$AD$872,17,FALSE),0)</f>
        <v>0</v>
      </c>
      <c r="K79" s="362">
        <f>IFERROR(VLOOKUP(C79,'تقرير المصروفات حسب الشهر'!$C$890:$AD$999,17,FALSE),0)</f>
        <v>0</v>
      </c>
      <c r="L79" s="362">
        <f>IFERROR(VLOOKUP(C79,'تقرير المصروفات حسب الشهر'!$C$1016:$AD$1126,17,FALSE),0)</f>
        <v>0</v>
      </c>
      <c r="M79" s="376">
        <f>IFERROR(VLOOKUP(C79,'تقرير المصروفات حسب الشهر'!$C$1143:$AD$1254,17,FALSE),0)</f>
        <v>0</v>
      </c>
      <c r="N79" s="376">
        <f>IFERROR(VLOOKUP(C79,'تقرير المصروفات حسب الشهر'!$C$1270:$AD$1381,17,FALSE),0)</f>
        <v>0</v>
      </c>
      <c r="O79" s="376">
        <f>IFERROR(VLOOKUP(C79,'تقرير المصروفات حسب الشهر'!$C$1397:$AI$1512,17,FALSE),0)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الشهر'!$C$10:$AD$119,17,FALSE),0)</f>
        <v>0</v>
      </c>
      <c r="E80" s="362">
        <f>IFERROR(VLOOKUP(C80,'تقرير المصروفات حسب الشهر'!$C$135:$AD$244,17,FALSE),0)</f>
        <v>0</v>
      </c>
      <c r="F80" s="362">
        <v>0</v>
      </c>
      <c r="G80" s="362">
        <f>IFERROR(VLOOKUP(C80,'تقرير المصروفات حسب الشهر'!$C$387:$AD$495,17,FALSE),0)</f>
        <v>0</v>
      </c>
      <c r="H80" s="362">
        <f>IFERROR(VLOOKUP(C80,'تقرير المصروفات حسب الشهر'!$C$512:$AD$620,17,FALSE),0)</f>
        <v>0</v>
      </c>
      <c r="I80" s="362">
        <f>IFERROR(VLOOKUP(C80,'تقرير المصروفات حسب الشهر'!$C$637:$AD$746,17,FALSE),0)</f>
        <v>0</v>
      </c>
      <c r="J80" s="362">
        <f>IFERROR(VLOOKUP(C80,'تقرير المصروفات حسب الشهر'!$C$763:$AD$872,17,FALSE),0)</f>
        <v>0</v>
      </c>
      <c r="K80" s="362">
        <f>IFERROR(VLOOKUP(C80,'تقرير المصروفات حسب الشهر'!$C$890:$AD$999,17,FALSE),0)</f>
        <v>0</v>
      </c>
      <c r="L80" s="362">
        <f>IFERROR(VLOOKUP(C80,'تقرير المصروفات حسب الشهر'!$C$1016:$AD$1126,17,FALSE),0)</f>
        <v>0</v>
      </c>
      <c r="M80" s="376">
        <f>IFERROR(VLOOKUP(C80,'تقرير المصروفات حسب الشهر'!$C$1143:$AD$1254,17,FALSE),0)</f>
        <v>0</v>
      </c>
      <c r="N80" s="376">
        <f>IFERROR(VLOOKUP(C80,'تقرير المصروفات حسب الشهر'!$C$1270:$AD$1381,17,FALSE),0)</f>
        <v>0</v>
      </c>
      <c r="O80" s="376">
        <f>IFERROR(VLOOKUP(C80,'تقرير المصروفات حسب الشهر'!$C$1397:$AI$1512,17,FALSE),0)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الشهر'!$C$10:$AD$119,17,FALSE),0)</f>
        <v>216</v>
      </c>
      <c r="E81" s="362">
        <f>IFERROR(VLOOKUP(C81,'تقرير المصروفات حسب الشهر'!$C$135:$AD$244,17,FALSE),0)</f>
        <v>0</v>
      </c>
      <c r="F81" s="362">
        <v>0</v>
      </c>
      <c r="G81" s="362">
        <f>IFERROR(VLOOKUP(C81,'تقرير المصروفات حسب الشهر'!$C$387:$AD$495,17,FALSE),0)</f>
        <v>0</v>
      </c>
      <c r="H81" s="362">
        <f>IFERROR(VLOOKUP(C81,'تقرير المصروفات حسب الشهر'!$C$512:$AD$620,17,FALSE),0)</f>
        <v>0</v>
      </c>
      <c r="I81" s="362">
        <f>IFERROR(VLOOKUP(C81,'تقرير المصروفات حسب الشهر'!$C$637:$AD$746,17,FALSE),0)</f>
        <v>0</v>
      </c>
      <c r="J81" s="362">
        <f>IFERROR(VLOOKUP(C81,'تقرير المصروفات حسب الشهر'!$C$763:$AD$872,17,FALSE),0)</f>
        <v>0</v>
      </c>
      <c r="K81" s="362">
        <f>IFERROR(VLOOKUP(C81,'تقرير المصروفات حسب الشهر'!$C$890:$AD$999,17,FALSE),0)</f>
        <v>300</v>
      </c>
      <c r="L81" s="362">
        <f>IFERROR(VLOOKUP(C81,'تقرير المصروفات حسب الشهر'!$C$1016:$AD$1126,17,FALSE),0)</f>
        <v>0</v>
      </c>
      <c r="M81" s="376">
        <f>IFERROR(VLOOKUP(C81,'تقرير المصروفات حسب الشهر'!$C$1143:$AD$1254,17,FALSE),0)</f>
        <v>200</v>
      </c>
      <c r="N81" s="376">
        <f>IFERROR(VLOOKUP(C81,'تقرير المصروفات حسب الشهر'!$C$1270:$AD$1381,17,FALSE),0)</f>
        <v>7061</v>
      </c>
      <c r="O81" s="376">
        <f>IFERROR(VLOOKUP(C81,'تقرير المصروفات حسب الشهر'!$C$1397:$AI$1512,17,FALSE),0)</f>
        <v>0</v>
      </c>
      <c r="P81" s="364">
        <f t="shared" si="5"/>
        <v>7777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الشهر'!$C$10:$AD$119,17,FALSE),0)</f>
        <v>0</v>
      </c>
      <c r="E82" s="362">
        <f>IFERROR(VLOOKUP(C82,'تقرير المصروفات حسب الشهر'!$C$135:$AD$244,17,FALSE),0)</f>
        <v>0</v>
      </c>
      <c r="F82" s="362">
        <v>0</v>
      </c>
      <c r="G82" s="362">
        <f>IFERROR(VLOOKUP(C82,'تقرير المصروفات حسب الشهر'!$C$387:$AD$495,17,FALSE),0)</f>
        <v>0</v>
      </c>
      <c r="H82" s="362">
        <f>IFERROR(VLOOKUP(C82,'تقرير المصروفات حسب الشهر'!$C$512:$AD$620,17,FALSE),0)</f>
        <v>0</v>
      </c>
      <c r="I82" s="362">
        <f>IFERROR(VLOOKUP(C82,'تقرير المصروفات حسب الشهر'!$C$637:$AD$746,17,FALSE),0)</f>
        <v>0</v>
      </c>
      <c r="J82" s="362">
        <f>IFERROR(VLOOKUP(C82,'تقرير المصروفات حسب الشهر'!$C$763:$AD$872,17,FALSE),0)</f>
        <v>0</v>
      </c>
      <c r="K82" s="362">
        <f>IFERROR(VLOOKUP(C82,'تقرير المصروفات حسب الشهر'!$C$890:$AD$999,17,FALSE),0)</f>
        <v>0</v>
      </c>
      <c r="L82" s="362">
        <f>IFERROR(VLOOKUP(C82,'تقرير المصروفات حسب الشهر'!$C$1016:$AD$1126,17,FALSE),0)</f>
        <v>0</v>
      </c>
      <c r="M82" s="376">
        <f>IFERROR(VLOOKUP(C82,'تقرير المصروفات حسب الشهر'!$C$1143:$AD$1254,17,FALSE),0)</f>
        <v>0</v>
      </c>
      <c r="N82" s="376">
        <f>IFERROR(VLOOKUP(C82,'تقرير المصروفات حسب الشهر'!$C$1270:$AD$1381,17,FALSE),0)</f>
        <v>0</v>
      </c>
      <c r="O82" s="376">
        <f>IFERROR(VLOOKUP(C82,'تقرير المصروفات حسب الشهر'!$C$1397:$AI$1512,17,FALSE),0)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الشهر'!$C$10:$AD$119,17,FALSE),0)</f>
        <v>0</v>
      </c>
      <c r="E83" s="362">
        <f>IFERROR(VLOOKUP(C83,'تقرير المصروفات حسب الشهر'!$C$135:$AD$244,17,FALSE),0)</f>
        <v>0</v>
      </c>
      <c r="F83" s="362">
        <v>0</v>
      </c>
      <c r="G83" s="362">
        <f>IFERROR(VLOOKUP(C83,'تقرير المصروفات حسب الشهر'!$C$387:$AD$495,17,FALSE),0)</f>
        <v>0</v>
      </c>
      <c r="H83" s="362">
        <f>IFERROR(VLOOKUP(C83,'تقرير المصروفات حسب الشهر'!$C$512:$AD$620,17,FALSE),0)</f>
        <v>0</v>
      </c>
      <c r="I83" s="362">
        <f>IFERROR(VLOOKUP(C83,'تقرير المصروفات حسب الشهر'!$C$637:$AD$746,17,FALSE),0)</f>
        <v>0</v>
      </c>
      <c r="J83" s="362">
        <f>IFERROR(VLOOKUP(C83,'تقرير المصروفات حسب الشهر'!$C$763:$AD$872,17,FALSE),0)</f>
        <v>0</v>
      </c>
      <c r="K83" s="362">
        <f>IFERROR(VLOOKUP(C83,'تقرير المصروفات حسب الشهر'!$C$890:$AD$999,17,FALSE),0)</f>
        <v>0</v>
      </c>
      <c r="L83" s="362">
        <f>IFERROR(VLOOKUP(C83,'تقرير المصروفات حسب الشهر'!$C$1016:$AD$1126,17,FALSE),0)</f>
        <v>0</v>
      </c>
      <c r="M83" s="376">
        <f>IFERROR(VLOOKUP(C83,'تقرير المصروفات حسب الشهر'!$C$1143:$AD$1254,17,FALSE),0)</f>
        <v>0</v>
      </c>
      <c r="N83" s="376">
        <f>IFERROR(VLOOKUP(C83,'تقرير المصروفات حسب الشهر'!$C$1270:$AD$1381,17,FALSE),0)</f>
        <v>1050</v>
      </c>
      <c r="O83" s="376">
        <f>IFERROR(VLOOKUP(C83,'تقرير المصروفات حسب الشهر'!$C$1397:$AI$1512,17,FALSE),0)</f>
        <v>0</v>
      </c>
      <c r="P83" s="364">
        <f t="shared" si="5"/>
        <v>1050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الشهر'!$C$10:$AD$119,17,FALSE),0)</f>
        <v>0</v>
      </c>
      <c r="E84" s="362">
        <f>IFERROR(VLOOKUP(C84,'تقرير المصروفات حسب الشهر'!$C$135:$AD$244,17,FALSE),0)</f>
        <v>0</v>
      </c>
      <c r="F84" s="362">
        <v>0</v>
      </c>
      <c r="G84" s="362">
        <f>IFERROR(VLOOKUP(C84,'تقرير المصروفات حسب الشهر'!$C$387:$AD$495,17,FALSE),0)</f>
        <v>0</v>
      </c>
      <c r="H84" s="362">
        <f>IFERROR(VLOOKUP(C84,'تقرير المصروفات حسب الشهر'!$C$512:$AD$620,17,FALSE),0)</f>
        <v>0</v>
      </c>
      <c r="I84" s="362">
        <f>IFERROR(VLOOKUP(C84,'تقرير المصروفات حسب الشهر'!$C$637:$AD$746,17,FALSE),0)</f>
        <v>0</v>
      </c>
      <c r="J84" s="362">
        <f>IFERROR(VLOOKUP(C84,'تقرير المصروفات حسب الشهر'!$C$763:$AD$872,17,FALSE),0)</f>
        <v>0</v>
      </c>
      <c r="K84" s="362">
        <f>IFERROR(VLOOKUP(C84,'تقرير المصروفات حسب الشهر'!$C$890:$AD$999,17,FALSE),0)</f>
        <v>0</v>
      </c>
      <c r="L84" s="362">
        <f>IFERROR(VLOOKUP(C84,'تقرير المصروفات حسب الشهر'!$C$1016:$AD$1126,17,FALSE),0)</f>
        <v>0</v>
      </c>
      <c r="M84" s="376">
        <f>IFERROR(VLOOKUP(C84,'تقرير المصروفات حسب الشهر'!$C$1143:$AD$1254,17,FALSE),0)</f>
        <v>0</v>
      </c>
      <c r="N84" s="376">
        <f>IFERROR(VLOOKUP(C84,'تقرير المصروفات حسب الشهر'!$C$1270:$AD$1381,17,FALSE),0)</f>
        <v>0</v>
      </c>
      <c r="O84" s="376">
        <f>IFERROR(VLOOKUP(C84,'تقرير المصروفات حسب الشهر'!$C$1397:$AI$1512,17,FALSE),0)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الشهر'!$C$10:$AD$119,17,FALSE),0)</f>
        <v>0</v>
      </c>
      <c r="E85" s="362">
        <f>IFERROR(VLOOKUP(C85,'تقرير المصروفات حسب الشهر'!$C$135:$AD$244,17,FALSE),0)</f>
        <v>3005</v>
      </c>
      <c r="F85" s="362">
        <v>0</v>
      </c>
      <c r="G85" s="362">
        <f>IFERROR(VLOOKUP(C85,'تقرير المصروفات حسب الشهر'!$C$387:$AD$495,17,FALSE),0)</f>
        <v>0</v>
      </c>
      <c r="H85" s="362">
        <f>IFERROR(VLOOKUP(C85,'تقرير المصروفات حسب الشهر'!$C$512:$AD$620,17,FALSE),0)</f>
        <v>0</v>
      </c>
      <c r="I85" s="362">
        <f>IFERROR(VLOOKUP(C85,'تقرير المصروفات حسب الشهر'!$C$637:$AD$746,17,FALSE),0)</f>
        <v>0</v>
      </c>
      <c r="J85" s="362">
        <f>IFERROR(VLOOKUP(C85,'تقرير المصروفات حسب الشهر'!$C$763:$AD$872,17,FALSE),0)</f>
        <v>0</v>
      </c>
      <c r="K85" s="362">
        <f>IFERROR(VLOOKUP(C85,'تقرير المصروفات حسب الشهر'!$C$890:$AD$999,17,FALSE),0)</f>
        <v>0</v>
      </c>
      <c r="L85" s="362">
        <f>IFERROR(VLOOKUP(C85,'تقرير المصروفات حسب الشهر'!$C$1016:$AD$1126,17,FALSE),0)</f>
        <v>0</v>
      </c>
      <c r="M85" s="376">
        <f>IFERROR(VLOOKUP(C85,'تقرير المصروفات حسب الشهر'!$C$1143:$AD$1254,17,FALSE),0)</f>
        <v>0</v>
      </c>
      <c r="N85" s="376">
        <f>IFERROR(VLOOKUP(C85,'تقرير المصروفات حسب الشهر'!$C$1270:$AD$1381,17,FALSE),0)</f>
        <v>0</v>
      </c>
      <c r="O85" s="376">
        <f>IFERROR(VLOOKUP(C85,'تقرير المصروفات حسب الشهر'!$C$1397:$AI$1512,17,FALSE),0)</f>
        <v>0</v>
      </c>
      <c r="P85" s="364">
        <f t="shared" si="5"/>
        <v>3005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الشهر'!$C$10:$AD$119,17,FALSE),0)</f>
        <v>0</v>
      </c>
      <c r="E86" s="362">
        <f>IFERROR(VLOOKUP(C86,'تقرير المصروفات حسب الشهر'!$C$135:$AD$244,17,FALSE),0)</f>
        <v>1959.65</v>
      </c>
      <c r="F86" s="362">
        <v>0</v>
      </c>
      <c r="G86" s="362">
        <f>IFERROR(VLOOKUP(C86,'تقرير المصروفات حسب الشهر'!$C$387:$AD$495,17,FALSE),0)</f>
        <v>733</v>
      </c>
      <c r="H86" s="362">
        <f>IFERROR(VLOOKUP(C86,'تقرير المصروفات حسب الشهر'!$C$512:$AD$620,17,FALSE),0)</f>
        <v>2712</v>
      </c>
      <c r="I86" s="362">
        <f>IFERROR(VLOOKUP(C86,'تقرير المصروفات حسب الشهر'!$C$637:$AD$746,17,FALSE),0)</f>
        <v>0</v>
      </c>
      <c r="J86" s="362">
        <f>IFERROR(VLOOKUP(C86,'تقرير المصروفات حسب الشهر'!$C$763:$AD$872,17,FALSE),0)</f>
        <v>979</v>
      </c>
      <c r="K86" s="362">
        <f>IFERROR(VLOOKUP(C86,'تقرير المصروفات حسب الشهر'!$C$890:$AD$999,17,FALSE),0)</f>
        <v>0</v>
      </c>
      <c r="L86" s="362">
        <f>IFERROR(VLOOKUP(C86,'تقرير المصروفات حسب الشهر'!$C$1016:$AD$1126,17,FALSE),0)</f>
        <v>0</v>
      </c>
      <c r="M86" s="376">
        <f>IFERROR(VLOOKUP(C86,'تقرير المصروفات حسب الشهر'!$C$1143:$AD$1254,17,FALSE),0)</f>
        <v>1335.76</v>
      </c>
      <c r="N86" s="376">
        <f>IFERROR(VLOOKUP(C86,'تقرير المصروفات حسب الشهر'!$C$1270:$AD$1381,17,FALSE),0)</f>
        <v>1105.82</v>
      </c>
      <c r="O86" s="376">
        <f>IFERROR(VLOOKUP(C86,'تقرير المصروفات حسب الشهر'!$C$1397:$AI$1512,17,FALSE),0)</f>
        <v>0</v>
      </c>
      <c r="P86" s="364">
        <f t="shared" si="5"/>
        <v>8825.23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الشهر'!$C$10:$AD$119,17,FALSE),0)</f>
        <v>0</v>
      </c>
      <c r="E87" s="362">
        <f>IFERROR(VLOOKUP(C87,'تقرير المصروفات حسب الشهر'!$C$135:$AD$244,17,FALSE),0)</f>
        <v>0</v>
      </c>
      <c r="F87" s="362">
        <v>0</v>
      </c>
      <c r="G87" s="362">
        <f>IFERROR(VLOOKUP(C87,'تقرير المصروفات حسب الشهر'!$C$387:$AD$495,17,FALSE),0)</f>
        <v>0</v>
      </c>
      <c r="H87" s="362">
        <f>IFERROR(VLOOKUP(C87,'تقرير المصروفات حسب الشهر'!$C$512:$AD$620,17,FALSE),0)</f>
        <v>0</v>
      </c>
      <c r="I87" s="362">
        <f>IFERROR(VLOOKUP(C87,'تقرير المصروفات حسب الشهر'!$C$637:$AD$746,17,FALSE),0)</f>
        <v>0</v>
      </c>
      <c r="J87" s="362">
        <f>IFERROR(VLOOKUP(C87,'تقرير المصروفات حسب الشهر'!$C$763:$AD$872,17,FALSE),0)</f>
        <v>0</v>
      </c>
      <c r="K87" s="362">
        <f>IFERROR(VLOOKUP(C87,'تقرير المصروفات حسب الشهر'!$C$890:$AD$999,17,FALSE),0)</f>
        <v>0</v>
      </c>
      <c r="L87" s="362">
        <f>IFERROR(VLOOKUP(C87,'تقرير المصروفات حسب الشهر'!$C$1016:$AD$1126,17,FALSE),0)</f>
        <v>0</v>
      </c>
      <c r="M87" s="376">
        <f>IFERROR(VLOOKUP(C87,'تقرير المصروفات حسب الشهر'!$C$1143:$AD$1254,17,FALSE),0)</f>
        <v>0</v>
      </c>
      <c r="N87" s="376">
        <f>IFERROR(VLOOKUP(C87,'تقرير المصروفات حسب الشهر'!$C$1270:$AD$1381,17,FALSE),0)</f>
        <v>0</v>
      </c>
      <c r="O87" s="376">
        <f>IFERROR(VLOOKUP(C87,'تقرير المصروفات حسب الشهر'!$C$1397:$AI$1512,17,FALSE),0)</f>
        <v>4372</v>
      </c>
      <c r="P87" s="364">
        <f t="shared" ref="P87:P136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الشهر'!$C$10:$AD$119,17,FALSE),0)</f>
        <v>0</v>
      </c>
      <c r="E88" s="362">
        <f>IFERROR(VLOOKUP(C88,'تقرير المصروفات حسب الشهر'!$C$135:$AD$244,17,FALSE),0)</f>
        <v>350</v>
      </c>
      <c r="F88" s="362">
        <v>0</v>
      </c>
      <c r="G88" s="362">
        <f>IFERROR(VLOOKUP(C88,'تقرير المصروفات حسب الشهر'!$C$387:$AD$495,17,FALSE),0)</f>
        <v>0</v>
      </c>
      <c r="H88" s="362">
        <f>IFERROR(VLOOKUP(C88,'تقرير المصروفات حسب الشهر'!$C$512:$AD$620,17,FALSE),0)</f>
        <v>333</v>
      </c>
      <c r="I88" s="362">
        <f>IFERROR(VLOOKUP(C88,'تقرير المصروفات حسب الشهر'!$C$637:$AD$746,17,FALSE),0)</f>
        <v>120</v>
      </c>
      <c r="J88" s="362">
        <f>IFERROR(VLOOKUP(C88,'تقرير المصروفات حسب الشهر'!$C$763:$AD$872,17,FALSE),0)</f>
        <v>0</v>
      </c>
      <c r="K88" s="362">
        <f>IFERROR(VLOOKUP(C88,'تقرير المصروفات حسب الشهر'!$C$890:$AD$999,17,FALSE),0)</f>
        <v>0</v>
      </c>
      <c r="L88" s="362">
        <f>IFERROR(VLOOKUP(C88,'تقرير المصروفات حسب الشهر'!$C$1016:$AD$1126,17,FALSE),0)</f>
        <v>0</v>
      </c>
      <c r="M88" s="376">
        <f>IFERROR(VLOOKUP(C88,'تقرير المصروفات حسب الشهر'!$C$1143:$AD$1254,17,FALSE),0)</f>
        <v>0</v>
      </c>
      <c r="N88" s="376">
        <f>IFERROR(VLOOKUP(C88,'تقرير المصروفات حسب الشهر'!$C$1270:$AD$1381,17,FALSE),0)</f>
        <v>0</v>
      </c>
      <c r="O88" s="376">
        <f>IFERROR(VLOOKUP(C88,'تقرير المصروفات حسب الشهر'!$C$1397:$AI$1512,17,FALSE),0)</f>
        <v>0</v>
      </c>
      <c r="P88" s="364">
        <f t="shared" si="6"/>
        <v>803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الشهر'!$C$10:$AD$119,17,FALSE),0)</f>
        <v>0</v>
      </c>
      <c r="E89" s="362">
        <f>IFERROR(VLOOKUP(C89,'تقرير المصروفات حسب الشهر'!$C$135:$AD$244,17,FALSE),0)</f>
        <v>0</v>
      </c>
      <c r="F89" s="362">
        <v>0</v>
      </c>
      <c r="G89" s="362">
        <f>IFERROR(VLOOKUP(C89,'تقرير المصروفات حسب الشهر'!$C$387:$AD$495,17,FALSE),0)</f>
        <v>0</v>
      </c>
      <c r="H89" s="362">
        <f>IFERROR(VLOOKUP(C89,'تقرير المصروفات حسب الشهر'!$C$512:$AD$620,17,FALSE),0)</f>
        <v>0</v>
      </c>
      <c r="I89" s="362">
        <f>IFERROR(VLOOKUP(C89,'تقرير المصروفات حسب الشهر'!$C$637:$AD$746,17,FALSE),0)</f>
        <v>0</v>
      </c>
      <c r="J89" s="362">
        <f>IFERROR(VLOOKUP(C89,'تقرير المصروفات حسب الشهر'!$C$763:$AD$872,17,FALSE),0)</f>
        <v>0</v>
      </c>
      <c r="K89" s="362">
        <f>IFERROR(VLOOKUP(C89,'تقرير المصروفات حسب الشهر'!$C$890:$AD$999,17,FALSE),0)</f>
        <v>0</v>
      </c>
      <c r="L89" s="362">
        <f>IFERROR(VLOOKUP(C89,'تقرير المصروفات حسب الشهر'!$C$1016:$AD$1126,17,FALSE),0)</f>
        <v>0</v>
      </c>
      <c r="M89" s="376">
        <f>IFERROR(VLOOKUP(C89,'تقرير المصروفات حسب الشهر'!$C$1143:$AD$1254,17,FALSE),0)</f>
        <v>0</v>
      </c>
      <c r="N89" s="376">
        <f>IFERROR(VLOOKUP(C89,'تقرير المصروفات حسب الشهر'!$C$1270:$AD$1381,17,FALSE),0)</f>
        <v>0</v>
      </c>
      <c r="O89" s="376">
        <f>IFERROR(VLOOKUP(C89,'تقرير المصروفات حسب الشهر'!$C$1397:$AI$1512,17,FALSE),0)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الشهر'!$C$10:$AD$119,17,FALSE),0)</f>
        <v>0</v>
      </c>
      <c r="E90" s="362">
        <f>IFERROR(VLOOKUP(C90,'تقرير المصروفات حسب الشهر'!$C$135:$AD$244,17,FALSE),0)</f>
        <v>0</v>
      </c>
      <c r="F90" s="362">
        <v>0</v>
      </c>
      <c r="G90" s="362">
        <f>IFERROR(VLOOKUP(C90,'تقرير المصروفات حسب الشهر'!$C$387:$AD$495,17,FALSE),0)</f>
        <v>0</v>
      </c>
      <c r="H90" s="362">
        <f>IFERROR(VLOOKUP(C90,'تقرير المصروفات حسب الشهر'!$C$512:$AD$620,17,FALSE),0)</f>
        <v>0</v>
      </c>
      <c r="I90" s="362">
        <f>IFERROR(VLOOKUP(C90,'تقرير المصروفات حسب الشهر'!$C$637:$AD$746,17,FALSE),0)</f>
        <v>0</v>
      </c>
      <c r="J90" s="362">
        <f>IFERROR(VLOOKUP(C90,'تقرير المصروفات حسب الشهر'!$C$763:$AD$872,17,FALSE),0)</f>
        <v>0</v>
      </c>
      <c r="K90" s="362">
        <f>IFERROR(VLOOKUP(C90,'تقرير المصروفات حسب الشهر'!$C$890:$AD$999,17,FALSE),0)</f>
        <v>0</v>
      </c>
      <c r="L90" s="362">
        <f>IFERROR(VLOOKUP(C90,'تقرير المصروفات حسب الشهر'!$C$1016:$AD$1126,17,FALSE),0)</f>
        <v>0</v>
      </c>
      <c r="M90" s="376">
        <f>IFERROR(VLOOKUP(C90,'تقرير المصروفات حسب الشهر'!$C$1143:$AD$1254,17,FALSE),0)</f>
        <v>0</v>
      </c>
      <c r="N90" s="376">
        <f>IFERROR(VLOOKUP(C90,'تقرير المصروفات حسب الشهر'!$C$1270:$AD$1381,17,FALSE),0)</f>
        <v>0</v>
      </c>
      <c r="O90" s="376">
        <f>IFERROR(VLOOKUP(C90,'تقرير المصروفات حسب الشهر'!$C$1397:$AI$1512,17,FALSE),0)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الشهر'!$C$10:$AD$119,17,FALSE),0)</f>
        <v>39950</v>
      </c>
      <c r="E91" s="362">
        <f>IFERROR(VLOOKUP(C91,'تقرير المصروفات حسب الشهر'!$C$135:$AD$244,17,FALSE),0)</f>
        <v>3645</v>
      </c>
      <c r="F91" s="362">
        <v>150</v>
      </c>
      <c r="G91" s="362">
        <f>IFERROR(VLOOKUP(C91,'تقرير المصروفات حسب الشهر'!$C$387:$AD$495,17,FALSE),0)</f>
        <v>0</v>
      </c>
      <c r="H91" s="362">
        <f>IFERROR(VLOOKUP(C91,'تقرير المصروفات حسب الشهر'!$C$512:$AD$620,17,FALSE),0)</f>
        <v>400</v>
      </c>
      <c r="I91" s="362">
        <f>IFERROR(VLOOKUP(C91,'تقرير المصروفات حسب الشهر'!$C$637:$AD$746,17,FALSE),0)</f>
        <v>75</v>
      </c>
      <c r="J91" s="362">
        <f>IFERROR(VLOOKUP(C91,'تقرير المصروفات حسب الشهر'!$C$763:$AD$872,17,FALSE),0)</f>
        <v>0</v>
      </c>
      <c r="K91" s="362">
        <f>IFERROR(VLOOKUP(C91,'تقرير المصروفات حسب الشهر'!$C$890:$AD$999,17,FALSE),0)</f>
        <v>950</v>
      </c>
      <c r="L91" s="362">
        <f>IFERROR(VLOOKUP(C91,'تقرير المصروفات حسب الشهر'!$C$1016:$AD$1126,17,FALSE),0)</f>
        <v>520</v>
      </c>
      <c r="M91" s="376">
        <f>IFERROR(VLOOKUP(C91,'تقرير المصروفات حسب الشهر'!$C$1143:$AD$1254,17,FALSE),0)</f>
        <v>883</v>
      </c>
      <c r="N91" s="376">
        <f>IFERROR(VLOOKUP(C91,'تقرير المصروفات حسب الشهر'!$C$1270:$AD$1381,17,FALSE),0)</f>
        <v>100</v>
      </c>
      <c r="O91" s="376">
        <f>IFERROR(VLOOKUP(C91,'تقرير المصروفات حسب الشهر'!$C$1397:$AI$1512,17,FALSE),0)</f>
        <v>400</v>
      </c>
      <c r="P91" s="364">
        <f t="shared" si="6"/>
        <v>47073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الشهر'!$C$10:$AD$119,17,FALSE),0)</f>
        <v>0</v>
      </c>
      <c r="E92" s="362">
        <f>IFERROR(VLOOKUP(C92,'تقرير المصروفات حسب الشهر'!$C$135:$AD$244,17,FALSE),0)</f>
        <v>290</v>
      </c>
      <c r="F92" s="362">
        <v>0</v>
      </c>
      <c r="G92" s="362">
        <f>IFERROR(VLOOKUP(C92,'تقرير المصروفات حسب الشهر'!$C$387:$AD$495,17,FALSE),0)</f>
        <v>0</v>
      </c>
      <c r="H92" s="362">
        <f>IFERROR(VLOOKUP(C92,'تقرير المصروفات حسب الشهر'!$C$512:$AD$620,17,FALSE),0)</f>
        <v>0</v>
      </c>
      <c r="I92" s="362">
        <f>IFERROR(VLOOKUP(C92,'تقرير المصروفات حسب الشهر'!$C$637:$AD$746,17,FALSE),0)</f>
        <v>0</v>
      </c>
      <c r="J92" s="362">
        <f>IFERROR(VLOOKUP(C92,'تقرير المصروفات حسب الشهر'!$C$763:$AD$872,17,FALSE),0)</f>
        <v>2793</v>
      </c>
      <c r="K92" s="362">
        <f>IFERROR(VLOOKUP(C92,'تقرير المصروفات حسب الشهر'!$C$890:$AD$999,17,FALSE),0)</f>
        <v>0</v>
      </c>
      <c r="L92" s="362">
        <f>IFERROR(VLOOKUP(C92,'تقرير المصروفات حسب الشهر'!$C$1016:$AD$1126,17,FALSE),0)</f>
        <v>2650</v>
      </c>
      <c r="M92" s="376">
        <f>IFERROR(VLOOKUP(C92,'تقرير المصروفات حسب الشهر'!$C$1143:$AD$1254,17,FALSE),0)</f>
        <v>0</v>
      </c>
      <c r="N92" s="376">
        <f>IFERROR(VLOOKUP(C92,'تقرير المصروفات حسب الشهر'!$C$1270:$AD$1381,17,FALSE),0)</f>
        <v>0</v>
      </c>
      <c r="O92" s="376">
        <f>IFERROR(VLOOKUP(C92,'تقرير المصروفات حسب الشهر'!$C$1397:$AI$1512,17,FALSE),0)</f>
        <v>0</v>
      </c>
      <c r="P92" s="364">
        <f t="shared" si="6"/>
        <v>5733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الشهر'!$C$10:$AD$119,17,FALSE),0)</f>
        <v>0</v>
      </c>
      <c r="E93" s="362">
        <f>IFERROR(VLOOKUP(C93,'تقرير المصروفات حسب الشهر'!$C$135:$AD$244,17,FALSE),0)</f>
        <v>706</v>
      </c>
      <c r="F93" s="362">
        <v>0</v>
      </c>
      <c r="G93" s="362">
        <f>IFERROR(VLOOKUP(C93,'تقرير المصروفات حسب الشهر'!$C$387:$AD$495,17,FALSE),0)</f>
        <v>621.5</v>
      </c>
      <c r="H93" s="362">
        <f>IFERROR(VLOOKUP(C93,'تقرير المصروفات حسب الشهر'!$C$512:$AD$620,17,FALSE),0)</f>
        <v>0</v>
      </c>
      <c r="I93" s="362">
        <f>IFERROR(VLOOKUP(C93,'تقرير المصروفات حسب الشهر'!$C$637:$AD$746,17,FALSE),0)</f>
        <v>0</v>
      </c>
      <c r="J93" s="362">
        <f>IFERROR(VLOOKUP(C93,'تقرير المصروفات حسب الشهر'!$C$763:$AD$872,17,FALSE),0)</f>
        <v>668</v>
      </c>
      <c r="K93" s="362">
        <f>IFERROR(VLOOKUP(C93,'تقرير المصروفات حسب الشهر'!$C$890:$AD$999,17,FALSE),0)</f>
        <v>0</v>
      </c>
      <c r="L93" s="362">
        <f>IFERROR(VLOOKUP(C93,'تقرير المصروفات حسب الشهر'!$C$1016:$AD$1126,17,FALSE),0)</f>
        <v>0</v>
      </c>
      <c r="M93" s="376">
        <f>IFERROR(VLOOKUP(C93,'تقرير المصروفات حسب الشهر'!$C$1143:$AD$1254,17,FALSE),0)</f>
        <v>0</v>
      </c>
      <c r="N93" s="376">
        <f>IFERROR(VLOOKUP(C93,'تقرير المصروفات حسب الشهر'!$C$1270:$AD$1381,17,FALSE),0)</f>
        <v>0</v>
      </c>
      <c r="O93" s="376">
        <f>IFERROR(VLOOKUP(C93,'تقرير المصروفات حسب الشهر'!$C$1397:$AI$1512,17,FALSE),0)</f>
        <v>0</v>
      </c>
      <c r="P93" s="364">
        <f t="shared" si="6"/>
        <v>1995.5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الشهر'!$C$10:$AD$119,17,FALSE),0)</f>
        <v>719.31</v>
      </c>
      <c r="E94" s="362">
        <f>IFERROR(VLOOKUP(C94,'تقرير المصروفات حسب الشهر'!$C$135:$AD$244,17,FALSE),0)</f>
        <v>719.31</v>
      </c>
      <c r="F94" s="362">
        <v>719.31</v>
      </c>
      <c r="G94" s="362">
        <f>IFERROR(VLOOKUP(C94,'تقرير المصروفات حسب الشهر'!$C$387:$AD$495,17,FALSE),0)</f>
        <v>1142.31</v>
      </c>
      <c r="H94" s="362">
        <f>IFERROR(VLOOKUP(C94,'تقرير المصروفات حسب الشهر'!$C$512:$AD$620,17,FALSE),0)</f>
        <v>296.31</v>
      </c>
      <c r="I94" s="362">
        <f>IFERROR(VLOOKUP(C94,'تقرير المصروفات حسب الشهر'!$C$637:$AD$746,17,FALSE),0)</f>
        <v>719.31</v>
      </c>
      <c r="J94" s="362">
        <f>IFERROR(VLOOKUP(C94,'تقرير المصروفات حسب الشهر'!$C$763:$AD$872,17,FALSE),0)</f>
        <v>823.96</v>
      </c>
      <c r="K94" s="362">
        <f>IFERROR(VLOOKUP(C94,'تقرير المصروفات حسب الشهر'!$C$890:$AD$999,17,FALSE),0)</f>
        <v>1033.96</v>
      </c>
      <c r="L94" s="362">
        <f>IFERROR(VLOOKUP(C94,'تقرير المصروفات حسب الشهر'!$C$1016:$AD$1126,17,FALSE),0)</f>
        <v>823.96</v>
      </c>
      <c r="M94" s="376">
        <f>IFERROR(VLOOKUP(C94,'تقرير المصروفات حسب الشهر'!$C$1143:$AD$1254,17,FALSE),0)</f>
        <v>1209.96</v>
      </c>
      <c r="N94" s="376">
        <f>IFERROR(VLOOKUP(C94,'تقرير المصروفات حسب الشهر'!$C$1270:$AD$1381,17,FALSE),0)</f>
        <v>823.96</v>
      </c>
      <c r="O94" s="376">
        <f>IFERROR(VLOOKUP(C94,'تقرير المصروفات حسب الشهر'!$C$1397:$AI$1512,17,FALSE),0)</f>
        <v>968.96</v>
      </c>
      <c r="P94" s="364">
        <f t="shared" si="6"/>
        <v>10000.619999999999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الشهر'!$C$10:$AD$119,17,FALSE),0)</f>
        <v>0</v>
      </c>
      <c r="E95" s="362">
        <f>IFERROR(VLOOKUP(C95,'تقرير المصروفات حسب الشهر'!$C$135:$AD$244,17,FALSE),0)</f>
        <v>0</v>
      </c>
      <c r="F95" s="362">
        <v>0</v>
      </c>
      <c r="G95" s="362">
        <f>IFERROR(VLOOKUP(C95,'تقرير المصروفات حسب الشهر'!$C$387:$AD$495,17,FALSE),0)</f>
        <v>0</v>
      </c>
      <c r="H95" s="362">
        <f>IFERROR(VLOOKUP(C95,'تقرير المصروفات حسب الشهر'!$C$512:$AD$620,17,FALSE),0)</f>
        <v>0</v>
      </c>
      <c r="I95" s="362">
        <f>IFERROR(VLOOKUP(C95,'تقرير المصروفات حسب الشهر'!$C$637:$AD$746,17,FALSE),0)</f>
        <v>0</v>
      </c>
      <c r="J95" s="362">
        <f>IFERROR(VLOOKUP(C95,'تقرير المصروفات حسب الشهر'!$C$763:$AD$872,17,FALSE),0)</f>
        <v>0</v>
      </c>
      <c r="K95" s="362">
        <f>IFERROR(VLOOKUP(C95,'تقرير المصروفات حسب الشهر'!$C$890:$AD$999,17,FALSE),0)</f>
        <v>0</v>
      </c>
      <c r="L95" s="362">
        <f>IFERROR(VLOOKUP(C95,'تقرير المصروفات حسب الشهر'!$C$1016:$AD$1126,17,FALSE),0)</f>
        <v>2130</v>
      </c>
      <c r="M95" s="376">
        <f>IFERROR(VLOOKUP(C95,'تقرير المصروفات حسب الشهر'!$C$1143:$AD$1254,17,FALSE),0)</f>
        <v>1065</v>
      </c>
      <c r="N95" s="376">
        <f>IFERROR(VLOOKUP(C95,'تقرير المصروفات حسب الشهر'!$C$1270:$AD$1381,17,FALSE),0)</f>
        <v>1065</v>
      </c>
      <c r="O95" s="376">
        <f>IFERROR(VLOOKUP(C95,'تقرير المصروفات حسب الشهر'!$C$1397:$AI$1512,17,FALSE),0)</f>
        <v>15753</v>
      </c>
      <c r="P95" s="364">
        <f t="shared" si="6"/>
        <v>20013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الشهر'!$C$10:$AD$119,17,FALSE),0)</f>
        <v>0</v>
      </c>
      <c r="E96" s="362">
        <f>IFERROR(VLOOKUP(C96,'تقرير المصروفات حسب الشهر'!$C$135:$AD$244,17,FALSE),0)</f>
        <v>0</v>
      </c>
      <c r="F96" s="362">
        <v>0</v>
      </c>
      <c r="G96" s="362">
        <f>IFERROR(VLOOKUP(C96,'تقرير المصروفات حسب الشهر'!$C$387:$AD$495,17,FALSE),0)</f>
        <v>0</v>
      </c>
      <c r="H96" s="362">
        <f>IFERROR(VLOOKUP(C96,'تقرير المصروفات حسب الشهر'!$C$512:$AD$620,17,FALSE),0)</f>
        <v>0</v>
      </c>
      <c r="I96" s="362">
        <f>IFERROR(VLOOKUP(C96,'تقرير المصروفات حسب الشهر'!$C$637:$AD$746,17,FALSE),0)</f>
        <v>0</v>
      </c>
      <c r="J96" s="362">
        <f>IFERROR(VLOOKUP(C96,'تقرير المصروفات حسب الشهر'!$C$763:$AD$872,17,FALSE),0)</f>
        <v>0</v>
      </c>
      <c r="K96" s="362">
        <f>IFERROR(VLOOKUP(C96,'تقرير المصروفات حسب الشهر'!$C$890:$AD$999,17,FALSE),0)</f>
        <v>0</v>
      </c>
      <c r="L96" s="362">
        <f>IFERROR(VLOOKUP(C96,'تقرير المصروفات حسب الشهر'!$C$1016:$AD$1126,17,FALSE),0)</f>
        <v>0</v>
      </c>
      <c r="M96" s="376">
        <f>IFERROR(VLOOKUP(C96,'تقرير المصروفات حسب الشهر'!$C$1143:$AD$1254,17,FALSE),0)</f>
        <v>0</v>
      </c>
      <c r="N96" s="376">
        <f>IFERROR(VLOOKUP(C96,'تقرير المصروفات حسب الشهر'!$C$1270:$AD$1381,17,FALSE),0)</f>
        <v>0</v>
      </c>
      <c r="O96" s="376">
        <f>IFERROR(VLOOKUP(C96,'تقرير المصروفات حسب الشهر'!$C$1397:$AI$1512,17,FALSE),0)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الشهر'!$C$10:$AD$119,17,FALSE),0)</f>
        <v>0</v>
      </c>
      <c r="E97" s="362">
        <f>IFERROR(VLOOKUP(C97,'تقرير المصروفات حسب الشهر'!$C$135:$AD$244,17,FALSE),0)</f>
        <v>0</v>
      </c>
      <c r="F97" s="362">
        <v>0</v>
      </c>
      <c r="G97" s="362">
        <f>IFERROR(VLOOKUP(C97,'تقرير المصروفات حسب الشهر'!$C$387:$AD$495,17,FALSE),0)</f>
        <v>0</v>
      </c>
      <c r="H97" s="362">
        <f>IFERROR(VLOOKUP(C97,'تقرير المصروفات حسب الشهر'!$C$512:$AD$620,17,FALSE),0)</f>
        <v>0</v>
      </c>
      <c r="I97" s="362">
        <f>IFERROR(VLOOKUP(C97,'تقرير المصروفات حسب الشهر'!$C$637:$AD$746,17,FALSE),0)</f>
        <v>0</v>
      </c>
      <c r="J97" s="362">
        <f>IFERROR(VLOOKUP(C97,'تقرير المصروفات حسب الشهر'!$C$763:$AD$872,17,FALSE),0)</f>
        <v>0</v>
      </c>
      <c r="K97" s="362">
        <f>IFERROR(VLOOKUP(C97,'تقرير المصروفات حسب الشهر'!$C$890:$AD$999,17,FALSE),0)</f>
        <v>0</v>
      </c>
      <c r="L97" s="362">
        <f>IFERROR(VLOOKUP(C97,'تقرير المصروفات حسب الشهر'!$C$1016:$AD$1126,17,FALSE),0)</f>
        <v>0</v>
      </c>
      <c r="M97" s="376">
        <f>IFERROR(VLOOKUP(C97,'تقرير المصروفات حسب الشهر'!$C$1143:$AD$1254,17,FALSE),0)</f>
        <v>0</v>
      </c>
      <c r="N97" s="376">
        <f>IFERROR(VLOOKUP(C97,'تقرير المصروفات حسب الشهر'!$C$1270:$AD$1381,17,FALSE),0)</f>
        <v>0</v>
      </c>
      <c r="O97" s="376">
        <f>IFERROR(VLOOKUP(C97,'تقرير المصروفات حسب الشهر'!$C$1397:$AI$1512,17,FALSE),0)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الشهر'!$C$10:$AD$119,17,FALSE),0)</f>
        <v>0</v>
      </c>
      <c r="E98" s="362">
        <f>IFERROR(VLOOKUP(C98,'تقرير المصروفات حسب الشهر'!$C$135:$AD$244,17,FALSE),0)</f>
        <v>0</v>
      </c>
      <c r="F98" s="362">
        <v>0</v>
      </c>
      <c r="G98" s="362">
        <f>IFERROR(VLOOKUP(C98,'تقرير المصروفات حسب الشهر'!$C$387:$AD$495,17,FALSE),0)</f>
        <v>0</v>
      </c>
      <c r="H98" s="362">
        <f>IFERROR(VLOOKUP(C98,'تقرير المصروفات حسب الشهر'!$C$512:$AD$620,17,FALSE),0)</f>
        <v>0</v>
      </c>
      <c r="I98" s="362">
        <f>IFERROR(VLOOKUP(C98,'تقرير المصروفات حسب الشهر'!$C$637:$AD$746,17,FALSE),0)</f>
        <v>0</v>
      </c>
      <c r="J98" s="362">
        <f>IFERROR(VLOOKUP(C98,'تقرير المصروفات حسب الشهر'!$C$763:$AD$872,17,FALSE),0)</f>
        <v>0</v>
      </c>
      <c r="K98" s="362">
        <f>IFERROR(VLOOKUP(C98,'تقرير المصروفات حسب الشهر'!$C$890:$AD$999,17,FALSE),0)</f>
        <v>0</v>
      </c>
      <c r="L98" s="362">
        <f>IFERROR(VLOOKUP(C98,'تقرير المصروفات حسب الشهر'!$C$1016:$AD$1126,17,FALSE),0)</f>
        <v>0</v>
      </c>
      <c r="M98" s="376">
        <f>IFERROR(VLOOKUP(C98,'تقرير المصروفات حسب الشهر'!$C$1143:$AD$1254,17,FALSE),0)</f>
        <v>0</v>
      </c>
      <c r="N98" s="376">
        <f>IFERROR(VLOOKUP(C98,'تقرير المصروفات حسب الشهر'!$C$1270:$AD$1381,17,FALSE),0)</f>
        <v>0</v>
      </c>
      <c r="O98" s="376">
        <f>IFERROR(VLOOKUP(C98,'تقرير المصروفات حسب الشهر'!$C$1397:$AI$1512,17,FALSE),0)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الشهر'!$C$10:$AD$119,17,FALSE),0)</f>
        <v>0</v>
      </c>
      <c r="E99" s="362">
        <f>IFERROR(VLOOKUP(C99,'تقرير المصروفات حسب الشهر'!$C$135:$AD$244,17,FALSE),0)</f>
        <v>0</v>
      </c>
      <c r="F99" s="362">
        <v>0</v>
      </c>
      <c r="G99" s="362">
        <f>IFERROR(VLOOKUP(C99,'تقرير المصروفات حسب الشهر'!$C$387:$AD$495,17,FALSE),0)</f>
        <v>0</v>
      </c>
      <c r="H99" s="362">
        <f>IFERROR(VLOOKUP(C99,'تقرير المصروفات حسب الشهر'!$C$512:$AD$620,17,FALSE),0)</f>
        <v>0</v>
      </c>
      <c r="I99" s="362">
        <f>IFERROR(VLOOKUP(C99,'تقرير المصروفات حسب الشهر'!$C$637:$AD$746,17,FALSE),0)</f>
        <v>0</v>
      </c>
      <c r="J99" s="362">
        <f>IFERROR(VLOOKUP(C99,'تقرير المصروفات حسب الشهر'!$C$763:$AD$872,17,FALSE),0)</f>
        <v>0</v>
      </c>
      <c r="K99" s="362">
        <f>IFERROR(VLOOKUP(C99,'تقرير المصروفات حسب الشهر'!$C$890:$AD$999,17,FALSE),0)</f>
        <v>0</v>
      </c>
      <c r="L99" s="362">
        <f>IFERROR(VLOOKUP(C99,'تقرير المصروفات حسب الشهر'!$C$1016:$AD$1126,17,FALSE),0)</f>
        <v>0</v>
      </c>
      <c r="M99" s="376">
        <f>IFERROR(VLOOKUP(C99,'تقرير المصروفات حسب الشهر'!$C$1143:$AD$1254,17,FALSE),0)</f>
        <v>0</v>
      </c>
      <c r="N99" s="376">
        <f>IFERROR(VLOOKUP(C99,'تقرير المصروفات حسب الشهر'!$C$1270:$AD$1381,17,FALSE),0)</f>
        <v>0</v>
      </c>
      <c r="O99" s="376">
        <f>IFERROR(VLOOKUP(C99,'تقرير المصروفات حسب الشهر'!$C$1397:$AI$1512,17,FALSE),0)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الشهر'!$C$10:$AD$119,17,FALSE),0)</f>
        <v>391.2</v>
      </c>
      <c r="E100" s="362">
        <f>IFERROR(VLOOKUP(C100,'تقرير المصروفات حسب الشهر'!$C$135:$AD$244,17,FALSE),0)</f>
        <v>378.6</v>
      </c>
      <c r="F100" s="362">
        <v>367.24</v>
      </c>
      <c r="G100" s="362">
        <f>IFERROR(VLOOKUP(C100,'تقرير المصروفات حسب الشهر'!$C$387:$AD$495,17,FALSE),0)</f>
        <v>367.24</v>
      </c>
      <c r="H100" s="362">
        <f>IFERROR(VLOOKUP(C100,'تقرير المصروفات حسب الشهر'!$C$512:$AD$620,17,FALSE),0)</f>
        <v>367.24</v>
      </c>
      <c r="I100" s="362">
        <f>IFERROR(VLOOKUP(C100,'تقرير المصروفات حسب الشهر'!$C$637:$AD$746,17,FALSE),0)</f>
        <v>423.72</v>
      </c>
      <c r="J100" s="362">
        <f>IFERROR(VLOOKUP(C100,'تقرير المصروفات حسب الشهر'!$C$763:$AD$872,17,FALSE),0)</f>
        <v>473.18</v>
      </c>
      <c r="K100" s="362">
        <f>IFERROR(VLOOKUP(C100,'تقرير المصروفات حسب الشهر'!$C$890:$AD$999,17,FALSE),0)</f>
        <v>473.18</v>
      </c>
      <c r="L100" s="362">
        <f>IFERROR(VLOOKUP(C100,'تقرير المصروفات حسب الشهر'!$C$1016:$AD$1126,17,FALSE),0)</f>
        <v>478.72</v>
      </c>
      <c r="M100" s="376">
        <f>IFERROR(VLOOKUP(C100,'تقرير المصروفات حسب الشهر'!$C$1143:$AD$1254,17,FALSE),0)</f>
        <v>528.5</v>
      </c>
      <c r="N100" s="376">
        <f>IFERROR(VLOOKUP(C100,'تقرير المصروفات حسب الشهر'!$C$1270:$AD$1381,17,FALSE),0)</f>
        <v>542.63</v>
      </c>
      <c r="O100" s="376">
        <f>IFERROR(VLOOKUP(C100,'تقرير المصروفات حسب الشهر'!$C$1397:$AI$1512,17,FALSE),0)</f>
        <v>276.2</v>
      </c>
      <c r="P100" s="364">
        <f t="shared" si="6"/>
        <v>5067.6499999999996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الشهر'!$C$10:$AD$119,17,FALSE),0)</f>
        <v>53.44</v>
      </c>
      <c r="E101" s="362">
        <f>IFERROR(VLOOKUP(C101,'تقرير المصروفات حسب الشهر'!$C$135:$AD$244,17,FALSE),0)</f>
        <v>53.44</v>
      </c>
      <c r="F101" s="362">
        <v>53.44</v>
      </c>
      <c r="G101" s="362">
        <f>IFERROR(VLOOKUP(C101,'تقرير المصروفات حسب الشهر'!$C$387:$AD$495,17,FALSE),0)</f>
        <v>91</v>
      </c>
      <c r="H101" s="362">
        <f>IFERROR(VLOOKUP(C101,'تقرير المصروفات حسب الشهر'!$C$512:$AD$620,17,FALSE),0)</f>
        <v>98.57</v>
      </c>
      <c r="I101" s="362">
        <f>IFERROR(VLOOKUP(C101,'تقرير المصروفات حسب الشهر'!$C$637:$AD$746,17,FALSE),0)</f>
        <v>98.57</v>
      </c>
      <c r="J101" s="362">
        <f>IFERROR(VLOOKUP(C101,'تقرير المصروفات حسب الشهر'!$C$763:$AD$872,17,FALSE),0)</f>
        <v>98.57</v>
      </c>
      <c r="K101" s="362">
        <f>IFERROR(VLOOKUP(C101,'تقرير المصروفات حسب الشهر'!$C$890:$AD$999,17,FALSE),0)</f>
        <v>83.3</v>
      </c>
      <c r="L101" s="362">
        <f>IFERROR(VLOOKUP(C101,'تقرير المصروفات حسب الشهر'!$C$1016:$AD$1126,17,FALSE),0)</f>
        <v>45.13</v>
      </c>
      <c r="M101" s="376">
        <f>IFERROR(VLOOKUP(C101,'تقرير المصروفات حسب الشهر'!$C$1143:$AD$1254,17,FALSE),0)</f>
        <v>45.13</v>
      </c>
      <c r="N101" s="376">
        <f>IFERROR(VLOOKUP(C101,'تقرير المصروفات حسب الشهر'!$C$1270:$AD$1381,17,FALSE),0)</f>
        <v>45.13</v>
      </c>
      <c r="O101" s="376">
        <f>IFERROR(VLOOKUP(C101,'تقرير المصروفات حسب الشهر'!$C$1397:$AI$1512,17,FALSE),0)</f>
        <v>45.13</v>
      </c>
      <c r="P101" s="364">
        <f t="shared" si="6"/>
        <v>810.84999999999991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الشهر'!$C$10:$AD$119,17,FALSE),0)</f>
        <v>128.79</v>
      </c>
      <c r="E102" s="362">
        <f>IFERROR(VLOOKUP(C102,'تقرير المصروفات حسب الشهر'!$C$135:$AD$244,17,FALSE),0)</f>
        <v>121.51</v>
      </c>
      <c r="F102" s="362">
        <v>121.51</v>
      </c>
      <c r="G102" s="362">
        <f>IFERROR(VLOOKUP(C102,'تقرير المصروفات حسب الشهر'!$C$387:$AD$495,17,FALSE),0)</f>
        <v>121.51</v>
      </c>
      <c r="H102" s="362">
        <f>IFERROR(VLOOKUP(C102,'تقرير المصروفات حسب الشهر'!$C$512:$AD$620,17,FALSE),0)</f>
        <v>121.51</v>
      </c>
      <c r="I102" s="362">
        <f>IFERROR(VLOOKUP(C102,'تقرير المصروفات حسب الشهر'!$C$637:$AD$746,17,FALSE),0)</f>
        <v>121.51</v>
      </c>
      <c r="J102" s="362">
        <f>IFERROR(VLOOKUP(C102,'تقرير المصروفات حسب الشهر'!$C$763:$AD$872,17,FALSE),0)</f>
        <v>121.51</v>
      </c>
      <c r="K102" s="362">
        <f>IFERROR(VLOOKUP(C102,'تقرير المصروفات حسب الشهر'!$C$890:$AD$999,17,FALSE),0)</f>
        <v>121.51</v>
      </c>
      <c r="L102" s="362">
        <f>IFERROR(VLOOKUP(C102,'تقرير المصروفات حسب الشهر'!$C$1016:$AD$1126,17,FALSE),0)</f>
        <v>121.51</v>
      </c>
      <c r="M102" s="376">
        <f>IFERROR(VLOOKUP(C102,'تقرير المصروفات حسب الشهر'!$C$1143:$AD$1254,17,FALSE),0)</f>
        <v>121.51</v>
      </c>
      <c r="N102" s="376">
        <f>IFERROR(VLOOKUP(C102,'تقرير المصروفات حسب الشهر'!$C$1270:$AD$1381,17,FALSE),0)</f>
        <v>121.47</v>
      </c>
      <c r="O102" s="376">
        <f>IFERROR(VLOOKUP(C102,'تقرير المصروفات حسب الشهر'!$C$1397:$AI$1512,17,FALSE),0)</f>
        <v>0.05</v>
      </c>
      <c r="P102" s="364">
        <f t="shared" si="6"/>
        <v>1343.9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الشهر'!$C$10:$AD$119,17,FALSE),0)</f>
        <v>1004.92</v>
      </c>
      <c r="E103" s="362">
        <f>IFERROR(VLOOKUP(C103,'تقرير المصروفات حسب الشهر'!$C$135:$AD$244,17,FALSE),0)</f>
        <v>1004.92</v>
      </c>
      <c r="F103" s="362">
        <v>1004.92</v>
      </c>
      <c r="G103" s="362">
        <f>IFERROR(VLOOKUP(C103,'تقرير المصروفات حسب الشهر'!$C$387:$AD$495,17,FALSE),0)</f>
        <v>1004.92</v>
      </c>
      <c r="H103" s="362">
        <f>IFERROR(VLOOKUP(C103,'تقرير المصروفات حسب الشهر'!$C$512:$AD$620,17,FALSE),0)</f>
        <v>1004.92</v>
      </c>
      <c r="I103" s="362">
        <f>IFERROR(VLOOKUP(C103,'تقرير المصروفات حسب الشهر'!$C$637:$AD$746,17,FALSE),0)</f>
        <v>1004.92</v>
      </c>
      <c r="J103" s="362">
        <f>IFERROR(VLOOKUP(C103,'تقرير المصروفات حسب الشهر'!$C$763:$AD$872,17,FALSE),0)</f>
        <v>1004.92</v>
      </c>
      <c r="K103" s="362">
        <f>IFERROR(VLOOKUP(C103,'تقرير المصروفات حسب الشهر'!$C$890:$AD$999,17,FALSE),0)</f>
        <v>1004.92</v>
      </c>
      <c r="L103" s="362">
        <f>IFERROR(VLOOKUP(C103,'تقرير المصروفات حسب الشهر'!$C$1016:$AD$1126,17,FALSE),0)</f>
        <v>1004.92</v>
      </c>
      <c r="M103" s="376">
        <f>IFERROR(VLOOKUP(C103,'تقرير المصروفات حسب الشهر'!$C$1143:$AD$1254,17,FALSE),0)</f>
        <v>1004.92</v>
      </c>
      <c r="N103" s="376">
        <f>IFERROR(VLOOKUP(C103,'تقرير المصروفات حسب الشهر'!$C$1270:$AD$1381,17,FALSE),0)</f>
        <v>1004.88</v>
      </c>
      <c r="O103" s="376">
        <f>IFERROR(VLOOKUP(C103,'تقرير المصروفات حسب الشهر'!$C$1397:$AI$1512,17,FALSE),0)</f>
        <v>0.1</v>
      </c>
      <c r="P103" s="364">
        <f t="shared" si="6"/>
        <v>11054.179999999998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الشهر'!$C$10:$AD$119,17,FALSE),0)</f>
        <v>0</v>
      </c>
      <c r="E104" s="362">
        <f>IFERROR(VLOOKUP(C104,'تقرير المصروفات حسب الشهر'!$C$135:$AD$244,17,FALSE),0)</f>
        <v>0</v>
      </c>
      <c r="F104" s="362">
        <v>0</v>
      </c>
      <c r="G104" s="362">
        <f>IFERROR(VLOOKUP(C104,'تقرير المصروفات حسب الشهر'!$C$387:$AD$495,17,FALSE),0)</f>
        <v>0</v>
      </c>
      <c r="H104" s="362">
        <f>IFERROR(VLOOKUP(C104,'تقرير المصروفات حسب الشهر'!$C$512:$AD$620,17,FALSE),0)</f>
        <v>0</v>
      </c>
      <c r="I104" s="362">
        <f>IFERROR(VLOOKUP(C104,'تقرير المصروفات حسب الشهر'!$C$637:$AD$746,17,FALSE),0)</f>
        <v>0</v>
      </c>
      <c r="J104" s="362">
        <f>IFERROR(VLOOKUP(C104,'تقرير المصروفات حسب الشهر'!$C$763:$AD$872,17,FALSE),0)</f>
        <v>0</v>
      </c>
      <c r="K104" s="362">
        <f>IFERROR(VLOOKUP(C104,'تقرير المصروفات حسب الشهر'!$C$890:$AD$999,17,FALSE),0)</f>
        <v>0</v>
      </c>
      <c r="L104" s="362">
        <f>IFERROR(VLOOKUP(C104,'تقرير المصروفات حسب الشهر'!$C$1016:$AD$1126,17,FALSE),0)</f>
        <v>0</v>
      </c>
      <c r="M104" s="376">
        <f>IFERROR(VLOOKUP(C104,'تقرير المصروفات حسب الشهر'!$C$1143:$AD$1254,17,FALSE),0)</f>
        <v>0</v>
      </c>
      <c r="N104" s="376">
        <f>IFERROR(VLOOKUP(C104,'تقرير المصروفات حسب الشهر'!$C$1270:$AD$1381,17,FALSE),0)</f>
        <v>0</v>
      </c>
      <c r="O104" s="376">
        <f>IFERROR(VLOOKUP(C104,'تقرير المصروفات حسب الشهر'!$C$1397:$AI$1512,17,FALSE),0)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الشهر'!$C$10:$AD$119,17,FALSE),0)</f>
        <v>0</v>
      </c>
      <c r="E105" s="362">
        <f>IFERROR(VLOOKUP(C105,'تقرير المصروفات حسب الشهر'!$C$135:$AD$244,17,FALSE),0)</f>
        <v>0</v>
      </c>
      <c r="F105" s="362">
        <v>0</v>
      </c>
      <c r="G105" s="362">
        <f>IFERROR(VLOOKUP(C105,'تقرير المصروفات حسب الشهر'!$C$387:$AD$495,17,FALSE),0)</f>
        <v>0</v>
      </c>
      <c r="H105" s="362">
        <f>IFERROR(VLOOKUP(C105,'تقرير المصروفات حسب الشهر'!$C$512:$AD$620,17,FALSE),0)</f>
        <v>0</v>
      </c>
      <c r="I105" s="362">
        <f>IFERROR(VLOOKUP(C105,'تقرير المصروفات حسب الشهر'!$C$637:$AD$746,17,FALSE),0)</f>
        <v>0</v>
      </c>
      <c r="J105" s="362">
        <f>IFERROR(VLOOKUP(C105,'تقرير المصروفات حسب الشهر'!$C$763:$AD$872,17,FALSE),0)</f>
        <v>0</v>
      </c>
      <c r="K105" s="362">
        <f>IFERROR(VLOOKUP(C105,'تقرير المصروفات حسب الشهر'!$C$890:$AD$999,17,FALSE),0)</f>
        <v>0</v>
      </c>
      <c r="L105" s="362">
        <f>IFERROR(VLOOKUP(C105,'تقرير المصروفات حسب الشهر'!$C$1016:$AD$1126,17,FALSE),0)</f>
        <v>0</v>
      </c>
      <c r="M105" s="376">
        <f>IFERROR(VLOOKUP(C105,'تقرير المصروفات حسب الشهر'!$C$1143:$AD$1254,17,FALSE),0)</f>
        <v>0</v>
      </c>
      <c r="N105" s="376">
        <f>IFERROR(VLOOKUP(C105,'تقرير المصروفات حسب الشهر'!$C$1270:$AD$1381,17,FALSE),0)</f>
        <v>0</v>
      </c>
      <c r="O105" s="376">
        <f>IFERROR(VLOOKUP(C105,'تقرير المصروفات حسب الشهر'!$C$1397:$AI$1512,17,FALSE),0)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الشهر'!$C$10:$AD$119,17,FALSE),0)</f>
        <v>3022.6</v>
      </c>
      <c r="E106" s="362">
        <f>IFERROR(VLOOKUP(C106,'تقرير المصروفات حسب الشهر'!$C$135:$AD$244,17,FALSE),0)</f>
        <v>2737.95</v>
      </c>
      <c r="F106" s="362">
        <v>2142</v>
      </c>
      <c r="G106" s="362">
        <f>IFERROR(VLOOKUP(C106,'تقرير المصروفات حسب الشهر'!$C$387:$AD$495,17,FALSE),0)</f>
        <v>1932</v>
      </c>
      <c r="H106" s="362">
        <f>IFERROR(VLOOKUP(C106,'تقرير المصروفات حسب الشهر'!$C$512:$AD$620,17,FALSE),0)</f>
        <v>1807.32</v>
      </c>
      <c r="I106" s="362">
        <f>IFERROR(VLOOKUP(C106,'تقرير المصروفات حسب الشهر'!$C$637:$AD$746,17,FALSE),0)</f>
        <v>2084</v>
      </c>
      <c r="J106" s="362">
        <f>IFERROR(VLOOKUP(C106,'تقرير المصروفات حسب الشهر'!$C$763:$AD$872,17,FALSE),0)</f>
        <v>2046</v>
      </c>
      <c r="K106" s="362">
        <f>IFERROR(VLOOKUP(C106,'تقرير المصروفات حسب الشهر'!$C$890:$AD$999,17,FALSE),0)</f>
        <v>1979</v>
      </c>
      <c r="L106" s="362">
        <f>IFERROR(VLOOKUP(C106,'تقرير المصروفات حسب الشهر'!$C$1016:$AD$1126,17,FALSE),0)</f>
        <v>10640.97</v>
      </c>
      <c r="M106" s="376">
        <f>IFERROR(VLOOKUP(C106,'تقرير المصروفات حسب الشهر'!$C$1143:$AD$1254,17,FALSE),0)</f>
        <v>3215</v>
      </c>
      <c r="N106" s="376">
        <f>IFERROR(VLOOKUP(C106,'تقرير المصروفات حسب الشهر'!$C$1270:$AD$1381,17,FALSE),0)</f>
        <v>1704.4</v>
      </c>
      <c r="O106" s="376">
        <f>IFERROR(VLOOKUP(C106,'تقرير المصروفات حسب الشهر'!$C$1397:$AI$1512,17,FALSE),0)</f>
        <v>1790</v>
      </c>
      <c r="P106" s="364">
        <f t="shared" si="6"/>
        <v>35101.24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الشهر'!$C$10:$AD$119,17,FALSE),0)</f>
        <v>0</v>
      </c>
      <c r="E107" s="362">
        <f>IFERROR(VLOOKUP(C107,'تقرير المصروفات حسب الشهر'!$C$135:$AD$244,17,FALSE),0)</f>
        <v>0</v>
      </c>
      <c r="F107" s="362">
        <v>0</v>
      </c>
      <c r="G107" s="362">
        <f>IFERROR(VLOOKUP(C107,'تقرير المصروفات حسب الشهر'!$C$387:$AD$495,17,FALSE),0)</f>
        <v>0</v>
      </c>
      <c r="H107" s="362">
        <f>IFERROR(VLOOKUP(C107,'تقرير المصروفات حسب الشهر'!$C$512:$AD$620,17,FALSE),0)</f>
        <v>0</v>
      </c>
      <c r="I107" s="362">
        <f>IFERROR(VLOOKUP(C107,'تقرير المصروفات حسب الشهر'!$C$637:$AD$746,17,FALSE),0)</f>
        <v>0</v>
      </c>
      <c r="J107" s="362">
        <f>IFERROR(VLOOKUP(C107,'تقرير المصروفات حسب الشهر'!$C$763:$AD$872,17,FALSE),0)</f>
        <v>0</v>
      </c>
      <c r="K107" s="362">
        <f>IFERROR(VLOOKUP(C107,'تقرير المصروفات حسب الشهر'!$C$890:$AD$999,17,FALSE),0)</f>
        <v>0</v>
      </c>
      <c r="L107" s="362">
        <f>IFERROR(VLOOKUP(C107,'تقرير المصروفات حسب الشهر'!$C$1016:$AD$1126,17,FALSE),0)</f>
        <v>0</v>
      </c>
      <c r="M107" s="376">
        <f>IFERROR(VLOOKUP(C107,'تقرير المصروفات حسب الشهر'!$C$1143:$AD$1254,17,FALSE),0)</f>
        <v>0</v>
      </c>
      <c r="N107" s="376">
        <f>IFERROR(VLOOKUP(C107,'تقرير المصروفات حسب الشهر'!$C$1270:$AD$1381,17,FALSE),0)</f>
        <v>0</v>
      </c>
      <c r="O107" s="376">
        <f>IFERROR(VLOOKUP(C107,'تقرير المصروفات حسب الشهر'!$C$1397:$AI$1512,17,FALSE),0)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الشهر'!$C$10:$AD$119,17,FALSE),0)</f>
        <v>0</v>
      </c>
      <c r="E108" s="362">
        <f>IFERROR(VLOOKUP(C108,'تقرير المصروفات حسب الشهر'!$C$135:$AD$244,17,FALSE),0)</f>
        <v>0</v>
      </c>
      <c r="F108" s="362">
        <v>0</v>
      </c>
      <c r="G108" s="362">
        <f>IFERROR(VLOOKUP(C108,'تقرير المصروفات حسب الشهر'!$C$387:$AD$495,17,FALSE),0)</f>
        <v>0</v>
      </c>
      <c r="H108" s="362">
        <f>IFERROR(VLOOKUP(C108,'تقرير المصروفات حسب الشهر'!$C$512:$AD$620,17,FALSE),0)</f>
        <v>0</v>
      </c>
      <c r="I108" s="362">
        <f>IFERROR(VLOOKUP(C108,'تقرير المصروفات حسب الشهر'!$C$637:$AD$746,17,FALSE),0)</f>
        <v>0</v>
      </c>
      <c r="J108" s="362">
        <f>IFERROR(VLOOKUP(C108,'تقرير المصروفات حسب الشهر'!$C$763:$AD$872,17,FALSE),0)</f>
        <v>0</v>
      </c>
      <c r="K108" s="362">
        <f>IFERROR(VLOOKUP(C108,'تقرير المصروفات حسب الشهر'!$C$890:$AD$999,17,FALSE),0)</f>
        <v>0</v>
      </c>
      <c r="L108" s="362">
        <f>IFERROR(VLOOKUP(C108,'تقرير المصروفات حسب الشهر'!$C$1016:$AD$1126,17,FALSE),0)</f>
        <v>0</v>
      </c>
      <c r="M108" s="376">
        <f>IFERROR(VLOOKUP(C108,'تقرير المصروفات حسب الشهر'!$C$1143:$AD$1254,17,FALSE),0)</f>
        <v>0</v>
      </c>
      <c r="N108" s="376">
        <f>IFERROR(VLOOKUP(C108,'تقرير المصروفات حسب الشهر'!$C$1270:$AD$1381,17,FALSE),0)</f>
        <v>0</v>
      </c>
      <c r="O108" s="376">
        <f>IFERROR(VLOOKUP(C108,'تقرير المصروفات حسب الشهر'!$C$1397:$AI$1512,17,FALSE),0)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الشهر'!$C$10:$AD$119,17,FALSE),0)</f>
        <v>0</v>
      </c>
      <c r="E109" s="362">
        <f>IFERROR(VLOOKUP(C109,'تقرير المصروفات حسب الشهر'!$C$135:$AD$244,17,FALSE),0)</f>
        <v>0</v>
      </c>
      <c r="F109" s="362">
        <v>0</v>
      </c>
      <c r="G109" s="362">
        <f>IFERROR(VLOOKUP(C109,'تقرير المصروفات حسب الشهر'!$C$387:$AD$495,17,FALSE),0)</f>
        <v>0</v>
      </c>
      <c r="H109" s="362">
        <f>IFERROR(VLOOKUP(C109,'تقرير المصروفات حسب الشهر'!$C$512:$AD$620,17,FALSE),0)</f>
        <v>0</v>
      </c>
      <c r="I109" s="362">
        <f>IFERROR(VLOOKUP(C109,'تقرير المصروفات حسب الشهر'!$C$637:$AD$746,17,FALSE),0)</f>
        <v>0</v>
      </c>
      <c r="J109" s="362">
        <f>IFERROR(VLOOKUP(C109,'تقرير المصروفات حسب الشهر'!$C$763:$AD$872,17,FALSE),0)</f>
        <v>0</v>
      </c>
      <c r="K109" s="362">
        <f>IFERROR(VLOOKUP(C109,'تقرير المصروفات حسب الشهر'!$C$890:$AD$999,17,FALSE),0)</f>
        <v>0</v>
      </c>
      <c r="L109" s="362">
        <f>IFERROR(VLOOKUP(C109,'تقرير المصروفات حسب الشهر'!$C$1016:$AD$1126,17,FALSE),0)</f>
        <v>0</v>
      </c>
      <c r="M109" s="376">
        <f>IFERROR(VLOOKUP(C109,'تقرير المصروفات حسب الشهر'!$C$1143:$AD$1254,17,FALSE),0)</f>
        <v>0</v>
      </c>
      <c r="N109" s="376">
        <f>IFERROR(VLOOKUP(C109,'تقرير المصروفات حسب الشهر'!$C$1270:$AD$1381,17,FALSE),0)</f>
        <v>0</v>
      </c>
      <c r="O109" s="376">
        <f>IFERROR(VLOOKUP(C109,'تقرير المصروفات حسب الشهر'!$C$1397:$AI$1512,17,FALSE),0)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الشهر'!$C$10:$AD$119,17,FALSE),0)</f>
        <v>8.23</v>
      </c>
      <c r="E110" s="362">
        <f>IFERROR(VLOOKUP(C110,'تقرير المصروفات حسب الشهر'!$C$135:$AD$244,17,FALSE),0)</f>
        <v>0</v>
      </c>
      <c r="F110" s="362">
        <v>0</v>
      </c>
      <c r="G110" s="362">
        <f>IFERROR(VLOOKUP(C110,'تقرير المصروفات حسب الشهر'!$C$387:$AD$495,17,FALSE),0)</f>
        <v>0</v>
      </c>
      <c r="H110" s="362">
        <f>IFERROR(VLOOKUP(C110,'تقرير المصروفات حسب الشهر'!$C$512:$AD$620,17,FALSE),0)</f>
        <v>0</v>
      </c>
      <c r="I110" s="362">
        <f>IFERROR(VLOOKUP(C110,'تقرير المصروفات حسب الشهر'!$C$637:$AD$746,17,FALSE),0)</f>
        <v>0</v>
      </c>
      <c r="J110" s="362">
        <f>IFERROR(VLOOKUP(C110,'تقرير المصروفات حسب الشهر'!$C$763:$AD$872,17,FALSE),0)</f>
        <v>0</v>
      </c>
      <c r="K110" s="362">
        <f>IFERROR(VLOOKUP(C110,'تقرير المصروفات حسب الشهر'!$C$890:$AD$999,17,FALSE),0)</f>
        <v>1.83</v>
      </c>
      <c r="L110" s="362">
        <f>IFERROR(VLOOKUP(C110,'تقرير المصروفات حسب الشهر'!$C$1016:$AD$1126,17,FALSE),0)</f>
        <v>0</v>
      </c>
      <c r="M110" s="376">
        <f>IFERROR(VLOOKUP(C110,'تقرير المصروفات حسب الشهر'!$C$1143:$AD$1254,17,FALSE),0)</f>
        <v>2428.29</v>
      </c>
      <c r="N110" s="376">
        <f>IFERROR(VLOOKUP(C110,'تقرير المصروفات حسب الشهر'!$C$1270:$AD$1381,17,FALSE),0)</f>
        <v>4949.88</v>
      </c>
      <c r="O110" s="376">
        <f>IFERROR(VLOOKUP(C110,'تقرير المصروفات حسب الشهر'!$C$1397:$AI$1512,17,FALSE),0)</f>
        <v>0</v>
      </c>
      <c r="P110" s="364">
        <f t="shared" si="6"/>
        <v>7388.23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الشهر'!$C$10:$AD$119,17,FALSE),0)</f>
        <v>0</v>
      </c>
      <c r="E111" s="362">
        <f>IFERROR(VLOOKUP(C111,'تقرير المصروفات حسب الشهر'!$C$135:$AD$244,17,FALSE),0)</f>
        <v>0</v>
      </c>
      <c r="F111" s="362">
        <v>0</v>
      </c>
      <c r="G111" s="362">
        <f>IFERROR(VLOOKUP(C111,'تقرير المصروفات حسب الشهر'!$C$387:$AD$495,17,FALSE),0)</f>
        <v>0</v>
      </c>
      <c r="H111" s="362">
        <f>IFERROR(VLOOKUP(C111,'تقرير المصروفات حسب الشهر'!$C$512:$AD$620,17,FALSE),0)</f>
        <v>0</v>
      </c>
      <c r="I111" s="362">
        <f>IFERROR(VLOOKUP(C111,'تقرير المصروفات حسب الشهر'!$C$637:$AD$746,17,FALSE),0)</f>
        <v>0</v>
      </c>
      <c r="J111" s="362">
        <f>IFERROR(VLOOKUP(C111,'تقرير المصروفات حسب الشهر'!$C$763:$AD$872,17,FALSE),0)</f>
        <v>0</v>
      </c>
      <c r="K111" s="362">
        <f>IFERROR(VLOOKUP(C111,'تقرير المصروفات حسب الشهر'!$C$890:$AD$999,17,FALSE),0)</f>
        <v>0</v>
      </c>
      <c r="L111" s="362">
        <f>IFERROR(VLOOKUP(C111,'تقرير المصروفات حسب الشهر'!$C$1016:$AD$1126,17,FALSE),0)</f>
        <v>0</v>
      </c>
      <c r="M111" s="376">
        <f>IFERROR(VLOOKUP(C111,'تقرير المصروفات حسب الشهر'!$C$1143:$AD$1254,17,FALSE),0)</f>
        <v>0</v>
      </c>
      <c r="N111" s="376">
        <f>IFERROR(VLOOKUP(C111,'تقرير المصروفات حسب الشهر'!$C$1270:$AD$1381,17,FALSE),0)</f>
        <v>0</v>
      </c>
      <c r="O111" s="376">
        <f>IFERROR(VLOOKUP(C111,'تقرير المصروفات حسب الشهر'!$C$1397:$AI$1512,17,FALSE),0)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الشهر'!$C$10:$AD$119,17,FALSE),0)</f>
        <v>116</v>
      </c>
      <c r="E112" s="362">
        <f>IFERROR(VLOOKUP(C112,'تقرير المصروفات حسب الشهر'!$C$135:$AD$244,17,FALSE),0)</f>
        <v>0</v>
      </c>
      <c r="F112" s="362">
        <v>169</v>
      </c>
      <c r="G112" s="362">
        <f>IFERROR(VLOOKUP(C112,'تقرير المصروفات حسب الشهر'!$C$387:$AD$495,17,FALSE),0)</f>
        <v>0</v>
      </c>
      <c r="H112" s="362">
        <f>IFERROR(VLOOKUP(C112,'تقرير المصروفات حسب الشهر'!$C$512:$AD$620,17,FALSE),0)</f>
        <v>0</v>
      </c>
      <c r="I112" s="362">
        <f>IFERROR(VLOOKUP(C112,'تقرير المصروفات حسب الشهر'!$C$637:$AD$746,17,FALSE),0)</f>
        <v>242</v>
      </c>
      <c r="J112" s="362">
        <f>IFERROR(VLOOKUP(C112,'تقرير المصروفات حسب الشهر'!$C$763:$AD$872,17,FALSE),0)</f>
        <v>0</v>
      </c>
      <c r="K112" s="362">
        <f>IFERROR(VLOOKUP(C112,'تقرير المصروفات حسب الشهر'!$C$890:$AD$999,17,FALSE),0)</f>
        <v>0</v>
      </c>
      <c r="L112" s="362">
        <f>IFERROR(VLOOKUP(C112,'تقرير المصروفات حسب الشهر'!$C$1016:$AD$1126,17,FALSE),0)</f>
        <v>109</v>
      </c>
      <c r="M112" s="376">
        <f>IFERROR(VLOOKUP(C112,'تقرير المصروفات حسب الشهر'!$C$1143:$AD$1254,17,FALSE),0)</f>
        <v>250</v>
      </c>
      <c r="N112" s="376">
        <f>IFERROR(VLOOKUP(C112,'تقرير المصروفات حسب الشهر'!$C$1270:$AD$1381,17,FALSE),0)</f>
        <v>0</v>
      </c>
      <c r="O112" s="376">
        <f>IFERROR(VLOOKUP(C112,'تقرير المصروفات حسب الشهر'!$C$1397:$AI$1512,17,FALSE),0)</f>
        <v>0</v>
      </c>
      <c r="P112" s="364">
        <f t="shared" si="6"/>
        <v>886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الشهر'!$C$10:$AD$119,17,FALSE),0)</f>
        <v>0</v>
      </c>
      <c r="E113" s="362">
        <f>IFERROR(VLOOKUP(C113,'تقرير المصروفات حسب الشهر'!$C$135:$AD$244,17,FALSE),0)</f>
        <v>0</v>
      </c>
      <c r="F113" s="362">
        <v>0</v>
      </c>
      <c r="G113" s="362">
        <f>IFERROR(VLOOKUP(C113,'تقرير المصروفات حسب الشهر'!$C$387:$AD$495,17,FALSE),0)</f>
        <v>0</v>
      </c>
      <c r="H113" s="362">
        <f>IFERROR(VLOOKUP(C113,'تقرير المصروفات حسب الشهر'!$C$512:$AD$620,17,FALSE),0)</f>
        <v>0</v>
      </c>
      <c r="I113" s="362">
        <f>IFERROR(VLOOKUP(C113,'تقرير المصروفات حسب الشهر'!$C$637:$AD$746,17,FALSE),0)</f>
        <v>0</v>
      </c>
      <c r="J113" s="362">
        <f>IFERROR(VLOOKUP(C113,'تقرير المصروفات حسب الشهر'!$C$763:$AD$872,17,FALSE),0)</f>
        <v>0</v>
      </c>
      <c r="K113" s="362">
        <f>IFERROR(VLOOKUP(C113,'تقرير المصروفات حسب الشهر'!$C$890:$AD$999,17,FALSE),0)</f>
        <v>0</v>
      </c>
      <c r="L113" s="362">
        <f>IFERROR(VLOOKUP(C113,'تقرير المصروفات حسب الشهر'!$C$1016:$AD$1126,17,FALSE),0)</f>
        <v>0</v>
      </c>
      <c r="M113" s="376">
        <f>IFERROR(VLOOKUP(C113,'تقرير المصروفات حسب الشهر'!$C$1143:$AD$1254,17,FALSE),0)</f>
        <v>0</v>
      </c>
      <c r="N113" s="376">
        <f>IFERROR(VLOOKUP(C113,'تقرير المصروفات حسب الشهر'!$C$1270:$AD$1381,17,FALSE),0)</f>
        <v>0</v>
      </c>
      <c r="O113" s="376">
        <f>IFERROR(VLOOKUP(C113,'تقرير المصروفات حسب الشهر'!$C$1397:$AI$1512,17,FALSE),0)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الشهر'!$C$10:$AD$119,17,FALSE),0)</f>
        <v>0</v>
      </c>
      <c r="E114" s="362">
        <f>IFERROR(VLOOKUP(C114,'تقرير المصروفات حسب الشهر'!$C$135:$AD$244,17,FALSE),0)</f>
        <v>0</v>
      </c>
      <c r="F114" s="362">
        <v>0</v>
      </c>
      <c r="G114" s="362">
        <f>IFERROR(VLOOKUP(C114,'تقرير المصروفات حسب الشهر'!$C$387:$AD$495,17,FALSE),0)</f>
        <v>0</v>
      </c>
      <c r="H114" s="362">
        <f>IFERROR(VLOOKUP(C114,'تقرير المصروفات حسب الشهر'!$C$512:$AD$620,17,FALSE),0)</f>
        <v>0</v>
      </c>
      <c r="I114" s="362">
        <f>IFERROR(VLOOKUP(C114,'تقرير المصروفات حسب الشهر'!$C$637:$AD$746,17,FALSE),0)</f>
        <v>0</v>
      </c>
      <c r="J114" s="362">
        <f>IFERROR(VLOOKUP(C114,'تقرير المصروفات حسب الشهر'!$C$763:$AD$872,17,FALSE),0)</f>
        <v>0</v>
      </c>
      <c r="K114" s="362">
        <f>IFERROR(VLOOKUP(C114,'تقرير المصروفات حسب الشهر'!$C$890:$AD$999,17,FALSE),0)</f>
        <v>0</v>
      </c>
      <c r="L114" s="362">
        <f>IFERROR(VLOOKUP(C114,'تقرير المصروفات حسب الشهر'!$C$1016:$AD$1126,17,FALSE),0)</f>
        <v>0</v>
      </c>
      <c r="M114" s="376">
        <f>IFERROR(VLOOKUP(C114,'تقرير المصروفات حسب الشهر'!$C$1143:$AD$1254,17,FALSE),0)</f>
        <v>0</v>
      </c>
      <c r="N114" s="376">
        <f>IFERROR(VLOOKUP(C114,'تقرير المصروفات حسب الشهر'!$C$1270:$AD$1381,17,FALSE),0)</f>
        <v>0</v>
      </c>
      <c r="O114" s="376">
        <f>IFERROR(VLOOKUP(C114,'تقرير المصروفات حسب الشهر'!$C$1397:$AI$1512,17,FALSE),0)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الشهر'!$C$10:$AD$119,17,FALSE),0)</f>
        <v>0</v>
      </c>
      <c r="E115" s="362">
        <f>IFERROR(VLOOKUP(C115,'تقرير المصروفات حسب الشهر'!$C$135:$AD$244,17,FALSE),0)</f>
        <v>0</v>
      </c>
      <c r="F115" s="362">
        <v>0</v>
      </c>
      <c r="G115" s="362">
        <f>IFERROR(VLOOKUP(C115,'تقرير المصروفات حسب الشهر'!$C$387:$AD$495,17,FALSE),0)</f>
        <v>0</v>
      </c>
      <c r="H115" s="362">
        <f>IFERROR(VLOOKUP(C115,'تقرير المصروفات حسب الشهر'!$C$512:$AD$620,17,FALSE),0)</f>
        <v>0</v>
      </c>
      <c r="I115" s="362">
        <f>IFERROR(VLOOKUP(C115,'تقرير المصروفات حسب الشهر'!$C$637:$AD$746,17,FALSE),0)</f>
        <v>0</v>
      </c>
      <c r="J115" s="362">
        <f>IFERROR(VLOOKUP(C115,'تقرير المصروفات حسب الشهر'!$C$763:$AD$872,17,FALSE),0)</f>
        <v>0</v>
      </c>
      <c r="K115" s="362">
        <f>IFERROR(VLOOKUP(C115,'تقرير المصروفات حسب الشهر'!$C$890:$AD$999,17,FALSE),0)</f>
        <v>0</v>
      </c>
      <c r="L115" s="362">
        <f>IFERROR(VLOOKUP(C115,'تقرير المصروفات حسب الشهر'!$C$1016:$AD$1126,17,FALSE),0)</f>
        <v>0</v>
      </c>
      <c r="M115" s="376">
        <f>IFERROR(VLOOKUP(C115,'تقرير المصروفات حسب الشهر'!$C$1143:$AD$1254,17,FALSE),0)</f>
        <v>0</v>
      </c>
      <c r="N115" s="376">
        <f>IFERROR(VLOOKUP(C115,'تقرير المصروفات حسب الشهر'!$C$1270:$AD$1381,17,FALSE),0)</f>
        <v>0</v>
      </c>
      <c r="O115" s="376">
        <f>IFERROR(VLOOKUP(C115,'تقرير المصروفات حسب الشهر'!$C$1397:$AI$1512,17,FALSE),0)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الشهر'!$C$10:$AD$119,17,FALSE),0)</f>
        <v>0</v>
      </c>
      <c r="E116" s="362">
        <f>IFERROR(VLOOKUP(C116,'تقرير المصروفات حسب الشهر'!$C$135:$AD$244,17,FALSE),0)</f>
        <v>0</v>
      </c>
      <c r="F116" s="362">
        <v>0</v>
      </c>
      <c r="G116" s="362">
        <f>IFERROR(VLOOKUP(C116,'تقرير المصروفات حسب الشهر'!$C$387:$AD$495,17,FALSE),0)</f>
        <v>0</v>
      </c>
      <c r="H116" s="362">
        <f>IFERROR(VLOOKUP(C116,'تقرير المصروفات حسب الشهر'!$C$512:$AD$620,17,FALSE),0)</f>
        <v>0</v>
      </c>
      <c r="I116" s="362">
        <f>IFERROR(VLOOKUP(C116,'تقرير المصروفات حسب الشهر'!$C$637:$AD$746,17,FALSE),0)</f>
        <v>0</v>
      </c>
      <c r="J116" s="362">
        <f>IFERROR(VLOOKUP(C116,'تقرير المصروفات حسب الشهر'!$C$763:$AD$872,17,FALSE),0)</f>
        <v>0</v>
      </c>
      <c r="K116" s="362">
        <f>IFERROR(VLOOKUP(C116,'تقرير المصروفات حسب الشهر'!$C$890:$AD$999,17,FALSE),0)</f>
        <v>0</v>
      </c>
      <c r="L116" s="362">
        <f>IFERROR(VLOOKUP(C116,'تقرير المصروفات حسب الشهر'!$C$1016:$AD$1126,17,FALSE),0)</f>
        <v>0</v>
      </c>
      <c r="M116" s="376">
        <f>IFERROR(VLOOKUP(C116,'تقرير المصروفات حسب الشهر'!$C$1143:$AD$1254,17,FALSE),0)</f>
        <v>0</v>
      </c>
      <c r="N116" s="376">
        <f>IFERROR(VLOOKUP(C116,'تقرير المصروفات حسب الشهر'!$C$1270:$AD$1381,17,FALSE),0)</f>
        <v>0</v>
      </c>
      <c r="O116" s="376">
        <f>IFERROR(VLOOKUP(C116,'تقرير المصروفات حسب الشهر'!$C$1397:$AI$1512,17,FALSE),0)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الشهر'!$C$10:$AD$119,17,FALSE),0)</f>
        <v>0</v>
      </c>
      <c r="E117" s="362">
        <f>IFERROR(VLOOKUP(C117,'تقرير المصروفات حسب الشهر'!$C$135:$AD$244,17,FALSE),0)</f>
        <v>0</v>
      </c>
      <c r="F117" s="362">
        <v>0</v>
      </c>
      <c r="G117" s="362">
        <f>IFERROR(VLOOKUP(C117,'تقرير المصروفات حسب الشهر'!$C$387:$AD$495,17,FALSE),0)</f>
        <v>0</v>
      </c>
      <c r="H117" s="362">
        <f>IFERROR(VLOOKUP(C117,'تقرير المصروفات حسب الشهر'!$C$512:$AD$620,17,FALSE),0)</f>
        <v>0</v>
      </c>
      <c r="I117" s="362">
        <f>IFERROR(VLOOKUP(C117,'تقرير المصروفات حسب الشهر'!$C$637:$AD$746,17,FALSE),0)</f>
        <v>0</v>
      </c>
      <c r="J117" s="362">
        <f>IFERROR(VLOOKUP(C117,'تقرير المصروفات حسب الشهر'!$C$763:$AD$872,17,FALSE),0)</f>
        <v>0</v>
      </c>
      <c r="K117" s="362">
        <f>IFERROR(VLOOKUP(C117,'تقرير المصروفات حسب الشهر'!$C$890:$AD$999,17,FALSE),0)</f>
        <v>0</v>
      </c>
      <c r="L117" s="362">
        <f>IFERROR(VLOOKUP(C117,'تقرير المصروفات حسب الشهر'!$C$1016:$AD$1126,17,FALSE),0)</f>
        <v>0</v>
      </c>
      <c r="M117" s="376">
        <f>IFERROR(VLOOKUP(C117,'تقرير المصروفات حسب الشهر'!$C$1143:$AD$1254,17,FALSE),0)</f>
        <v>0</v>
      </c>
      <c r="N117" s="376">
        <f>IFERROR(VLOOKUP(C117,'تقرير المصروفات حسب الشهر'!$C$1270:$AD$1381,17,FALSE),0)</f>
        <v>0</v>
      </c>
      <c r="O117" s="376">
        <f>IFERROR(VLOOKUP(C117,'تقرير المصروفات حسب الشهر'!$C$1397:$AI$1512,17,FALSE),0)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الشهر'!$C$10:$AD$119,17,FALSE),0)</f>
        <v>0</v>
      </c>
      <c r="E118" s="362">
        <f>IFERROR(VLOOKUP(C118,'تقرير المصروفات حسب الشهر'!$C$135:$AD$244,17,FALSE),0)</f>
        <v>0</v>
      </c>
      <c r="F118" s="362">
        <v>0</v>
      </c>
      <c r="G118" s="362">
        <f>IFERROR(VLOOKUP(C118,'تقرير المصروفات حسب الشهر'!$C$387:$AD$495,17,FALSE),0)</f>
        <v>0</v>
      </c>
      <c r="H118" s="362">
        <f>IFERROR(VLOOKUP(C118,'تقرير المصروفات حسب الشهر'!$C$512:$AD$620,17,FALSE),0)</f>
        <v>0</v>
      </c>
      <c r="I118" s="362">
        <f>IFERROR(VLOOKUP(C118,'تقرير المصروفات حسب الشهر'!$C$637:$AD$746,17,FALSE),0)</f>
        <v>0</v>
      </c>
      <c r="J118" s="362">
        <f>IFERROR(VLOOKUP(C118,'تقرير المصروفات حسب الشهر'!$C$763:$AD$872,17,FALSE),0)</f>
        <v>0</v>
      </c>
      <c r="K118" s="362">
        <f>IFERROR(VLOOKUP(C118,'تقرير المصروفات حسب الشهر'!$C$890:$AD$999,17,FALSE),0)</f>
        <v>0</v>
      </c>
      <c r="L118" s="362">
        <f>IFERROR(VLOOKUP(C118,'تقرير المصروفات حسب الشهر'!$C$1016:$AD$1126,17,FALSE),0)</f>
        <v>0</v>
      </c>
      <c r="M118" s="376">
        <f>IFERROR(VLOOKUP(C118,'تقرير المصروفات حسب الشهر'!$C$1143:$AD$1254,17,FALSE),0)</f>
        <v>0</v>
      </c>
      <c r="N118" s="376">
        <f>IFERROR(VLOOKUP(C118,'تقرير المصروفات حسب الشهر'!$C$1270:$AD$1381,17,FALSE),0)</f>
        <v>0</v>
      </c>
      <c r="O118" s="376">
        <f>IFERROR(VLOOKUP(C118,'تقرير المصروفات حسب الشهر'!$C$1397:$AI$1512,17,FALSE),0)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الشهر'!$C$10:$AD$119,17,FALSE),0)</f>
        <v>0</v>
      </c>
      <c r="E119" s="362">
        <f>IFERROR(VLOOKUP(C119,'تقرير المصروفات حسب الشهر'!$C$135:$AD$244,17,FALSE),0)</f>
        <v>3653</v>
      </c>
      <c r="F119" s="362">
        <v>0</v>
      </c>
      <c r="G119" s="362">
        <f>IFERROR(VLOOKUP(C119,'تقرير المصروفات حسب الشهر'!$C$387:$AD$495,17,FALSE),0)</f>
        <v>0</v>
      </c>
      <c r="H119" s="362">
        <f>IFERROR(VLOOKUP(C119,'تقرير المصروفات حسب الشهر'!$C$512:$AD$620,17,FALSE),0)</f>
        <v>3036</v>
      </c>
      <c r="I119" s="362">
        <f>IFERROR(VLOOKUP(C119,'تقرير المصروفات حسب الشهر'!$C$637:$AD$746,17,FALSE),0)</f>
        <v>811.11</v>
      </c>
      <c r="J119" s="362">
        <f>IFERROR(VLOOKUP(C119,'تقرير المصروفات حسب الشهر'!$C$763:$AD$872,17,FALSE),0)</f>
        <v>206</v>
      </c>
      <c r="K119" s="362">
        <f>IFERROR(VLOOKUP(C119,'تقرير المصروفات حسب الشهر'!$C$890:$AD$999,17,FALSE),0)</f>
        <v>0</v>
      </c>
      <c r="L119" s="362">
        <f>IFERROR(VLOOKUP(C119,'تقرير المصروفات حسب الشهر'!$C$1016:$AD$1126,17,FALSE),0)</f>
        <v>0</v>
      </c>
      <c r="M119" s="376">
        <f>IFERROR(VLOOKUP(C119,'تقرير المصروفات حسب الشهر'!$C$1143:$AD$1254,17,FALSE),0)</f>
        <v>0</v>
      </c>
      <c r="N119" s="376">
        <f>IFERROR(VLOOKUP(C119,'تقرير المصروفات حسب الشهر'!$C$1270:$AD$1381,17,FALSE),0)</f>
        <v>0</v>
      </c>
      <c r="O119" s="376">
        <f>IFERROR(VLOOKUP(C119,'تقرير المصروفات حسب الشهر'!$C$1397:$AI$1512,17,FALSE),0)</f>
        <v>1896.96</v>
      </c>
      <c r="P119" s="364">
        <f t="shared" si="6"/>
        <v>9603.07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الشهر'!$C$10:$AD$119,17,FALSE),0)</f>
        <v>0</v>
      </c>
      <c r="E120" s="362">
        <f>IFERROR(VLOOKUP(C120,'تقرير المصروفات حسب الشهر'!$C$135:$AD$244,17,FALSE),0)</f>
        <v>0</v>
      </c>
      <c r="F120" s="362">
        <v>0</v>
      </c>
      <c r="G120" s="362">
        <f>IFERROR(VLOOKUP(C120,'تقرير المصروفات حسب الشهر'!$C$387:$AD$495,17,FALSE),0)</f>
        <v>0</v>
      </c>
      <c r="H120" s="362">
        <f>IFERROR(VLOOKUP(C120,'تقرير المصروفات حسب الشهر'!$C$512:$AD$620,17,FALSE),0)</f>
        <v>0</v>
      </c>
      <c r="I120" s="362">
        <f>IFERROR(VLOOKUP(C120,'تقرير المصروفات حسب الشهر'!$C$637:$AD$746,17,FALSE),0)</f>
        <v>0</v>
      </c>
      <c r="J120" s="362">
        <f>IFERROR(VLOOKUP(C120,'تقرير المصروفات حسب الشهر'!$C$763:$AD$872,17,FALSE),0)</f>
        <v>0</v>
      </c>
      <c r="K120" s="362">
        <f>IFERROR(VLOOKUP(C120,'تقرير المصروفات حسب الشهر'!$C$890:$AD$999,17,FALSE),0)</f>
        <v>0</v>
      </c>
      <c r="L120" s="362">
        <f>IFERROR(VLOOKUP(C120,'تقرير المصروفات حسب الشهر'!$C$1016:$AD$1126,17,FALSE),0)</f>
        <v>0</v>
      </c>
      <c r="M120" s="376">
        <f>IFERROR(VLOOKUP(C120,'تقرير المصروفات حسب الشهر'!$C$1143:$AD$1254,17,FALSE),0)</f>
        <v>0</v>
      </c>
      <c r="N120" s="376">
        <f>IFERROR(VLOOKUP(C120,'تقرير المصروفات حسب الشهر'!$C$1270:$AD$1381,17,FALSE),0)</f>
        <v>0</v>
      </c>
      <c r="O120" s="376">
        <f>IFERROR(VLOOKUP(C120,'تقرير المصروفات حسب الشهر'!$C$1397:$AI$1512,17,FALSE),0)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الشهر'!$C$10:$AD$119,17,FALSE),0)</f>
        <v>0</v>
      </c>
      <c r="E121" s="362">
        <f>IFERROR(VLOOKUP(C121,'تقرير المصروفات حسب الشهر'!$C$135:$AD$244,17,FALSE),0)</f>
        <v>0</v>
      </c>
      <c r="F121" s="362">
        <v>0</v>
      </c>
      <c r="G121" s="362">
        <f>IFERROR(VLOOKUP(C121,'تقرير المصروفات حسب الشهر'!$C$387:$AD$495,17,FALSE),0)</f>
        <v>0</v>
      </c>
      <c r="H121" s="362">
        <f>IFERROR(VLOOKUP(C121,'تقرير المصروفات حسب الشهر'!$C$512:$AD$620,17,FALSE),0)</f>
        <v>0</v>
      </c>
      <c r="I121" s="362">
        <f>IFERROR(VLOOKUP(C121,'تقرير المصروفات حسب الشهر'!$C$637:$AD$746,17,FALSE),0)</f>
        <v>0</v>
      </c>
      <c r="J121" s="362">
        <f>IFERROR(VLOOKUP(C121,'تقرير المصروفات حسب الشهر'!$C$763:$AD$872,17,FALSE),0)</f>
        <v>0</v>
      </c>
      <c r="K121" s="362">
        <f>IFERROR(VLOOKUP(C121,'تقرير المصروفات حسب الشهر'!$C$890:$AD$999,17,FALSE),0)</f>
        <v>0</v>
      </c>
      <c r="L121" s="362">
        <f>IFERROR(VLOOKUP(C121,'تقرير المصروفات حسب الشهر'!$C$1016:$AD$1126,17,FALSE),0)</f>
        <v>0</v>
      </c>
      <c r="M121" s="376">
        <f>IFERROR(VLOOKUP(C121,'تقرير المصروفات حسب الشهر'!$C$1143:$AD$1254,17,FALSE),0)</f>
        <v>0</v>
      </c>
      <c r="N121" s="376">
        <f>IFERROR(VLOOKUP(C121,'تقرير المصروفات حسب الشهر'!$C$1270:$AD$1381,17,FALSE),0)</f>
        <v>0</v>
      </c>
      <c r="O121" s="376">
        <f>IFERROR(VLOOKUP(C121,'تقرير المصروفات حسب الشهر'!$C$1397:$AI$1512,17,FALSE),0)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الشهر'!$C$10:$AD$119,17,FALSE),0)</f>
        <v>0</v>
      </c>
      <c r="E122" s="362">
        <f>IFERROR(VLOOKUP(C122,'تقرير المصروفات حسب الشهر'!$C$135:$AD$244,17,FALSE),0)</f>
        <v>0</v>
      </c>
      <c r="F122" s="362">
        <v>0</v>
      </c>
      <c r="G122" s="362">
        <f>IFERROR(VLOOKUP(C122,'تقرير المصروفات حسب الشهر'!$C$387:$AD$495,17,FALSE),0)</f>
        <v>0</v>
      </c>
      <c r="H122" s="362">
        <f>IFERROR(VLOOKUP(C122,'تقرير المصروفات حسب الشهر'!$C$512:$AD$620,17,FALSE),0)</f>
        <v>0</v>
      </c>
      <c r="I122" s="362">
        <f>IFERROR(VLOOKUP(C122,'تقرير المصروفات حسب الشهر'!$C$637:$AD$746,17,FALSE),0)</f>
        <v>0</v>
      </c>
      <c r="J122" s="362">
        <f>IFERROR(VLOOKUP(C122,'تقرير المصروفات حسب الشهر'!$C$763:$AD$872,17,FALSE),0)</f>
        <v>0</v>
      </c>
      <c r="K122" s="362">
        <f>IFERROR(VLOOKUP(C122,'تقرير المصروفات حسب الشهر'!$C$890:$AD$999,17,FALSE),0)</f>
        <v>0</v>
      </c>
      <c r="L122" s="362">
        <f>IFERROR(VLOOKUP(C122,'تقرير المصروفات حسب الشهر'!$C$1016:$AD$1126,17,FALSE),0)</f>
        <v>0</v>
      </c>
      <c r="M122" s="376">
        <f>IFERROR(VLOOKUP(C122,'تقرير المصروفات حسب الشهر'!$C$1143:$AD$1254,17,FALSE),0)</f>
        <v>0</v>
      </c>
      <c r="N122" s="376">
        <f>IFERROR(VLOOKUP(C122,'تقرير المصروفات حسب الشهر'!$C$1270:$AD$1381,17,FALSE),0)</f>
        <v>0</v>
      </c>
      <c r="O122" s="376">
        <f>IFERROR(VLOOKUP(C122,'تقرير المصروفات حسب الشهر'!$C$1397:$AI$1512,17,FALSE),0)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الشهر'!$C$10:$AD$119,17,FALSE),0)</f>
        <v>0</v>
      </c>
      <c r="E123" s="362">
        <f>IFERROR(VLOOKUP(C123,'تقرير المصروفات حسب الشهر'!$C$135:$AD$244,17,FALSE),0)</f>
        <v>0</v>
      </c>
      <c r="F123" s="362">
        <v>0</v>
      </c>
      <c r="G123" s="362">
        <f>IFERROR(VLOOKUP(C123,'تقرير المصروفات حسب الشهر'!$C$387:$AD$495,17,FALSE),0)</f>
        <v>0</v>
      </c>
      <c r="H123" s="362">
        <f>IFERROR(VLOOKUP(C123,'تقرير المصروفات حسب الشهر'!$C$512:$AD$620,17,FALSE),0)</f>
        <v>0</v>
      </c>
      <c r="I123" s="362">
        <f>IFERROR(VLOOKUP(C123,'تقرير المصروفات حسب الشهر'!$C$637:$AD$746,17,FALSE),0)</f>
        <v>0</v>
      </c>
      <c r="J123" s="362">
        <f>IFERROR(VLOOKUP(C123,'تقرير المصروفات حسب الشهر'!$C$763:$AD$872,17,FALSE),0)</f>
        <v>0</v>
      </c>
      <c r="K123" s="362">
        <f>IFERROR(VLOOKUP(C123,'تقرير المصروفات حسب الشهر'!$C$890:$AD$999,17,FALSE),0)</f>
        <v>0</v>
      </c>
      <c r="L123" s="362">
        <f>IFERROR(VLOOKUP(C123,'تقرير المصروفات حسب الشهر'!$C$1016:$AD$1126,17,FALSE),0)</f>
        <v>0</v>
      </c>
      <c r="M123" s="376">
        <f>IFERROR(VLOOKUP(C123,'تقرير المصروفات حسب الشهر'!$C$1143:$AD$1254,17,FALSE),0)</f>
        <v>0</v>
      </c>
      <c r="N123" s="376">
        <f>IFERROR(VLOOKUP(C123,'تقرير المصروفات حسب الشهر'!$C$1270:$AD$1381,17,FALSE),0)</f>
        <v>0</v>
      </c>
      <c r="O123" s="376">
        <f>IFERROR(VLOOKUP(C123,'تقرير المصروفات حسب الشهر'!$C$1397:$AI$1512,17,FALSE),0)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الشهر'!$C$10:$AD$119,17,FALSE),0)</f>
        <v>0</v>
      </c>
      <c r="E124" s="362">
        <f>IFERROR(VLOOKUP(C124,'تقرير المصروفات حسب الشهر'!$C$135:$AD$244,17,FALSE),0)</f>
        <v>0</v>
      </c>
      <c r="F124" s="362">
        <v>0</v>
      </c>
      <c r="G124" s="362">
        <f>IFERROR(VLOOKUP(C124,'تقرير المصروفات حسب الشهر'!$C$387:$AD$495,17,FALSE),0)</f>
        <v>0</v>
      </c>
      <c r="H124" s="362">
        <f>IFERROR(VLOOKUP(C124,'تقرير المصروفات حسب الشهر'!$C$512:$AD$620,17,FALSE),0)</f>
        <v>0</v>
      </c>
      <c r="I124" s="362">
        <f>IFERROR(VLOOKUP(C124,'تقرير المصروفات حسب الشهر'!$C$637:$AD$746,17,FALSE),0)</f>
        <v>0</v>
      </c>
      <c r="J124" s="362">
        <f>IFERROR(VLOOKUP(C124,'تقرير المصروفات حسب الشهر'!$C$763:$AD$872,17,FALSE),0)</f>
        <v>0</v>
      </c>
      <c r="K124" s="362">
        <f>IFERROR(VLOOKUP(C124,'تقرير المصروفات حسب الشهر'!$C$890:$AD$999,17,FALSE),0)</f>
        <v>0</v>
      </c>
      <c r="L124" s="362">
        <f>IFERROR(VLOOKUP(C124,'تقرير المصروفات حسب الشهر'!$C$1016:$AD$1126,17,FALSE),0)</f>
        <v>0</v>
      </c>
      <c r="M124" s="376">
        <f>IFERROR(VLOOKUP(C124,'تقرير المصروفات حسب الشهر'!$C$1143:$AD$1254,17,FALSE),0)</f>
        <v>0</v>
      </c>
      <c r="N124" s="376">
        <f>IFERROR(VLOOKUP(C124,'تقرير المصروفات حسب الشهر'!$C$1270:$AD$1381,17,FALSE),0)</f>
        <v>0</v>
      </c>
      <c r="O124" s="376">
        <f>IFERROR(VLOOKUP(C124,'تقرير المصروفات حسب الشهر'!$C$1397:$AI$1512,17,FALSE),0)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الشهر'!$C$10:$AD$119,17,FALSE),0)</f>
        <v>0</v>
      </c>
      <c r="E125" s="362">
        <f>IFERROR(VLOOKUP(C125,'تقرير المصروفات حسب الشهر'!$C$135:$AD$244,17,FALSE),0)</f>
        <v>0</v>
      </c>
      <c r="F125" s="362">
        <v>0</v>
      </c>
      <c r="G125" s="362">
        <f>IFERROR(VLOOKUP(C125,'تقرير المصروفات حسب الشهر'!$C$387:$AD$495,17,FALSE),0)</f>
        <v>0</v>
      </c>
      <c r="H125" s="362">
        <f>IFERROR(VLOOKUP(C125,'تقرير المصروفات حسب الشهر'!$C$512:$AD$620,17,FALSE),0)</f>
        <v>0</v>
      </c>
      <c r="I125" s="362">
        <f>IFERROR(VLOOKUP(C125,'تقرير المصروفات حسب الشهر'!$C$637:$AD$746,17,FALSE),0)</f>
        <v>0</v>
      </c>
      <c r="J125" s="362">
        <f>IFERROR(VLOOKUP(C125,'تقرير المصروفات حسب الشهر'!$C$763:$AD$872,17,FALSE),0)</f>
        <v>0</v>
      </c>
      <c r="K125" s="362">
        <f>IFERROR(VLOOKUP(C125,'تقرير المصروفات حسب الشهر'!$C$890:$AD$999,17,FALSE),0)</f>
        <v>0</v>
      </c>
      <c r="L125" s="362">
        <f>IFERROR(VLOOKUP(C125,'تقرير المصروفات حسب الشهر'!$C$1016:$AD$1126,17,FALSE),0)</f>
        <v>0</v>
      </c>
      <c r="M125" s="376">
        <f>IFERROR(VLOOKUP(C125,'تقرير المصروفات حسب الشهر'!$C$1143:$AD$1254,17,FALSE),0)</f>
        <v>0</v>
      </c>
      <c r="N125" s="376">
        <f>IFERROR(VLOOKUP(C125,'تقرير المصروفات حسب الشهر'!$C$1270:$AD$1381,17,FALSE),0)</f>
        <v>0</v>
      </c>
      <c r="O125" s="376">
        <f>IFERROR(VLOOKUP(C125,'تقرير المصروفات حسب الشهر'!$C$1397:$AI$1512,17,FALSE),0)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الشهر'!$C$10:$AD$119,17,FALSE),0)</f>
        <v>0</v>
      </c>
      <c r="E126" s="362">
        <f>IFERROR(VLOOKUP(C126,'تقرير المصروفات حسب الشهر'!$C$135:$AD$244,17,FALSE),0)</f>
        <v>0</v>
      </c>
      <c r="F126" s="362">
        <v>0</v>
      </c>
      <c r="G126" s="362">
        <f>IFERROR(VLOOKUP(C126,'تقرير المصروفات حسب الشهر'!$C$387:$AD$495,17,FALSE),0)</f>
        <v>0</v>
      </c>
      <c r="H126" s="362">
        <f>IFERROR(VLOOKUP(C126,'تقرير المصروفات حسب الشهر'!$C$512:$AD$620,17,FALSE),0)</f>
        <v>0</v>
      </c>
      <c r="I126" s="362">
        <f>IFERROR(VLOOKUP(C126,'تقرير المصروفات حسب الشهر'!$C$637:$AD$746,17,FALSE),0)</f>
        <v>0</v>
      </c>
      <c r="J126" s="362">
        <f>IFERROR(VLOOKUP(C126,'تقرير المصروفات حسب الشهر'!$C$763:$AD$872,17,FALSE),0)</f>
        <v>0</v>
      </c>
      <c r="K126" s="362">
        <f>IFERROR(VLOOKUP(C126,'تقرير المصروفات حسب الشهر'!$C$890:$AD$999,17,FALSE),0)</f>
        <v>0</v>
      </c>
      <c r="L126" s="362">
        <f>IFERROR(VLOOKUP(C126,'تقرير المصروفات حسب الشهر'!$C$1016:$AD$1126,17,FALSE),0)</f>
        <v>0</v>
      </c>
      <c r="M126" s="376">
        <f>IFERROR(VLOOKUP(C126,'تقرير المصروفات حسب الشهر'!$C$1143:$AD$1254,17,FALSE),0)</f>
        <v>0</v>
      </c>
      <c r="N126" s="376">
        <f>IFERROR(VLOOKUP(C126,'تقرير المصروفات حسب الشهر'!$C$1270:$AD$1381,17,FALSE),0)</f>
        <v>0</v>
      </c>
      <c r="O126" s="376">
        <f>IFERROR(VLOOKUP(C126,'تقرير المصروفات حسب الشهر'!$C$1397:$AI$1512,17,FALSE),0)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الشهر'!$C$10:$AD$119,17,FALSE),0)</f>
        <v>0</v>
      </c>
      <c r="E127" s="362">
        <f>IFERROR(VLOOKUP(C127,'تقرير المصروفات حسب الشهر'!$C$135:$AD$244,17,FALSE),0)</f>
        <v>0</v>
      </c>
      <c r="F127" s="362">
        <v>0</v>
      </c>
      <c r="G127" s="362">
        <f>IFERROR(VLOOKUP(C127,'تقرير المصروفات حسب الشهر'!$C$387:$AD$495,17,FALSE),0)</f>
        <v>0</v>
      </c>
      <c r="H127" s="362">
        <f>IFERROR(VLOOKUP(C127,'تقرير المصروفات حسب الشهر'!$C$512:$AD$620,17,FALSE),0)</f>
        <v>0</v>
      </c>
      <c r="I127" s="362">
        <f>IFERROR(VLOOKUP(C127,'تقرير المصروفات حسب الشهر'!$C$637:$AD$746,17,FALSE),0)</f>
        <v>0</v>
      </c>
      <c r="J127" s="362">
        <f>IFERROR(VLOOKUP(C127,'تقرير المصروفات حسب الشهر'!$C$763:$AD$872,17,FALSE),0)</f>
        <v>0</v>
      </c>
      <c r="K127" s="362">
        <f>IFERROR(VLOOKUP(C127,'تقرير المصروفات حسب الشهر'!$C$890:$AD$999,17,FALSE),0)</f>
        <v>0</v>
      </c>
      <c r="L127" s="362">
        <f>IFERROR(VLOOKUP(C127,'تقرير المصروفات حسب الشهر'!$C$1016:$AD$1126,17,FALSE),0)</f>
        <v>0</v>
      </c>
      <c r="M127" s="376">
        <f>IFERROR(VLOOKUP(C127,'تقرير المصروفات حسب الشهر'!$C$1143:$AD$1254,17,FALSE),0)</f>
        <v>0</v>
      </c>
      <c r="N127" s="376">
        <f>IFERROR(VLOOKUP(C127,'تقرير المصروفات حسب الشهر'!$C$1270:$AD$1381,17,FALSE),0)</f>
        <v>0</v>
      </c>
      <c r="O127" s="376">
        <f>IFERROR(VLOOKUP(C127,'تقرير المصروفات حسب الشهر'!$C$1397:$AI$1512,17,FALSE),0)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الشهر'!$C$10:$AD$119,17,FALSE),0)</f>
        <v>0</v>
      </c>
      <c r="E128" s="362">
        <f>IFERROR(VLOOKUP(C128,'تقرير المصروفات حسب الشهر'!$C$135:$AD$244,17,FALSE),0)</f>
        <v>0</v>
      </c>
      <c r="F128" s="362">
        <v>0</v>
      </c>
      <c r="G128" s="362">
        <f>IFERROR(VLOOKUP(C128,'تقرير المصروفات حسب الشهر'!$C$387:$AD$495,17,FALSE),0)</f>
        <v>0</v>
      </c>
      <c r="H128" s="362">
        <f>IFERROR(VLOOKUP(C128,'تقرير المصروفات حسب الشهر'!$C$512:$AD$620,17,FALSE),0)</f>
        <v>0</v>
      </c>
      <c r="I128" s="362">
        <f>IFERROR(VLOOKUP(C128,'تقرير المصروفات حسب الشهر'!$C$637:$AD$746,17,FALSE),0)</f>
        <v>0</v>
      </c>
      <c r="J128" s="362">
        <f>IFERROR(VLOOKUP(C128,'تقرير المصروفات حسب الشهر'!$C$763:$AD$872,17,FALSE),0)</f>
        <v>0</v>
      </c>
      <c r="K128" s="362">
        <f>IFERROR(VLOOKUP(C128,'تقرير المصروفات حسب الشهر'!$C$890:$AD$999,17,FALSE),0)</f>
        <v>0</v>
      </c>
      <c r="L128" s="362">
        <f>IFERROR(VLOOKUP(C128,'تقرير المصروفات حسب الشهر'!$C$1016:$AD$1126,17,FALSE),0)</f>
        <v>0</v>
      </c>
      <c r="M128" s="376">
        <f>IFERROR(VLOOKUP(C128,'تقرير المصروفات حسب الشهر'!$C$1143:$AD$1254,17,FALSE),0)</f>
        <v>0</v>
      </c>
      <c r="N128" s="376">
        <f>IFERROR(VLOOKUP(C128,'تقرير المصروفات حسب الشهر'!$C$1270:$AD$1381,17,FALSE),0)</f>
        <v>0</v>
      </c>
      <c r="O128" s="376">
        <f>IFERROR(VLOOKUP(C128,'تقرير المصروفات حسب الشهر'!$C$1397:$AI$1512,17,FALSE),0)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الشهر'!$C$10:$AD$119,17,FALSE),0)</f>
        <v>862.5</v>
      </c>
      <c r="E129" s="362">
        <f>IFERROR(VLOOKUP(C129,'تقرير المصروفات حسب الشهر'!$C$135:$AD$244,17,FALSE),0)</f>
        <v>862.5</v>
      </c>
      <c r="F129" s="362">
        <v>862.5</v>
      </c>
      <c r="G129" s="362">
        <f>IFERROR(VLOOKUP(C129,'تقرير المصروفات حسب الشهر'!$C$387:$AD$495,17,FALSE),0)</f>
        <v>862.5</v>
      </c>
      <c r="H129" s="362">
        <f>IFERROR(VLOOKUP(C129,'تقرير المصروفات حسب الشهر'!$C$512:$AD$620,17,FALSE),0)</f>
        <v>862.5</v>
      </c>
      <c r="I129" s="362">
        <f>IFERROR(VLOOKUP(C129,'تقرير المصروفات حسب الشهر'!$C$637:$AD$746,17,FALSE),0)</f>
        <v>863</v>
      </c>
      <c r="J129" s="362">
        <f>IFERROR(VLOOKUP(C129,'تقرير المصروفات حسب الشهر'!$C$763:$AD$872,17,FALSE),0)</f>
        <v>862.5</v>
      </c>
      <c r="K129" s="362">
        <f>IFERROR(VLOOKUP(C129,'تقرير المصروفات حسب الشهر'!$C$890:$AD$999,17,FALSE),0)</f>
        <v>862.5</v>
      </c>
      <c r="L129" s="362">
        <f>IFERROR(VLOOKUP(C129,'تقرير المصروفات حسب الشهر'!$C$1016:$AD$1126,17,FALSE),0)</f>
        <v>862.5</v>
      </c>
      <c r="M129" s="376">
        <f>IFERROR(VLOOKUP(C129,'تقرير المصروفات حسب الشهر'!$C$1143:$AD$1254,17,FALSE),0)</f>
        <v>1293.75</v>
      </c>
      <c r="N129" s="376">
        <f>IFERROR(VLOOKUP(C129,'تقرير المصروفات حسب الشهر'!$C$1270:$AD$1381,17,FALSE),0)</f>
        <v>1293.75</v>
      </c>
      <c r="O129" s="376">
        <f>IFERROR(VLOOKUP(C129,'تقرير المصروفات حسب الشهر'!$C$1397:$AI$1512,17,FALSE),0)</f>
        <v>1293.75</v>
      </c>
      <c r="P129" s="364">
        <f t="shared" si="6"/>
        <v>11644.25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الشهر'!$C$10:$AD$119,17,FALSE),0)</f>
        <v>0</v>
      </c>
      <c r="E130" s="362">
        <f>IFERROR(VLOOKUP(C130,'تقرير المصروفات حسب الشهر'!$C$135:$AD$244,17,FALSE),0)</f>
        <v>0</v>
      </c>
      <c r="F130" s="362">
        <v>0</v>
      </c>
      <c r="G130" s="362">
        <f>IFERROR(VLOOKUP(C130,'تقرير المصروفات حسب الشهر'!$C$387:$AD$495,17,FALSE),0)</f>
        <v>0</v>
      </c>
      <c r="H130" s="362">
        <f>IFERROR(VLOOKUP(C130,'تقرير المصروفات حسب الشهر'!$C$512:$AD$620,17,FALSE),0)</f>
        <v>0</v>
      </c>
      <c r="I130" s="362">
        <f>IFERROR(VLOOKUP(C130,'تقرير المصروفات حسب الشهر'!$C$637:$AD$746,17,FALSE),0)</f>
        <v>0</v>
      </c>
      <c r="J130" s="362">
        <f>IFERROR(VLOOKUP(C130,'تقرير المصروفات حسب الشهر'!$C$763:$AD$872,17,FALSE),0)</f>
        <v>0</v>
      </c>
      <c r="K130" s="362">
        <f>IFERROR(VLOOKUP(C130,'تقرير المصروفات حسب الشهر'!$C$890:$AD$999,17,FALSE),0)</f>
        <v>0</v>
      </c>
      <c r="L130" s="362">
        <f>IFERROR(VLOOKUP(C130,'تقرير المصروفات حسب الشهر'!$C$1016:$AI$1131,17,FALSE),0)</f>
        <v>0</v>
      </c>
      <c r="M130" s="376">
        <f>IFERROR(VLOOKUP(C130,'تقرير المصروفات حسب الشهر'!$C$1143:$AD$1254,17,FALSE),0)</f>
        <v>0</v>
      </c>
      <c r="N130" s="376">
        <f>IFERROR(VLOOKUP(C130,'تقرير المصروفات حسب الشهر'!$C$1270:$AD$1381,17,FALSE),0)</f>
        <v>0</v>
      </c>
      <c r="O130" s="376">
        <f>IFERROR(VLOOKUP(C130,'تقرير المصروفات حسب الشهر'!$C$1397:$AI$1512,17,FALSE),0)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الشهر'!$C$10:$AD$119,17,FALSE),0)</f>
        <v>0</v>
      </c>
      <c r="E131" s="362">
        <f>IFERROR(VLOOKUP(C131,'تقرير المصروفات حسب الشهر'!$C$135:$AD$244,17,FALSE),0)</f>
        <v>0</v>
      </c>
      <c r="F131" s="362">
        <v>0</v>
      </c>
      <c r="G131" s="362">
        <f>IFERROR(VLOOKUP(C131,'تقرير المصروفات حسب الشهر'!$C$387:$AD$495,17,FALSE),0)</f>
        <v>0</v>
      </c>
      <c r="H131" s="362">
        <f>IFERROR(VLOOKUP(C131,'تقرير المصروفات حسب الشهر'!$C$512:$AD$620,17,FALSE),0)</f>
        <v>0</v>
      </c>
      <c r="I131" s="362">
        <f>IFERROR(VLOOKUP(C131,'تقرير المصروفات حسب الشهر'!$C$637:$AD$746,17,FALSE),0)</f>
        <v>0</v>
      </c>
      <c r="J131" s="362">
        <f>IFERROR(VLOOKUP(C131,'تقرير المصروفات حسب الشهر'!$C$763:$AD$872,17,FALSE),0)</f>
        <v>0</v>
      </c>
      <c r="K131" s="362">
        <f>IFERROR(VLOOKUP(C131,'تقرير المصروفات حسب الشهر'!$C$890:$AD$999,17,FALSE),0)</f>
        <v>0</v>
      </c>
      <c r="L131" s="362">
        <f>IFERROR(VLOOKUP(C131,'تقرير المصروفات حسب الشهر'!$C$1016:$AI$1131,17,FALSE),0)</f>
        <v>0</v>
      </c>
      <c r="M131" s="376">
        <f>IFERROR(VLOOKUP(C131,'تقرير المصروفات حسب الشهر'!$C$1143:$AD$1254,17,FALSE),0)</f>
        <v>0</v>
      </c>
      <c r="N131" s="376">
        <f>IFERROR(VLOOKUP(C131,'تقرير المصروفات حسب الشهر'!$C$1270:$AD$1381,17,FALSE),0)</f>
        <v>0</v>
      </c>
      <c r="O131" s="376">
        <f>IFERROR(VLOOKUP(C131,'تقرير المصروفات حسب الشهر'!$C$1397:$AI$1512,17,FALSE),0)</f>
        <v>0</v>
      </c>
      <c r="P131" s="364">
        <f t="shared" si="6"/>
        <v>0</v>
      </c>
    </row>
    <row r="132" spans="1:17" ht="18" customHeight="1">
      <c r="B132" s="124"/>
      <c r="C132" s="341" t="s">
        <v>360</v>
      </c>
      <c r="D132" s="362">
        <f>IFERROR(VLOOKUP(C132,'تقرير المصروفات حسب الشهر'!$C$10:$AD$124,17,FALSE),0)</f>
        <v>60731.69</v>
      </c>
      <c r="E132" s="362">
        <f>IFERROR(VLOOKUP(C132,'تقرير المصروفات حسب الشهر'!$C$135:$AD$252,17,FALSE),0)</f>
        <v>69678.25</v>
      </c>
      <c r="F132" s="362">
        <v>66009.98000000001</v>
      </c>
      <c r="G132" s="362">
        <f>IFERROR(VLOOKUP(C132,'تقرير المصروفات حسب الشهر'!$C$387:$AD$503,17,FALSE),0)</f>
        <v>96402.51</v>
      </c>
      <c r="H132" s="362">
        <f>IFERROR(VLOOKUP(C132,'تقرير المصروفات حسب الشهر'!$C$512:$AD$622,17,FALSE),0)</f>
        <v>98153.11</v>
      </c>
      <c r="I132" s="362">
        <f>IFERROR(VLOOKUP(C132,'تقرير المصروفات حسب الشهر'!$C$637:$AD$750,17,FALSE),0)</f>
        <v>157230.79999999999</v>
      </c>
      <c r="J132" s="362">
        <f>IFERROR(VLOOKUP(C132,'تقرير المصروفات حسب الشهر'!$C$763:$AD$877,17,FALSE),0)</f>
        <v>117191.68000000001</v>
      </c>
      <c r="K132" s="362">
        <f>IFERROR(VLOOKUP(C132,'تقرير المصروفات حسب الشهر'!$C$890:$AD$1007,17,FALSE),0)</f>
        <v>98902.42</v>
      </c>
      <c r="L132" s="362">
        <f>IFERROR(VLOOKUP(C132,'تقرير المصروفات حسب الشهر'!$C$1016:$AI$1131,17,FALSE),0)</f>
        <v>123989.44</v>
      </c>
      <c r="M132" s="376">
        <f>IFERROR(VLOOKUP(C132,'تقرير المصروفات حسب الشهر'!$C$1143:$AD$1254,17,FALSE),0)</f>
        <v>96897.24</v>
      </c>
      <c r="N132" s="376">
        <f>IFERROR(VLOOKUP(C132,'تقرير المصروفات حسب الشهر'!$C$1270:$AD$1382,17,FALSE),0)</f>
        <v>111625.04</v>
      </c>
      <c r="O132" s="376">
        <f>IFERROR(VLOOKUP(C132,'تقرير المصروفات حسب الشهر'!$C$1397:$AI$1512,17,FALSE),0)</f>
        <v>128828.58</v>
      </c>
      <c r="P132" s="364">
        <f t="shared" si="6"/>
        <v>1225640.7400000002</v>
      </c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الشهر'!$C$763:$AD$877,17,FALSE),0)</f>
        <v>26105.599999999999</v>
      </c>
      <c r="K133" s="362">
        <f>IFERROR(VLOOKUP(C133,'تقرير المصروفات حسب الشهر'!$C$890:$AD$1007,17,FALSE),0)</f>
        <v>30049.370000000003</v>
      </c>
      <c r="L133" s="362">
        <f>IFERROR(VLOOKUP(C133,'تقرير المصروفات حسب الشهر'!$C$1016:$AI$1131,17,FALSE),0)</f>
        <v>43205.54</v>
      </c>
      <c r="M133" s="376">
        <f>IFERROR(VLOOKUP(C133,'تقرير المصروفات حسب الشهر'!$C$1143:$AD$1260,17,FALSE),0)</f>
        <v>36951.24</v>
      </c>
      <c r="N133" s="376">
        <f>IFERROR(VLOOKUP(C133,'تقرير المصروفات حسب الشهر'!$C$1270:$AI$1384,17,FALSE),0)</f>
        <v>20702.129999999997</v>
      </c>
      <c r="O133" s="376">
        <f>IFERROR(VLOOKUP(C133,'تقرير المصروفات حسب الشهر'!$C$1397:$AI$1512,17,FALSE),0)</f>
        <v>34237.910000000003</v>
      </c>
      <c r="P133" s="436"/>
    </row>
    <row r="134" spans="1:17" ht="18" customHeight="1">
      <c r="B134" s="124"/>
      <c r="C134" s="149" t="s">
        <v>270</v>
      </c>
      <c r="D134" s="146">
        <f>SUM(D22:D132)</f>
        <v>349935.47</v>
      </c>
      <c r="E134" s="146">
        <f t="shared" ref="E134:I134" si="7">SUM(E22:E132)</f>
        <v>304391.83000000007</v>
      </c>
      <c r="F134" s="146">
        <f t="shared" si="7"/>
        <v>313511.89</v>
      </c>
      <c r="G134" s="146">
        <f t="shared" si="7"/>
        <v>346785.37</v>
      </c>
      <c r="H134" s="146">
        <f t="shared" si="7"/>
        <v>345965.66000000003</v>
      </c>
      <c r="I134" s="146">
        <f t="shared" si="7"/>
        <v>440400.79999999993</v>
      </c>
      <c r="J134" s="146">
        <f t="shared" ref="J134:O134" si="8">SUM(J22:J133)</f>
        <v>408916.32999999996</v>
      </c>
      <c r="K134" s="146">
        <f t="shared" si="8"/>
        <v>390769.64999999997</v>
      </c>
      <c r="L134" s="146">
        <f t="shared" si="8"/>
        <v>455906.52999999991</v>
      </c>
      <c r="M134" s="146">
        <f t="shared" si="8"/>
        <v>461614.56</v>
      </c>
      <c r="N134" s="146">
        <f t="shared" si="8"/>
        <v>476628.42</v>
      </c>
      <c r="O134" s="146">
        <f t="shared" si="8"/>
        <v>518641.80000000005</v>
      </c>
      <c r="P134" s="388">
        <f t="shared" si="6"/>
        <v>4813468.3099999996</v>
      </c>
    </row>
    <row r="135" spans="1:17" ht="18" customHeight="1">
      <c r="B135" s="124"/>
      <c r="C135" s="13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387973.5399999998</v>
      </c>
      <c r="E136" s="392">
        <f t="shared" si="9"/>
        <v>399959.19</v>
      </c>
      <c r="F136" s="392">
        <f t="shared" si="9"/>
        <v>378464.12999999989</v>
      </c>
      <c r="G136" s="392">
        <f t="shared" si="9"/>
        <v>434372.35000000062</v>
      </c>
      <c r="H136" s="392">
        <f t="shared" si="9"/>
        <v>480217.67000000004</v>
      </c>
      <c r="I136" s="392">
        <f t="shared" si="9"/>
        <v>462442.34000000026</v>
      </c>
      <c r="J136" s="392">
        <f t="shared" si="9"/>
        <v>503981.98</v>
      </c>
      <c r="K136" s="392">
        <f t="shared" si="9"/>
        <v>524325.91999999993</v>
      </c>
      <c r="L136" s="392">
        <f t="shared" si="9"/>
        <v>749337.60000000068</v>
      </c>
      <c r="M136" s="392">
        <f t="shared" si="9"/>
        <v>555138.05000000028</v>
      </c>
      <c r="N136" s="392">
        <f t="shared" si="9"/>
        <v>514056.6799999997</v>
      </c>
      <c r="O136" s="392">
        <f t="shared" si="9"/>
        <v>531491.70999999973</v>
      </c>
      <c r="P136" s="388">
        <f t="shared" si="6"/>
        <v>5921761.1600000011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38038.069999999832</v>
      </c>
      <c r="E139" s="383">
        <f t="shared" ref="E139:O139" si="10">E136-E134</f>
        <v>95567.359999999928</v>
      </c>
      <c r="F139" s="383">
        <f t="shared" si="10"/>
        <v>64952.239999999874</v>
      </c>
      <c r="G139" s="383">
        <f t="shared" si="10"/>
        <v>87586.980000000622</v>
      </c>
      <c r="H139" s="383">
        <f t="shared" si="10"/>
        <v>134252.01</v>
      </c>
      <c r="I139" s="383">
        <f t="shared" si="10"/>
        <v>22041.540000000328</v>
      </c>
      <c r="J139" s="383">
        <f t="shared" si="10"/>
        <v>95065.650000000023</v>
      </c>
      <c r="K139" s="383">
        <f t="shared" si="10"/>
        <v>133556.26999999996</v>
      </c>
      <c r="L139" s="383">
        <f t="shared" si="10"/>
        <v>293431.07000000076</v>
      </c>
      <c r="M139" s="383">
        <f t="shared" si="10"/>
        <v>93523.490000000282</v>
      </c>
      <c r="N139" s="383">
        <f t="shared" si="10"/>
        <v>37428.259999999718</v>
      </c>
      <c r="O139" s="383">
        <f t="shared" si="10"/>
        <v>12849.909999999683</v>
      </c>
      <c r="P139" s="387">
        <f>SUM(D139:O139)</f>
        <v>1108292.850000001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F143" s="415"/>
      <c r="G143" s="238">
        <f>87587.1-G139</f>
        <v>0.11999999938416295</v>
      </c>
    </row>
    <row r="145" spans="14:14">
      <c r="N145" s="238"/>
    </row>
    <row r="147" spans="14:14">
      <c r="N147" s="4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42">
    <tabColor rgb="FFFFC000"/>
  </sheetPr>
  <dimension ref="A1:T143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344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172</v>
      </c>
      <c r="B8" s="390"/>
      <c r="C8" s="369" t="s">
        <v>114</v>
      </c>
      <c r="D8" s="364">
        <f>D9+D10+D11</f>
        <v>166143.39000000001</v>
      </c>
      <c r="E8" s="364">
        <f t="shared" ref="E8:O8" si="0">E9+E10+E11</f>
        <v>144909.00999999998</v>
      </c>
      <c r="F8" s="364">
        <f t="shared" si="0"/>
        <v>217530.25</v>
      </c>
      <c r="G8" s="364">
        <f t="shared" si="0"/>
        <v>350079.69</v>
      </c>
      <c r="H8" s="364">
        <f t="shared" si="0"/>
        <v>405771.77999999997</v>
      </c>
      <c r="I8" s="364">
        <f t="shared" si="0"/>
        <v>256593.15999999997</v>
      </c>
      <c r="J8" s="364">
        <f t="shared" si="0"/>
        <v>295822.5</v>
      </c>
      <c r="K8" s="364">
        <f t="shared" si="0"/>
        <v>471113.09</v>
      </c>
      <c r="L8" s="364">
        <f t="shared" si="0"/>
        <v>323628.51999999996</v>
      </c>
      <c r="M8" s="364">
        <f t="shared" si="0"/>
        <v>413650.85</v>
      </c>
      <c r="N8" s="364">
        <f t="shared" si="0"/>
        <v>804777.74</v>
      </c>
      <c r="O8" s="364">
        <f t="shared" si="0"/>
        <v>247614.91999999998</v>
      </c>
      <c r="P8" s="364">
        <f>SUM(D8:O8)</f>
        <v>4097634.9000000004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166143.39000000001</v>
      </c>
      <c r="E9" s="365">
        <f>VLOOKUP($A$8,'تقرير إحصائية بحجم المبيعات'!$B$42:$G$73,2,FALSE)</f>
        <v>144909.00999999998</v>
      </c>
      <c r="F9" s="365">
        <f>VLOOKUP($A$8,'تقرير إحصائية بحجم المبيعات'!$B$78:$E$103,2,FALSE)</f>
        <v>217530.25</v>
      </c>
      <c r="G9" s="365">
        <f>VLOOKUP($A$8,'تقرير إحصائية بحجم المبيعات'!$B$112:$G$137,2,FALSE)</f>
        <v>350079.69</v>
      </c>
      <c r="H9" s="365">
        <f>VLOOKUP($A$8,'تقرير إحصائية بحجم المبيعات'!$B$147:$G$177,2,FALSE)</f>
        <v>405771.77999999997</v>
      </c>
      <c r="I9" s="365">
        <f>VLOOKUP($A$8,'تقرير إحصائية بحجم المبيعات'!$B$182:$G$212,2,FALSE)</f>
        <v>256593.15999999997</v>
      </c>
      <c r="J9" s="365">
        <f>VLOOKUP($A$8,'تقرير إحصائية بحجم المبيعات'!$B$217:$L$243,2,FALSE)</f>
        <v>295822.5</v>
      </c>
      <c r="K9" s="365">
        <f>VLOOKUP($A$8,'تقرير إحصائية بحجم المبيعات'!$B$252:$L$278,2,FALSE)</f>
        <v>471113.09</v>
      </c>
      <c r="L9" s="365">
        <f>VLOOKUP($A$8,'تقرير إحصائية بحجم المبيعات'!$B$287:$L$313,2,FALSE)</f>
        <v>323628.51999999996</v>
      </c>
      <c r="M9" s="365">
        <f>VLOOKUP($A$8,'تقرير إحصائية بحجم المبيعات'!$B$322:$L$347,2,FALSE)</f>
        <v>413650.85</v>
      </c>
      <c r="N9" s="365">
        <f>VLOOKUP($A$8,'تقرير إحصائية بحجم المبيعات'!$B$357:$L$383,2,FALSE)</f>
        <v>804777.74</v>
      </c>
      <c r="O9" s="365">
        <f>VLOOKUP($A$8,'تقرير إحصائية بحجم المبيعات'!$B$391:$L$420,2,FALSE)</f>
        <v>247614.91999999998</v>
      </c>
      <c r="P9" s="364">
        <f t="shared" ref="P9:P18" si="1">SUM(D9:O9)</f>
        <v>4097634.9000000004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0</v>
      </c>
      <c r="E11" s="365">
        <f>VLOOKUP($A$8,'تقرير إحصائية بحجم المبيعات'!$B$42:$G$73,4,FALSE)</f>
        <v>0</v>
      </c>
      <c r="F11" s="365">
        <f>VLOOKUP($A$8,'تقرير إحصائية بحجم المبيعات'!$B$78:$E$103,4,FALSE)</f>
        <v>0</v>
      </c>
      <c r="G11" s="365">
        <f>VLOOKUP($A$8,'تقرير إحصائية بحجم المبيعات'!$B$112:$G$137,4,FALSE)</f>
        <v>0</v>
      </c>
      <c r="H11" s="365">
        <f>VLOOKUP($A$8,'تقرير إحصائية بحجم المبيعات'!$B$147:$G$177,4,FALSE)</f>
        <v>0</v>
      </c>
      <c r="I11" s="365">
        <f>VLOOKUP($A$8,'تقرير إحصائية بحجم المبيعات'!$B$182:$G$212,4,FALSE)</f>
        <v>0</v>
      </c>
      <c r="J11" s="365">
        <f>VLOOKUP($A$8,'تقرير إحصائية بحجم المبيعات'!$B$217:$L$243,4,FALSE)</f>
        <v>0</v>
      </c>
      <c r="K11" s="365">
        <f>VLOOKUP($A$8,'تقرير إحصائية بحجم المبيعات'!$B$252:$L$278,4,FALSE)</f>
        <v>0</v>
      </c>
      <c r="L11" s="365">
        <f>VLOOKUP($A$8,'تقرير إحصائية بحجم المبيعات'!$B$287:$L$313,4,FALSE)</f>
        <v>0</v>
      </c>
      <c r="M11" s="365">
        <f>VLOOKUP($A$8,'تقرير إحصائية بحجم المبيعات'!$B$322:$L$347,4,FALSE)</f>
        <v>0</v>
      </c>
      <c r="N11" s="365">
        <f>VLOOKUP($A$8,'تقرير إحصائية بحجم المبيعات'!$B$357:$L$383,4,FALSE)</f>
        <v>0</v>
      </c>
      <c r="O11" s="365">
        <f>VLOOKUP($A$8,'تقرير إحصائية بحجم المبيعات'!$B$391:$L$420,4,FALSE)</f>
        <v>0</v>
      </c>
      <c r="P11" s="364">
        <f t="shared" si="1"/>
        <v>0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131173.42000000001</v>
      </c>
      <c r="E12" s="364">
        <f>VLOOKUP($A$8,'تقرير إحصائية بحجم المبيعات'!$B$42:$L$73,11,FALSE)</f>
        <v>115882.15</v>
      </c>
      <c r="F12" s="364">
        <f>VLOOKUP($A$8,'تقرير إحصائية بحجم المبيعات'!$B$78:$L$103,11,FALSE)</f>
        <v>179305.95</v>
      </c>
      <c r="G12" s="364">
        <f>VLOOKUP($A$8,'تقرير إحصائية بحجم المبيعات'!$B$112:$L$137,11,FALSE)</f>
        <v>288770.88</v>
      </c>
      <c r="H12" s="364">
        <f>VLOOKUP($A$8,'تقرير إحصائية بحجم المبيعات'!$B$147:$L$177,11,FALSE)</f>
        <v>339905.39</v>
      </c>
      <c r="I12" s="364">
        <f>VLOOKUP($A$8,'تقرير إحصائية بحجم المبيعات'!$B$182:$L$212,11,FALSE)</f>
        <v>215411.89</v>
      </c>
      <c r="J12" s="365">
        <f>VLOOKUP($A$8,'تقرير إحصائية بحجم المبيعات'!$B$217:$L$243,11,FALSE)</f>
        <v>248945.89</v>
      </c>
      <c r="K12" s="364">
        <f>VLOOKUP($A$8,'تقرير إحصائية بحجم المبيعات'!$B$252:$L$278,11,FALSE)</f>
        <v>401887.03</v>
      </c>
      <c r="L12" s="364">
        <f>VLOOKUP($A$8,'تقرير إحصائية بحجم المبيعات'!$B$287:$L$313,11,FALSE)</f>
        <v>279412.36</v>
      </c>
      <c r="M12" s="365">
        <f>VLOOKUP($A$8,'تقرير إحصائية بحجم المبيعات'!$B$322:$L$347,11,FALSE)</f>
        <v>358143.5</v>
      </c>
      <c r="N12" s="365">
        <f>VLOOKUP($A$8,'تقرير إحصائية بحجم المبيعات'!$B$357:$L$383,11,FALSE)</f>
        <v>702767.37</v>
      </c>
      <c r="O12" s="365">
        <f>VLOOKUP($A$8,'تقرير إحصائية بحجم المبيعات'!$B$391:$L$420,11,FALSE)</f>
        <v>206944.04</v>
      </c>
      <c r="P12" s="364">
        <f t="shared" si="1"/>
        <v>3468549.8700000006</v>
      </c>
    </row>
    <row r="13" spans="1:20" ht="18" customHeight="1">
      <c r="B13" s="124"/>
      <c r="C13" s="371" t="s">
        <v>14</v>
      </c>
      <c r="D13" s="366">
        <f t="shared" ref="D13:O13" si="2">D8-D12</f>
        <v>34969.97</v>
      </c>
      <c r="E13" s="366">
        <f t="shared" si="2"/>
        <v>29026.859999999986</v>
      </c>
      <c r="F13" s="366">
        <f t="shared" si="2"/>
        <v>38224.299999999988</v>
      </c>
      <c r="G13" s="366">
        <f t="shared" si="2"/>
        <v>61308.81</v>
      </c>
      <c r="H13" s="366">
        <f t="shared" si="2"/>
        <v>65866.389999999956</v>
      </c>
      <c r="I13" s="366">
        <f t="shared" si="2"/>
        <v>41181.26999999996</v>
      </c>
      <c r="J13" s="366">
        <f t="shared" si="2"/>
        <v>46876.609999999986</v>
      </c>
      <c r="K13" s="366">
        <f t="shared" si="2"/>
        <v>69226.06</v>
      </c>
      <c r="L13" s="366">
        <f t="shared" si="2"/>
        <v>44216.159999999974</v>
      </c>
      <c r="M13" s="366">
        <f t="shared" si="2"/>
        <v>55507.349999999977</v>
      </c>
      <c r="N13" s="366">
        <f t="shared" si="2"/>
        <v>102010.37</v>
      </c>
      <c r="O13" s="366">
        <f t="shared" si="2"/>
        <v>40670.879999999976</v>
      </c>
      <c r="P13" s="366">
        <f t="shared" si="1"/>
        <v>629085.0299999998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/>
      <c r="I16" s="367"/>
      <c r="J16" s="367">
        <v>4758.28</v>
      </c>
      <c r="K16" s="367"/>
      <c r="L16" s="367"/>
      <c r="M16" s="367"/>
      <c r="N16" s="367"/>
      <c r="O16" s="367">
        <v>566.11999999999989</v>
      </c>
      <c r="P16" s="364">
        <f t="shared" si="1"/>
        <v>5324.4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0</v>
      </c>
      <c r="I18" s="363">
        <f t="shared" si="3"/>
        <v>0</v>
      </c>
      <c r="J18" s="363">
        <f t="shared" si="3"/>
        <v>4758.28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>SUM(N14:N17)</f>
        <v>0</v>
      </c>
      <c r="O18" s="368">
        <f t="shared" si="3"/>
        <v>566.11999999999989</v>
      </c>
      <c r="P18" s="364">
        <f t="shared" si="1"/>
        <v>5324.4</v>
      </c>
    </row>
    <row r="19" spans="2:16" ht="18" customHeight="1">
      <c r="B19" s="124"/>
      <c r="C19" s="386" t="s">
        <v>14</v>
      </c>
      <c r="D19" s="374">
        <f t="shared" ref="D19:O19" si="4">D13+D18</f>
        <v>34969.97</v>
      </c>
      <c r="E19" s="374">
        <f t="shared" si="4"/>
        <v>29026.859999999986</v>
      </c>
      <c r="F19" s="374">
        <f t="shared" si="4"/>
        <v>38224.299999999988</v>
      </c>
      <c r="G19" s="374">
        <f t="shared" si="4"/>
        <v>61308.81</v>
      </c>
      <c r="H19" s="374">
        <f t="shared" si="4"/>
        <v>65866.389999999956</v>
      </c>
      <c r="I19" s="374">
        <f t="shared" si="4"/>
        <v>41181.26999999996</v>
      </c>
      <c r="J19" s="374">
        <f t="shared" si="4"/>
        <v>51634.889999999985</v>
      </c>
      <c r="K19" s="374">
        <f t="shared" si="4"/>
        <v>69226.06</v>
      </c>
      <c r="L19" s="374">
        <f t="shared" si="4"/>
        <v>44216.159999999974</v>
      </c>
      <c r="M19" s="374">
        <f t="shared" si="4"/>
        <v>55507.349999999977</v>
      </c>
      <c r="N19" s="374">
        <f t="shared" si="4"/>
        <v>102010.37</v>
      </c>
      <c r="O19" s="374">
        <f t="shared" si="4"/>
        <v>41236.999999999978</v>
      </c>
      <c r="P19" s="382">
        <f>SUM(D19:O19)</f>
        <v>634409.42999999982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الشهر'!$C$10:$AD$119,18,FALSE),0)</f>
        <v>0</v>
      </c>
      <c r="E22" s="362">
        <f>IFERROR(VLOOKUP(C22,'تقرير المصروفات حسب الشهر'!$C$135:$AD$244,18,FALSE),0)</f>
        <v>0</v>
      </c>
      <c r="F22" s="362">
        <f>IFERROR(VLOOKUP(C22,'تقرير المصروفات حسب الشهر'!$C$261:$AD$368,18,FALSE),0)</f>
        <v>0</v>
      </c>
      <c r="G22" s="362">
        <f>IFERROR(VLOOKUP(C22,'تقرير المصروفات حسب الشهر'!$C$387:$AD$495,18,FALSE),0)</f>
        <v>0</v>
      </c>
      <c r="H22" s="362">
        <f>IFERROR(VLOOKUP(C22,'تقرير المصروفات حسب الشهر'!$C$512:$AD$620,18,FALSE),0)</f>
        <v>0</v>
      </c>
      <c r="I22" s="362">
        <f>IFERROR(VLOOKUP(C22,'تقرير المصروفات حسب الشهر'!$C$637:$AD$746,18,FALSE),0)</f>
        <v>0</v>
      </c>
      <c r="J22" s="362">
        <f>IFERROR(VLOOKUP(C22,'تقرير المصروفات حسب الشهر'!$C$763:$AD$872,18,FALSE),0)</f>
        <v>0</v>
      </c>
      <c r="K22" s="362">
        <f>IFERROR(VLOOKUP(C22,'تقرير المصروفات حسب الشهر'!$C$890:$AD$999,18,FALSE),0)</f>
        <v>0</v>
      </c>
      <c r="L22" s="362">
        <f>IFERROR(VLOOKUP(C22,'تقرير المصروفات حسب الشهر'!$C$1016:$AD$1126,18,FALSE),0)</f>
        <v>0</v>
      </c>
      <c r="M22" s="376">
        <f>IFERROR(VLOOKUP(C22,'تقرير المصروفات حسب الشهر'!$C$1143:$AD$1254,18,FALSE),0)</f>
        <v>0</v>
      </c>
      <c r="N22" s="376">
        <f>IFERROR(VLOOKUP(C22,'تقرير المصروفات حسب الشهر'!$C$1270:$AD$1381,18,FALSE),0)</f>
        <v>0</v>
      </c>
      <c r="O22" s="376">
        <f>IFERROR(VLOOKUP(C22,'تقرير المصروفات حسب الشهر'!$C$1397:$AI$1512,18,FALSE),0)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الشهر'!$C$10:$AD$119,18,FALSE),0)</f>
        <v>9514.7999999999993</v>
      </c>
      <c r="E23" s="362">
        <f>IFERROR(VLOOKUP(C23,'تقرير المصروفات حسب الشهر'!$C$135:$AD$244,18,FALSE),0)</f>
        <v>9891</v>
      </c>
      <c r="F23" s="362">
        <f>IFERROR(VLOOKUP(C23,'تقرير المصروفات حسب الشهر'!$C$261:$AD$368,18,FALSE),0)</f>
        <v>9712.7999999999993</v>
      </c>
      <c r="G23" s="362">
        <f>IFERROR(VLOOKUP(C23,'تقرير المصروفات حسب الشهر'!$C$387:$AD$495,18,FALSE),0)</f>
        <v>9712.7999999999993</v>
      </c>
      <c r="H23" s="362">
        <f>IFERROR(VLOOKUP(C23,'تقرير المصروفات حسب الشهر'!$C$512:$AD$620,18,FALSE),0)</f>
        <v>11028.8</v>
      </c>
      <c r="I23" s="362">
        <f>IFERROR(VLOOKUP(C23,'تقرير المصروفات حسب الشهر'!$C$637:$AD$746,18,FALSE),0)</f>
        <v>9768.18</v>
      </c>
      <c r="J23" s="362">
        <f>IFERROR(VLOOKUP(C23,'تقرير المصروفات حسب الشهر'!$C$763:$AD$872,18,FALSE),0)</f>
        <v>12712.8</v>
      </c>
      <c r="K23" s="362">
        <f>IFERROR(VLOOKUP(C23,'تقرير المصروفات حسب الشهر'!$C$890:$AD$999,18,FALSE),0)</f>
        <v>22950.399999999998</v>
      </c>
      <c r="L23" s="362">
        <f>IFERROR(VLOOKUP(C23,'تقرير المصروفات حسب الشهر'!$C$1016:$AD$1126,18,FALSE),0)</f>
        <v>23414.34</v>
      </c>
      <c r="M23" s="376">
        <f>IFERROR(VLOOKUP(C23,'تقرير المصروفات حسب الشهر'!$C$1143:$AD$1254,18,FALSE),0)</f>
        <v>23174.34</v>
      </c>
      <c r="N23" s="376">
        <f>IFERROR(VLOOKUP(C23,'تقرير المصروفات حسب الشهر'!$C$1270:$AD$1381,18,FALSE),0)</f>
        <v>24511.03</v>
      </c>
      <c r="O23" s="376">
        <f>IFERROR(VLOOKUP(C23,'تقرير المصروفات حسب الشهر'!$C$1397:$AI$1512,18,FALSE),0)</f>
        <v>14309.419999999998</v>
      </c>
      <c r="P23" s="364">
        <f t="shared" ref="P23:P86" si="5">SUM(D23:O23)</f>
        <v>180700.70999999996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الشهر'!$C$10:$AD$119,18,FALSE),0)</f>
        <v>0</v>
      </c>
      <c r="E24" s="362">
        <f>IFERROR(VLOOKUP(C24,'تقرير المصروفات حسب الشهر'!$C$135:$AD$244,18,FALSE),0)</f>
        <v>0</v>
      </c>
      <c r="F24" s="362">
        <f>IFERROR(VLOOKUP(C24,'تقرير المصروفات حسب الشهر'!$C$261:$AD$368,18,FALSE),0)</f>
        <v>0</v>
      </c>
      <c r="G24" s="362">
        <f>IFERROR(VLOOKUP(C24,'تقرير المصروفات حسب الشهر'!$C$387:$AD$495,18,FALSE),0)</f>
        <v>0</v>
      </c>
      <c r="H24" s="362">
        <f>IFERROR(VLOOKUP(C24,'تقرير المصروفات حسب الشهر'!$C$512:$AD$620,18,FALSE),0)</f>
        <v>0</v>
      </c>
      <c r="I24" s="362">
        <f>IFERROR(VLOOKUP(C24,'تقرير المصروفات حسب الشهر'!$C$637:$AD$746,18,FALSE),0)</f>
        <v>0</v>
      </c>
      <c r="J24" s="362">
        <f>IFERROR(VLOOKUP(C24,'تقرير المصروفات حسب الشهر'!$C$763:$AD$872,18,FALSE),0)</f>
        <v>0</v>
      </c>
      <c r="K24" s="362">
        <f>IFERROR(VLOOKUP(C24,'تقرير المصروفات حسب الشهر'!$C$890:$AD$999,18,FALSE),0)</f>
        <v>0</v>
      </c>
      <c r="L24" s="362">
        <f>IFERROR(VLOOKUP(C24,'تقرير المصروفات حسب الشهر'!$C$1016:$AD$1126,18,FALSE),0)</f>
        <v>0</v>
      </c>
      <c r="M24" s="376">
        <f>IFERROR(VLOOKUP(C24,'تقرير المصروفات حسب الشهر'!$C$1143:$AD$1254,18,FALSE),0)</f>
        <v>0</v>
      </c>
      <c r="N24" s="376">
        <f>IFERROR(VLOOKUP(C24,'تقرير المصروفات حسب الشهر'!$C$1270:$AD$1381,18,FALSE),0)</f>
        <v>0</v>
      </c>
      <c r="O24" s="376">
        <f>IFERROR(VLOOKUP(C24,'تقرير المصروفات حسب الشهر'!$C$1397:$AI$1512,18,FALSE),0)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الشهر'!$C$10:$AD$119,18,FALSE),0)</f>
        <v>0</v>
      </c>
      <c r="E25" s="362">
        <f>IFERROR(VLOOKUP(C25,'تقرير المصروفات حسب الشهر'!$C$135:$AD$244,18,FALSE),0)</f>
        <v>0</v>
      </c>
      <c r="F25" s="362">
        <f>IFERROR(VLOOKUP(C25,'تقرير المصروفات حسب الشهر'!$C$261:$AD$368,18,FALSE),0)</f>
        <v>0</v>
      </c>
      <c r="G25" s="362">
        <f>IFERROR(VLOOKUP(C25,'تقرير المصروفات حسب الشهر'!$C$387:$AD$495,18,FALSE),0)</f>
        <v>0</v>
      </c>
      <c r="H25" s="362">
        <f>IFERROR(VLOOKUP(C25,'تقرير المصروفات حسب الشهر'!$C$512:$AD$620,18,FALSE),0)</f>
        <v>0</v>
      </c>
      <c r="I25" s="362">
        <f>IFERROR(VLOOKUP(C25,'تقرير المصروفات حسب الشهر'!$C$637:$AD$746,18,FALSE),0)</f>
        <v>0</v>
      </c>
      <c r="J25" s="362">
        <f>IFERROR(VLOOKUP(C25,'تقرير المصروفات حسب الشهر'!$C$763:$AD$872,18,FALSE),0)</f>
        <v>0</v>
      </c>
      <c r="K25" s="362">
        <f>IFERROR(VLOOKUP(C25,'تقرير المصروفات حسب الشهر'!$C$890:$AD$999,18,FALSE),0)</f>
        <v>0</v>
      </c>
      <c r="L25" s="362">
        <f>IFERROR(VLOOKUP(C25,'تقرير المصروفات حسب الشهر'!$C$1016:$AD$1126,18,FALSE),0)</f>
        <v>0</v>
      </c>
      <c r="M25" s="376">
        <f>IFERROR(VLOOKUP(C25,'تقرير المصروفات حسب الشهر'!$C$1143:$AD$1254,18,FALSE),0)</f>
        <v>0</v>
      </c>
      <c r="N25" s="376">
        <f>IFERROR(VLOOKUP(C25,'تقرير المصروفات حسب الشهر'!$C$1270:$AD$1381,18,FALSE),0)</f>
        <v>0</v>
      </c>
      <c r="O25" s="376">
        <f>IFERROR(VLOOKUP(C25,'تقرير المصروفات حسب الشهر'!$C$1397:$AI$1512,18,FALSE),0)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الشهر'!$C$10:$AD$119,18,FALSE),0)</f>
        <v>0</v>
      </c>
      <c r="E26" s="362">
        <f>IFERROR(VLOOKUP(C26,'تقرير المصروفات حسب الشهر'!$C$135:$AD$244,18,FALSE),0)</f>
        <v>0</v>
      </c>
      <c r="F26" s="362">
        <f>IFERROR(VLOOKUP(C26,'تقرير المصروفات حسب الشهر'!$C$261:$AD$368,18,FALSE),0)</f>
        <v>0</v>
      </c>
      <c r="G26" s="362">
        <f>IFERROR(VLOOKUP(C26,'تقرير المصروفات حسب الشهر'!$C$387:$AD$495,18,FALSE),0)</f>
        <v>0</v>
      </c>
      <c r="H26" s="362">
        <f>IFERROR(VLOOKUP(C26,'تقرير المصروفات حسب الشهر'!$C$512:$AD$620,18,FALSE),0)</f>
        <v>0</v>
      </c>
      <c r="I26" s="362">
        <f>IFERROR(VLOOKUP(C26,'تقرير المصروفات حسب الشهر'!$C$637:$AD$746,18,FALSE),0)</f>
        <v>0</v>
      </c>
      <c r="J26" s="362">
        <f>IFERROR(VLOOKUP(C26,'تقرير المصروفات حسب الشهر'!$C$763:$AD$872,18,FALSE),0)</f>
        <v>0</v>
      </c>
      <c r="K26" s="362">
        <f>IFERROR(VLOOKUP(C26,'تقرير المصروفات حسب الشهر'!$C$890:$AD$999,18,FALSE),0)</f>
        <v>0</v>
      </c>
      <c r="L26" s="362">
        <f>IFERROR(VLOOKUP(C26,'تقرير المصروفات حسب الشهر'!$C$1016:$AD$1126,18,FALSE),0)</f>
        <v>0</v>
      </c>
      <c r="M26" s="376">
        <f>IFERROR(VLOOKUP(C26,'تقرير المصروفات حسب الشهر'!$C$1143:$AD$1254,18,FALSE),0)</f>
        <v>0</v>
      </c>
      <c r="N26" s="376">
        <f>IFERROR(VLOOKUP(C26,'تقرير المصروفات حسب الشهر'!$C$1270:$AD$1381,18,FALSE),0)</f>
        <v>0</v>
      </c>
      <c r="O26" s="376">
        <f>IFERROR(VLOOKUP(C26,'تقرير المصروفات حسب الشهر'!$C$1397:$AI$1512,18,FALSE),0)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الشهر'!$C$10:$AD$119,18,FALSE),0)</f>
        <v>0</v>
      </c>
      <c r="E27" s="362">
        <f>IFERROR(VLOOKUP(C27,'تقرير المصروفات حسب الشهر'!$C$135:$AD$244,18,FALSE),0)</f>
        <v>0</v>
      </c>
      <c r="F27" s="362">
        <f>IFERROR(VLOOKUP(C27,'تقرير المصروفات حسب الشهر'!$C$261:$AD$368,18,FALSE),0)</f>
        <v>0</v>
      </c>
      <c r="G27" s="362">
        <f>IFERROR(VLOOKUP(C27,'تقرير المصروفات حسب الشهر'!$C$387:$AD$495,18,FALSE),0)</f>
        <v>0</v>
      </c>
      <c r="H27" s="362">
        <f>IFERROR(VLOOKUP(C27,'تقرير المصروفات حسب الشهر'!$C$512:$AD$620,18,FALSE),0)</f>
        <v>0</v>
      </c>
      <c r="I27" s="362">
        <f>IFERROR(VLOOKUP(C27,'تقرير المصروفات حسب الشهر'!$C$637:$AD$746,18,FALSE),0)</f>
        <v>0</v>
      </c>
      <c r="J27" s="362">
        <f>IFERROR(VLOOKUP(C27,'تقرير المصروفات حسب الشهر'!$C$763:$AD$872,18,FALSE),0)</f>
        <v>0</v>
      </c>
      <c r="K27" s="362">
        <f>IFERROR(VLOOKUP(C27,'تقرير المصروفات حسب الشهر'!$C$890:$AD$999,18,FALSE),0)</f>
        <v>0</v>
      </c>
      <c r="L27" s="362">
        <f>IFERROR(VLOOKUP(C27,'تقرير المصروفات حسب الشهر'!$C$1016:$AD$1126,18,FALSE),0)</f>
        <v>0</v>
      </c>
      <c r="M27" s="376">
        <f>IFERROR(VLOOKUP(C27,'تقرير المصروفات حسب الشهر'!$C$1143:$AD$1254,18,FALSE),0)</f>
        <v>0</v>
      </c>
      <c r="N27" s="376">
        <f>IFERROR(VLOOKUP(C27,'تقرير المصروفات حسب الشهر'!$C$1270:$AD$1381,18,FALSE),0)</f>
        <v>0</v>
      </c>
      <c r="O27" s="376">
        <f>IFERROR(VLOOKUP(C27,'تقرير المصروفات حسب الشهر'!$C$1397:$AI$1512,18,FALSE),0)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الشهر'!$C$10:$AD$119,18,FALSE),0)</f>
        <v>0</v>
      </c>
      <c r="E28" s="362">
        <f>IFERROR(VLOOKUP(C28,'تقرير المصروفات حسب الشهر'!$C$135:$AD$244,18,FALSE),0)</f>
        <v>0</v>
      </c>
      <c r="F28" s="362">
        <f>IFERROR(VLOOKUP(C28,'تقرير المصروفات حسب الشهر'!$C$261:$AD$368,18,FALSE),0)</f>
        <v>0</v>
      </c>
      <c r="G28" s="362">
        <f>IFERROR(VLOOKUP(C28,'تقرير المصروفات حسب الشهر'!$C$387:$AD$495,18,FALSE),0)</f>
        <v>0</v>
      </c>
      <c r="H28" s="362">
        <f>IFERROR(VLOOKUP(C28,'تقرير المصروفات حسب الشهر'!$C$512:$AD$620,18,FALSE),0)</f>
        <v>0</v>
      </c>
      <c r="I28" s="362">
        <f>IFERROR(VLOOKUP(C28,'تقرير المصروفات حسب الشهر'!$C$637:$AD$746,18,FALSE),0)</f>
        <v>0</v>
      </c>
      <c r="J28" s="362">
        <f>IFERROR(VLOOKUP(C28,'تقرير المصروفات حسب الشهر'!$C$763:$AD$872,18,FALSE),0)</f>
        <v>0</v>
      </c>
      <c r="K28" s="362">
        <f>IFERROR(VLOOKUP(C28,'تقرير المصروفات حسب الشهر'!$C$890:$AD$999,18,FALSE),0)</f>
        <v>0</v>
      </c>
      <c r="L28" s="362">
        <f>IFERROR(VLOOKUP(C28,'تقرير المصروفات حسب الشهر'!$C$1016:$AD$1126,18,FALSE),0)</f>
        <v>0</v>
      </c>
      <c r="M28" s="376">
        <f>IFERROR(VLOOKUP(C28,'تقرير المصروفات حسب الشهر'!$C$1143:$AD$1254,18,FALSE),0)</f>
        <v>0</v>
      </c>
      <c r="N28" s="376">
        <f>IFERROR(VLOOKUP(C28,'تقرير المصروفات حسب الشهر'!$C$1270:$AD$1381,18,FALSE),0)</f>
        <v>0</v>
      </c>
      <c r="O28" s="376">
        <f>IFERROR(VLOOKUP(C28,'تقرير المصروفات حسب الشهر'!$C$1397:$AI$1512,18,FALSE),0)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الشهر'!$C$10:$AD$119,18,FALSE),0)</f>
        <v>0</v>
      </c>
      <c r="E29" s="362">
        <f>IFERROR(VLOOKUP(C29,'تقرير المصروفات حسب الشهر'!$C$135:$AD$244,18,FALSE),0)</f>
        <v>0</v>
      </c>
      <c r="F29" s="362">
        <f>IFERROR(VLOOKUP(C29,'تقرير المصروفات حسب الشهر'!$C$261:$AD$368,18,FALSE),0)</f>
        <v>0</v>
      </c>
      <c r="G29" s="362">
        <f>IFERROR(VLOOKUP(C29,'تقرير المصروفات حسب الشهر'!$C$387:$AD$495,18,FALSE),0)</f>
        <v>0</v>
      </c>
      <c r="H29" s="362">
        <f>IFERROR(VLOOKUP(C29,'تقرير المصروفات حسب الشهر'!$C$512:$AD$620,18,FALSE),0)</f>
        <v>0</v>
      </c>
      <c r="I29" s="362">
        <f>IFERROR(VLOOKUP(C29,'تقرير المصروفات حسب الشهر'!$C$637:$AD$746,18,FALSE),0)</f>
        <v>0</v>
      </c>
      <c r="J29" s="362">
        <f>IFERROR(VLOOKUP(C29,'تقرير المصروفات حسب الشهر'!$C$763:$AD$872,18,FALSE),0)</f>
        <v>0</v>
      </c>
      <c r="K29" s="362">
        <f>IFERROR(VLOOKUP(C29,'تقرير المصروفات حسب الشهر'!$C$890:$AD$999,18,FALSE),0)</f>
        <v>0</v>
      </c>
      <c r="L29" s="362">
        <f>IFERROR(VLOOKUP(C29,'تقرير المصروفات حسب الشهر'!$C$1016:$AD$1126,18,FALSE),0)</f>
        <v>0</v>
      </c>
      <c r="M29" s="376">
        <f>IFERROR(VLOOKUP(C29,'تقرير المصروفات حسب الشهر'!$C$1143:$AD$1254,18,FALSE),0)</f>
        <v>0</v>
      </c>
      <c r="N29" s="376">
        <f>IFERROR(VLOOKUP(C29,'تقرير المصروفات حسب الشهر'!$C$1270:$AD$1381,18,FALSE),0)</f>
        <v>0</v>
      </c>
      <c r="O29" s="376">
        <f>IFERROR(VLOOKUP(C29,'تقرير المصروفات حسب الشهر'!$C$1397:$AI$1512,18,FALSE),0)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الشهر'!$C$10:$AD$119,18,FALSE),0)</f>
        <v>0</v>
      </c>
      <c r="E30" s="362">
        <f>IFERROR(VLOOKUP(C30,'تقرير المصروفات حسب الشهر'!$C$135:$AD$244,18,FALSE),0)</f>
        <v>0</v>
      </c>
      <c r="F30" s="362">
        <f>IFERROR(VLOOKUP(C30,'تقرير المصروفات حسب الشهر'!$C$261:$AD$368,18,FALSE),0)</f>
        <v>0</v>
      </c>
      <c r="G30" s="362">
        <f>IFERROR(VLOOKUP(C30,'تقرير المصروفات حسب الشهر'!$C$387:$AD$495,18,FALSE),0)</f>
        <v>0</v>
      </c>
      <c r="H30" s="362">
        <f>IFERROR(VLOOKUP(C30,'تقرير المصروفات حسب الشهر'!$C$512:$AD$620,18,FALSE),0)</f>
        <v>0</v>
      </c>
      <c r="I30" s="362">
        <f>IFERROR(VLOOKUP(C30,'تقرير المصروفات حسب الشهر'!$C$637:$AD$746,18,FALSE),0)</f>
        <v>0</v>
      </c>
      <c r="J30" s="362">
        <f>IFERROR(VLOOKUP(C30,'تقرير المصروفات حسب الشهر'!$C$763:$AD$872,18,FALSE),0)</f>
        <v>0</v>
      </c>
      <c r="K30" s="362">
        <f>IFERROR(VLOOKUP(C30,'تقرير المصروفات حسب الشهر'!$C$890:$AD$999,18,FALSE),0)</f>
        <v>0</v>
      </c>
      <c r="L30" s="362">
        <f>IFERROR(VLOOKUP(C30,'تقرير المصروفات حسب الشهر'!$C$1016:$AD$1126,18,FALSE),0)</f>
        <v>0</v>
      </c>
      <c r="M30" s="376">
        <f>IFERROR(VLOOKUP(C30,'تقرير المصروفات حسب الشهر'!$C$1143:$AD$1254,18,FALSE),0)</f>
        <v>0</v>
      </c>
      <c r="N30" s="376">
        <f>IFERROR(VLOOKUP(C30,'تقرير المصروفات حسب الشهر'!$C$1270:$AD$1381,18,FALSE),0)</f>
        <v>0</v>
      </c>
      <c r="O30" s="376">
        <f>IFERROR(VLOOKUP(C30,'تقرير المصروفات حسب الشهر'!$C$1397:$AI$1512,18,FALSE),0)</f>
        <v>0</v>
      </c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الشهر'!$C$10:$AD$119,18,FALSE),0)</f>
        <v>0</v>
      </c>
      <c r="E31" s="362">
        <f>IFERROR(VLOOKUP(C31,'تقرير المصروفات حسب الشهر'!$C$135:$AD$244,18,FALSE),0)</f>
        <v>0</v>
      </c>
      <c r="F31" s="362">
        <f>IFERROR(VLOOKUP(C31,'تقرير المصروفات حسب الشهر'!$C$261:$AD$368,18,FALSE),0)</f>
        <v>0</v>
      </c>
      <c r="G31" s="362">
        <f>IFERROR(VLOOKUP(C31,'تقرير المصروفات حسب الشهر'!$C$387:$AD$495,18,FALSE),0)</f>
        <v>0</v>
      </c>
      <c r="H31" s="362">
        <f>IFERROR(VLOOKUP(C31,'تقرير المصروفات حسب الشهر'!$C$512:$AD$620,18,FALSE),0)</f>
        <v>0</v>
      </c>
      <c r="I31" s="362">
        <f>IFERROR(VLOOKUP(C31,'تقرير المصروفات حسب الشهر'!$C$637:$AD$746,18,FALSE),0)</f>
        <v>0</v>
      </c>
      <c r="J31" s="362">
        <f>IFERROR(VLOOKUP(C31,'تقرير المصروفات حسب الشهر'!$C$763:$AD$872,18,FALSE),0)</f>
        <v>0</v>
      </c>
      <c r="K31" s="362">
        <f>IFERROR(VLOOKUP(C31,'تقرير المصروفات حسب الشهر'!$C$890:$AD$999,18,FALSE),0)</f>
        <v>0</v>
      </c>
      <c r="L31" s="362">
        <f>IFERROR(VLOOKUP(C31,'تقرير المصروفات حسب الشهر'!$C$1016:$AD$1126,18,FALSE),0)</f>
        <v>0</v>
      </c>
      <c r="M31" s="376">
        <f>IFERROR(VLOOKUP(C31,'تقرير المصروفات حسب الشهر'!$C$1143:$AD$1254,18,FALSE),0)</f>
        <v>0</v>
      </c>
      <c r="N31" s="376">
        <f>IFERROR(VLOOKUP(C31,'تقرير المصروفات حسب الشهر'!$C$1270:$AD$1381,18,FALSE),0)</f>
        <v>0</v>
      </c>
      <c r="O31" s="376">
        <f>IFERROR(VLOOKUP(C31,'تقرير المصروفات حسب الشهر'!$C$1397:$AI$1512,18,FALSE),0)</f>
        <v>0</v>
      </c>
      <c r="P31" s="364">
        <f t="shared" si="5"/>
        <v>0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الشهر'!$C$10:$AD$119,18,FALSE),0)</f>
        <v>0</v>
      </c>
      <c r="E32" s="362">
        <f>IFERROR(VLOOKUP(C32,'تقرير المصروفات حسب الشهر'!$C$135:$AD$244,18,FALSE),0)</f>
        <v>0</v>
      </c>
      <c r="F32" s="362">
        <f>IFERROR(VLOOKUP(C32,'تقرير المصروفات حسب الشهر'!$C$261:$AD$368,18,FALSE),0)</f>
        <v>0</v>
      </c>
      <c r="G32" s="362">
        <f>IFERROR(VLOOKUP(C32,'تقرير المصروفات حسب الشهر'!$C$387:$AD$495,18,FALSE),0)</f>
        <v>0</v>
      </c>
      <c r="H32" s="362">
        <f>IFERROR(VLOOKUP(C32,'تقرير المصروفات حسب الشهر'!$C$512:$AD$620,18,FALSE),0)</f>
        <v>0</v>
      </c>
      <c r="I32" s="362">
        <f>IFERROR(VLOOKUP(C32,'تقرير المصروفات حسب الشهر'!$C$637:$AD$746,18,FALSE),0)</f>
        <v>0</v>
      </c>
      <c r="J32" s="362">
        <f>IFERROR(VLOOKUP(C32,'تقرير المصروفات حسب الشهر'!$C$763:$AD$872,18,FALSE),0)</f>
        <v>0</v>
      </c>
      <c r="K32" s="362">
        <f>IFERROR(VLOOKUP(C32,'تقرير المصروفات حسب الشهر'!$C$890:$AD$999,18,FALSE),0)</f>
        <v>0</v>
      </c>
      <c r="L32" s="362">
        <f>IFERROR(VLOOKUP(C32,'تقرير المصروفات حسب الشهر'!$C$1016:$AD$1126,18,FALSE),0)</f>
        <v>0</v>
      </c>
      <c r="M32" s="376">
        <f>IFERROR(VLOOKUP(C32,'تقرير المصروفات حسب الشهر'!$C$1143:$AD$1254,18,FALSE),0)</f>
        <v>0</v>
      </c>
      <c r="N32" s="376">
        <f>IFERROR(VLOOKUP(C32,'تقرير المصروفات حسب الشهر'!$C$1270:$AD$1381,18,FALSE),0)</f>
        <v>0</v>
      </c>
      <c r="O32" s="376">
        <f>IFERROR(VLOOKUP(C32,'تقرير المصروفات حسب الشهر'!$C$1397:$AI$1512,18,FALSE),0)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الشهر'!$C$10:$AD$119,18,FALSE),0)</f>
        <v>0</v>
      </c>
      <c r="E33" s="362">
        <f>IFERROR(VLOOKUP(C33,'تقرير المصروفات حسب الشهر'!$C$135:$AD$244,18,FALSE),0)</f>
        <v>0</v>
      </c>
      <c r="F33" s="362">
        <f>IFERROR(VLOOKUP(C33,'تقرير المصروفات حسب الشهر'!$C$261:$AD$368,18,FALSE),0)</f>
        <v>0</v>
      </c>
      <c r="G33" s="362">
        <f>IFERROR(VLOOKUP(C33,'تقرير المصروفات حسب الشهر'!$C$387:$AD$495,18,FALSE),0)</f>
        <v>0</v>
      </c>
      <c r="H33" s="362">
        <f>IFERROR(VLOOKUP(C33,'تقرير المصروفات حسب الشهر'!$C$512:$AD$620,18,FALSE),0)</f>
        <v>0</v>
      </c>
      <c r="I33" s="362">
        <f>IFERROR(VLOOKUP(C33,'تقرير المصروفات حسب الشهر'!$C$637:$AD$746,18,FALSE),0)</f>
        <v>0</v>
      </c>
      <c r="J33" s="362">
        <f>IFERROR(VLOOKUP(C33,'تقرير المصروفات حسب الشهر'!$C$763:$AD$872,18,FALSE),0)</f>
        <v>0</v>
      </c>
      <c r="K33" s="362">
        <f>IFERROR(VLOOKUP(C33,'تقرير المصروفات حسب الشهر'!$C$890:$AD$999,18,FALSE),0)</f>
        <v>0</v>
      </c>
      <c r="L33" s="362">
        <f>IFERROR(VLOOKUP(C33,'تقرير المصروفات حسب الشهر'!$C$1016:$AD$1126,18,FALSE),0)</f>
        <v>0</v>
      </c>
      <c r="M33" s="376">
        <f>IFERROR(VLOOKUP(C33,'تقرير المصروفات حسب الشهر'!$C$1143:$AD$1254,18,FALSE),0)</f>
        <v>0</v>
      </c>
      <c r="N33" s="376">
        <f>IFERROR(VLOOKUP(C33,'تقرير المصروفات حسب الشهر'!$C$1270:$AD$1381,18,FALSE),0)</f>
        <v>0</v>
      </c>
      <c r="O33" s="376">
        <f>IFERROR(VLOOKUP(C33,'تقرير المصروفات حسب الشهر'!$C$1397:$AI$1512,18,FALSE),0)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الشهر'!$C$10:$AD$119,18,FALSE),0)</f>
        <v>0</v>
      </c>
      <c r="E34" s="362">
        <f>IFERROR(VLOOKUP(C34,'تقرير المصروفات حسب الشهر'!$C$135:$AD$244,18,FALSE),0)</f>
        <v>0</v>
      </c>
      <c r="F34" s="362">
        <f>IFERROR(VLOOKUP(C34,'تقرير المصروفات حسب الشهر'!$C$261:$AD$368,18,FALSE),0)</f>
        <v>0</v>
      </c>
      <c r="G34" s="362">
        <f>IFERROR(VLOOKUP(C34,'تقرير المصروفات حسب الشهر'!$C$387:$AD$495,18,FALSE),0)</f>
        <v>0</v>
      </c>
      <c r="H34" s="362">
        <f>IFERROR(VLOOKUP(C34,'تقرير المصروفات حسب الشهر'!$C$512:$AD$620,18,FALSE),0)</f>
        <v>0</v>
      </c>
      <c r="I34" s="362">
        <f>IFERROR(VLOOKUP(C34,'تقرير المصروفات حسب الشهر'!$C$637:$AD$746,18,FALSE),0)</f>
        <v>0</v>
      </c>
      <c r="J34" s="362">
        <f>IFERROR(VLOOKUP(C34,'تقرير المصروفات حسب الشهر'!$C$763:$AD$872,18,FALSE),0)</f>
        <v>0</v>
      </c>
      <c r="K34" s="362">
        <f>IFERROR(VLOOKUP(C34,'تقرير المصروفات حسب الشهر'!$C$890:$AD$999,18,FALSE),0)</f>
        <v>0</v>
      </c>
      <c r="L34" s="362">
        <f>IFERROR(VLOOKUP(C34,'تقرير المصروفات حسب الشهر'!$C$1016:$AD$1126,18,FALSE),0)</f>
        <v>0</v>
      </c>
      <c r="M34" s="376">
        <f>IFERROR(VLOOKUP(C34,'تقرير المصروفات حسب الشهر'!$C$1143:$AD$1254,18,FALSE),0)</f>
        <v>0</v>
      </c>
      <c r="N34" s="376">
        <f>IFERROR(VLOOKUP(C34,'تقرير المصروفات حسب الشهر'!$C$1270:$AD$1381,18,FALSE),0)</f>
        <v>0</v>
      </c>
      <c r="O34" s="376">
        <f>IFERROR(VLOOKUP(C34,'تقرير المصروفات حسب الشهر'!$C$1397:$AI$1512,18,FALSE),0)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الشهر'!$C$10:$AD$119,18,FALSE),0)</f>
        <v>0</v>
      </c>
      <c r="E35" s="362">
        <f>IFERROR(VLOOKUP(C35,'تقرير المصروفات حسب الشهر'!$C$135:$AD$244,18,FALSE),0)</f>
        <v>0</v>
      </c>
      <c r="F35" s="362">
        <f>IFERROR(VLOOKUP(C35,'تقرير المصروفات حسب الشهر'!$C$261:$AD$368,18,FALSE),0)</f>
        <v>0</v>
      </c>
      <c r="G35" s="362">
        <f>IFERROR(VLOOKUP(C35,'تقرير المصروفات حسب الشهر'!$C$387:$AD$495,18,FALSE),0)</f>
        <v>0</v>
      </c>
      <c r="H35" s="362">
        <f>IFERROR(VLOOKUP(C35,'تقرير المصروفات حسب الشهر'!$C$512:$AD$620,18,FALSE),0)</f>
        <v>0</v>
      </c>
      <c r="I35" s="362">
        <f>IFERROR(VLOOKUP(C35,'تقرير المصروفات حسب الشهر'!$C$637:$AD$746,18,FALSE),0)</f>
        <v>0</v>
      </c>
      <c r="J35" s="362">
        <f>IFERROR(VLOOKUP(C35,'تقرير المصروفات حسب الشهر'!$C$763:$AD$872,18,FALSE),0)</f>
        <v>0</v>
      </c>
      <c r="K35" s="362">
        <f>IFERROR(VLOOKUP(C35,'تقرير المصروفات حسب الشهر'!$C$890:$AD$999,18,FALSE),0)</f>
        <v>0</v>
      </c>
      <c r="L35" s="362">
        <f>IFERROR(VLOOKUP(C35,'تقرير المصروفات حسب الشهر'!$C$1016:$AD$1126,18,FALSE),0)</f>
        <v>0</v>
      </c>
      <c r="M35" s="376">
        <f>IFERROR(VLOOKUP(C35,'تقرير المصروفات حسب الشهر'!$C$1143:$AD$1254,18,FALSE),0)</f>
        <v>0</v>
      </c>
      <c r="N35" s="376">
        <f>IFERROR(VLOOKUP(C35,'تقرير المصروفات حسب الشهر'!$C$1270:$AD$1381,18,FALSE),0)</f>
        <v>0</v>
      </c>
      <c r="O35" s="376">
        <f>IFERROR(VLOOKUP(C35,'تقرير المصروفات حسب الشهر'!$C$1397:$AI$1512,18,FALSE),0)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الشهر'!$C$10:$AD$119,18,FALSE),0)</f>
        <v>0</v>
      </c>
      <c r="E36" s="362">
        <f>IFERROR(VLOOKUP(C36,'تقرير المصروفات حسب الشهر'!$C$135:$AD$244,18,FALSE),0)</f>
        <v>0</v>
      </c>
      <c r="F36" s="362">
        <f>IFERROR(VLOOKUP(C36,'تقرير المصروفات حسب الشهر'!$C$261:$AD$368,18,FALSE),0)</f>
        <v>0</v>
      </c>
      <c r="G36" s="362">
        <f>IFERROR(VLOOKUP(C36,'تقرير المصروفات حسب الشهر'!$C$387:$AD$495,18,FALSE),0)</f>
        <v>0</v>
      </c>
      <c r="H36" s="362">
        <f>IFERROR(VLOOKUP(C36,'تقرير المصروفات حسب الشهر'!$C$512:$AD$620,18,FALSE),0)</f>
        <v>0</v>
      </c>
      <c r="I36" s="362">
        <f>IFERROR(VLOOKUP(C36,'تقرير المصروفات حسب الشهر'!$C$637:$AD$746,18,FALSE),0)</f>
        <v>770</v>
      </c>
      <c r="J36" s="362">
        <f>IFERROR(VLOOKUP(C36,'تقرير المصروفات حسب الشهر'!$C$763:$AD$872,18,FALSE),0)</f>
        <v>0</v>
      </c>
      <c r="K36" s="362">
        <f>IFERROR(VLOOKUP(C36,'تقرير المصروفات حسب الشهر'!$C$890:$AD$999,18,FALSE),0)</f>
        <v>1540</v>
      </c>
      <c r="L36" s="362">
        <f>IFERROR(VLOOKUP(C36,'تقرير المصروفات حسب الشهر'!$C$1016:$AD$1126,18,FALSE),0)</f>
        <v>0</v>
      </c>
      <c r="M36" s="376">
        <f>IFERROR(VLOOKUP(C36,'تقرير المصروفات حسب الشهر'!$C$1143:$AD$1254,18,FALSE),0)</f>
        <v>0</v>
      </c>
      <c r="N36" s="376">
        <f>IFERROR(VLOOKUP(C36,'تقرير المصروفات حسب الشهر'!$C$1270:$AD$1381,18,FALSE),0)</f>
        <v>0</v>
      </c>
      <c r="O36" s="376">
        <f>IFERROR(VLOOKUP(C36,'تقرير المصروفات حسب الشهر'!$C$1397:$AI$1512,18,FALSE),0)</f>
        <v>1540</v>
      </c>
      <c r="P36" s="364">
        <f t="shared" si="5"/>
        <v>3850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الشهر'!$C$10:$AD$119,18,FALSE),0)</f>
        <v>0</v>
      </c>
      <c r="E37" s="362">
        <f>IFERROR(VLOOKUP(C37,'تقرير المصروفات حسب الشهر'!$C$135:$AD$244,18,FALSE),0)</f>
        <v>0</v>
      </c>
      <c r="F37" s="362">
        <f>IFERROR(VLOOKUP(C37,'تقرير المصروفات حسب الشهر'!$C$261:$AD$368,18,FALSE),0)</f>
        <v>0</v>
      </c>
      <c r="G37" s="362">
        <f>IFERROR(VLOOKUP(C37,'تقرير المصروفات حسب الشهر'!$C$387:$AD$495,18,FALSE),0)</f>
        <v>0</v>
      </c>
      <c r="H37" s="362">
        <f>IFERROR(VLOOKUP(C37,'تقرير المصروفات حسب الشهر'!$C$512:$AD$620,18,FALSE),0)</f>
        <v>0</v>
      </c>
      <c r="I37" s="362">
        <f>IFERROR(VLOOKUP(C37,'تقرير المصروفات حسب الشهر'!$C$637:$AD$746,18,FALSE),0)</f>
        <v>0</v>
      </c>
      <c r="J37" s="362">
        <f>IFERROR(VLOOKUP(C37,'تقرير المصروفات حسب الشهر'!$C$763:$AD$872,18,FALSE),0)</f>
        <v>0</v>
      </c>
      <c r="K37" s="362">
        <f>IFERROR(VLOOKUP(C37,'تقرير المصروفات حسب الشهر'!$C$890:$AD$999,18,FALSE),0)</f>
        <v>0</v>
      </c>
      <c r="L37" s="362">
        <f>IFERROR(VLOOKUP(C37,'تقرير المصروفات حسب الشهر'!$C$1016:$AD$1126,18,FALSE),0)</f>
        <v>0</v>
      </c>
      <c r="M37" s="376">
        <f>IFERROR(VLOOKUP(C37,'تقرير المصروفات حسب الشهر'!$C$1143:$AD$1254,18,FALSE),0)</f>
        <v>0</v>
      </c>
      <c r="N37" s="376">
        <f>IFERROR(VLOOKUP(C37,'تقرير المصروفات حسب الشهر'!$C$1270:$AD$1381,18,FALSE),0)</f>
        <v>0</v>
      </c>
      <c r="O37" s="376">
        <f>IFERROR(VLOOKUP(C37,'تقرير المصروفات حسب الشهر'!$C$1397:$AI$1512,18,FALSE),0)</f>
        <v>0</v>
      </c>
      <c r="P37" s="364">
        <f t="shared" si="5"/>
        <v>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الشهر'!$C$10:$AD$119,18,FALSE),0)</f>
        <v>0</v>
      </c>
      <c r="E38" s="362">
        <f>IFERROR(VLOOKUP(C38,'تقرير المصروفات حسب الشهر'!$C$135:$AD$244,18,FALSE),0)</f>
        <v>0</v>
      </c>
      <c r="F38" s="362">
        <f>IFERROR(VLOOKUP(C38,'تقرير المصروفات حسب الشهر'!$C$261:$AD$368,18,FALSE),0)</f>
        <v>0</v>
      </c>
      <c r="G38" s="362">
        <f>IFERROR(VLOOKUP(C38,'تقرير المصروفات حسب الشهر'!$C$387:$AD$495,18,FALSE),0)</f>
        <v>0</v>
      </c>
      <c r="H38" s="362">
        <f>IFERROR(VLOOKUP(C38,'تقرير المصروفات حسب الشهر'!$C$512:$AD$620,18,FALSE),0)</f>
        <v>0</v>
      </c>
      <c r="I38" s="362">
        <f>IFERROR(VLOOKUP(C38,'تقرير المصروفات حسب الشهر'!$C$637:$AD$746,18,FALSE),0)</f>
        <v>0</v>
      </c>
      <c r="J38" s="362">
        <f>IFERROR(VLOOKUP(C38,'تقرير المصروفات حسب الشهر'!$C$763:$AD$872,18,FALSE),0)</f>
        <v>0</v>
      </c>
      <c r="K38" s="362">
        <f>IFERROR(VLOOKUP(C38,'تقرير المصروفات حسب الشهر'!$C$890:$AD$999,18,FALSE),0)</f>
        <v>0</v>
      </c>
      <c r="L38" s="362">
        <f>IFERROR(VLOOKUP(C38,'تقرير المصروفات حسب الشهر'!$C$1016:$AD$1126,18,FALSE),0)</f>
        <v>0</v>
      </c>
      <c r="M38" s="376">
        <f>IFERROR(VLOOKUP(C38,'تقرير المصروفات حسب الشهر'!$C$1143:$AD$1254,18,FALSE),0)</f>
        <v>0</v>
      </c>
      <c r="N38" s="376">
        <f>IFERROR(VLOOKUP(C38,'تقرير المصروفات حسب الشهر'!$C$1270:$AD$1381,18,FALSE),0)</f>
        <v>0</v>
      </c>
      <c r="O38" s="376">
        <f>IFERROR(VLOOKUP(C38,'تقرير المصروفات حسب الشهر'!$C$1397:$AI$1512,18,FALSE),0)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الشهر'!$C$10:$AD$119,18,FALSE),0)</f>
        <v>0</v>
      </c>
      <c r="E39" s="362">
        <f>IFERROR(VLOOKUP(C39,'تقرير المصروفات حسب الشهر'!$C$135:$AD$244,18,FALSE),0)</f>
        <v>0</v>
      </c>
      <c r="F39" s="362">
        <f>IFERROR(VLOOKUP(C39,'تقرير المصروفات حسب الشهر'!$C$261:$AD$368,18,FALSE),0)</f>
        <v>648</v>
      </c>
      <c r="G39" s="362">
        <f>IFERROR(VLOOKUP(C39,'تقرير المصروفات حسب الشهر'!$C$387:$AD$495,18,FALSE),0)</f>
        <v>793</v>
      </c>
      <c r="H39" s="362">
        <f>IFERROR(VLOOKUP(C39,'تقرير المصروفات حسب الشهر'!$C$512:$AD$620,18,FALSE),0)</f>
        <v>0</v>
      </c>
      <c r="I39" s="362">
        <f>IFERROR(VLOOKUP(C39,'تقرير المصروفات حسب الشهر'!$C$637:$AD$746,18,FALSE),0)</f>
        <v>0</v>
      </c>
      <c r="J39" s="362">
        <f>IFERROR(VLOOKUP(C39,'تقرير المصروفات حسب الشهر'!$C$763:$AD$872,18,FALSE),0)</f>
        <v>0</v>
      </c>
      <c r="K39" s="362">
        <f>IFERROR(VLOOKUP(C39,'تقرير المصروفات حسب الشهر'!$C$890:$AD$999,18,FALSE),0)</f>
        <v>0</v>
      </c>
      <c r="L39" s="362">
        <f>IFERROR(VLOOKUP(C39,'تقرير المصروفات حسب الشهر'!$C$1016:$AD$1126,18,FALSE),0)</f>
        <v>0</v>
      </c>
      <c r="M39" s="376">
        <f>IFERROR(VLOOKUP(C39,'تقرير المصروفات حسب الشهر'!$C$1143:$AD$1254,18,FALSE),0)</f>
        <v>80</v>
      </c>
      <c r="N39" s="376">
        <f>IFERROR(VLOOKUP(C39,'تقرير المصروفات حسب الشهر'!$C$1270:$AD$1381,18,FALSE),0)</f>
        <v>0</v>
      </c>
      <c r="O39" s="376">
        <f>IFERROR(VLOOKUP(C39,'تقرير المصروفات حسب الشهر'!$C$1397:$AI$1512,18,FALSE),0)</f>
        <v>0</v>
      </c>
      <c r="P39" s="364">
        <f t="shared" si="5"/>
        <v>1521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الشهر'!$C$10:$AD$119,18,FALSE),0)</f>
        <v>0</v>
      </c>
      <c r="E40" s="362">
        <f>IFERROR(VLOOKUP(C40,'تقرير المصروفات حسب الشهر'!$C$135:$AD$244,18,FALSE),0)</f>
        <v>0</v>
      </c>
      <c r="F40" s="362">
        <f>IFERROR(VLOOKUP(C40,'تقرير المصروفات حسب الشهر'!$C$261:$AD$368,18,FALSE),0)</f>
        <v>0</v>
      </c>
      <c r="G40" s="362">
        <f>IFERROR(VLOOKUP(C40,'تقرير المصروفات حسب الشهر'!$C$387:$AD$495,18,FALSE),0)</f>
        <v>0</v>
      </c>
      <c r="H40" s="362">
        <f>IFERROR(VLOOKUP(C40,'تقرير المصروفات حسب الشهر'!$C$512:$AD$620,18,FALSE),0)</f>
        <v>0</v>
      </c>
      <c r="I40" s="362">
        <f>IFERROR(VLOOKUP(C40,'تقرير المصروفات حسب الشهر'!$C$637:$AD$746,18,FALSE),0)</f>
        <v>0</v>
      </c>
      <c r="J40" s="362">
        <f>IFERROR(VLOOKUP(C40,'تقرير المصروفات حسب الشهر'!$C$763:$AD$872,18,FALSE),0)</f>
        <v>0</v>
      </c>
      <c r="K40" s="362">
        <f>IFERROR(VLOOKUP(C40,'تقرير المصروفات حسب الشهر'!$C$890:$AD$999,18,FALSE),0)</f>
        <v>0</v>
      </c>
      <c r="L40" s="362">
        <f>IFERROR(VLOOKUP(C40,'تقرير المصروفات حسب الشهر'!$C$1016:$AD$1126,18,FALSE),0)</f>
        <v>0</v>
      </c>
      <c r="M40" s="376">
        <f>IFERROR(VLOOKUP(C40,'تقرير المصروفات حسب الشهر'!$C$1143:$AD$1254,18,FALSE),0)</f>
        <v>0</v>
      </c>
      <c r="N40" s="376">
        <f>IFERROR(VLOOKUP(C40,'تقرير المصروفات حسب الشهر'!$C$1270:$AD$1381,18,FALSE),0)</f>
        <v>0</v>
      </c>
      <c r="O40" s="376">
        <f>IFERROR(VLOOKUP(C40,'تقرير المصروفات حسب الشهر'!$C$1397:$AI$1512,18,FALSE),0)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الشهر'!$C$10:$AD$119,18,FALSE),0)</f>
        <v>0</v>
      </c>
      <c r="E41" s="362">
        <f>IFERROR(VLOOKUP(C41,'تقرير المصروفات حسب الشهر'!$C$135:$AD$244,18,FALSE),0)</f>
        <v>0</v>
      </c>
      <c r="F41" s="362">
        <f>IFERROR(VLOOKUP(C41,'تقرير المصروفات حسب الشهر'!$C$261:$AD$368,18,FALSE),0)</f>
        <v>0</v>
      </c>
      <c r="G41" s="362">
        <f>IFERROR(VLOOKUP(C41,'تقرير المصروفات حسب الشهر'!$C$387:$AD$495,18,FALSE),0)</f>
        <v>0</v>
      </c>
      <c r="H41" s="362">
        <f>IFERROR(VLOOKUP(C41,'تقرير المصروفات حسب الشهر'!$C$512:$AD$620,18,FALSE),0)</f>
        <v>0</v>
      </c>
      <c r="I41" s="362">
        <f>IFERROR(VLOOKUP(C41,'تقرير المصروفات حسب الشهر'!$C$637:$AD$746,18,FALSE),0)</f>
        <v>0</v>
      </c>
      <c r="J41" s="362">
        <f>IFERROR(VLOOKUP(C41,'تقرير المصروفات حسب الشهر'!$C$763:$AD$872,18,FALSE),0)</f>
        <v>0</v>
      </c>
      <c r="K41" s="362">
        <f>IFERROR(VLOOKUP(C41,'تقرير المصروفات حسب الشهر'!$C$890:$AD$999,18,FALSE),0)</f>
        <v>0</v>
      </c>
      <c r="L41" s="362">
        <f>IFERROR(VLOOKUP(C41,'تقرير المصروفات حسب الشهر'!$C$1016:$AD$1126,18,FALSE),0)</f>
        <v>0</v>
      </c>
      <c r="M41" s="376">
        <f>IFERROR(VLOOKUP(C41,'تقرير المصروفات حسب الشهر'!$C$1143:$AD$1254,18,FALSE),0)</f>
        <v>0</v>
      </c>
      <c r="N41" s="376">
        <f>IFERROR(VLOOKUP(C41,'تقرير المصروفات حسب الشهر'!$C$1270:$AD$1381,18,FALSE),0)</f>
        <v>0</v>
      </c>
      <c r="O41" s="376">
        <f>IFERROR(VLOOKUP(C41,'تقرير المصروفات حسب الشهر'!$C$1397:$AI$1512,18,FALSE),0)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الشهر'!$C$10:$AD$119,18,FALSE),0)</f>
        <v>0</v>
      </c>
      <c r="E42" s="362">
        <f>IFERROR(VLOOKUP(C42,'تقرير المصروفات حسب الشهر'!$C$135:$AD$244,18,FALSE),0)</f>
        <v>0</v>
      </c>
      <c r="F42" s="362">
        <f>IFERROR(VLOOKUP(C42,'تقرير المصروفات حسب الشهر'!$C$261:$AD$368,18,FALSE),0)</f>
        <v>0</v>
      </c>
      <c r="G42" s="362">
        <f>IFERROR(VLOOKUP(C42,'تقرير المصروفات حسب الشهر'!$C$387:$AD$495,18,FALSE),0)</f>
        <v>0</v>
      </c>
      <c r="H42" s="362">
        <f>IFERROR(VLOOKUP(C42,'تقرير المصروفات حسب الشهر'!$C$512:$AD$620,18,FALSE),0)</f>
        <v>0</v>
      </c>
      <c r="I42" s="362">
        <f>IFERROR(VLOOKUP(C42,'تقرير المصروفات حسب الشهر'!$C$637:$AD$746,18,FALSE),0)</f>
        <v>0</v>
      </c>
      <c r="J42" s="362">
        <f>IFERROR(VLOOKUP(C42,'تقرير المصروفات حسب الشهر'!$C$763:$AD$872,18,FALSE),0)</f>
        <v>0</v>
      </c>
      <c r="K42" s="362">
        <f>IFERROR(VLOOKUP(C42,'تقرير المصروفات حسب الشهر'!$C$890:$AD$999,18,FALSE),0)</f>
        <v>0</v>
      </c>
      <c r="L42" s="362">
        <f>IFERROR(VLOOKUP(C42,'تقرير المصروفات حسب الشهر'!$C$1016:$AD$1126,18,FALSE),0)</f>
        <v>0</v>
      </c>
      <c r="M42" s="376">
        <f>IFERROR(VLOOKUP(C42,'تقرير المصروفات حسب الشهر'!$C$1143:$AD$1254,18,FALSE),0)</f>
        <v>0</v>
      </c>
      <c r="N42" s="376">
        <f>IFERROR(VLOOKUP(C42,'تقرير المصروفات حسب الشهر'!$C$1270:$AD$1381,18,FALSE),0)</f>
        <v>0</v>
      </c>
      <c r="O42" s="376">
        <f>IFERROR(VLOOKUP(C42,'تقرير المصروفات حسب الشهر'!$C$1397:$AI$1512,18,FALSE),0)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الشهر'!$C$10:$AD$119,18,FALSE),0)</f>
        <v>0</v>
      </c>
      <c r="E43" s="362">
        <f>IFERROR(VLOOKUP(C43,'تقرير المصروفات حسب الشهر'!$C$135:$AD$244,18,FALSE),0)</f>
        <v>0</v>
      </c>
      <c r="F43" s="362">
        <f>IFERROR(VLOOKUP(C43,'تقرير المصروفات حسب الشهر'!$C$261:$AD$368,18,FALSE),0)</f>
        <v>0</v>
      </c>
      <c r="G43" s="362">
        <f>IFERROR(VLOOKUP(C43,'تقرير المصروفات حسب الشهر'!$C$387:$AD$495,18,FALSE),0)</f>
        <v>0</v>
      </c>
      <c r="H43" s="362">
        <f>IFERROR(VLOOKUP(C43,'تقرير المصروفات حسب الشهر'!$C$512:$AD$620,18,FALSE),0)</f>
        <v>0</v>
      </c>
      <c r="I43" s="362">
        <f>IFERROR(VLOOKUP(C43,'تقرير المصروفات حسب الشهر'!$C$637:$AD$746,18,FALSE),0)</f>
        <v>0</v>
      </c>
      <c r="J43" s="362">
        <f>IFERROR(VLOOKUP(C43,'تقرير المصروفات حسب الشهر'!$C$763:$AD$872,18,FALSE),0)</f>
        <v>0</v>
      </c>
      <c r="K43" s="362">
        <f>IFERROR(VLOOKUP(C43,'تقرير المصروفات حسب الشهر'!$C$890:$AD$999,18,FALSE),0)</f>
        <v>0</v>
      </c>
      <c r="L43" s="362">
        <f>IFERROR(VLOOKUP(C43,'تقرير المصروفات حسب الشهر'!$C$1016:$AD$1126,18,FALSE),0)</f>
        <v>0</v>
      </c>
      <c r="M43" s="376">
        <f>IFERROR(VLOOKUP(C43,'تقرير المصروفات حسب الشهر'!$C$1143:$AD$1254,18,FALSE),0)</f>
        <v>0</v>
      </c>
      <c r="N43" s="376">
        <f>IFERROR(VLOOKUP(C43,'تقرير المصروفات حسب الشهر'!$C$1270:$AD$1381,18,FALSE),0)</f>
        <v>0</v>
      </c>
      <c r="O43" s="376">
        <f>IFERROR(VLOOKUP(C43,'تقرير المصروفات حسب الشهر'!$C$1397:$AI$1512,18,FALSE),0)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الشهر'!$C$10:$AD$119,18,FALSE),0)</f>
        <v>0</v>
      </c>
      <c r="E44" s="362">
        <f>IFERROR(VLOOKUP(C44,'تقرير المصروفات حسب الشهر'!$C$135:$AD$244,18,FALSE),0)</f>
        <v>0</v>
      </c>
      <c r="F44" s="362">
        <f>IFERROR(VLOOKUP(C44,'تقرير المصروفات حسب الشهر'!$C$261:$AD$368,18,FALSE),0)</f>
        <v>0</v>
      </c>
      <c r="G44" s="362">
        <f>IFERROR(VLOOKUP(C44,'تقرير المصروفات حسب الشهر'!$C$387:$AD$495,18,FALSE),0)</f>
        <v>0</v>
      </c>
      <c r="H44" s="362">
        <f>IFERROR(VLOOKUP(C44,'تقرير المصروفات حسب الشهر'!$C$512:$AD$620,18,FALSE),0)</f>
        <v>0</v>
      </c>
      <c r="I44" s="362">
        <f>IFERROR(VLOOKUP(C44,'تقرير المصروفات حسب الشهر'!$C$637:$AD$746,18,FALSE),0)</f>
        <v>0</v>
      </c>
      <c r="J44" s="362">
        <f>IFERROR(VLOOKUP(C44,'تقرير المصروفات حسب الشهر'!$C$763:$AD$872,18,FALSE),0)</f>
        <v>0</v>
      </c>
      <c r="K44" s="362">
        <f>IFERROR(VLOOKUP(C44,'تقرير المصروفات حسب الشهر'!$C$890:$AD$999,18,FALSE),0)</f>
        <v>0</v>
      </c>
      <c r="L44" s="362">
        <f>IFERROR(VLOOKUP(C44,'تقرير المصروفات حسب الشهر'!$C$1016:$AD$1126,18,FALSE),0)</f>
        <v>0</v>
      </c>
      <c r="M44" s="376">
        <f>IFERROR(VLOOKUP(C44,'تقرير المصروفات حسب الشهر'!$C$1143:$AD$1254,18,FALSE),0)</f>
        <v>0</v>
      </c>
      <c r="N44" s="376">
        <f>IFERROR(VLOOKUP(C44,'تقرير المصروفات حسب الشهر'!$C$1270:$AD$1381,18,FALSE),0)</f>
        <v>0</v>
      </c>
      <c r="O44" s="376">
        <f>IFERROR(VLOOKUP(C44,'تقرير المصروفات حسب الشهر'!$C$1397:$AI$1512,18,FALSE),0)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الشهر'!$C$10:$AD$119,18,FALSE),0)</f>
        <v>0</v>
      </c>
      <c r="E45" s="362">
        <f>IFERROR(VLOOKUP(C45,'تقرير المصروفات حسب الشهر'!$C$135:$AD$244,18,FALSE),0)</f>
        <v>0</v>
      </c>
      <c r="F45" s="362">
        <f>IFERROR(VLOOKUP(C45,'تقرير المصروفات حسب الشهر'!$C$261:$AD$368,18,FALSE),0)</f>
        <v>0</v>
      </c>
      <c r="G45" s="362">
        <f>IFERROR(VLOOKUP(C45,'تقرير المصروفات حسب الشهر'!$C$387:$AD$495,18,FALSE),0)</f>
        <v>0</v>
      </c>
      <c r="H45" s="362">
        <f>IFERROR(VLOOKUP(C45,'تقرير المصروفات حسب الشهر'!$C$512:$AD$620,18,FALSE),0)</f>
        <v>0</v>
      </c>
      <c r="I45" s="362">
        <f>IFERROR(VLOOKUP(C45,'تقرير المصروفات حسب الشهر'!$C$637:$AD$746,18,FALSE),0)</f>
        <v>0</v>
      </c>
      <c r="J45" s="362">
        <f>IFERROR(VLOOKUP(C45,'تقرير المصروفات حسب الشهر'!$C$763:$AD$872,18,FALSE),0)</f>
        <v>0</v>
      </c>
      <c r="K45" s="362">
        <f>IFERROR(VLOOKUP(C45,'تقرير المصروفات حسب الشهر'!$C$890:$AD$999,18,FALSE),0)</f>
        <v>0</v>
      </c>
      <c r="L45" s="362">
        <f>IFERROR(VLOOKUP(C45,'تقرير المصروفات حسب الشهر'!$C$1016:$AD$1126,18,FALSE),0)</f>
        <v>0</v>
      </c>
      <c r="M45" s="376">
        <f>IFERROR(VLOOKUP(C45,'تقرير المصروفات حسب الشهر'!$C$1143:$AD$1254,18,FALSE),0)</f>
        <v>0</v>
      </c>
      <c r="N45" s="376">
        <f>IFERROR(VLOOKUP(C45,'تقرير المصروفات حسب الشهر'!$C$1270:$AD$1381,18,FALSE),0)</f>
        <v>0</v>
      </c>
      <c r="O45" s="376">
        <f>IFERROR(VLOOKUP(C45,'تقرير المصروفات حسب الشهر'!$C$1397:$AI$1512,18,FALSE),0)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الشهر'!$C$10:$AD$119,18,FALSE),0)</f>
        <v>0</v>
      </c>
      <c r="E46" s="362">
        <f>IFERROR(VLOOKUP(C46,'تقرير المصروفات حسب الشهر'!$C$135:$AD$244,18,FALSE),0)</f>
        <v>0</v>
      </c>
      <c r="F46" s="362">
        <f>IFERROR(VLOOKUP(C46,'تقرير المصروفات حسب الشهر'!$C$261:$AD$368,18,FALSE),0)</f>
        <v>0</v>
      </c>
      <c r="G46" s="362">
        <f>IFERROR(VLOOKUP(C46,'تقرير المصروفات حسب الشهر'!$C$387:$AD$495,18,FALSE),0)</f>
        <v>0</v>
      </c>
      <c r="H46" s="362">
        <f>IFERROR(VLOOKUP(C46,'تقرير المصروفات حسب الشهر'!$C$512:$AD$620,18,FALSE),0)</f>
        <v>0</v>
      </c>
      <c r="I46" s="362">
        <f>IFERROR(VLOOKUP(C46,'تقرير المصروفات حسب الشهر'!$C$637:$AD$746,18,FALSE),0)</f>
        <v>0</v>
      </c>
      <c r="J46" s="362">
        <f>IFERROR(VLOOKUP(C46,'تقرير المصروفات حسب الشهر'!$C$763:$AD$872,18,FALSE),0)</f>
        <v>0</v>
      </c>
      <c r="K46" s="362">
        <f>IFERROR(VLOOKUP(C46,'تقرير المصروفات حسب الشهر'!$C$890:$AD$999,18,FALSE),0)</f>
        <v>0</v>
      </c>
      <c r="L46" s="362">
        <f>IFERROR(VLOOKUP(C46,'تقرير المصروفات حسب الشهر'!$C$1016:$AD$1126,18,FALSE),0)</f>
        <v>0</v>
      </c>
      <c r="M46" s="376">
        <f>IFERROR(VLOOKUP(C46,'تقرير المصروفات حسب الشهر'!$C$1143:$AD$1254,18,FALSE),0)</f>
        <v>0</v>
      </c>
      <c r="N46" s="376">
        <f>IFERROR(VLOOKUP(C46,'تقرير المصروفات حسب الشهر'!$C$1270:$AD$1381,18,FALSE),0)</f>
        <v>0</v>
      </c>
      <c r="O46" s="376">
        <f>IFERROR(VLOOKUP(C46,'تقرير المصروفات حسب الشهر'!$C$1397:$AI$1512,18,FALSE),0)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الشهر'!$C$10:$AD$119,18,FALSE),0)</f>
        <v>0</v>
      </c>
      <c r="E47" s="362">
        <f>IFERROR(VLOOKUP(C47,'تقرير المصروفات حسب الشهر'!$C$135:$AD$244,18,FALSE),0)</f>
        <v>0</v>
      </c>
      <c r="F47" s="362">
        <f>IFERROR(VLOOKUP(C47,'تقرير المصروفات حسب الشهر'!$C$261:$AD$368,18,FALSE),0)</f>
        <v>0</v>
      </c>
      <c r="G47" s="362">
        <f>IFERROR(VLOOKUP(C47,'تقرير المصروفات حسب الشهر'!$C$387:$AD$495,18,FALSE),0)</f>
        <v>0</v>
      </c>
      <c r="H47" s="362">
        <f>IFERROR(VLOOKUP(C47,'تقرير المصروفات حسب الشهر'!$C$512:$AD$620,18,FALSE),0)</f>
        <v>0</v>
      </c>
      <c r="I47" s="362">
        <f>IFERROR(VLOOKUP(C47,'تقرير المصروفات حسب الشهر'!$C$637:$AD$746,18,FALSE),0)</f>
        <v>0</v>
      </c>
      <c r="J47" s="362">
        <f>IFERROR(VLOOKUP(C47,'تقرير المصروفات حسب الشهر'!$C$763:$AD$872,18,FALSE),0)</f>
        <v>0</v>
      </c>
      <c r="K47" s="362">
        <f>IFERROR(VLOOKUP(C47,'تقرير المصروفات حسب الشهر'!$C$890:$AD$999,18,FALSE),0)</f>
        <v>0</v>
      </c>
      <c r="L47" s="362">
        <f>IFERROR(VLOOKUP(C47,'تقرير المصروفات حسب الشهر'!$C$1016:$AD$1126,18,FALSE),0)</f>
        <v>0</v>
      </c>
      <c r="M47" s="376">
        <f>IFERROR(VLOOKUP(C47,'تقرير المصروفات حسب الشهر'!$C$1143:$AD$1254,18,FALSE),0)</f>
        <v>0</v>
      </c>
      <c r="N47" s="376">
        <f>IFERROR(VLOOKUP(C47,'تقرير المصروفات حسب الشهر'!$C$1270:$AD$1381,18,FALSE),0)</f>
        <v>0</v>
      </c>
      <c r="O47" s="376">
        <f>IFERROR(VLOOKUP(C47,'تقرير المصروفات حسب الشهر'!$C$1397:$AI$1512,18,FALSE),0)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الشهر'!$C$10:$AD$119,18,FALSE),0)</f>
        <v>0</v>
      </c>
      <c r="E48" s="362">
        <f>IFERROR(VLOOKUP(C48,'تقرير المصروفات حسب الشهر'!$C$135:$AD$244,18,FALSE),0)</f>
        <v>0</v>
      </c>
      <c r="F48" s="362">
        <f>IFERROR(VLOOKUP(C48,'تقرير المصروفات حسب الشهر'!$C$261:$AD$368,18,FALSE),0)</f>
        <v>0</v>
      </c>
      <c r="G48" s="362">
        <f>IFERROR(VLOOKUP(C48,'تقرير المصروفات حسب الشهر'!$C$387:$AD$495,18,FALSE),0)</f>
        <v>0</v>
      </c>
      <c r="H48" s="362">
        <f>IFERROR(VLOOKUP(C48,'تقرير المصروفات حسب الشهر'!$C$512:$AD$620,18,FALSE),0)</f>
        <v>0</v>
      </c>
      <c r="I48" s="362">
        <f>IFERROR(VLOOKUP(C48,'تقرير المصروفات حسب الشهر'!$C$637:$AD$746,18,FALSE),0)</f>
        <v>0</v>
      </c>
      <c r="J48" s="362">
        <f>IFERROR(VLOOKUP(C48,'تقرير المصروفات حسب الشهر'!$C$763:$AD$872,18,FALSE),0)</f>
        <v>0</v>
      </c>
      <c r="K48" s="362">
        <f>IFERROR(VLOOKUP(C48,'تقرير المصروفات حسب الشهر'!$C$890:$AD$999,18,FALSE),0)</f>
        <v>0</v>
      </c>
      <c r="L48" s="362">
        <f>IFERROR(VLOOKUP(C48,'تقرير المصروفات حسب الشهر'!$C$1016:$AD$1126,18,FALSE),0)</f>
        <v>0</v>
      </c>
      <c r="M48" s="376">
        <f>IFERROR(VLOOKUP(C48,'تقرير المصروفات حسب الشهر'!$C$1143:$AD$1254,18,FALSE),0)</f>
        <v>0</v>
      </c>
      <c r="N48" s="376">
        <f>IFERROR(VLOOKUP(C48,'تقرير المصروفات حسب الشهر'!$C$1270:$AD$1381,18,FALSE),0)</f>
        <v>0</v>
      </c>
      <c r="O48" s="376">
        <f>IFERROR(VLOOKUP(C48,'تقرير المصروفات حسب الشهر'!$C$1397:$AI$1512,18,FALSE),0)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الشهر'!$C$10:$AD$119,18,FALSE),0)</f>
        <v>0</v>
      </c>
      <c r="E49" s="362">
        <f>IFERROR(VLOOKUP(C49,'تقرير المصروفات حسب الشهر'!$C$135:$AD$244,18,FALSE),0)</f>
        <v>0</v>
      </c>
      <c r="F49" s="362">
        <f>IFERROR(VLOOKUP(C49,'تقرير المصروفات حسب الشهر'!$C$261:$AD$368,18,FALSE),0)</f>
        <v>0</v>
      </c>
      <c r="G49" s="362">
        <f>IFERROR(VLOOKUP(C49,'تقرير المصروفات حسب الشهر'!$C$387:$AD$495,18,FALSE),0)</f>
        <v>0</v>
      </c>
      <c r="H49" s="362">
        <f>IFERROR(VLOOKUP(C49,'تقرير المصروفات حسب الشهر'!$C$512:$AD$620,18,FALSE),0)</f>
        <v>0</v>
      </c>
      <c r="I49" s="362">
        <f>IFERROR(VLOOKUP(C49,'تقرير المصروفات حسب الشهر'!$C$637:$AD$746,18,FALSE),0)</f>
        <v>0</v>
      </c>
      <c r="J49" s="362">
        <f>IFERROR(VLOOKUP(C49,'تقرير المصروفات حسب الشهر'!$C$763:$AD$872,18,FALSE),0)</f>
        <v>0</v>
      </c>
      <c r="K49" s="362">
        <f>IFERROR(VLOOKUP(C49,'تقرير المصروفات حسب الشهر'!$C$890:$AD$999,18,FALSE),0)</f>
        <v>0</v>
      </c>
      <c r="L49" s="362">
        <f>IFERROR(VLOOKUP(C49,'تقرير المصروفات حسب الشهر'!$C$1016:$AD$1126,18,FALSE),0)</f>
        <v>0</v>
      </c>
      <c r="M49" s="376">
        <f>IFERROR(VLOOKUP(C49,'تقرير المصروفات حسب الشهر'!$C$1143:$AD$1254,18,FALSE),0)</f>
        <v>0</v>
      </c>
      <c r="N49" s="376">
        <f>IFERROR(VLOOKUP(C49,'تقرير المصروفات حسب الشهر'!$C$1270:$AD$1381,18,FALSE),0)</f>
        <v>0</v>
      </c>
      <c r="O49" s="376">
        <f>IFERROR(VLOOKUP(C49,'تقرير المصروفات حسب الشهر'!$C$1397:$AI$1512,18,FALSE),0)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الشهر'!$C$10:$AD$119,18,FALSE),0)</f>
        <v>0</v>
      </c>
      <c r="E50" s="362">
        <f>IFERROR(VLOOKUP(C50,'تقرير المصروفات حسب الشهر'!$C$135:$AD$244,18,FALSE),0)</f>
        <v>0</v>
      </c>
      <c r="F50" s="362">
        <f>IFERROR(VLOOKUP(C50,'تقرير المصروفات حسب الشهر'!$C$261:$AD$368,18,FALSE),0)</f>
        <v>0</v>
      </c>
      <c r="G50" s="362">
        <f>IFERROR(VLOOKUP(C50,'تقرير المصروفات حسب الشهر'!$C$387:$AD$495,18,FALSE),0)</f>
        <v>0</v>
      </c>
      <c r="H50" s="362">
        <f>IFERROR(VLOOKUP(C50,'تقرير المصروفات حسب الشهر'!$C$512:$AD$620,18,FALSE),0)</f>
        <v>0</v>
      </c>
      <c r="I50" s="362">
        <f>IFERROR(VLOOKUP(C50,'تقرير المصروفات حسب الشهر'!$C$637:$AD$746,18,FALSE),0)</f>
        <v>0</v>
      </c>
      <c r="J50" s="362">
        <f>IFERROR(VLOOKUP(C50,'تقرير المصروفات حسب الشهر'!$C$763:$AD$872,18,FALSE),0)</f>
        <v>0</v>
      </c>
      <c r="K50" s="362">
        <f>IFERROR(VLOOKUP(C50,'تقرير المصروفات حسب الشهر'!$C$890:$AD$999,18,FALSE),0)</f>
        <v>0</v>
      </c>
      <c r="L50" s="362">
        <f>IFERROR(VLOOKUP(C50,'تقرير المصروفات حسب الشهر'!$C$1016:$AD$1126,18,FALSE),0)</f>
        <v>0</v>
      </c>
      <c r="M50" s="376">
        <f>IFERROR(VLOOKUP(C50,'تقرير المصروفات حسب الشهر'!$C$1143:$AD$1254,18,FALSE),0)</f>
        <v>0</v>
      </c>
      <c r="N50" s="376">
        <f>IFERROR(VLOOKUP(C50,'تقرير المصروفات حسب الشهر'!$C$1270:$AD$1381,18,FALSE),0)</f>
        <v>0</v>
      </c>
      <c r="O50" s="376">
        <f>IFERROR(VLOOKUP(C50,'تقرير المصروفات حسب الشهر'!$C$1397:$AI$1512,18,FALSE),0)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الشهر'!$C$10:$AD$119,18,FALSE),0)</f>
        <v>0</v>
      </c>
      <c r="E51" s="362">
        <f>IFERROR(VLOOKUP(C51,'تقرير المصروفات حسب الشهر'!$C$135:$AD$244,18,FALSE),0)</f>
        <v>0</v>
      </c>
      <c r="F51" s="362">
        <f>IFERROR(VLOOKUP(C51,'تقرير المصروفات حسب الشهر'!$C$261:$AD$368,18,FALSE),0)</f>
        <v>0</v>
      </c>
      <c r="G51" s="362">
        <f>IFERROR(VLOOKUP(C51,'تقرير المصروفات حسب الشهر'!$C$387:$AD$495,18,FALSE),0)</f>
        <v>0</v>
      </c>
      <c r="H51" s="362">
        <f>IFERROR(VLOOKUP(C51,'تقرير المصروفات حسب الشهر'!$C$512:$AD$620,18,FALSE),0)</f>
        <v>0</v>
      </c>
      <c r="I51" s="362">
        <f>IFERROR(VLOOKUP(C51,'تقرير المصروفات حسب الشهر'!$C$637:$AD$746,18,FALSE),0)</f>
        <v>0</v>
      </c>
      <c r="J51" s="362">
        <f>IFERROR(VLOOKUP(C51,'تقرير المصروفات حسب الشهر'!$C$763:$AD$872,18,FALSE),0)</f>
        <v>0</v>
      </c>
      <c r="K51" s="362">
        <f>IFERROR(VLOOKUP(C51,'تقرير المصروفات حسب الشهر'!$C$890:$AD$999,18,FALSE),0)</f>
        <v>0</v>
      </c>
      <c r="L51" s="362">
        <f>IFERROR(VLOOKUP(C51,'تقرير المصروفات حسب الشهر'!$C$1016:$AD$1126,18,FALSE),0)</f>
        <v>0</v>
      </c>
      <c r="M51" s="376">
        <f>IFERROR(VLOOKUP(C51,'تقرير المصروفات حسب الشهر'!$C$1143:$AD$1254,18,FALSE),0)</f>
        <v>0</v>
      </c>
      <c r="N51" s="376">
        <f>IFERROR(VLOOKUP(C51,'تقرير المصروفات حسب الشهر'!$C$1270:$AD$1381,18,FALSE),0)</f>
        <v>0</v>
      </c>
      <c r="O51" s="376">
        <f>IFERROR(VLOOKUP(C51,'تقرير المصروفات حسب الشهر'!$C$1397:$AI$1512,18,FALSE),0)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الشهر'!$C$10:$AD$119,18,FALSE),0)</f>
        <v>0</v>
      </c>
      <c r="E52" s="362">
        <f>IFERROR(VLOOKUP(C52,'تقرير المصروفات حسب الشهر'!$C$135:$AD$244,18,FALSE),0)</f>
        <v>0</v>
      </c>
      <c r="F52" s="362">
        <f>IFERROR(VLOOKUP(C52,'تقرير المصروفات حسب الشهر'!$C$261:$AD$368,18,FALSE),0)</f>
        <v>0</v>
      </c>
      <c r="G52" s="362">
        <f>IFERROR(VLOOKUP(C52,'تقرير المصروفات حسب الشهر'!$C$387:$AD$495,18,FALSE),0)</f>
        <v>0</v>
      </c>
      <c r="H52" s="362">
        <f>IFERROR(VLOOKUP(C52,'تقرير المصروفات حسب الشهر'!$C$512:$AD$620,18,FALSE),0)</f>
        <v>1538</v>
      </c>
      <c r="I52" s="362">
        <f>IFERROR(VLOOKUP(C52,'تقرير المصروفات حسب الشهر'!$C$637:$AD$746,18,FALSE),0)</f>
        <v>0</v>
      </c>
      <c r="J52" s="362">
        <f>IFERROR(VLOOKUP(C52,'تقرير المصروفات حسب الشهر'!$C$763:$AD$872,18,FALSE),0)</f>
        <v>0</v>
      </c>
      <c r="K52" s="362">
        <f>IFERROR(VLOOKUP(C52,'تقرير المصروفات حسب الشهر'!$C$890:$AD$999,18,FALSE),0)</f>
        <v>0</v>
      </c>
      <c r="L52" s="362">
        <f>IFERROR(VLOOKUP(C52,'تقرير المصروفات حسب الشهر'!$C$1016:$AD$1126,18,FALSE),0)</f>
        <v>0</v>
      </c>
      <c r="M52" s="376">
        <f>IFERROR(VLOOKUP(C52,'تقرير المصروفات حسب الشهر'!$C$1143:$AD$1254,18,FALSE),0)</f>
        <v>0</v>
      </c>
      <c r="N52" s="376">
        <f>IFERROR(VLOOKUP(C52,'تقرير المصروفات حسب الشهر'!$C$1270:$AD$1381,18,FALSE),0)</f>
        <v>0</v>
      </c>
      <c r="O52" s="376">
        <f>IFERROR(VLOOKUP(C52,'تقرير المصروفات حسب الشهر'!$C$1397:$AI$1512,18,FALSE),0)</f>
        <v>0</v>
      </c>
      <c r="P52" s="364">
        <f t="shared" si="5"/>
        <v>1538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الشهر'!$C$10:$AD$119,18,FALSE),0)</f>
        <v>0</v>
      </c>
      <c r="E53" s="362">
        <f>IFERROR(VLOOKUP(C53,'تقرير المصروفات حسب الشهر'!$C$135:$AD$244,18,FALSE),0)</f>
        <v>0</v>
      </c>
      <c r="F53" s="362">
        <f>IFERROR(VLOOKUP(C53,'تقرير المصروفات حسب الشهر'!$C$261:$AD$368,18,FALSE),0)</f>
        <v>0</v>
      </c>
      <c r="G53" s="362">
        <f>IFERROR(VLOOKUP(C53,'تقرير المصروفات حسب الشهر'!$C$387:$AD$495,18,FALSE),0)</f>
        <v>0</v>
      </c>
      <c r="H53" s="362">
        <f>IFERROR(VLOOKUP(C53,'تقرير المصروفات حسب الشهر'!$C$512:$AD$620,18,FALSE),0)</f>
        <v>0</v>
      </c>
      <c r="I53" s="362">
        <f>IFERROR(VLOOKUP(C53,'تقرير المصروفات حسب الشهر'!$C$637:$AD$746,18,FALSE),0)</f>
        <v>0</v>
      </c>
      <c r="J53" s="362">
        <f>IFERROR(VLOOKUP(C53,'تقرير المصروفات حسب الشهر'!$C$763:$AD$872,18,FALSE),0)</f>
        <v>0</v>
      </c>
      <c r="K53" s="362">
        <f>IFERROR(VLOOKUP(C53,'تقرير المصروفات حسب الشهر'!$C$890:$AD$999,18,FALSE),0)</f>
        <v>0</v>
      </c>
      <c r="L53" s="362">
        <f>IFERROR(VLOOKUP(C53,'تقرير المصروفات حسب الشهر'!$C$1016:$AD$1126,18,FALSE),0)</f>
        <v>0</v>
      </c>
      <c r="M53" s="376">
        <f>IFERROR(VLOOKUP(C53,'تقرير المصروفات حسب الشهر'!$C$1143:$AD$1254,18,FALSE),0)</f>
        <v>0</v>
      </c>
      <c r="N53" s="376">
        <f>IFERROR(VLOOKUP(C53,'تقرير المصروفات حسب الشهر'!$C$1270:$AD$1381,18,FALSE),0)</f>
        <v>0</v>
      </c>
      <c r="O53" s="376">
        <f>IFERROR(VLOOKUP(C53,'تقرير المصروفات حسب الشهر'!$C$1397:$AI$1512,18,FALSE),0)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الشهر'!$C$10:$AD$119,18,FALSE),0)</f>
        <v>0</v>
      </c>
      <c r="E54" s="362">
        <f>IFERROR(VLOOKUP(C54,'تقرير المصروفات حسب الشهر'!$C$135:$AD$244,18,FALSE),0)</f>
        <v>2000</v>
      </c>
      <c r="F54" s="362">
        <f>IFERROR(VLOOKUP(C54,'تقرير المصروفات حسب الشهر'!$C$261:$AD$368,18,FALSE),0)</f>
        <v>0</v>
      </c>
      <c r="G54" s="362">
        <f>IFERROR(VLOOKUP(C54,'تقرير المصروفات حسب الشهر'!$C$387:$AD$495,18,FALSE),0)</f>
        <v>0</v>
      </c>
      <c r="H54" s="362">
        <f>IFERROR(VLOOKUP(C54,'تقرير المصروفات حسب الشهر'!$C$512:$AD$620,18,FALSE),0)</f>
        <v>3700</v>
      </c>
      <c r="I54" s="362">
        <f>IFERROR(VLOOKUP(C54,'تقرير المصروفات حسب الشهر'!$C$637:$AD$746,18,FALSE),0)</f>
        <v>4000</v>
      </c>
      <c r="J54" s="362">
        <f>IFERROR(VLOOKUP(C54,'تقرير المصروفات حسب الشهر'!$C$763:$AD$872,18,FALSE),0)</f>
        <v>0</v>
      </c>
      <c r="K54" s="362">
        <f>IFERROR(VLOOKUP(C54,'تقرير المصروفات حسب الشهر'!$C$890:$AD$999,18,FALSE),0)</f>
        <v>0</v>
      </c>
      <c r="L54" s="362">
        <f>IFERROR(VLOOKUP(C54,'تقرير المصروفات حسب الشهر'!$C$1016:$AD$1126,18,FALSE),0)</f>
        <v>5000</v>
      </c>
      <c r="M54" s="376">
        <f>IFERROR(VLOOKUP(C54,'تقرير المصروفات حسب الشهر'!$C$1143:$AD$1254,18,FALSE),0)</f>
        <v>0</v>
      </c>
      <c r="N54" s="376">
        <f>IFERROR(VLOOKUP(C54,'تقرير المصروفات حسب الشهر'!$C$1270:$AD$1381,18,FALSE),0)</f>
        <v>4500</v>
      </c>
      <c r="O54" s="376">
        <f>IFERROR(VLOOKUP(C54,'تقرير المصروفات حسب الشهر'!$C$1397:$AI$1512,18,FALSE),0)</f>
        <v>10000</v>
      </c>
      <c r="P54" s="364">
        <f t="shared" si="5"/>
        <v>29200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الشهر'!$C$10:$AD$119,18,FALSE),0)</f>
        <v>0</v>
      </c>
      <c r="E55" s="362">
        <f>IFERROR(VLOOKUP(C55,'تقرير المصروفات حسب الشهر'!$C$135:$AD$244,18,FALSE),0)</f>
        <v>0</v>
      </c>
      <c r="F55" s="362">
        <f>IFERROR(VLOOKUP(C55,'تقرير المصروفات حسب الشهر'!$C$261:$AD$368,18,FALSE),0)</f>
        <v>0</v>
      </c>
      <c r="G55" s="362">
        <f>IFERROR(VLOOKUP(C55,'تقرير المصروفات حسب الشهر'!$C$387:$AD$495,18,FALSE),0)</f>
        <v>0</v>
      </c>
      <c r="H55" s="362">
        <f>IFERROR(VLOOKUP(C55,'تقرير المصروفات حسب الشهر'!$C$512:$AD$620,18,FALSE),0)</f>
        <v>0</v>
      </c>
      <c r="I55" s="362">
        <f>IFERROR(VLOOKUP(C55,'تقرير المصروفات حسب الشهر'!$C$637:$AD$746,18,FALSE),0)</f>
        <v>0</v>
      </c>
      <c r="J55" s="362">
        <f>IFERROR(VLOOKUP(C55,'تقرير المصروفات حسب الشهر'!$C$763:$AD$872,18,FALSE),0)</f>
        <v>0</v>
      </c>
      <c r="K55" s="362">
        <f>IFERROR(VLOOKUP(C55,'تقرير المصروفات حسب الشهر'!$C$890:$AD$999,18,FALSE),0)</f>
        <v>0</v>
      </c>
      <c r="L55" s="362">
        <f>IFERROR(VLOOKUP(C55,'تقرير المصروفات حسب الشهر'!$C$1016:$AD$1126,18,FALSE),0)</f>
        <v>0</v>
      </c>
      <c r="M55" s="376">
        <f>IFERROR(VLOOKUP(C55,'تقرير المصروفات حسب الشهر'!$C$1143:$AD$1254,18,FALSE),0)</f>
        <v>0</v>
      </c>
      <c r="N55" s="376">
        <f>IFERROR(VLOOKUP(C55,'تقرير المصروفات حسب الشهر'!$C$1270:$AD$1381,18,FALSE),0)</f>
        <v>0</v>
      </c>
      <c r="O55" s="376">
        <f>IFERROR(VLOOKUP(C55,'تقرير المصروفات حسب الشهر'!$C$1397:$AI$1512,18,FALSE),0)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الشهر'!$C$10:$AD$119,18,FALSE),0)</f>
        <v>0</v>
      </c>
      <c r="E56" s="362">
        <f>IFERROR(VLOOKUP(C56,'تقرير المصروفات حسب الشهر'!$C$135:$AD$244,18,FALSE),0)</f>
        <v>0</v>
      </c>
      <c r="F56" s="362">
        <f>IFERROR(VLOOKUP(C56,'تقرير المصروفات حسب الشهر'!$C$261:$AD$368,18,FALSE),0)</f>
        <v>0</v>
      </c>
      <c r="G56" s="362">
        <f>IFERROR(VLOOKUP(C56,'تقرير المصروفات حسب الشهر'!$C$387:$AD$495,18,FALSE),0)</f>
        <v>0</v>
      </c>
      <c r="H56" s="362">
        <f>IFERROR(VLOOKUP(C56,'تقرير المصروفات حسب الشهر'!$C$512:$AD$620,18,FALSE),0)</f>
        <v>0</v>
      </c>
      <c r="I56" s="362">
        <f>IFERROR(VLOOKUP(C56,'تقرير المصروفات حسب الشهر'!$C$637:$AD$746,18,FALSE),0)</f>
        <v>0</v>
      </c>
      <c r="J56" s="362">
        <f>IFERROR(VLOOKUP(C56,'تقرير المصروفات حسب الشهر'!$C$763:$AD$872,18,FALSE),0)</f>
        <v>0</v>
      </c>
      <c r="K56" s="362">
        <f>IFERROR(VLOOKUP(C56,'تقرير المصروفات حسب الشهر'!$C$890:$AD$999,18,FALSE),0)</f>
        <v>0</v>
      </c>
      <c r="L56" s="362">
        <f>IFERROR(VLOOKUP(C56,'تقرير المصروفات حسب الشهر'!$C$1016:$AD$1126,18,FALSE),0)</f>
        <v>0</v>
      </c>
      <c r="M56" s="376">
        <f>IFERROR(VLOOKUP(C56,'تقرير المصروفات حسب الشهر'!$C$1143:$AD$1254,18,FALSE),0)</f>
        <v>0</v>
      </c>
      <c r="N56" s="376">
        <f>IFERROR(VLOOKUP(C56,'تقرير المصروفات حسب الشهر'!$C$1270:$AD$1381,18,FALSE),0)</f>
        <v>0</v>
      </c>
      <c r="O56" s="376">
        <f>IFERROR(VLOOKUP(C56,'تقرير المصروفات حسب الشهر'!$C$1397:$AI$1512,18,FALSE),0)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الشهر'!$C$10:$AD$119,18,FALSE),0)</f>
        <v>0</v>
      </c>
      <c r="E57" s="362">
        <f>IFERROR(VLOOKUP(C57,'تقرير المصروفات حسب الشهر'!$C$135:$AD$244,18,FALSE),0)</f>
        <v>0</v>
      </c>
      <c r="F57" s="362">
        <f>IFERROR(VLOOKUP(C57,'تقرير المصروفات حسب الشهر'!$C$261:$AD$368,18,FALSE),0)</f>
        <v>0</v>
      </c>
      <c r="G57" s="362">
        <f>IFERROR(VLOOKUP(C57,'تقرير المصروفات حسب الشهر'!$C$387:$AD$495,18,FALSE),0)</f>
        <v>0</v>
      </c>
      <c r="H57" s="362">
        <f>IFERROR(VLOOKUP(C57,'تقرير المصروفات حسب الشهر'!$C$512:$AD$620,18,FALSE),0)</f>
        <v>0</v>
      </c>
      <c r="I57" s="362">
        <f>IFERROR(VLOOKUP(C57,'تقرير المصروفات حسب الشهر'!$C$637:$AD$746,18,FALSE),0)</f>
        <v>0</v>
      </c>
      <c r="J57" s="362">
        <f>IFERROR(VLOOKUP(C57,'تقرير المصروفات حسب الشهر'!$C$763:$AD$872,18,FALSE),0)</f>
        <v>0</v>
      </c>
      <c r="K57" s="362">
        <f>IFERROR(VLOOKUP(C57,'تقرير المصروفات حسب الشهر'!$C$890:$AD$999,18,FALSE),0)</f>
        <v>0</v>
      </c>
      <c r="L57" s="362">
        <f>IFERROR(VLOOKUP(C57,'تقرير المصروفات حسب الشهر'!$C$1016:$AD$1126,18,FALSE),0)</f>
        <v>0</v>
      </c>
      <c r="M57" s="376">
        <f>IFERROR(VLOOKUP(C57,'تقرير المصروفات حسب الشهر'!$C$1143:$AD$1254,18,FALSE),0)</f>
        <v>0</v>
      </c>
      <c r="N57" s="376">
        <f>IFERROR(VLOOKUP(C57,'تقرير المصروفات حسب الشهر'!$C$1270:$AD$1381,18,FALSE),0)</f>
        <v>0</v>
      </c>
      <c r="O57" s="376">
        <f>IFERROR(VLOOKUP(C57,'تقرير المصروفات حسب الشهر'!$C$1397:$AI$1512,18,FALSE),0)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الشهر'!$C$10:$AD$119,18,FALSE),0)</f>
        <v>0</v>
      </c>
      <c r="E58" s="362">
        <f>IFERROR(VLOOKUP(C58,'تقرير المصروفات حسب الشهر'!$C$135:$AD$244,18,FALSE),0)</f>
        <v>0</v>
      </c>
      <c r="F58" s="362">
        <f>IFERROR(VLOOKUP(C58,'تقرير المصروفات حسب الشهر'!$C$261:$AD$368,18,FALSE),0)</f>
        <v>0</v>
      </c>
      <c r="G58" s="362">
        <f>IFERROR(VLOOKUP(C58,'تقرير المصروفات حسب الشهر'!$C$387:$AD$495,18,FALSE),0)</f>
        <v>0</v>
      </c>
      <c r="H58" s="362">
        <f>IFERROR(VLOOKUP(C58,'تقرير المصروفات حسب الشهر'!$C$512:$AD$620,18,FALSE),0)</f>
        <v>0</v>
      </c>
      <c r="I58" s="362">
        <f>IFERROR(VLOOKUP(C58,'تقرير المصروفات حسب الشهر'!$C$637:$AD$746,18,FALSE),0)</f>
        <v>0</v>
      </c>
      <c r="J58" s="362">
        <f>IFERROR(VLOOKUP(C58,'تقرير المصروفات حسب الشهر'!$C$763:$AD$872,18,FALSE),0)</f>
        <v>0</v>
      </c>
      <c r="K58" s="362">
        <f>IFERROR(VLOOKUP(C58,'تقرير المصروفات حسب الشهر'!$C$890:$AD$999,18,FALSE),0)</f>
        <v>0</v>
      </c>
      <c r="L58" s="362">
        <f>IFERROR(VLOOKUP(C58,'تقرير المصروفات حسب الشهر'!$C$1016:$AD$1126,18,FALSE),0)</f>
        <v>0</v>
      </c>
      <c r="M58" s="376">
        <f>IFERROR(VLOOKUP(C58,'تقرير المصروفات حسب الشهر'!$C$1143:$AD$1254,18,FALSE),0)</f>
        <v>0</v>
      </c>
      <c r="N58" s="376">
        <f>IFERROR(VLOOKUP(C58,'تقرير المصروفات حسب الشهر'!$C$1270:$AD$1381,18,FALSE),0)</f>
        <v>0</v>
      </c>
      <c r="O58" s="376">
        <f>IFERROR(VLOOKUP(C58,'تقرير المصروفات حسب الشهر'!$C$1397:$AI$1512,18,FALSE),0)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الشهر'!$C$10:$AD$119,18,FALSE),0)</f>
        <v>0</v>
      </c>
      <c r="E59" s="362">
        <f>IFERROR(VLOOKUP(C59,'تقرير المصروفات حسب الشهر'!$C$135:$AD$244,18,FALSE),0)</f>
        <v>0</v>
      </c>
      <c r="F59" s="362">
        <f>IFERROR(VLOOKUP(C59,'تقرير المصروفات حسب الشهر'!$C$261:$AD$368,18,FALSE),0)</f>
        <v>0</v>
      </c>
      <c r="G59" s="362">
        <f>IFERROR(VLOOKUP(C59,'تقرير المصروفات حسب الشهر'!$C$387:$AD$495,18,FALSE),0)</f>
        <v>0</v>
      </c>
      <c r="H59" s="362">
        <f>IFERROR(VLOOKUP(C59,'تقرير المصروفات حسب الشهر'!$C$512:$AD$620,18,FALSE),0)</f>
        <v>0</v>
      </c>
      <c r="I59" s="362">
        <f>IFERROR(VLOOKUP(C59,'تقرير المصروفات حسب الشهر'!$C$637:$AD$746,18,FALSE),0)</f>
        <v>0</v>
      </c>
      <c r="J59" s="362">
        <f>IFERROR(VLOOKUP(C59,'تقرير المصروفات حسب الشهر'!$C$763:$AD$872,18,FALSE),0)</f>
        <v>0</v>
      </c>
      <c r="K59" s="362">
        <f>IFERROR(VLOOKUP(C59,'تقرير المصروفات حسب الشهر'!$C$890:$AD$999,18,FALSE),0)</f>
        <v>0</v>
      </c>
      <c r="L59" s="362">
        <f>IFERROR(VLOOKUP(C59,'تقرير المصروفات حسب الشهر'!$C$1016:$AD$1126,18,FALSE),0)</f>
        <v>0</v>
      </c>
      <c r="M59" s="376">
        <f>IFERROR(VLOOKUP(C59,'تقرير المصروفات حسب الشهر'!$C$1143:$AD$1254,18,FALSE),0)</f>
        <v>0</v>
      </c>
      <c r="N59" s="376">
        <f>IFERROR(VLOOKUP(C59,'تقرير المصروفات حسب الشهر'!$C$1270:$AD$1381,18,FALSE),0)</f>
        <v>0</v>
      </c>
      <c r="O59" s="376">
        <f>IFERROR(VLOOKUP(C59,'تقرير المصروفات حسب الشهر'!$C$1397:$AI$1512,18,FALSE),0)</f>
        <v>0</v>
      </c>
      <c r="P59" s="364">
        <f t="shared" si="5"/>
        <v>0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الشهر'!$C$10:$AD$119,18,FALSE),0)</f>
        <v>0</v>
      </c>
      <c r="E60" s="362">
        <f>IFERROR(VLOOKUP(C60,'تقرير المصروفات حسب الشهر'!$C$135:$AD$244,18,FALSE),0)</f>
        <v>0</v>
      </c>
      <c r="F60" s="362">
        <f>IFERROR(VLOOKUP(C60,'تقرير المصروفات حسب الشهر'!$C$261:$AD$368,18,FALSE),0)</f>
        <v>0</v>
      </c>
      <c r="G60" s="362">
        <f>IFERROR(VLOOKUP(C60,'تقرير المصروفات حسب الشهر'!$C$387:$AD$495,18,FALSE),0)</f>
        <v>0</v>
      </c>
      <c r="H60" s="362">
        <f>IFERROR(VLOOKUP(C60,'تقرير المصروفات حسب الشهر'!$C$512:$AD$620,18,FALSE),0)</f>
        <v>0</v>
      </c>
      <c r="I60" s="362">
        <f>IFERROR(VLOOKUP(C60,'تقرير المصروفات حسب الشهر'!$C$637:$AD$746,18,FALSE),0)</f>
        <v>0</v>
      </c>
      <c r="J60" s="362">
        <f>IFERROR(VLOOKUP(C60,'تقرير المصروفات حسب الشهر'!$C$763:$AD$872,18,FALSE),0)</f>
        <v>0</v>
      </c>
      <c r="K60" s="362">
        <f>IFERROR(VLOOKUP(C60,'تقرير المصروفات حسب الشهر'!$C$890:$AD$999,18,FALSE),0)</f>
        <v>0</v>
      </c>
      <c r="L60" s="362">
        <f>IFERROR(VLOOKUP(C60,'تقرير المصروفات حسب الشهر'!$C$1016:$AD$1126,18,FALSE),0)</f>
        <v>0</v>
      </c>
      <c r="M60" s="376">
        <f>IFERROR(VLOOKUP(C60,'تقرير المصروفات حسب الشهر'!$C$1143:$AD$1254,18,FALSE),0)</f>
        <v>0</v>
      </c>
      <c r="N60" s="376">
        <f>IFERROR(VLOOKUP(C60,'تقرير المصروفات حسب الشهر'!$C$1270:$AD$1381,18,FALSE),0)</f>
        <v>0</v>
      </c>
      <c r="O60" s="376">
        <f>IFERROR(VLOOKUP(C60,'تقرير المصروفات حسب الشهر'!$C$1397:$AI$1512,18,FALSE),0)</f>
        <v>0</v>
      </c>
      <c r="P60" s="364">
        <f t="shared" si="5"/>
        <v>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الشهر'!$C$10:$AD$119,18,FALSE),0)</f>
        <v>0</v>
      </c>
      <c r="E61" s="362">
        <f>IFERROR(VLOOKUP(C61,'تقرير المصروفات حسب الشهر'!$C$135:$AD$244,18,FALSE),0)</f>
        <v>0</v>
      </c>
      <c r="F61" s="362">
        <f>IFERROR(VLOOKUP(C61,'تقرير المصروفات حسب الشهر'!$C$261:$AD$368,18,FALSE),0)</f>
        <v>0</v>
      </c>
      <c r="G61" s="362">
        <f>IFERROR(VLOOKUP(C61,'تقرير المصروفات حسب الشهر'!$C$387:$AD$495,18,FALSE),0)</f>
        <v>0</v>
      </c>
      <c r="H61" s="362">
        <f>IFERROR(VLOOKUP(C61,'تقرير المصروفات حسب الشهر'!$C$512:$AD$620,18,FALSE),0)</f>
        <v>0</v>
      </c>
      <c r="I61" s="362">
        <f>IFERROR(VLOOKUP(C61,'تقرير المصروفات حسب الشهر'!$C$637:$AD$746,18,FALSE),0)</f>
        <v>0</v>
      </c>
      <c r="J61" s="362">
        <f>IFERROR(VLOOKUP(C61,'تقرير المصروفات حسب الشهر'!$C$763:$AD$872,18,FALSE),0)</f>
        <v>0</v>
      </c>
      <c r="K61" s="362">
        <f>IFERROR(VLOOKUP(C61,'تقرير المصروفات حسب الشهر'!$C$890:$AD$999,18,FALSE),0)</f>
        <v>0</v>
      </c>
      <c r="L61" s="362">
        <f>IFERROR(VLOOKUP(C61,'تقرير المصروفات حسب الشهر'!$C$1016:$AD$1126,18,FALSE),0)</f>
        <v>0</v>
      </c>
      <c r="M61" s="376">
        <f>IFERROR(VLOOKUP(C61,'تقرير المصروفات حسب الشهر'!$C$1143:$AD$1254,18,FALSE),0)</f>
        <v>0</v>
      </c>
      <c r="N61" s="376">
        <f>IFERROR(VLOOKUP(C61,'تقرير المصروفات حسب الشهر'!$C$1270:$AD$1381,18,FALSE),0)</f>
        <v>0</v>
      </c>
      <c r="O61" s="376">
        <f>IFERROR(VLOOKUP(C61,'تقرير المصروفات حسب الشهر'!$C$1397:$AI$1512,18,FALSE),0)</f>
        <v>0</v>
      </c>
      <c r="P61" s="364">
        <f t="shared" si="5"/>
        <v>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الشهر'!$C$10:$AD$119,18,FALSE),0)</f>
        <v>0</v>
      </c>
      <c r="E62" s="362">
        <f>IFERROR(VLOOKUP(C62,'تقرير المصروفات حسب الشهر'!$C$135:$AD$244,18,FALSE),0)</f>
        <v>0</v>
      </c>
      <c r="F62" s="362">
        <f>IFERROR(VLOOKUP(C62,'تقرير المصروفات حسب الشهر'!$C$261:$AD$368,18,FALSE),0)</f>
        <v>0</v>
      </c>
      <c r="G62" s="362">
        <f>IFERROR(VLOOKUP(C62,'تقرير المصروفات حسب الشهر'!$C$387:$AD$495,18,FALSE),0)</f>
        <v>0</v>
      </c>
      <c r="H62" s="362">
        <f>IFERROR(VLOOKUP(C62,'تقرير المصروفات حسب الشهر'!$C$512:$AD$620,18,FALSE),0)</f>
        <v>0</v>
      </c>
      <c r="I62" s="362">
        <f>IFERROR(VLOOKUP(C62,'تقرير المصروفات حسب الشهر'!$C$637:$AD$746,18,FALSE),0)</f>
        <v>0</v>
      </c>
      <c r="J62" s="362">
        <f>IFERROR(VLOOKUP(C62,'تقرير المصروفات حسب الشهر'!$C$763:$AD$872,18,FALSE),0)</f>
        <v>0</v>
      </c>
      <c r="K62" s="362">
        <f>IFERROR(VLOOKUP(C62,'تقرير المصروفات حسب الشهر'!$C$890:$AD$999,18,FALSE),0)</f>
        <v>0</v>
      </c>
      <c r="L62" s="362">
        <f>IFERROR(VLOOKUP(C62,'تقرير المصروفات حسب الشهر'!$C$1016:$AD$1126,18,FALSE),0)</f>
        <v>0</v>
      </c>
      <c r="M62" s="376">
        <f>IFERROR(VLOOKUP(C62,'تقرير المصروفات حسب الشهر'!$C$1143:$AD$1254,18,FALSE),0)</f>
        <v>0</v>
      </c>
      <c r="N62" s="376">
        <f>IFERROR(VLOOKUP(C62,'تقرير المصروفات حسب الشهر'!$C$1270:$AD$1381,18,FALSE),0)</f>
        <v>0</v>
      </c>
      <c r="O62" s="376">
        <f>IFERROR(VLOOKUP(C62,'تقرير المصروفات حسب الشهر'!$C$1397:$AI$1512,18,FALSE),0)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الشهر'!$C$10:$AD$119,18,FALSE),0)</f>
        <v>0</v>
      </c>
      <c r="E63" s="362">
        <f>IFERROR(VLOOKUP(C63,'تقرير المصروفات حسب الشهر'!$C$135:$AD$244,18,FALSE),0)</f>
        <v>0</v>
      </c>
      <c r="F63" s="362">
        <f>IFERROR(VLOOKUP(C63,'تقرير المصروفات حسب الشهر'!$C$261:$AD$368,18,FALSE),0)</f>
        <v>0</v>
      </c>
      <c r="G63" s="362">
        <f>IFERROR(VLOOKUP(C63,'تقرير المصروفات حسب الشهر'!$C$387:$AD$495,18,FALSE),0)</f>
        <v>0</v>
      </c>
      <c r="H63" s="362">
        <f>IFERROR(VLOOKUP(C63,'تقرير المصروفات حسب الشهر'!$C$512:$AD$620,18,FALSE),0)</f>
        <v>0</v>
      </c>
      <c r="I63" s="362">
        <f>IFERROR(VLOOKUP(C63,'تقرير المصروفات حسب الشهر'!$C$637:$AD$746,18,FALSE),0)</f>
        <v>0</v>
      </c>
      <c r="J63" s="362">
        <f>IFERROR(VLOOKUP(C63,'تقرير المصروفات حسب الشهر'!$C$763:$AD$872,18,FALSE),0)</f>
        <v>0</v>
      </c>
      <c r="K63" s="362">
        <f>IFERROR(VLOOKUP(C63,'تقرير المصروفات حسب الشهر'!$C$890:$AD$999,18,FALSE),0)</f>
        <v>0</v>
      </c>
      <c r="L63" s="362">
        <f>IFERROR(VLOOKUP(C63,'تقرير المصروفات حسب الشهر'!$C$1016:$AD$1126,18,FALSE),0)</f>
        <v>0</v>
      </c>
      <c r="M63" s="376">
        <f>IFERROR(VLOOKUP(C63,'تقرير المصروفات حسب الشهر'!$C$1143:$AD$1254,18,FALSE),0)</f>
        <v>0</v>
      </c>
      <c r="N63" s="376">
        <f>IFERROR(VLOOKUP(C63,'تقرير المصروفات حسب الشهر'!$C$1270:$AD$1381,18,FALSE),0)</f>
        <v>0</v>
      </c>
      <c r="O63" s="376">
        <f>IFERROR(VLOOKUP(C63,'تقرير المصروفات حسب الشهر'!$C$1397:$AI$1512,18,FALSE),0)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الشهر'!$C$10:$AD$119,18,FALSE),0)</f>
        <v>0</v>
      </c>
      <c r="E64" s="362">
        <f>IFERROR(VLOOKUP(C64,'تقرير المصروفات حسب الشهر'!$C$135:$AD$244,18,FALSE),0)</f>
        <v>0</v>
      </c>
      <c r="F64" s="362">
        <f>IFERROR(VLOOKUP(C64,'تقرير المصروفات حسب الشهر'!$C$261:$AD$368,18,FALSE),0)</f>
        <v>0</v>
      </c>
      <c r="G64" s="362">
        <f>IFERROR(VLOOKUP(C64,'تقرير المصروفات حسب الشهر'!$C$387:$AD$495,18,FALSE),0)</f>
        <v>0</v>
      </c>
      <c r="H64" s="362">
        <f>IFERROR(VLOOKUP(C64,'تقرير المصروفات حسب الشهر'!$C$512:$AD$620,18,FALSE),0)</f>
        <v>0</v>
      </c>
      <c r="I64" s="362">
        <f>IFERROR(VLOOKUP(C64,'تقرير المصروفات حسب الشهر'!$C$637:$AD$746,18,FALSE),0)</f>
        <v>0</v>
      </c>
      <c r="J64" s="362">
        <f>IFERROR(VLOOKUP(C64,'تقرير المصروفات حسب الشهر'!$C$763:$AD$872,18,FALSE),0)</f>
        <v>0</v>
      </c>
      <c r="K64" s="362">
        <f>IFERROR(VLOOKUP(C64,'تقرير المصروفات حسب الشهر'!$C$890:$AD$999,18,FALSE),0)</f>
        <v>0</v>
      </c>
      <c r="L64" s="362">
        <f>IFERROR(VLOOKUP(C64,'تقرير المصروفات حسب الشهر'!$C$1016:$AD$1126,18,FALSE),0)</f>
        <v>0</v>
      </c>
      <c r="M64" s="376">
        <f>IFERROR(VLOOKUP(C64,'تقرير المصروفات حسب الشهر'!$C$1143:$AD$1254,18,FALSE),0)</f>
        <v>0</v>
      </c>
      <c r="N64" s="376">
        <f>IFERROR(VLOOKUP(C64,'تقرير المصروفات حسب الشهر'!$C$1270:$AD$1381,18,FALSE),0)</f>
        <v>0</v>
      </c>
      <c r="O64" s="376">
        <f>IFERROR(VLOOKUP(C64,'تقرير المصروفات حسب الشهر'!$C$1397:$AI$1512,18,FALSE),0)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الشهر'!$C$10:$AD$119,18,FALSE),0)</f>
        <v>0</v>
      </c>
      <c r="E65" s="362">
        <f>IFERROR(VLOOKUP(C65,'تقرير المصروفات حسب الشهر'!$C$135:$AD$244,18,FALSE),0)</f>
        <v>0</v>
      </c>
      <c r="F65" s="362">
        <f>IFERROR(VLOOKUP(C65,'تقرير المصروفات حسب الشهر'!$C$261:$AD$368,18,FALSE),0)</f>
        <v>0</v>
      </c>
      <c r="G65" s="362">
        <f>IFERROR(VLOOKUP(C65,'تقرير المصروفات حسب الشهر'!$C$387:$AD$495,18,FALSE),0)</f>
        <v>0</v>
      </c>
      <c r="H65" s="362">
        <f>IFERROR(VLOOKUP(C65,'تقرير المصروفات حسب الشهر'!$C$512:$AD$620,18,FALSE),0)</f>
        <v>0</v>
      </c>
      <c r="I65" s="362">
        <f>IFERROR(VLOOKUP(C65,'تقرير المصروفات حسب الشهر'!$C$637:$AD$746,18,FALSE),0)</f>
        <v>0</v>
      </c>
      <c r="J65" s="362">
        <f>IFERROR(VLOOKUP(C65,'تقرير المصروفات حسب الشهر'!$C$763:$AD$872,18,FALSE),0)</f>
        <v>0</v>
      </c>
      <c r="K65" s="362">
        <f>IFERROR(VLOOKUP(C65,'تقرير المصروفات حسب الشهر'!$C$890:$AD$999,18,FALSE),0)</f>
        <v>0</v>
      </c>
      <c r="L65" s="362">
        <f>IFERROR(VLOOKUP(C65,'تقرير المصروفات حسب الشهر'!$C$1016:$AD$1126,18,FALSE),0)</f>
        <v>0</v>
      </c>
      <c r="M65" s="376">
        <f>IFERROR(VLOOKUP(C65,'تقرير المصروفات حسب الشهر'!$C$1143:$AD$1254,18,FALSE),0)</f>
        <v>0</v>
      </c>
      <c r="N65" s="376">
        <f>IFERROR(VLOOKUP(C65,'تقرير المصروفات حسب الشهر'!$C$1270:$AD$1381,18,FALSE),0)</f>
        <v>0</v>
      </c>
      <c r="O65" s="376">
        <f>IFERROR(VLOOKUP(C65,'تقرير المصروفات حسب الشهر'!$C$1397:$AI$1512,18,FALSE),0)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الشهر'!$C$10:$AD$119,18,FALSE),0)</f>
        <v>0</v>
      </c>
      <c r="E66" s="362">
        <f>IFERROR(VLOOKUP(C66,'تقرير المصروفات حسب الشهر'!$C$135:$AD$244,18,FALSE),0)</f>
        <v>0</v>
      </c>
      <c r="F66" s="362">
        <f>IFERROR(VLOOKUP(C66,'تقرير المصروفات حسب الشهر'!$C$261:$AD$368,18,FALSE),0)</f>
        <v>0</v>
      </c>
      <c r="G66" s="362">
        <f>IFERROR(VLOOKUP(C66,'تقرير المصروفات حسب الشهر'!$C$387:$AD$495,18,FALSE),0)</f>
        <v>0</v>
      </c>
      <c r="H66" s="362">
        <f>IFERROR(VLOOKUP(C66,'تقرير المصروفات حسب الشهر'!$C$512:$AD$620,18,FALSE),0)</f>
        <v>0</v>
      </c>
      <c r="I66" s="362">
        <f>IFERROR(VLOOKUP(C66,'تقرير المصروفات حسب الشهر'!$C$637:$AD$746,18,FALSE),0)</f>
        <v>0</v>
      </c>
      <c r="J66" s="362">
        <f>IFERROR(VLOOKUP(C66,'تقرير المصروفات حسب الشهر'!$C$763:$AD$872,18,FALSE),0)</f>
        <v>0</v>
      </c>
      <c r="K66" s="362">
        <f>IFERROR(VLOOKUP(C66,'تقرير المصروفات حسب الشهر'!$C$890:$AD$999,18,FALSE),0)</f>
        <v>0</v>
      </c>
      <c r="L66" s="362">
        <f>IFERROR(VLOOKUP(C66,'تقرير المصروفات حسب الشهر'!$C$1016:$AD$1126,18,FALSE),0)</f>
        <v>0</v>
      </c>
      <c r="M66" s="376">
        <f>IFERROR(VLOOKUP(C66,'تقرير المصروفات حسب الشهر'!$C$1143:$AD$1254,18,FALSE),0)</f>
        <v>0</v>
      </c>
      <c r="N66" s="376">
        <f>IFERROR(VLOOKUP(C66,'تقرير المصروفات حسب الشهر'!$C$1270:$AD$1381,18,FALSE),0)</f>
        <v>0</v>
      </c>
      <c r="O66" s="376">
        <f>IFERROR(VLOOKUP(C66,'تقرير المصروفات حسب الشهر'!$C$1397:$AI$1512,18,FALSE),0)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الشهر'!$C$10:$AD$119,18,FALSE),0)</f>
        <v>0</v>
      </c>
      <c r="E67" s="362">
        <f>IFERROR(VLOOKUP(C67,'تقرير المصروفات حسب الشهر'!$C$135:$AD$244,18,FALSE),0)</f>
        <v>0</v>
      </c>
      <c r="F67" s="362">
        <f>IFERROR(VLOOKUP(C67,'تقرير المصروفات حسب الشهر'!$C$261:$AD$368,18,FALSE),0)</f>
        <v>0</v>
      </c>
      <c r="G67" s="362">
        <f>IFERROR(VLOOKUP(C67,'تقرير المصروفات حسب الشهر'!$C$387:$AD$495,18,FALSE),0)</f>
        <v>0</v>
      </c>
      <c r="H67" s="362">
        <f>IFERROR(VLOOKUP(C67,'تقرير المصروفات حسب الشهر'!$C$512:$AD$620,18,FALSE),0)</f>
        <v>0</v>
      </c>
      <c r="I67" s="362">
        <f>IFERROR(VLOOKUP(C67,'تقرير المصروفات حسب الشهر'!$C$637:$AD$746,18,FALSE),0)</f>
        <v>0</v>
      </c>
      <c r="J67" s="362">
        <f>IFERROR(VLOOKUP(C67,'تقرير المصروفات حسب الشهر'!$C$763:$AD$872,18,FALSE),0)</f>
        <v>0</v>
      </c>
      <c r="K67" s="362">
        <f>IFERROR(VLOOKUP(C67,'تقرير المصروفات حسب الشهر'!$C$890:$AD$999,18,FALSE),0)</f>
        <v>0</v>
      </c>
      <c r="L67" s="362">
        <f>IFERROR(VLOOKUP(C67,'تقرير المصروفات حسب الشهر'!$C$1016:$AD$1126,18,FALSE),0)</f>
        <v>0</v>
      </c>
      <c r="M67" s="376">
        <f>IFERROR(VLOOKUP(C67,'تقرير المصروفات حسب الشهر'!$C$1143:$AD$1254,18,FALSE),0)</f>
        <v>0</v>
      </c>
      <c r="N67" s="376">
        <f>IFERROR(VLOOKUP(C67,'تقرير المصروفات حسب الشهر'!$C$1270:$AD$1381,18,FALSE),0)</f>
        <v>0</v>
      </c>
      <c r="O67" s="376">
        <f>IFERROR(VLOOKUP(C67,'تقرير المصروفات حسب الشهر'!$C$1397:$AI$1512,18,FALSE),0)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الشهر'!$C$10:$AD$119,18,FALSE),0)</f>
        <v>0</v>
      </c>
      <c r="E68" s="362">
        <f>IFERROR(VLOOKUP(C68,'تقرير المصروفات حسب الشهر'!$C$135:$AD$244,18,FALSE),0)</f>
        <v>0</v>
      </c>
      <c r="F68" s="362">
        <f>IFERROR(VLOOKUP(C68,'تقرير المصروفات حسب الشهر'!$C$261:$AD$368,18,FALSE),0)</f>
        <v>0</v>
      </c>
      <c r="G68" s="362">
        <f>IFERROR(VLOOKUP(C68,'تقرير المصروفات حسب الشهر'!$C$387:$AD$495,18,FALSE),0)</f>
        <v>0</v>
      </c>
      <c r="H68" s="362">
        <f>IFERROR(VLOOKUP(C68,'تقرير المصروفات حسب الشهر'!$C$512:$AD$620,18,FALSE),0)</f>
        <v>0</v>
      </c>
      <c r="I68" s="362">
        <f>IFERROR(VLOOKUP(C68,'تقرير المصروفات حسب الشهر'!$C$637:$AD$746,18,FALSE),0)</f>
        <v>0</v>
      </c>
      <c r="J68" s="362">
        <f>IFERROR(VLOOKUP(C68,'تقرير المصروفات حسب الشهر'!$C$763:$AD$872,18,FALSE),0)</f>
        <v>0</v>
      </c>
      <c r="K68" s="362">
        <f>IFERROR(VLOOKUP(C68,'تقرير المصروفات حسب الشهر'!$C$890:$AD$999,18,FALSE),0)</f>
        <v>0</v>
      </c>
      <c r="L68" s="362">
        <f>IFERROR(VLOOKUP(C68,'تقرير المصروفات حسب الشهر'!$C$1016:$AD$1126,18,FALSE),0)</f>
        <v>0</v>
      </c>
      <c r="M68" s="376">
        <f>IFERROR(VLOOKUP(C68,'تقرير المصروفات حسب الشهر'!$C$1143:$AD$1254,18,FALSE),0)</f>
        <v>0</v>
      </c>
      <c r="N68" s="376">
        <f>IFERROR(VLOOKUP(C68,'تقرير المصروفات حسب الشهر'!$C$1270:$AD$1381,18,FALSE),0)</f>
        <v>0</v>
      </c>
      <c r="O68" s="376">
        <f>IFERROR(VLOOKUP(C68,'تقرير المصروفات حسب الشهر'!$C$1397:$AI$1512,18,FALSE),0)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الشهر'!$C$10:$AD$119,18,FALSE),0)</f>
        <v>0</v>
      </c>
      <c r="E69" s="362">
        <f>IFERROR(VLOOKUP(C69,'تقرير المصروفات حسب الشهر'!$C$135:$AD$244,18,FALSE),0)</f>
        <v>0</v>
      </c>
      <c r="F69" s="362">
        <f>IFERROR(VLOOKUP(C69,'تقرير المصروفات حسب الشهر'!$C$261:$AD$368,18,FALSE),0)</f>
        <v>0</v>
      </c>
      <c r="G69" s="362">
        <f>IFERROR(VLOOKUP(C69,'تقرير المصروفات حسب الشهر'!$C$387:$AD$495,18,FALSE),0)</f>
        <v>0</v>
      </c>
      <c r="H69" s="362">
        <f>IFERROR(VLOOKUP(C69,'تقرير المصروفات حسب الشهر'!$C$512:$AD$620,18,FALSE),0)</f>
        <v>0</v>
      </c>
      <c r="I69" s="362">
        <f>IFERROR(VLOOKUP(C69,'تقرير المصروفات حسب الشهر'!$C$637:$AD$746,18,FALSE),0)</f>
        <v>0</v>
      </c>
      <c r="J69" s="362">
        <f>IFERROR(VLOOKUP(C69,'تقرير المصروفات حسب الشهر'!$C$763:$AD$872,18,FALSE),0)</f>
        <v>0</v>
      </c>
      <c r="K69" s="362">
        <f>IFERROR(VLOOKUP(C69,'تقرير المصروفات حسب الشهر'!$C$890:$AD$999,18,FALSE),0)</f>
        <v>0</v>
      </c>
      <c r="L69" s="362">
        <f>IFERROR(VLOOKUP(C69,'تقرير المصروفات حسب الشهر'!$C$1016:$AD$1126,18,FALSE),0)</f>
        <v>0</v>
      </c>
      <c r="M69" s="376">
        <f>IFERROR(VLOOKUP(C69,'تقرير المصروفات حسب الشهر'!$C$1143:$AD$1254,18,FALSE),0)</f>
        <v>0</v>
      </c>
      <c r="N69" s="376">
        <f>IFERROR(VLOOKUP(C69,'تقرير المصروفات حسب الشهر'!$C$1270:$AD$1381,18,FALSE),0)</f>
        <v>0</v>
      </c>
      <c r="O69" s="376">
        <f>IFERROR(VLOOKUP(C69,'تقرير المصروفات حسب الشهر'!$C$1397:$AI$1512,18,FALSE),0)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الشهر'!$C$10:$AD$119,18,FALSE),0)</f>
        <v>0</v>
      </c>
      <c r="E70" s="362">
        <f>IFERROR(VLOOKUP(C70,'تقرير المصروفات حسب الشهر'!$C$135:$AD$244,18,FALSE),0)</f>
        <v>0</v>
      </c>
      <c r="F70" s="362">
        <f>IFERROR(VLOOKUP(C70,'تقرير المصروفات حسب الشهر'!$C$261:$AD$368,18,FALSE),0)</f>
        <v>0</v>
      </c>
      <c r="G70" s="362">
        <f>IFERROR(VLOOKUP(C70,'تقرير المصروفات حسب الشهر'!$C$387:$AD$495,18,FALSE),0)</f>
        <v>0</v>
      </c>
      <c r="H70" s="362">
        <f>IFERROR(VLOOKUP(C70,'تقرير المصروفات حسب الشهر'!$C$512:$AD$620,18,FALSE),0)</f>
        <v>0</v>
      </c>
      <c r="I70" s="362">
        <f>IFERROR(VLOOKUP(C70,'تقرير المصروفات حسب الشهر'!$C$637:$AD$746,18,FALSE),0)</f>
        <v>0</v>
      </c>
      <c r="J70" s="362">
        <f>IFERROR(VLOOKUP(C70,'تقرير المصروفات حسب الشهر'!$C$763:$AD$872,18,FALSE),0)</f>
        <v>0</v>
      </c>
      <c r="K70" s="362">
        <f>IFERROR(VLOOKUP(C70,'تقرير المصروفات حسب الشهر'!$C$890:$AD$999,18,FALSE),0)</f>
        <v>0</v>
      </c>
      <c r="L70" s="362">
        <f>IFERROR(VLOOKUP(C70,'تقرير المصروفات حسب الشهر'!$C$1016:$AD$1126,18,FALSE),0)</f>
        <v>0</v>
      </c>
      <c r="M70" s="376">
        <f>IFERROR(VLOOKUP(C70,'تقرير المصروفات حسب الشهر'!$C$1143:$AD$1254,18,FALSE),0)</f>
        <v>0</v>
      </c>
      <c r="N70" s="376">
        <f>IFERROR(VLOOKUP(C70,'تقرير المصروفات حسب الشهر'!$C$1270:$AD$1381,18,FALSE),0)</f>
        <v>0</v>
      </c>
      <c r="O70" s="376">
        <f>IFERROR(VLOOKUP(C70,'تقرير المصروفات حسب الشهر'!$C$1397:$AI$1512,18,FALSE),0)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الشهر'!$C$10:$AD$119,18,FALSE),0)</f>
        <v>0</v>
      </c>
      <c r="E71" s="362">
        <f>IFERROR(VLOOKUP(C71,'تقرير المصروفات حسب الشهر'!$C$135:$AD$244,18,FALSE),0)</f>
        <v>0</v>
      </c>
      <c r="F71" s="362">
        <f>IFERROR(VLOOKUP(C71,'تقرير المصروفات حسب الشهر'!$C$261:$AD$368,18,FALSE),0)</f>
        <v>0</v>
      </c>
      <c r="G71" s="362">
        <f>IFERROR(VLOOKUP(C71,'تقرير المصروفات حسب الشهر'!$C$387:$AD$495,18,FALSE),0)</f>
        <v>0</v>
      </c>
      <c r="H71" s="362">
        <f>IFERROR(VLOOKUP(C71,'تقرير المصروفات حسب الشهر'!$C$512:$AD$620,18,FALSE),0)</f>
        <v>0</v>
      </c>
      <c r="I71" s="362">
        <f>IFERROR(VLOOKUP(C71,'تقرير المصروفات حسب الشهر'!$C$637:$AD$746,18,FALSE),0)</f>
        <v>0</v>
      </c>
      <c r="J71" s="362">
        <f>IFERROR(VLOOKUP(C71,'تقرير المصروفات حسب الشهر'!$C$763:$AD$872,18,FALSE),0)</f>
        <v>0</v>
      </c>
      <c r="K71" s="362">
        <f>IFERROR(VLOOKUP(C71,'تقرير المصروفات حسب الشهر'!$C$890:$AD$999,18,FALSE),0)</f>
        <v>0</v>
      </c>
      <c r="L71" s="362">
        <f>IFERROR(VLOOKUP(C71,'تقرير المصروفات حسب الشهر'!$C$1016:$AD$1126,18,FALSE),0)</f>
        <v>0</v>
      </c>
      <c r="M71" s="376">
        <f>IFERROR(VLOOKUP(C71,'تقرير المصروفات حسب الشهر'!$C$1143:$AD$1254,18,FALSE),0)</f>
        <v>0</v>
      </c>
      <c r="N71" s="376">
        <f>IFERROR(VLOOKUP(C71,'تقرير المصروفات حسب الشهر'!$C$1270:$AD$1381,18,FALSE),0)</f>
        <v>0</v>
      </c>
      <c r="O71" s="376">
        <f>IFERROR(VLOOKUP(C71,'تقرير المصروفات حسب الشهر'!$C$1397:$AI$1512,18,FALSE),0)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الشهر'!$C$10:$AD$119,18,FALSE),0)</f>
        <v>0</v>
      </c>
      <c r="E72" s="362">
        <f>IFERROR(VLOOKUP(C72,'تقرير المصروفات حسب الشهر'!$C$135:$AD$244,18,FALSE),0)</f>
        <v>0</v>
      </c>
      <c r="F72" s="362">
        <f>IFERROR(VLOOKUP(C72,'تقرير المصروفات حسب الشهر'!$C$261:$AD$368,18,FALSE),0)</f>
        <v>0</v>
      </c>
      <c r="G72" s="362">
        <f>IFERROR(VLOOKUP(C72,'تقرير المصروفات حسب الشهر'!$C$387:$AD$495,18,FALSE),0)</f>
        <v>0</v>
      </c>
      <c r="H72" s="362">
        <f>IFERROR(VLOOKUP(C72,'تقرير المصروفات حسب الشهر'!$C$512:$AD$620,18,FALSE),0)</f>
        <v>0</v>
      </c>
      <c r="I72" s="362">
        <f>IFERROR(VLOOKUP(C72,'تقرير المصروفات حسب الشهر'!$C$637:$AD$746,18,FALSE),0)</f>
        <v>0</v>
      </c>
      <c r="J72" s="362">
        <f>IFERROR(VLOOKUP(C72,'تقرير المصروفات حسب الشهر'!$C$763:$AD$872,18,FALSE),0)</f>
        <v>0</v>
      </c>
      <c r="K72" s="362">
        <f>IFERROR(VLOOKUP(C72,'تقرير المصروفات حسب الشهر'!$C$890:$AD$999,18,FALSE),0)</f>
        <v>0</v>
      </c>
      <c r="L72" s="362">
        <f>IFERROR(VLOOKUP(C72,'تقرير المصروفات حسب الشهر'!$C$1016:$AD$1126,18,FALSE),0)</f>
        <v>0</v>
      </c>
      <c r="M72" s="376">
        <f>IFERROR(VLOOKUP(C72,'تقرير المصروفات حسب الشهر'!$C$1143:$AD$1254,18,FALSE),0)</f>
        <v>0</v>
      </c>
      <c r="N72" s="376">
        <f>IFERROR(VLOOKUP(C72,'تقرير المصروفات حسب الشهر'!$C$1270:$AD$1381,18,FALSE),0)</f>
        <v>0</v>
      </c>
      <c r="O72" s="376">
        <f>IFERROR(VLOOKUP(C72,'تقرير المصروفات حسب الشهر'!$C$1397:$AI$1512,18,FALSE),0)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الشهر'!$C$10:$AD$119,18,FALSE),0)</f>
        <v>0</v>
      </c>
      <c r="E73" s="362">
        <f>IFERROR(VLOOKUP(C73,'تقرير المصروفات حسب الشهر'!$C$135:$AD$244,18,FALSE),0)</f>
        <v>0</v>
      </c>
      <c r="F73" s="362">
        <f>IFERROR(VLOOKUP(C73,'تقرير المصروفات حسب الشهر'!$C$261:$AD$368,18,FALSE),0)</f>
        <v>0</v>
      </c>
      <c r="G73" s="362">
        <f>IFERROR(VLOOKUP(C73,'تقرير المصروفات حسب الشهر'!$C$387:$AD$495,18,FALSE),0)</f>
        <v>0</v>
      </c>
      <c r="H73" s="362">
        <f>IFERROR(VLOOKUP(C73,'تقرير المصروفات حسب الشهر'!$C$512:$AD$620,18,FALSE),0)</f>
        <v>0</v>
      </c>
      <c r="I73" s="362">
        <f>IFERROR(VLOOKUP(C73,'تقرير المصروفات حسب الشهر'!$C$637:$AD$746,18,FALSE),0)</f>
        <v>0</v>
      </c>
      <c r="J73" s="362">
        <f>IFERROR(VLOOKUP(C73,'تقرير المصروفات حسب الشهر'!$C$763:$AD$872,18,FALSE),0)</f>
        <v>0</v>
      </c>
      <c r="K73" s="362">
        <f>IFERROR(VLOOKUP(C73,'تقرير المصروفات حسب الشهر'!$C$890:$AD$999,18,FALSE),0)</f>
        <v>0</v>
      </c>
      <c r="L73" s="362">
        <f>IFERROR(VLOOKUP(C73,'تقرير المصروفات حسب الشهر'!$C$1016:$AD$1126,18,FALSE),0)</f>
        <v>0</v>
      </c>
      <c r="M73" s="376">
        <f>IFERROR(VLOOKUP(C73,'تقرير المصروفات حسب الشهر'!$C$1143:$AD$1254,18,FALSE),0)</f>
        <v>0</v>
      </c>
      <c r="N73" s="376">
        <f>IFERROR(VLOOKUP(C73,'تقرير المصروفات حسب الشهر'!$C$1270:$AD$1381,18,FALSE),0)</f>
        <v>0</v>
      </c>
      <c r="O73" s="376">
        <f>IFERROR(VLOOKUP(C73,'تقرير المصروفات حسب الشهر'!$C$1397:$AI$1512,18,FALSE),0)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الشهر'!$C$10:$AD$119,18,FALSE),0)</f>
        <v>0</v>
      </c>
      <c r="E74" s="362">
        <f>IFERROR(VLOOKUP(C74,'تقرير المصروفات حسب الشهر'!$C$135:$AD$244,18,FALSE),0)</f>
        <v>0</v>
      </c>
      <c r="F74" s="362">
        <f>IFERROR(VLOOKUP(C74,'تقرير المصروفات حسب الشهر'!$C$261:$AD$368,18,FALSE),0)</f>
        <v>0</v>
      </c>
      <c r="G74" s="362">
        <f>IFERROR(VLOOKUP(C74,'تقرير المصروفات حسب الشهر'!$C$387:$AD$495,18,FALSE),0)</f>
        <v>0</v>
      </c>
      <c r="H74" s="362">
        <f>IFERROR(VLOOKUP(C74,'تقرير المصروفات حسب الشهر'!$C$512:$AD$620,18,FALSE),0)</f>
        <v>0</v>
      </c>
      <c r="I74" s="362">
        <f>IFERROR(VLOOKUP(C74,'تقرير المصروفات حسب الشهر'!$C$637:$AD$746,18,FALSE),0)</f>
        <v>0</v>
      </c>
      <c r="J74" s="362">
        <f>IFERROR(VLOOKUP(C74,'تقرير المصروفات حسب الشهر'!$C$763:$AD$872,18,FALSE),0)</f>
        <v>0</v>
      </c>
      <c r="K74" s="362">
        <f>IFERROR(VLOOKUP(C74,'تقرير المصروفات حسب الشهر'!$C$890:$AD$999,18,FALSE),0)</f>
        <v>0</v>
      </c>
      <c r="L74" s="362">
        <f>IFERROR(VLOOKUP(C74,'تقرير المصروفات حسب الشهر'!$C$1016:$AD$1126,18,FALSE),0)</f>
        <v>0</v>
      </c>
      <c r="M74" s="376">
        <f>IFERROR(VLOOKUP(C74,'تقرير المصروفات حسب الشهر'!$C$1143:$AD$1254,18,FALSE),0)</f>
        <v>0</v>
      </c>
      <c r="N74" s="376">
        <f>IFERROR(VLOOKUP(C74,'تقرير المصروفات حسب الشهر'!$C$1270:$AD$1381,18,FALSE),0)</f>
        <v>0</v>
      </c>
      <c r="O74" s="376">
        <f>IFERROR(VLOOKUP(C74,'تقرير المصروفات حسب الشهر'!$C$1397:$AI$1512,18,FALSE),0)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الشهر'!$C$10:$AD$119,18,FALSE),0)</f>
        <v>0</v>
      </c>
      <c r="E75" s="362">
        <f>IFERROR(VLOOKUP(C75,'تقرير المصروفات حسب الشهر'!$C$135:$AD$244,18,FALSE),0)</f>
        <v>0</v>
      </c>
      <c r="F75" s="362">
        <f>IFERROR(VLOOKUP(C75,'تقرير المصروفات حسب الشهر'!$C$261:$AD$368,18,FALSE),0)</f>
        <v>0</v>
      </c>
      <c r="G75" s="362">
        <f>IFERROR(VLOOKUP(C75,'تقرير المصروفات حسب الشهر'!$C$387:$AD$495,18,FALSE),0)</f>
        <v>0</v>
      </c>
      <c r="H75" s="362">
        <f>IFERROR(VLOOKUP(C75,'تقرير المصروفات حسب الشهر'!$C$512:$AD$620,18,FALSE),0)</f>
        <v>0</v>
      </c>
      <c r="I75" s="362">
        <f>IFERROR(VLOOKUP(C75,'تقرير المصروفات حسب الشهر'!$C$637:$AD$746,18,FALSE),0)</f>
        <v>0</v>
      </c>
      <c r="J75" s="362">
        <f>IFERROR(VLOOKUP(C75,'تقرير المصروفات حسب الشهر'!$C$763:$AD$872,18,FALSE),0)</f>
        <v>0</v>
      </c>
      <c r="K75" s="362">
        <f>IFERROR(VLOOKUP(C75,'تقرير المصروفات حسب الشهر'!$C$890:$AD$999,18,FALSE),0)</f>
        <v>0</v>
      </c>
      <c r="L75" s="362">
        <f>IFERROR(VLOOKUP(C75,'تقرير المصروفات حسب الشهر'!$C$1016:$AD$1126,18,FALSE),0)</f>
        <v>0</v>
      </c>
      <c r="M75" s="376">
        <f>IFERROR(VLOOKUP(C75,'تقرير المصروفات حسب الشهر'!$C$1143:$AD$1254,18,FALSE),0)</f>
        <v>0</v>
      </c>
      <c r="N75" s="376">
        <f>IFERROR(VLOOKUP(C75,'تقرير المصروفات حسب الشهر'!$C$1270:$AD$1381,18,FALSE),0)</f>
        <v>0</v>
      </c>
      <c r="O75" s="376">
        <f>IFERROR(VLOOKUP(C75,'تقرير المصروفات حسب الشهر'!$C$1397:$AI$1512,18,FALSE),0)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الشهر'!$C$10:$AD$119,18,FALSE),0)</f>
        <v>0</v>
      </c>
      <c r="E76" s="362">
        <f>IFERROR(VLOOKUP(C76,'تقرير المصروفات حسب الشهر'!$C$135:$AD$244,18,FALSE),0)</f>
        <v>0</v>
      </c>
      <c r="F76" s="362">
        <f>IFERROR(VLOOKUP(C76,'تقرير المصروفات حسب الشهر'!$C$261:$AD$368,18,FALSE),0)</f>
        <v>0</v>
      </c>
      <c r="G76" s="362">
        <f>IFERROR(VLOOKUP(C76,'تقرير المصروفات حسب الشهر'!$C$387:$AD$495,18,FALSE),0)</f>
        <v>0</v>
      </c>
      <c r="H76" s="362">
        <f>IFERROR(VLOOKUP(C76,'تقرير المصروفات حسب الشهر'!$C$512:$AD$620,18,FALSE),0)</f>
        <v>0</v>
      </c>
      <c r="I76" s="362">
        <f>IFERROR(VLOOKUP(C76,'تقرير المصروفات حسب الشهر'!$C$637:$AD$746,18,FALSE),0)</f>
        <v>0</v>
      </c>
      <c r="J76" s="362">
        <f>IFERROR(VLOOKUP(C76,'تقرير المصروفات حسب الشهر'!$C$763:$AD$872,18,FALSE),0)</f>
        <v>0</v>
      </c>
      <c r="K76" s="362">
        <f>IFERROR(VLOOKUP(C76,'تقرير المصروفات حسب الشهر'!$C$890:$AD$999,18,FALSE),0)</f>
        <v>0</v>
      </c>
      <c r="L76" s="362">
        <f>IFERROR(VLOOKUP(C76,'تقرير المصروفات حسب الشهر'!$C$1016:$AD$1126,18,FALSE),0)</f>
        <v>0</v>
      </c>
      <c r="M76" s="376">
        <f>IFERROR(VLOOKUP(C76,'تقرير المصروفات حسب الشهر'!$C$1143:$AD$1254,18,FALSE),0)</f>
        <v>0</v>
      </c>
      <c r="N76" s="376">
        <f>IFERROR(VLOOKUP(C76,'تقرير المصروفات حسب الشهر'!$C$1270:$AD$1381,18,FALSE),0)</f>
        <v>0</v>
      </c>
      <c r="O76" s="376">
        <f>IFERROR(VLOOKUP(C76,'تقرير المصروفات حسب الشهر'!$C$1397:$AI$1512,18,FALSE),0)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الشهر'!$C$10:$AD$119,18,FALSE),0)</f>
        <v>0</v>
      </c>
      <c r="E77" s="362">
        <f>IFERROR(VLOOKUP(C77,'تقرير المصروفات حسب الشهر'!$C$135:$AD$244,18,FALSE),0)</f>
        <v>0</v>
      </c>
      <c r="F77" s="362">
        <f>IFERROR(VLOOKUP(C77,'تقرير المصروفات حسب الشهر'!$C$261:$AD$368,18,FALSE),0)</f>
        <v>0</v>
      </c>
      <c r="G77" s="362">
        <f>IFERROR(VLOOKUP(C77,'تقرير المصروفات حسب الشهر'!$C$387:$AD$495,18,FALSE),0)</f>
        <v>0</v>
      </c>
      <c r="H77" s="362">
        <f>IFERROR(VLOOKUP(C77,'تقرير المصروفات حسب الشهر'!$C$512:$AD$620,18,FALSE),0)</f>
        <v>0</v>
      </c>
      <c r="I77" s="362">
        <f>IFERROR(VLOOKUP(C77,'تقرير المصروفات حسب الشهر'!$C$637:$AD$746,18,FALSE),0)</f>
        <v>0</v>
      </c>
      <c r="J77" s="362">
        <f>IFERROR(VLOOKUP(C77,'تقرير المصروفات حسب الشهر'!$C$763:$AD$872,18,FALSE),0)</f>
        <v>0</v>
      </c>
      <c r="K77" s="362">
        <f>IFERROR(VLOOKUP(C77,'تقرير المصروفات حسب الشهر'!$C$890:$AD$999,18,FALSE),0)</f>
        <v>0</v>
      </c>
      <c r="L77" s="362">
        <f>IFERROR(VLOOKUP(C77,'تقرير المصروفات حسب الشهر'!$C$1016:$AD$1126,18,FALSE),0)</f>
        <v>0</v>
      </c>
      <c r="M77" s="376">
        <f>IFERROR(VLOOKUP(C77,'تقرير المصروفات حسب الشهر'!$C$1143:$AD$1254,18,FALSE),0)</f>
        <v>0</v>
      </c>
      <c r="N77" s="376">
        <f>IFERROR(VLOOKUP(C77,'تقرير المصروفات حسب الشهر'!$C$1270:$AD$1381,18,FALSE),0)</f>
        <v>0</v>
      </c>
      <c r="O77" s="376">
        <f>IFERROR(VLOOKUP(C77,'تقرير المصروفات حسب الشهر'!$C$1397:$AI$1512,18,FALSE),0)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الشهر'!$C$10:$AD$119,18,FALSE),0)</f>
        <v>0</v>
      </c>
      <c r="E78" s="362">
        <f>IFERROR(VLOOKUP(C78,'تقرير المصروفات حسب الشهر'!$C$135:$AD$244,18,FALSE),0)</f>
        <v>0</v>
      </c>
      <c r="F78" s="362">
        <f>IFERROR(VLOOKUP(C78,'تقرير المصروفات حسب الشهر'!$C$261:$AD$368,18,FALSE),0)</f>
        <v>0</v>
      </c>
      <c r="G78" s="362">
        <f>IFERROR(VLOOKUP(C78,'تقرير المصروفات حسب الشهر'!$C$387:$AD$495,18,FALSE),0)</f>
        <v>0</v>
      </c>
      <c r="H78" s="362">
        <f>IFERROR(VLOOKUP(C78,'تقرير المصروفات حسب الشهر'!$C$512:$AD$620,18,FALSE),0)</f>
        <v>0</v>
      </c>
      <c r="I78" s="362">
        <f>IFERROR(VLOOKUP(C78,'تقرير المصروفات حسب الشهر'!$C$637:$AD$746,18,FALSE),0)</f>
        <v>0</v>
      </c>
      <c r="J78" s="362">
        <f>IFERROR(VLOOKUP(C78,'تقرير المصروفات حسب الشهر'!$C$763:$AD$872,18,FALSE),0)</f>
        <v>0</v>
      </c>
      <c r="K78" s="362">
        <f>IFERROR(VLOOKUP(C78,'تقرير المصروفات حسب الشهر'!$C$890:$AD$999,18,FALSE),0)</f>
        <v>0</v>
      </c>
      <c r="L78" s="362">
        <f>IFERROR(VLOOKUP(C78,'تقرير المصروفات حسب الشهر'!$C$1016:$AD$1126,18,FALSE),0)</f>
        <v>0</v>
      </c>
      <c r="M78" s="376">
        <f>IFERROR(VLOOKUP(C78,'تقرير المصروفات حسب الشهر'!$C$1143:$AD$1254,18,FALSE),0)</f>
        <v>0</v>
      </c>
      <c r="N78" s="376">
        <f>IFERROR(VLOOKUP(C78,'تقرير المصروفات حسب الشهر'!$C$1270:$AD$1381,18,FALSE),0)</f>
        <v>0</v>
      </c>
      <c r="O78" s="376">
        <f>IFERROR(VLOOKUP(C78,'تقرير المصروفات حسب الشهر'!$C$1397:$AI$1512,18,FALSE),0)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الشهر'!$C$10:$AD$119,18,FALSE),0)</f>
        <v>0</v>
      </c>
      <c r="E79" s="362">
        <f>IFERROR(VLOOKUP(C79,'تقرير المصروفات حسب الشهر'!$C$135:$AD$244,18,FALSE),0)</f>
        <v>0</v>
      </c>
      <c r="F79" s="362">
        <f>IFERROR(VLOOKUP(C79,'تقرير المصروفات حسب الشهر'!$C$261:$AD$368,18,FALSE),0)</f>
        <v>0</v>
      </c>
      <c r="G79" s="362">
        <f>IFERROR(VLOOKUP(C79,'تقرير المصروفات حسب الشهر'!$C$387:$AD$495,18,FALSE),0)</f>
        <v>0</v>
      </c>
      <c r="H79" s="362">
        <f>IFERROR(VLOOKUP(C79,'تقرير المصروفات حسب الشهر'!$C$512:$AD$620,18,FALSE),0)</f>
        <v>0</v>
      </c>
      <c r="I79" s="362">
        <f>IFERROR(VLOOKUP(C79,'تقرير المصروفات حسب الشهر'!$C$637:$AD$746,18,FALSE),0)</f>
        <v>0</v>
      </c>
      <c r="J79" s="362">
        <f>IFERROR(VLOOKUP(C79,'تقرير المصروفات حسب الشهر'!$C$763:$AD$872,18,FALSE),0)</f>
        <v>0</v>
      </c>
      <c r="K79" s="362">
        <f>IFERROR(VLOOKUP(C79,'تقرير المصروفات حسب الشهر'!$C$890:$AD$999,18,FALSE),0)</f>
        <v>0</v>
      </c>
      <c r="L79" s="362">
        <f>IFERROR(VLOOKUP(C79,'تقرير المصروفات حسب الشهر'!$C$1016:$AD$1126,18,FALSE),0)</f>
        <v>0</v>
      </c>
      <c r="M79" s="376">
        <f>IFERROR(VLOOKUP(C79,'تقرير المصروفات حسب الشهر'!$C$1143:$AD$1254,18,FALSE),0)</f>
        <v>0</v>
      </c>
      <c r="N79" s="376">
        <f>IFERROR(VLOOKUP(C79,'تقرير المصروفات حسب الشهر'!$C$1270:$AD$1381,18,FALSE),0)</f>
        <v>0</v>
      </c>
      <c r="O79" s="376">
        <f>IFERROR(VLOOKUP(C79,'تقرير المصروفات حسب الشهر'!$C$1397:$AI$1512,18,FALSE),0)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الشهر'!$C$10:$AD$119,18,FALSE),0)</f>
        <v>0</v>
      </c>
      <c r="E80" s="362">
        <f>IFERROR(VLOOKUP(C80,'تقرير المصروفات حسب الشهر'!$C$135:$AD$244,18,FALSE),0)</f>
        <v>0</v>
      </c>
      <c r="F80" s="362">
        <f>IFERROR(VLOOKUP(C80,'تقرير المصروفات حسب الشهر'!$C$261:$AD$368,18,FALSE),0)</f>
        <v>0</v>
      </c>
      <c r="G80" s="362">
        <f>IFERROR(VLOOKUP(C80,'تقرير المصروفات حسب الشهر'!$C$387:$AD$495,18,FALSE),0)</f>
        <v>0</v>
      </c>
      <c r="H80" s="362">
        <f>IFERROR(VLOOKUP(C80,'تقرير المصروفات حسب الشهر'!$C$512:$AD$620,18,FALSE),0)</f>
        <v>0</v>
      </c>
      <c r="I80" s="362">
        <f>IFERROR(VLOOKUP(C80,'تقرير المصروفات حسب الشهر'!$C$637:$AD$746,18,FALSE),0)</f>
        <v>0</v>
      </c>
      <c r="J80" s="362">
        <f>IFERROR(VLOOKUP(C80,'تقرير المصروفات حسب الشهر'!$C$763:$AD$872,18,FALSE),0)</f>
        <v>0</v>
      </c>
      <c r="K80" s="362">
        <f>IFERROR(VLOOKUP(C80,'تقرير المصروفات حسب الشهر'!$C$890:$AD$999,18,FALSE),0)</f>
        <v>0</v>
      </c>
      <c r="L80" s="362">
        <f>IFERROR(VLOOKUP(C80,'تقرير المصروفات حسب الشهر'!$C$1016:$AD$1126,18,FALSE),0)</f>
        <v>0</v>
      </c>
      <c r="M80" s="376">
        <f>IFERROR(VLOOKUP(C80,'تقرير المصروفات حسب الشهر'!$C$1143:$AD$1254,18,FALSE),0)</f>
        <v>0</v>
      </c>
      <c r="N80" s="376">
        <f>IFERROR(VLOOKUP(C80,'تقرير المصروفات حسب الشهر'!$C$1270:$AD$1381,18,FALSE),0)</f>
        <v>0</v>
      </c>
      <c r="O80" s="376">
        <f>IFERROR(VLOOKUP(C80,'تقرير المصروفات حسب الشهر'!$C$1397:$AI$1512,18,FALSE),0)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الشهر'!$C$10:$AD$119,18,FALSE),0)</f>
        <v>0</v>
      </c>
      <c r="E81" s="362">
        <f>IFERROR(VLOOKUP(C81,'تقرير المصروفات حسب الشهر'!$C$135:$AD$244,18,FALSE),0)</f>
        <v>0</v>
      </c>
      <c r="F81" s="362">
        <f>IFERROR(VLOOKUP(C81,'تقرير المصروفات حسب الشهر'!$C$261:$AD$368,18,FALSE),0)</f>
        <v>0</v>
      </c>
      <c r="G81" s="362">
        <f>IFERROR(VLOOKUP(C81,'تقرير المصروفات حسب الشهر'!$C$387:$AD$495,18,FALSE),0)</f>
        <v>0</v>
      </c>
      <c r="H81" s="362">
        <f>IFERROR(VLOOKUP(C81,'تقرير المصروفات حسب الشهر'!$C$512:$AD$620,18,FALSE),0)</f>
        <v>0</v>
      </c>
      <c r="I81" s="362">
        <f>IFERROR(VLOOKUP(C81,'تقرير المصروفات حسب الشهر'!$C$637:$AD$746,18,FALSE),0)</f>
        <v>0</v>
      </c>
      <c r="J81" s="362">
        <f>IFERROR(VLOOKUP(C81,'تقرير المصروفات حسب الشهر'!$C$763:$AD$872,18,FALSE),0)</f>
        <v>0</v>
      </c>
      <c r="K81" s="362">
        <f>IFERROR(VLOOKUP(C81,'تقرير المصروفات حسب الشهر'!$C$890:$AD$999,18,FALSE),0)</f>
        <v>300</v>
      </c>
      <c r="L81" s="362">
        <f>IFERROR(VLOOKUP(C81,'تقرير المصروفات حسب الشهر'!$C$1016:$AD$1126,18,FALSE),0)</f>
        <v>0</v>
      </c>
      <c r="M81" s="376">
        <f>IFERROR(VLOOKUP(C81,'تقرير المصروفات حسب الشهر'!$C$1143:$AD$1254,18,FALSE),0)</f>
        <v>0</v>
      </c>
      <c r="N81" s="376">
        <f>IFERROR(VLOOKUP(C81,'تقرير المصروفات حسب الشهر'!$C$1270:$AD$1381,18,FALSE),0)</f>
        <v>0</v>
      </c>
      <c r="O81" s="376">
        <f>IFERROR(VLOOKUP(C81,'تقرير المصروفات حسب الشهر'!$C$1397:$AI$1512,18,FALSE),0)</f>
        <v>0</v>
      </c>
      <c r="P81" s="364">
        <f t="shared" si="5"/>
        <v>300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الشهر'!$C$10:$AD$119,18,FALSE),0)</f>
        <v>0</v>
      </c>
      <c r="E82" s="362">
        <f>IFERROR(VLOOKUP(C82,'تقرير المصروفات حسب الشهر'!$C$135:$AD$244,18,FALSE),0)</f>
        <v>0</v>
      </c>
      <c r="F82" s="362">
        <f>IFERROR(VLOOKUP(C82,'تقرير المصروفات حسب الشهر'!$C$261:$AD$368,18,FALSE),0)</f>
        <v>0</v>
      </c>
      <c r="G82" s="362">
        <f>IFERROR(VLOOKUP(C82,'تقرير المصروفات حسب الشهر'!$C$387:$AD$495,18,FALSE),0)</f>
        <v>0</v>
      </c>
      <c r="H82" s="362">
        <f>IFERROR(VLOOKUP(C82,'تقرير المصروفات حسب الشهر'!$C$512:$AD$620,18,FALSE),0)</f>
        <v>0</v>
      </c>
      <c r="I82" s="362">
        <f>IFERROR(VLOOKUP(C82,'تقرير المصروفات حسب الشهر'!$C$637:$AD$746,18,FALSE),0)</f>
        <v>0</v>
      </c>
      <c r="J82" s="362">
        <f>IFERROR(VLOOKUP(C82,'تقرير المصروفات حسب الشهر'!$C$763:$AD$872,18,FALSE),0)</f>
        <v>0</v>
      </c>
      <c r="K82" s="362">
        <f>IFERROR(VLOOKUP(C82,'تقرير المصروفات حسب الشهر'!$C$890:$AD$999,18,FALSE),0)</f>
        <v>0</v>
      </c>
      <c r="L82" s="362">
        <f>IFERROR(VLOOKUP(C82,'تقرير المصروفات حسب الشهر'!$C$1016:$AD$1126,18,FALSE),0)</f>
        <v>0</v>
      </c>
      <c r="M82" s="376">
        <f>IFERROR(VLOOKUP(C82,'تقرير المصروفات حسب الشهر'!$C$1143:$AD$1254,18,FALSE),0)</f>
        <v>0</v>
      </c>
      <c r="N82" s="376">
        <f>IFERROR(VLOOKUP(C82,'تقرير المصروفات حسب الشهر'!$C$1270:$AD$1381,18,FALSE),0)</f>
        <v>0</v>
      </c>
      <c r="O82" s="376">
        <f>IFERROR(VLOOKUP(C82,'تقرير المصروفات حسب الشهر'!$C$1397:$AI$1512,18,FALSE),0)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الشهر'!$C$10:$AD$119,18,FALSE),0)</f>
        <v>0</v>
      </c>
      <c r="E83" s="362">
        <f>IFERROR(VLOOKUP(C83,'تقرير المصروفات حسب الشهر'!$C$135:$AD$244,18,FALSE),0)</f>
        <v>0</v>
      </c>
      <c r="F83" s="362">
        <f>IFERROR(VLOOKUP(C83,'تقرير المصروفات حسب الشهر'!$C$261:$AD$368,18,FALSE),0)</f>
        <v>0</v>
      </c>
      <c r="G83" s="362">
        <f>IFERROR(VLOOKUP(C83,'تقرير المصروفات حسب الشهر'!$C$387:$AD$495,18,FALSE),0)</f>
        <v>0</v>
      </c>
      <c r="H83" s="362">
        <f>IFERROR(VLOOKUP(C83,'تقرير المصروفات حسب الشهر'!$C$512:$AD$620,18,FALSE),0)</f>
        <v>0</v>
      </c>
      <c r="I83" s="362">
        <f>IFERROR(VLOOKUP(C83,'تقرير المصروفات حسب الشهر'!$C$637:$AD$746,18,FALSE),0)</f>
        <v>0</v>
      </c>
      <c r="J83" s="362">
        <f>IFERROR(VLOOKUP(C83,'تقرير المصروفات حسب الشهر'!$C$763:$AD$872,18,FALSE),0)</f>
        <v>0</v>
      </c>
      <c r="K83" s="362">
        <f>IFERROR(VLOOKUP(C83,'تقرير المصروفات حسب الشهر'!$C$890:$AD$999,18,FALSE),0)</f>
        <v>0</v>
      </c>
      <c r="L83" s="362">
        <f>IFERROR(VLOOKUP(C83,'تقرير المصروفات حسب الشهر'!$C$1016:$AD$1126,18,FALSE),0)</f>
        <v>0</v>
      </c>
      <c r="M83" s="376">
        <f>IFERROR(VLOOKUP(C83,'تقرير المصروفات حسب الشهر'!$C$1143:$AD$1254,18,FALSE),0)</f>
        <v>0</v>
      </c>
      <c r="N83" s="376">
        <f>IFERROR(VLOOKUP(C83,'تقرير المصروفات حسب الشهر'!$C$1270:$AD$1381,18,FALSE),0)</f>
        <v>0</v>
      </c>
      <c r="O83" s="376">
        <f>IFERROR(VLOOKUP(C83,'تقرير المصروفات حسب الشهر'!$C$1397:$AI$1512,18,FALSE),0)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الشهر'!$C$10:$AD$119,18,FALSE),0)</f>
        <v>0</v>
      </c>
      <c r="E84" s="362">
        <f>IFERROR(VLOOKUP(C84,'تقرير المصروفات حسب الشهر'!$C$135:$AD$244,18,FALSE),0)</f>
        <v>0</v>
      </c>
      <c r="F84" s="362">
        <f>IFERROR(VLOOKUP(C84,'تقرير المصروفات حسب الشهر'!$C$261:$AD$368,18,FALSE),0)</f>
        <v>0</v>
      </c>
      <c r="G84" s="362">
        <f>IFERROR(VLOOKUP(C84,'تقرير المصروفات حسب الشهر'!$C$387:$AD$495,18,FALSE),0)</f>
        <v>0</v>
      </c>
      <c r="H84" s="362">
        <f>IFERROR(VLOOKUP(C84,'تقرير المصروفات حسب الشهر'!$C$512:$AD$620,18,FALSE),0)</f>
        <v>0</v>
      </c>
      <c r="I84" s="362">
        <f>IFERROR(VLOOKUP(C84,'تقرير المصروفات حسب الشهر'!$C$637:$AD$746,18,FALSE),0)</f>
        <v>0</v>
      </c>
      <c r="J84" s="362">
        <f>IFERROR(VLOOKUP(C84,'تقرير المصروفات حسب الشهر'!$C$763:$AD$872,18,FALSE),0)</f>
        <v>0</v>
      </c>
      <c r="K84" s="362">
        <f>IFERROR(VLOOKUP(C84,'تقرير المصروفات حسب الشهر'!$C$890:$AD$999,18,FALSE),0)</f>
        <v>0</v>
      </c>
      <c r="L84" s="362">
        <f>IFERROR(VLOOKUP(C84,'تقرير المصروفات حسب الشهر'!$C$1016:$AD$1126,18,FALSE),0)</f>
        <v>0</v>
      </c>
      <c r="M84" s="376">
        <f>IFERROR(VLOOKUP(C84,'تقرير المصروفات حسب الشهر'!$C$1143:$AD$1254,18,FALSE),0)</f>
        <v>0</v>
      </c>
      <c r="N84" s="376">
        <f>IFERROR(VLOOKUP(C84,'تقرير المصروفات حسب الشهر'!$C$1270:$AD$1381,18,FALSE),0)</f>
        <v>0</v>
      </c>
      <c r="O84" s="376">
        <f>IFERROR(VLOOKUP(C84,'تقرير المصروفات حسب الشهر'!$C$1397:$AI$1512,18,FALSE),0)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الشهر'!$C$10:$AD$119,18,FALSE),0)</f>
        <v>0</v>
      </c>
      <c r="E85" s="362">
        <f>IFERROR(VLOOKUP(C85,'تقرير المصروفات حسب الشهر'!$C$135:$AD$244,18,FALSE),0)</f>
        <v>0</v>
      </c>
      <c r="F85" s="362">
        <f>IFERROR(VLOOKUP(C85,'تقرير المصروفات حسب الشهر'!$C$261:$AD$368,18,FALSE),0)</f>
        <v>0</v>
      </c>
      <c r="G85" s="362">
        <f>IFERROR(VLOOKUP(C85,'تقرير المصروفات حسب الشهر'!$C$387:$AD$495,18,FALSE),0)</f>
        <v>0</v>
      </c>
      <c r="H85" s="362">
        <f>IFERROR(VLOOKUP(C85,'تقرير المصروفات حسب الشهر'!$C$512:$AD$620,18,FALSE),0)</f>
        <v>0</v>
      </c>
      <c r="I85" s="362">
        <f>IFERROR(VLOOKUP(C85,'تقرير المصروفات حسب الشهر'!$C$637:$AD$746,18,FALSE),0)</f>
        <v>0</v>
      </c>
      <c r="J85" s="362">
        <f>IFERROR(VLOOKUP(C85,'تقرير المصروفات حسب الشهر'!$C$763:$AD$872,18,FALSE),0)</f>
        <v>0</v>
      </c>
      <c r="K85" s="362">
        <f>IFERROR(VLOOKUP(C85,'تقرير المصروفات حسب الشهر'!$C$890:$AD$999,18,FALSE),0)</f>
        <v>0</v>
      </c>
      <c r="L85" s="362">
        <f>IFERROR(VLOOKUP(C85,'تقرير المصروفات حسب الشهر'!$C$1016:$AD$1126,18,FALSE),0)</f>
        <v>0</v>
      </c>
      <c r="M85" s="376">
        <f>IFERROR(VLOOKUP(C85,'تقرير المصروفات حسب الشهر'!$C$1143:$AD$1254,18,FALSE),0)</f>
        <v>0</v>
      </c>
      <c r="N85" s="376">
        <f>IFERROR(VLOOKUP(C85,'تقرير المصروفات حسب الشهر'!$C$1270:$AD$1381,18,FALSE),0)</f>
        <v>0</v>
      </c>
      <c r="O85" s="376">
        <f>IFERROR(VLOOKUP(C85,'تقرير المصروفات حسب الشهر'!$C$1397:$AI$1512,18,FALSE),0)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الشهر'!$C$10:$AD$119,18,FALSE),0)</f>
        <v>0</v>
      </c>
      <c r="E86" s="362">
        <f>IFERROR(VLOOKUP(C86,'تقرير المصروفات حسب الشهر'!$C$135:$AD$244,18,FALSE),0)</f>
        <v>0</v>
      </c>
      <c r="F86" s="362">
        <f>IFERROR(VLOOKUP(C86,'تقرير المصروفات حسب الشهر'!$C$261:$AD$368,18,FALSE),0)</f>
        <v>0</v>
      </c>
      <c r="G86" s="362">
        <f>IFERROR(VLOOKUP(C86,'تقرير المصروفات حسب الشهر'!$C$387:$AD$495,18,FALSE),0)</f>
        <v>0</v>
      </c>
      <c r="H86" s="362">
        <f>IFERROR(VLOOKUP(C86,'تقرير المصروفات حسب الشهر'!$C$512:$AD$620,18,FALSE),0)</f>
        <v>1243</v>
      </c>
      <c r="I86" s="362">
        <f>IFERROR(VLOOKUP(C86,'تقرير المصروفات حسب الشهر'!$C$637:$AD$746,18,FALSE),0)</f>
        <v>0</v>
      </c>
      <c r="J86" s="362">
        <f>IFERROR(VLOOKUP(C86,'تقرير المصروفات حسب الشهر'!$C$763:$AD$872,18,FALSE),0)</f>
        <v>979</v>
      </c>
      <c r="K86" s="362">
        <f>IFERROR(VLOOKUP(C86,'تقرير المصروفات حسب الشهر'!$C$890:$AD$999,18,FALSE),0)</f>
        <v>0</v>
      </c>
      <c r="L86" s="362">
        <f>IFERROR(VLOOKUP(C86,'تقرير المصروفات حسب الشهر'!$C$1016:$AD$1126,18,FALSE),0)</f>
        <v>0</v>
      </c>
      <c r="M86" s="376">
        <f>IFERROR(VLOOKUP(C86,'تقرير المصروفات حسب الشهر'!$C$1143:$AD$1254,18,FALSE),0)</f>
        <v>0</v>
      </c>
      <c r="N86" s="376">
        <f>IFERROR(VLOOKUP(C86,'تقرير المصروفات حسب الشهر'!$C$1270:$AD$1381,18,FALSE),0)</f>
        <v>367.25</v>
      </c>
      <c r="O86" s="376">
        <f>IFERROR(VLOOKUP(C86,'تقرير المصروفات حسب الشهر'!$C$1397:$AI$1512,18,FALSE),0)</f>
        <v>0</v>
      </c>
      <c r="P86" s="364">
        <f t="shared" si="5"/>
        <v>2589.25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الشهر'!$C$10:$AD$119,18,FALSE),0)</f>
        <v>0</v>
      </c>
      <c r="E87" s="362">
        <f>IFERROR(VLOOKUP(C87,'تقرير المصروفات حسب الشهر'!$C$135:$AD$244,18,FALSE),0)</f>
        <v>0</v>
      </c>
      <c r="F87" s="362">
        <f>IFERROR(VLOOKUP(C87,'تقرير المصروفات حسب الشهر'!$C$261:$AD$368,18,FALSE),0)</f>
        <v>0</v>
      </c>
      <c r="G87" s="362">
        <f>IFERROR(VLOOKUP(C87,'تقرير المصروفات حسب الشهر'!$C$387:$AD$495,18,FALSE),0)</f>
        <v>0</v>
      </c>
      <c r="H87" s="362">
        <f>IFERROR(VLOOKUP(C87,'تقرير المصروفات حسب الشهر'!$C$512:$AD$620,18,FALSE),0)</f>
        <v>0</v>
      </c>
      <c r="I87" s="362">
        <f>IFERROR(VLOOKUP(C87,'تقرير المصروفات حسب الشهر'!$C$637:$AD$746,18,FALSE),0)</f>
        <v>0</v>
      </c>
      <c r="J87" s="362">
        <f>IFERROR(VLOOKUP(C87,'تقرير المصروفات حسب الشهر'!$C$763:$AD$872,18,FALSE),0)</f>
        <v>0</v>
      </c>
      <c r="K87" s="362">
        <f>IFERROR(VLOOKUP(C87,'تقرير المصروفات حسب الشهر'!$C$890:$AD$999,18,FALSE),0)</f>
        <v>0</v>
      </c>
      <c r="L87" s="362">
        <f>IFERROR(VLOOKUP(C87,'تقرير المصروفات حسب الشهر'!$C$1016:$AD$1126,18,FALSE),0)</f>
        <v>0</v>
      </c>
      <c r="M87" s="376">
        <f>IFERROR(VLOOKUP(C87,'تقرير المصروفات حسب الشهر'!$C$1143:$AD$1254,18,FALSE),0)</f>
        <v>0</v>
      </c>
      <c r="N87" s="376">
        <f>IFERROR(VLOOKUP(C87,'تقرير المصروفات حسب الشهر'!$C$1270:$AD$1381,18,FALSE),0)</f>
        <v>0</v>
      </c>
      <c r="O87" s="376">
        <f>IFERROR(VLOOKUP(C87,'تقرير المصروفات حسب الشهر'!$C$1397:$AI$1512,18,FALSE),0)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الشهر'!$C$10:$AD$119,18,FALSE),0)</f>
        <v>0</v>
      </c>
      <c r="E88" s="362">
        <f>IFERROR(VLOOKUP(C88,'تقرير المصروفات حسب الشهر'!$C$135:$AD$244,18,FALSE),0)</f>
        <v>0</v>
      </c>
      <c r="F88" s="362">
        <f>IFERROR(VLOOKUP(C88,'تقرير المصروفات حسب الشهر'!$C$261:$AD$368,18,FALSE),0)</f>
        <v>0</v>
      </c>
      <c r="G88" s="362">
        <f>IFERROR(VLOOKUP(C88,'تقرير المصروفات حسب الشهر'!$C$387:$AD$495,18,FALSE),0)</f>
        <v>0</v>
      </c>
      <c r="H88" s="362">
        <f>IFERROR(VLOOKUP(C88,'تقرير المصروفات حسب الشهر'!$C$512:$AD$620,18,FALSE),0)</f>
        <v>0</v>
      </c>
      <c r="I88" s="362">
        <f>IFERROR(VLOOKUP(C88,'تقرير المصروفات حسب الشهر'!$C$637:$AD$746,18,FALSE),0)</f>
        <v>0</v>
      </c>
      <c r="J88" s="362">
        <f>IFERROR(VLOOKUP(C88,'تقرير المصروفات حسب الشهر'!$C$763:$AD$872,18,FALSE),0)</f>
        <v>0</v>
      </c>
      <c r="K88" s="362">
        <f>IFERROR(VLOOKUP(C88,'تقرير المصروفات حسب الشهر'!$C$890:$AD$999,18,FALSE),0)</f>
        <v>0</v>
      </c>
      <c r="L88" s="362">
        <f>IFERROR(VLOOKUP(C88,'تقرير المصروفات حسب الشهر'!$C$1016:$AD$1126,18,FALSE),0)</f>
        <v>0</v>
      </c>
      <c r="M88" s="376">
        <f>IFERROR(VLOOKUP(C88,'تقرير المصروفات حسب الشهر'!$C$1143:$AD$1254,18,FALSE),0)</f>
        <v>0</v>
      </c>
      <c r="N88" s="376">
        <f>IFERROR(VLOOKUP(C88,'تقرير المصروفات حسب الشهر'!$C$1270:$AD$1381,18,FALSE),0)</f>
        <v>0</v>
      </c>
      <c r="O88" s="376">
        <f>IFERROR(VLOOKUP(C88,'تقرير المصروفات حسب الشهر'!$C$1397:$AI$1512,18,FALSE),0)</f>
        <v>0</v>
      </c>
      <c r="P88" s="364">
        <f t="shared" si="6"/>
        <v>0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الشهر'!$C$10:$AD$119,18,FALSE),0)</f>
        <v>0</v>
      </c>
      <c r="E89" s="362">
        <f>IFERROR(VLOOKUP(C89,'تقرير المصروفات حسب الشهر'!$C$135:$AD$244,18,FALSE),0)</f>
        <v>0</v>
      </c>
      <c r="F89" s="362">
        <f>IFERROR(VLOOKUP(C89,'تقرير المصروفات حسب الشهر'!$C$261:$AD$368,18,FALSE),0)</f>
        <v>0</v>
      </c>
      <c r="G89" s="362">
        <f>IFERROR(VLOOKUP(C89,'تقرير المصروفات حسب الشهر'!$C$387:$AD$495,18,FALSE),0)</f>
        <v>0</v>
      </c>
      <c r="H89" s="362">
        <f>IFERROR(VLOOKUP(C89,'تقرير المصروفات حسب الشهر'!$C$512:$AD$620,18,FALSE),0)</f>
        <v>0</v>
      </c>
      <c r="I89" s="362">
        <f>IFERROR(VLOOKUP(C89,'تقرير المصروفات حسب الشهر'!$C$637:$AD$746,18,FALSE),0)</f>
        <v>0</v>
      </c>
      <c r="J89" s="362">
        <f>IFERROR(VLOOKUP(C89,'تقرير المصروفات حسب الشهر'!$C$763:$AD$872,18,FALSE),0)</f>
        <v>0</v>
      </c>
      <c r="K89" s="362">
        <f>IFERROR(VLOOKUP(C89,'تقرير المصروفات حسب الشهر'!$C$890:$AD$999,18,FALSE),0)</f>
        <v>0</v>
      </c>
      <c r="L89" s="362">
        <f>IFERROR(VLOOKUP(C89,'تقرير المصروفات حسب الشهر'!$C$1016:$AD$1126,18,FALSE),0)</f>
        <v>0</v>
      </c>
      <c r="M89" s="376">
        <f>IFERROR(VLOOKUP(C89,'تقرير المصروفات حسب الشهر'!$C$1143:$AD$1254,18,FALSE),0)</f>
        <v>0</v>
      </c>
      <c r="N89" s="376">
        <f>IFERROR(VLOOKUP(C89,'تقرير المصروفات حسب الشهر'!$C$1270:$AD$1381,18,FALSE),0)</f>
        <v>0</v>
      </c>
      <c r="O89" s="376">
        <f>IFERROR(VLOOKUP(C89,'تقرير المصروفات حسب الشهر'!$C$1397:$AI$1512,18,FALSE),0)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الشهر'!$C$10:$AD$119,18,FALSE),0)</f>
        <v>0</v>
      </c>
      <c r="E90" s="362">
        <f>IFERROR(VLOOKUP(C90,'تقرير المصروفات حسب الشهر'!$C$135:$AD$244,18,FALSE),0)</f>
        <v>0</v>
      </c>
      <c r="F90" s="362">
        <f>IFERROR(VLOOKUP(C90,'تقرير المصروفات حسب الشهر'!$C$261:$AD$368,18,FALSE),0)</f>
        <v>0</v>
      </c>
      <c r="G90" s="362">
        <f>IFERROR(VLOOKUP(C90,'تقرير المصروفات حسب الشهر'!$C$387:$AD$495,18,FALSE),0)</f>
        <v>0</v>
      </c>
      <c r="H90" s="362">
        <f>IFERROR(VLOOKUP(C90,'تقرير المصروفات حسب الشهر'!$C$512:$AD$620,18,FALSE),0)</f>
        <v>0</v>
      </c>
      <c r="I90" s="362">
        <f>IFERROR(VLOOKUP(C90,'تقرير المصروفات حسب الشهر'!$C$637:$AD$746,18,FALSE),0)</f>
        <v>0</v>
      </c>
      <c r="J90" s="362">
        <f>IFERROR(VLOOKUP(C90,'تقرير المصروفات حسب الشهر'!$C$763:$AD$872,18,FALSE),0)</f>
        <v>0</v>
      </c>
      <c r="K90" s="362">
        <f>IFERROR(VLOOKUP(C90,'تقرير المصروفات حسب الشهر'!$C$890:$AD$999,18,FALSE),0)</f>
        <v>0</v>
      </c>
      <c r="L90" s="362">
        <f>IFERROR(VLOOKUP(C90,'تقرير المصروفات حسب الشهر'!$C$1016:$AD$1126,18,FALSE),0)</f>
        <v>0</v>
      </c>
      <c r="M90" s="376">
        <f>IFERROR(VLOOKUP(C90,'تقرير المصروفات حسب الشهر'!$C$1143:$AD$1254,18,FALSE),0)</f>
        <v>0</v>
      </c>
      <c r="N90" s="376">
        <f>IFERROR(VLOOKUP(C90,'تقرير المصروفات حسب الشهر'!$C$1270:$AD$1381,18,FALSE),0)</f>
        <v>0</v>
      </c>
      <c r="O90" s="376">
        <f>IFERROR(VLOOKUP(C90,'تقرير المصروفات حسب الشهر'!$C$1397:$AI$1512,18,FALSE),0)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الشهر'!$C$10:$AD$119,18,FALSE),0)</f>
        <v>0</v>
      </c>
      <c r="E91" s="362">
        <f>IFERROR(VLOOKUP(C91,'تقرير المصروفات حسب الشهر'!$C$135:$AD$244,18,FALSE),0)</f>
        <v>0</v>
      </c>
      <c r="F91" s="362">
        <f>IFERROR(VLOOKUP(C91,'تقرير المصروفات حسب الشهر'!$C$261:$AD$368,18,FALSE),0)</f>
        <v>0</v>
      </c>
      <c r="G91" s="362">
        <f>IFERROR(VLOOKUP(C91,'تقرير المصروفات حسب الشهر'!$C$387:$AD$495,18,FALSE),0)</f>
        <v>0</v>
      </c>
      <c r="H91" s="362">
        <f>IFERROR(VLOOKUP(C91,'تقرير المصروفات حسب الشهر'!$C$512:$AD$620,18,FALSE),0)</f>
        <v>0</v>
      </c>
      <c r="I91" s="362">
        <f>IFERROR(VLOOKUP(C91,'تقرير المصروفات حسب الشهر'!$C$637:$AD$746,18,FALSE),0)</f>
        <v>0</v>
      </c>
      <c r="J91" s="362">
        <f>IFERROR(VLOOKUP(C91,'تقرير المصروفات حسب الشهر'!$C$763:$AD$872,18,FALSE),0)</f>
        <v>0</v>
      </c>
      <c r="K91" s="362">
        <f>IFERROR(VLOOKUP(C91,'تقرير المصروفات حسب الشهر'!$C$890:$AD$999,18,FALSE),0)</f>
        <v>0</v>
      </c>
      <c r="L91" s="362">
        <f>IFERROR(VLOOKUP(C91,'تقرير المصروفات حسب الشهر'!$C$1016:$AD$1126,18,FALSE),0)</f>
        <v>0</v>
      </c>
      <c r="M91" s="376">
        <f>IFERROR(VLOOKUP(C91,'تقرير المصروفات حسب الشهر'!$C$1143:$AD$1254,18,FALSE),0)</f>
        <v>0</v>
      </c>
      <c r="N91" s="376">
        <f>IFERROR(VLOOKUP(C91,'تقرير المصروفات حسب الشهر'!$C$1270:$AD$1381,18,FALSE),0)</f>
        <v>0</v>
      </c>
      <c r="O91" s="376">
        <f>IFERROR(VLOOKUP(C91,'تقرير المصروفات حسب الشهر'!$C$1397:$AI$1512,18,FALSE),0)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الشهر'!$C$10:$AD$119,18,FALSE),0)</f>
        <v>0</v>
      </c>
      <c r="E92" s="362">
        <f>IFERROR(VLOOKUP(C92,'تقرير المصروفات حسب الشهر'!$C$135:$AD$244,18,FALSE),0)</f>
        <v>0</v>
      </c>
      <c r="F92" s="362">
        <f>IFERROR(VLOOKUP(C92,'تقرير المصروفات حسب الشهر'!$C$261:$AD$368,18,FALSE),0)</f>
        <v>0</v>
      </c>
      <c r="G92" s="362">
        <f>IFERROR(VLOOKUP(C92,'تقرير المصروفات حسب الشهر'!$C$387:$AD$495,18,FALSE),0)</f>
        <v>0</v>
      </c>
      <c r="H92" s="362">
        <f>IFERROR(VLOOKUP(C92,'تقرير المصروفات حسب الشهر'!$C$512:$AD$620,18,FALSE),0)</f>
        <v>0</v>
      </c>
      <c r="I92" s="362">
        <f>IFERROR(VLOOKUP(C92,'تقرير المصروفات حسب الشهر'!$C$637:$AD$746,18,FALSE),0)</f>
        <v>0</v>
      </c>
      <c r="J92" s="362">
        <f>IFERROR(VLOOKUP(C92,'تقرير المصروفات حسب الشهر'!$C$763:$AD$872,18,FALSE),0)</f>
        <v>1000</v>
      </c>
      <c r="K92" s="362">
        <f>IFERROR(VLOOKUP(C92,'تقرير المصروفات حسب الشهر'!$C$890:$AD$999,18,FALSE),0)</f>
        <v>0</v>
      </c>
      <c r="L92" s="362">
        <f>IFERROR(VLOOKUP(C92,'تقرير المصروفات حسب الشهر'!$C$1016:$AD$1126,18,FALSE),0)</f>
        <v>0</v>
      </c>
      <c r="M92" s="376">
        <f>IFERROR(VLOOKUP(C92,'تقرير المصروفات حسب الشهر'!$C$1143:$AD$1254,18,FALSE),0)</f>
        <v>0</v>
      </c>
      <c r="N92" s="376">
        <f>IFERROR(VLOOKUP(C92,'تقرير المصروفات حسب الشهر'!$C$1270:$AD$1381,18,FALSE),0)</f>
        <v>0</v>
      </c>
      <c r="O92" s="376">
        <f>IFERROR(VLOOKUP(C92,'تقرير المصروفات حسب الشهر'!$C$1397:$AI$1512,18,FALSE),0)</f>
        <v>0</v>
      </c>
      <c r="P92" s="364">
        <f t="shared" si="6"/>
        <v>1000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الشهر'!$C$10:$AD$119,18,FALSE),0)</f>
        <v>0</v>
      </c>
      <c r="E93" s="362">
        <f>IFERROR(VLOOKUP(C93,'تقرير المصروفات حسب الشهر'!$C$135:$AD$244,18,FALSE),0)</f>
        <v>1865</v>
      </c>
      <c r="F93" s="362">
        <f>IFERROR(VLOOKUP(C93,'تقرير المصروفات حسب الشهر'!$C$261:$AD$368,18,FALSE),0)</f>
        <v>0</v>
      </c>
      <c r="G93" s="362">
        <f>IFERROR(VLOOKUP(C93,'تقرير المصروفات حسب الشهر'!$C$387:$AD$495,18,FALSE),0)</f>
        <v>0</v>
      </c>
      <c r="H93" s="362">
        <f>IFERROR(VLOOKUP(C93,'تقرير المصروفات حسب الشهر'!$C$512:$AD$620,18,FALSE),0)</f>
        <v>0</v>
      </c>
      <c r="I93" s="362">
        <f>IFERROR(VLOOKUP(C93,'تقرير المصروفات حسب الشهر'!$C$637:$AD$746,18,FALSE),0)</f>
        <v>0</v>
      </c>
      <c r="J93" s="362">
        <f>IFERROR(VLOOKUP(C93,'تقرير المصروفات حسب الشهر'!$C$763:$AD$872,18,FALSE),0)</f>
        <v>668</v>
      </c>
      <c r="K93" s="362">
        <f>IFERROR(VLOOKUP(C93,'تقرير المصروفات حسب الشهر'!$C$890:$AD$999,18,FALSE),0)</f>
        <v>0</v>
      </c>
      <c r="L93" s="362">
        <f>IFERROR(VLOOKUP(C93,'تقرير المصروفات حسب الشهر'!$C$1016:$AD$1126,18,FALSE),0)</f>
        <v>0</v>
      </c>
      <c r="M93" s="376">
        <f>IFERROR(VLOOKUP(C93,'تقرير المصروفات حسب الشهر'!$C$1143:$AD$1254,18,FALSE),0)</f>
        <v>0</v>
      </c>
      <c r="N93" s="376">
        <f>IFERROR(VLOOKUP(C93,'تقرير المصروفات حسب الشهر'!$C$1270:$AD$1381,18,FALSE),0)</f>
        <v>0</v>
      </c>
      <c r="O93" s="376">
        <f>IFERROR(VLOOKUP(C93,'تقرير المصروفات حسب الشهر'!$C$1397:$AI$1512,18,FALSE),0)</f>
        <v>0</v>
      </c>
      <c r="P93" s="364">
        <f t="shared" si="6"/>
        <v>2533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الشهر'!$C$10:$AD$119,18,FALSE),0)</f>
        <v>0</v>
      </c>
      <c r="E94" s="362">
        <f>IFERROR(VLOOKUP(C94,'تقرير المصروفات حسب الشهر'!$C$135:$AD$244,18,FALSE),0)</f>
        <v>0</v>
      </c>
      <c r="F94" s="362">
        <f>IFERROR(VLOOKUP(C94,'تقرير المصروفات حسب الشهر'!$C$261:$AD$368,18,FALSE),0)</f>
        <v>0</v>
      </c>
      <c r="G94" s="362">
        <f>IFERROR(VLOOKUP(C94,'تقرير المصروفات حسب الشهر'!$C$387:$AD$495,18,FALSE),0)</f>
        <v>0</v>
      </c>
      <c r="H94" s="362">
        <f>IFERROR(VLOOKUP(C94,'تقرير المصروفات حسب الشهر'!$C$512:$AD$620,18,FALSE),0)</f>
        <v>0</v>
      </c>
      <c r="I94" s="362">
        <f>IFERROR(VLOOKUP(C94,'تقرير المصروفات حسب الشهر'!$C$637:$AD$746,18,FALSE),0)</f>
        <v>0</v>
      </c>
      <c r="J94" s="362">
        <f>IFERROR(VLOOKUP(C94,'تقرير المصروفات حسب الشهر'!$C$763:$AD$872,18,FALSE),0)</f>
        <v>0</v>
      </c>
      <c r="K94" s="362">
        <f>IFERROR(VLOOKUP(C94,'تقرير المصروفات حسب الشهر'!$C$890:$AD$999,18,FALSE),0)</f>
        <v>0</v>
      </c>
      <c r="L94" s="362">
        <f>IFERROR(VLOOKUP(C94,'تقرير المصروفات حسب الشهر'!$C$1016:$AD$1126,18,FALSE),0)</f>
        <v>0</v>
      </c>
      <c r="M94" s="376">
        <f>IFERROR(VLOOKUP(C94,'تقرير المصروفات حسب الشهر'!$C$1143:$AD$1254,18,FALSE),0)</f>
        <v>0</v>
      </c>
      <c r="N94" s="376">
        <f>IFERROR(VLOOKUP(C94,'تقرير المصروفات حسب الشهر'!$C$1270:$AD$1381,18,FALSE),0)</f>
        <v>0</v>
      </c>
      <c r="O94" s="376">
        <f>IFERROR(VLOOKUP(C94,'تقرير المصروفات حسب الشهر'!$C$1397:$AI$1512,18,FALSE),0)</f>
        <v>0</v>
      </c>
      <c r="P94" s="364">
        <f t="shared" si="6"/>
        <v>0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الشهر'!$C$10:$AD$119,18,FALSE),0)</f>
        <v>0</v>
      </c>
      <c r="E95" s="362">
        <f>IFERROR(VLOOKUP(C95,'تقرير المصروفات حسب الشهر'!$C$135:$AD$244,18,FALSE),0)</f>
        <v>0</v>
      </c>
      <c r="F95" s="362">
        <f>IFERROR(VLOOKUP(C95,'تقرير المصروفات حسب الشهر'!$C$261:$AD$368,18,FALSE),0)</f>
        <v>0</v>
      </c>
      <c r="G95" s="362">
        <f>IFERROR(VLOOKUP(C95,'تقرير المصروفات حسب الشهر'!$C$387:$AD$495,18,FALSE),0)</f>
        <v>0</v>
      </c>
      <c r="H95" s="362">
        <f>IFERROR(VLOOKUP(C95,'تقرير المصروفات حسب الشهر'!$C$512:$AD$620,18,FALSE),0)</f>
        <v>0</v>
      </c>
      <c r="I95" s="362">
        <f>IFERROR(VLOOKUP(C95,'تقرير المصروفات حسب الشهر'!$C$637:$AD$746,18,FALSE),0)</f>
        <v>0</v>
      </c>
      <c r="J95" s="362">
        <f>IFERROR(VLOOKUP(C95,'تقرير المصروفات حسب الشهر'!$C$763:$AD$872,18,FALSE),0)</f>
        <v>0</v>
      </c>
      <c r="K95" s="362">
        <f>IFERROR(VLOOKUP(C95,'تقرير المصروفات حسب الشهر'!$C$890:$AD$999,18,FALSE),0)</f>
        <v>0</v>
      </c>
      <c r="L95" s="362">
        <f>IFERROR(VLOOKUP(C95,'تقرير المصروفات حسب الشهر'!$C$1016:$AD$1126,18,FALSE),0)</f>
        <v>2130</v>
      </c>
      <c r="M95" s="376">
        <f>IFERROR(VLOOKUP(C95,'تقرير المصروفات حسب الشهر'!$C$1143:$AD$1254,18,FALSE),0)</f>
        <v>1065</v>
      </c>
      <c r="N95" s="376">
        <f>IFERROR(VLOOKUP(C95,'تقرير المصروفات حسب الشهر'!$C$1270:$AD$1381,18,FALSE),0)</f>
        <v>1065</v>
      </c>
      <c r="O95" s="376">
        <f>IFERROR(VLOOKUP(C95,'تقرير المصروفات حسب الشهر'!$C$1397:$AI$1512,18,FALSE),0)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الشهر'!$C$10:$AD$119,18,FALSE),0)</f>
        <v>0</v>
      </c>
      <c r="E96" s="362">
        <f>IFERROR(VLOOKUP(C96,'تقرير المصروفات حسب الشهر'!$C$135:$AD$244,18,FALSE),0)</f>
        <v>0</v>
      </c>
      <c r="F96" s="362">
        <f>IFERROR(VLOOKUP(C96,'تقرير المصروفات حسب الشهر'!$C$261:$AD$368,18,FALSE),0)</f>
        <v>0</v>
      </c>
      <c r="G96" s="362">
        <f>IFERROR(VLOOKUP(C96,'تقرير المصروفات حسب الشهر'!$C$387:$AD$495,18,FALSE),0)</f>
        <v>0</v>
      </c>
      <c r="H96" s="362">
        <f>IFERROR(VLOOKUP(C96,'تقرير المصروفات حسب الشهر'!$C$512:$AD$620,18,FALSE),0)</f>
        <v>0</v>
      </c>
      <c r="I96" s="362">
        <f>IFERROR(VLOOKUP(C96,'تقرير المصروفات حسب الشهر'!$C$637:$AD$746,18,FALSE),0)</f>
        <v>0</v>
      </c>
      <c r="J96" s="362">
        <f>IFERROR(VLOOKUP(C96,'تقرير المصروفات حسب الشهر'!$C$763:$AD$872,18,FALSE),0)</f>
        <v>0</v>
      </c>
      <c r="K96" s="362">
        <f>IFERROR(VLOOKUP(C96,'تقرير المصروفات حسب الشهر'!$C$890:$AD$999,18,FALSE),0)</f>
        <v>0</v>
      </c>
      <c r="L96" s="362">
        <f>IFERROR(VLOOKUP(C96,'تقرير المصروفات حسب الشهر'!$C$1016:$AD$1126,18,FALSE),0)</f>
        <v>0</v>
      </c>
      <c r="M96" s="376">
        <f>IFERROR(VLOOKUP(C96,'تقرير المصروفات حسب الشهر'!$C$1143:$AD$1254,18,FALSE),0)</f>
        <v>0</v>
      </c>
      <c r="N96" s="376">
        <f>IFERROR(VLOOKUP(C96,'تقرير المصروفات حسب الشهر'!$C$1270:$AD$1381,18,FALSE),0)</f>
        <v>0</v>
      </c>
      <c r="O96" s="376">
        <f>IFERROR(VLOOKUP(C96,'تقرير المصروفات حسب الشهر'!$C$1397:$AI$1512,18,FALSE),0)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الشهر'!$C$10:$AD$119,18,FALSE),0)</f>
        <v>0</v>
      </c>
      <c r="E97" s="362">
        <f>IFERROR(VLOOKUP(C97,'تقرير المصروفات حسب الشهر'!$C$135:$AD$244,18,FALSE),0)</f>
        <v>0</v>
      </c>
      <c r="F97" s="362">
        <f>IFERROR(VLOOKUP(C97,'تقرير المصروفات حسب الشهر'!$C$261:$AD$368,18,FALSE),0)</f>
        <v>0</v>
      </c>
      <c r="G97" s="362">
        <f>IFERROR(VLOOKUP(C97,'تقرير المصروفات حسب الشهر'!$C$387:$AD$495,18,FALSE),0)</f>
        <v>0</v>
      </c>
      <c r="H97" s="362">
        <f>IFERROR(VLOOKUP(C97,'تقرير المصروفات حسب الشهر'!$C$512:$AD$620,18,FALSE),0)</f>
        <v>0</v>
      </c>
      <c r="I97" s="362">
        <f>IFERROR(VLOOKUP(C97,'تقرير المصروفات حسب الشهر'!$C$637:$AD$746,18,FALSE),0)</f>
        <v>0</v>
      </c>
      <c r="J97" s="362">
        <f>IFERROR(VLOOKUP(C97,'تقرير المصروفات حسب الشهر'!$C$763:$AD$872,18,FALSE),0)</f>
        <v>0</v>
      </c>
      <c r="K97" s="362">
        <f>IFERROR(VLOOKUP(C97,'تقرير المصروفات حسب الشهر'!$C$890:$AD$999,18,FALSE),0)</f>
        <v>0</v>
      </c>
      <c r="L97" s="362">
        <f>IFERROR(VLOOKUP(C97,'تقرير المصروفات حسب الشهر'!$C$1016:$AD$1126,18,FALSE),0)</f>
        <v>0</v>
      </c>
      <c r="M97" s="376">
        <f>IFERROR(VLOOKUP(C97,'تقرير المصروفات حسب الشهر'!$C$1143:$AD$1254,18,FALSE),0)</f>
        <v>0</v>
      </c>
      <c r="N97" s="376">
        <f>IFERROR(VLOOKUP(C97,'تقرير المصروفات حسب الشهر'!$C$1270:$AD$1381,18,FALSE),0)</f>
        <v>0</v>
      </c>
      <c r="O97" s="376">
        <f>IFERROR(VLOOKUP(C97,'تقرير المصروفات حسب الشهر'!$C$1397:$AI$1512,18,FALSE),0)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الشهر'!$C$10:$AD$119,18,FALSE),0)</f>
        <v>43.17</v>
      </c>
      <c r="E98" s="362">
        <f>IFERROR(VLOOKUP(C98,'تقرير المصروفات حسب الشهر'!$C$135:$AD$244,18,FALSE),0)</f>
        <v>43.17</v>
      </c>
      <c r="F98" s="362">
        <f>IFERROR(VLOOKUP(C98,'تقرير المصروفات حسب الشهر'!$C$261:$AD$368,18,FALSE),0)</f>
        <v>43.17</v>
      </c>
      <c r="G98" s="362">
        <f>IFERROR(VLOOKUP(C98,'تقرير المصروفات حسب الشهر'!$C$387:$AD$495,18,FALSE),0)</f>
        <v>43.17</v>
      </c>
      <c r="H98" s="362">
        <f>IFERROR(VLOOKUP(C98,'تقرير المصروفات حسب الشهر'!$C$512:$AD$620,18,FALSE),0)</f>
        <v>43.17</v>
      </c>
      <c r="I98" s="362">
        <f>IFERROR(VLOOKUP(C98,'تقرير المصروفات حسب الشهر'!$C$637:$AD$746,18,FALSE),0)</f>
        <v>43.17</v>
      </c>
      <c r="J98" s="362">
        <f>IFERROR(VLOOKUP(C98,'تقرير المصروفات حسب الشهر'!$C$763:$AD$872,18,FALSE),0)</f>
        <v>43.17</v>
      </c>
      <c r="K98" s="362">
        <f>IFERROR(VLOOKUP(C98,'تقرير المصروفات حسب الشهر'!$C$890:$AD$999,18,FALSE),0)</f>
        <v>43.17</v>
      </c>
      <c r="L98" s="362">
        <f>IFERROR(VLOOKUP(C98,'تقرير المصروفات حسب الشهر'!$C$1016:$AD$1126,18,FALSE),0)</f>
        <v>43.17</v>
      </c>
      <c r="M98" s="376">
        <f>IFERROR(VLOOKUP(C98,'تقرير المصروفات حسب الشهر'!$C$1143:$AD$1254,18,FALSE),0)</f>
        <v>43.17</v>
      </c>
      <c r="N98" s="376">
        <f>IFERROR(VLOOKUP(C98,'تقرير المصروفات حسب الشهر'!$C$1270:$AD$1381,18,FALSE),0)</f>
        <v>8.7100000000000009</v>
      </c>
      <c r="O98" s="376">
        <f>IFERROR(VLOOKUP(C98,'تقرير المصروفات حسب الشهر'!$C$1397:$AI$1512,18,FALSE),0)</f>
        <v>0</v>
      </c>
      <c r="P98" s="364">
        <f t="shared" si="6"/>
        <v>440.41000000000008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الشهر'!$C$10:$AD$119,18,FALSE),0)</f>
        <v>0</v>
      </c>
      <c r="E99" s="362">
        <f>IFERROR(VLOOKUP(C99,'تقرير المصروفات حسب الشهر'!$C$135:$AD$244,18,FALSE),0)</f>
        <v>0</v>
      </c>
      <c r="F99" s="362">
        <f>IFERROR(VLOOKUP(C99,'تقرير المصروفات حسب الشهر'!$C$261:$AD$368,18,FALSE),0)</f>
        <v>0</v>
      </c>
      <c r="G99" s="362">
        <f>IFERROR(VLOOKUP(C99,'تقرير المصروفات حسب الشهر'!$C$387:$AD$495,18,FALSE),0)</f>
        <v>0</v>
      </c>
      <c r="H99" s="362">
        <f>IFERROR(VLOOKUP(C99,'تقرير المصروفات حسب الشهر'!$C$512:$AD$620,18,FALSE),0)</f>
        <v>0</v>
      </c>
      <c r="I99" s="362">
        <f>IFERROR(VLOOKUP(C99,'تقرير المصروفات حسب الشهر'!$C$637:$AD$746,18,FALSE),0)</f>
        <v>0</v>
      </c>
      <c r="J99" s="362">
        <f>IFERROR(VLOOKUP(C99,'تقرير المصروفات حسب الشهر'!$C$763:$AD$872,18,FALSE),0)</f>
        <v>0</v>
      </c>
      <c r="K99" s="362">
        <f>IFERROR(VLOOKUP(C99,'تقرير المصروفات حسب الشهر'!$C$890:$AD$999,18,FALSE),0)</f>
        <v>589.95000000000005</v>
      </c>
      <c r="L99" s="362">
        <f>IFERROR(VLOOKUP(C99,'تقرير المصروفات حسب الشهر'!$C$1016:$AD$1126,18,FALSE),0)</f>
        <v>731.5</v>
      </c>
      <c r="M99" s="376">
        <f>IFERROR(VLOOKUP(C99,'تقرير المصروفات حسب الشهر'!$C$1143:$AD$1254,18,FALSE),0)</f>
        <v>731.5</v>
      </c>
      <c r="N99" s="376">
        <f>IFERROR(VLOOKUP(C99,'تقرير المصروفات حسب الشهر'!$C$1270:$AD$1381,18,FALSE),0)</f>
        <v>731.5</v>
      </c>
      <c r="O99" s="376">
        <f>IFERROR(VLOOKUP(C99,'تقرير المصروفات حسب الشهر'!$C$1397:$AI$1512,18,FALSE),0)</f>
        <v>731.5</v>
      </c>
      <c r="P99" s="364">
        <f t="shared" si="6"/>
        <v>3515.95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الشهر'!$C$10:$AD$119,18,FALSE),0)</f>
        <v>0</v>
      </c>
      <c r="E100" s="362">
        <f>IFERROR(VLOOKUP(C100,'تقرير المصروفات حسب الشهر'!$C$135:$AD$244,18,FALSE),0)</f>
        <v>0</v>
      </c>
      <c r="F100" s="362">
        <f>IFERROR(VLOOKUP(C100,'تقرير المصروفات حسب الشهر'!$C$261:$AD$368,18,FALSE),0)</f>
        <v>0</v>
      </c>
      <c r="G100" s="362">
        <f>IFERROR(VLOOKUP(C100,'تقرير المصروفات حسب الشهر'!$C$387:$AD$495,18,FALSE),0)</f>
        <v>40.200000000000003</v>
      </c>
      <c r="H100" s="362">
        <f>IFERROR(VLOOKUP(C100,'تقرير المصروفات حسب الشهر'!$C$512:$AD$620,18,FALSE),0)</f>
        <v>75.33</v>
      </c>
      <c r="I100" s="362">
        <f>IFERROR(VLOOKUP(C100,'تقرير المصروفات حسب الشهر'!$C$637:$AD$746,18,FALSE),0)</f>
        <v>75.33</v>
      </c>
      <c r="J100" s="362">
        <f>IFERROR(VLOOKUP(C100,'تقرير المصروفات حسب الشهر'!$C$763:$AD$872,18,FALSE),0)</f>
        <v>75.33</v>
      </c>
      <c r="K100" s="362">
        <f>IFERROR(VLOOKUP(C100,'تقرير المصروفات حسب الشهر'!$C$890:$AD$999,18,FALSE),0)</f>
        <v>75.33</v>
      </c>
      <c r="L100" s="362">
        <f>IFERROR(VLOOKUP(C100,'تقرير المصروفات حسب الشهر'!$C$1016:$AD$1126,18,FALSE),0)</f>
        <v>75.33</v>
      </c>
      <c r="M100" s="376">
        <f>IFERROR(VLOOKUP(C100,'تقرير المصروفات حسب الشهر'!$C$1143:$AD$1254,18,FALSE),0)</f>
        <v>75.33</v>
      </c>
      <c r="N100" s="376">
        <f>IFERROR(VLOOKUP(C100,'تقرير المصروفات حسب الشهر'!$C$1270:$AD$1381,18,FALSE),0)</f>
        <v>75.33</v>
      </c>
      <c r="O100" s="376">
        <f>IFERROR(VLOOKUP(C100,'تقرير المصروفات حسب الشهر'!$C$1397:$AI$1512,18,FALSE),0)</f>
        <v>75.33</v>
      </c>
      <c r="P100" s="364">
        <f t="shared" si="6"/>
        <v>642.84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الشهر'!$C$10:$AD$119,18,FALSE),0)</f>
        <v>53.44</v>
      </c>
      <c r="E101" s="362">
        <f>IFERROR(VLOOKUP(C101,'تقرير المصروفات حسب الشهر'!$C$135:$AD$244,18,FALSE),0)</f>
        <v>53.44</v>
      </c>
      <c r="F101" s="362">
        <f>IFERROR(VLOOKUP(C101,'تقرير المصروفات حسب الشهر'!$C$261:$AD$368,18,FALSE),0)</f>
        <v>53.44</v>
      </c>
      <c r="G101" s="362">
        <f>IFERROR(VLOOKUP(C101,'تقرير المصروفات حسب الشهر'!$C$387:$AD$495,18,FALSE),0)</f>
        <v>53.44</v>
      </c>
      <c r="H101" s="362">
        <f>IFERROR(VLOOKUP(C101,'تقرير المصروفات حسب الشهر'!$C$512:$AD$620,18,FALSE),0)</f>
        <v>53.44</v>
      </c>
      <c r="I101" s="362">
        <f>IFERROR(VLOOKUP(C101,'تقرير المصروفات حسب الشهر'!$C$637:$AD$746,18,FALSE),0)</f>
        <v>53.44</v>
      </c>
      <c r="J101" s="362">
        <f>IFERROR(VLOOKUP(C101,'تقرير المصروفات حسب الشهر'!$C$763:$AD$872,18,FALSE),0)</f>
        <v>53.44</v>
      </c>
      <c r="K101" s="362">
        <f>IFERROR(VLOOKUP(C101,'تقرير المصروفات حسب الشهر'!$C$890:$AD$999,18,FALSE),0)</f>
        <v>38.17</v>
      </c>
      <c r="L101" s="362">
        <f>IFERROR(VLOOKUP(C101,'تقرير المصروفات حسب الشهر'!$C$1016:$AD$1126,18,FALSE),0)</f>
        <v>0</v>
      </c>
      <c r="M101" s="376">
        <f>IFERROR(VLOOKUP(C101,'تقرير المصروفات حسب الشهر'!$C$1143:$AD$1254,18,FALSE),0)</f>
        <v>0</v>
      </c>
      <c r="N101" s="376">
        <f>IFERROR(VLOOKUP(C101,'تقرير المصروفات حسب الشهر'!$C$1270:$AD$1381,18,FALSE),0)</f>
        <v>0</v>
      </c>
      <c r="O101" s="376">
        <f>IFERROR(VLOOKUP(C101,'تقرير المصروفات حسب الشهر'!$C$1397:$AI$1512,18,FALSE),0)</f>
        <v>0</v>
      </c>
      <c r="P101" s="364">
        <f t="shared" si="6"/>
        <v>412.25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الشهر'!$C$10:$AD$119,18,FALSE),0)</f>
        <v>227.5</v>
      </c>
      <c r="E102" s="362">
        <f>IFERROR(VLOOKUP(C102,'تقرير المصروفات حسب الشهر'!$C$135:$AD$244,18,FALSE),0)</f>
        <v>227.5</v>
      </c>
      <c r="F102" s="362">
        <f>IFERROR(VLOOKUP(C102,'تقرير المصروفات حسب الشهر'!$C$261:$AD$368,18,FALSE),0)</f>
        <v>227.5</v>
      </c>
      <c r="G102" s="362">
        <f>IFERROR(VLOOKUP(C102,'تقرير المصروفات حسب الشهر'!$C$387:$AD$495,18,FALSE),0)</f>
        <v>227.5</v>
      </c>
      <c r="H102" s="362">
        <f>IFERROR(VLOOKUP(C102,'تقرير المصروفات حسب الشهر'!$C$512:$AD$620,18,FALSE),0)</f>
        <v>227.5</v>
      </c>
      <c r="I102" s="362">
        <f>IFERROR(VLOOKUP(C102,'تقرير المصروفات حسب الشهر'!$C$637:$AD$746,18,FALSE),0)</f>
        <v>227.5</v>
      </c>
      <c r="J102" s="362">
        <f>IFERROR(VLOOKUP(C102,'تقرير المصروفات حسب الشهر'!$C$763:$AD$872,18,FALSE),0)</f>
        <v>227.5</v>
      </c>
      <c r="K102" s="362">
        <f>IFERROR(VLOOKUP(C102,'تقرير المصروفات حسب الشهر'!$C$890:$AD$999,18,FALSE),0)</f>
        <v>227.5</v>
      </c>
      <c r="L102" s="362">
        <f>IFERROR(VLOOKUP(C102,'تقرير المصروفات حسب الشهر'!$C$1016:$AD$1126,18,FALSE),0)</f>
        <v>227.5</v>
      </c>
      <c r="M102" s="376">
        <f>IFERROR(VLOOKUP(C102,'تقرير المصروفات حسب الشهر'!$C$1143:$AD$1254,18,FALSE),0)</f>
        <v>227.5</v>
      </c>
      <c r="N102" s="376">
        <f>IFERROR(VLOOKUP(C102,'تقرير المصروفات حسب الشهر'!$C$1270:$AD$1381,18,FALSE),0)</f>
        <v>227.5</v>
      </c>
      <c r="O102" s="376">
        <f>IFERROR(VLOOKUP(C102,'تقرير المصروفات حسب الشهر'!$C$1397:$AI$1512,18,FALSE),0)</f>
        <v>0</v>
      </c>
      <c r="P102" s="364">
        <f t="shared" si="6"/>
        <v>2502.5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الشهر'!$C$10:$AD$119,18,FALSE),0)</f>
        <v>0</v>
      </c>
      <c r="E103" s="362">
        <f>IFERROR(VLOOKUP(C103,'تقرير المصروفات حسب الشهر'!$C$135:$AD$244,18,FALSE),0)</f>
        <v>0</v>
      </c>
      <c r="F103" s="362">
        <f>IFERROR(VLOOKUP(C103,'تقرير المصروفات حسب الشهر'!$C$261:$AD$368,18,FALSE),0)</f>
        <v>0</v>
      </c>
      <c r="G103" s="362">
        <f>IFERROR(VLOOKUP(C103,'تقرير المصروفات حسب الشهر'!$C$387:$AD$495,18,FALSE),0)</f>
        <v>0</v>
      </c>
      <c r="H103" s="362">
        <f>IFERROR(VLOOKUP(C103,'تقرير المصروفات حسب الشهر'!$C$512:$AD$620,18,FALSE),0)</f>
        <v>0</v>
      </c>
      <c r="I103" s="362">
        <f>IFERROR(VLOOKUP(C103,'تقرير المصروفات حسب الشهر'!$C$637:$AD$746,18,FALSE),0)</f>
        <v>0</v>
      </c>
      <c r="J103" s="362">
        <f>IFERROR(VLOOKUP(C103,'تقرير المصروفات حسب الشهر'!$C$763:$AD$872,18,FALSE),0)</f>
        <v>0</v>
      </c>
      <c r="K103" s="362">
        <f>IFERROR(VLOOKUP(C103,'تقرير المصروفات حسب الشهر'!$C$890:$AD$999,18,FALSE),0)</f>
        <v>0</v>
      </c>
      <c r="L103" s="362">
        <f>IFERROR(VLOOKUP(C103,'تقرير المصروفات حسب الشهر'!$C$1016:$AD$1126,18,FALSE),0)</f>
        <v>0</v>
      </c>
      <c r="M103" s="376">
        <f>IFERROR(VLOOKUP(C103,'تقرير المصروفات حسب الشهر'!$C$1143:$AD$1254,18,FALSE),0)</f>
        <v>0</v>
      </c>
      <c r="N103" s="376">
        <f>IFERROR(VLOOKUP(C103,'تقرير المصروفات حسب الشهر'!$C$1270:$AD$1381,18,FALSE),0)</f>
        <v>0</v>
      </c>
      <c r="O103" s="376">
        <f>IFERROR(VLOOKUP(C103,'تقرير المصروفات حسب الشهر'!$C$1397:$AI$1512,18,FALSE),0)</f>
        <v>0</v>
      </c>
      <c r="P103" s="364">
        <f t="shared" si="6"/>
        <v>0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الشهر'!$C$10:$AD$119,18,FALSE),0)</f>
        <v>0</v>
      </c>
      <c r="E104" s="362">
        <f>IFERROR(VLOOKUP(C104,'تقرير المصروفات حسب الشهر'!$C$135:$AD$244,18,FALSE),0)</f>
        <v>0</v>
      </c>
      <c r="F104" s="362">
        <f>IFERROR(VLOOKUP(C104,'تقرير المصروفات حسب الشهر'!$C$261:$AD$368,18,FALSE),0)</f>
        <v>0</v>
      </c>
      <c r="G104" s="362">
        <f>IFERROR(VLOOKUP(C104,'تقرير المصروفات حسب الشهر'!$C$387:$AD$495,18,FALSE),0)</f>
        <v>0</v>
      </c>
      <c r="H104" s="362">
        <f>IFERROR(VLOOKUP(C104,'تقرير المصروفات حسب الشهر'!$C$512:$AD$620,18,FALSE),0)</f>
        <v>0</v>
      </c>
      <c r="I104" s="362">
        <f>IFERROR(VLOOKUP(C104,'تقرير المصروفات حسب الشهر'!$C$637:$AD$746,18,FALSE),0)</f>
        <v>0</v>
      </c>
      <c r="J104" s="362">
        <f>IFERROR(VLOOKUP(C104,'تقرير المصروفات حسب الشهر'!$C$763:$AD$872,18,FALSE),0)</f>
        <v>0</v>
      </c>
      <c r="K104" s="362">
        <f>IFERROR(VLOOKUP(C104,'تقرير المصروفات حسب الشهر'!$C$890:$AD$999,18,FALSE),0)</f>
        <v>0</v>
      </c>
      <c r="L104" s="362">
        <f>IFERROR(VLOOKUP(C104,'تقرير المصروفات حسب الشهر'!$C$1016:$AD$1126,18,FALSE),0)</f>
        <v>0</v>
      </c>
      <c r="M104" s="376">
        <f>IFERROR(VLOOKUP(C104,'تقرير المصروفات حسب الشهر'!$C$1143:$AD$1254,18,FALSE),0)</f>
        <v>0</v>
      </c>
      <c r="N104" s="376">
        <f>IFERROR(VLOOKUP(C104,'تقرير المصروفات حسب الشهر'!$C$1270:$AD$1381,18,FALSE),0)</f>
        <v>0</v>
      </c>
      <c r="O104" s="376">
        <f>IFERROR(VLOOKUP(C104,'تقرير المصروفات حسب الشهر'!$C$1397:$AI$1512,18,FALSE),0)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الشهر'!$C$10:$AD$119,18,FALSE),0)</f>
        <v>0</v>
      </c>
      <c r="E105" s="362">
        <f>IFERROR(VLOOKUP(C105,'تقرير المصروفات حسب الشهر'!$C$135:$AD$244,18,FALSE),0)</f>
        <v>0</v>
      </c>
      <c r="F105" s="362">
        <f>IFERROR(VLOOKUP(C105,'تقرير المصروفات حسب الشهر'!$C$261:$AD$368,18,FALSE),0)</f>
        <v>0</v>
      </c>
      <c r="G105" s="362">
        <f>IFERROR(VLOOKUP(C105,'تقرير المصروفات حسب الشهر'!$C$387:$AD$495,18,FALSE),0)</f>
        <v>0</v>
      </c>
      <c r="H105" s="362">
        <f>IFERROR(VLOOKUP(C105,'تقرير المصروفات حسب الشهر'!$C$512:$AD$620,18,FALSE),0)</f>
        <v>0</v>
      </c>
      <c r="I105" s="362">
        <f>IFERROR(VLOOKUP(C105,'تقرير المصروفات حسب الشهر'!$C$637:$AD$746,18,FALSE),0)</f>
        <v>0</v>
      </c>
      <c r="J105" s="362">
        <f>IFERROR(VLOOKUP(C105,'تقرير المصروفات حسب الشهر'!$C$763:$AD$872,18,FALSE),0)</f>
        <v>0</v>
      </c>
      <c r="K105" s="362">
        <f>IFERROR(VLOOKUP(C105,'تقرير المصروفات حسب الشهر'!$C$890:$AD$999,18,FALSE),0)</f>
        <v>0</v>
      </c>
      <c r="L105" s="362">
        <f>IFERROR(VLOOKUP(C105,'تقرير المصروفات حسب الشهر'!$C$1016:$AD$1126,18,FALSE),0)</f>
        <v>0</v>
      </c>
      <c r="M105" s="376">
        <f>IFERROR(VLOOKUP(C105,'تقرير المصروفات حسب الشهر'!$C$1143:$AD$1254,18,FALSE),0)</f>
        <v>0</v>
      </c>
      <c r="N105" s="376">
        <f>IFERROR(VLOOKUP(C105,'تقرير المصروفات حسب الشهر'!$C$1270:$AD$1381,18,FALSE),0)</f>
        <v>0</v>
      </c>
      <c r="O105" s="376">
        <f>IFERROR(VLOOKUP(C105,'تقرير المصروفات حسب الشهر'!$C$1397:$AI$1512,18,FALSE),0)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الشهر'!$C$10:$AD$119,18,FALSE),0)</f>
        <v>0</v>
      </c>
      <c r="E106" s="362">
        <f>IFERROR(VLOOKUP(C106,'تقرير المصروفات حسب الشهر'!$C$135:$AD$244,18,FALSE),0)</f>
        <v>0</v>
      </c>
      <c r="F106" s="362">
        <f>IFERROR(VLOOKUP(C106,'تقرير المصروفات حسب الشهر'!$C$261:$AD$368,18,FALSE),0)</f>
        <v>0</v>
      </c>
      <c r="G106" s="362">
        <f>IFERROR(VLOOKUP(C106,'تقرير المصروفات حسب الشهر'!$C$387:$AD$495,18,FALSE),0)</f>
        <v>0</v>
      </c>
      <c r="H106" s="362">
        <f>IFERROR(VLOOKUP(C106,'تقرير المصروفات حسب الشهر'!$C$512:$AD$620,18,FALSE),0)</f>
        <v>0</v>
      </c>
      <c r="I106" s="362">
        <f>IFERROR(VLOOKUP(C106,'تقرير المصروفات حسب الشهر'!$C$637:$AD$746,18,FALSE),0)</f>
        <v>0</v>
      </c>
      <c r="J106" s="362">
        <f>IFERROR(VLOOKUP(C106,'تقرير المصروفات حسب الشهر'!$C$763:$AD$872,18,FALSE),0)</f>
        <v>0</v>
      </c>
      <c r="K106" s="362">
        <f>IFERROR(VLOOKUP(C106,'تقرير المصروفات حسب الشهر'!$C$890:$AD$999,18,FALSE),0)</f>
        <v>0</v>
      </c>
      <c r="L106" s="362">
        <f>IFERROR(VLOOKUP(C106,'تقرير المصروفات حسب الشهر'!$C$1016:$AD$1126,18,FALSE),0)</f>
        <v>0</v>
      </c>
      <c r="M106" s="376">
        <f>IFERROR(VLOOKUP(C106,'تقرير المصروفات حسب الشهر'!$C$1143:$AD$1254,18,FALSE),0)</f>
        <v>0</v>
      </c>
      <c r="N106" s="376">
        <f>IFERROR(VLOOKUP(C106,'تقرير المصروفات حسب الشهر'!$C$1270:$AD$1381,18,FALSE),0)</f>
        <v>0</v>
      </c>
      <c r="O106" s="376">
        <f>IFERROR(VLOOKUP(C106,'تقرير المصروفات حسب الشهر'!$C$1397:$AI$1512,18,FALSE),0)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الشهر'!$C$10:$AD$119,18,FALSE),0)</f>
        <v>0</v>
      </c>
      <c r="E107" s="362">
        <f>IFERROR(VLOOKUP(C107,'تقرير المصروفات حسب الشهر'!$C$135:$AD$244,18,FALSE),0)</f>
        <v>0</v>
      </c>
      <c r="F107" s="362">
        <f>IFERROR(VLOOKUP(C107,'تقرير المصروفات حسب الشهر'!$C$261:$AD$368,18,FALSE),0)</f>
        <v>0</v>
      </c>
      <c r="G107" s="362">
        <f>IFERROR(VLOOKUP(C107,'تقرير المصروفات حسب الشهر'!$C$387:$AD$495,18,FALSE),0)</f>
        <v>0</v>
      </c>
      <c r="H107" s="362">
        <f>IFERROR(VLOOKUP(C107,'تقرير المصروفات حسب الشهر'!$C$512:$AD$620,18,FALSE),0)</f>
        <v>0</v>
      </c>
      <c r="I107" s="362">
        <f>IFERROR(VLOOKUP(C107,'تقرير المصروفات حسب الشهر'!$C$637:$AD$746,18,FALSE),0)</f>
        <v>0</v>
      </c>
      <c r="J107" s="362">
        <f>IFERROR(VLOOKUP(C107,'تقرير المصروفات حسب الشهر'!$C$763:$AD$872,18,FALSE),0)</f>
        <v>0</v>
      </c>
      <c r="K107" s="362">
        <f>IFERROR(VLOOKUP(C107,'تقرير المصروفات حسب الشهر'!$C$890:$AD$999,18,FALSE),0)</f>
        <v>0</v>
      </c>
      <c r="L107" s="362">
        <f>IFERROR(VLOOKUP(C107,'تقرير المصروفات حسب الشهر'!$C$1016:$AD$1126,18,FALSE),0)</f>
        <v>0</v>
      </c>
      <c r="M107" s="376">
        <f>IFERROR(VLOOKUP(C107,'تقرير المصروفات حسب الشهر'!$C$1143:$AD$1254,18,FALSE),0)</f>
        <v>0</v>
      </c>
      <c r="N107" s="376">
        <f>IFERROR(VLOOKUP(C107,'تقرير المصروفات حسب الشهر'!$C$1270:$AD$1381,18,FALSE),0)</f>
        <v>0</v>
      </c>
      <c r="O107" s="376">
        <f>IFERROR(VLOOKUP(C107,'تقرير المصروفات حسب الشهر'!$C$1397:$AI$1512,18,FALSE),0)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الشهر'!$C$10:$AD$119,18,FALSE),0)</f>
        <v>0</v>
      </c>
      <c r="E108" s="362">
        <f>IFERROR(VLOOKUP(C108,'تقرير المصروفات حسب الشهر'!$C$135:$AD$244,18,FALSE),0)</f>
        <v>0</v>
      </c>
      <c r="F108" s="362">
        <f>IFERROR(VLOOKUP(C108,'تقرير المصروفات حسب الشهر'!$C$261:$AD$368,18,FALSE),0)</f>
        <v>0</v>
      </c>
      <c r="G108" s="362">
        <f>IFERROR(VLOOKUP(C108,'تقرير المصروفات حسب الشهر'!$C$387:$AD$495,18,FALSE),0)</f>
        <v>0</v>
      </c>
      <c r="H108" s="362">
        <f>IFERROR(VLOOKUP(C108,'تقرير المصروفات حسب الشهر'!$C$512:$AD$620,18,FALSE),0)</f>
        <v>0</v>
      </c>
      <c r="I108" s="362">
        <f>IFERROR(VLOOKUP(C108,'تقرير المصروفات حسب الشهر'!$C$637:$AD$746,18,FALSE),0)</f>
        <v>0</v>
      </c>
      <c r="J108" s="362">
        <f>IFERROR(VLOOKUP(C108,'تقرير المصروفات حسب الشهر'!$C$763:$AD$872,18,FALSE),0)</f>
        <v>0</v>
      </c>
      <c r="K108" s="362">
        <f>IFERROR(VLOOKUP(C108,'تقرير المصروفات حسب الشهر'!$C$890:$AD$999,18,FALSE),0)</f>
        <v>0</v>
      </c>
      <c r="L108" s="362">
        <f>IFERROR(VLOOKUP(C108,'تقرير المصروفات حسب الشهر'!$C$1016:$AD$1126,18,FALSE),0)</f>
        <v>0</v>
      </c>
      <c r="M108" s="376">
        <f>IFERROR(VLOOKUP(C108,'تقرير المصروفات حسب الشهر'!$C$1143:$AD$1254,18,FALSE),0)</f>
        <v>0</v>
      </c>
      <c r="N108" s="376">
        <f>IFERROR(VLOOKUP(C108,'تقرير المصروفات حسب الشهر'!$C$1270:$AD$1381,18,FALSE),0)</f>
        <v>0</v>
      </c>
      <c r="O108" s="376">
        <f>IFERROR(VLOOKUP(C108,'تقرير المصروفات حسب الشهر'!$C$1397:$AI$1512,18,FALSE),0)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الشهر'!$C$10:$AD$119,18,FALSE),0)</f>
        <v>0</v>
      </c>
      <c r="E109" s="362">
        <f>IFERROR(VLOOKUP(C109,'تقرير المصروفات حسب الشهر'!$C$135:$AD$244,18,FALSE),0)</f>
        <v>0</v>
      </c>
      <c r="F109" s="362">
        <f>IFERROR(VLOOKUP(C109,'تقرير المصروفات حسب الشهر'!$C$261:$AD$368,18,FALSE),0)</f>
        <v>0</v>
      </c>
      <c r="G109" s="362">
        <f>IFERROR(VLOOKUP(C109,'تقرير المصروفات حسب الشهر'!$C$387:$AD$495,18,FALSE),0)</f>
        <v>0</v>
      </c>
      <c r="H109" s="362">
        <f>IFERROR(VLOOKUP(C109,'تقرير المصروفات حسب الشهر'!$C$512:$AD$620,18,FALSE),0)</f>
        <v>0</v>
      </c>
      <c r="I109" s="362">
        <f>IFERROR(VLOOKUP(C109,'تقرير المصروفات حسب الشهر'!$C$637:$AD$746,18,FALSE),0)</f>
        <v>0</v>
      </c>
      <c r="J109" s="362">
        <f>IFERROR(VLOOKUP(C109,'تقرير المصروفات حسب الشهر'!$C$763:$AD$872,18,FALSE),0)</f>
        <v>0</v>
      </c>
      <c r="K109" s="362">
        <f>IFERROR(VLOOKUP(C109,'تقرير المصروفات حسب الشهر'!$C$890:$AD$999,18,FALSE),0)</f>
        <v>0</v>
      </c>
      <c r="L109" s="362">
        <f>IFERROR(VLOOKUP(C109,'تقرير المصروفات حسب الشهر'!$C$1016:$AD$1126,18,FALSE),0)</f>
        <v>0</v>
      </c>
      <c r="M109" s="376">
        <f>IFERROR(VLOOKUP(C109,'تقرير المصروفات حسب الشهر'!$C$1143:$AD$1254,18,FALSE),0)</f>
        <v>0</v>
      </c>
      <c r="N109" s="376">
        <f>IFERROR(VLOOKUP(C109,'تقرير المصروفات حسب الشهر'!$C$1270:$AD$1381,18,FALSE),0)</f>
        <v>0</v>
      </c>
      <c r="O109" s="376">
        <f>IFERROR(VLOOKUP(C109,'تقرير المصروفات حسب الشهر'!$C$1397:$AI$1512,18,FALSE),0)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الشهر'!$C$10:$AD$119,18,FALSE),0)</f>
        <v>0</v>
      </c>
      <c r="E110" s="362">
        <f>IFERROR(VLOOKUP(C110,'تقرير المصروفات حسب الشهر'!$C$135:$AD$244,18,FALSE),0)</f>
        <v>0</v>
      </c>
      <c r="F110" s="362">
        <f>IFERROR(VLOOKUP(C110,'تقرير المصروفات حسب الشهر'!$C$261:$AD$368,18,FALSE),0)</f>
        <v>0</v>
      </c>
      <c r="G110" s="362">
        <f>IFERROR(VLOOKUP(C110,'تقرير المصروفات حسب الشهر'!$C$387:$AD$495,18,FALSE),0)</f>
        <v>0</v>
      </c>
      <c r="H110" s="362">
        <f>IFERROR(VLOOKUP(C110,'تقرير المصروفات حسب الشهر'!$C$512:$AD$620,18,FALSE),0)</f>
        <v>0</v>
      </c>
      <c r="I110" s="362">
        <f>IFERROR(VLOOKUP(C110,'تقرير المصروفات حسب الشهر'!$C$637:$AD$746,18,FALSE),0)</f>
        <v>0</v>
      </c>
      <c r="J110" s="362">
        <f>IFERROR(VLOOKUP(C110,'تقرير المصروفات حسب الشهر'!$C$763:$AD$872,18,FALSE),0)</f>
        <v>0</v>
      </c>
      <c r="K110" s="362">
        <f>IFERROR(VLOOKUP(C110,'تقرير المصروفات حسب الشهر'!$C$890:$AD$999,18,FALSE),0)</f>
        <v>0</v>
      </c>
      <c r="L110" s="362">
        <f>IFERROR(VLOOKUP(C110,'تقرير المصروفات حسب الشهر'!$C$1016:$AD$1126,18,FALSE),0)</f>
        <v>0</v>
      </c>
      <c r="M110" s="376">
        <f>IFERROR(VLOOKUP(C110,'تقرير المصروفات حسب الشهر'!$C$1143:$AD$1254,18,FALSE),0)</f>
        <v>0</v>
      </c>
      <c r="N110" s="376">
        <f>IFERROR(VLOOKUP(C110,'تقرير المصروفات حسب الشهر'!$C$1270:$AD$1381,18,FALSE),0)</f>
        <v>0</v>
      </c>
      <c r="O110" s="376">
        <f>IFERROR(VLOOKUP(C110,'تقرير المصروفات حسب الشهر'!$C$1397:$AI$1512,18,FALSE),0)</f>
        <v>0</v>
      </c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الشهر'!$C$10:$AD$119,18,FALSE),0)</f>
        <v>0</v>
      </c>
      <c r="E111" s="362">
        <f>IFERROR(VLOOKUP(C111,'تقرير المصروفات حسب الشهر'!$C$135:$AD$244,18,FALSE),0)</f>
        <v>0</v>
      </c>
      <c r="F111" s="362">
        <f>IFERROR(VLOOKUP(C111,'تقرير المصروفات حسب الشهر'!$C$261:$AD$368,18,FALSE),0)</f>
        <v>0</v>
      </c>
      <c r="G111" s="362">
        <f>IFERROR(VLOOKUP(C111,'تقرير المصروفات حسب الشهر'!$C$387:$AD$495,18,FALSE),0)</f>
        <v>0</v>
      </c>
      <c r="H111" s="362">
        <f>IFERROR(VLOOKUP(C111,'تقرير المصروفات حسب الشهر'!$C$512:$AD$620,18,FALSE),0)</f>
        <v>0</v>
      </c>
      <c r="I111" s="362">
        <f>IFERROR(VLOOKUP(C111,'تقرير المصروفات حسب الشهر'!$C$637:$AD$746,18,FALSE),0)</f>
        <v>0</v>
      </c>
      <c r="J111" s="362">
        <f>IFERROR(VLOOKUP(C111,'تقرير المصروفات حسب الشهر'!$C$763:$AD$872,18,FALSE),0)</f>
        <v>0</v>
      </c>
      <c r="K111" s="362">
        <f>IFERROR(VLOOKUP(C111,'تقرير المصروفات حسب الشهر'!$C$890:$AD$999,18,FALSE),0)</f>
        <v>0</v>
      </c>
      <c r="L111" s="362">
        <f>IFERROR(VLOOKUP(C111,'تقرير المصروفات حسب الشهر'!$C$1016:$AD$1126,18,FALSE),0)</f>
        <v>0</v>
      </c>
      <c r="M111" s="376">
        <f>IFERROR(VLOOKUP(C111,'تقرير المصروفات حسب الشهر'!$C$1143:$AD$1254,18,FALSE),0)</f>
        <v>0</v>
      </c>
      <c r="N111" s="376">
        <f>IFERROR(VLOOKUP(C111,'تقرير المصروفات حسب الشهر'!$C$1270:$AD$1381,18,FALSE),0)</f>
        <v>0</v>
      </c>
      <c r="O111" s="376">
        <f>IFERROR(VLOOKUP(C111,'تقرير المصروفات حسب الشهر'!$C$1397:$AI$1512,18,FALSE),0)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الشهر'!$C$10:$AD$119,18,FALSE),0)</f>
        <v>0</v>
      </c>
      <c r="E112" s="362">
        <f>IFERROR(VLOOKUP(C112,'تقرير المصروفات حسب الشهر'!$C$135:$AD$244,18,FALSE),0)</f>
        <v>0</v>
      </c>
      <c r="F112" s="362">
        <f>IFERROR(VLOOKUP(C112,'تقرير المصروفات حسب الشهر'!$C$261:$AD$368,18,FALSE),0)</f>
        <v>0</v>
      </c>
      <c r="G112" s="362">
        <f>IFERROR(VLOOKUP(C112,'تقرير المصروفات حسب الشهر'!$C$387:$AD$495,18,FALSE),0)</f>
        <v>0</v>
      </c>
      <c r="H112" s="362">
        <f>IFERROR(VLOOKUP(C112,'تقرير المصروفات حسب الشهر'!$C$512:$AD$620,18,FALSE),0)</f>
        <v>0</v>
      </c>
      <c r="I112" s="362">
        <f>IFERROR(VLOOKUP(C112,'تقرير المصروفات حسب الشهر'!$C$637:$AD$746,18,FALSE),0)</f>
        <v>0</v>
      </c>
      <c r="J112" s="362">
        <f>IFERROR(VLOOKUP(C112,'تقرير المصروفات حسب الشهر'!$C$763:$AD$872,18,FALSE),0)</f>
        <v>0</v>
      </c>
      <c r="K112" s="362">
        <f>IFERROR(VLOOKUP(C112,'تقرير المصروفات حسب الشهر'!$C$890:$AD$999,18,FALSE),0)</f>
        <v>0</v>
      </c>
      <c r="L112" s="362">
        <f>IFERROR(VLOOKUP(C112,'تقرير المصروفات حسب الشهر'!$C$1016:$AD$1126,18,FALSE),0)</f>
        <v>0</v>
      </c>
      <c r="M112" s="376">
        <f>IFERROR(VLOOKUP(C112,'تقرير المصروفات حسب الشهر'!$C$1143:$AD$1254,18,FALSE),0)</f>
        <v>0</v>
      </c>
      <c r="N112" s="376">
        <f>IFERROR(VLOOKUP(C112,'تقرير المصروفات حسب الشهر'!$C$1270:$AD$1381,18,FALSE),0)</f>
        <v>0</v>
      </c>
      <c r="O112" s="376">
        <f>IFERROR(VLOOKUP(C112,'تقرير المصروفات حسب الشهر'!$C$1397:$AI$1512,18,FALSE),0)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الشهر'!$C$10:$AD$119,18,FALSE),0)</f>
        <v>0</v>
      </c>
      <c r="E113" s="362">
        <f>IFERROR(VLOOKUP(C113,'تقرير المصروفات حسب الشهر'!$C$135:$AD$244,18,FALSE),0)</f>
        <v>0</v>
      </c>
      <c r="F113" s="362">
        <f>IFERROR(VLOOKUP(C113,'تقرير المصروفات حسب الشهر'!$C$261:$AD$368,18,FALSE),0)</f>
        <v>0</v>
      </c>
      <c r="G113" s="362">
        <f>IFERROR(VLOOKUP(C113,'تقرير المصروفات حسب الشهر'!$C$387:$AD$495,18,FALSE),0)</f>
        <v>0</v>
      </c>
      <c r="H113" s="362">
        <f>IFERROR(VLOOKUP(C113,'تقرير المصروفات حسب الشهر'!$C$512:$AD$620,18,FALSE),0)</f>
        <v>0</v>
      </c>
      <c r="I113" s="362">
        <f>IFERROR(VLOOKUP(C113,'تقرير المصروفات حسب الشهر'!$C$637:$AD$746,18,FALSE),0)</f>
        <v>0</v>
      </c>
      <c r="J113" s="362">
        <f>IFERROR(VLOOKUP(C113,'تقرير المصروفات حسب الشهر'!$C$763:$AD$872,18,FALSE),0)</f>
        <v>0</v>
      </c>
      <c r="K113" s="362">
        <f>IFERROR(VLOOKUP(C113,'تقرير المصروفات حسب الشهر'!$C$890:$AD$999,18,FALSE),0)</f>
        <v>0</v>
      </c>
      <c r="L113" s="362">
        <f>IFERROR(VLOOKUP(C113,'تقرير المصروفات حسب الشهر'!$C$1016:$AD$1126,18,FALSE),0)</f>
        <v>0</v>
      </c>
      <c r="M113" s="376">
        <f>IFERROR(VLOOKUP(C113,'تقرير المصروفات حسب الشهر'!$C$1143:$AD$1254,18,FALSE),0)</f>
        <v>0</v>
      </c>
      <c r="N113" s="376">
        <f>IFERROR(VLOOKUP(C113,'تقرير المصروفات حسب الشهر'!$C$1270:$AD$1381,18,FALSE),0)</f>
        <v>0</v>
      </c>
      <c r="O113" s="376">
        <f>IFERROR(VLOOKUP(C113,'تقرير المصروفات حسب الشهر'!$C$1397:$AI$1512,18,FALSE),0)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الشهر'!$C$10:$AD$119,18,FALSE),0)</f>
        <v>0</v>
      </c>
      <c r="E114" s="362">
        <f>IFERROR(VLOOKUP(C114,'تقرير المصروفات حسب الشهر'!$C$135:$AD$244,18,FALSE),0)</f>
        <v>0</v>
      </c>
      <c r="F114" s="362">
        <f>IFERROR(VLOOKUP(C114,'تقرير المصروفات حسب الشهر'!$C$261:$AD$368,18,FALSE),0)</f>
        <v>0</v>
      </c>
      <c r="G114" s="362">
        <f>IFERROR(VLOOKUP(C114,'تقرير المصروفات حسب الشهر'!$C$387:$AD$495,18,FALSE),0)</f>
        <v>0</v>
      </c>
      <c r="H114" s="362">
        <f>IFERROR(VLOOKUP(C114,'تقرير المصروفات حسب الشهر'!$C$512:$AD$620,18,FALSE),0)</f>
        <v>0</v>
      </c>
      <c r="I114" s="362">
        <f>IFERROR(VLOOKUP(C114,'تقرير المصروفات حسب الشهر'!$C$637:$AD$746,18,FALSE),0)</f>
        <v>0</v>
      </c>
      <c r="J114" s="362">
        <f>IFERROR(VLOOKUP(C114,'تقرير المصروفات حسب الشهر'!$C$763:$AD$872,18,FALSE),0)</f>
        <v>0</v>
      </c>
      <c r="K114" s="362">
        <f>IFERROR(VLOOKUP(C114,'تقرير المصروفات حسب الشهر'!$C$890:$AD$999,18,FALSE),0)</f>
        <v>0</v>
      </c>
      <c r="L114" s="362">
        <f>IFERROR(VLOOKUP(C114,'تقرير المصروفات حسب الشهر'!$C$1016:$AD$1126,18,FALSE),0)</f>
        <v>0</v>
      </c>
      <c r="M114" s="376">
        <f>IFERROR(VLOOKUP(C114,'تقرير المصروفات حسب الشهر'!$C$1143:$AD$1254,18,FALSE),0)</f>
        <v>0</v>
      </c>
      <c r="N114" s="376">
        <f>IFERROR(VLOOKUP(C114,'تقرير المصروفات حسب الشهر'!$C$1270:$AD$1381,18,FALSE),0)</f>
        <v>0</v>
      </c>
      <c r="O114" s="376">
        <f>IFERROR(VLOOKUP(C114,'تقرير المصروفات حسب الشهر'!$C$1397:$AI$1512,18,FALSE),0)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الشهر'!$C$10:$AD$119,18,FALSE),0)</f>
        <v>790</v>
      </c>
      <c r="E115" s="362">
        <f>IFERROR(VLOOKUP(C115,'تقرير المصروفات حسب الشهر'!$C$135:$AD$244,18,FALSE),0)</f>
        <v>3570</v>
      </c>
      <c r="F115" s="362">
        <f>IFERROR(VLOOKUP(C115,'تقرير المصروفات حسب الشهر'!$C$261:$AD$368,18,FALSE),0)</f>
        <v>5270</v>
      </c>
      <c r="G115" s="362">
        <f>IFERROR(VLOOKUP(C115,'تقرير المصروفات حسب الشهر'!$C$387:$AD$495,18,FALSE),0)</f>
        <v>2670</v>
      </c>
      <c r="H115" s="362">
        <f>IFERROR(VLOOKUP(C115,'تقرير المصروفات حسب الشهر'!$C$512:$AD$620,18,FALSE),0)</f>
        <v>6790</v>
      </c>
      <c r="I115" s="362">
        <f>IFERROR(VLOOKUP(C115,'تقرير المصروفات حسب الشهر'!$C$637:$AD$746,18,FALSE),0)</f>
        <v>6830</v>
      </c>
      <c r="J115" s="362">
        <f>IFERROR(VLOOKUP(C115,'تقرير المصروفات حسب الشهر'!$C$763:$AD$872,18,FALSE),0)</f>
        <v>2215</v>
      </c>
      <c r="K115" s="362">
        <f>IFERROR(VLOOKUP(C115,'تقرير المصروفات حسب الشهر'!$C$890:$AD$999,18,FALSE),0)</f>
        <v>5880</v>
      </c>
      <c r="L115" s="362">
        <f>IFERROR(VLOOKUP(C115,'تقرير المصروفات حسب الشهر'!$C$1016:$AD$1126,18,FALSE),0)</f>
        <v>5350</v>
      </c>
      <c r="M115" s="376">
        <f>IFERROR(VLOOKUP(C115,'تقرير المصروفات حسب الشهر'!$C$1143:$AD$1254,18,FALSE),0)</f>
        <v>6710</v>
      </c>
      <c r="N115" s="376">
        <f>IFERROR(VLOOKUP(C115,'تقرير المصروفات حسب الشهر'!$C$1270:$AD$1381,18,FALSE),0)</f>
        <v>4510</v>
      </c>
      <c r="O115" s="376">
        <f>IFERROR(VLOOKUP(C115,'تقرير المصروفات حسب الشهر'!$C$1397:$AI$1512,18,FALSE),0)</f>
        <v>2960</v>
      </c>
      <c r="P115" s="364">
        <f t="shared" si="6"/>
        <v>53545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الشهر'!$C$10:$AD$119,18,FALSE),0)</f>
        <v>0</v>
      </c>
      <c r="E116" s="362">
        <f>IFERROR(VLOOKUP(C116,'تقرير المصروفات حسب الشهر'!$C$135:$AD$244,18,FALSE),0)</f>
        <v>0</v>
      </c>
      <c r="F116" s="362">
        <f>IFERROR(VLOOKUP(C116,'تقرير المصروفات حسب الشهر'!$C$261:$AD$368,18,FALSE),0)</f>
        <v>0</v>
      </c>
      <c r="G116" s="362">
        <f>IFERROR(VLOOKUP(C116,'تقرير المصروفات حسب الشهر'!$C$387:$AD$495,18,FALSE),0)</f>
        <v>0</v>
      </c>
      <c r="H116" s="362">
        <f>IFERROR(VLOOKUP(C116,'تقرير المصروفات حسب الشهر'!$C$512:$AD$620,18,FALSE),0)</f>
        <v>0</v>
      </c>
      <c r="I116" s="362">
        <f>IFERROR(VLOOKUP(C116,'تقرير المصروفات حسب الشهر'!$C$637:$AD$746,18,FALSE),0)</f>
        <v>0</v>
      </c>
      <c r="J116" s="362">
        <f>IFERROR(VLOOKUP(C116,'تقرير المصروفات حسب الشهر'!$C$763:$AD$872,18,FALSE),0)</f>
        <v>0</v>
      </c>
      <c r="K116" s="362">
        <f>IFERROR(VLOOKUP(C116,'تقرير المصروفات حسب الشهر'!$C$890:$AD$999,18,FALSE),0)</f>
        <v>0</v>
      </c>
      <c r="L116" s="362">
        <f>IFERROR(VLOOKUP(C116,'تقرير المصروفات حسب الشهر'!$C$1016:$AD$1126,18,FALSE),0)</f>
        <v>0</v>
      </c>
      <c r="M116" s="376">
        <f>IFERROR(VLOOKUP(C116,'تقرير المصروفات حسب الشهر'!$C$1143:$AD$1254,18,FALSE),0)</f>
        <v>0</v>
      </c>
      <c r="N116" s="376">
        <f>IFERROR(VLOOKUP(C116,'تقرير المصروفات حسب الشهر'!$C$1270:$AD$1381,18,FALSE),0)</f>
        <v>0</v>
      </c>
      <c r="O116" s="376">
        <f>IFERROR(VLOOKUP(C116,'تقرير المصروفات حسب الشهر'!$C$1397:$AI$1512,18,FALSE),0)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الشهر'!$C$10:$AD$119,18,FALSE),0)</f>
        <v>0</v>
      </c>
      <c r="E117" s="362">
        <f>IFERROR(VLOOKUP(C117,'تقرير المصروفات حسب الشهر'!$C$135:$AD$244,18,FALSE),0)</f>
        <v>0</v>
      </c>
      <c r="F117" s="362">
        <f>IFERROR(VLOOKUP(C117,'تقرير المصروفات حسب الشهر'!$C$261:$AD$368,18,FALSE),0)</f>
        <v>0</v>
      </c>
      <c r="G117" s="362">
        <f>IFERROR(VLOOKUP(C117,'تقرير المصروفات حسب الشهر'!$C$387:$AD$495,18,FALSE),0)</f>
        <v>0</v>
      </c>
      <c r="H117" s="362">
        <f>IFERROR(VLOOKUP(C117,'تقرير المصروفات حسب الشهر'!$C$512:$AD$620,18,FALSE),0)</f>
        <v>0</v>
      </c>
      <c r="I117" s="362">
        <f>IFERROR(VLOOKUP(C117,'تقرير المصروفات حسب الشهر'!$C$637:$AD$746,18,FALSE),0)</f>
        <v>0</v>
      </c>
      <c r="J117" s="362">
        <f>IFERROR(VLOOKUP(C117,'تقرير المصروفات حسب الشهر'!$C$763:$AD$872,18,FALSE),0)</f>
        <v>0</v>
      </c>
      <c r="K117" s="362">
        <f>IFERROR(VLOOKUP(C117,'تقرير المصروفات حسب الشهر'!$C$890:$AD$999,18,FALSE),0)</f>
        <v>0</v>
      </c>
      <c r="L117" s="362">
        <f>IFERROR(VLOOKUP(C117,'تقرير المصروفات حسب الشهر'!$C$1016:$AD$1126,18,FALSE),0)</f>
        <v>0</v>
      </c>
      <c r="M117" s="376">
        <f>IFERROR(VLOOKUP(C117,'تقرير المصروفات حسب الشهر'!$C$1143:$AD$1254,18,FALSE),0)</f>
        <v>0</v>
      </c>
      <c r="N117" s="376">
        <f>IFERROR(VLOOKUP(C117,'تقرير المصروفات حسب الشهر'!$C$1270:$AD$1381,18,FALSE),0)</f>
        <v>0</v>
      </c>
      <c r="O117" s="376">
        <f>IFERROR(VLOOKUP(C117,'تقرير المصروفات حسب الشهر'!$C$1397:$AI$1512,18,FALSE),0)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الشهر'!$C$10:$AD$119,18,FALSE),0)</f>
        <v>0</v>
      </c>
      <c r="E118" s="362">
        <f>IFERROR(VLOOKUP(C118,'تقرير المصروفات حسب الشهر'!$C$135:$AD$244,18,FALSE),0)</f>
        <v>0</v>
      </c>
      <c r="F118" s="362">
        <f>IFERROR(VLOOKUP(C118,'تقرير المصروفات حسب الشهر'!$C$261:$AD$368,18,FALSE),0)</f>
        <v>0</v>
      </c>
      <c r="G118" s="362">
        <f>IFERROR(VLOOKUP(C118,'تقرير المصروفات حسب الشهر'!$C$387:$AD$495,18,FALSE),0)</f>
        <v>0</v>
      </c>
      <c r="H118" s="362">
        <f>IFERROR(VLOOKUP(C118,'تقرير المصروفات حسب الشهر'!$C$512:$AD$620,18,FALSE),0)</f>
        <v>0</v>
      </c>
      <c r="I118" s="362">
        <f>IFERROR(VLOOKUP(C118,'تقرير المصروفات حسب الشهر'!$C$637:$AD$746,18,FALSE),0)</f>
        <v>0</v>
      </c>
      <c r="J118" s="362">
        <f>IFERROR(VLOOKUP(C118,'تقرير المصروفات حسب الشهر'!$C$763:$AD$872,18,FALSE),0)</f>
        <v>0</v>
      </c>
      <c r="K118" s="362">
        <f>IFERROR(VLOOKUP(C118,'تقرير المصروفات حسب الشهر'!$C$890:$AD$999,18,FALSE),0)</f>
        <v>0</v>
      </c>
      <c r="L118" s="362">
        <f>IFERROR(VLOOKUP(C118,'تقرير المصروفات حسب الشهر'!$C$1016:$AD$1126,18,FALSE),0)</f>
        <v>0</v>
      </c>
      <c r="M118" s="376">
        <f>IFERROR(VLOOKUP(C118,'تقرير المصروفات حسب الشهر'!$C$1143:$AD$1254,18,FALSE),0)</f>
        <v>0</v>
      </c>
      <c r="N118" s="376">
        <f>IFERROR(VLOOKUP(C118,'تقرير المصروفات حسب الشهر'!$C$1270:$AD$1381,18,FALSE),0)</f>
        <v>0</v>
      </c>
      <c r="O118" s="376">
        <f>IFERROR(VLOOKUP(C118,'تقرير المصروفات حسب الشهر'!$C$1397:$AI$1512,18,FALSE),0)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الشهر'!$C$10:$AD$119,18,FALSE),0)</f>
        <v>0</v>
      </c>
      <c r="E119" s="362">
        <f>IFERROR(VLOOKUP(C119,'تقرير المصروفات حسب الشهر'!$C$135:$AD$244,18,FALSE),0)</f>
        <v>0</v>
      </c>
      <c r="F119" s="362">
        <f>IFERROR(VLOOKUP(C119,'تقرير المصروفات حسب الشهر'!$C$261:$AD$368,18,FALSE),0)</f>
        <v>0</v>
      </c>
      <c r="G119" s="362">
        <f>IFERROR(VLOOKUP(C119,'تقرير المصروفات حسب الشهر'!$C$387:$AD$495,18,FALSE),0)</f>
        <v>0</v>
      </c>
      <c r="H119" s="362">
        <f>IFERROR(VLOOKUP(C119,'تقرير المصروفات حسب الشهر'!$C$512:$AD$620,18,FALSE),0)</f>
        <v>0</v>
      </c>
      <c r="I119" s="362">
        <f>IFERROR(VLOOKUP(C119,'تقرير المصروفات حسب الشهر'!$C$637:$AD$746,18,FALSE),0)</f>
        <v>0</v>
      </c>
      <c r="J119" s="362">
        <f>IFERROR(VLOOKUP(C119,'تقرير المصروفات حسب الشهر'!$C$763:$AD$872,18,FALSE),0)</f>
        <v>0</v>
      </c>
      <c r="K119" s="362">
        <f>IFERROR(VLOOKUP(C119,'تقرير المصروفات حسب الشهر'!$C$890:$AD$999,18,FALSE),0)</f>
        <v>0</v>
      </c>
      <c r="L119" s="362">
        <f>IFERROR(VLOOKUP(C119,'تقرير المصروفات حسب الشهر'!$C$1016:$AD$1126,18,FALSE),0)</f>
        <v>0</v>
      </c>
      <c r="M119" s="376">
        <f>IFERROR(VLOOKUP(C119,'تقرير المصروفات حسب الشهر'!$C$1143:$AD$1254,18,FALSE),0)</f>
        <v>0</v>
      </c>
      <c r="N119" s="376">
        <f>IFERROR(VLOOKUP(C119,'تقرير المصروفات حسب الشهر'!$C$1270:$AD$1381,18,FALSE),0)</f>
        <v>0</v>
      </c>
      <c r="O119" s="376">
        <f>IFERROR(VLOOKUP(C119,'تقرير المصروفات حسب الشهر'!$C$1397:$AI$1512,18,FALSE),0)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الشهر'!$C$10:$AD$119,18,FALSE),0)</f>
        <v>0</v>
      </c>
      <c r="E120" s="362">
        <f>IFERROR(VLOOKUP(C120,'تقرير المصروفات حسب الشهر'!$C$135:$AD$244,18,FALSE),0)</f>
        <v>0</v>
      </c>
      <c r="F120" s="362">
        <f>IFERROR(VLOOKUP(C120,'تقرير المصروفات حسب الشهر'!$C$261:$AD$368,18,FALSE),0)</f>
        <v>0</v>
      </c>
      <c r="G120" s="362">
        <f>IFERROR(VLOOKUP(C120,'تقرير المصروفات حسب الشهر'!$C$387:$AD$495,18,FALSE),0)</f>
        <v>0</v>
      </c>
      <c r="H120" s="362">
        <f>IFERROR(VLOOKUP(C120,'تقرير المصروفات حسب الشهر'!$C$512:$AD$620,18,FALSE),0)</f>
        <v>0</v>
      </c>
      <c r="I120" s="362">
        <f>IFERROR(VLOOKUP(C120,'تقرير المصروفات حسب الشهر'!$C$637:$AD$746,18,FALSE),0)</f>
        <v>0</v>
      </c>
      <c r="J120" s="362">
        <f>IFERROR(VLOOKUP(C120,'تقرير المصروفات حسب الشهر'!$C$763:$AD$872,18,FALSE),0)</f>
        <v>0</v>
      </c>
      <c r="K120" s="362">
        <f>IFERROR(VLOOKUP(C120,'تقرير المصروفات حسب الشهر'!$C$890:$AD$999,18,FALSE),0)</f>
        <v>0</v>
      </c>
      <c r="L120" s="362">
        <f>IFERROR(VLOOKUP(C120,'تقرير المصروفات حسب الشهر'!$C$1016:$AD$1126,18,FALSE),0)</f>
        <v>0</v>
      </c>
      <c r="M120" s="376">
        <f>IFERROR(VLOOKUP(C120,'تقرير المصروفات حسب الشهر'!$C$1143:$AD$1254,18,FALSE),0)</f>
        <v>0</v>
      </c>
      <c r="N120" s="376">
        <f>IFERROR(VLOOKUP(C120,'تقرير المصروفات حسب الشهر'!$C$1270:$AD$1381,18,FALSE),0)</f>
        <v>0</v>
      </c>
      <c r="O120" s="376">
        <f>IFERROR(VLOOKUP(C120,'تقرير المصروفات حسب الشهر'!$C$1397:$AI$1512,18,FALSE),0)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الشهر'!$C$10:$AD$119,18,FALSE),0)</f>
        <v>0</v>
      </c>
      <c r="E121" s="362">
        <f>IFERROR(VLOOKUP(C121,'تقرير المصروفات حسب الشهر'!$C$135:$AD$244,18,FALSE),0)</f>
        <v>0</v>
      </c>
      <c r="F121" s="362">
        <f>IFERROR(VLOOKUP(C121,'تقرير المصروفات حسب الشهر'!$C$261:$AD$368,18,FALSE),0)</f>
        <v>0</v>
      </c>
      <c r="G121" s="362">
        <f>IFERROR(VLOOKUP(C121,'تقرير المصروفات حسب الشهر'!$C$387:$AD$495,18,FALSE),0)</f>
        <v>0</v>
      </c>
      <c r="H121" s="362">
        <f>IFERROR(VLOOKUP(C121,'تقرير المصروفات حسب الشهر'!$C$512:$AD$620,18,FALSE),0)</f>
        <v>0</v>
      </c>
      <c r="I121" s="362">
        <f>IFERROR(VLOOKUP(C121,'تقرير المصروفات حسب الشهر'!$C$637:$AD$746,18,FALSE),0)</f>
        <v>0</v>
      </c>
      <c r="J121" s="362">
        <f>IFERROR(VLOOKUP(C121,'تقرير المصروفات حسب الشهر'!$C$763:$AD$872,18,FALSE),0)</f>
        <v>0</v>
      </c>
      <c r="K121" s="362">
        <f>IFERROR(VLOOKUP(C121,'تقرير المصروفات حسب الشهر'!$C$890:$AD$999,18,FALSE),0)</f>
        <v>0</v>
      </c>
      <c r="L121" s="362">
        <f>IFERROR(VLOOKUP(C121,'تقرير المصروفات حسب الشهر'!$C$1016:$AD$1126,18,FALSE),0)</f>
        <v>0</v>
      </c>
      <c r="M121" s="376">
        <f>IFERROR(VLOOKUP(C121,'تقرير المصروفات حسب الشهر'!$C$1143:$AD$1254,18,FALSE),0)</f>
        <v>0</v>
      </c>
      <c r="N121" s="376">
        <f>IFERROR(VLOOKUP(C121,'تقرير المصروفات حسب الشهر'!$C$1270:$AD$1381,18,FALSE),0)</f>
        <v>0</v>
      </c>
      <c r="O121" s="376">
        <f>IFERROR(VLOOKUP(C121,'تقرير المصروفات حسب الشهر'!$C$1397:$AI$1512,18,FALSE),0)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الشهر'!$C$10:$AD$119,18,FALSE),0)</f>
        <v>0</v>
      </c>
      <c r="E122" s="362">
        <f>IFERROR(VLOOKUP(C122,'تقرير المصروفات حسب الشهر'!$C$135:$AD$244,18,FALSE),0)</f>
        <v>0</v>
      </c>
      <c r="F122" s="362">
        <f>IFERROR(VLOOKUP(C122,'تقرير المصروفات حسب الشهر'!$C$261:$AD$368,18,FALSE),0)</f>
        <v>0</v>
      </c>
      <c r="G122" s="362">
        <f>IFERROR(VLOOKUP(C122,'تقرير المصروفات حسب الشهر'!$C$387:$AD$495,18,FALSE),0)</f>
        <v>0</v>
      </c>
      <c r="H122" s="362">
        <f>IFERROR(VLOOKUP(C122,'تقرير المصروفات حسب الشهر'!$C$512:$AD$620,18,FALSE),0)</f>
        <v>0</v>
      </c>
      <c r="I122" s="362">
        <f>IFERROR(VLOOKUP(C122,'تقرير المصروفات حسب الشهر'!$C$637:$AD$746,18,FALSE),0)</f>
        <v>0</v>
      </c>
      <c r="J122" s="362">
        <f>IFERROR(VLOOKUP(C122,'تقرير المصروفات حسب الشهر'!$C$763:$AD$872,18,FALSE),0)</f>
        <v>0</v>
      </c>
      <c r="K122" s="362">
        <f>IFERROR(VLOOKUP(C122,'تقرير المصروفات حسب الشهر'!$C$890:$AD$999,18,FALSE),0)</f>
        <v>0</v>
      </c>
      <c r="L122" s="362">
        <f>IFERROR(VLOOKUP(C122,'تقرير المصروفات حسب الشهر'!$C$1016:$AD$1126,18,FALSE),0)</f>
        <v>0</v>
      </c>
      <c r="M122" s="376">
        <f>IFERROR(VLOOKUP(C122,'تقرير المصروفات حسب الشهر'!$C$1143:$AD$1254,18,FALSE),0)</f>
        <v>0</v>
      </c>
      <c r="N122" s="376">
        <f>IFERROR(VLOOKUP(C122,'تقرير المصروفات حسب الشهر'!$C$1270:$AD$1381,18,FALSE),0)</f>
        <v>0</v>
      </c>
      <c r="O122" s="376">
        <f>IFERROR(VLOOKUP(C122,'تقرير المصروفات حسب الشهر'!$C$1397:$AI$1512,18,FALSE),0)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الشهر'!$C$10:$AD$119,18,FALSE),0)</f>
        <v>0</v>
      </c>
      <c r="E123" s="362">
        <f>IFERROR(VLOOKUP(C123,'تقرير المصروفات حسب الشهر'!$C$135:$AD$244,18,FALSE),0)</f>
        <v>0</v>
      </c>
      <c r="F123" s="362">
        <f>IFERROR(VLOOKUP(C123,'تقرير المصروفات حسب الشهر'!$C$261:$AD$368,18,FALSE),0)</f>
        <v>0</v>
      </c>
      <c r="G123" s="362">
        <f>IFERROR(VLOOKUP(C123,'تقرير المصروفات حسب الشهر'!$C$387:$AD$495,18,FALSE),0)</f>
        <v>0</v>
      </c>
      <c r="H123" s="362">
        <f>IFERROR(VLOOKUP(C123,'تقرير المصروفات حسب الشهر'!$C$512:$AD$620,18,FALSE),0)</f>
        <v>0</v>
      </c>
      <c r="I123" s="362">
        <f>IFERROR(VLOOKUP(C123,'تقرير المصروفات حسب الشهر'!$C$637:$AD$746,18,FALSE),0)</f>
        <v>0</v>
      </c>
      <c r="J123" s="362">
        <f>IFERROR(VLOOKUP(C123,'تقرير المصروفات حسب الشهر'!$C$763:$AD$872,18,FALSE),0)</f>
        <v>0</v>
      </c>
      <c r="K123" s="362">
        <f>IFERROR(VLOOKUP(C123,'تقرير المصروفات حسب الشهر'!$C$890:$AD$999,18,FALSE),0)</f>
        <v>0</v>
      </c>
      <c r="L123" s="362">
        <f>IFERROR(VLOOKUP(C123,'تقرير المصروفات حسب الشهر'!$C$1016:$AD$1126,18,FALSE),0)</f>
        <v>0</v>
      </c>
      <c r="M123" s="376">
        <f>IFERROR(VLOOKUP(C123,'تقرير المصروفات حسب الشهر'!$C$1143:$AD$1254,18,FALSE),0)</f>
        <v>0</v>
      </c>
      <c r="N123" s="376">
        <f>IFERROR(VLOOKUP(C123,'تقرير المصروفات حسب الشهر'!$C$1270:$AD$1381,18,FALSE),0)</f>
        <v>0</v>
      </c>
      <c r="O123" s="376">
        <f>IFERROR(VLOOKUP(C123,'تقرير المصروفات حسب الشهر'!$C$1397:$AI$1512,18,FALSE),0)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الشهر'!$C$10:$AD$119,18,FALSE),0)</f>
        <v>0</v>
      </c>
      <c r="E124" s="362">
        <f>IFERROR(VLOOKUP(C124,'تقرير المصروفات حسب الشهر'!$C$135:$AD$244,18,FALSE),0)</f>
        <v>0</v>
      </c>
      <c r="F124" s="362">
        <f>IFERROR(VLOOKUP(C124,'تقرير المصروفات حسب الشهر'!$C$261:$AD$368,18,FALSE),0)</f>
        <v>0</v>
      </c>
      <c r="G124" s="362">
        <f>IFERROR(VLOOKUP(C124,'تقرير المصروفات حسب الشهر'!$C$387:$AD$495,18,FALSE),0)</f>
        <v>0</v>
      </c>
      <c r="H124" s="362">
        <f>IFERROR(VLOOKUP(C124,'تقرير المصروفات حسب الشهر'!$C$512:$AD$620,18,FALSE),0)</f>
        <v>0</v>
      </c>
      <c r="I124" s="362">
        <f>IFERROR(VLOOKUP(C124,'تقرير المصروفات حسب الشهر'!$C$637:$AD$746,18,FALSE),0)</f>
        <v>0</v>
      </c>
      <c r="J124" s="362">
        <f>IFERROR(VLOOKUP(C124,'تقرير المصروفات حسب الشهر'!$C$763:$AD$872,18,FALSE),0)</f>
        <v>0</v>
      </c>
      <c r="K124" s="362">
        <f>IFERROR(VLOOKUP(C124,'تقرير المصروفات حسب الشهر'!$C$890:$AD$999,18,FALSE),0)</f>
        <v>0</v>
      </c>
      <c r="L124" s="362">
        <f>IFERROR(VLOOKUP(C124,'تقرير المصروفات حسب الشهر'!$C$1016:$AD$1126,18,FALSE),0)</f>
        <v>0</v>
      </c>
      <c r="M124" s="376">
        <f>IFERROR(VLOOKUP(C124,'تقرير المصروفات حسب الشهر'!$C$1143:$AD$1254,18,FALSE),0)</f>
        <v>0</v>
      </c>
      <c r="N124" s="376">
        <f>IFERROR(VLOOKUP(C124,'تقرير المصروفات حسب الشهر'!$C$1270:$AD$1381,18,FALSE),0)</f>
        <v>0</v>
      </c>
      <c r="O124" s="376">
        <f>IFERROR(VLOOKUP(C124,'تقرير المصروفات حسب الشهر'!$C$1397:$AI$1512,18,FALSE),0)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الشهر'!$C$10:$AD$119,18,FALSE),0)</f>
        <v>0</v>
      </c>
      <c r="E125" s="362">
        <f>IFERROR(VLOOKUP(C125,'تقرير المصروفات حسب الشهر'!$C$135:$AD$244,18,FALSE),0)</f>
        <v>0</v>
      </c>
      <c r="F125" s="362">
        <f>IFERROR(VLOOKUP(C125,'تقرير المصروفات حسب الشهر'!$C$261:$AD$368,18,FALSE),0)</f>
        <v>0</v>
      </c>
      <c r="G125" s="362">
        <f>IFERROR(VLOOKUP(C125,'تقرير المصروفات حسب الشهر'!$C$387:$AD$495,18,FALSE),0)</f>
        <v>0</v>
      </c>
      <c r="H125" s="362">
        <f>IFERROR(VLOOKUP(C125,'تقرير المصروفات حسب الشهر'!$C$512:$AD$620,18,FALSE),0)</f>
        <v>0</v>
      </c>
      <c r="I125" s="362">
        <f>IFERROR(VLOOKUP(C125,'تقرير المصروفات حسب الشهر'!$C$637:$AD$746,18,FALSE),0)</f>
        <v>0</v>
      </c>
      <c r="J125" s="362">
        <f>IFERROR(VLOOKUP(C125,'تقرير المصروفات حسب الشهر'!$C$763:$AD$872,18,FALSE),0)</f>
        <v>0</v>
      </c>
      <c r="K125" s="362">
        <f>IFERROR(VLOOKUP(C125,'تقرير المصروفات حسب الشهر'!$C$890:$AD$999,18,FALSE),0)</f>
        <v>0</v>
      </c>
      <c r="L125" s="362">
        <f>IFERROR(VLOOKUP(C125,'تقرير المصروفات حسب الشهر'!$C$1016:$AD$1126,18,FALSE),0)</f>
        <v>0</v>
      </c>
      <c r="M125" s="376">
        <f>IFERROR(VLOOKUP(C125,'تقرير المصروفات حسب الشهر'!$C$1143:$AD$1254,18,FALSE),0)</f>
        <v>0</v>
      </c>
      <c r="N125" s="376">
        <f>IFERROR(VLOOKUP(C125,'تقرير المصروفات حسب الشهر'!$C$1270:$AD$1381,18,FALSE),0)</f>
        <v>0</v>
      </c>
      <c r="O125" s="376">
        <f>IFERROR(VLOOKUP(C125,'تقرير المصروفات حسب الشهر'!$C$1397:$AI$1512,18,FALSE),0)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الشهر'!$C$10:$AD$119,18,FALSE),0)</f>
        <v>0</v>
      </c>
      <c r="E126" s="362">
        <f>IFERROR(VLOOKUP(C126,'تقرير المصروفات حسب الشهر'!$C$135:$AD$244,18,FALSE),0)</f>
        <v>0</v>
      </c>
      <c r="F126" s="362">
        <f>IFERROR(VLOOKUP(C126,'تقرير المصروفات حسب الشهر'!$C$261:$AD$368,18,FALSE),0)</f>
        <v>0</v>
      </c>
      <c r="G126" s="362">
        <f>IFERROR(VLOOKUP(C126,'تقرير المصروفات حسب الشهر'!$C$387:$AD$495,18,FALSE),0)</f>
        <v>0</v>
      </c>
      <c r="H126" s="362">
        <f>IFERROR(VLOOKUP(C126,'تقرير المصروفات حسب الشهر'!$C$512:$AD$620,18,FALSE),0)</f>
        <v>0</v>
      </c>
      <c r="I126" s="362">
        <f>IFERROR(VLOOKUP(C126,'تقرير المصروفات حسب الشهر'!$C$637:$AD$746,18,FALSE),0)</f>
        <v>0</v>
      </c>
      <c r="J126" s="362">
        <f>IFERROR(VLOOKUP(C126,'تقرير المصروفات حسب الشهر'!$C$763:$AD$872,18,FALSE),0)</f>
        <v>0</v>
      </c>
      <c r="K126" s="362">
        <f>IFERROR(VLOOKUP(C126,'تقرير المصروفات حسب الشهر'!$C$890:$AD$999,18,FALSE),0)</f>
        <v>0</v>
      </c>
      <c r="L126" s="362">
        <f>IFERROR(VLOOKUP(C126,'تقرير المصروفات حسب الشهر'!$C$1016:$AD$1126,18,FALSE),0)</f>
        <v>0</v>
      </c>
      <c r="M126" s="376">
        <f>IFERROR(VLOOKUP(C126,'تقرير المصروفات حسب الشهر'!$C$1143:$AD$1254,18,FALSE),0)</f>
        <v>0</v>
      </c>
      <c r="N126" s="376">
        <f>IFERROR(VLOOKUP(C126,'تقرير المصروفات حسب الشهر'!$C$1270:$AD$1381,18,FALSE),0)</f>
        <v>0</v>
      </c>
      <c r="O126" s="376">
        <f>IFERROR(VLOOKUP(C126,'تقرير المصروفات حسب الشهر'!$C$1397:$AI$1512,18,FALSE),0)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الشهر'!$C$10:$AD$119,18,FALSE),0)</f>
        <v>0</v>
      </c>
      <c r="E127" s="362">
        <f>IFERROR(VLOOKUP(C127,'تقرير المصروفات حسب الشهر'!$C$135:$AD$244,18,FALSE),0)</f>
        <v>0</v>
      </c>
      <c r="F127" s="362">
        <f>IFERROR(VLOOKUP(C127,'تقرير المصروفات حسب الشهر'!$C$261:$AD$368,18,FALSE),0)</f>
        <v>0</v>
      </c>
      <c r="G127" s="362">
        <f>IFERROR(VLOOKUP(C127,'تقرير المصروفات حسب الشهر'!$C$387:$AD$495,18,FALSE),0)</f>
        <v>0</v>
      </c>
      <c r="H127" s="362">
        <f>IFERROR(VLOOKUP(C127,'تقرير المصروفات حسب الشهر'!$C$512:$AD$620,18,FALSE),0)</f>
        <v>0</v>
      </c>
      <c r="I127" s="362">
        <f>IFERROR(VLOOKUP(C127,'تقرير المصروفات حسب الشهر'!$C$637:$AD$746,18,FALSE),0)</f>
        <v>0</v>
      </c>
      <c r="J127" s="362">
        <f>IFERROR(VLOOKUP(C127,'تقرير المصروفات حسب الشهر'!$C$763:$AD$872,18,FALSE),0)</f>
        <v>0</v>
      </c>
      <c r="K127" s="362">
        <f>IFERROR(VLOOKUP(C127,'تقرير المصروفات حسب الشهر'!$C$890:$AD$999,18,FALSE),0)</f>
        <v>0</v>
      </c>
      <c r="L127" s="362">
        <f>IFERROR(VLOOKUP(C127,'تقرير المصروفات حسب الشهر'!$C$1016:$AD$1126,18,FALSE),0)</f>
        <v>0</v>
      </c>
      <c r="M127" s="376">
        <f>IFERROR(VLOOKUP(C127,'تقرير المصروفات حسب الشهر'!$C$1143:$AD$1254,18,FALSE),0)</f>
        <v>0</v>
      </c>
      <c r="N127" s="376">
        <f>IFERROR(VLOOKUP(C127,'تقرير المصروفات حسب الشهر'!$C$1270:$AD$1381,18,FALSE),0)</f>
        <v>0</v>
      </c>
      <c r="O127" s="376">
        <f>IFERROR(VLOOKUP(C127,'تقرير المصروفات حسب الشهر'!$C$1397:$AI$1512,18,FALSE),0)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الشهر'!$C$10:$AD$119,18,FALSE),0)</f>
        <v>0</v>
      </c>
      <c r="E128" s="362">
        <f>IFERROR(VLOOKUP(C128,'تقرير المصروفات حسب الشهر'!$C$135:$AD$244,18,FALSE),0)</f>
        <v>0</v>
      </c>
      <c r="F128" s="362">
        <f>IFERROR(VLOOKUP(C128,'تقرير المصروفات حسب الشهر'!$C$261:$AD$368,18,FALSE),0)</f>
        <v>0</v>
      </c>
      <c r="G128" s="362">
        <f>IFERROR(VLOOKUP(C128,'تقرير المصروفات حسب الشهر'!$C$387:$AD$495,18,FALSE),0)</f>
        <v>0</v>
      </c>
      <c r="H128" s="362">
        <f>IFERROR(VLOOKUP(C128,'تقرير المصروفات حسب الشهر'!$C$512:$AD$620,18,FALSE),0)</f>
        <v>0</v>
      </c>
      <c r="I128" s="362">
        <f>IFERROR(VLOOKUP(C128,'تقرير المصروفات حسب الشهر'!$C$637:$AD$746,18,FALSE),0)</f>
        <v>0</v>
      </c>
      <c r="J128" s="362">
        <f>IFERROR(VLOOKUP(C128,'تقرير المصروفات حسب الشهر'!$C$763:$AD$872,18,FALSE),0)</f>
        <v>0</v>
      </c>
      <c r="K128" s="362">
        <f>IFERROR(VLOOKUP(C128,'تقرير المصروفات حسب الشهر'!$C$890:$AD$999,18,FALSE),0)</f>
        <v>0</v>
      </c>
      <c r="L128" s="362">
        <f>IFERROR(VLOOKUP(C128,'تقرير المصروفات حسب الشهر'!$C$1016:$AD$1126,18,FALSE),0)</f>
        <v>0</v>
      </c>
      <c r="M128" s="376">
        <f>IFERROR(VLOOKUP(C128,'تقرير المصروفات حسب الشهر'!$C$1143:$AD$1254,18,FALSE),0)</f>
        <v>0</v>
      </c>
      <c r="N128" s="376">
        <f>IFERROR(VLOOKUP(C128,'تقرير المصروفات حسب الشهر'!$C$1270:$AD$1381,18,FALSE),0)</f>
        <v>0</v>
      </c>
      <c r="O128" s="376">
        <f>IFERROR(VLOOKUP(C128,'تقرير المصروفات حسب الشهر'!$C$1397:$AI$1512,18,FALSE),0)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الشهر'!$C$10:$AD$119,18,FALSE),0)</f>
        <v>0</v>
      </c>
      <c r="E129" s="362">
        <f>IFERROR(VLOOKUP(C129,'تقرير المصروفات حسب الشهر'!$C$135:$AD$244,18,FALSE),0)</f>
        <v>0</v>
      </c>
      <c r="F129" s="362">
        <f>IFERROR(VLOOKUP(C129,'تقرير المصروفات حسب الشهر'!$C$261:$AD$368,18,FALSE),0)</f>
        <v>0</v>
      </c>
      <c r="G129" s="362">
        <f>IFERROR(VLOOKUP(C129,'تقرير المصروفات حسب الشهر'!$C$387:$AD$495,18,FALSE),0)</f>
        <v>0</v>
      </c>
      <c r="H129" s="362">
        <f>IFERROR(VLOOKUP(C129,'تقرير المصروفات حسب الشهر'!$C$512:$AD$620,18,FALSE),0)</f>
        <v>0</v>
      </c>
      <c r="I129" s="362">
        <f>IFERROR(VLOOKUP(C129,'تقرير المصروفات حسب الشهر'!$C$637:$AD$746,18,FALSE),0)</f>
        <v>0</v>
      </c>
      <c r="J129" s="362">
        <f>IFERROR(VLOOKUP(C129,'تقرير المصروفات حسب الشهر'!$C$763:$AD$872,18,FALSE),0)</f>
        <v>0</v>
      </c>
      <c r="K129" s="362">
        <f>IFERROR(VLOOKUP(C129,'تقرير المصروفات حسب الشهر'!$C$890:$AD$999,18,FALSE),0)</f>
        <v>0</v>
      </c>
      <c r="L129" s="362">
        <f>IFERROR(VLOOKUP(C129,'تقرير المصروفات حسب الشهر'!$C$1016:$AD$1126,18,FALSE),0)</f>
        <v>0</v>
      </c>
      <c r="M129" s="376">
        <f>IFERROR(VLOOKUP(C129,'تقرير المصروفات حسب الشهر'!$C$1143:$AD$1254,18,FALSE),0)</f>
        <v>0</v>
      </c>
      <c r="N129" s="376">
        <f>IFERROR(VLOOKUP(C129,'تقرير المصروفات حسب الشهر'!$C$1270:$AD$1381,18,FALSE),0)</f>
        <v>0</v>
      </c>
      <c r="O129" s="376">
        <f>IFERROR(VLOOKUP(C129,'تقرير المصروفات حسب الشهر'!$C$1397:$AI$1512,18,FALSE),0)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الشهر'!$C$10:$AD$119,18,FALSE),0)</f>
        <v>0</v>
      </c>
      <c r="E130" s="362">
        <f>IFERROR(VLOOKUP(C130,'تقرير المصروفات حسب الشهر'!$C$135:$AD$244,18,FALSE),0)</f>
        <v>0</v>
      </c>
      <c r="F130" s="362">
        <f>IFERROR(VLOOKUP(C130,'تقرير المصروفات حسب الشهر'!$C$261:$AD$368,18,FALSE),0)</f>
        <v>0</v>
      </c>
      <c r="G130" s="362">
        <f>IFERROR(VLOOKUP(C130,'تقرير المصروفات حسب الشهر'!$C$387:$AD$495,18,FALSE),0)</f>
        <v>0</v>
      </c>
      <c r="H130" s="362">
        <f>IFERROR(VLOOKUP(C130,'تقرير المصروفات حسب الشهر'!$C$512:$AD$620,18,FALSE),0)</f>
        <v>0</v>
      </c>
      <c r="I130" s="362">
        <f>IFERROR(VLOOKUP(C130,'تقرير المصروفات حسب الشهر'!$C$637:$AD$746,18,FALSE),0)</f>
        <v>0</v>
      </c>
      <c r="J130" s="362">
        <f>IFERROR(VLOOKUP(C130,'تقرير المصروفات حسب الشهر'!$C$763:$AD$872,18,FALSE),0)</f>
        <v>0</v>
      </c>
      <c r="K130" s="362">
        <f>IFERROR(VLOOKUP(C130,'تقرير المصروفات حسب الشهر'!$C$890:$AD$999,18,FALSE),0)</f>
        <v>0</v>
      </c>
      <c r="L130" s="362">
        <f>IFERROR(VLOOKUP(C130,'تقرير المصروفات حسب الشهر'!$C$1016:$AD$1126,18,FALSE),0)</f>
        <v>0</v>
      </c>
      <c r="M130" s="376">
        <f>IFERROR(VLOOKUP(C130,'تقرير المصروفات حسب الشهر'!$C$1143:$AD$1254,18,FALSE),0)</f>
        <v>0</v>
      </c>
      <c r="N130" s="376">
        <f>IFERROR(VLOOKUP(C130,'تقرير المصروفات حسب الشهر'!$C$1270:$AD$1381,18,FALSE),0)</f>
        <v>0</v>
      </c>
      <c r="O130" s="376">
        <f>IFERROR(VLOOKUP(C130,'تقرير المصروفات حسب الشهر'!$C$1397:$AI$1512,18,FALSE),0)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الشهر'!$C$10:$AD$119,18,FALSE),0)</f>
        <v>0</v>
      </c>
      <c r="E131" s="362">
        <f>IFERROR(VLOOKUP(C131,'تقرير المصروفات حسب الشهر'!$C$135:$AD$244,18,FALSE),0)</f>
        <v>0</v>
      </c>
      <c r="F131" s="362">
        <f>IFERROR(VLOOKUP(C131,'تقرير المصروفات حسب الشهر'!$C$261:$AD$368,18,FALSE),0)</f>
        <v>0</v>
      </c>
      <c r="G131" s="362">
        <f>IFERROR(VLOOKUP(C131,'تقرير المصروفات حسب الشهر'!$C$387:$AD$495,18,FALSE),0)</f>
        <v>0</v>
      </c>
      <c r="H131" s="362">
        <f>IFERROR(VLOOKUP(C131,'تقرير المصروفات حسب الشهر'!$C$512:$AD$620,18,FALSE),0)</f>
        <v>0</v>
      </c>
      <c r="I131" s="362">
        <f>IFERROR(VLOOKUP(C131,'تقرير المصروفات حسب الشهر'!$C$637:$AD$746,18,FALSE),0)</f>
        <v>0</v>
      </c>
      <c r="J131" s="362">
        <f>IFERROR(VLOOKUP(C131,'تقرير المصروفات حسب الشهر'!$C$763:$AD$872,18,FALSE),0)</f>
        <v>0</v>
      </c>
      <c r="K131" s="362">
        <f>IFERROR(VLOOKUP(C131,'تقرير المصروفات حسب الشهر'!$C$890:$AD$999,18,FALSE),0)</f>
        <v>0</v>
      </c>
      <c r="L131" s="362">
        <f>IFERROR(VLOOKUP(C131,'تقرير المصروفات حسب الشهر'!$C$1016:$AD$1126,18,FALSE),0)</f>
        <v>0</v>
      </c>
      <c r="M131" s="376">
        <f>IFERROR(VLOOKUP(C131,'تقرير المصروفات حسب الشهر'!$C$1143:$AD$1254,18,FALSE),0)</f>
        <v>0</v>
      </c>
      <c r="N131" s="376">
        <f>IFERROR(VLOOKUP(C131,'تقرير المصروفات حسب الشهر'!$C$1270:$AD$1381,18,FALSE),0)</f>
        <v>0</v>
      </c>
      <c r="O131" s="376">
        <f>IFERROR(VLOOKUP(C131,'تقرير المصروفات حسب الشهر'!$C$1397:$AI$1512,18,FALSE),0)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10628.91</v>
      </c>
      <c r="E132" s="146">
        <f t="shared" si="7"/>
        <v>17650.11</v>
      </c>
      <c r="F132" s="146">
        <f t="shared" si="7"/>
        <v>15954.91</v>
      </c>
      <c r="G132" s="146">
        <f t="shared" si="7"/>
        <v>13540.11</v>
      </c>
      <c r="H132" s="146">
        <f t="shared" si="7"/>
        <v>24699.239999999998</v>
      </c>
      <c r="I132" s="146">
        <f t="shared" si="7"/>
        <v>21767.620000000003</v>
      </c>
      <c r="J132" s="146">
        <f t="shared" si="7"/>
        <v>17974.239999999998</v>
      </c>
      <c r="K132" s="146">
        <f t="shared" si="7"/>
        <v>31644.519999999997</v>
      </c>
      <c r="L132" s="146">
        <f t="shared" si="7"/>
        <v>36971.839999999997</v>
      </c>
      <c r="M132" s="146">
        <f t="shared" si="7"/>
        <v>32106.84</v>
      </c>
      <c r="N132" s="146">
        <f t="shared" si="7"/>
        <v>35996.32</v>
      </c>
      <c r="O132" s="146">
        <f t="shared" si="7"/>
        <v>35053.25</v>
      </c>
      <c r="P132" s="388">
        <f t="shared" si="6"/>
        <v>293987.90999999997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34969.97</v>
      </c>
      <c r="E134" s="392">
        <f t="shared" si="8"/>
        <v>29026.859999999986</v>
      </c>
      <c r="F134" s="392">
        <f t="shared" si="8"/>
        <v>38224.299999999988</v>
      </c>
      <c r="G134" s="392">
        <f t="shared" si="8"/>
        <v>61308.81</v>
      </c>
      <c r="H134" s="392">
        <f t="shared" si="8"/>
        <v>65866.389999999956</v>
      </c>
      <c r="I134" s="392">
        <f t="shared" si="8"/>
        <v>41181.26999999996</v>
      </c>
      <c r="J134" s="392">
        <f t="shared" si="8"/>
        <v>51634.889999999985</v>
      </c>
      <c r="K134" s="392">
        <f t="shared" si="8"/>
        <v>69226.06</v>
      </c>
      <c r="L134" s="392">
        <f t="shared" si="8"/>
        <v>44216.159999999974</v>
      </c>
      <c r="M134" s="392">
        <f t="shared" si="8"/>
        <v>55507.349999999977</v>
      </c>
      <c r="N134" s="392">
        <f t="shared" si="8"/>
        <v>102010.37</v>
      </c>
      <c r="O134" s="392">
        <f t="shared" si="8"/>
        <v>41236.999999999978</v>
      </c>
      <c r="P134" s="388">
        <f t="shared" si="6"/>
        <v>634409.42999999982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24341.06</v>
      </c>
      <c r="E137" s="383">
        <f t="shared" ref="E137:O137" si="9">E134-E132</f>
        <v>11376.749999999985</v>
      </c>
      <c r="F137" s="383">
        <f t="shared" si="9"/>
        <v>22269.389999999989</v>
      </c>
      <c r="G137" s="383">
        <f t="shared" si="9"/>
        <v>47768.7</v>
      </c>
      <c r="H137" s="383">
        <f t="shared" si="9"/>
        <v>41167.149999999958</v>
      </c>
      <c r="I137" s="383">
        <f t="shared" si="9"/>
        <v>19413.649999999958</v>
      </c>
      <c r="J137" s="383">
        <f t="shared" si="9"/>
        <v>33660.649999999987</v>
      </c>
      <c r="K137" s="383">
        <f t="shared" si="9"/>
        <v>37581.54</v>
      </c>
      <c r="L137" s="383">
        <f t="shared" si="9"/>
        <v>7244.3199999999779</v>
      </c>
      <c r="M137" s="383">
        <f t="shared" si="9"/>
        <v>23400.509999999977</v>
      </c>
      <c r="N137" s="383">
        <f t="shared" si="9"/>
        <v>66014.049999999988</v>
      </c>
      <c r="O137" s="383">
        <f t="shared" si="9"/>
        <v>6183.7499999999782</v>
      </c>
      <c r="P137" s="387">
        <f>SUM(D137:O137)</f>
        <v>340421.51999999984</v>
      </c>
      <c r="Q137" s="238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G141" s="460">
        <f>47769.7-G137</f>
        <v>1</v>
      </c>
      <c r="K141" s="459">
        <f>37581.54-K137</f>
        <v>0</v>
      </c>
    </row>
    <row r="143" spans="1:17">
      <c r="N143" s="238">
        <f>N137-79399.24</f>
        <v>-13385.190000000017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44">
    <tabColor rgb="FFFFC000"/>
  </sheetPr>
  <dimension ref="A1:T140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343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176</v>
      </c>
      <c r="B8" s="390"/>
      <c r="C8" s="369" t="s">
        <v>114</v>
      </c>
      <c r="D8" s="364">
        <f>D9+D10+D11</f>
        <v>423458.49</v>
      </c>
      <c r="E8" s="364">
        <f t="shared" ref="E8:O8" si="0">E9+E10+E11</f>
        <v>374247.56</v>
      </c>
      <c r="F8" s="364">
        <f t="shared" si="0"/>
        <v>411854.75</v>
      </c>
      <c r="G8" s="364">
        <f t="shared" si="0"/>
        <v>396928.38999999996</v>
      </c>
      <c r="H8" s="364">
        <f t="shared" si="0"/>
        <v>439617.89</v>
      </c>
      <c r="I8" s="364">
        <f t="shared" si="0"/>
        <v>483893.09</v>
      </c>
      <c r="J8" s="364">
        <f t="shared" si="0"/>
        <v>448363.11</v>
      </c>
      <c r="K8" s="364">
        <f t="shared" si="0"/>
        <v>522923.01999999996</v>
      </c>
      <c r="L8" s="364">
        <f t="shared" si="0"/>
        <v>511756.53</v>
      </c>
      <c r="M8" s="364">
        <f t="shared" si="0"/>
        <v>533129.63</v>
      </c>
      <c r="N8" s="364">
        <f t="shared" si="0"/>
        <v>562262.62</v>
      </c>
      <c r="O8" s="364">
        <f t="shared" si="0"/>
        <v>539742.19000000006</v>
      </c>
      <c r="P8" s="364">
        <f>SUM(D8:O8)</f>
        <v>5648177.2700000005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96664.060000000012</v>
      </c>
      <c r="E9" s="365">
        <f>VLOOKUP($A$8,'تقرير إحصائية بحجم المبيعات'!$B$42:$G$73,2,FALSE)</f>
        <v>64549.090000000026</v>
      </c>
      <c r="F9" s="365">
        <f>VLOOKUP($A$8,'تقرير إحصائية بحجم المبيعات'!$B$78:$E$103,2,FALSE)</f>
        <v>52193.719999999972</v>
      </c>
      <c r="G9" s="365">
        <f>VLOOKUP($A$8,'تقرير إحصائية بحجم المبيعات'!$B$112:$G$137,2,FALSE)</f>
        <v>58396.809999999961</v>
      </c>
      <c r="H9" s="365">
        <f>VLOOKUP($A$8,'تقرير إحصائية بحجم المبيعات'!$B$147:$G$177,2,FALSE)</f>
        <v>67718</v>
      </c>
      <c r="I9" s="365">
        <f>VLOOKUP($A$8,'تقرير إحصائية بحجم المبيعات'!$B$182:$G$212,2,FALSE)</f>
        <v>96460.990000000049</v>
      </c>
      <c r="J9" s="365">
        <f>VLOOKUP($A$8,'تقرير إحصائية بحجم المبيعات'!$B$217:$L$243,2,FALSE)</f>
        <v>73041.829999999958</v>
      </c>
      <c r="K9" s="365">
        <f>VLOOKUP($A$8,'تقرير إحصائية بحجم المبيعات'!$B$252:$L$278,2,FALSE)</f>
        <v>151698.63999999996</v>
      </c>
      <c r="L9" s="365">
        <f>VLOOKUP($A$8,'تقرير إحصائية بحجم المبيعات'!$B$287:$L$313,2,FALSE)</f>
        <v>75831.860000000044</v>
      </c>
      <c r="M9" s="365">
        <f>VLOOKUP($A$8,'تقرير إحصائية بحجم المبيعات'!$B$322:$L$349,2,FALSE)</f>
        <v>103501.26000000001</v>
      </c>
      <c r="N9" s="365">
        <f>VLOOKUP($A$8,'تقرير إحصائية بحجم المبيعات'!$B$357:$L$383,2,FALSE)</f>
        <v>91639.349999999977</v>
      </c>
      <c r="O9" s="365">
        <f>VLOOKUP($A$8,'تقرير إحصائية بحجم المبيعات'!$B$391:$L$420,2,FALSE)</f>
        <v>125903.56000000006</v>
      </c>
      <c r="P9" s="364">
        <f t="shared" ref="P9:P18" si="1">SUM(D9:O9)</f>
        <v>1057599.17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المبيعات'!$B$322:$L$349,3,FALSE)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326794.43</v>
      </c>
      <c r="E11" s="365">
        <f>VLOOKUP($A$8,'تقرير إحصائية بحجم المبيعات'!$B$42:$G$73,4,FALSE)</f>
        <v>309698.46999999997</v>
      </c>
      <c r="F11" s="365">
        <f>VLOOKUP($A$8,'تقرير إحصائية بحجم المبيعات'!$B$78:$E$103,4,FALSE)</f>
        <v>359661.03</v>
      </c>
      <c r="G11" s="365">
        <f>VLOOKUP($A$8,'تقرير إحصائية بحجم المبيعات'!$B$112:$G$137,4,FALSE)</f>
        <v>338531.58</v>
      </c>
      <c r="H11" s="365">
        <f>VLOOKUP($A$8,'تقرير إحصائية بحجم المبيعات'!$B$147:$G$177,4,FALSE)</f>
        <v>371899.89</v>
      </c>
      <c r="I11" s="365">
        <f>VLOOKUP($A$8,'تقرير إحصائية بحجم المبيعات'!$B$182:$G$212,4,FALSE)</f>
        <v>387432.1</v>
      </c>
      <c r="J11" s="365">
        <f>VLOOKUP($A$8,'تقرير إحصائية بحجم المبيعات'!$B$217:$L$243,4,FALSE)</f>
        <v>375321.28</v>
      </c>
      <c r="K11" s="365">
        <f>VLOOKUP($A$8,'تقرير إحصائية بحجم المبيعات'!$B$252:$L$278,4,FALSE)</f>
        <v>371224.38</v>
      </c>
      <c r="L11" s="365">
        <f>VLOOKUP($A$8,'تقرير إحصائية بحجم المبيعات'!$B$287:$L$313,4,FALSE)</f>
        <v>435924.67</v>
      </c>
      <c r="M11" s="365">
        <f>VLOOKUP($A$8,'تقرير إحصائية بحجم المبيعات'!$B$322:$L$349,4,FALSE)</f>
        <v>429628.37</v>
      </c>
      <c r="N11" s="365">
        <f>VLOOKUP($A$8,'تقرير إحصائية بحجم المبيعات'!$B$357:$L$383,4,FALSE)</f>
        <v>470623.27</v>
      </c>
      <c r="O11" s="365">
        <f>VLOOKUP($A$8,'تقرير إحصائية بحجم المبيعات'!$B$391:$L$420,4,FALSE)</f>
        <v>413838.63</v>
      </c>
      <c r="P11" s="364">
        <f t="shared" si="1"/>
        <v>4590578.1000000006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358880.97</v>
      </c>
      <c r="E12" s="364">
        <f>VLOOKUP($A$8,'تقرير إحصائية بحجم المبيعات'!$B$42:$L$73,11,FALSE)</f>
        <v>323936.90999999997</v>
      </c>
      <c r="F12" s="364">
        <f>VLOOKUP($A$8,'تقرير إحصائية بحجم المبيعات'!$B$78:$L$103,11,FALSE)</f>
        <v>357142.31</v>
      </c>
      <c r="G12" s="364">
        <f>VLOOKUP($A$8,'تقرير إحصائية بحجم المبيعات'!$B$112:$L$137,11,FALSE)</f>
        <v>340590.05</v>
      </c>
      <c r="H12" s="364">
        <f>VLOOKUP($A$8,'تقرير إحصائية بحجم المبيعات'!$B$147:$L$177,11,FALSE)</f>
        <v>375162.16</v>
      </c>
      <c r="I12" s="364">
        <f>VLOOKUP($A$8,'تقرير إحصائية بحجم المبيعات'!$B$182:$L$212,11,FALSE)</f>
        <v>406182.22</v>
      </c>
      <c r="J12" s="365">
        <f>VLOOKUP($A$8,'تقرير إحصائية بحجم المبيعات'!$B$217:$L$243,11,FALSE)</f>
        <v>375586.51</v>
      </c>
      <c r="K12" s="364">
        <f>VLOOKUP($A$8,'تقرير إحصائية بحجم المبيعات'!$B$252:$L$278,11,FALSE)</f>
        <v>451023.72</v>
      </c>
      <c r="L12" s="364">
        <f>VLOOKUP($A$8,'تقرير إحصائية بحجم المبيعات'!$B$287:$L$313,11,FALSE)</f>
        <v>418421.53</v>
      </c>
      <c r="M12" s="365">
        <f>VLOOKUP($A$8,'تقرير إحصائية بحجم المبيعات'!$B$322:$L$349,11,FALSE)</f>
        <v>449048.99</v>
      </c>
      <c r="N12" s="365">
        <f>VLOOKUP($A$8,'تقرير إحصائية بحجم المبيعات'!$B$357:$L$383,11,FALSE)</f>
        <v>473045.86</v>
      </c>
      <c r="O12" s="365">
        <f>VLOOKUP($A$8,'تقرير إحصائية بحجم المبيعات'!$B$391:$L$420,11,FALSE)</f>
        <v>457681.83</v>
      </c>
      <c r="P12" s="364">
        <f t="shared" si="1"/>
        <v>4786703.0600000005</v>
      </c>
    </row>
    <row r="13" spans="1:20" ht="18" customHeight="1">
      <c r="B13" s="124"/>
      <c r="C13" s="371" t="s">
        <v>14</v>
      </c>
      <c r="D13" s="366">
        <f t="shared" ref="D13:O13" si="2">D8-D12</f>
        <v>64577.520000000019</v>
      </c>
      <c r="E13" s="366">
        <f t="shared" si="2"/>
        <v>50310.650000000023</v>
      </c>
      <c r="F13" s="366">
        <f t="shared" si="2"/>
        <v>54712.44</v>
      </c>
      <c r="G13" s="366">
        <f t="shared" si="2"/>
        <v>56338.339999999967</v>
      </c>
      <c r="H13" s="366">
        <f t="shared" si="2"/>
        <v>64455.73000000004</v>
      </c>
      <c r="I13" s="366">
        <f t="shared" si="2"/>
        <v>77710.870000000054</v>
      </c>
      <c r="J13" s="366">
        <f t="shared" si="2"/>
        <v>72776.599999999977</v>
      </c>
      <c r="K13" s="366">
        <f t="shared" si="2"/>
        <v>71899.299999999988</v>
      </c>
      <c r="L13" s="366">
        <f t="shared" si="2"/>
        <v>93335</v>
      </c>
      <c r="M13" s="366">
        <f t="shared" si="2"/>
        <v>84080.640000000014</v>
      </c>
      <c r="N13" s="366">
        <f t="shared" si="2"/>
        <v>89216.760000000009</v>
      </c>
      <c r="O13" s="366">
        <f t="shared" si="2"/>
        <v>82060.360000000044</v>
      </c>
      <c r="P13" s="366">
        <f t="shared" si="1"/>
        <v>861474.2100000002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>
        <v>32011.010000000002</v>
      </c>
      <c r="I16" s="367"/>
      <c r="J16" s="367"/>
      <c r="K16" s="367"/>
      <c r="L16" s="367"/>
      <c r="M16" s="367"/>
      <c r="N16" s="367">
        <v>50039.96</v>
      </c>
      <c r="O16" s="367"/>
      <c r="P16" s="364">
        <f t="shared" si="1"/>
        <v>82050.97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32011.010000000002</v>
      </c>
      <c r="I18" s="363">
        <f t="shared" si="3"/>
        <v>0</v>
      </c>
      <c r="J18" s="363">
        <f t="shared" si="3"/>
        <v>0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 t="shared" si="3"/>
        <v>50039.96</v>
      </c>
      <c r="O18" s="368">
        <f t="shared" si="3"/>
        <v>0</v>
      </c>
      <c r="P18" s="364">
        <f t="shared" si="1"/>
        <v>82050.97</v>
      </c>
    </row>
    <row r="19" spans="2:16" ht="18" customHeight="1">
      <c r="B19" s="124"/>
      <c r="C19" s="386" t="s">
        <v>14</v>
      </c>
      <c r="D19" s="374">
        <f t="shared" ref="D19:O19" si="4">D13+D18</f>
        <v>64577.520000000019</v>
      </c>
      <c r="E19" s="374">
        <f t="shared" si="4"/>
        <v>50310.650000000023</v>
      </c>
      <c r="F19" s="374">
        <f t="shared" si="4"/>
        <v>54712.44</v>
      </c>
      <c r="G19" s="374">
        <f t="shared" si="4"/>
        <v>56338.339999999967</v>
      </c>
      <c r="H19" s="374">
        <f t="shared" si="4"/>
        <v>96466.740000000049</v>
      </c>
      <c r="I19" s="374">
        <f t="shared" si="4"/>
        <v>77710.870000000054</v>
      </c>
      <c r="J19" s="374">
        <f t="shared" si="4"/>
        <v>72776.599999999977</v>
      </c>
      <c r="K19" s="374">
        <f t="shared" si="4"/>
        <v>71899.299999999988</v>
      </c>
      <c r="L19" s="374">
        <f t="shared" si="4"/>
        <v>93335</v>
      </c>
      <c r="M19" s="374">
        <f t="shared" si="4"/>
        <v>84080.640000000014</v>
      </c>
      <c r="N19" s="374">
        <f t="shared" si="4"/>
        <v>139256.72</v>
      </c>
      <c r="O19" s="374">
        <f t="shared" si="4"/>
        <v>82060.360000000044</v>
      </c>
      <c r="P19" s="382">
        <f>SUM(D19:O19)</f>
        <v>943525.18000000017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الشهر'!$C$10:$AD$119,19,FALSE),0)</f>
        <v>0</v>
      </c>
      <c r="E22" s="362">
        <f>IFERROR(VLOOKUP(C22,'تقرير المصروفات حسب الشهر'!$C$135:$AD$244,19,FALSE),0)</f>
        <v>0</v>
      </c>
      <c r="F22" s="362">
        <f>IFERROR(VLOOKUP(C22,'تقرير المصروفات حسب الشهر'!$C$261:$AD$368,19,FALSE),0)</f>
        <v>0</v>
      </c>
      <c r="G22" s="362">
        <f>IFERROR(VLOOKUP(C22,'تقرير المصروفات حسب الشهر'!$C$387:$AD$495,19,FALSE),0)</f>
        <v>0</v>
      </c>
      <c r="H22" s="362">
        <f>IFERROR(VLOOKUP(C22,'تقرير المصروفات حسب الشهر'!$C$512:$AD$620,19,FALSE),0)</f>
        <v>0</v>
      </c>
      <c r="I22" s="362">
        <f>IFERROR(VLOOKUP(C22,'تقرير المصروفات حسب الشهر'!$C$637:$AD$746,19,FALSE),0)</f>
        <v>0</v>
      </c>
      <c r="J22" s="362">
        <f>IFERROR(VLOOKUP(C22,'تقرير المصروفات حسب الشهر'!$C$763:$AD$872,19,FALSE),0)</f>
        <v>0</v>
      </c>
      <c r="K22" s="362">
        <f>IFERROR(VLOOKUP(C22,'تقرير المصروفات حسب الشهر'!$C$890:$AD$999,19,FALSE),0)</f>
        <v>0</v>
      </c>
      <c r="L22" s="362">
        <f>IFERROR(VLOOKUP(C22,'تقرير المصروفات حسب الشهر'!$C$1016:$AD$1126,19,FALSE),0)</f>
        <v>0</v>
      </c>
      <c r="M22" s="376">
        <f>IFERROR(VLOOKUP(C22,'تقرير المصروفات حسب الشهر'!$C$1143:$AD$1254,19,FALSE),0)</f>
        <v>0</v>
      </c>
      <c r="N22" s="376">
        <f>IFERROR(VLOOKUP(C22,'تقرير المصروفات حسب الشهر'!$C$1270:$AD$1381,19,FALSE),0)</f>
        <v>0</v>
      </c>
      <c r="O22" s="376">
        <f>IFERROR(VLOOKUP(C22,'تقرير المصروفات حسب الشهر'!$C$1397:$AI$1512,19,FALSE),0)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الشهر'!$C$10:$AD$119,19,FALSE),0)</f>
        <v>15832.259999999998</v>
      </c>
      <c r="E23" s="362">
        <f>IFERROR(VLOOKUP(C23,'تقرير المصروفات حسب الشهر'!$C$135:$AD$244,19,FALSE),0)</f>
        <v>15327.43</v>
      </c>
      <c r="F23" s="362">
        <f>IFERROR(VLOOKUP(C23,'تقرير المصروفات حسب الشهر'!$C$261:$AD$368,19,FALSE),0)</f>
        <v>15868.93</v>
      </c>
      <c r="G23" s="362">
        <f>IFERROR(VLOOKUP(C23,'تقرير المصروفات حسب الشهر'!$C$387:$AD$495,19,FALSE),0)</f>
        <v>15961.779999999999</v>
      </c>
      <c r="H23" s="362">
        <f>IFERROR(VLOOKUP(C23,'تقرير المصروفات حسب الشهر'!$C$512:$AD$620,19,FALSE),0)</f>
        <v>17737.420000000002</v>
      </c>
      <c r="I23" s="362">
        <f>IFERROR(VLOOKUP(C23,'تقرير المصروفات حسب الشهر'!$C$637:$AD$746,19,FALSE),0)</f>
        <v>21376.35</v>
      </c>
      <c r="J23" s="362">
        <f>IFERROR(VLOOKUP(C23,'تقرير المصروفات حسب الشهر'!$C$763:$AD$872,19,FALSE),0)</f>
        <v>23163.050000000003</v>
      </c>
      <c r="K23" s="362">
        <f>IFERROR(VLOOKUP(C23,'تقرير المصروفات حسب الشهر'!$C$890:$AD$999,19,FALSE),0)</f>
        <v>22061.1</v>
      </c>
      <c r="L23" s="362">
        <f>IFERROR(VLOOKUP(C23,'تقرير المصروفات حسب الشهر'!$C$1016:$AD$1126,19,FALSE),0)</f>
        <v>18809.699999999997</v>
      </c>
      <c r="M23" s="376">
        <f>IFERROR(VLOOKUP(C23,'تقرير المصروفات حسب الشهر'!$C$1143:$AD$1254,19,FALSE),0)</f>
        <v>23519.41</v>
      </c>
      <c r="N23" s="376">
        <f>IFERROR(VLOOKUP(C23,'تقرير المصروفات حسب الشهر'!$C$1270:$AD$1381,19,FALSE),0)</f>
        <v>23346.2</v>
      </c>
      <c r="O23" s="376">
        <f>IFERROR(VLOOKUP(C23,'تقرير المصروفات حسب الشهر'!$C$1397:$AI$1512,19,FALSE),0)</f>
        <v>19869.010000000002</v>
      </c>
      <c r="P23" s="364">
        <f t="shared" ref="P23:P86" si="5">SUM(D23:O23)</f>
        <v>232872.63999999998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الشهر'!$C$10:$AD$119,19,FALSE),0)</f>
        <v>0</v>
      </c>
      <c r="E24" s="362">
        <f>IFERROR(VLOOKUP(C24,'تقرير المصروفات حسب الشهر'!$C$135:$AD$244,19,FALSE),0)</f>
        <v>0</v>
      </c>
      <c r="F24" s="362">
        <f>IFERROR(VLOOKUP(C24,'تقرير المصروفات حسب الشهر'!$C$261:$AD$368,19,FALSE),0)</f>
        <v>0</v>
      </c>
      <c r="G24" s="362">
        <f>IFERROR(VLOOKUP(C24,'تقرير المصروفات حسب الشهر'!$C$387:$AD$495,19,FALSE),0)</f>
        <v>0</v>
      </c>
      <c r="H24" s="362">
        <f>IFERROR(VLOOKUP(C24,'تقرير المصروفات حسب الشهر'!$C$512:$AD$620,19,FALSE),0)</f>
        <v>0</v>
      </c>
      <c r="I24" s="362">
        <f>IFERROR(VLOOKUP(C24,'تقرير المصروفات حسب الشهر'!$C$637:$AD$746,19,FALSE),0)</f>
        <v>0</v>
      </c>
      <c r="J24" s="362">
        <f>IFERROR(VLOOKUP(C24,'تقرير المصروفات حسب الشهر'!$C$763:$AD$872,19,FALSE),0)</f>
        <v>0</v>
      </c>
      <c r="K24" s="362">
        <f>IFERROR(VLOOKUP(C24,'تقرير المصروفات حسب الشهر'!$C$890:$AD$999,19,FALSE),0)</f>
        <v>0</v>
      </c>
      <c r="L24" s="362">
        <f>IFERROR(VLOOKUP(C24,'تقرير المصروفات حسب الشهر'!$C$1016:$AD$1126,19,FALSE),0)</f>
        <v>0</v>
      </c>
      <c r="M24" s="376">
        <f>IFERROR(VLOOKUP(C24,'تقرير المصروفات حسب الشهر'!$C$1143:$AD$1254,19,FALSE),0)</f>
        <v>0</v>
      </c>
      <c r="N24" s="376">
        <f>IFERROR(VLOOKUP(C24,'تقرير المصروفات حسب الشهر'!$C$1270:$AD$1381,19,FALSE),0)</f>
        <v>0</v>
      </c>
      <c r="O24" s="376">
        <f>IFERROR(VLOOKUP(C24,'تقرير المصروفات حسب الشهر'!$C$1397:$AI$1512,19,FALSE),0)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الشهر'!$C$10:$AD$119,19,FALSE),0)</f>
        <v>0</v>
      </c>
      <c r="E25" s="362">
        <f>IFERROR(VLOOKUP(C25,'تقرير المصروفات حسب الشهر'!$C$135:$AD$244,19,FALSE),0)</f>
        <v>0</v>
      </c>
      <c r="F25" s="362">
        <f>IFERROR(VLOOKUP(C25,'تقرير المصروفات حسب الشهر'!$C$261:$AD$368,19,FALSE),0)</f>
        <v>0</v>
      </c>
      <c r="G25" s="362">
        <f>IFERROR(VLOOKUP(C25,'تقرير المصروفات حسب الشهر'!$C$387:$AD$495,19,FALSE),0)</f>
        <v>0</v>
      </c>
      <c r="H25" s="362">
        <f>IFERROR(VLOOKUP(C25,'تقرير المصروفات حسب الشهر'!$C$512:$AD$620,19,FALSE),0)</f>
        <v>0</v>
      </c>
      <c r="I25" s="362">
        <f>IFERROR(VLOOKUP(C25,'تقرير المصروفات حسب الشهر'!$C$637:$AD$746,19,FALSE),0)</f>
        <v>0</v>
      </c>
      <c r="J25" s="362">
        <f>IFERROR(VLOOKUP(C25,'تقرير المصروفات حسب الشهر'!$C$763:$AD$872,19,FALSE),0)</f>
        <v>0</v>
      </c>
      <c r="K25" s="362">
        <f>IFERROR(VLOOKUP(C25,'تقرير المصروفات حسب الشهر'!$C$890:$AD$999,19,FALSE),0)</f>
        <v>0</v>
      </c>
      <c r="L25" s="362">
        <f>IFERROR(VLOOKUP(C25,'تقرير المصروفات حسب الشهر'!$C$1016:$AD$1126,19,FALSE),0)</f>
        <v>0</v>
      </c>
      <c r="M25" s="376">
        <f>IFERROR(VLOOKUP(C25,'تقرير المصروفات حسب الشهر'!$C$1143:$AD$1254,19,FALSE),0)</f>
        <v>0</v>
      </c>
      <c r="N25" s="376">
        <f>IFERROR(VLOOKUP(C25,'تقرير المصروفات حسب الشهر'!$C$1270:$AD$1381,19,FALSE),0)</f>
        <v>0</v>
      </c>
      <c r="O25" s="376">
        <f>IFERROR(VLOOKUP(C25,'تقرير المصروفات حسب الشهر'!$C$1397:$AI$1512,19,FALSE),0)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الشهر'!$C$10:$AD$119,19,FALSE),0)</f>
        <v>0</v>
      </c>
      <c r="E26" s="362">
        <f>IFERROR(VLOOKUP(C26,'تقرير المصروفات حسب الشهر'!$C$135:$AD$244,19,FALSE),0)</f>
        <v>0</v>
      </c>
      <c r="F26" s="362">
        <f>IFERROR(VLOOKUP(C26,'تقرير المصروفات حسب الشهر'!$C$261:$AD$368,19,FALSE),0)</f>
        <v>0</v>
      </c>
      <c r="G26" s="362">
        <f>IFERROR(VLOOKUP(C26,'تقرير المصروفات حسب الشهر'!$C$387:$AD$495,19,FALSE),0)</f>
        <v>0</v>
      </c>
      <c r="H26" s="362">
        <f>IFERROR(VLOOKUP(C26,'تقرير المصروفات حسب الشهر'!$C$512:$AD$620,19,FALSE),0)</f>
        <v>0</v>
      </c>
      <c r="I26" s="362">
        <f>IFERROR(VLOOKUP(C26,'تقرير المصروفات حسب الشهر'!$C$637:$AD$746,19,FALSE),0)</f>
        <v>0</v>
      </c>
      <c r="J26" s="362">
        <f>IFERROR(VLOOKUP(C26,'تقرير المصروفات حسب الشهر'!$C$763:$AD$872,19,FALSE),0)</f>
        <v>0</v>
      </c>
      <c r="K26" s="362">
        <f>IFERROR(VLOOKUP(C26,'تقرير المصروفات حسب الشهر'!$C$890:$AD$999,19,FALSE),0)</f>
        <v>0</v>
      </c>
      <c r="L26" s="362">
        <f>IFERROR(VLOOKUP(C26,'تقرير المصروفات حسب الشهر'!$C$1016:$AD$1126,19,FALSE),0)</f>
        <v>0</v>
      </c>
      <c r="M26" s="376">
        <f>IFERROR(VLOOKUP(C26,'تقرير المصروفات حسب الشهر'!$C$1143:$AD$1254,19,FALSE),0)</f>
        <v>0</v>
      </c>
      <c r="N26" s="376">
        <f>IFERROR(VLOOKUP(C26,'تقرير المصروفات حسب الشهر'!$C$1270:$AD$1381,19,FALSE),0)</f>
        <v>0</v>
      </c>
      <c r="O26" s="376">
        <f>IFERROR(VLOOKUP(C26,'تقرير المصروفات حسب الشهر'!$C$1397:$AI$1512,19,FALSE),0)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الشهر'!$C$10:$AD$119,19,FALSE),0)</f>
        <v>0</v>
      </c>
      <c r="E27" s="362">
        <f>IFERROR(VLOOKUP(C27,'تقرير المصروفات حسب الشهر'!$C$135:$AD$244,19,FALSE),0)</f>
        <v>0</v>
      </c>
      <c r="F27" s="362">
        <f>IFERROR(VLOOKUP(C27,'تقرير المصروفات حسب الشهر'!$C$261:$AD$368,19,FALSE),0)</f>
        <v>0</v>
      </c>
      <c r="G27" s="362">
        <f>IFERROR(VLOOKUP(C27,'تقرير المصروفات حسب الشهر'!$C$387:$AD$495,19,FALSE),0)</f>
        <v>0</v>
      </c>
      <c r="H27" s="362">
        <f>IFERROR(VLOOKUP(C27,'تقرير المصروفات حسب الشهر'!$C$512:$AD$620,19,FALSE),0)</f>
        <v>0</v>
      </c>
      <c r="I27" s="362">
        <f>IFERROR(VLOOKUP(C27,'تقرير المصروفات حسب الشهر'!$C$637:$AD$746,19,FALSE),0)</f>
        <v>0</v>
      </c>
      <c r="J27" s="362">
        <f>IFERROR(VLOOKUP(C27,'تقرير المصروفات حسب الشهر'!$C$763:$AD$872,19,FALSE),0)</f>
        <v>0</v>
      </c>
      <c r="K27" s="362">
        <f>IFERROR(VLOOKUP(C27,'تقرير المصروفات حسب الشهر'!$C$890:$AD$999,19,FALSE),0)</f>
        <v>0</v>
      </c>
      <c r="L27" s="362">
        <f>IFERROR(VLOOKUP(C27,'تقرير المصروفات حسب الشهر'!$C$1016:$AD$1126,19,FALSE),0)</f>
        <v>0</v>
      </c>
      <c r="M27" s="376">
        <f>IFERROR(VLOOKUP(C27,'تقرير المصروفات حسب الشهر'!$C$1143:$AD$1254,19,FALSE),0)</f>
        <v>0</v>
      </c>
      <c r="N27" s="376">
        <f>IFERROR(VLOOKUP(C27,'تقرير المصروفات حسب الشهر'!$C$1270:$AD$1381,19,FALSE),0)</f>
        <v>0</v>
      </c>
      <c r="O27" s="376">
        <f>IFERROR(VLOOKUP(C27,'تقرير المصروفات حسب الشهر'!$C$1397:$AI$1512,19,FALSE),0)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الشهر'!$C$10:$AD$119,19,FALSE),0)</f>
        <v>0</v>
      </c>
      <c r="E28" s="362">
        <f>IFERROR(VLOOKUP(C28,'تقرير المصروفات حسب الشهر'!$C$135:$AD$244,19,FALSE),0)</f>
        <v>0</v>
      </c>
      <c r="F28" s="362">
        <f>IFERROR(VLOOKUP(C28,'تقرير المصروفات حسب الشهر'!$C$261:$AD$368,19,FALSE),0)</f>
        <v>0</v>
      </c>
      <c r="G28" s="362">
        <f>IFERROR(VLOOKUP(C28,'تقرير المصروفات حسب الشهر'!$C$387:$AD$495,19,FALSE),0)</f>
        <v>0</v>
      </c>
      <c r="H28" s="362">
        <f>IFERROR(VLOOKUP(C28,'تقرير المصروفات حسب الشهر'!$C$512:$AD$620,19,FALSE),0)</f>
        <v>0</v>
      </c>
      <c r="I28" s="362">
        <f>IFERROR(VLOOKUP(C28,'تقرير المصروفات حسب الشهر'!$C$637:$AD$746,19,FALSE),0)</f>
        <v>0</v>
      </c>
      <c r="J28" s="362">
        <f>IFERROR(VLOOKUP(C28,'تقرير المصروفات حسب الشهر'!$C$763:$AD$872,19,FALSE),0)</f>
        <v>0</v>
      </c>
      <c r="K28" s="362">
        <f>IFERROR(VLOOKUP(C28,'تقرير المصروفات حسب الشهر'!$C$890:$AD$999,19,FALSE),0)</f>
        <v>0</v>
      </c>
      <c r="L28" s="362">
        <f>IFERROR(VLOOKUP(C28,'تقرير المصروفات حسب الشهر'!$C$1016:$AD$1126,19,FALSE),0)</f>
        <v>0</v>
      </c>
      <c r="M28" s="376">
        <f>IFERROR(VLOOKUP(C28,'تقرير المصروفات حسب الشهر'!$C$1143:$AD$1254,19,FALSE),0)</f>
        <v>0</v>
      </c>
      <c r="N28" s="376">
        <f>IFERROR(VLOOKUP(C28,'تقرير المصروفات حسب الشهر'!$C$1270:$AD$1381,19,FALSE),0)</f>
        <v>0</v>
      </c>
      <c r="O28" s="376">
        <f>IFERROR(VLOOKUP(C28,'تقرير المصروفات حسب الشهر'!$C$1397:$AI$1512,19,FALSE),0)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الشهر'!$C$10:$AD$119,19,FALSE),0)</f>
        <v>0</v>
      </c>
      <c r="E29" s="362">
        <f>IFERROR(VLOOKUP(C29,'تقرير المصروفات حسب الشهر'!$C$135:$AD$244,19,FALSE),0)</f>
        <v>0</v>
      </c>
      <c r="F29" s="362">
        <f>IFERROR(VLOOKUP(C29,'تقرير المصروفات حسب الشهر'!$C$261:$AD$368,19,FALSE),0)</f>
        <v>0</v>
      </c>
      <c r="G29" s="362">
        <f>IFERROR(VLOOKUP(C29,'تقرير المصروفات حسب الشهر'!$C$387:$AD$495,19,FALSE),0)</f>
        <v>0</v>
      </c>
      <c r="H29" s="362">
        <f>IFERROR(VLOOKUP(C29,'تقرير المصروفات حسب الشهر'!$C$512:$AD$620,19,FALSE),0)</f>
        <v>0</v>
      </c>
      <c r="I29" s="362">
        <f>IFERROR(VLOOKUP(C29,'تقرير المصروفات حسب الشهر'!$C$637:$AD$746,19,FALSE),0)</f>
        <v>0</v>
      </c>
      <c r="J29" s="362">
        <f>IFERROR(VLOOKUP(C29,'تقرير المصروفات حسب الشهر'!$C$763:$AD$872,19,FALSE),0)</f>
        <v>0</v>
      </c>
      <c r="K29" s="362">
        <f>IFERROR(VLOOKUP(C29,'تقرير المصروفات حسب الشهر'!$C$890:$AD$999,19,FALSE),0)</f>
        <v>0</v>
      </c>
      <c r="L29" s="362">
        <f>IFERROR(VLOOKUP(C29,'تقرير المصروفات حسب الشهر'!$C$1016:$AD$1126,19,FALSE),0)</f>
        <v>0</v>
      </c>
      <c r="M29" s="376">
        <f>IFERROR(VLOOKUP(C29,'تقرير المصروفات حسب الشهر'!$C$1143:$AD$1254,19,FALSE),0)</f>
        <v>0</v>
      </c>
      <c r="N29" s="376">
        <f>IFERROR(VLOOKUP(C29,'تقرير المصروفات حسب الشهر'!$C$1270:$AD$1381,19,FALSE),0)</f>
        <v>0</v>
      </c>
      <c r="O29" s="376">
        <f>IFERROR(VLOOKUP(C29,'تقرير المصروفات حسب الشهر'!$C$1397:$AI$1512,19,FALSE),0)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الشهر'!$C$10:$AD$119,19,FALSE),0)</f>
        <v>0</v>
      </c>
      <c r="E30" s="362">
        <f>IFERROR(VLOOKUP(C30,'تقرير المصروفات حسب الشهر'!$C$135:$AD$244,19,FALSE),0)</f>
        <v>0</v>
      </c>
      <c r="F30" s="362">
        <f>IFERROR(VLOOKUP(C30,'تقرير المصروفات حسب الشهر'!$C$261:$AD$368,19,FALSE),0)</f>
        <v>0</v>
      </c>
      <c r="G30" s="362">
        <f>IFERROR(VLOOKUP(C30,'تقرير المصروفات حسب الشهر'!$C$387:$AD$495,19,FALSE),0)</f>
        <v>0</v>
      </c>
      <c r="H30" s="362">
        <f>IFERROR(VLOOKUP(C30,'تقرير المصروفات حسب الشهر'!$C$512:$AD$620,19,FALSE),0)</f>
        <v>0</v>
      </c>
      <c r="I30" s="362">
        <f>IFERROR(VLOOKUP(C30,'تقرير المصروفات حسب الشهر'!$C$637:$AD$746,19,FALSE),0)</f>
        <v>0</v>
      </c>
      <c r="J30" s="362">
        <f>IFERROR(VLOOKUP(C30,'تقرير المصروفات حسب الشهر'!$C$763:$AD$872,19,FALSE),0)</f>
        <v>0</v>
      </c>
      <c r="K30" s="362">
        <f>IFERROR(VLOOKUP(C30,'تقرير المصروفات حسب الشهر'!$C$890:$AD$999,19,FALSE),0)</f>
        <v>0</v>
      </c>
      <c r="L30" s="362">
        <f>IFERROR(VLOOKUP(C30,'تقرير المصروفات حسب الشهر'!$C$1016:$AD$1126,19,FALSE),0)</f>
        <v>0</v>
      </c>
      <c r="M30" s="376">
        <f>IFERROR(VLOOKUP(C30,'تقرير المصروفات حسب الشهر'!$C$1143:$AD$1254,19,FALSE),0)</f>
        <v>0</v>
      </c>
      <c r="N30" s="376">
        <f>IFERROR(VLOOKUP(C30,'تقرير المصروفات حسب الشهر'!$C$1270:$AD$1381,19,FALSE),0)</f>
        <v>0</v>
      </c>
      <c r="O30" s="376">
        <f>IFERROR(VLOOKUP(C30,'تقرير المصروفات حسب الشهر'!$C$1397:$AI$1512,19,FALSE),0)</f>
        <v>0</v>
      </c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الشهر'!$C$10:$AD$119,19,FALSE),0)</f>
        <v>168.67</v>
      </c>
      <c r="E31" s="362">
        <f>IFERROR(VLOOKUP(C31,'تقرير المصروفات حسب الشهر'!$C$135:$AD$244,19,FALSE),0)</f>
        <v>168.67</v>
      </c>
      <c r="F31" s="362">
        <f>IFERROR(VLOOKUP(C31,'تقرير المصروفات حسب الشهر'!$C$261:$AD$368,19,FALSE),0)</f>
        <v>168.67</v>
      </c>
      <c r="G31" s="362">
        <f>IFERROR(VLOOKUP(C31,'تقرير المصروفات حسب الشهر'!$C$387:$AD$495,19,FALSE),0)</f>
        <v>168.67</v>
      </c>
      <c r="H31" s="362">
        <f>IFERROR(VLOOKUP(C31,'تقرير المصروفات حسب الشهر'!$C$512:$AD$620,19,FALSE),0)</f>
        <v>168.67</v>
      </c>
      <c r="I31" s="362">
        <f>IFERROR(VLOOKUP(C31,'تقرير المصروفات حسب الشهر'!$C$637:$AD$746,19,FALSE),0)</f>
        <v>168.67</v>
      </c>
      <c r="J31" s="362">
        <f>IFERROR(VLOOKUP(C31,'تقرير المصروفات حسب الشهر'!$C$763:$AD$872,19,FALSE),0)</f>
        <v>168.67</v>
      </c>
      <c r="K31" s="362">
        <f>IFERROR(VLOOKUP(C31,'تقرير المصروفات حسب الشهر'!$C$890:$AD$999,19,FALSE),0)</f>
        <v>168.67</v>
      </c>
      <c r="L31" s="362">
        <f>IFERROR(VLOOKUP(C31,'تقرير المصروفات حسب الشهر'!$C$1016:$AD$1126,19,FALSE),0)</f>
        <v>168.67</v>
      </c>
      <c r="M31" s="376">
        <f>IFERROR(VLOOKUP(C31,'تقرير المصروفات حسب الشهر'!$C$1143:$AD$1254,19,FALSE),0)</f>
        <v>168.67</v>
      </c>
      <c r="N31" s="376">
        <f>IFERROR(VLOOKUP(C31,'تقرير المصروفات حسب الشهر'!$C$1270:$AD$1381,19,FALSE),0)</f>
        <v>168.67</v>
      </c>
      <c r="O31" s="376">
        <f>IFERROR(VLOOKUP(C31,'تقرير المصروفات حسب الشهر'!$C$1397:$AI$1512,19,FALSE),0)</f>
        <v>168.67</v>
      </c>
      <c r="P31" s="364">
        <f t="shared" si="5"/>
        <v>2024.0400000000002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الشهر'!$C$10:$AD$119,19,FALSE),0)</f>
        <v>0</v>
      </c>
      <c r="E32" s="362">
        <f>IFERROR(VLOOKUP(C32,'تقرير المصروفات حسب الشهر'!$C$135:$AD$244,19,FALSE),0)</f>
        <v>0</v>
      </c>
      <c r="F32" s="362">
        <f>IFERROR(VLOOKUP(C32,'تقرير المصروفات حسب الشهر'!$C$261:$AD$368,19,FALSE),0)</f>
        <v>0</v>
      </c>
      <c r="G32" s="362">
        <f>IFERROR(VLOOKUP(C32,'تقرير المصروفات حسب الشهر'!$C$387:$AD$495,19,FALSE),0)</f>
        <v>0</v>
      </c>
      <c r="H32" s="362">
        <f>IFERROR(VLOOKUP(C32,'تقرير المصروفات حسب الشهر'!$C$512:$AD$620,19,FALSE),0)</f>
        <v>0</v>
      </c>
      <c r="I32" s="362">
        <f>IFERROR(VLOOKUP(C32,'تقرير المصروفات حسب الشهر'!$C$637:$AD$746,19,FALSE),0)</f>
        <v>0</v>
      </c>
      <c r="J32" s="362">
        <f>IFERROR(VLOOKUP(C32,'تقرير المصروفات حسب الشهر'!$C$763:$AD$872,19,FALSE),0)</f>
        <v>0</v>
      </c>
      <c r="K32" s="362">
        <f>IFERROR(VLOOKUP(C32,'تقرير المصروفات حسب الشهر'!$C$890:$AD$999,19,FALSE),0)</f>
        <v>0</v>
      </c>
      <c r="L32" s="362">
        <f>IFERROR(VLOOKUP(C32,'تقرير المصروفات حسب الشهر'!$C$1016:$AD$1126,19,FALSE),0)</f>
        <v>0</v>
      </c>
      <c r="M32" s="376">
        <f>IFERROR(VLOOKUP(C32,'تقرير المصروفات حسب الشهر'!$C$1143:$AD$1254,19,FALSE),0)</f>
        <v>0</v>
      </c>
      <c r="N32" s="376">
        <f>IFERROR(VLOOKUP(C32,'تقرير المصروفات حسب الشهر'!$C$1270:$AD$1381,19,FALSE),0)</f>
        <v>0</v>
      </c>
      <c r="O32" s="376">
        <f>IFERROR(VLOOKUP(C32,'تقرير المصروفات حسب الشهر'!$C$1397:$AI$1512,19,FALSE),0)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الشهر'!$C$10:$AD$119,19,FALSE),0)</f>
        <v>0</v>
      </c>
      <c r="E33" s="362">
        <f>IFERROR(VLOOKUP(C33,'تقرير المصروفات حسب الشهر'!$C$135:$AD$244,19,FALSE),0)</f>
        <v>0</v>
      </c>
      <c r="F33" s="362">
        <f>IFERROR(VLOOKUP(C33,'تقرير المصروفات حسب الشهر'!$C$261:$AD$368,19,FALSE),0)</f>
        <v>0</v>
      </c>
      <c r="G33" s="362">
        <f>IFERROR(VLOOKUP(C33,'تقرير المصروفات حسب الشهر'!$C$387:$AD$495,19,FALSE),0)</f>
        <v>0</v>
      </c>
      <c r="H33" s="362">
        <f>IFERROR(VLOOKUP(C33,'تقرير المصروفات حسب الشهر'!$C$512:$AD$620,19,FALSE),0)</f>
        <v>0</v>
      </c>
      <c r="I33" s="362">
        <f>IFERROR(VLOOKUP(C33,'تقرير المصروفات حسب الشهر'!$C$637:$AD$746,19,FALSE),0)</f>
        <v>0</v>
      </c>
      <c r="J33" s="362">
        <f>IFERROR(VLOOKUP(C33,'تقرير المصروفات حسب الشهر'!$C$763:$AD$872,19,FALSE),0)</f>
        <v>0</v>
      </c>
      <c r="K33" s="362">
        <f>IFERROR(VLOOKUP(C33,'تقرير المصروفات حسب الشهر'!$C$890:$AD$999,19,FALSE),0)</f>
        <v>0</v>
      </c>
      <c r="L33" s="362">
        <f>IFERROR(VLOOKUP(C33,'تقرير المصروفات حسب الشهر'!$C$1016:$AD$1126,19,FALSE),0)</f>
        <v>0</v>
      </c>
      <c r="M33" s="376">
        <f>IFERROR(VLOOKUP(C33,'تقرير المصروفات حسب الشهر'!$C$1143:$AD$1254,19,FALSE),0)</f>
        <v>0</v>
      </c>
      <c r="N33" s="376">
        <f>IFERROR(VLOOKUP(C33,'تقرير المصروفات حسب الشهر'!$C$1270:$AD$1381,19,FALSE),0)</f>
        <v>0</v>
      </c>
      <c r="O33" s="376">
        <f>IFERROR(VLOOKUP(C33,'تقرير المصروفات حسب الشهر'!$C$1397:$AI$1512,19,FALSE),0)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الشهر'!$C$10:$AD$119,19,FALSE),0)</f>
        <v>0</v>
      </c>
      <c r="E34" s="362">
        <f>IFERROR(VLOOKUP(C34,'تقرير المصروفات حسب الشهر'!$C$135:$AD$244,19,FALSE),0)</f>
        <v>0</v>
      </c>
      <c r="F34" s="362">
        <f>IFERROR(VLOOKUP(C34,'تقرير المصروفات حسب الشهر'!$C$261:$AD$368,19,FALSE),0)</f>
        <v>0</v>
      </c>
      <c r="G34" s="362">
        <f>IFERROR(VLOOKUP(C34,'تقرير المصروفات حسب الشهر'!$C$387:$AD$495,19,FALSE),0)</f>
        <v>0</v>
      </c>
      <c r="H34" s="362">
        <f>IFERROR(VLOOKUP(C34,'تقرير المصروفات حسب الشهر'!$C$512:$AD$620,19,FALSE),0)</f>
        <v>0</v>
      </c>
      <c r="I34" s="362">
        <f>IFERROR(VLOOKUP(C34,'تقرير المصروفات حسب الشهر'!$C$637:$AD$746,19,FALSE),0)</f>
        <v>0</v>
      </c>
      <c r="J34" s="362">
        <f>IFERROR(VLOOKUP(C34,'تقرير المصروفات حسب الشهر'!$C$763:$AD$872,19,FALSE),0)</f>
        <v>0</v>
      </c>
      <c r="K34" s="362">
        <f>IFERROR(VLOOKUP(C34,'تقرير المصروفات حسب الشهر'!$C$890:$AD$999,19,FALSE),0)</f>
        <v>0</v>
      </c>
      <c r="L34" s="362">
        <f>IFERROR(VLOOKUP(C34,'تقرير المصروفات حسب الشهر'!$C$1016:$AD$1126,19,FALSE),0)</f>
        <v>0</v>
      </c>
      <c r="M34" s="376">
        <f>IFERROR(VLOOKUP(C34,'تقرير المصروفات حسب الشهر'!$C$1143:$AD$1254,19,FALSE),0)</f>
        <v>0</v>
      </c>
      <c r="N34" s="376">
        <f>IFERROR(VLOOKUP(C34,'تقرير المصروفات حسب الشهر'!$C$1270:$AD$1381,19,FALSE),0)</f>
        <v>0</v>
      </c>
      <c r="O34" s="376">
        <f>IFERROR(VLOOKUP(C34,'تقرير المصروفات حسب الشهر'!$C$1397:$AI$1512,19,FALSE),0)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الشهر'!$C$10:$AD$119,19,FALSE),0)</f>
        <v>0</v>
      </c>
      <c r="E35" s="362">
        <f>IFERROR(VLOOKUP(C35,'تقرير المصروفات حسب الشهر'!$C$135:$AD$244,19,FALSE),0)</f>
        <v>0</v>
      </c>
      <c r="F35" s="362">
        <f>IFERROR(VLOOKUP(C35,'تقرير المصروفات حسب الشهر'!$C$261:$AD$368,19,FALSE),0)</f>
        <v>0</v>
      </c>
      <c r="G35" s="362">
        <f>IFERROR(VLOOKUP(C35,'تقرير المصروفات حسب الشهر'!$C$387:$AD$495,19,FALSE),0)</f>
        <v>0</v>
      </c>
      <c r="H35" s="362">
        <f>IFERROR(VLOOKUP(C35,'تقرير المصروفات حسب الشهر'!$C$512:$AD$620,19,FALSE),0)</f>
        <v>0</v>
      </c>
      <c r="I35" s="362">
        <f>IFERROR(VLOOKUP(C35,'تقرير المصروفات حسب الشهر'!$C$637:$AD$746,19,FALSE),0)</f>
        <v>0</v>
      </c>
      <c r="J35" s="362">
        <f>IFERROR(VLOOKUP(C35,'تقرير المصروفات حسب الشهر'!$C$763:$AD$872,19,FALSE),0)</f>
        <v>0</v>
      </c>
      <c r="K35" s="362">
        <f>IFERROR(VLOOKUP(C35,'تقرير المصروفات حسب الشهر'!$C$890:$AD$999,19,FALSE),0)</f>
        <v>0</v>
      </c>
      <c r="L35" s="362">
        <f>IFERROR(VLOOKUP(C35,'تقرير المصروفات حسب الشهر'!$C$1016:$AD$1126,19,FALSE),0)</f>
        <v>0</v>
      </c>
      <c r="M35" s="376">
        <f>IFERROR(VLOOKUP(C35,'تقرير المصروفات حسب الشهر'!$C$1143:$AD$1254,19,FALSE),0)</f>
        <v>0</v>
      </c>
      <c r="N35" s="376">
        <f>IFERROR(VLOOKUP(C35,'تقرير المصروفات حسب الشهر'!$C$1270:$AD$1381,19,FALSE),0)</f>
        <v>0</v>
      </c>
      <c r="O35" s="376">
        <f>IFERROR(VLOOKUP(C35,'تقرير المصروفات حسب الشهر'!$C$1397:$AI$1512,19,FALSE),0)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الشهر'!$C$10:$AD$119,19,FALSE),0)</f>
        <v>0</v>
      </c>
      <c r="E36" s="362">
        <f>IFERROR(VLOOKUP(C36,'تقرير المصروفات حسب الشهر'!$C$135:$AD$244,19,FALSE),0)</f>
        <v>0</v>
      </c>
      <c r="F36" s="362">
        <f>IFERROR(VLOOKUP(C36,'تقرير المصروفات حسب الشهر'!$C$261:$AD$368,19,FALSE),0)</f>
        <v>0</v>
      </c>
      <c r="G36" s="362">
        <f>IFERROR(VLOOKUP(C36,'تقرير المصروفات حسب الشهر'!$C$387:$AD$495,19,FALSE),0)</f>
        <v>750</v>
      </c>
      <c r="H36" s="362">
        <f>IFERROR(VLOOKUP(C36,'تقرير المصروفات حسب الشهر'!$C$512:$AD$620,19,FALSE),0)</f>
        <v>0</v>
      </c>
      <c r="I36" s="362">
        <f>IFERROR(VLOOKUP(C36,'تقرير المصروفات حسب الشهر'!$C$637:$AD$746,19,FALSE),0)</f>
        <v>770</v>
      </c>
      <c r="J36" s="362">
        <f>IFERROR(VLOOKUP(C36,'تقرير المصروفات حسب الشهر'!$C$763:$AD$872,19,FALSE),0)</f>
        <v>0</v>
      </c>
      <c r="K36" s="362">
        <f>IFERROR(VLOOKUP(C36,'تقرير المصروفات حسب الشهر'!$C$890:$AD$999,19,FALSE),0)</f>
        <v>0</v>
      </c>
      <c r="L36" s="362">
        <f>IFERROR(VLOOKUP(C36,'تقرير المصروفات حسب الشهر'!$C$1016:$AD$1126,19,FALSE),0)</f>
        <v>0</v>
      </c>
      <c r="M36" s="376">
        <f>IFERROR(VLOOKUP(C36,'تقرير المصروفات حسب الشهر'!$C$1143:$AD$1254,19,FALSE),0)</f>
        <v>770</v>
      </c>
      <c r="N36" s="376">
        <f>IFERROR(VLOOKUP(C36,'تقرير المصروفات حسب الشهر'!$C$1270:$AD$1381,19,FALSE),0)</f>
        <v>0</v>
      </c>
      <c r="O36" s="376">
        <f>IFERROR(VLOOKUP(C36,'تقرير المصروفات حسب الشهر'!$C$1397:$AI$1512,19,FALSE),0)</f>
        <v>770</v>
      </c>
      <c r="P36" s="364">
        <f t="shared" si="5"/>
        <v>3060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الشهر'!$C$10:$AD$119,19,FALSE),0)</f>
        <v>0</v>
      </c>
      <c r="E37" s="362">
        <f>IFERROR(VLOOKUP(C37,'تقرير المصروفات حسب الشهر'!$C$135:$AD$244,19,FALSE),0)</f>
        <v>0</v>
      </c>
      <c r="F37" s="362">
        <f>IFERROR(VLOOKUP(C37,'تقرير المصروفات حسب الشهر'!$C$261:$AD$368,19,FALSE),0)</f>
        <v>0</v>
      </c>
      <c r="G37" s="362">
        <f>IFERROR(VLOOKUP(C37,'تقرير المصروفات حسب الشهر'!$C$387:$AD$495,19,FALSE),0)</f>
        <v>0</v>
      </c>
      <c r="H37" s="362">
        <f>IFERROR(VLOOKUP(C37,'تقرير المصروفات حسب الشهر'!$C$512:$AD$620,19,FALSE),0)</f>
        <v>0</v>
      </c>
      <c r="I37" s="362">
        <f>IFERROR(VLOOKUP(C37,'تقرير المصروفات حسب الشهر'!$C$637:$AD$746,19,FALSE),0)</f>
        <v>0</v>
      </c>
      <c r="J37" s="362">
        <f>IFERROR(VLOOKUP(C37,'تقرير المصروفات حسب الشهر'!$C$763:$AD$872,19,FALSE),0)</f>
        <v>0</v>
      </c>
      <c r="K37" s="362">
        <f>IFERROR(VLOOKUP(C37,'تقرير المصروفات حسب الشهر'!$C$890:$AD$999,19,FALSE),0)</f>
        <v>0</v>
      </c>
      <c r="L37" s="362">
        <f>IFERROR(VLOOKUP(C37,'تقرير المصروفات حسب الشهر'!$C$1016:$AD$1126,19,FALSE),0)</f>
        <v>0</v>
      </c>
      <c r="M37" s="376">
        <f>IFERROR(VLOOKUP(C37,'تقرير المصروفات حسب الشهر'!$C$1143:$AD$1254,19,FALSE),0)</f>
        <v>0</v>
      </c>
      <c r="N37" s="376">
        <f>IFERROR(VLOOKUP(C37,'تقرير المصروفات حسب الشهر'!$C$1270:$AD$1381,19,FALSE),0)</f>
        <v>0</v>
      </c>
      <c r="O37" s="376">
        <f>IFERROR(VLOOKUP(C37,'تقرير المصروفات حسب الشهر'!$C$1397:$AI$1512,19,FALSE),0)</f>
        <v>0</v>
      </c>
      <c r="P37" s="364">
        <f t="shared" si="5"/>
        <v>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الشهر'!$C$10:$AD$119,19,FALSE),0)</f>
        <v>0</v>
      </c>
      <c r="E38" s="362">
        <f>IFERROR(VLOOKUP(C38,'تقرير المصروفات حسب الشهر'!$C$135:$AD$244,19,FALSE),0)</f>
        <v>0</v>
      </c>
      <c r="F38" s="362">
        <f>IFERROR(VLOOKUP(C38,'تقرير المصروفات حسب الشهر'!$C$261:$AD$368,19,FALSE),0)</f>
        <v>0</v>
      </c>
      <c r="G38" s="362">
        <f>IFERROR(VLOOKUP(C38,'تقرير المصروفات حسب الشهر'!$C$387:$AD$495,19,FALSE),0)</f>
        <v>0</v>
      </c>
      <c r="H38" s="362">
        <f>IFERROR(VLOOKUP(C38,'تقرير المصروفات حسب الشهر'!$C$512:$AD$620,19,FALSE),0)</f>
        <v>0</v>
      </c>
      <c r="I38" s="362">
        <f>IFERROR(VLOOKUP(C38,'تقرير المصروفات حسب الشهر'!$C$637:$AD$746,19,FALSE),0)</f>
        <v>0</v>
      </c>
      <c r="J38" s="362">
        <f>IFERROR(VLOOKUP(C38,'تقرير المصروفات حسب الشهر'!$C$763:$AD$872,19,FALSE),0)</f>
        <v>0</v>
      </c>
      <c r="K38" s="362">
        <f>IFERROR(VLOOKUP(C38,'تقرير المصروفات حسب الشهر'!$C$890:$AD$999,19,FALSE),0)</f>
        <v>0</v>
      </c>
      <c r="L38" s="362">
        <f>IFERROR(VLOOKUP(C38,'تقرير المصروفات حسب الشهر'!$C$1016:$AD$1126,19,FALSE),0)</f>
        <v>0</v>
      </c>
      <c r="M38" s="376">
        <f>IFERROR(VLOOKUP(C38,'تقرير المصروفات حسب الشهر'!$C$1143:$AD$1254,19,FALSE),0)</f>
        <v>0</v>
      </c>
      <c r="N38" s="376">
        <f>IFERROR(VLOOKUP(C38,'تقرير المصروفات حسب الشهر'!$C$1270:$AD$1381,19,FALSE),0)</f>
        <v>0</v>
      </c>
      <c r="O38" s="376">
        <f>IFERROR(VLOOKUP(C38,'تقرير المصروفات حسب الشهر'!$C$1397:$AI$1512,19,FALSE),0)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الشهر'!$C$10:$AD$119,19,FALSE),0)</f>
        <v>0</v>
      </c>
      <c r="E39" s="362">
        <f>IFERROR(VLOOKUP(C39,'تقرير المصروفات حسب الشهر'!$C$135:$AD$244,19,FALSE),0)</f>
        <v>833</v>
      </c>
      <c r="F39" s="362">
        <f>IFERROR(VLOOKUP(C39,'تقرير المصروفات حسب الشهر'!$C$261:$AD$368,19,FALSE),0)</f>
        <v>648</v>
      </c>
      <c r="G39" s="362">
        <f>IFERROR(VLOOKUP(C39,'تقرير المصروفات حسب الشهر'!$C$387:$AD$495,19,FALSE),0)</f>
        <v>793</v>
      </c>
      <c r="H39" s="362">
        <f>IFERROR(VLOOKUP(C39,'تقرير المصروفات حسب الشهر'!$C$512:$AD$620,19,FALSE),0)</f>
        <v>0</v>
      </c>
      <c r="I39" s="362">
        <f>IFERROR(VLOOKUP(C39,'تقرير المصروفات حسب الشهر'!$C$637:$AD$746,19,FALSE),0)</f>
        <v>0</v>
      </c>
      <c r="J39" s="362">
        <f>IFERROR(VLOOKUP(C39,'تقرير المصروفات حسب الشهر'!$C$763:$AD$872,19,FALSE),0)</f>
        <v>0</v>
      </c>
      <c r="K39" s="362">
        <f>IFERROR(VLOOKUP(C39,'تقرير المصروفات حسب الشهر'!$C$890:$AD$999,19,FALSE),0)</f>
        <v>0</v>
      </c>
      <c r="L39" s="362">
        <f>IFERROR(VLOOKUP(C39,'تقرير المصروفات حسب الشهر'!$C$1016:$AD$1126,19,FALSE),0)</f>
        <v>0</v>
      </c>
      <c r="M39" s="376">
        <f>IFERROR(VLOOKUP(C39,'تقرير المصروفات حسب الشهر'!$C$1143:$AD$1254,19,FALSE),0)</f>
        <v>0</v>
      </c>
      <c r="N39" s="376">
        <f>IFERROR(VLOOKUP(C39,'تقرير المصروفات حسب الشهر'!$C$1270:$AD$1381,19,FALSE),0)</f>
        <v>506</v>
      </c>
      <c r="O39" s="376">
        <f>IFERROR(VLOOKUP(C39,'تقرير المصروفات حسب الشهر'!$C$1397:$AI$1512,19,FALSE),0)</f>
        <v>0</v>
      </c>
      <c r="P39" s="364">
        <f t="shared" si="5"/>
        <v>2780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الشهر'!$C$10:$AD$119,19,FALSE),0)</f>
        <v>0</v>
      </c>
      <c r="E40" s="362">
        <f>IFERROR(VLOOKUP(C40,'تقرير المصروفات حسب الشهر'!$C$135:$AD$244,19,FALSE),0)</f>
        <v>0</v>
      </c>
      <c r="F40" s="362">
        <f>IFERROR(VLOOKUP(C40,'تقرير المصروفات حسب الشهر'!$C$261:$AD$368,19,FALSE),0)</f>
        <v>0</v>
      </c>
      <c r="G40" s="362">
        <f>IFERROR(VLOOKUP(C40,'تقرير المصروفات حسب الشهر'!$C$387:$AD$495,19,FALSE),0)</f>
        <v>0</v>
      </c>
      <c r="H40" s="362">
        <f>IFERROR(VLOOKUP(C40,'تقرير المصروفات حسب الشهر'!$C$512:$AD$620,19,FALSE),0)</f>
        <v>0</v>
      </c>
      <c r="I40" s="362">
        <f>IFERROR(VLOOKUP(C40,'تقرير المصروفات حسب الشهر'!$C$637:$AD$746,19,FALSE),0)</f>
        <v>0</v>
      </c>
      <c r="J40" s="362">
        <f>IFERROR(VLOOKUP(C40,'تقرير المصروفات حسب الشهر'!$C$763:$AD$872,19,FALSE),0)</f>
        <v>0</v>
      </c>
      <c r="K40" s="362">
        <f>IFERROR(VLOOKUP(C40,'تقرير المصروفات حسب الشهر'!$C$890:$AD$999,19,FALSE),0)</f>
        <v>0</v>
      </c>
      <c r="L40" s="362">
        <f>IFERROR(VLOOKUP(C40,'تقرير المصروفات حسب الشهر'!$C$1016:$AD$1126,19,FALSE),0)</f>
        <v>0</v>
      </c>
      <c r="M40" s="376">
        <f>IFERROR(VLOOKUP(C40,'تقرير المصروفات حسب الشهر'!$C$1143:$AD$1254,19,FALSE),0)</f>
        <v>0</v>
      </c>
      <c r="N40" s="376">
        <f>IFERROR(VLOOKUP(C40,'تقرير المصروفات حسب الشهر'!$C$1270:$AD$1381,19,FALSE),0)</f>
        <v>0</v>
      </c>
      <c r="O40" s="376">
        <f>IFERROR(VLOOKUP(C40,'تقرير المصروفات حسب الشهر'!$C$1397:$AI$1512,19,FALSE),0)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الشهر'!$C$10:$AD$119,19,FALSE),0)</f>
        <v>0</v>
      </c>
      <c r="E41" s="362">
        <f>IFERROR(VLOOKUP(C41,'تقرير المصروفات حسب الشهر'!$C$135:$AD$244,19,FALSE),0)</f>
        <v>0</v>
      </c>
      <c r="F41" s="362">
        <f>IFERROR(VLOOKUP(C41,'تقرير المصروفات حسب الشهر'!$C$261:$AD$368,19,FALSE),0)</f>
        <v>0</v>
      </c>
      <c r="G41" s="362">
        <f>IFERROR(VLOOKUP(C41,'تقرير المصروفات حسب الشهر'!$C$387:$AD$495,19,FALSE),0)</f>
        <v>0</v>
      </c>
      <c r="H41" s="362">
        <f>IFERROR(VLOOKUP(C41,'تقرير المصروفات حسب الشهر'!$C$512:$AD$620,19,FALSE),0)</f>
        <v>0</v>
      </c>
      <c r="I41" s="362">
        <f>IFERROR(VLOOKUP(C41,'تقرير المصروفات حسب الشهر'!$C$637:$AD$746,19,FALSE),0)</f>
        <v>0</v>
      </c>
      <c r="J41" s="362">
        <f>IFERROR(VLOOKUP(C41,'تقرير المصروفات حسب الشهر'!$C$763:$AD$872,19,FALSE),0)</f>
        <v>0</v>
      </c>
      <c r="K41" s="362">
        <f>IFERROR(VLOOKUP(C41,'تقرير المصروفات حسب الشهر'!$C$890:$AD$999,19,FALSE),0)</f>
        <v>0</v>
      </c>
      <c r="L41" s="362">
        <f>IFERROR(VLOOKUP(C41,'تقرير المصروفات حسب الشهر'!$C$1016:$AD$1126,19,FALSE),0)</f>
        <v>0</v>
      </c>
      <c r="M41" s="376">
        <f>IFERROR(VLOOKUP(C41,'تقرير المصروفات حسب الشهر'!$C$1143:$AD$1254,19,FALSE),0)</f>
        <v>0</v>
      </c>
      <c r="N41" s="376">
        <f>IFERROR(VLOOKUP(C41,'تقرير المصروفات حسب الشهر'!$C$1270:$AD$1381,19,FALSE),0)</f>
        <v>0</v>
      </c>
      <c r="O41" s="376">
        <f>IFERROR(VLOOKUP(C41,'تقرير المصروفات حسب الشهر'!$C$1397:$AI$1512,19,FALSE),0)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الشهر'!$C$10:$AD$119,19,FALSE),0)</f>
        <v>0</v>
      </c>
      <c r="E42" s="362">
        <f>IFERROR(VLOOKUP(C42,'تقرير المصروفات حسب الشهر'!$C$135:$AD$244,19,FALSE),0)</f>
        <v>0</v>
      </c>
      <c r="F42" s="362">
        <f>IFERROR(VLOOKUP(C42,'تقرير المصروفات حسب الشهر'!$C$261:$AD$368,19,FALSE),0)</f>
        <v>0</v>
      </c>
      <c r="G42" s="362">
        <f>IFERROR(VLOOKUP(C42,'تقرير المصروفات حسب الشهر'!$C$387:$AD$495,19,FALSE),0)</f>
        <v>0</v>
      </c>
      <c r="H42" s="362">
        <f>IFERROR(VLOOKUP(C42,'تقرير المصروفات حسب الشهر'!$C$512:$AD$620,19,FALSE),0)</f>
        <v>0</v>
      </c>
      <c r="I42" s="362">
        <f>IFERROR(VLOOKUP(C42,'تقرير المصروفات حسب الشهر'!$C$637:$AD$746,19,FALSE),0)</f>
        <v>0</v>
      </c>
      <c r="J42" s="362">
        <f>IFERROR(VLOOKUP(C42,'تقرير المصروفات حسب الشهر'!$C$763:$AD$872,19,FALSE),0)</f>
        <v>0</v>
      </c>
      <c r="K42" s="362">
        <f>IFERROR(VLOOKUP(C42,'تقرير المصروفات حسب الشهر'!$C$890:$AD$999,19,FALSE),0)</f>
        <v>0</v>
      </c>
      <c r="L42" s="362">
        <f>IFERROR(VLOOKUP(C42,'تقرير المصروفات حسب الشهر'!$C$1016:$AD$1126,19,FALSE),0)</f>
        <v>0</v>
      </c>
      <c r="M42" s="376">
        <f>IFERROR(VLOOKUP(C42,'تقرير المصروفات حسب الشهر'!$C$1143:$AD$1254,19,FALSE),0)</f>
        <v>0</v>
      </c>
      <c r="N42" s="376">
        <f>IFERROR(VLOOKUP(C42,'تقرير المصروفات حسب الشهر'!$C$1270:$AD$1381,19,FALSE),0)</f>
        <v>0</v>
      </c>
      <c r="O42" s="376">
        <f>IFERROR(VLOOKUP(C42,'تقرير المصروفات حسب الشهر'!$C$1397:$AI$1512,19,FALSE),0)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الشهر'!$C$10:$AD$119,19,FALSE),0)</f>
        <v>0</v>
      </c>
      <c r="E43" s="362">
        <f>IFERROR(VLOOKUP(C43,'تقرير المصروفات حسب الشهر'!$C$135:$AD$244,19,FALSE),0)</f>
        <v>0</v>
      </c>
      <c r="F43" s="362">
        <f>IFERROR(VLOOKUP(C43,'تقرير المصروفات حسب الشهر'!$C$261:$AD$368,19,FALSE),0)</f>
        <v>0</v>
      </c>
      <c r="G43" s="362">
        <f>IFERROR(VLOOKUP(C43,'تقرير المصروفات حسب الشهر'!$C$387:$AD$495,19,FALSE),0)</f>
        <v>0</v>
      </c>
      <c r="H43" s="362">
        <f>IFERROR(VLOOKUP(C43,'تقرير المصروفات حسب الشهر'!$C$512:$AD$620,19,FALSE),0)</f>
        <v>0</v>
      </c>
      <c r="I43" s="362">
        <f>IFERROR(VLOOKUP(C43,'تقرير المصروفات حسب الشهر'!$C$637:$AD$746,19,FALSE),0)</f>
        <v>0</v>
      </c>
      <c r="J43" s="362">
        <f>IFERROR(VLOOKUP(C43,'تقرير المصروفات حسب الشهر'!$C$763:$AD$872,19,FALSE),0)</f>
        <v>0</v>
      </c>
      <c r="K43" s="362">
        <f>IFERROR(VLOOKUP(C43,'تقرير المصروفات حسب الشهر'!$C$890:$AD$999,19,FALSE),0)</f>
        <v>0</v>
      </c>
      <c r="L43" s="362">
        <f>IFERROR(VLOOKUP(C43,'تقرير المصروفات حسب الشهر'!$C$1016:$AD$1126,19,FALSE),0)</f>
        <v>0</v>
      </c>
      <c r="M43" s="376">
        <f>IFERROR(VLOOKUP(C43,'تقرير المصروفات حسب الشهر'!$C$1143:$AD$1254,19,FALSE),0)</f>
        <v>0</v>
      </c>
      <c r="N43" s="376">
        <f>IFERROR(VLOOKUP(C43,'تقرير المصروفات حسب الشهر'!$C$1270:$AD$1381,19,FALSE),0)</f>
        <v>0</v>
      </c>
      <c r="O43" s="376">
        <f>IFERROR(VLOOKUP(C43,'تقرير المصروفات حسب الشهر'!$C$1397:$AI$1512,19,FALSE),0)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الشهر'!$C$10:$AD$119,19,FALSE),0)</f>
        <v>0</v>
      </c>
      <c r="E44" s="362">
        <f>IFERROR(VLOOKUP(C44,'تقرير المصروفات حسب الشهر'!$C$135:$AD$244,19,FALSE),0)</f>
        <v>0</v>
      </c>
      <c r="F44" s="362">
        <f>IFERROR(VLOOKUP(C44,'تقرير المصروفات حسب الشهر'!$C$261:$AD$368,19,FALSE),0)</f>
        <v>0</v>
      </c>
      <c r="G44" s="362">
        <f>IFERROR(VLOOKUP(C44,'تقرير المصروفات حسب الشهر'!$C$387:$AD$495,19,FALSE),0)</f>
        <v>0</v>
      </c>
      <c r="H44" s="362">
        <f>IFERROR(VLOOKUP(C44,'تقرير المصروفات حسب الشهر'!$C$512:$AD$620,19,FALSE),0)</f>
        <v>0</v>
      </c>
      <c r="I44" s="362">
        <f>IFERROR(VLOOKUP(C44,'تقرير المصروفات حسب الشهر'!$C$637:$AD$746,19,FALSE),0)</f>
        <v>0</v>
      </c>
      <c r="J44" s="362">
        <f>IFERROR(VLOOKUP(C44,'تقرير المصروفات حسب الشهر'!$C$763:$AD$872,19,FALSE),0)</f>
        <v>0</v>
      </c>
      <c r="K44" s="362">
        <f>IFERROR(VLOOKUP(C44,'تقرير المصروفات حسب الشهر'!$C$890:$AD$999,19,FALSE),0)</f>
        <v>0</v>
      </c>
      <c r="L44" s="362">
        <f>IFERROR(VLOOKUP(C44,'تقرير المصروفات حسب الشهر'!$C$1016:$AD$1126,19,FALSE),0)</f>
        <v>0</v>
      </c>
      <c r="M44" s="376">
        <f>IFERROR(VLOOKUP(C44,'تقرير المصروفات حسب الشهر'!$C$1143:$AD$1254,19,FALSE),0)</f>
        <v>0</v>
      </c>
      <c r="N44" s="376">
        <f>IFERROR(VLOOKUP(C44,'تقرير المصروفات حسب الشهر'!$C$1270:$AD$1381,19,FALSE),0)</f>
        <v>0</v>
      </c>
      <c r="O44" s="376">
        <f>IFERROR(VLOOKUP(C44,'تقرير المصروفات حسب الشهر'!$C$1397:$AI$1512,19,FALSE),0)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الشهر'!$C$10:$AD$119,19,FALSE),0)</f>
        <v>0</v>
      </c>
      <c r="E45" s="362">
        <f>IFERROR(VLOOKUP(C45,'تقرير المصروفات حسب الشهر'!$C$135:$AD$244,19,FALSE),0)</f>
        <v>0</v>
      </c>
      <c r="F45" s="362">
        <f>IFERROR(VLOOKUP(C45,'تقرير المصروفات حسب الشهر'!$C$261:$AD$368,19,FALSE),0)</f>
        <v>0</v>
      </c>
      <c r="G45" s="362">
        <f>IFERROR(VLOOKUP(C45,'تقرير المصروفات حسب الشهر'!$C$387:$AD$495,19,FALSE),0)</f>
        <v>0</v>
      </c>
      <c r="H45" s="362">
        <f>IFERROR(VLOOKUP(C45,'تقرير المصروفات حسب الشهر'!$C$512:$AD$620,19,FALSE),0)</f>
        <v>0</v>
      </c>
      <c r="I45" s="362">
        <f>IFERROR(VLOOKUP(C45,'تقرير المصروفات حسب الشهر'!$C$637:$AD$746,19,FALSE),0)</f>
        <v>0</v>
      </c>
      <c r="J45" s="362">
        <f>IFERROR(VLOOKUP(C45,'تقرير المصروفات حسب الشهر'!$C$763:$AD$872,19,FALSE),0)</f>
        <v>0</v>
      </c>
      <c r="K45" s="362">
        <f>IFERROR(VLOOKUP(C45,'تقرير المصروفات حسب الشهر'!$C$890:$AD$999,19,FALSE),0)</f>
        <v>0</v>
      </c>
      <c r="L45" s="362">
        <f>IFERROR(VLOOKUP(C45,'تقرير المصروفات حسب الشهر'!$C$1016:$AD$1126,19,FALSE),0)</f>
        <v>0</v>
      </c>
      <c r="M45" s="376">
        <f>IFERROR(VLOOKUP(C45,'تقرير المصروفات حسب الشهر'!$C$1143:$AD$1254,19,FALSE),0)</f>
        <v>0</v>
      </c>
      <c r="N45" s="376">
        <f>IFERROR(VLOOKUP(C45,'تقرير المصروفات حسب الشهر'!$C$1270:$AD$1381,19,FALSE),0)</f>
        <v>0</v>
      </c>
      <c r="O45" s="376">
        <f>IFERROR(VLOOKUP(C45,'تقرير المصروفات حسب الشهر'!$C$1397:$AI$1512,19,FALSE),0)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الشهر'!$C$10:$AD$119,19,FALSE),0)</f>
        <v>0</v>
      </c>
      <c r="E46" s="362">
        <f>IFERROR(VLOOKUP(C46,'تقرير المصروفات حسب الشهر'!$C$135:$AD$244,19,FALSE),0)</f>
        <v>0</v>
      </c>
      <c r="F46" s="362">
        <f>IFERROR(VLOOKUP(C46,'تقرير المصروفات حسب الشهر'!$C$261:$AD$368,19,FALSE),0)</f>
        <v>0</v>
      </c>
      <c r="G46" s="362">
        <f>IFERROR(VLOOKUP(C46,'تقرير المصروفات حسب الشهر'!$C$387:$AD$495,19,FALSE),0)</f>
        <v>0</v>
      </c>
      <c r="H46" s="362">
        <f>IFERROR(VLOOKUP(C46,'تقرير المصروفات حسب الشهر'!$C$512:$AD$620,19,FALSE),0)</f>
        <v>0</v>
      </c>
      <c r="I46" s="362">
        <f>IFERROR(VLOOKUP(C46,'تقرير المصروفات حسب الشهر'!$C$637:$AD$746,19,FALSE),0)</f>
        <v>0</v>
      </c>
      <c r="J46" s="362">
        <f>IFERROR(VLOOKUP(C46,'تقرير المصروفات حسب الشهر'!$C$763:$AD$872,19,FALSE),0)</f>
        <v>0</v>
      </c>
      <c r="K46" s="362">
        <f>IFERROR(VLOOKUP(C46,'تقرير المصروفات حسب الشهر'!$C$890:$AD$999,19,FALSE),0)</f>
        <v>0</v>
      </c>
      <c r="L46" s="362">
        <f>IFERROR(VLOOKUP(C46,'تقرير المصروفات حسب الشهر'!$C$1016:$AD$1126,19,FALSE),0)</f>
        <v>0</v>
      </c>
      <c r="M46" s="376">
        <f>IFERROR(VLOOKUP(C46,'تقرير المصروفات حسب الشهر'!$C$1143:$AD$1254,19,FALSE),0)</f>
        <v>0</v>
      </c>
      <c r="N46" s="376">
        <f>IFERROR(VLOOKUP(C46,'تقرير المصروفات حسب الشهر'!$C$1270:$AD$1381,19,FALSE),0)</f>
        <v>0</v>
      </c>
      <c r="O46" s="376">
        <f>IFERROR(VLOOKUP(C46,'تقرير المصروفات حسب الشهر'!$C$1397:$AI$1512,19,FALSE),0)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الشهر'!$C$10:$AD$119,19,FALSE),0)</f>
        <v>0</v>
      </c>
      <c r="E47" s="362">
        <f>IFERROR(VLOOKUP(C47,'تقرير المصروفات حسب الشهر'!$C$135:$AD$244,19,FALSE),0)</f>
        <v>0</v>
      </c>
      <c r="F47" s="362">
        <f>IFERROR(VLOOKUP(C47,'تقرير المصروفات حسب الشهر'!$C$261:$AD$368,19,FALSE),0)</f>
        <v>0</v>
      </c>
      <c r="G47" s="362">
        <f>IFERROR(VLOOKUP(C47,'تقرير المصروفات حسب الشهر'!$C$387:$AD$495,19,FALSE),0)</f>
        <v>0</v>
      </c>
      <c r="H47" s="362">
        <f>IFERROR(VLOOKUP(C47,'تقرير المصروفات حسب الشهر'!$C$512:$AD$620,19,FALSE),0)</f>
        <v>0</v>
      </c>
      <c r="I47" s="362">
        <f>IFERROR(VLOOKUP(C47,'تقرير المصروفات حسب الشهر'!$C$637:$AD$746,19,FALSE),0)</f>
        <v>0</v>
      </c>
      <c r="J47" s="362">
        <f>IFERROR(VLOOKUP(C47,'تقرير المصروفات حسب الشهر'!$C$763:$AD$872,19,FALSE),0)</f>
        <v>0</v>
      </c>
      <c r="K47" s="362">
        <f>IFERROR(VLOOKUP(C47,'تقرير المصروفات حسب الشهر'!$C$890:$AD$999,19,FALSE),0)</f>
        <v>0</v>
      </c>
      <c r="L47" s="362">
        <f>IFERROR(VLOOKUP(C47,'تقرير المصروفات حسب الشهر'!$C$1016:$AD$1126,19,FALSE),0)</f>
        <v>0</v>
      </c>
      <c r="M47" s="376">
        <f>IFERROR(VLOOKUP(C47,'تقرير المصروفات حسب الشهر'!$C$1143:$AD$1254,19,FALSE),0)</f>
        <v>0</v>
      </c>
      <c r="N47" s="376">
        <f>IFERROR(VLOOKUP(C47,'تقرير المصروفات حسب الشهر'!$C$1270:$AD$1381,19,FALSE),0)</f>
        <v>0</v>
      </c>
      <c r="O47" s="376">
        <f>IFERROR(VLOOKUP(C47,'تقرير المصروفات حسب الشهر'!$C$1397:$AI$1512,19,FALSE),0)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الشهر'!$C$10:$AD$119,19,FALSE),0)</f>
        <v>0</v>
      </c>
      <c r="E48" s="362">
        <f>IFERROR(VLOOKUP(C48,'تقرير المصروفات حسب الشهر'!$C$135:$AD$244,19,FALSE),0)</f>
        <v>0</v>
      </c>
      <c r="F48" s="362">
        <f>IFERROR(VLOOKUP(C48,'تقرير المصروفات حسب الشهر'!$C$261:$AD$368,19,FALSE),0)</f>
        <v>0</v>
      </c>
      <c r="G48" s="362">
        <f>IFERROR(VLOOKUP(C48,'تقرير المصروفات حسب الشهر'!$C$387:$AD$495,19,FALSE),0)</f>
        <v>0</v>
      </c>
      <c r="H48" s="362">
        <f>IFERROR(VLOOKUP(C48,'تقرير المصروفات حسب الشهر'!$C$512:$AD$620,19,FALSE),0)</f>
        <v>0</v>
      </c>
      <c r="I48" s="362">
        <f>IFERROR(VLOOKUP(C48,'تقرير المصروفات حسب الشهر'!$C$637:$AD$746,19,FALSE),0)</f>
        <v>0</v>
      </c>
      <c r="J48" s="362">
        <f>IFERROR(VLOOKUP(C48,'تقرير المصروفات حسب الشهر'!$C$763:$AD$872,19,FALSE),0)</f>
        <v>0</v>
      </c>
      <c r="K48" s="362">
        <f>IFERROR(VLOOKUP(C48,'تقرير المصروفات حسب الشهر'!$C$890:$AD$999,19,FALSE),0)</f>
        <v>0</v>
      </c>
      <c r="L48" s="362">
        <f>IFERROR(VLOOKUP(C48,'تقرير المصروفات حسب الشهر'!$C$1016:$AD$1126,19,FALSE),0)</f>
        <v>0</v>
      </c>
      <c r="M48" s="376">
        <f>IFERROR(VLOOKUP(C48,'تقرير المصروفات حسب الشهر'!$C$1143:$AD$1254,19,FALSE),0)</f>
        <v>0</v>
      </c>
      <c r="N48" s="376">
        <f>IFERROR(VLOOKUP(C48,'تقرير المصروفات حسب الشهر'!$C$1270:$AD$1381,19,FALSE),0)</f>
        <v>0</v>
      </c>
      <c r="O48" s="376">
        <f>IFERROR(VLOOKUP(C48,'تقرير المصروفات حسب الشهر'!$C$1397:$AI$1512,19,FALSE),0)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الشهر'!$C$10:$AD$119,19,FALSE),0)</f>
        <v>0</v>
      </c>
      <c r="E49" s="362">
        <f>IFERROR(VLOOKUP(C49,'تقرير المصروفات حسب الشهر'!$C$135:$AD$244,19,FALSE),0)</f>
        <v>0</v>
      </c>
      <c r="F49" s="362">
        <f>IFERROR(VLOOKUP(C49,'تقرير المصروفات حسب الشهر'!$C$261:$AD$368,19,FALSE),0)</f>
        <v>0</v>
      </c>
      <c r="G49" s="362">
        <f>IFERROR(VLOOKUP(C49,'تقرير المصروفات حسب الشهر'!$C$387:$AD$495,19,FALSE),0)</f>
        <v>0</v>
      </c>
      <c r="H49" s="362">
        <f>IFERROR(VLOOKUP(C49,'تقرير المصروفات حسب الشهر'!$C$512:$AD$620,19,FALSE),0)</f>
        <v>0</v>
      </c>
      <c r="I49" s="362">
        <f>IFERROR(VLOOKUP(C49,'تقرير المصروفات حسب الشهر'!$C$637:$AD$746,19,FALSE),0)</f>
        <v>0</v>
      </c>
      <c r="J49" s="362">
        <f>IFERROR(VLOOKUP(C49,'تقرير المصروفات حسب الشهر'!$C$763:$AD$872,19,FALSE),0)</f>
        <v>0</v>
      </c>
      <c r="K49" s="362">
        <f>IFERROR(VLOOKUP(C49,'تقرير المصروفات حسب الشهر'!$C$890:$AD$999,19,FALSE),0)</f>
        <v>0</v>
      </c>
      <c r="L49" s="362">
        <f>IFERROR(VLOOKUP(C49,'تقرير المصروفات حسب الشهر'!$C$1016:$AD$1126,19,FALSE),0)</f>
        <v>0</v>
      </c>
      <c r="M49" s="376">
        <f>IFERROR(VLOOKUP(C49,'تقرير المصروفات حسب الشهر'!$C$1143:$AD$1254,19,FALSE),0)</f>
        <v>0</v>
      </c>
      <c r="N49" s="376">
        <f>IFERROR(VLOOKUP(C49,'تقرير المصروفات حسب الشهر'!$C$1270:$AD$1381,19,FALSE),0)</f>
        <v>0</v>
      </c>
      <c r="O49" s="376">
        <f>IFERROR(VLOOKUP(C49,'تقرير المصروفات حسب الشهر'!$C$1397:$AI$1512,19,FALSE),0)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الشهر'!$C$10:$AD$119,19,FALSE),0)</f>
        <v>0</v>
      </c>
      <c r="E50" s="362">
        <f>IFERROR(VLOOKUP(C50,'تقرير المصروفات حسب الشهر'!$C$135:$AD$244,19,FALSE),0)</f>
        <v>0</v>
      </c>
      <c r="F50" s="362">
        <f>IFERROR(VLOOKUP(C50,'تقرير المصروفات حسب الشهر'!$C$261:$AD$368,19,FALSE),0)</f>
        <v>0</v>
      </c>
      <c r="G50" s="362">
        <f>IFERROR(VLOOKUP(C50,'تقرير المصروفات حسب الشهر'!$C$387:$AD$495,19,FALSE),0)</f>
        <v>0</v>
      </c>
      <c r="H50" s="362">
        <f>IFERROR(VLOOKUP(C50,'تقرير المصروفات حسب الشهر'!$C$512:$AD$620,19,FALSE),0)</f>
        <v>0</v>
      </c>
      <c r="I50" s="362">
        <f>IFERROR(VLOOKUP(C50,'تقرير المصروفات حسب الشهر'!$C$637:$AD$746,19,FALSE),0)</f>
        <v>0</v>
      </c>
      <c r="J50" s="362">
        <f>IFERROR(VLOOKUP(C50,'تقرير المصروفات حسب الشهر'!$C$763:$AD$872,19,FALSE),0)</f>
        <v>0</v>
      </c>
      <c r="K50" s="362">
        <f>IFERROR(VLOOKUP(C50,'تقرير المصروفات حسب الشهر'!$C$890:$AD$999,19,FALSE),0)</f>
        <v>0</v>
      </c>
      <c r="L50" s="362">
        <f>IFERROR(VLOOKUP(C50,'تقرير المصروفات حسب الشهر'!$C$1016:$AD$1126,19,FALSE),0)</f>
        <v>0</v>
      </c>
      <c r="M50" s="376">
        <f>IFERROR(VLOOKUP(C50,'تقرير المصروفات حسب الشهر'!$C$1143:$AD$1254,19,FALSE),0)</f>
        <v>0</v>
      </c>
      <c r="N50" s="376">
        <f>IFERROR(VLOOKUP(C50,'تقرير المصروفات حسب الشهر'!$C$1270:$AD$1381,19,FALSE),0)</f>
        <v>0</v>
      </c>
      <c r="O50" s="376">
        <f>IFERROR(VLOOKUP(C50,'تقرير المصروفات حسب الشهر'!$C$1397:$AI$1512,19,FALSE),0)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الشهر'!$C$10:$AD$119,19,FALSE),0)</f>
        <v>0</v>
      </c>
      <c r="E51" s="362">
        <f>IFERROR(VLOOKUP(C51,'تقرير المصروفات حسب الشهر'!$C$135:$AD$244,19,FALSE),0)</f>
        <v>0</v>
      </c>
      <c r="F51" s="362">
        <f>IFERROR(VLOOKUP(C51,'تقرير المصروفات حسب الشهر'!$C$261:$AD$368,19,FALSE),0)</f>
        <v>0</v>
      </c>
      <c r="G51" s="362">
        <f>IFERROR(VLOOKUP(C51,'تقرير المصروفات حسب الشهر'!$C$387:$AD$495,19,FALSE),0)</f>
        <v>0</v>
      </c>
      <c r="H51" s="362">
        <f>IFERROR(VLOOKUP(C51,'تقرير المصروفات حسب الشهر'!$C$512:$AD$620,19,FALSE),0)</f>
        <v>0</v>
      </c>
      <c r="I51" s="362">
        <f>IFERROR(VLOOKUP(C51,'تقرير المصروفات حسب الشهر'!$C$637:$AD$746,19,FALSE),0)</f>
        <v>0</v>
      </c>
      <c r="J51" s="362">
        <f>IFERROR(VLOOKUP(C51,'تقرير المصروفات حسب الشهر'!$C$763:$AD$872,19,FALSE),0)</f>
        <v>0</v>
      </c>
      <c r="K51" s="362">
        <f>IFERROR(VLOOKUP(C51,'تقرير المصروفات حسب الشهر'!$C$890:$AD$999,19,FALSE),0)</f>
        <v>0</v>
      </c>
      <c r="L51" s="362">
        <f>IFERROR(VLOOKUP(C51,'تقرير المصروفات حسب الشهر'!$C$1016:$AD$1126,19,FALSE),0)</f>
        <v>0</v>
      </c>
      <c r="M51" s="376">
        <f>IFERROR(VLOOKUP(C51,'تقرير المصروفات حسب الشهر'!$C$1143:$AD$1254,19,FALSE),0)</f>
        <v>0</v>
      </c>
      <c r="N51" s="376">
        <f>IFERROR(VLOOKUP(C51,'تقرير المصروفات حسب الشهر'!$C$1270:$AD$1381,19,FALSE),0)</f>
        <v>0</v>
      </c>
      <c r="O51" s="376">
        <f>IFERROR(VLOOKUP(C51,'تقرير المصروفات حسب الشهر'!$C$1397:$AI$1512,19,FALSE),0)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الشهر'!$C$10:$AD$119,19,FALSE),0)</f>
        <v>1000</v>
      </c>
      <c r="E52" s="362">
        <f>IFERROR(VLOOKUP(C52,'تقرير المصروفات حسب الشهر'!$C$135:$AD$244,19,FALSE),0)</f>
        <v>0</v>
      </c>
      <c r="F52" s="362">
        <f>IFERROR(VLOOKUP(C52,'تقرير المصروفات حسب الشهر'!$C$261:$AD$368,19,FALSE),0)</f>
        <v>0</v>
      </c>
      <c r="G52" s="362">
        <f>IFERROR(VLOOKUP(C52,'تقرير المصروفات حسب الشهر'!$C$387:$AD$495,19,FALSE),0)</f>
        <v>0</v>
      </c>
      <c r="H52" s="362">
        <f>IFERROR(VLOOKUP(C52,'تقرير المصروفات حسب الشهر'!$C$512:$AD$620,19,FALSE),0)</f>
        <v>0</v>
      </c>
      <c r="I52" s="362">
        <f>IFERROR(VLOOKUP(C52,'تقرير المصروفات حسب الشهر'!$C$637:$AD$746,19,FALSE),0)</f>
        <v>0</v>
      </c>
      <c r="J52" s="362">
        <f>IFERROR(VLOOKUP(C52,'تقرير المصروفات حسب الشهر'!$C$763:$AD$872,19,FALSE),0)</f>
        <v>0</v>
      </c>
      <c r="K52" s="362">
        <f>IFERROR(VLOOKUP(C52,'تقرير المصروفات حسب الشهر'!$C$890:$AD$999,19,FALSE),0)</f>
        <v>0</v>
      </c>
      <c r="L52" s="362">
        <f>IFERROR(VLOOKUP(C52,'تقرير المصروفات حسب الشهر'!$C$1016:$AD$1126,19,FALSE),0)</f>
        <v>0</v>
      </c>
      <c r="M52" s="376">
        <f>IFERROR(VLOOKUP(C52,'تقرير المصروفات حسب الشهر'!$C$1143:$AD$1254,19,FALSE),0)</f>
        <v>0</v>
      </c>
      <c r="N52" s="376">
        <f>IFERROR(VLOOKUP(C52,'تقرير المصروفات حسب الشهر'!$C$1270:$AD$1381,19,FALSE),0)</f>
        <v>0</v>
      </c>
      <c r="O52" s="376">
        <f>IFERROR(VLOOKUP(C52,'تقرير المصروفات حسب الشهر'!$C$1397:$AI$1512,19,FALSE),0)</f>
        <v>0</v>
      </c>
      <c r="P52" s="364">
        <f t="shared" si="5"/>
        <v>1000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الشهر'!$C$10:$AD$119,19,FALSE),0)</f>
        <v>0</v>
      </c>
      <c r="E53" s="362">
        <f>IFERROR(VLOOKUP(C53,'تقرير المصروفات حسب الشهر'!$C$135:$AD$244,19,FALSE),0)</f>
        <v>0</v>
      </c>
      <c r="F53" s="362">
        <f>IFERROR(VLOOKUP(C53,'تقرير المصروفات حسب الشهر'!$C$261:$AD$368,19,FALSE),0)</f>
        <v>0</v>
      </c>
      <c r="G53" s="362">
        <f>IFERROR(VLOOKUP(C53,'تقرير المصروفات حسب الشهر'!$C$387:$AD$495,19,FALSE),0)</f>
        <v>0</v>
      </c>
      <c r="H53" s="362">
        <f>IFERROR(VLOOKUP(C53,'تقرير المصروفات حسب الشهر'!$C$512:$AD$620,19,FALSE),0)</f>
        <v>0</v>
      </c>
      <c r="I53" s="362">
        <f>IFERROR(VLOOKUP(C53,'تقرير المصروفات حسب الشهر'!$C$637:$AD$746,19,FALSE),0)</f>
        <v>0</v>
      </c>
      <c r="J53" s="362">
        <f>IFERROR(VLOOKUP(C53,'تقرير المصروفات حسب الشهر'!$C$763:$AD$872,19,FALSE),0)</f>
        <v>0</v>
      </c>
      <c r="K53" s="362">
        <f>IFERROR(VLOOKUP(C53,'تقرير المصروفات حسب الشهر'!$C$890:$AD$999,19,FALSE),0)</f>
        <v>0</v>
      </c>
      <c r="L53" s="362">
        <f>IFERROR(VLOOKUP(C53,'تقرير المصروفات حسب الشهر'!$C$1016:$AD$1126,19,FALSE),0)</f>
        <v>0</v>
      </c>
      <c r="M53" s="376">
        <f>IFERROR(VLOOKUP(C53,'تقرير المصروفات حسب الشهر'!$C$1143:$AD$1254,19,FALSE),0)</f>
        <v>0</v>
      </c>
      <c r="N53" s="376">
        <f>IFERROR(VLOOKUP(C53,'تقرير المصروفات حسب الشهر'!$C$1270:$AD$1381,19,FALSE),0)</f>
        <v>0</v>
      </c>
      <c r="O53" s="376">
        <f>IFERROR(VLOOKUP(C53,'تقرير المصروفات حسب الشهر'!$C$1397:$AI$1512,19,FALSE),0)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الشهر'!$C$10:$AD$119,19,FALSE),0)</f>
        <v>400</v>
      </c>
      <c r="E54" s="362">
        <f>IFERROR(VLOOKUP(C54,'تقرير المصروفات حسب الشهر'!$C$135:$AD$244,19,FALSE),0)</f>
        <v>0</v>
      </c>
      <c r="F54" s="362">
        <f>IFERROR(VLOOKUP(C54,'تقرير المصروفات حسب الشهر'!$C$261:$AD$368,19,FALSE),0)</f>
        <v>0</v>
      </c>
      <c r="G54" s="362">
        <f>IFERROR(VLOOKUP(C54,'تقرير المصروفات حسب الشهر'!$C$387:$AD$495,19,FALSE),0)</f>
        <v>400</v>
      </c>
      <c r="H54" s="362">
        <f>IFERROR(VLOOKUP(C54,'تقرير المصروفات حسب الشهر'!$C$512:$AD$620,19,FALSE),0)</f>
        <v>0</v>
      </c>
      <c r="I54" s="362">
        <f>IFERROR(VLOOKUP(C54,'تقرير المصروفات حسب الشهر'!$C$637:$AD$746,19,FALSE),0)</f>
        <v>0</v>
      </c>
      <c r="J54" s="362">
        <f>IFERROR(VLOOKUP(C54,'تقرير المصروفات حسب الشهر'!$C$763:$AD$872,19,FALSE),0)</f>
        <v>400</v>
      </c>
      <c r="K54" s="362">
        <f>IFERROR(VLOOKUP(C54,'تقرير المصروفات حسب الشهر'!$C$890:$AD$999,19,FALSE),0)</f>
        <v>0</v>
      </c>
      <c r="L54" s="362">
        <f>IFERROR(VLOOKUP(C54,'تقرير المصروفات حسب الشهر'!$C$1016:$AD$1126,19,FALSE),0)</f>
        <v>0</v>
      </c>
      <c r="M54" s="376">
        <f>IFERROR(VLOOKUP(C54,'تقرير المصروفات حسب الشهر'!$C$1143:$AD$1254,19,FALSE),0)</f>
        <v>400</v>
      </c>
      <c r="N54" s="376">
        <f>IFERROR(VLOOKUP(C54,'تقرير المصروفات حسب الشهر'!$C$1270:$AD$1381,19,FALSE),0)</f>
        <v>0</v>
      </c>
      <c r="O54" s="376">
        <f>IFERROR(VLOOKUP(C54,'تقرير المصروفات حسب الشهر'!$C$1397:$AI$1512,19,FALSE),0)</f>
        <v>0</v>
      </c>
      <c r="P54" s="364">
        <f t="shared" si="5"/>
        <v>1600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الشهر'!$C$10:$AD$119,19,FALSE),0)</f>
        <v>0</v>
      </c>
      <c r="E55" s="362">
        <f>IFERROR(VLOOKUP(C55,'تقرير المصروفات حسب الشهر'!$C$135:$AD$244,19,FALSE),0)</f>
        <v>0</v>
      </c>
      <c r="F55" s="362">
        <f>IFERROR(VLOOKUP(C55,'تقرير المصروفات حسب الشهر'!$C$261:$AD$368,19,FALSE),0)</f>
        <v>0</v>
      </c>
      <c r="G55" s="362">
        <f>IFERROR(VLOOKUP(C55,'تقرير المصروفات حسب الشهر'!$C$387:$AD$495,19,FALSE),0)</f>
        <v>0</v>
      </c>
      <c r="H55" s="362">
        <f>IFERROR(VLOOKUP(C55,'تقرير المصروفات حسب الشهر'!$C$512:$AD$620,19,FALSE),0)</f>
        <v>0</v>
      </c>
      <c r="I55" s="362">
        <f>IFERROR(VLOOKUP(C55,'تقرير المصروفات حسب الشهر'!$C$637:$AD$746,19,FALSE),0)</f>
        <v>0</v>
      </c>
      <c r="J55" s="362">
        <f>IFERROR(VLOOKUP(C55,'تقرير المصروفات حسب الشهر'!$C$763:$AD$872,19,FALSE),0)</f>
        <v>0</v>
      </c>
      <c r="K55" s="362">
        <f>IFERROR(VLOOKUP(C55,'تقرير المصروفات حسب الشهر'!$C$890:$AD$999,19,FALSE),0)</f>
        <v>0</v>
      </c>
      <c r="L55" s="362">
        <f>IFERROR(VLOOKUP(C55,'تقرير المصروفات حسب الشهر'!$C$1016:$AD$1126,19,FALSE),0)</f>
        <v>0</v>
      </c>
      <c r="M55" s="376">
        <f>IFERROR(VLOOKUP(C55,'تقرير المصروفات حسب الشهر'!$C$1143:$AD$1254,19,FALSE),0)</f>
        <v>0</v>
      </c>
      <c r="N55" s="376">
        <f>IFERROR(VLOOKUP(C55,'تقرير المصروفات حسب الشهر'!$C$1270:$AD$1381,19,FALSE),0)</f>
        <v>0</v>
      </c>
      <c r="O55" s="376">
        <f>IFERROR(VLOOKUP(C55,'تقرير المصروفات حسب الشهر'!$C$1397:$AI$1512,19,FALSE),0)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الشهر'!$C$10:$AD$119,19,FALSE),0)</f>
        <v>0</v>
      </c>
      <c r="E56" s="362">
        <f>IFERROR(VLOOKUP(C56,'تقرير المصروفات حسب الشهر'!$C$135:$AD$244,19,FALSE),0)</f>
        <v>0</v>
      </c>
      <c r="F56" s="362">
        <f>IFERROR(VLOOKUP(C56,'تقرير المصروفات حسب الشهر'!$C$261:$AD$368,19,FALSE),0)</f>
        <v>0</v>
      </c>
      <c r="G56" s="362">
        <f>IFERROR(VLOOKUP(C56,'تقرير المصروفات حسب الشهر'!$C$387:$AD$495,19,FALSE),0)</f>
        <v>0</v>
      </c>
      <c r="H56" s="362">
        <f>IFERROR(VLOOKUP(C56,'تقرير المصروفات حسب الشهر'!$C$512:$AD$620,19,FALSE),0)</f>
        <v>0</v>
      </c>
      <c r="I56" s="362">
        <f>IFERROR(VLOOKUP(C56,'تقرير المصروفات حسب الشهر'!$C$637:$AD$746,19,FALSE),0)</f>
        <v>0</v>
      </c>
      <c r="J56" s="362">
        <f>IFERROR(VLOOKUP(C56,'تقرير المصروفات حسب الشهر'!$C$763:$AD$872,19,FALSE),0)</f>
        <v>0</v>
      </c>
      <c r="K56" s="362">
        <f>IFERROR(VLOOKUP(C56,'تقرير المصروفات حسب الشهر'!$C$890:$AD$999,19,FALSE),0)</f>
        <v>0</v>
      </c>
      <c r="L56" s="362">
        <f>IFERROR(VLOOKUP(C56,'تقرير المصروفات حسب الشهر'!$C$1016:$AD$1126,19,FALSE),0)</f>
        <v>0</v>
      </c>
      <c r="M56" s="376">
        <f>IFERROR(VLOOKUP(C56,'تقرير المصروفات حسب الشهر'!$C$1143:$AD$1254,19,FALSE),0)</f>
        <v>0</v>
      </c>
      <c r="N56" s="376">
        <f>IFERROR(VLOOKUP(C56,'تقرير المصروفات حسب الشهر'!$C$1270:$AD$1381,19,FALSE),0)</f>
        <v>0</v>
      </c>
      <c r="O56" s="376">
        <f>IFERROR(VLOOKUP(C56,'تقرير المصروفات حسب الشهر'!$C$1397:$AI$1512,19,FALSE),0)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الشهر'!$C$10:$AD$119,19,FALSE),0)</f>
        <v>0</v>
      </c>
      <c r="E57" s="362">
        <f>IFERROR(VLOOKUP(C57,'تقرير المصروفات حسب الشهر'!$C$135:$AD$244,19,FALSE),0)</f>
        <v>0</v>
      </c>
      <c r="F57" s="362">
        <f>IFERROR(VLOOKUP(C57,'تقرير المصروفات حسب الشهر'!$C$261:$AD$368,19,FALSE),0)</f>
        <v>0</v>
      </c>
      <c r="G57" s="362">
        <f>IFERROR(VLOOKUP(C57,'تقرير المصروفات حسب الشهر'!$C$387:$AD$495,19,FALSE),0)</f>
        <v>0</v>
      </c>
      <c r="H57" s="362">
        <f>IFERROR(VLOOKUP(C57,'تقرير المصروفات حسب الشهر'!$C$512:$AD$620,19,FALSE),0)</f>
        <v>0</v>
      </c>
      <c r="I57" s="362">
        <f>IFERROR(VLOOKUP(C57,'تقرير المصروفات حسب الشهر'!$C$637:$AD$746,19,FALSE),0)</f>
        <v>0</v>
      </c>
      <c r="J57" s="362">
        <f>IFERROR(VLOOKUP(C57,'تقرير المصروفات حسب الشهر'!$C$763:$AD$872,19,FALSE),0)</f>
        <v>0</v>
      </c>
      <c r="K57" s="362">
        <f>IFERROR(VLOOKUP(C57,'تقرير المصروفات حسب الشهر'!$C$890:$AD$999,19,FALSE),0)</f>
        <v>0</v>
      </c>
      <c r="L57" s="362">
        <f>IFERROR(VLOOKUP(C57,'تقرير المصروفات حسب الشهر'!$C$1016:$AD$1126,19,FALSE),0)</f>
        <v>0</v>
      </c>
      <c r="M57" s="376">
        <f>IFERROR(VLOOKUP(C57,'تقرير المصروفات حسب الشهر'!$C$1143:$AD$1254,19,FALSE),0)</f>
        <v>0</v>
      </c>
      <c r="N57" s="376">
        <f>IFERROR(VLOOKUP(C57,'تقرير المصروفات حسب الشهر'!$C$1270:$AD$1381,19,FALSE),0)</f>
        <v>0</v>
      </c>
      <c r="O57" s="376">
        <f>IFERROR(VLOOKUP(C57,'تقرير المصروفات حسب الشهر'!$C$1397:$AI$1512,19,FALSE),0)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الشهر'!$C$10:$AD$119,19,FALSE),0)</f>
        <v>0</v>
      </c>
      <c r="E58" s="362">
        <f>IFERROR(VLOOKUP(C58,'تقرير المصروفات حسب الشهر'!$C$135:$AD$244,19,FALSE),0)</f>
        <v>0</v>
      </c>
      <c r="F58" s="362">
        <f>IFERROR(VLOOKUP(C58,'تقرير المصروفات حسب الشهر'!$C$261:$AD$368,19,FALSE),0)</f>
        <v>0</v>
      </c>
      <c r="G58" s="362">
        <f>IFERROR(VLOOKUP(C58,'تقرير المصروفات حسب الشهر'!$C$387:$AD$495,19,FALSE),0)</f>
        <v>0</v>
      </c>
      <c r="H58" s="362">
        <f>IFERROR(VLOOKUP(C58,'تقرير المصروفات حسب الشهر'!$C$512:$AD$620,19,FALSE),0)</f>
        <v>0</v>
      </c>
      <c r="I58" s="362">
        <f>IFERROR(VLOOKUP(C58,'تقرير المصروفات حسب الشهر'!$C$637:$AD$746,19,FALSE),0)</f>
        <v>0</v>
      </c>
      <c r="J58" s="362">
        <f>IFERROR(VLOOKUP(C58,'تقرير المصروفات حسب الشهر'!$C$763:$AD$872,19,FALSE),0)</f>
        <v>0</v>
      </c>
      <c r="K58" s="362">
        <f>IFERROR(VLOOKUP(C58,'تقرير المصروفات حسب الشهر'!$C$890:$AD$999,19,FALSE),0)</f>
        <v>0</v>
      </c>
      <c r="L58" s="362">
        <f>IFERROR(VLOOKUP(C58,'تقرير المصروفات حسب الشهر'!$C$1016:$AD$1126,19,FALSE),0)</f>
        <v>0</v>
      </c>
      <c r="M58" s="376">
        <f>IFERROR(VLOOKUP(C58,'تقرير المصروفات حسب الشهر'!$C$1143:$AD$1254,19,FALSE),0)</f>
        <v>0</v>
      </c>
      <c r="N58" s="376">
        <f>IFERROR(VLOOKUP(C58,'تقرير المصروفات حسب الشهر'!$C$1270:$AD$1381,19,FALSE),0)</f>
        <v>0</v>
      </c>
      <c r="O58" s="376">
        <f>IFERROR(VLOOKUP(C58,'تقرير المصروفات حسب الشهر'!$C$1397:$AI$1512,19,FALSE),0)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الشهر'!$C$10:$AD$119,19,FALSE),0)</f>
        <v>0</v>
      </c>
      <c r="E59" s="362">
        <f>IFERROR(VLOOKUP(C59,'تقرير المصروفات حسب الشهر'!$C$135:$AD$244,19,FALSE),0)</f>
        <v>2666.5</v>
      </c>
      <c r="F59" s="362">
        <f>IFERROR(VLOOKUP(C59,'تقرير المصروفات حسب الشهر'!$C$261:$AD$368,19,FALSE),0)</f>
        <v>988.5</v>
      </c>
      <c r="G59" s="362">
        <f>IFERROR(VLOOKUP(C59,'تقرير المصروفات حسب الشهر'!$C$387:$AD$495,19,FALSE),0)</f>
        <v>1300.25</v>
      </c>
      <c r="H59" s="362">
        <f>IFERROR(VLOOKUP(C59,'تقرير المصروفات حسب الشهر'!$C$512:$AD$620,19,FALSE),0)</f>
        <v>0</v>
      </c>
      <c r="I59" s="362">
        <f>IFERROR(VLOOKUP(C59,'تقرير المصروفات حسب الشهر'!$C$637:$AD$746,19,FALSE),0)</f>
        <v>800.25</v>
      </c>
      <c r="J59" s="362">
        <f>IFERROR(VLOOKUP(C59,'تقرير المصروفات حسب الشهر'!$C$763:$AD$872,19,FALSE),0)</f>
        <v>1400.25</v>
      </c>
      <c r="K59" s="362">
        <f>IFERROR(VLOOKUP(C59,'تقرير المصروفات حسب الشهر'!$C$890:$AD$999,19,FALSE),0)</f>
        <v>0</v>
      </c>
      <c r="L59" s="362">
        <f>IFERROR(VLOOKUP(C59,'تقرير المصروفات حسب الشهر'!$C$1016:$AD$1126,19,FALSE),0)</f>
        <v>3125.25</v>
      </c>
      <c r="M59" s="376">
        <f>IFERROR(VLOOKUP(C59,'تقرير المصروفات حسب الشهر'!$C$1143:$AD$1254,19,FALSE),0)</f>
        <v>1300</v>
      </c>
      <c r="N59" s="376">
        <f>IFERROR(VLOOKUP(C59,'تقرير المصروفات حسب الشهر'!$C$1270:$AD$1381,19,FALSE),0)</f>
        <v>2600.25</v>
      </c>
      <c r="O59" s="376">
        <f>IFERROR(VLOOKUP(C59,'تقرير المصروفات حسب الشهر'!$C$1397:$AI$1512,19,FALSE),0)</f>
        <v>1400.25</v>
      </c>
      <c r="P59" s="364">
        <f t="shared" si="5"/>
        <v>15581.5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الشهر'!$C$10:$AD$119,19,FALSE),0)</f>
        <v>2860</v>
      </c>
      <c r="E60" s="362">
        <f>IFERROR(VLOOKUP(C60,'تقرير المصروفات حسب الشهر'!$C$135:$AD$244,19,FALSE),0)</f>
        <v>0</v>
      </c>
      <c r="F60" s="362">
        <f>IFERROR(VLOOKUP(C60,'تقرير المصروفات حسب الشهر'!$C$261:$AD$368,19,FALSE),0)</f>
        <v>0</v>
      </c>
      <c r="G60" s="362">
        <f>IFERROR(VLOOKUP(C60,'تقرير المصروفات حسب الشهر'!$C$387:$AD$495,19,FALSE),0)</f>
        <v>0</v>
      </c>
      <c r="H60" s="362">
        <f>IFERROR(VLOOKUP(C60,'تقرير المصروفات حسب الشهر'!$C$512:$AD$620,19,FALSE),0)</f>
        <v>0</v>
      </c>
      <c r="I60" s="362">
        <f>IFERROR(VLOOKUP(C60,'تقرير المصروفات حسب الشهر'!$C$637:$AD$746,19,FALSE),0)</f>
        <v>3100</v>
      </c>
      <c r="J60" s="362">
        <f>IFERROR(VLOOKUP(C60,'تقرير المصروفات حسب الشهر'!$C$763:$AD$872,19,FALSE),0)</f>
        <v>0</v>
      </c>
      <c r="K60" s="362">
        <f>IFERROR(VLOOKUP(C60,'تقرير المصروفات حسب الشهر'!$C$890:$AD$999,19,FALSE),0)</f>
        <v>1650</v>
      </c>
      <c r="L60" s="362">
        <f>IFERROR(VLOOKUP(C60,'تقرير المصروفات حسب الشهر'!$C$1016:$AD$1126,19,FALSE),0)</f>
        <v>0</v>
      </c>
      <c r="M60" s="376">
        <f>IFERROR(VLOOKUP(C60,'تقرير المصروفات حسب الشهر'!$C$1143:$AD$1254,19,FALSE),0)</f>
        <v>3300</v>
      </c>
      <c r="N60" s="376">
        <f>IFERROR(VLOOKUP(C60,'تقرير المصروفات حسب الشهر'!$C$1270:$AD$1381,19,FALSE),0)</f>
        <v>0</v>
      </c>
      <c r="O60" s="376">
        <f>IFERROR(VLOOKUP(C60,'تقرير المصروفات حسب الشهر'!$C$1397:$AI$1512,19,FALSE),0)</f>
        <v>4290</v>
      </c>
      <c r="P60" s="364">
        <f t="shared" si="5"/>
        <v>15200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الشهر'!$C$10:$AD$119,19,FALSE),0)</f>
        <v>0</v>
      </c>
      <c r="E61" s="362">
        <f>IFERROR(VLOOKUP(C61,'تقرير المصروفات حسب الشهر'!$C$135:$AD$244,19,FALSE),0)</f>
        <v>0</v>
      </c>
      <c r="F61" s="362">
        <f>IFERROR(VLOOKUP(C61,'تقرير المصروفات حسب الشهر'!$C$261:$AD$368,19,FALSE),0)</f>
        <v>0</v>
      </c>
      <c r="G61" s="362">
        <f>IFERROR(VLOOKUP(C61,'تقرير المصروفات حسب الشهر'!$C$387:$AD$495,19,FALSE),0)</f>
        <v>0</v>
      </c>
      <c r="H61" s="362">
        <f>IFERROR(VLOOKUP(C61,'تقرير المصروفات حسب الشهر'!$C$512:$AD$620,19,FALSE),0)</f>
        <v>0</v>
      </c>
      <c r="I61" s="362">
        <f>IFERROR(VLOOKUP(C61,'تقرير المصروفات حسب الشهر'!$C$637:$AD$746,19,FALSE),0)</f>
        <v>0</v>
      </c>
      <c r="J61" s="362">
        <f>IFERROR(VLOOKUP(C61,'تقرير المصروفات حسب الشهر'!$C$763:$AD$872,19,FALSE),0)</f>
        <v>0</v>
      </c>
      <c r="K61" s="362">
        <f>IFERROR(VLOOKUP(C61,'تقرير المصروفات حسب الشهر'!$C$890:$AD$999,19,FALSE),0)</f>
        <v>0</v>
      </c>
      <c r="L61" s="362">
        <f>IFERROR(VLOOKUP(C61,'تقرير المصروفات حسب الشهر'!$C$1016:$AD$1126,19,FALSE),0)</f>
        <v>350</v>
      </c>
      <c r="M61" s="376">
        <f>IFERROR(VLOOKUP(C61,'تقرير المصروفات حسب الشهر'!$C$1143:$AD$1254,19,FALSE),0)</f>
        <v>0</v>
      </c>
      <c r="N61" s="376">
        <f>IFERROR(VLOOKUP(C61,'تقرير المصروفات حسب الشهر'!$C$1270:$AD$1381,19,FALSE),0)</f>
        <v>0</v>
      </c>
      <c r="O61" s="376">
        <f>IFERROR(VLOOKUP(C61,'تقرير المصروفات حسب الشهر'!$C$1397:$AI$1512,19,FALSE),0)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الشهر'!$C$10:$AD$119,19,FALSE),0)</f>
        <v>0</v>
      </c>
      <c r="E62" s="362">
        <f>IFERROR(VLOOKUP(C62,'تقرير المصروفات حسب الشهر'!$C$135:$AD$244,19,FALSE),0)</f>
        <v>0</v>
      </c>
      <c r="F62" s="362">
        <f>IFERROR(VLOOKUP(C62,'تقرير المصروفات حسب الشهر'!$C$261:$AD$368,19,FALSE),0)</f>
        <v>0</v>
      </c>
      <c r="G62" s="362">
        <f>IFERROR(VLOOKUP(C62,'تقرير المصروفات حسب الشهر'!$C$387:$AD$495,19,FALSE),0)</f>
        <v>0</v>
      </c>
      <c r="H62" s="362">
        <f>IFERROR(VLOOKUP(C62,'تقرير المصروفات حسب الشهر'!$C$512:$AD$620,19,FALSE),0)</f>
        <v>0</v>
      </c>
      <c r="I62" s="362">
        <f>IFERROR(VLOOKUP(C62,'تقرير المصروفات حسب الشهر'!$C$637:$AD$746,19,FALSE),0)</f>
        <v>0</v>
      </c>
      <c r="J62" s="362">
        <f>IFERROR(VLOOKUP(C62,'تقرير المصروفات حسب الشهر'!$C$763:$AD$872,19,FALSE),0)</f>
        <v>0</v>
      </c>
      <c r="K62" s="362">
        <f>IFERROR(VLOOKUP(C62,'تقرير المصروفات حسب الشهر'!$C$890:$AD$999,19,FALSE),0)</f>
        <v>0</v>
      </c>
      <c r="L62" s="362">
        <f>IFERROR(VLOOKUP(C62,'تقرير المصروفات حسب الشهر'!$C$1016:$AD$1126,19,FALSE),0)</f>
        <v>0</v>
      </c>
      <c r="M62" s="376">
        <f>IFERROR(VLOOKUP(C62,'تقرير المصروفات حسب الشهر'!$C$1143:$AD$1254,19,FALSE),0)</f>
        <v>0</v>
      </c>
      <c r="N62" s="376">
        <f>IFERROR(VLOOKUP(C62,'تقرير المصروفات حسب الشهر'!$C$1270:$AD$1381,19,FALSE),0)</f>
        <v>0</v>
      </c>
      <c r="O62" s="376">
        <f>IFERROR(VLOOKUP(C62,'تقرير المصروفات حسب الشهر'!$C$1397:$AI$1512,19,FALSE),0)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الشهر'!$C$10:$AD$119,19,FALSE),0)</f>
        <v>0</v>
      </c>
      <c r="E63" s="362">
        <f>IFERROR(VLOOKUP(C63,'تقرير المصروفات حسب الشهر'!$C$135:$AD$244,19,FALSE),0)</f>
        <v>0</v>
      </c>
      <c r="F63" s="362">
        <f>IFERROR(VLOOKUP(C63,'تقرير المصروفات حسب الشهر'!$C$261:$AD$368,19,FALSE),0)</f>
        <v>0</v>
      </c>
      <c r="G63" s="362">
        <f>IFERROR(VLOOKUP(C63,'تقرير المصروفات حسب الشهر'!$C$387:$AD$495,19,FALSE),0)</f>
        <v>0</v>
      </c>
      <c r="H63" s="362">
        <f>IFERROR(VLOOKUP(C63,'تقرير المصروفات حسب الشهر'!$C$512:$AD$620,19,FALSE),0)</f>
        <v>0</v>
      </c>
      <c r="I63" s="362">
        <f>IFERROR(VLOOKUP(C63,'تقرير المصروفات حسب الشهر'!$C$637:$AD$746,19,FALSE),0)</f>
        <v>0</v>
      </c>
      <c r="J63" s="362">
        <f>IFERROR(VLOOKUP(C63,'تقرير المصروفات حسب الشهر'!$C$763:$AD$872,19,FALSE),0)</f>
        <v>0</v>
      </c>
      <c r="K63" s="362">
        <f>IFERROR(VLOOKUP(C63,'تقرير المصروفات حسب الشهر'!$C$890:$AD$999,19,FALSE),0)</f>
        <v>0</v>
      </c>
      <c r="L63" s="362">
        <f>IFERROR(VLOOKUP(C63,'تقرير المصروفات حسب الشهر'!$C$1016:$AD$1126,19,FALSE),0)</f>
        <v>0</v>
      </c>
      <c r="M63" s="376">
        <f>IFERROR(VLOOKUP(C63,'تقرير المصروفات حسب الشهر'!$C$1143:$AD$1254,19,FALSE),0)</f>
        <v>0</v>
      </c>
      <c r="N63" s="376">
        <f>IFERROR(VLOOKUP(C63,'تقرير المصروفات حسب الشهر'!$C$1270:$AD$1381,19,FALSE),0)</f>
        <v>0</v>
      </c>
      <c r="O63" s="376">
        <f>IFERROR(VLOOKUP(C63,'تقرير المصروفات حسب الشهر'!$C$1397:$AI$1512,19,FALSE),0)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الشهر'!$C$10:$AD$119,19,FALSE),0)</f>
        <v>0</v>
      </c>
      <c r="E64" s="362">
        <f>IFERROR(VLOOKUP(C64,'تقرير المصروفات حسب الشهر'!$C$135:$AD$244,19,FALSE),0)</f>
        <v>0</v>
      </c>
      <c r="F64" s="362">
        <f>IFERROR(VLOOKUP(C64,'تقرير المصروفات حسب الشهر'!$C$261:$AD$368,19,FALSE),0)</f>
        <v>0</v>
      </c>
      <c r="G64" s="362">
        <f>IFERROR(VLOOKUP(C64,'تقرير المصروفات حسب الشهر'!$C$387:$AD$495,19,FALSE),0)</f>
        <v>0</v>
      </c>
      <c r="H64" s="362">
        <f>IFERROR(VLOOKUP(C64,'تقرير المصروفات حسب الشهر'!$C$512:$AD$620,19,FALSE),0)</f>
        <v>0</v>
      </c>
      <c r="I64" s="362">
        <f>IFERROR(VLOOKUP(C64,'تقرير المصروفات حسب الشهر'!$C$637:$AD$746,19,FALSE),0)</f>
        <v>0</v>
      </c>
      <c r="J64" s="362">
        <f>IFERROR(VLOOKUP(C64,'تقرير المصروفات حسب الشهر'!$C$763:$AD$872,19,FALSE),0)</f>
        <v>0</v>
      </c>
      <c r="K64" s="362">
        <f>IFERROR(VLOOKUP(C64,'تقرير المصروفات حسب الشهر'!$C$890:$AD$999,19,FALSE),0)</f>
        <v>0</v>
      </c>
      <c r="L64" s="362">
        <f>IFERROR(VLOOKUP(C64,'تقرير المصروفات حسب الشهر'!$C$1016:$AD$1126,19,FALSE),0)</f>
        <v>0</v>
      </c>
      <c r="M64" s="376">
        <f>IFERROR(VLOOKUP(C64,'تقرير المصروفات حسب الشهر'!$C$1143:$AD$1254,19,FALSE),0)</f>
        <v>0</v>
      </c>
      <c r="N64" s="376">
        <f>IFERROR(VLOOKUP(C64,'تقرير المصروفات حسب الشهر'!$C$1270:$AD$1381,19,FALSE),0)</f>
        <v>0</v>
      </c>
      <c r="O64" s="376">
        <f>IFERROR(VLOOKUP(C64,'تقرير المصروفات حسب الشهر'!$C$1397:$AI$1512,19,FALSE),0)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الشهر'!$C$10:$AD$119,19,FALSE),0)</f>
        <v>0</v>
      </c>
      <c r="E65" s="362">
        <f>IFERROR(VLOOKUP(C65,'تقرير المصروفات حسب الشهر'!$C$135:$AD$244,19,FALSE),0)</f>
        <v>0</v>
      </c>
      <c r="F65" s="362">
        <f>IFERROR(VLOOKUP(C65,'تقرير المصروفات حسب الشهر'!$C$261:$AD$368,19,FALSE),0)</f>
        <v>0</v>
      </c>
      <c r="G65" s="362">
        <f>IFERROR(VLOOKUP(C65,'تقرير المصروفات حسب الشهر'!$C$387:$AD$495,19,FALSE),0)</f>
        <v>0</v>
      </c>
      <c r="H65" s="362">
        <f>IFERROR(VLOOKUP(C65,'تقرير المصروفات حسب الشهر'!$C$512:$AD$620,19,FALSE),0)</f>
        <v>0</v>
      </c>
      <c r="I65" s="362">
        <f>IFERROR(VLOOKUP(C65,'تقرير المصروفات حسب الشهر'!$C$637:$AD$746,19,FALSE),0)</f>
        <v>0</v>
      </c>
      <c r="J65" s="362">
        <f>IFERROR(VLOOKUP(C65,'تقرير المصروفات حسب الشهر'!$C$763:$AD$872,19,FALSE),0)</f>
        <v>0</v>
      </c>
      <c r="K65" s="362">
        <f>IFERROR(VLOOKUP(C65,'تقرير المصروفات حسب الشهر'!$C$890:$AD$999,19,FALSE),0)</f>
        <v>0</v>
      </c>
      <c r="L65" s="362">
        <f>IFERROR(VLOOKUP(C65,'تقرير المصروفات حسب الشهر'!$C$1016:$AD$1126,19,FALSE),0)</f>
        <v>0</v>
      </c>
      <c r="M65" s="376">
        <f>IFERROR(VLOOKUP(C65,'تقرير المصروفات حسب الشهر'!$C$1143:$AD$1254,19,FALSE),0)</f>
        <v>0</v>
      </c>
      <c r="N65" s="376">
        <f>IFERROR(VLOOKUP(C65,'تقرير المصروفات حسب الشهر'!$C$1270:$AD$1381,19,FALSE),0)</f>
        <v>0</v>
      </c>
      <c r="O65" s="376">
        <f>IFERROR(VLOOKUP(C65,'تقرير المصروفات حسب الشهر'!$C$1397:$AI$1512,19,FALSE),0)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الشهر'!$C$10:$AD$119,19,FALSE),0)</f>
        <v>0</v>
      </c>
      <c r="E66" s="362">
        <f>IFERROR(VLOOKUP(C66,'تقرير المصروفات حسب الشهر'!$C$135:$AD$244,19,FALSE),0)</f>
        <v>0</v>
      </c>
      <c r="F66" s="362">
        <f>IFERROR(VLOOKUP(C66,'تقرير المصروفات حسب الشهر'!$C$261:$AD$368,19,FALSE),0)</f>
        <v>0</v>
      </c>
      <c r="G66" s="362">
        <f>IFERROR(VLOOKUP(C66,'تقرير المصروفات حسب الشهر'!$C$387:$AD$495,19,FALSE),0)</f>
        <v>0</v>
      </c>
      <c r="H66" s="362">
        <f>IFERROR(VLOOKUP(C66,'تقرير المصروفات حسب الشهر'!$C$512:$AD$620,19,FALSE),0)</f>
        <v>0</v>
      </c>
      <c r="I66" s="362">
        <f>IFERROR(VLOOKUP(C66,'تقرير المصروفات حسب الشهر'!$C$637:$AD$746,19,FALSE),0)</f>
        <v>0</v>
      </c>
      <c r="J66" s="362">
        <f>IFERROR(VLOOKUP(C66,'تقرير المصروفات حسب الشهر'!$C$763:$AD$872,19,FALSE),0)</f>
        <v>0</v>
      </c>
      <c r="K66" s="362">
        <f>IFERROR(VLOOKUP(C66,'تقرير المصروفات حسب الشهر'!$C$890:$AD$999,19,FALSE),0)</f>
        <v>0</v>
      </c>
      <c r="L66" s="362">
        <f>IFERROR(VLOOKUP(C66,'تقرير المصروفات حسب الشهر'!$C$1016:$AD$1126,19,FALSE),0)</f>
        <v>0</v>
      </c>
      <c r="M66" s="376">
        <f>IFERROR(VLOOKUP(C66,'تقرير المصروفات حسب الشهر'!$C$1143:$AD$1254,19,FALSE),0)</f>
        <v>0</v>
      </c>
      <c r="N66" s="376">
        <f>IFERROR(VLOOKUP(C66,'تقرير المصروفات حسب الشهر'!$C$1270:$AD$1381,19,FALSE),0)</f>
        <v>0</v>
      </c>
      <c r="O66" s="376">
        <f>IFERROR(VLOOKUP(C66,'تقرير المصروفات حسب الشهر'!$C$1397:$AI$1512,19,FALSE),0)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الشهر'!$C$10:$AD$119,19,FALSE),0)</f>
        <v>0</v>
      </c>
      <c r="E67" s="362">
        <f>IFERROR(VLOOKUP(C67,'تقرير المصروفات حسب الشهر'!$C$135:$AD$244,19,FALSE),0)</f>
        <v>0</v>
      </c>
      <c r="F67" s="362">
        <f>IFERROR(VLOOKUP(C67,'تقرير المصروفات حسب الشهر'!$C$261:$AD$368,19,FALSE),0)</f>
        <v>0</v>
      </c>
      <c r="G67" s="362">
        <f>IFERROR(VLOOKUP(C67,'تقرير المصروفات حسب الشهر'!$C$387:$AD$495,19,FALSE),0)</f>
        <v>0</v>
      </c>
      <c r="H67" s="362">
        <f>IFERROR(VLOOKUP(C67,'تقرير المصروفات حسب الشهر'!$C$512:$AD$620,19,FALSE),0)</f>
        <v>0</v>
      </c>
      <c r="I67" s="362">
        <f>IFERROR(VLOOKUP(C67,'تقرير المصروفات حسب الشهر'!$C$637:$AD$746,19,FALSE),0)</f>
        <v>0</v>
      </c>
      <c r="J67" s="362">
        <f>IFERROR(VLOOKUP(C67,'تقرير المصروفات حسب الشهر'!$C$763:$AD$872,19,FALSE),0)</f>
        <v>0</v>
      </c>
      <c r="K67" s="362">
        <f>IFERROR(VLOOKUP(C67,'تقرير المصروفات حسب الشهر'!$C$890:$AD$999,19,FALSE),0)</f>
        <v>0</v>
      </c>
      <c r="L67" s="362">
        <f>IFERROR(VLOOKUP(C67,'تقرير المصروفات حسب الشهر'!$C$1016:$AD$1126,19,FALSE),0)</f>
        <v>0</v>
      </c>
      <c r="M67" s="376">
        <f>IFERROR(VLOOKUP(C67,'تقرير المصروفات حسب الشهر'!$C$1143:$AD$1254,19,FALSE),0)</f>
        <v>0</v>
      </c>
      <c r="N67" s="376">
        <f>IFERROR(VLOOKUP(C67,'تقرير المصروفات حسب الشهر'!$C$1270:$AD$1381,19,FALSE),0)</f>
        <v>0</v>
      </c>
      <c r="O67" s="376">
        <f>IFERROR(VLOOKUP(C67,'تقرير المصروفات حسب الشهر'!$C$1397:$AI$1512,19,FALSE),0)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الشهر'!$C$10:$AD$119,19,FALSE),0)</f>
        <v>0</v>
      </c>
      <c r="E68" s="362">
        <f>IFERROR(VLOOKUP(C68,'تقرير المصروفات حسب الشهر'!$C$135:$AD$244,19,FALSE),0)</f>
        <v>0</v>
      </c>
      <c r="F68" s="362">
        <f>IFERROR(VLOOKUP(C68,'تقرير المصروفات حسب الشهر'!$C$261:$AD$368,19,FALSE),0)</f>
        <v>0</v>
      </c>
      <c r="G68" s="362">
        <f>IFERROR(VLOOKUP(C68,'تقرير المصروفات حسب الشهر'!$C$387:$AD$495,19,FALSE),0)</f>
        <v>0</v>
      </c>
      <c r="H68" s="362">
        <f>IFERROR(VLOOKUP(C68,'تقرير المصروفات حسب الشهر'!$C$512:$AD$620,19,FALSE),0)</f>
        <v>0</v>
      </c>
      <c r="I68" s="362">
        <f>IFERROR(VLOOKUP(C68,'تقرير المصروفات حسب الشهر'!$C$637:$AD$746,19,FALSE),0)</f>
        <v>0</v>
      </c>
      <c r="J68" s="362">
        <f>IFERROR(VLOOKUP(C68,'تقرير المصروفات حسب الشهر'!$C$763:$AD$872,19,FALSE),0)</f>
        <v>0</v>
      </c>
      <c r="K68" s="362">
        <f>IFERROR(VLOOKUP(C68,'تقرير المصروفات حسب الشهر'!$C$890:$AD$999,19,FALSE),0)</f>
        <v>0</v>
      </c>
      <c r="L68" s="362">
        <f>IFERROR(VLOOKUP(C68,'تقرير المصروفات حسب الشهر'!$C$1016:$AD$1126,19,FALSE),0)</f>
        <v>0</v>
      </c>
      <c r="M68" s="376">
        <f>IFERROR(VLOOKUP(C68,'تقرير المصروفات حسب الشهر'!$C$1143:$AD$1254,19,FALSE),0)</f>
        <v>0</v>
      </c>
      <c r="N68" s="376">
        <f>IFERROR(VLOOKUP(C68,'تقرير المصروفات حسب الشهر'!$C$1270:$AD$1381,19,FALSE),0)</f>
        <v>0</v>
      </c>
      <c r="O68" s="376">
        <f>IFERROR(VLOOKUP(C68,'تقرير المصروفات حسب الشهر'!$C$1397:$AI$1512,19,FALSE),0)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الشهر'!$C$10:$AD$119,19,FALSE),0)</f>
        <v>0</v>
      </c>
      <c r="E69" s="362">
        <f>IFERROR(VLOOKUP(C69,'تقرير المصروفات حسب الشهر'!$C$135:$AD$244,19,FALSE),0)</f>
        <v>0</v>
      </c>
      <c r="F69" s="362">
        <f>IFERROR(VLOOKUP(C69,'تقرير المصروفات حسب الشهر'!$C$261:$AD$368,19,FALSE),0)</f>
        <v>0</v>
      </c>
      <c r="G69" s="362">
        <f>IFERROR(VLOOKUP(C69,'تقرير المصروفات حسب الشهر'!$C$387:$AD$495,19,FALSE),0)</f>
        <v>0</v>
      </c>
      <c r="H69" s="362">
        <f>IFERROR(VLOOKUP(C69,'تقرير المصروفات حسب الشهر'!$C$512:$AD$620,19,FALSE),0)</f>
        <v>0</v>
      </c>
      <c r="I69" s="362">
        <f>IFERROR(VLOOKUP(C69,'تقرير المصروفات حسب الشهر'!$C$637:$AD$746,19,FALSE),0)</f>
        <v>0</v>
      </c>
      <c r="J69" s="362">
        <f>IFERROR(VLOOKUP(C69,'تقرير المصروفات حسب الشهر'!$C$763:$AD$872,19,FALSE),0)</f>
        <v>0</v>
      </c>
      <c r="K69" s="362">
        <f>IFERROR(VLOOKUP(C69,'تقرير المصروفات حسب الشهر'!$C$890:$AD$999,19,FALSE),0)</f>
        <v>0</v>
      </c>
      <c r="L69" s="362">
        <f>IFERROR(VLOOKUP(C69,'تقرير المصروفات حسب الشهر'!$C$1016:$AD$1126,19,FALSE),0)</f>
        <v>0</v>
      </c>
      <c r="M69" s="376">
        <f>IFERROR(VLOOKUP(C69,'تقرير المصروفات حسب الشهر'!$C$1143:$AD$1254,19,FALSE),0)</f>
        <v>0</v>
      </c>
      <c r="N69" s="376">
        <f>IFERROR(VLOOKUP(C69,'تقرير المصروفات حسب الشهر'!$C$1270:$AD$1381,19,FALSE),0)</f>
        <v>0</v>
      </c>
      <c r="O69" s="376">
        <f>IFERROR(VLOOKUP(C69,'تقرير المصروفات حسب الشهر'!$C$1397:$AI$1512,19,FALSE),0)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الشهر'!$C$10:$AD$119,19,FALSE),0)</f>
        <v>0</v>
      </c>
      <c r="E70" s="362">
        <f>IFERROR(VLOOKUP(C70,'تقرير المصروفات حسب الشهر'!$C$135:$AD$244,19,FALSE),0)</f>
        <v>0</v>
      </c>
      <c r="F70" s="362">
        <f>IFERROR(VLOOKUP(C70,'تقرير المصروفات حسب الشهر'!$C$261:$AD$368,19,FALSE),0)</f>
        <v>0</v>
      </c>
      <c r="G70" s="362">
        <f>IFERROR(VLOOKUP(C70,'تقرير المصروفات حسب الشهر'!$C$387:$AD$495,19,FALSE),0)</f>
        <v>0</v>
      </c>
      <c r="H70" s="362">
        <f>IFERROR(VLOOKUP(C70,'تقرير المصروفات حسب الشهر'!$C$512:$AD$620,19,FALSE),0)</f>
        <v>0</v>
      </c>
      <c r="I70" s="362">
        <f>IFERROR(VLOOKUP(C70,'تقرير المصروفات حسب الشهر'!$C$637:$AD$746,19,FALSE),0)</f>
        <v>0</v>
      </c>
      <c r="J70" s="362">
        <f>IFERROR(VLOOKUP(C70,'تقرير المصروفات حسب الشهر'!$C$763:$AD$872,19,FALSE),0)</f>
        <v>0</v>
      </c>
      <c r="K70" s="362">
        <f>IFERROR(VLOOKUP(C70,'تقرير المصروفات حسب الشهر'!$C$890:$AD$999,19,FALSE),0)</f>
        <v>0</v>
      </c>
      <c r="L70" s="362">
        <f>IFERROR(VLOOKUP(C70,'تقرير المصروفات حسب الشهر'!$C$1016:$AD$1126,19,FALSE),0)</f>
        <v>0</v>
      </c>
      <c r="M70" s="376">
        <f>IFERROR(VLOOKUP(C70,'تقرير المصروفات حسب الشهر'!$C$1143:$AD$1254,19,FALSE),0)</f>
        <v>0</v>
      </c>
      <c r="N70" s="376">
        <f>IFERROR(VLOOKUP(C70,'تقرير المصروفات حسب الشهر'!$C$1270:$AD$1381,19,FALSE),0)</f>
        <v>0</v>
      </c>
      <c r="O70" s="376">
        <f>IFERROR(VLOOKUP(C70,'تقرير المصروفات حسب الشهر'!$C$1397:$AI$1512,19,FALSE),0)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الشهر'!$C$10:$AD$119,19,FALSE),0)</f>
        <v>0</v>
      </c>
      <c r="E71" s="362">
        <f>IFERROR(VLOOKUP(C71,'تقرير المصروفات حسب الشهر'!$C$135:$AD$244,19,FALSE),0)</f>
        <v>0</v>
      </c>
      <c r="F71" s="362">
        <f>IFERROR(VLOOKUP(C71,'تقرير المصروفات حسب الشهر'!$C$261:$AD$368,19,FALSE),0)</f>
        <v>0</v>
      </c>
      <c r="G71" s="362">
        <f>IFERROR(VLOOKUP(C71,'تقرير المصروفات حسب الشهر'!$C$387:$AD$495,19,FALSE),0)</f>
        <v>0</v>
      </c>
      <c r="H71" s="362">
        <f>IFERROR(VLOOKUP(C71,'تقرير المصروفات حسب الشهر'!$C$512:$AD$620,19,FALSE),0)</f>
        <v>0</v>
      </c>
      <c r="I71" s="362">
        <f>IFERROR(VLOOKUP(C71,'تقرير المصروفات حسب الشهر'!$C$637:$AD$746,19,FALSE),0)</f>
        <v>0</v>
      </c>
      <c r="J71" s="362">
        <f>IFERROR(VLOOKUP(C71,'تقرير المصروفات حسب الشهر'!$C$763:$AD$872,19,FALSE),0)</f>
        <v>0</v>
      </c>
      <c r="K71" s="362">
        <f>IFERROR(VLOOKUP(C71,'تقرير المصروفات حسب الشهر'!$C$890:$AD$999,19,FALSE),0)</f>
        <v>0</v>
      </c>
      <c r="L71" s="362">
        <f>IFERROR(VLOOKUP(C71,'تقرير المصروفات حسب الشهر'!$C$1016:$AD$1126,19,FALSE),0)</f>
        <v>0</v>
      </c>
      <c r="M71" s="376">
        <f>IFERROR(VLOOKUP(C71,'تقرير المصروفات حسب الشهر'!$C$1143:$AD$1254,19,FALSE),0)</f>
        <v>0</v>
      </c>
      <c r="N71" s="376">
        <f>IFERROR(VLOOKUP(C71,'تقرير المصروفات حسب الشهر'!$C$1270:$AD$1381,19,FALSE),0)</f>
        <v>0</v>
      </c>
      <c r="O71" s="376">
        <f>IFERROR(VLOOKUP(C71,'تقرير المصروفات حسب الشهر'!$C$1397:$AI$1512,19,FALSE),0)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الشهر'!$C$10:$AD$119,19,FALSE),0)</f>
        <v>0</v>
      </c>
      <c r="E72" s="362">
        <f>IFERROR(VLOOKUP(C72,'تقرير المصروفات حسب الشهر'!$C$135:$AD$244,19,FALSE),0)</f>
        <v>0</v>
      </c>
      <c r="F72" s="362">
        <f>IFERROR(VLOOKUP(C72,'تقرير المصروفات حسب الشهر'!$C$261:$AD$368,19,FALSE),0)</f>
        <v>0</v>
      </c>
      <c r="G72" s="362">
        <f>IFERROR(VLOOKUP(C72,'تقرير المصروفات حسب الشهر'!$C$387:$AD$495,19,FALSE),0)</f>
        <v>0</v>
      </c>
      <c r="H72" s="362">
        <f>IFERROR(VLOOKUP(C72,'تقرير المصروفات حسب الشهر'!$C$512:$AD$620,19,FALSE),0)</f>
        <v>0</v>
      </c>
      <c r="I72" s="362">
        <f>IFERROR(VLOOKUP(C72,'تقرير المصروفات حسب الشهر'!$C$637:$AD$746,19,FALSE),0)</f>
        <v>0</v>
      </c>
      <c r="J72" s="362">
        <f>IFERROR(VLOOKUP(C72,'تقرير المصروفات حسب الشهر'!$C$763:$AD$872,19,FALSE),0)</f>
        <v>0</v>
      </c>
      <c r="K72" s="362">
        <f>IFERROR(VLOOKUP(C72,'تقرير المصروفات حسب الشهر'!$C$890:$AD$999,19,FALSE),0)</f>
        <v>0</v>
      </c>
      <c r="L72" s="362">
        <f>IFERROR(VLOOKUP(C72,'تقرير المصروفات حسب الشهر'!$C$1016:$AD$1126,19,FALSE),0)</f>
        <v>0</v>
      </c>
      <c r="M72" s="376">
        <f>IFERROR(VLOOKUP(C72,'تقرير المصروفات حسب الشهر'!$C$1143:$AD$1254,19,FALSE),0)</f>
        <v>0</v>
      </c>
      <c r="N72" s="376">
        <f>IFERROR(VLOOKUP(C72,'تقرير المصروفات حسب الشهر'!$C$1270:$AD$1381,19,FALSE),0)</f>
        <v>0</v>
      </c>
      <c r="O72" s="376">
        <f>IFERROR(VLOOKUP(C72,'تقرير المصروفات حسب الشهر'!$C$1397:$AI$1512,19,FALSE),0)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الشهر'!$C$10:$AD$119,19,FALSE),0)</f>
        <v>0</v>
      </c>
      <c r="E73" s="362">
        <f>IFERROR(VLOOKUP(C73,'تقرير المصروفات حسب الشهر'!$C$135:$AD$244,19,FALSE),0)</f>
        <v>0</v>
      </c>
      <c r="F73" s="362">
        <f>IFERROR(VLOOKUP(C73,'تقرير المصروفات حسب الشهر'!$C$261:$AD$368,19,FALSE),0)</f>
        <v>0</v>
      </c>
      <c r="G73" s="362">
        <f>IFERROR(VLOOKUP(C73,'تقرير المصروفات حسب الشهر'!$C$387:$AD$495,19,FALSE),0)</f>
        <v>0</v>
      </c>
      <c r="H73" s="362">
        <f>IFERROR(VLOOKUP(C73,'تقرير المصروفات حسب الشهر'!$C$512:$AD$620,19,FALSE),0)</f>
        <v>0</v>
      </c>
      <c r="I73" s="362">
        <f>IFERROR(VLOOKUP(C73,'تقرير المصروفات حسب الشهر'!$C$637:$AD$746,19,FALSE),0)</f>
        <v>0</v>
      </c>
      <c r="J73" s="362">
        <f>IFERROR(VLOOKUP(C73,'تقرير المصروفات حسب الشهر'!$C$763:$AD$872,19,FALSE),0)</f>
        <v>0</v>
      </c>
      <c r="K73" s="362">
        <f>IFERROR(VLOOKUP(C73,'تقرير المصروفات حسب الشهر'!$C$890:$AD$999,19,FALSE),0)</f>
        <v>0</v>
      </c>
      <c r="L73" s="362">
        <f>IFERROR(VLOOKUP(C73,'تقرير المصروفات حسب الشهر'!$C$1016:$AD$1126,19,FALSE),0)</f>
        <v>0</v>
      </c>
      <c r="M73" s="376">
        <f>IFERROR(VLOOKUP(C73,'تقرير المصروفات حسب الشهر'!$C$1143:$AD$1254,19,FALSE),0)</f>
        <v>0</v>
      </c>
      <c r="N73" s="376">
        <f>IFERROR(VLOOKUP(C73,'تقرير المصروفات حسب الشهر'!$C$1270:$AD$1381,19,FALSE),0)</f>
        <v>0</v>
      </c>
      <c r="O73" s="376">
        <f>IFERROR(VLOOKUP(C73,'تقرير المصروفات حسب الشهر'!$C$1397:$AI$1512,19,FALSE),0)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الشهر'!$C$10:$AD$119,19,FALSE),0)</f>
        <v>0</v>
      </c>
      <c r="E74" s="362">
        <f>IFERROR(VLOOKUP(C74,'تقرير المصروفات حسب الشهر'!$C$135:$AD$244,19,FALSE),0)</f>
        <v>0</v>
      </c>
      <c r="F74" s="362">
        <f>IFERROR(VLOOKUP(C74,'تقرير المصروفات حسب الشهر'!$C$261:$AD$368,19,FALSE),0)</f>
        <v>0</v>
      </c>
      <c r="G74" s="362">
        <f>IFERROR(VLOOKUP(C74,'تقرير المصروفات حسب الشهر'!$C$387:$AD$495,19,FALSE),0)</f>
        <v>0</v>
      </c>
      <c r="H74" s="362">
        <f>IFERROR(VLOOKUP(C74,'تقرير المصروفات حسب الشهر'!$C$512:$AD$620,19,FALSE),0)</f>
        <v>0</v>
      </c>
      <c r="I74" s="362">
        <f>IFERROR(VLOOKUP(C74,'تقرير المصروفات حسب الشهر'!$C$637:$AD$746,19,FALSE),0)</f>
        <v>0</v>
      </c>
      <c r="J74" s="362">
        <f>IFERROR(VLOOKUP(C74,'تقرير المصروفات حسب الشهر'!$C$763:$AD$872,19,FALSE),0)</f>
        <v>0</v>
      </c>
      <c r="K74" s="362">
        <f>IFERROR(VLOOKUP(C74,'تقرير المصروفات حسب الشهر'!$C$890:$AD$999,19,FALSE),0)</f>
        <v>0</v>
      </c>
      <c r="L74" s="362">
        <f>IFERROR(VLOOKUP(C74,'تقرير المصروفات حسب الشهر'!$C$1016:$AD$1126,19,FALSE),0)</f>
        <v>0</v>
      </c>
      <c r="M74" s="376">
        <f>IFERROR(VLOOKUP(C74,'تقرير المصروفات حسب الشهر'!$C$1143:$AD$1254,19,FALSE),0)</f>
        <v>0</v>
      </c>
      <c r="N74" s="376">
        <f>IFERROR(VLOOKUP(C74,'تقرير المصروفات حسب الشهر'!$C$1270:$AD$1381,19,FALSE),0)</f>
        <v>0</v>
      </c>
      <c r="O74" s="376">
        <f>IFERROR(VLOOKUP(C74,'تقرير المصروفات حسب الشهر'!$C$1397:$AI$1512,19,FALSE),0)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الشهر'!$C$10:$AD$119,19,FALSE),0)</f>
        <v>0</v>
      </c>
      <c r="E75" s="362">
        <f>IFERROR(VLOOKUP(C75,'تقرير المصروفات حسب الشهر'!$C$135:$AD$244,19,FALSE),0)</f>
        <v>0</v>
      </c>
      <c r="F75" s="362">
        <f>IFERROR(VLOOKUP(C75,'تقرير المصروفات حسب الشهر'!$C$261:$AD$368,19,FALSE),0)</f>
        <v>0</v>
      </c>
      <c r="G75" s="362">
        <f>IFERROR(VLOOKUP(C75,'تقرير المصروفات حسب الشهر'!$C$387:$AD$495,19,FALSE),0)</f>
        <v>0</v>
      </c>
      <c r="H75" s="362">
        <f>IFERROR(VLOOKUP(C75,'تقرير المصروفات حسب الشهر'!$C$512:$AD$620,19,FALSE),0)</f>
        <v>0</v>
      </c>
      <c r="I75" s="362">
        <f>IFERROR(VLOOKUP(C75,'تقرير المصروفات حسب الشهر'!$C$637:$AD$746,19,FALSE),0)</f>
        <v>0</v>
      </c>
      <c r="J75" s="362">
        <f>IFERROR(VLOOKUP(C75,'تقرير المصروفات حسب الشهر'!$C$763:$AD$872,19,FALSE),0)</f>
        <v>0</v>
      </c>
      <c r="K75" s="362">
        <f>IFERROR(VLOOKUP(C75,'تقرير المصروفات حسب الشهر'!$C$890:$AD$999,19,FALSE),0)</f>
        <v>0</v>
      </c>
      <c r="L75" s="362">
        <f>IFERROR(VLOOKUP(C75,'تقرير المصروفات حسب الشهر'!$C$1016:$AD$1126,19,FALSE),0)</f>
        <v>0</v>
      </c>
      <c r="M75" s="376">
        <f>IFERROR(VLOOKUP(C75,'تقرير المصروفات حسب الشهر'!$C$1143:$AD$1254,19,FALSE),0)</f>
        <v>0</v>
      </c>
      <c r="N75" s="376">
        <f>IFERROR(VLOOKUP(C75,'تقرير المصروفات حسب الشهر'!$C$1270:$AD$1381,19,FALSE),0)</f>
        <v>0</v>
      </c>
      <c r="O75" s="376">
        <f>IFERROR(VLOOKUP(C75,'تقرير المصروفات حسب الشهر'!$C$1397:$AI$1512,19,FALSE),0)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الشهر'!$C$10:$AD$119,19,FALSE),0)</f>
        <v>0</v>
      </c>
      <c r="E76" s="362">
        <f>IFERROR(VLOOKUP(C76,'تقرير المصروفات حسب الشهر'!$C$135:$AD$244,19,FALSE),0)</f>
        <v>0</v>
      </c>
      <c r="F76" s="362">
        <f>IFERROR(VLOOKUP(C76,'تقرير المصروفات حسب الشهر'!$C$261:$AD$368,19,FALSE),0)</f>
        <v>0</v>
      </c>
      <c r="G76" s="362">
        <f>IFERROR(VLOOKUP(C76,'تقرير المصروفات حسب الشهر'!$C$387:$AD$495,19,FALSE),0)</f>
        <v>0</v>
      </c>
      <c r="H76" s="362">
        <f>IFERROR(VLOOKUP(C76,'تقرير المصروفات حسب الشهر'!$C$512:$AD$620,19,FALSE),0)</f>
        <v>0</v>
      </c>
      <c r="I76" s="362">
        <f>IFERROR(VLOOKUP(C76,'تقرير المصروفات حسب الشهر'!$C$637:$AD$746,19,FALSE),0)</f>
        <v>0</v>
      </c>
      <c r="J76" s="362">
        <f>IFERROR(VLOOKUP(C76,'تقرير المصروفات حسب الشهر'!$C$763:$AD$872,19,FALSE),0)</f>
        <v>0</v>
      </c>
      <c r="K76" s="362">
        <f>IFERROR(VLOOKUP(C76,'تقرير المصروفات حسب الشهر'!$C$890:$AD$999,19,FALSE),0)</f>
        <v>0</v>
      </c>
      <c r="L76" s="362">
        <f>IFERROR(VLOOKUP(C76,'تقرير المصروفات حسب الشهر'!$C$1016:$AD$1126,19,FALSE),0)</f>
        <v>0</v>
      </c>
      <c r="M76" s="376">
        <f>IFERROR(VLOOKUP(C76,'تقرير المصروفات حسب الشهر'!$C$1143:$AD$1254,19,FALSE),0)</f>
        <v>0</v>
      </c>
      <c r="N76" s="376">
        <f>IFERROR(VLOOKUP(C76,'تقرير المصروفات حسب الشهر'!$C$1270:$AD$1381,19,FALSE),0)</f>
        <v>0</v>
      </c>
      <c r="O76" s="376">
        <f>IFERROR(VLOOKUP(C76,'تقرير المصروفات حسب الشهر'!$C$1397:$AI$1512,19,FALSE),0)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الشهر'!$C$10:$AD$119,19,FALSE),0)</f>
        <v>0</v>
      </c>
      <c r="E77" s="362">
        <f>IFERROR(VLOOKUP(C77,'تقرير المصروفات حسب الشهر'!$C$135:$AD$244,19,FALSE),0)</f>
        <v>0</v>
      </c>
      <c r="F77" s="362">
        <f>IFERROR(VLOOKUP(C77,'تقرير المصروفات حسب الشهر'!$C$261:$AD$368,19,FALSE),0)</f>
        <v>0</v>
      </c>
      <c r="G77" s="362">
        <f>IFERROR(VLOOKUP(C77,'تقرير المصروفات حسب الشهر'!$C$387:$AD$495,19,FALSE),0)</f>
        <v>0</v>
      </c>
      <c r="H77" s="362">
        <f>IFERROR(VLOOKUP(C77,'تقرير المصروفات حسب الشهر'!$C$512:$AD$620,19,FALSE),0)</f>
        <v>0</v>
      </c>
      <c r="I77" s="362">
        <f>IFERROR(VLOOKUP(C77,'تقرير المصروفات حسب الشهر'!$C$637:$AD$746,19,FALSE),0)</f>
        <v>0</v>
      </c>
      <c r="J77" s="362">
        <f>IFERROR(VLOOKUP(C77,'تقرير المصروفات حسب الشهر'!$C$763:$AD$872,19,FALSE),0)</f>
        <v>0</v>
      </c>
      <c r="K77" s="362">
        <f>IFERROR(VLOOKUP(C77,'تقرير المصروفات حسب الشهر'!$C$890:$AD$999,19,FALSE),0)</f>
        <v>0</v>
      </c>
      <c r="L77" s="362">
        <f>IFERROR(VLOOKUP(C77,'تقرير المصروفات حسب الشهر'!$C$1016:$AD$1126,19,FALSE),0)</f>
        <v>0</v>
      </c>
      <c r="M77" s="376">
        <f>IFERROR(VLOOKUP(C77,'تقرير المصروفات حسب الشهر'!$C$1143:$AD$1254,19,FALSE),0)</f>
        <v>0</v>
      </c>
      <c r="N77" s="376">
        <f>IFERROR(VLOOKUP(C77,'تقرير المصروفات حسب الشهر'!$C$1270:$AD$1381,19,FALSE),0)</f>
        <v>0</v>
      </c>
      <c r="O77" s="376">
        <f>IFERROR(VLOOKUP(C77,'تقرير المصروفات حسب الشهر'!$C$1397:$AI$1512,19,FALSE),0)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الشهر'!$C$10:$AD$119,19,FALSE),0)</f>
        <v>0</v>
      </c>
      <c r="E78" s="362">
        <f>IFERROR(VLOOKUP(C78,'تقرير المصروفات حسب الشهر'!$C$135:$AD$244,19,FALSE),0)</f>
        <v>0</v>
      </c>
      <c r="F78" s="362">
        <f>IFERROR(VLOOKUP(C78,'تقرير المصروفات حسب الشهر'!$C$261:$AD$368,19,FALSE),0)</f>
        <v>0</v>
      </c>
      <c r="G78" s="362">
        <f>IFERROR(VLOOKUP(C78,'تقرير المصروفات حسب الشهر'!$C$387:$AD$495,19,FALSE),0)</f>
        <v>0</v>
      </c>
      <c r="H78" s="362">
        <f>IFERROR(VLOOKUP(C78,'تقرير المصروفات حسب الشهر'!$C$512:$AD$620,19,FALSE),0)</f>
        <v>0</v>
      </c>
      <c r="I78" s="362">
        <f>IFERROR(VLOOKUP(C78,'تقرير المصروفات حسب الشهر'!$C$637:$AD$746,19,FALSE),0)</f>
        <v>0</v>
      </c>
      <c r="J78" s="362">
        <f>IFERROR(VLOOKUP(C78,'تقرير المصروفات حسب الشهر'!$C$763:$AD$872,19,FALSE),0)</f>
        <v>0</v>
      </c>
      <c r="K78" s="362">
        <f>IFERROR(VLOOKUP(C78,'تقرير المصروفات حسب الشهر'!$C$890:$AD$999,19,FALSE),0)</f>
        <v>0</v>
      </c>
      <c r="L78" s="362">
        <f>IFERROR(VLOOKUP(C78,'تقرير المصروفات حسب الشهر'!$C$1016:$AD$1126,19,FALSE),0)</f>
        <v>0</v>
      </c>
      <c r="M78" s="376">
        <f>IFERROR(VLOOKUP(C78,'تقرير المصروفات حسب الشهر'!$C$1143:$AD$1254,19,FALSE),0)</f>
        <v>0</v>
      </c>
      <c r="N78" s="376">
        <f>IFERROR(VLOOKUP(C78,'تقرير المصروفات حسب الشهر'!$C$1270:$AD$1381,19,FALSE),0)</f>
        <v>0</v>
      </c>
      <c r="O78" s="376">
        <f>IFERROR(VLOOKUP(C78,'تقرير المصروفات حسب الشهر'!$C$1397:$AI$1512,19,FALSE),0)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الشهر'!$C$10:$AD$119,19,FALSE),0)</f>
        <v>0</v>
      </c>
      <c r="E79" s="362">
        <f>IFERROR(VLOOKUP(C79,'تقرير المصروفات حسب الشهر'!$C$135:$AD$244,19,FALSE),0)</f>
        <v>0</v>
      </c>
      <c r="F79" s="362">
        <f>IFERROR(VLOOKUP(C79,'تقرير المصروفات حسب الشهر'!$C$261:$AD$368,19,FALSE),0)</f>
        <v>0</v>
      </c>
      <c r="G79" s="362">
        <f>IFERROR(VLOOKUP(C79,'تقرير المصروفات حسب الشهر'!$C$387:$AD$495,19,FALSE),0)</f>
        <v>0</v>
      </c>
      <c r="H79" s="362">
        <f>IFERROR(VLOOKUP(C79,'تقرير المصروفات حسب الشهر'!$C$512:$AD$620,19,FALSE),0)</f>
        <v>0</v>
      </c>
      <c r="I79" s="362">
        <f>IFERROR(VLOOKUP(C79,'تقرير المصروفات حسب الشهر'!$C$637:$AD$746,19,FALSE),0)</f>
        <v>0</v>
      </c>
      <c r="J79" s="362">
        <f>IFERROR(VLOOKUP(C79,'تقرير المصروفات حسب الشهر'!$C$763:$AD$872,19,FALSE),0)</f>
        <v>0</v>
      </c>
      <c r="K79" s="362">
        <f>IFERROR(VLOOKUP(C79,'تقرير المصروفات حسب الشهر'!$C$890:$AD$999,19,FALSE),0)</f>
        <v>0</v>
      </c>
      <c r="L79" s="362">
        <f>IFERROR(VLOOKUP(C79,'تقرير المصروفات حسب الشهر'!$C$1016:$AD$1126,19,FALSE),0)</f>
        <v>0</v>
      </c>
      <c r="M79" s="376">
        <f>IFERROR(VLOOKUP(C79,'تقرير المصروفات حسب الشهر'!$C$1143:$AD$1254,19,FALSE),0)</f>
        <v>0</v>
      </c>
      <c r="N79" s="376">
        <f>IFERROR(VLOOKUP(C79,'تقرير المصروفات حسب الشهر'!$C$1270:$AD$1381,19,FALSE),0)</f>
        <v>0</v>
      </c>
      <c r="O79" s="376">
        <f>IFERROR(VLOOKUP(C79,'تقرير المصروفات حسب الشهر'!$C$1397:$AI$1512,19,FALSE),0)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الشهر'!$C$10:$AD$119,19,FALSE),0)</f>
        <v>0</v>
      </c>
      <c r="E80" s="362">
        <f>IFERROR(VLOOKUP(C80,'تقرير المصروفات حسب الشهر'!$C$135:$AD$244,19,FALSE),0)</f>
        <v>0</v>
      </c>
      <c r="F80" s="362">
        <f>IFERROR(VLOOKUP(C80,'تقرير المصروفات حسب الشهر'!$C$261:$AD$368,19,FALSE),0)</f>
        <v>0</v>
      </c>
      <c r="G80" s="362">
        <f>IFERROR(VLOOKUP(C80,'تقرير المصروفات حسب الشهر'!$C$387:$AD$495,19,FALSE),0)</f>
        <v>0</v>
      </c>
      <c r="H80" s="362">
        <f>IFERROR(VLOOKUP(C80,'تقرير المصروفات حسب الشهر'!$C$512:$AD$620,19,FALSE),0)</f>
        <v>0</v>
      </c>
      <c r="I80" s="362">
        <f>IFERROR(VLOOKUP(C80,'تقرير المصروفات حسب الشهر'!$C$637:$AD$746,19,FALSE),0)</f>
        <v>0</v>
      </c>
      <c r="J80" s="362">
        <f>IFERROR(VLOOKUP(C80,'تقرير المصروفات حسب الشهر'!$C$763:$AD$872,19,FALSE),0)</f>
        <v>0</v>
      </c>
      <c r="K80" s="362">
        <f>IFERROR(VLOOKUP(C80,'تقرير المصروفات حسب الشهر'!$C$890:$AD$999,19,FALSE),0)</f>
        <v>0</v>
      </c>
      <c r="L80" s="362">
        <f>IFERROR(VLOOKUP(C80,'تقرير المصروفات حسب الشهر'!$C$1016:$AD$1126,19,FALSE),0)</f>
        <v>0</v>
      </c>
      <c r="M80" s="376">
        <f>IFERROR(VLOOKUP(C80,'تقرير المصروفات حسب الشهر'!$C$1143:$AD$1254,19,FALSE),0)</f>
        <v>0</v>
      </c>
      <c r="N80" s="376">
        <f>IFERROR(VLOOKUP(C80,'تقرير المصروفات حسب الشهر'!$C$1270:$AD$1381,19,FALSE),0)</f>
        <v>0</v>
      </c>
      <c r="O80" s="376">
        <f>IFERROR(VLOOKUP(C80,'تقرير المصروفات حسب الشهر'!$C$1397:$AI$1512,19,FALSE),0)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الشهر'!$C$10:$AD$119,19,FALSE),0)</f>
        <v>316</v>
      </c>
      <c r="E81" s="362">
        <f>IFERROR(VLOOKUP(C81,'تقرير المصروفات حسب الشهر'!$C$135:$AD$244,19,FALSE),0)</f>
        <v>100</v>
      </c>
      <c r="F81" s="362">
        <f>IFERROR(VLOOKUP(C81,'تقرير المصروفات حسب الشهر'!$C$261:$AD$368,19,FALSE),0)</f>
        <v>100</v>
      </c>
      <c r="G81" s="362">
        <f>IFERROR(VLOOKUP(C81,'تقرير المصروفات حسب الشهر'!$C$387:$AD$495,19,FALSE),0)</f>
        <v>100</v>
      </c>
      <c r="H81" s="362">
        <f>IFERROR(VLOOKUP(C81,'تقرير المصروفات حسب الشهر'!$C$512:$AD$620,19,FALSE),0)</f>
        <v>100</v>
      </c>
      <c r="I81" s="362">
        <f>IFERROR(VLOOKUP(C81,'تقرير المصروفات حسب الشهر'!$C$637:$AD$746,19,FALSE),0)</f>
        <v>3100</v>
      </c>
      <c r="J81" s="362">
        <f>IFERROR(VLOOKUP(C81,'تقرير المصروفات حسب الشهر'!$C$763:$AD$872,19,FALSE),0)</f>
        <v>0</v>
      </c>
      <c r="K81" s="362">
        <f>IFERROR(VLOOKUP(C81,'تقرير المصروفات حسب الشهر'!$C$890:$AD$999,19,FALSE),0)</f>
        <v>300</v>
      </c>
      <c r="L81" s="362">
        <f>IFERROR(VLOOKUP(C81,'تقرير المصروفات حسب الشهر'!$C$1016:$AD$1126,19,FALSE),0)</f>
        <v>200</v>
      </c>
      <c r="M81" s="376">
        <f>IFERROR(VLOOKUP(C81,'تقرير المصروفات حسب الشهر'!$C$1143:$AD$1254,19,FALSE),0)</f>
        <v>200</v>
      </c>
      <c r="N81" s="376">
        <f>IFERROR(VLOOKUP(C81,'تقرير المصروفات حسب الشهر'!$C$1270:$AD$1381,19,FALSE),0)</f>
        <v>200</v>
      </c>
      <c r="O81" s="376">
        <f>IFERROR(VLOOKUP(C81,'تقرير المصروفات حسب الشهر'!$C$1397:$AI$1512,19,FALSE),0)</f>
        <v>5200</v>
      </c>
      <c r="P81" s="364">
        <f t="shared" si="5"/>
        <v>9916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الشهر'!$C$10:$AD$119,19,FALSE),0)</f>
        <v>0</v>
      </c>
      <c r="E82" s="362">
        <f>IFERROR(VLOOKUP(C82,'تقرير المصروفات حسب الشهر'!$C$135:$AD$244,19,FALSE),0)</f>
        <v>0</v>
      </c>
      <c r="F82" s="362">
        <f>IFERROR(VLOOKUP(C82,'تقرير المصروفات حسب الشهر'!$C$261:$AD$368,19,FALSE),0)</f>
        <v>0</v>
      </c>
      <c r="G82" s="362">
        <f>IFERROR(VLOOKUP(C82,'تقرير المصروفات حسب الشهر'!$C$387:$AD$495,19,FALSE),0)</f>
        <v>0</v>
      </c>
      <c r="H82" s="362">
        <f>IFERROR(VLOOKUP(C82,'تقرير المصروفات حسب الشهر'!$C$512:$AD$620,19,FALSE),0)</f>
        <v>0</v>
      </c>
      <c r="I82" s="362">
        <f>IFERROR(VLOOKUP(C82,'تقرير المصروفات حسب الشهر'!$C$637:$AD$746,19,FALSE),0)</f>
        <v>0</v>
      </c>
      <c r="J82" s="362">
        <f>IFERROR(VLOOKUP(C82,'تقرير المصروفات حسب الشهر'!$C$763:$AD$872,19,FALSE),0)</f>
        <v>0</v>
      </c>
      <c r="K82" s="362">
        <f>IFERROR(VLOOKUP(C82,'تقرير المصروفات حسب الشهر'!$C$890:$AD$999,19,FALSE),0)</f>
        <v>0</v>
      </c>
      <c r="L82" s="362">
        <f>IFERROR(VLOOKUP(C82,'تقرير المصروفات حسب الشهر'!$C$1016:$AD$1126,19,FALSE),0)</f>
        <v>0</v>
      </c>
      <c r="M82" s="376">
        <f>IFERROR(VLOOKUP(C82,'تقرير المصروفات حسب الشهر'!$C$1143:$AD$1254,19,FALSE),0)</f>
        <v>0</v>
      </c>
      <c r="N82" s="376">
        <f>IFERROR(VLOOKUP(C82,'تقرير المصروفات حسب الشهر'!$C$1270:$AD$1381,19,FALSE),0)</f>
        <v>0</v>
      </c>
      <c r="O82" s="376">
        <f>IFERROR(VLOOKUP(C82,'تقرير المصروفات حسب الشهر'!$C$1397:$AI$1512,19,FALSE),0)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الشهر'!$C$10:$AD$119,19,FALSE),0)</f>
        <v>0</v>
      </c>
      <c r="E83" s="362">
        <f>IFERROR(VLOOKUP(C83,'تقرير المصروفات حسب الشهر'!$C$135:$AD$244,19,FALSE),0)</f>
        <v>0</v>
      </c>
      <c r="F83" s="362">
        <f>IFERROR(VLOOKUP(C83,'تقرير المصروفات حسب الشهر'!$C$261:$AD$368,19,FALSE),0)</f>
        <v>0</v>
      </c>
      <c r="G83" s="362">
        <f>IFERROR(VLOOKUP(C83,'تقرير المصروفات حسب الشهر'!$C$387:$AD$495,19,FALSE),0)</f>
        <v>0</v>
      </c>
      <c r="H83" s="362">
        <f>IFERROR(VLOOKUP(C83,'تقرير المصروفات حسب الشهر'!$C$512:$AD$620,19,FALSE),0)</f>
        <v>0</v>
      </c>
      <c r="I83" s="362">
        <f>IFERROR(VLOOKUP(C83,'تقرير المصروفات حسب الشهر'!$C$637:$AD$746,19,FALSE),0)</f>
        <v>0</v>
      </c>
      <c r="J83" s="362">
        <f>IFERROR(VLOOKUP(C83,'تقرير المصروفات حسب الشهر'!$C$763:$AD$872,19,FALSE),0)</f>
        <v>0</v>
      </c>
      <c r="K83" s="362">
        <f>IFERROR(VLOOKUP(C83,'تقرير المصروفات حسب الشهر'!$C$890:$AD$999,19,FALSE),0)</f>
        <v>0</v>
      </c>
      <c r="L83" s="362">
        <f>IFERROR(VLOOKUP(C83,'تقرير المصروفات حسب الشهر'!$C$1016:$AD$1126,19,FALSE),0)</f>
        <v>0</v>
      </c>
      <c r="M83" s="376">
        <f>IFERROR(VLOOKUP(C83,'تقرير المصروفات حسب الشهر'!$C$1143:$AD$1254,19,FALSE),0)</f>
        <v>0</v>
      </c>
      <c r="N83" s="376">
        <f>IFERROR(VLOOKUP(C83,'تقرير المصروفات حسب الشهر'!$C$1270:$AD$1381,19,FALSE),0)</f>
        <v>0</v>
      </c>
      <c r="O83" s="376">
        <f>IFERROR(VLOOKUP(C83,'تقرير المصروفات حسب الشهر'!$C$1397:$AI$1512,19,FALSE),0)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الشهر'!$C$10:$AD$119,19,FALSE),0)</f>
        <v>0</v>
      </c>
      <c r="E84" s="362">
        <f>IFERROR(VLOOKUP(C84,'تقرير المصروفات حسب الشهر'!$C$135:$AD$244,19,FALSE),0)</f>
        <v>0</v>
      </c>
      <c r="F84" s="362">
        <f>IFERROR(VLOOKUP(C84,'تقرير المصروفات حسب الشهر'!$C$261:$AD$368,19,FALSE),0)</f>
        <v>0</v>
      </c>
      <c r="G84" s="362">
        <f>IFERROR(VLOOKUP(C84,'تقرير المصروفات حسب الشهر'!$C$387:$AD$495,19,FALSE),0)</f>
        <v>0</v>
      </c>
      <c r="H84" s="362">
        <f>IFERROR(VLOOKUP(C84,'تقرير المصروفات حسب الشهر'!$C$512:$AD$620,19,FALSE),0)</f>
        <v>0</v>
      </c>
      <c r="I84" s="362">
        <f>IFERROR(VLOOKUP(C84,'تقرير المصروفات حسب الشهر'!$C$637:$AD$746,19,FALSE),0)</f>
        <v>0</v>
      </c>
      <c r="J84" s="362">
        <f>IFERROR(VLOOKUP(C84,'تقرير المصروفات حسب الشهر'!$C$763:$AD$872,19,FALSE),0)</f>
        <v>0</v>
      </c>
      <c r="K84" s="362">
        <f>IFERROR(VLOOKUP(C84,'تقرير المصروفات حسب الشهر'!$C$890:$AD$999,19,FALSE),0)</f>
        <v>0</v>
      </c>
      <c r="L84" s="362">
        <f>IFERROR(VLOOKUP(C84,'تقرير المصروفات حسب الشهر'!$C$1016:$AD$1126,19,FALSE),0)</f>
        <v>0</v>
      </c>
      <c r="M84" s="376">
        <f>IFERROR(VLOOKUP(C84,'تقرير المصروفات حسب الشهر'!$C$1143:$AD$1254,19,FALSE),0)</f>
        <v>0</v>
      </c>
      <c r="N84" s="376">
        <f>IFERROR(VLOOKUP(C84,'تقرير المصروفات حسب الشهر'!$C$1270:$AD$1381,19,FALSE),0)</f>
        <v>0</v>
      </c>
      <c r="O84" s="376">
        <f>IFERROR(VLOOKUP(C84,'تقرير المصروفات حسب الشهر'!$C$1397:$AI$1512,19,FALSE),0)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الشهر'!$C$10:$AD$119,19,FALSE),0)</f>
        <v>0</v>
      </c>
      <c r="E85" s="362">
        <f>IFERROR(VLOOKUP(C85,'تقرير المصروفات حسب الشهر'!$C$135:$AD$244,19,FALSE),0)</f>
        <v>0</v>
      </c>
      <c r="F85" s="362">
        <f>IFERROR(VLOOKUP(C85,'تقرير المصروفات حسب الشهر'!$C$261:$AD$368,19,FALSE),0)</f>
        <v>0</v>
      </c>
      <c r="G85" s="362">
        <f>IFERROR(VLOOKUP(C85,'تقرير المصروفات حسب الشهر'!$C$387:$AD$495,19,FALSE),0)</f>
        <v>0</v>
      </c>
      <c r="H85" s="362">
        <f>IFERROR(VLOOKUP(C85,'تقرير المصروفات حسب الشهر'!$C$512:$AD$620,19,FALSE),0)</f>
        <v>0</v>
      </c>
      <c r="I85" s="362">
        <f>IFERROR(VLOOKUP(C85,'تقرير المصروفات حسب الشهر'!$C$637:$AD$746,19,FALSE),0)</f>
        <v>0</v>
      </c>
      <c r="J85" s="362">
        <f>IFERROR(VLOOKUP(C85,'تقرير المصروفات حسب الشهر'!$C$763:$AD$872,19,FALSE),0)</f>
        <v>0</v>
      </c>
      <c r="K85" s="362">
        <f>IFERROR(VLOOKUP(C85,'تقرير المصروفات حسب الشهر'!$C$890:$AD$999,19,FALSE),0)</f>
        <v>0</v>
      </c>
      <c r="L85" s="362">
        <f>IFERROR(VLOOKUP(C85,'تقرير المصروفات حسب الشهر'!$C$1016:$AD$1126,19,FALSE),0)</f>
        <v>0</v>
      </c>
      <c r="M85" s="376">
        <f>IFERROR(VLOOKUP(C85,'تقرير المصروفات حسب الشهر'!$C$1143:$AD$1254,19,FALSE),0)</f>
        <v>0</v>
      </c>
      <c r="N85" s="376">
        <f>IFERROR(VLOOKUP(C85,'تقرير المصروفات حسب الشهر'!$C$1270:$AD$1381,19,FALSE),0)</f>
        <v>0</v>
      </c>
      <c r="O85" s="376">
        <f>IFERROR(VLOOKUP(C85,'تقرير المصروفات حسب الشهر'!$C$1397:$AI$1512,19,FALSE),0)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الشهر'!$C$10:$AD$119,19,FALSE),0)</f>
        <v>0</v>
      </c>
      <c r="E86" s="362">
        <f>IFERROR(VLOOKUP(C86,'تقرير المصروفات حسب الشهر'!$C$135:$AD$244,19,FALSE),0)</f>
        <v>1959.65</v>
      </c>
      <c r="F86" s="362">
        <f>IFERROR(VLOOKUP(C86,'تقرير المصروفات حسب الشهر'!$C$261:$AD$368,19,FALSE),0)</f>
        <v>0</v>
      </c>
      <c r="G86" s="362">
        <f>IFERROR(VLOOKUP(C86,'تقرير المصروفات حسب الشهر'!$C$387:$AD$495,19,FALSE),0)</f>
        <v>653</v>
      </c>
      <c r="H86" s="362">
        <f>IFERROR(VLOOKUP(C86,'تقرير المصروفات حسب الشهر'!$C$512:$AD$620,19,FALSE),0)</f>
        <v>0</v>
      </c>
      <c r="I86" s="362">
        <f>IFERROR(VLOOKUP(C86,'تقرير المصروفات حسب الشهر'!$C$637:$AD$746,19,FALSE),0)</f>
        <v>0</v>
      </c>
      <c r="J86" s="362">
        <f>IFERROR(VLOOKUP(C86,'تقرير المصروفات حسب الشهر'!$C$763:$AD$872,19,FALSE),0)</f>
        <v>979</v>
      </c>
      <c r="K86" s="362">
        <f>IFERROR(VLOOKUP(C86,'تقرير المصروفات حسب الشهر'!$C$890:$AD$999,19,FALSE),0)</f>
        <v>0</v>
      </c>
      <c r="L86" s="362">
        <f>IFERROR(VLOOKUP(C86,'تقرير المصروفات حسب الشهر'!$C$1016:$AD$1126,19,FALSE),0)</f>
        <v>0</v>
      </c>
      <c r="M86" s="376">
        <f>IFERROR(VLOOKUP(C86,'تقرير المصروفات حسب الشهر'!$C$1143:$AD$1254,19,FALSE),0)</f>
        <v>0</v>
      </c>
      <c r="N86" s="376">
        <f>IFERROR(VLOOKUP(C86,'تقرير المصروفات حسب الشهر'!$C$1270:$AD$1381,19,FALSE),0)</f>
        <v>2207.5700000000002</v>
      </c>
      <c r="O86" s="376">
        <f>IFERROR(VLOOKUP(C86,'تقرير المصروفات حسب الشهر'!$C$1397:$AI$1512,19,FALSE),0)</f>
        <v>0</v>
      </c>
      <c r="P86" s="364">
        <f t="shared" si="5"/>
        <v>5799.22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الشهر'!$C$10:$AD$119,19,FALSE),0)</f>
        <v>0</v>
      </c>
      <c r="E87" s="362">
        <f>IFERROR(VLOOKUP(C87,'تقرير المصروفات حسب الشهر'!$C$135:$AD$244,19,FALSE),0)</f>
        <v>0</v>
      </c>
      <c r="F87" s="362">
        <f>IFERROR(VLOOKUP(C87,'تقرير المصروفات حسب الشهر'!$C$261:$AD$368,19,FALSE),0)</f>
        <v>0</v>
      </c>
      <c r="G87" s="362">
        <f>IFERROR(VLOOKUP(C87,'تقرير المصروفات حسب الشهر'!$C$387:$AD$495,19,FALSE),0)</f>
        <v>0</v>
      </c>
      <c r="H87" s="362">
        <f>IFERROR(VLOOKUP(C87,'تقرير المصروفات حسب الشهر'!$C$512:$AD$620,19,FALSE),0)</f>
        <v>0</v>
      </c>
      <c r="I87" s="362">
        <f>IFERROR(VLOOKUP(C87,'تقرير المصروفات حسب الشهر'!$C$637:$AD$746,19,FALSE),0)</f>
        <v>0</v>
      </c>
      <c r="J87" s="362">
        <f>IFERROR(VLOOKUP(C87,'تقرير المصروفات حسب الشهر'!$C$763:$AD$872,19,FALSE),0)</f>
        <v>0</v>
      </c>
      <c r="K87" s="362">
        <f>IFERROR(VLOOKUP(C87,'تقرير المصروفات حسب الشهر'!$C$890:$AD$999,19,FALSE),0)</f>
        <v>0</v>
      </c>
      <c r="L87" s="362">
        <f>IFERROR(VLOOKUP(C87,'تقرير المصروفات حسب الشهر'!$C$1016:$AD$1126,19,FALSE),0)</f>
        <v>0</v>
      </c>
      <c r="M87" s="376">
        <f>IFERROR(VLOOKUP(C87,'تقرير المصروفات حسب الشهر'!$C$1143:$AD$1254,19,FALSE),0)</f>
        <v>0</v>
      </c>
      <c r="N87" s="376">
        <f>IFERROR(VLOOKUP(C87,'تقرير المصروفات حسب الشهر'!$C$1270:$AD$1381,19,FALSE),0)</f>
        <v>0</v>
      </c>
      <c r="O87" s="376">
        <f>IFERROR(VLOOKUP(C87,'تقرير المصروفات حسب الشهر'!$C$1397:$AI$1512,19,FALSE),0)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الشهر'!$C$10:$AD$119,19,FALSE),0)</f>
        <v>0</v>
      </c>
      <c r="E88" s="362">
        <f>IFERROR(VLOOKUP(C88,'تقرير المصروفات حسب الشهر'!$C$135:$AD$244,19,FALSE),0)</f>
        <v>0</v>
      </c>
      <c r="F88" s="362">
        <f>IFERROR(VLOOKUP(C88,'تقرير المصروفات حسب الشهر'!$C$261:$AD$368,19,FALSE),0)</f>
        <v>0</v>
      </c>
      <c r="G88" s="362">
        <f>IFERROR(VLOOKUP(C88,'تقرير المصروفات حسب الشهر'!$C$387:$AD$495,19,FALSE),0)</f>
        <v>0</v>
      </c>
      <c r="H88" s="362">
        <f>IFERROR(VLOOKUP(C88,'تقرير المصروفات حسب الشهر'!$C$512:$AD$620,19,FALSE),0)</f>
        <v>333</v>
      </c>
      <c r="I88" s="362">
        <f>IFERROR(VLOOKUP(C88,'تقرير المصروفات حسب الشهر'!$C$637:$AD$746,19,FALSE),0)</f>
        <v>0</v>
      </c>
      <c r="J88" s="362">
        <f>IFERROR(VLOOKUP(C88,'تقرير المصروفات حسب الشهر'!$C$763:$AD$872,19,FALSE),0)</f>
        <v>0</v>
      </c>
      <c r="K88" s="362">
        <f>IFERROR(VLOOKUP(C88,'تقرير المصروفات حسب الشهر'!$C$890:$AD$999,19,FALSE),0)</f>
        <v>0</v>
      </c>
      <c r="L88" s="362">
        <f>IFERROR(VLOOKUP(C88,'تقرير المصروفات حسب الشهر'!$C$1016:$AD$1126,19,FALSE),0)</f>
        <v>0</v>
      </c>
      <c r="M88" s="376">
        <f>IFERROR(VLOOKUP(C88,'تقرير المصروفات حسب الشهر'!$C$1143:$AD$1254,19,FALSE),0)</f>
        <v>0</v>
      </c>
      <c r="N88" s="376">
        <f>IFERROR(VLOOKUP(C88,'تقرير المصروفات حسب الشهر'!$C$1270:$AD$1381,19,FALSE),0)</f>
        <v>0</v>
      </c>
      <c r="O88" s="376">
        <f>IFERROR(VLOOKUP(C88,'تقرير المصروفات حسب الشهر'!$C$1397:$AI$1512,19,FALSE),0)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الشهر'!$C$10:$AD$119,19,FALSE),0)</f>
        <v>0</v>
      </c>
      <c r="E89" s="362">
        <f>IFERROR(VLOOKUP(C89,'تقرير المصروفات حسب الشهر'!$C$135:$AD$244,19,FALSE),0)</f>
        <v>0</v>
      </c>
      <c r="F89" s="362">
        <f>IFERROR(VLOOKUP(C89,'تقرير المصروفات حسب الشهر'!$C$261:$AD$368,19,FALSE),0)</f>
        <v>0</v>
      </c>
      <c r="G89" s="362">
        <f>IFERROR(VLOOKUP(C89,'تقرير المصروفات حسب الشهر'!$C$387:$AD$495,19,FALSE),0)</f>
        <v>0</v>
      </c>
      <c r="H89" s="362">
        <f>IFERROR(VLOOKUP(C89,'تقرير المصروفات حسب الشهر'!$C$512:$AD$620,19,FALSE),0)</f>
        <v>0</v>
      </c>
      <c r="I89" s="362">
        <f>IFERROR(VLOOKUP(C89,'تقرير المصروفات حسب الشهر'!$C$637:$AD$746,19,FALSE),0)</f>
        <v>0</v>
      </c>
      <c r="J89" s="362">
        <f>IFERROR(VLOOKUP(C89,'تقرير المصروفات حسب الشهر'!$C$763:$AD$872,19,FALSE),0)</f>
        <v>0</v>
      </c>
      <c r="K89" s="362">
        <f>IFERROR(VLOOKUP(C89,'تقرير المصروفات حسب الشهر'!$C$890:$AD$999,19,FALSE),0)</f>
        <v>0</v>
      </c>
      <c r="L89" s="362">
        <f>IFERROR(VLOOKUP(C89,'تقرير المصروفات حسب الشهر'!$C$1016:$AD$1126,19,FALSE),0)</f>
        <v>0</v>
      </c>
      <c r="M89" s="376">
        <f>IFERROR(VLOOKUP(C89,'تقرير المصروفات حسب الشهر'!$C$1143:$AD$1254,19,FALSE),0)</f>
        <v>0</v>
      </c>
      <c r="N89" s="376">
        <f>IFERROR(VLOOKUP(C89,'تقرير المصروفات حسب الشهر'!$C$1270:$AD$1381,19,FALSE),0)</f>
        <v>0</v>
      </c>
      <c r="O89" s="376">
        <f>IFERROR(VLOOKUP(C89,'تقرير المصروفات حسب الشهر'!$C$1397:$AI$1512,19,FALSE),0)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الشهر'!$C$10:$AD$119,19,FALSE),0)</f>
        <v>0</v>
      </c>
      <c r="E90" s="362">
        <f>IFERROR(VLOOKUP(C90,'تقرير المصروفات حسب الشهر'!$C$135:$AD$244,19,FALSE),0)</f>
        <v>0</v>
      </c>
      <c r="F90" s="362">
        <f>IFERROR(VLOOKUP(C90,'تقرير المصروفات حسب الشهر'!$C$261:$AD$368,19,FALSE),0)</f>
        <v>0</v>
      </c>
      <c r="G90" s="362">
        <f>IFERROR(VLOOKUP(C90,'تقرير المصروفات حسب الشهر'!$C$387:$AD$495,19,FALSE),0)</f>
        <v>0</v>
      </c>
      <c r="H90" s="362">
        <f>IFERROR(VLOOKUP(C90,'تقرير المصروفات حسب الشهر'!$C$512:$AD$620,19,FALSE),0)</f>
        <v>0</v>
      </c>
      <c r="I90" s="362">
        <f>IFERROR(VLOOKUP(C90,'تقرير المصروفات حسب الشهر'!$C$637:$AD$746,19,FALSE),0)</f>
        <v>0</v>
      </c>
      <c r="J90" s="362">
        <f>IFERROR(VLOOKUP(C90,'تقرير المصروفات حسب الشهر'!$C$763:$AD$872,19,FALSE),0)</f>
        <v>0</v>
      </c>
      <c r="K90" s="362">
        <f>IFERROR(VLOOKUP(C90,'تقرير المصروفات حسب الشهر'!$C$890:$AD$999,19,FALSE),0)</f>
        <v>0</v>
      </c>
      <c r="L90" s="362">
        <f>IFERROR(VLOOKUP(C90,'تقرير المصروفات حسب الشهر'!$C$1016:$AD$1126,19,FALSE),0)</f>
        <v>0</v>
      </c>
      <c r="M90" s="376">
        <f>IFERROR(VLOOKUP(C90,'تقرير المصروفات حسب الشهر'!$C$1143:$AD$1254,19,FALSE),0)</f>
        <v>0</v>
      </c>
      <c r="N90" s="376">
        <f>IFERROR(VLOOKUP(C90,'تقرير المصروفات حسب الشهر'!$C$1270:$AD$1381,19,FALSE),0)</f>
        <v>0</v>
      </c>
      <c r="O90" s="376">
        <f>IFERROR(VLOOKUP(C90,'تقرير المصروفات حسب الشهر'!$C$1397:$AI$1512,19,FALSE),0)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الشهر'!$C$10:$AD$119,19,FALSE),0)</f>
        <v>0</v>
      </c>
      <c r="E91" s="362">
        <f>IFERROR(VLOOKUP(C91,'تقرير المصروفات حسب الشهر'!$C$135:$AD$244,19,FALSE),0)</f>
        <v>0</v>
      </c>
      <c r="F91" s="362">
        <f>IFERROR(VLOOKUP(C91,'تقرير المصروفات حسب الشهر'!$C$261:$AD$368,19,FALSE),0)</f>
        <v>0</v>
      </c>
      <c r="G91" s="362">
        <f>IFERROR(VLOOKUP(C91,'تقرير المصروفات حسب الشهر'!$C$387:$AD$495,19,FALSE),0)</f>
        <v>0</v>
      </c>
      <c r="H91" s="362">
        <f>IFERROR(VLOOKUP(C91,'تقرير المصروفات حسب الشهر'!$C$512:$AD$620,19,FALSE),0)</f>
        <v>0</v>
      </c>
      <c r="I91" s="362">
        <f>IFERROR(VLOOKUP(C91,'تقرير المصروفات حسب الشهر'!$C$637:$AD$746,19,FALSE),0)</f>
        <v>0</v>
      </c>
      <c r="J91" s="362">
        <f>IFERROR(VLOOKUP(C91,'تقرير المصروفات حسب الشهر'!$C$763:$AD$872,19,FALSE),0)</f>
        <v>0</v>
      </c>
      <c r="K91" s="362">
        <f>IFERROR(VLOOKUP(C91,'تقرير المصروفات حسب الشهر'!$C$890:$AD$999,19,FALSE),0)</f>
        <v>0</v>
      </c>
      <c r="L91" s="362">
        <f>IFERROR(VLOOKUP(C91,'تقرير المصروفات حسب الشهر'!$C$1016:$AD$1126,19,FALSE),0)</f>
        <v>0</v>
      </c>
      <c r="M91" s="376">
        <f>IFERROR(VLOOKUP(C91,'تقرير المصروفات حسب الشهر'!$C$1143:$AD$1254,19,FALSE),0)</f>
        <v>0</v>
      </c>
      <c r="N91" s="376">
        <f>IFERROR(VLOOKUP(C91,'تقرير المصروفات حسب الشهر'!$C$1270:$AD$1381,19,FALSE),0)</f>
        <v>0</v>
      </c>
      <c r="O91" s="376">
        <f>IFERROR(VLOOKUP(C91,'تقرير المصروفات حسب الشهر'!$C$1397:$AI$1512,19,FALSE),0)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الشهر'!$C$10:$AD$119,19,FALSE),0)</f>
        <v>0</v>
      </c>
      <c r="E92" s="362">
        <f>IFERROR(VLOOKUP(C92,'تقرير المصروفات حسب الشهر'!$C$135:$AD$244,19,FALSE),0)</f>
        <v>0</v>
      </c>
      <c r="F92" s="362">
        <f>IFERROR(VLOOKUP(C92,'تقرير المصروفات حسب الشهر'!$C$261:$AD$368,19,FALSE),0)</f>
        <v>0</v>
      </c>
      <c r="G92" s="362">
        <f>IFERROR(VLOOKUP(C92,'تقرير المصروفات حسب الشهر'!$C$387:$AD$495,19,FALSE),0)</f>
        <v>0</v>
      </c>
      <c r="H92" s="362">
        <f>IFERROR(VLOOKUP(C92,'تقرير المصروفات حسب الشهر'!$C$512:$AD$620,19,FALSE),0)</f>
        <v>0</v>
      </c>
      <c r="I92" s="362">
        <f>IFERROR(VLOOKUP(C92,'تقرير المصروفات حسب الشهر'!$C$637:$AD$746,19,FALSE),0)</f>
        <v>0</v>
      </c>
      <c r="J92" s="362">
        <f>IFERROR(VLOOKUP(C92,'تقرير المصروفات حسب الشهر'!$C$763:$AD$872,19,FALSE),0)</f>
        <v>0</v>
      </c>
      <c r="K92" s="362">
        <f>IFERROR(VLOOKUP(C92,'تقرير المصروفات حسب الشهر'!$C$890:$AD$999,19,FALSE),0)</f>
        <v>0</v>
      </c>
      <c r="L92" s="362">
        <f>IFERROR(VLOOKUP(C92,'تقرير المصروفات حسب الشهر'!$C$1016:$AD$1126,19,FALSE),0)</f>
        <v>0</v>
      </c>
      <c r="M92" s="376">
        <f>IFERROR(VLOOKUP(C92,'تقرير المصروفات حسب الشهر'!$C$1143:$AD$1254,19,FALSE),0)</f>
        <v>0</v>
      </c>
      <c r="N92" s="376">
        <f>IFERROR(VLOOKUP(C92,'تقرير المصروفات حسب الشهر'!$C$1270:$AD$1381,19,FALSE),0)</f>
        <v>0</v>
      </c>
      <c r="O92" s="376">
        <f>IFERROR(VLOOKUP(C92,'تقرير المصروفات حسب الشهر'!$C$1397:$AI$1512,19,FALSE),0)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الشهر'!$C$10:$AD$119,19,FALSE),0)</f>
        <v>0</v>
      </c>
      <c r="E93" s="362">
        <f>IFERROR(VLOOKUP(C93,'تقرير المصروفات حسب الشهر'!$C$135:$AD$244,19,FALSE),0)</f>
        <v>0</v>
      </c>
      <c r="F93" s="362">
        <f>IFERROR(VLOOKUP(C93,'تقرير المصروفات حسب الشهر'!$C$261:$AD$368,19,FALSE),0)</f>
        <v>0</v>
      </c>
      <c r="G93" s="362">
        <f>IFERROR(VLOOKUP(C93,'تقرير المصروفات حسب الشهر'!$C$387:$AD$495,19,FALSE),0)</f>
        <v>621.5</v>
      </c>
      <c r="H93" s="362">
        <f>IFERROR(VLOOKUP(C93,'تقرير المصروفات حسب الشهر'!$C$512:$AD$620,19,FALSE),0)</f>
        <v>0</v>
      </c>
      <c r="I93" s="362">
        <f>IFERROR(VLOOKUP(C93,'تقرير المصروفات حسب الشهر'!$C$637:$AD$746,19,FALSE),0)</f>
        <v>0</v>
      </c>
      <c r="J93" s="362">
        <f>IFERROR(VLOOKUP(C93,'تقرير المصروفات حسب الشهر'!$C$763:$AD$872,19,FALSE),0)</f>
        <v>668</v>
      </c>
      <c r="K93" s="362">
        <f>IFERROR(VLOOKUP(C93,'تقرير المصروفات حسب الشهر'!$C$890:$AD$999,19,FALSE),0)</f>
        <v>0</v>
      </c>
      <c r="L93" s="362">
        <f>IFERROR(VLOOKUP(C93,'تقرير المصروفات حسب الشهر'!$C$1016:$AD$1126,19,FALSE),0)</f>
        <v>0</v>
      </c>
      <c r="M93" s="376">
        <f>IFERROR(VLOOKUP(C93,'تقرير المصروفات حسب الشهر'!$C$1143:$AD$1254,19,FALSE),0)</f>
        <v>0</v>
      </c>
      <c r="N93" s="376">
        <f>IFERROR(VLOOKUP(C93,'تقرير المصروفات حسب الشهر'!$C$1270:$AD$1381,19,FALSE),0)</f>
        <v>0</v>
      </c>
      <c r="O93" s="376">
        <f>IFERROR(VLOOKUP(C93,'تقرير المصروفات حسب الشهر'!$C$1397:$AI$1512,19,FALSE),0)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الشهر'!$C$10:$AD$119,19,FALSE),0)</f>
        <v>296.31</v>
      </c>
      <c r="E94" s="362">
        <f>IFERROR(VLOOKUP(C94,'تقرير المصروفات حسب الشهر'!$C$135:$AD$244,19,FALSE),0)</f>
        <v>296.31</v>
      </c>
      <c r="F94" s="362">
        <f>IFERROR(VLOOKUP(C94,'تقرير المصروفات حسب الشهر'!$C$261:$AD$368,19,FALSE),0)</f>
        <v>296.31</v>
      </c>
      <c r="G94" s="362">
        <f>IFERROR(VLOOKUP(C94,'تقرير المصروفات حسب الشهر'!$C$387:$AD$495,19,FALSE),0)</f>
        <v>296.31</v>
      </c>
      <c r="H94" s="362">
        <f>IFERROR(VLOOKUP(C94,'تقرير المصروفات حسب الشهر'!$C$512:$AD$620,19,FALSE),0)</f>
        <v>296.31</v>
      </c>
      <c r="I94" s="362">
        <f>IFERROR(VLOOKUP(C94,'تقرير المصروفات حسب الشهر'!$C$637:$AD$746,19,FALSE),0)</f>
        <v>296.3</v>
      </c>
      <c r="J94" s="362">
        <f>IFERROR(VLOOKUP(C94,'تقرير المصروفات حسب الشهر'!$C$763:$AD$872,19,FALSE),0)</f>
        <v>1125.7</v>
      </c>
      <c r="K94" s="362">
        <f>IFERROR(VLOOKUP(C94,'تقرير المصروفات حسب الشهر'!$C$890:$AD$999,19,FALSE),0)</f>
        <v>2646.86</v>
      </c>
      <c r="L94" s="362">
        <f>IFERROR(VLOOKUP(C94,'تقرير المصروفات حسب الشهر'!$C$1016:$AD$1126,19,FALSE),0)</f>
        <v>469.07</v>
      </c>
      <c r="M94" s="376">
        <f>IFERROR(VLOOKUP(C94,'تقرير المصروفات حسب الشهر'!$C$1143:$AD$1254,19,FALSE),0)</f>
        <v>400.96</v>
      </c>
      <c r="N94" s="376">
        <f>IFERROR(VLOOKUP(C94,'تقرير المصروفات حسب الشهر'!$C$1270:$AD$1381,19,FALSE),0)</f>
        <v>407.28</v>
      </c>
      <c r="O94" s="376">
        <f>IFERROR(VLOOKUP(C94,'تقرير المصروفات حسب الشهر'!$C$1397:$AI$1512,19,FALSE),0)</f>
        <v>400.14</v>
      </c>
      <c r="P94" s="364">
        <f t="shared" si="6"/>
        <v>7227.86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الشهر'!$C$10:$AD$119,19,FALSE),0)</f>
        <v>0</v>
      </c>
      <c r="E95" s="362">
        <f>IFERROR(VLOOKUP(C95,'تقرير المصروفات حسب الشهر'!$C$135:$AD$244,19,FALSE),0)</f>
        <v>0</v>
      </c>
      <c r="F95" s="362">
        <f>IFERROR(VLOOKUP(C95,'تقرير المصروفات حسب الشهر'!$C$261:$AD$368,19,FALSE),0)</f>
        <v>0</v>
      </c>
      <c r="G95" s="362">
        <f>IFERROR(VLOOKUP(C95,'تقرير المصروفات حسب الشهر'!$C$387:$AD$495,19,FALSE),0)</f>
        <v>0</v>
      </c>
      <c r="H95" s="362">
        <f>IFERROR(VLOOKUP(C95,'تقرير المصروفات حسب الشهر'!$C$512:$AD$620,19,FALSE),0)</f>
        <v>0</v>
      </c>
      <c r="I95" s="362">
        <f>IFERROR(VLOOKUP(C95,'تقرير المصروفات حسب الشهر'!$C$637:$AD$746,19,FALSE),0)</f>
        <v>0</v>
      </c>
      <c r="J95" s="362">
        <f>IFERROR(VLOOKUP(C95,'تقرير المصروفات حسب الشهر'!$C$763:$AD$872,19,FALSE),0)</f>
        <v>0</v>
      </c>
      <c r="K95" s="362">
        <f>IFERROR(VLOOKUP(C95,'تقرير المصروفات حسب الشهر'!$C$890:$AD$999,19,FALSE),0)</f>
        <v>0</v>
      </c>
      <c r="L95" s="362">
        <f>IFERROR(VLOOKUP(C95,'تقرير المصروفات حسب الشهر'!$C$1016:$AD$1126,19,FALSE),0)</f>
        <v>2130</v>
      </c>
      <c r="M95" s="376">
        <f>IFERROR(VLOOKUP(C95,'تقرير المصروفات حسب الشهر'!$C$1143:$AD$1254,19,FALSE),0)</f>
        <v>1065</v>
      </c>
      <c r="N95" s="376">
        <f>IFERROR(VLOOKUP(C95,'تقرير المصروفات حسب الشهر'!$C$1270:$AD$1381,19,FALSE),0)</f>
        <v>1065</v>
      </c>
      <c r="O95" s="376">
        <f>IFERROR(VLOOKUP(C95,'تقرير المصروفات حسب الشهر'!$C$1397:$AI$1512,19,FALSE),0)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الشهر'!$C$10:$AD$119,19,FALSE),0)</f>
        <v>0</v>
      </c>
      <c r="E96" s="362">
        <f>IFERROR(VLOOKUP(C96,'تقرير المصروفات حسب الشهر'!$C$135:$AD$244,19,FALSE),0)</f>
        <v>0</v>
      </c>
      <c r="F96" s="362">
        <f>IFERROR(VLOOKUP(C96,'تقرير المصروفات حسب الشهر'!$C$261:$AD$368,19,FALSE),0)</f>
        <v>0</v>
      </c>
      <c r="G96" s="362">
        <f>IFERROR(VLOOKUP(C96,'تقرير المصروفات حسب الشهر'!$C$387:$AD$495,19,FALSE),0)</f>
        <v>0</v>
      </c>
      <c r="H96" s="362">
        <f>IFERROR(VLOOKUP(C96,'تقرير المصروفات حسب الشهر'!$C$512:$AD$620,19,FALSE),0)</f>
        <v>0</v>
      </c>
      <c r="I96" s="362">
        <f>IFERROR(VLOOKUP(C96,'تقرير المصروفات حسب الشهر'!$C$637:$AD$746,19,FALSE),0)</f>
        <v>0</v>
      </c>
      <c r="J96" s="362">
        <f>IFERROR(VLOOKUP(C96,'تقرير المصروفات حسب الشهر'!$C$763:$AD$872,19,FALSE),0)</f>
        <v>0</v>
      </c>
      <c r="K96" s="362">
        <f>IFERROR(VLOOKUP(C96,'تقرير المصروفات حسب الشهر'!$C$890:$AD$999,19,FALSE),0)</f>
        <v>0</v>
      </c>
      <c r="L96" s="362">
        <f>IFERROR(VLOOKUP(C96,'تقرير المصروفات حسب الشهر'!$C$1016:$AD$1126,19,FALSE),0)</f>
        <v>0</v>
      </c>
      <c r="M96" s="376">
        <f>IFERROR(VLOOKUP(C96,'تقرير المصروفات حسب الشهر'!$C$1143:$AD$1254,19,FALSE),0)</f>
        <v>0</v>
      </c>
      <c r="N96" s="376">
        <f>IFERROR(VLOOKUP(C96,'تقرير المصروفات حسب الشهر'!$C$1270:$AD$1381,19,FALSE),0)</f>
        <v>0</v>
      </c>
      <c r="O96" s="376">
        <f>IFERROR(VLOOKUP(C96,'تقرير المصروفات حسب الشهر'!$C$1397:$AI$1512,19,FALSE),0)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الشهر'!$C$10:$AD$119,19,FALSE),0)</f>
        <v>0</v>
      </c>
      <c r="E97" s="362">
        <f>IFERROR(VLOOKUP(C97,'تقرير المصروفات حسب الشهر'!$C$135:$AD$244,19,FALSE),0)</f>
        <v>0</v>
      </c>
      <c r="F97" s="362">
        <f>IFERROR(VLOOKUP(C97,'تقرير المصروفات حسب الشهر'!$C$261:$AD$368,19,FALSE),0)</f>
        <v>0</v>
      </c>
      <c r="G97" s="362">
        <f>IFERROR(VLOOKUP(C97,'تقرير المصروفات حسب الشهر'!$C$387:$AD$495,19,FALSE),0)</f>
        <v>0</v>
      </c>
      <c r="H97" s="362">
        <f>IFERROR(VLOOKUP(C97,'تقرير المصروفات حسب الشهر'!$C$512:$AD$620,19,FALSE),0)</f>
        <v>0</v>
      </c>
      <c r="I97" s="362">
        <f>IFERROR(VLOOKUP(C97,'تقرير المصروفات حسب الشهر'!$C$637:$AD$746,19,FALSE),0)</f>
        <v>0</v>
      </c>
      <c r="J97" s="362">
        <f>IFERROR(VLOOKUP(C97,'تقرير المصروفات حسب الشهر'!$C$763:$AD$872,19,FALSE),0)</f>
        <v>0</v>
      </c>
      <c r="K97" s="362">
        <f>IFERROR(VLOOKUP(C97,'تقرير المصروفات حسب الشهر'!$C$890:$AD$999,19,FALSE),0)</f>
        <v>0</v>
      </c>
      <c r="L97" s="362">
        <f>IFERROR(VLOOKUP(C97,'تقرير المصروفات حسب الشهر'!$C$1016:$AD$1126,19,FALSE),0)</f>
        <v>0</v>
      </c>
      <c r="M97" s="376">
        <f>IFERROR(VLOOKUP(C97,'تقرير المصروفات حسب الشهر'!$C$1143:$AD$1254,19,FALSE),0)</f>
        <v>0</v>
      </c>
      <c r="N97" s="376">
        <f>IFERROR(VLOOKUP(C97,'تقرير المصروفات حسب الشهر'!$C$1270:$AD$1381,19,FALSE),0)</f>
        <v>0</v>
      </c>
      <c r="O97" s="376">
        <f>IFERROR(VLOOKUP(C97,'تقرير المصروفات حسب الشهر'!$C$1397:$AI$1512,19,FALSE),0)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الشهر'!$C$10:$AD$119,19,FALSE),0)</f>
        <v>0</v>
      </c>
      <c r="E98" s="362">
        <f>IFERROR(VLOOKUP(C98,'تقرير المصروفات حسب الشهر'!$C$135:$AD$244,19,FALSE),0)</f>
        <v>0</v>
      </c>
      <c r="F98" s="362">
        <f>IFERROR(VLOOKUP(C98,'تقرير المصروفات حسب الشهر'!$C$261:$AD$368,19,FALSE),0)</f>
        <v>0</v>
      </c>
      <c r="G98" s="362">
        <f>IFERROR(VLOOKUP(C98,'تقرير المصروفات حسب الشهر'!$C$387:$AD$495,19,FALSE),0)</f>
        <v>0</v>
      </c>
      <c r="H98" s="362">
        <f>IFERROR(VLOOKUP(C98,'تقرير المصروفات حسب الشهر'!$C$512:$AD$620,19,FALSE),0)</f>
        <v>0</v>
      </c>
      <c r="I98" s="362">
        <f>IFERROR(VLOOKUP(C98,'تقرير المصروفات حسب الشهر'!$C$637:$AD$746,19,FALSE),0)</f>
        <v>0</v>
      </c>
      <c r="J98" s="362">
        <f>IFERROR(VLOOKUP(C98,'تقرير المصروفات حسب الشهر'!$C$763:$AD$872,19,FALSE),0)</f>
        <v>0</v>
      </c>
      <c r="K98" s="362">
        <f>IFERROR(VLOOKUP(C98,'تقرير المصروفات حسب الشهر'!$C$890:$AD$999,19,FALSE),0)</f>
        <v>0</v>
      </c>
      <c r="L98" s="362">
        <f>IFERROR(VLOOKUP(C98,'تقرير المصروفات حسب الشهر'!$C$1016:$AD$1126,19,FALSE),0)</f>
        <v>0</v>
      </c>
      <c r="M98" s="376">
        <f>IFERROR(VLOOKUP(C98,'تقرير المصروفات حسب الشهر'!$C$1143:$AD$1254,19,FALSE),0)</f>
        <v>0</v>
      </c>
      <c r="N98" s="376">
        <f>IFERROR(VLOOKUP(C98,'تقرير المصروفات حسب الشهر'!$C$1270:$AD$1381,19,FALSE),0)</f>
        <v>0</v>
      </c>
      <c r="O98" s="376">
        <f>IFERROR(VLOOKUP(C98,'تقرير المصروفات حسب الشهر'!$C$1397:$AI$1512,19,FALSE),0)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الشهر'!$C$10:$AD$119,19,FALSE),0)</f>
        <v>0</v>
      </c>
      <c r="E99" s="362">
        <f>IFERROR(VLOOKUP(C99,'تقرير المصروفات حسب الشهر'!$C$135:$AD$244,19,FALSE),0)</f>
        <v>0</v>
      </c>
      <c r="F99" s="362">
        <f>IFERROR(VLOOKUP(C99,'تقرير المصروفات حسب الشهر'!$C$261:$AD$368,19,FALSE),0)</f>
        <v>0</v>
      </c>
      <c r="G99" s="362">
        <f>IFERROR(VLOOKUP(C99,'تقرير المصروفات حسب الشهر'!$C$387:$AD$495,19,FALSE),0)</f>
        <v>0</v>
      </c>
      <c r="H99" s="362">
        <f>IFERROR(VLOOKUP(C99,'تقرير المصروفات حسب الشهر'!$C$512:$AD$620,19,FALSE),0)</f>
        <v>0</v>
      </c>
      <c r="I99" s="362">
        <f>IFERROR(VLOOKUP(C99,'تقرير المصروفات حسب الشهر'!$C$637:$AD$746,19,FALSE),0)</f>
        <v>0</v>
      </c>
      <c r="J99" s="362">
        <f>IFERROR(VLOOKUP(C99,'تقرير المصروفات حسب الشهر'!$C$763:$AD$872,19,FALSE),0)</f>
        <v>0</v>
      </c>
      <c r="K99" s="362">
        <f>IFERROR(VLOOKUP(C99,'تقرير المصروفات حسب الشهر'!$C$890:$AD$999,19,FALSE),0)</f>
        <v>0</v>
      </c>
      <c r="L99" s="362">
        <f>IFERROR(VLOOKUP(C99,'تقرير المصروفات حسب الشهر'!$C$1016:$AD$1126,19,FALSE),0)</f>
        <v>0</v>
      </c>
      <c r="M99" s="376">
        <f>IFERROR(VLOOKUP(C99,'تقرير المصروفات حسب الشهر'!$C$1143:$AD$1254,19,FALSE),0)</f>
        <v>0</v>
      </c>
      <c r="N99" s="376">
        <f>IFERROR(VLOOKUP(C99,'تقرير المصروفات حسب الشهر'!$C$1270:$AD$1381,19,FALSE),0)</f>
        <v>0</v>
      </c>
      <c r="O99" s="376">
        <f>IFERROR(VLOOKUP(C99,'تقرير المصروفات حسب الشهر'!$C$1397:$AI$1512,19,FALSE),0)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الشهر'!$C$10:$AD$119,19,FALSE),0)</f>
        <v>248.34</v>
      </c>
      <c r="E100" s="362">
        <f>IFERROR(VLOOKUP(C100,'تقرير المصروفات حسب الشهر'!$C$135:$AD$244,19,FALSE),0)</f>
        <v>95.07</v>
      </c>
      <c r="F100" s="362">
        <f>IFERROR(VLOOKUP(C100,'تقرير المصروفات حسب الشهر'!$C$261:$AD$368,19,FALSE),0)</f>
        <v>22.92</v>
      </c>
      <c r="G100" s="362">
        <f>IFERROR(VLOOKUP(C100,'تقرير المصروفات حسب الشهر'!$C$387:$AD$495,19,FALSE),0)</f>
        <v>22.92</v>
      </c>
      <c r="H100" s="362">
        <f>IFERROR(VLOOKUP(C100,'تقرير المصروفات حسب الشهر'!$C$512:$AD$620,19,FALSE),0)</f>
        <v>22.92</v>
      </c>
      <c r="I100" s="362">
        <f>IFERROR(VLOOKUP(C100,'تقرير المصروفات حسب الشهر'!$C$637:$AD$746,19,FALSE),0)</f>
        <v>8.59</v>
      </c>
      <c r="J100" s="362">
        <f>IFERROR(VLOOKUP(C100,'تقرير المصروفات حسب الشهر'!$C$763:$AD$872,19,FALSE),0)</f>
        <v>0</v>
      </c>
      <c r="K100" s="362">
        <f>IFERROR(VLOOKUP(C100,'تقرير المصروفات حسب الشهر'!$C$890:$AD$999,19,FALSE),0)</f>
        <v>6.73</v>
      </c>
      <c r="L100" s="362">
        <f>IFERROR(VLOOKUP(C100,'تقرير المصروفات حسب الشهر'!$C$1016:$AD$1126,19,FALSE),0)</f>
        <v>52.07</v>
      </c>
      <c r="M100" s="376">
        <f>IFERROR(VLOOKUP(C100,'تقرير المصروفات حسب الشهر'!$C$1143:$AD$1254,19,FALSE),0)</f>
        <v>134.47999999999999</v>
      </c>
      <c r="N100" s="376">
        <f>IFERROR(VLOOKUP(C100,'تقرير المصروفات حسب الشهر'!$C$1270:$AD$1381,19,FALSE),0)</f>
        <v>134.47999999999999</v>
      </c>
      <c r="O100" s="376">
        <f>IFERROR(VLOOKUP(C100,'تقرير المصروفات حسب الشهر'!$C$1397:$AI$1512,19,FALSE),0)</f>
        <v>134.47999999999999</v>
      </c>
      <c r="P100" s="364">
        <f t="shared" si="6"/>
        <v>883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الشهر'!$C$10:$AD$119,19,FALSE),0)</f>
        <v>387.97</v>
      </c>
      <c r="E101" s="362">
        <f>IFERROR(VLOOKUP(C101,'تقرير المصروفات حسب الشهر'!$C$135:$AD$244,19,FALSE),0)</f>
        <v>127.96</v>
      </c>
      <c r="F101" s="362">
        <f>IFERROR(VLOOKUP(C101,'تقرير المصروفات حسب الشهر'!$C$261:$AD$368,19,FALSE),0)</f>
        <v>53.44</v>
      </c>
      <c r="G101" s="362">
        <f>IFERROR(VLOOKUP(C101,'تقرير المصروفات حسب الشهر'!$C$387:$AD$495,19,FALSE),0)</f>
        <v>53.44</v>
      </c>
      <c r="H101" s="362">
        <f>IFERROR(VLOOKUP(C101,'تقرير المصروفات حسب الشهر'!$C$512:$AD$620,19,FALSE),0)</f>
        <v>53.44</v>
      </c>
      <c r="I101" s="362">
        <f>IFERROR(VLOOKUP(C101,'تقرير المصروفات حسب الشهر'!$C$637:$AD$746,19,FALSE),0)</f>
        <v>53.44</v>
      </c>
      <c r="J101" s="362">
        <f>IFERROR(VLOOKUP(C101,'تقرير المصروفات حسب الشهر'!$C$763:$AD$872,19,FALSE),0)</f>
        <v>53.44</v>
      </c>
      <c r="K101" s="362">
        <f>IFERROR(VLOOKUP(C101,'تقرير المصروفات حسب الشهر'!$C$890:$AD$999,19,FALSE),0)</f>
        <v>38.17</v>
      </c>
      <c r="L101" s="362">
        <f>IFERROR(VLOOKUP(C101,'تقرير المصروفات حسب الشهر'!$C$1016:$AD$1126,19,FALSE),0)</f>
        <v>0</v>
      </c>
      <c r="M101" s="376">
        <f>IFERROR(VLOOKUP(C101,'تقرير المصروفات حسب الشهر'!$C$1143:$AD$1254,19,FALSE),0)</f>
        <v>0</v>
      </c>
      <c r="N101" s="376">
        <f>IFERROR(VLOOKUP(C101,'تقرير المصروفات حسب الشهر'!$C$1270:$AD$1381,19,FALSE),0)</f>
        <v>0</v>
      </c>
      <c r="O101" s="376">
        <f>IFERROR(VLOOKUP(C101,'تقرير المصروفات حسب الشهر'!$C$1397:$AI$1512,19,FALSE),0)</f>
        <v>0</v>
      </c>
      <c r="P101" s="364">
        <f t="shared" si="6"/>
        <v>821.3000000000003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الشهر'!$C$10:$AD$119,19,FALSE),0)</f>
        <v>321.64</v>
      </c>
      <c r="E102" s="362">
        <f>IFERROR(VLOOKUP(C102,'تقرير المصروفات حسب الشهر'!$C$135:$AD$244,19,FALSE),0)</f>
        <v>279.27</v>
      </c>
      <c r="F102" s="362">
        <f>IFERROR(VLOOKUP(C102,'تقرير المصروفات حسب الشهر'!$C$261:$AD$368,19,FALSE),0)</f>
        <v>275.83</v>
      </c>
      <c r="G102" s="362">
        <f>IFERROR(VLOOKUP(C102,'تقرير المصروفات حسب الشهر'!$C$387:$AD$495,19,FALSE),0)</f>
        <v>275.83</v>
      </c>
      <c r="H102" s="362">
        <f>IFERROR(VLOOKUP(C102,'تقرير المصروفات حسب الشهر'!$C$512:$AD$620,19,FALSE),0)</f>
        <v>275.83</v>
      </c>
      <c r="I102" s="362">
        <f>IFERROR(VLOOKUP(C102,'تقرير المصروفات حسب الشهر'!$C$637:$AD$746,19,FALSE),0)</f>
        <v>275.83</v>
      </c>
      <c r="J102" s="362">
        <f>IFERROR(VLOOKUP(C102,'تقرير المصروفات حسب الشهر'!$C$763:$AD$872,19,FALSE),0)</f>
        <v>275.83</v>
      </c>
      <c r="K102" s="362">
        <f>IFERROR(VLOOKUP(C102,'تقرير المصروفات حسب الشهر'!$C$890:$AD$999,19,FALSE),0)</f>
        <v>275.83</v>
      </c>
      <c r="L102" s="362">
        <f>IFERROR(VLOOKUP(C102,'تقرير المصروفات حسب الشهر'!$C$1016:$AD$1126,19,FALSE),0)</f>
        <v>275.83</v>
      </c>
      <c r="M102" s="376">
        <f>IFERROR(VLOOKUP(C102,'تقرير المصروفات حسب الشهر'!$C$1143:$AD$1254,19,FALSE),0)</f>
        <v>275.83</v>
      </c>
      <c r="N102" s="376">
        <f>IFERROR(VLOOKUP(C102,'تقرير المصروفات حسب الشهر'!$C$1270:$AD$1381,19,FALSE),0)</f>
        <v>275.83</v>
      </c>
      <c r="O102" s="376">
        <f>IFERROR(VLOOKUP(C102,'تقرير المصروفات حسب الشهر'!$C$1397:$AI$1512,19,FALSE),0)</f>
        <v>0.04</v>
      </c>
      <c r="P102" s="364">
        <f t="shared" si="6"/>
        <v>3083.4199999999996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الشهر'!$C$10:$AD$119,19,FALSE),0)</f>
        <v>570.41999999999996</v>
      </c>
      <c r="E103" s="362">
        <f>IFERROR(VLOOKUP(C103,'تقرير المصروفات حسب الشهر'!$C$135:$AD$244,19,FALSE),0)</f>
        <v>570.41999999999996</v>
      </c>
      <c r="F103" s="362">
        <f>IFERROR(VLOOKUP(C103,'تقرير المصروفات حسب الشهر'!$C$261:$AD$368,19,FALSE),0)</f>
        <v>570.41999999999996</v>
      </c>
      <c r="G103" s="362">
        <f>IFERROR(VLOOKUP(C103,'تقرير المصروفات حسب الشهر'!$C$387:$AD$495,19,FALSE),0)</f>
        <v>570.41999999999996</v>
      </c>
      <c r="H103" s="362">
        <f>IFERROR(VLOOKUP(C103,'تقرير المصروفات حسب الشهر'!$C$512:$AD$620,19,FALSE),0)</f>
        <v>570.41999999999996</v>
      </c>
      <c r="I103" s="362">
        <f>IFERROR(VLOOKUP(C103,'تقرير المصروفات حسب الشهر'!$C$637:$AD$746,19,FALSE),0)</f>
        <v>570.41999999999996</v>
      </c>
      <c r="J103" s="362">
        <f>IFERROR(VLOOKUP(C103,'تقرير المصروفات حسب الشهر'!$C$763:$AD$872,19,FALSE),0)</f>
        <v>570.41999999999996</v>
      </c>
      <c r="K103" s="362">
        <f>IFERROR(VLOOKUP(C103,'تقرير المصروفات حسب الشهر'!$C$890:$AD$999,19,FALSE),0)</f>
        <v>570.41999999999996</v>
      </c>
      <c r="L103" s="362">
        <f>IFERROR(VLOOKUP(C103,'تقرير المصروفات حسب الشهر'!$C$1016:$AD$1126,19,FALSE),0)</f>
        <v>570.41999999999996</v>
      </c>
      <c r="M103" s="376">
        <f>IFERROR(VLOOKUP(C103,'تقرير المصروفات حسب الشهر'!$C$1143:$AD$1254,19,FALSE),0)</f>
        <v>570.41999999999996</v>
      </c>
      <c r="N103" s="376">
        <f>IFERROR(VLOOKUP(C103,'تقرير المصروفات حسب الشهر'!$C$1270:$AD$1381,19,FALSE),0)</f>
        <v>570.34</v>
      </c>
      <c r="O103" s="376">
        <f>IFERROR(VLOOKUP(C103,'تقرير المصروفات حسب الشهر'!$C$1397:$AI$1512,19,FALSE),0)</f>
        <v>0.04</v>
      </c>
      <c r="P103" s="364">
        <f t="shared" si="6"/>
        <v>6274.58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الشهر'!$C$10:$AD$119,19,FALSE),0)</f>
        <v>0</v>
      </c>
      <c r="E104" s="362">
        <f>IFERROR(VLOOKUP(C104,'تقرير المصروفات حسب الشهر'!$C$135:$AD$244,19,FALSE),0)</f>
        <v>0</v>
      </c>
      <c r="F104" s="362">
        <f>IFERROR(VLOOKUP(C104,'تقرير المصروفات حسب الشهر'!$C$261:$AD$368,19,FALSE),0)</f>
        <v>0</v>
      </c>
      <c r="G104" s="362">
        <f>IFERROR(VLOOKUP(C104,'تقرير المصروفات حسب الشهر'!$C$387:$AD$495,19,FALSE),0)</f>
        <v>0</v>
      </c>
      <c r="H104" s="362">
        <f>IFERROR(VLOOKUP(C104,'تقرير المصروفات حسب الشهر'!$C$512:$AD$620,19,FALSE),0)</f>
        <v>0</v>
      </c>
      <c r="I104" s="362">
        <f>IFERROR(VLOOKUP(C104,'تقرير المصروفات حسب الشهر'!$C$637:$AD$746,19,FALSE),0)</f>
        <v>0</v>
      </c>
      <c r="J104" s="362">
        <f>IFERROR(VLOOKUP(C104,'تقرير المصروفات حسب الشهر'!$C$763:$AD$872,19,FALSE),0)</f>
        <v>0</v>
      </c>
      <c r="K104" s="362">
        <f>IFERROR(VLOOKUP(C104,'تقرير المصروفات حسب الشهر'!$C$890:$AD$999,19,FALSE),0)</f>
        <v>0</v>
      </c>
      <c r="L104" s="362">
        <f>IFERROR(VLOOKUP(C104,'تقرير المصروفات حسب الشهر'!$C$1016:$AD$1126,19,FALSE),0)</f>
        <v>0</v>
      </c>
      <c r="M104" s="376">
        <f>IFERROR(VLOOKUP(C104,'تقرير المصروفات حسب الشهر'!$C$1143:$AD$1254,19,FALSE),0)</f>
        <v>0</v>
      </c>
      <c r="N104" s="376">
        <f>IFERROR(VLOOKUP(C104,'تقرير المصروفات حسب الشهر'!$C$1270:$AD$1381,19,FALSE),0)</f>
        <v>0</v>
      </c>
      <c r="O104" s="376">
        <f>IFERROR(VLOOKUP(C104,'تقرير المصروفات حسب الشهر'!$C$1397:$AI$1512,19,FALSE),0)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الشهر'!$C$10:$AD$119,19,FALSE),0)</f>
        <v>0</v>
      </c>
      <c r="E105" s="362">
        <f>IFERROR(VLOOKUP(C105,'تقرير المصروفات حسب الشهر'!$C$135:$AD$244,19,FALSE),0)</f>
        <v>0</v>
      </c>
      <c r="F105" s="362">
        <f>IFERROR(VLOOKUP(C105,'تقرير المصروفات حسب الشهر'!$C$261:$AD$368,19,FALSE),0)</f>
        <v>0</v>
      </c>
      <c r="G105" s="362">
        <f>IFERROR(VLOOKUP(C105,'تقرير المصروفات حسب الشهر'!$C$387:$AD$495,19,FALSE),0)</f>
        <v>0</v>
      </c>
      <c r="H105" s="362">
        <f>IFERROR(VLOOKUP(C105,'تقرير المصروفات حسب الشهر'!$C$512:$AD$620,19,FALSE),0)</f>
        <v>0</v>
      </c>
      <c r="I105" s="362">
        <f>IFERROR(VLOOKUP(C105,'تقرير المصروفات حسب الشهر'!$C$637:$AD$746,19,FALSE),0)</f>
        <v>0</v>
      </c>
      <c r="J105" s="362">
        <f>IFERROR(VLOOKUP(C105,'تقرير المصروفات حسب الشهر'!$C$763:$AD$872,19,FALSE),0)</f>
        <v>0</v>
      </c>
      <c r="K105" s="362">
        <f>IFERROR(VLOOKUP(C105,'تقرير المصروفات حسب الشهر'!$C$890:$AD$999,19,FALSE),0)</f>
        <v>0</v>
      </c>
      <c r="L105" s="362">
        <f>IFERROR(VLOOKUP(C105,'تقرير المصروفات حسب الشهر'!$C$1016:$AD$1126,19,FALSE),0)</f>
        <v>0</v>
      </c>
      <c r="M105" s="376">
        <f>IFERROR(VLOOKUP(C105,'تقرير المصروفات حسب الشهر'!$C$1143:$AD$1254,19,FALSE),0)</f>
        <v>0</v>
      </c>
      <c r="N105" s="376">
        <f>IFERROR(VLOOKUP(C105,'تقرير المصروفات حسب الشهر'!$C$1270:$AD$1381,19,FALSE),0)</f>
        <v>0</v>
      </c>
      <c r="O105" s="376">
        <f>IFERROR(VLOOKUP(C105,'تقرير المصروفات حسب الشهر'!$C$1397:$AI$1512,19,FALSE),0)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الشهر'!$C$10:$AD$119,19,FALSE),0)</f>
        <v>0</v>
      </c>
      <c r="E106" s="362">
        <f>IFERROR(VLOOKUP(C106,'تقرير المصروفات حسب الشهر'!$C$135:$AD$244,19,FALSE),0)</f>
        <v>0</v>
      </c>
      <c r="F106" s="362">
        <f>IFERROR(VLOOKUP(C106,'تقرير المصروفات حسب الشهر'!$C$261:$AD$368,19,FALSE),0)</f>
        <v>0</v>
      </c>
      <c r="G106" s="362">
        <f>IFERROR(VLOOKUP(C106,'تقرير المصروفات حسب الشهر'!$C$387:$AD$495,19,FALSE),0)</f>
        <v>0</v>
      </c>
      <c r="H106" s="362">
        <f>IFERROR(VLOOKUP(C106,'تقرير المصروفات حسب الشهر'!$C$512:$AD$620,19,FALSE),0)</f>
        <v>0</v>
      </c>
      <c r="I106" s="362">
        <f>IFERROR(VLOOKUP(C106,'تقرير المصروفات حسب الشهر'!$C$637:$AD$746,19,FALSE),0)</f>
        <v>0</v>
      </c>
      <c r="J106" s="362">
        <f>IFERROR(VLOOKUP(C106,'تقرير المصروفات حسب الشهر'!$C$763:$AD$872,19,FALSE),0)</f>
        <v>0</v>
      </c>
      <c r="K106" s="362">
        <f>IFERROR(VLOOKUP(C106,'تقرير المصروفات حسب الشهر'!$C$890:$AD$999,19,FALSE),0)</f>
        <v>0</v>
      </c>
      <c r="L106" s="362">
        <f>IFERROR(VLOOKUP(C106,'تقرير المصروفات حسب الشهر'!$C$1016:$AD$1126,19,FALSE),0)</f>
        <v>0</v>
      </c>
      <c r="M106" s="376">
        <f>IFERROR(VLOOKUP(C106,'تقرير المصروفات حسب الشهر'!$C$1143:$AD$1254,19,FALSE),0)</f>
        <v>0</v>
      </c>
      <c r="N106" s="376">
        <f>IFERROR(VLOOKUP(C106,'تقرير المصروفات حسب الشهر'!$C$1270:$AD$1381,19,FALSE),0)</f>
        <v>0</v>
      </c>
      <c r="O106" s="376">
        <f>IFERROR(VLOOKUP(C106,'تقرير المصروفات حسب الشهر'!$C$1397:$AI$1512,19,FALSE),0)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الشهر'!$C$10:$AD$119,19,FALSE),0)</f>
        <v>0</v>
      </c>
      <c r="E107" s="362">
        <f>IFERROR(VLOOKUP(C107,'تقرير المصروفات حسب الشهر'!$C$135:$AD$244,19,FALSE),0)</f>
        <v>0</v>
      </c>
      <c r="F107" s="362">
        <f>IFERROR(VLOOKUP(C107,'تقرير المصروفات حسب الشهر'!$C$261:$AD$368,19,FALSE),0)</f>
        <v>0</v>
      </c>
      <c r="G107" s="362">
        <f>IFERROR(VLOOKUP(C107,'تقرير المصروفات حسب الشهر'!$C$387:$AD$495,19,FALSE),0)</f>
        <v>0</v>
      </c>
      <c r="H107" s="362">
        <f>IFERROR(VLOOKUP(C107,'تقرير المصروفات حسب الشهر'!$C$512:$AD$620,19,FALSE),0)</f>
        <v>0</v>
      </c>
      <c r="I107" s="362">
        <f>IFERROR(VLOOKUP(C107,'تقرير المصروفات حسب الشهر'!$C$637:$AD$746,19,FALSE),0)</f>
        <v>0</v>
      </c>
      <c r="J107" s="362">
        <f>IFERROR(VLOOKUP(C107,'تقرير المصروفات حسب الشهر'!$C$763:$AD$872,19,FALSE),0)</f>
        <v>0</v>
      </c>
      <c r="K107" s="362">
        <f>IFERROR(VLOOKUP(C107,'تقرير المصروفات حسب الشهر'!$C$890:$AD$999,19,FALSE),0)</f>
        <v>0</v>
      </c>
      <c r="L107" s="362">
        <f>IFERROR(VLOOKUP(C107,'تقرير المصروفات حسب الشهر'!$C$1016:$AD$1126,19,FALSE),0)</f>
        <v>0</v>
      </c>
      <c r="M107" s="376">
        <f>IFERROR(VLOOKUP(C107,'تقرير المصروفات حسب الشهر'!$C$1143:$AD$1254,19,FALSE),0)</f>
        <v>0</v>
      </c>
      <c r="N107" s="376">
        <f>IFERROR(VLOOKUP(C107,'تقرير المصروفات حسب الشهر'!$C$1270:$AD$1381,19,FALSE),0)</f>
        <v>0</v>
      </c>
      <c r="O107" s="376">
        <f>IFERROR(VLOOKUP(C107,'تقرير المصروفات حسب الشهر'!$C$1397:$AI$1512,19,FALSE),0)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الشهر'!$C$10:$AD$119,19,FALSE),0)</f>
        <v>0</v>
      </c>
      <c r="E108" s="362">
        <f>IFERROR(VLOOKUP(C108,'تقرير المصروفات حسب الشهر'!$C$135:$AD$244,19,FALSE),0)</f>
        <v>0</v>
      </c>
      <c r="F108" s="362">
        <f>IFERROR(VLOOKUP(C108,'تقرير المصروفات حسب الشهر'!$C$261:$AD$368,19,FALSE),0)</f>
        <v>0</v>
      </c>
      <c r="G108" s="362">
        <f>IFERROR(VLOOKUP(C108,'تقرير المصروفات حسب الشهر'!$C$387:$AD$495,19,FALSE),0)</f>
        <v>0</v>
      </c>
      <c r="H108" s="362">
        <f>IFERROR(VLOOKUP(C108,'تقرير المصروفات حسب الشهر'!$C$512:$AD$620,19,FALSE),0)</f>
        <v>0</v>
      </c>
      <c r="I108" s="362">
        <f>IFERROR(VLOOKUP(C108,'تقرير المصروفات حسب الشهر'!$C$637:$AD$746,19,FALSE),0)</f>
        <v>0</v>
      </c>
      <c r="J108" s="362">
        <f>IFERROR(VLOOKUP(C108,'تقرير المصروفات حسب الشهر'!$C$763:$AD$872,19,FALSE),0)</f>
        <v>0</v>
      </c>
      <c r="K108" s="362">
        <f>IFERROR(VLOOKUP(C108,'تقرير المصروفات حسب الشهر'!$C$890:$AD$999,19,FALSE),0)</f>
        <v>0</v>
      </c>
      <c r="L108" s="362">
        <f>IFERROR(VLOOKUP(C108,'تقرير المصروفات حسب الشهر'!$C$1016:$AD$1126,19,FALSE),0)</f>
        <v>0</v>
      </c>
      <c r="M108" s="376">
        <f>IFERROR(VLOOKUP(C108,'تقرير المصروفات حسب الشهر'!$C$1143:$AD$1254,19,FALSE),0)</f>
        <v>0</v>
      </c>
      <c r="N108" s="376">
        <f>IFERROR(VLOOKUP(C108,'تقرير المصروفات حسب الشهر'!$C$1270:$AD$1381,19,FALSE),0)</f>
        <v>0</v>
      </c>
      <c r="O108" s="376">
        <f>IFERROR(VLOOKUP(C108,'تقرير المصروفات حسب الشهر'!$C$1397:$AI$1512,19,FALSE),0)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الشهر'!$C$10:$AD$119,19,FALSE),0)</f>
        <v>0</v>
      </c>
      <c r="E109" s="362">
        <f>IFERROR(VLOOKUP(C109,'تقرير المصروفات حسب الشهر'!$C$135:$AD$244,19,FALSE),0)</f>
        <v>0</v>
      </c>
      <c r="F109" s="362">
        <f>IFERROR(VLOOKUP(C109,'تقرير المصروفات حسب الشهر'!$C$261:$AD$368,19,FALSE),0)</f>
        <v>0</v>
      </c>
      <c r="G109" s="362">
        <f>IFERROR(VLOOKUP(C109,'تقرير المصروفات حسب الشهر'!$C$387:$AD$495,19,FALSE),0)</f>
        <v>0</v>
      </c>
      <c r="H109" s="362">
        <f>IFERROR(VLOOKUP(C109,'تقرير المصروفات حسب الشهر'!$C$512:$AD$620,19,FALSE),0)</f>
        <v>0</v>
      </c>
      <c r="I109" s="362">
        <f>IFERROR(VLOOKUP(C109,'تقرير المصروفات حسب الشهر'!$C$637:$AD$746,19,FALSE),0)</f>
        <v>0</v>
      </c>
      <c r="J109" s="362">
        <f>IFERROR(VLOOKUP(C109,'تقرير المصروفات حسب الشهر'!$C$763:$AD$872,19,FALSE),0)</f>
        <v>0</v>
      </c>
      <c r="K109" s="362">
        <f>IFERROR(VLOOKUP(C109,'تقرير المصروفات حسب الشهر'!$C$890:$AD$999,19,FALSE),0)</f>
        <v>0</v>
      </c>
      <c r="L109" s="362">
        <f>IFERROR(VLOOKUP(C109,'تقرير المصروفات حسب الشهر'!$C$1016:$AD$1126,19,FALSE),0)</f>
        <v>0</v>
      </c>
      <c r="M109" s="376">
        <f>IFERROR(VLOOKUP(C109,'تقرير المصروفات حسب الشهر'!$C$1143:$AD$1254,19,FALSE),0)</f>
        <v>0</v>
      </c>
      <c r="N109" s="376">
        <f>IFERROR(VLOOKUP(C109,'تقرير المصروفات حسب الشهر'!$C$1270:$AD$1381,19,FALSE),0)</f>
        <v>0</v>
      </c>
      <c r="O109" s="376">
        <f>IFERROR(VLOOKUP(C109,'تقرير المصروفات حسب الشهر'!$C$1397:$AI$1512,19,FALSE),0)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الشهر'!$C$10:$AD$119,19,FALSE),0)</f>
        <v>0</v>
      </c>
      <c r="E110" s="362">
        <f>IFERROR(VLOOKUP(C110,'تقرير المصروفات حسب الشهر'!$C$135:$AD$244,19,FALSE),0)</f>
        <v>0</v>
      </c>
      <c r="F110" s="362">
        <f>IFERROR(VLOOKUP(C110,'تقرير المصروفات حسب الشهر'!$C$261:$AD$368,19,FALSE),0)</f>
        <v>0</v>
      </c>
      <c r="G110" s="362">
        <f>IFERROR(VLOOKUP(C110,'تقرير المصروفات حسب الشهر'!$C$387:$AD$495,19,FALSE),0)</f>
        <v>0</v>
      </c>
      <c r="H110" s="362">
        <f>IFERROR(VLOOKUP(C110,'تقرير المصروفات حسب الشهر'!$C$512:$AD$620,19,FALSE),0)</f>
        <v>0</v>
      </c>
      <c r="I110" s="362">
        <f>IFERROR(VLOOKUP(C110,'تقرير المصروفات حسب الشهر'!$C$637:$AD$746,19,FALSE),0)</f>
        <v>0</v>
      </c>
      <c r="J110" s="362">
        <f>IFERROR(VLOOKUP(C110,'تقرير المصروفات حسب الشهر'!$C$763:$AD$872,19,FALSE),0)</f>
        <v>0</v>
      </c>
      <c r="K110" s="362">
        <f>IFERROR(VLOOKUP(C110,'تقرير المصروفات حسب الشهر'!$C$890:$AD$999,19,FALSE),0)</f>
        <v>0</v>
      </c>
      <c r="L110" s="362">
        <f>IFERROR(VLOOKUP(C110,'تقرير المصروفات حسب الشهر'!$C$1016:$AD$1126,19,FALSE),0)</f>
        <v>0</v>
      </c>
      <c r="M110" s="376">
        <f>IFERROR(VLOOKUP(C110,'تقرير المصروفات حسب الشهر'!$C$1143:$AD$1254,19,FALSE),0)</f>
        <v>0</v>
      </c>
      <c r="N110" s="376">
        <f>IFERROR(VLOOKUP(C110,'تقرير المصروفات حسب الشهر'!$C$1270:$AD$1381,19,FALSE),0)</f>
        <v>0</v>
      </c>
      <c r="O110" s="376">
        <f>IFERROR(VLOOKUP(C110,'تقرير المصروفات حسب الشهر'!$C$1397:$AI$1512,19,FALSE),0)</f>
        <v>0</v>
      </c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الشهر'!$C$10:$AD$119,19,FALSE),0)</f>
        <v>0</v>
      </c>
      <c r="E111" s="362">
        <f>IFERROR(VLOOKUP(C111,'تقرير المصروفات حسب الشهر'!$C$135:$AD$244,19,FALSE),0)</f>
        <v>0</v>
      </c>
      <c r="F111" s="362">
        <f>IFERROR(VLOOKUP(C111,'تقرير المصروفات حسب الشهر'!$C$261:$AD$368,19,FALSE),0)</f>
        <v>0</v>
      </c>
      <c r="G111" s="362">
        <f>IFERROR(VLOOKUP(C111,'تقرير المصروفات حسب الشهر'!$C$387:$AD$495,19,FALSE),0)</f>
        <v>0</v>
      </c>
      <c r="H111" s="362">
        <f>IFERROR(VLOOKUP(C111,'تقرير المصروفات حسب الشهر'!$C$512:$AD$620,19,FALSE),0)</f>
        <v>0</v>
      </c>
      <c r="I111" s="362">
        <f>IFERROR(VLOOKUP(C111,'تقرير المصروفات حسب الشهر'!$C$637:$AD$746,19,FALSE),0)</f>
        <v>0</v>
      </c>
      <c r="J111" s="362">
        <f>IFERROR(VLOOKUP(C111,'تقرير المصروفات حسب الشهر'!$C$763:$AD$872,19,FALSE),0)</f>
        <v>0</v>
      </c>
      <c r="K111" s="362">
        <f>IFERROR(VLOOKUP(C111,'تقرير المصروفات حسب الشهر'!$C$890:$AD$999,19,FALSE),0)</f>
        <v>0</v>
      </c>
      <c r="L111" s="362">
        <f>IFERROR(VLOOKUP(C111,'تقرير المصروفات حسب الشهر'!$C$1016:$AD$1126,19,FALSE),0)</f>
        <v>0</v>
      </c>
      <c r="M111" s="376">
        <f>IFERROR(VLOOKUP(C111,'تقرير المصروفات حسب الشهر'!$C$1143:$AD$1254,19,FALSE),0)</f>
        <v>0</v>
      </c>
      <c r="N111" s="376">
        <f>IFERROR(VLOOKUP(C111,'تقرير المصروفات حسب الشهر'!$C$1270:$AD$1381,19,FALSE),0)</f>
        <v>0</v>
      </c>
      <c r="O111" s="376">
        <f>IFERROR(VLOOKUP(C111,'تقرير المصروفات حسب الشهر'!$C$1397:$AI$1512,19,FALSE),0)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الشهر'!$C$10:$AD$119,19,FALSE),0)</f>
        <v>0</v>
      </c>
      <c r="E112" s="362">
        <f>IFERROR(VLOOKUP(C112,'تقرير المصروفات حسب الشهر'!$C$135:$AD$244,19,FALSE),0)</f>
        <v>0</v>
      </c>
      <c r="F112" s="362">
        <f>IFERROR(VLOOKUP(C112,'تقرير المصروفات حسب الشهر'!$C$261:$AD$368,19,FALSE),0)</f>
        <v>0</v>
      </c>
      <c r="G112" s="362">
        <f>IFERROR(VLOOKUP(C112,'تقرير المصروفات حسب الشهر'!$C$387:$AD$495,19,FALSE),0)</f>
        <v>0</v>
      </c>
      <c r="H112" s="362">
        <f>IFERROR(VLOOKUP(C112,'تقرير المصروفات حسب الشهر'!$C$512:$AD$620,19,FALSE),0)</f>
        <v>0</v>
      </c>
      <c r="I112" s="362">
        <f>IFERROR(VLOOKUP(C112,'تقرير المصروفات حسب الشهر'!$C$637:$AD$746,19,FALSE),0)</f>
        <v>0</v>
      </c>
      <c r="J112" s="362">
        <f>IFERROR(VLOOKUP(C112,'تقرير المصروفات حسب الشهر'!$C$763:$AD$872,19,FALSE),0)</f>
        <v>0</v>
      </c>
      <c r="K112" s="362">
        <f>IFERROR(VLOOKUP(C112,'تقرير المصروفات حسب الشهر'!$C$890:$AD$999,19,FALSE),0)</f>
        <v>0</v>
      </c>
      <c r="L112" s="362">
        <f>IFERROR(VLOOKUP(C112,'تقرير المصروفات حسب الشهر'!$C$1016:$AD$1126,19,FALSE),0)</f>
        <v>0</v>
      </c>
      <c r="M112" s="376">
        <f>IFERROR(VLOOKUP(C112,'تقرير المصروفات حسب الشهر'!$C$1143:$AD$1254,19,FALSE),0)</f>
        <v>0</v>
      </c>
      <c r="N112" s="376">
        <f>IFERROR(VLOOKUP(C112,'تقرير المصروفات حسب الشهر'!$C$1270:$AD$1381,19,FALSE),0)</f>
        <v>0</v>
      </c>
      <c r="O112" s="376">
        <f>IFERROR(VLOOKUP(C112,'تقرير المصروفات حسب الشهر'!$C$1397:$AI$1512,19,FALSE),0)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الشهر'!$C$10:$AD$119,19,FALSE),0)</f>
        <v>0</v>
      </c>
      <c r="E113" s="362">
        <f>IFERROR(VLOOKUP(C113,'تقرير المصروفات حسب الشهر'!$C$135:$AD$244,19,FALSE),0)</f>
        <v>0</v>
      </c>
      <c r="F113" s="362">
        <f>IFERROR(VLOOKUP(C113,'تقرير المصروفات حسب الشهر'!$C$261:$AD$368,19,FALSE),0)</f>
        <v>0</v>
      </c>
      <c r="G113" s="362">
        <f>IFERROR(VLOOKUP(C113,'تقرير المصروفات حسب الشهر'!$C$387:$AD$495,19,FALSE),0)</f>
        <v>0</v>
      </c>
      <c r="H113" s="362">
        <f>IFERROR(VLOOKUP(C113,'تقرير المصروفات حسب الشهر'!$C$512:$AD$620,19,FALSE),0)</f>
        <v>0</v>
      </c>
      <c r="I113" s="362">
        <f>IFERROR(VLOOKUP(C113,'تقرير المصروفات حسب الشهر'!$C$637:$AD$746,19,FALSE),0)</f>
        <v>0</v>
      </c>
      <c r="J113" s="362">
        <f>IFERROR(VLOOKUP(C113,'تقرير المصروفات حسب الشهر'!$C$763:$AD$872,19,FALSE),0)</f>
        <v>0</v>
      </c>
      <c r="K113" s="362">
        <f>IFERROR(VLOOKUP(C113,'تقرير المصروفات حسب الشهر'!$C$890:$AD$999,19,FALSE),0)</f>
        <v>0</v>
      </c>
      <c r="L113" s="362">
        <f>IFERROR(VLOOKUP(C113,'تقرير المصروفات حسب الشهر'!$C$1016:$AD$1126,19,FALSE),0)</f>
        <v>0</v>
      </c>
      <c r="M113" s="376">
        <f>IFERROR(VLOOKUP(C113,'تقرير المصروفات حسب الشهر'!$C$1143:$AD$1254,19,FALSE),0)</f>
        <v>0</v>
      </c>
      <c r="N113" s="376">
        <f>IFERROR(VLOOKUP(C113,'تقرير المصروفات حسب الشهر'!$C$1270:$AD$1381,19,FALSE),0)</f>
        <v>0</v>
      </c>
      <c r="O113" s="376">
        <f>IFERROR(VLOOKUP(C113,'تقرير المصروفات حسب الشهر'!$C$1397:$AI$1512,19,FALSE),0)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الشهر'!$C$10:$AD$119,19,FALSE),0)</f>
        <v>0</v>
      </c>
      <c r="E114" s="362">
        <f>IFERROR(VLOOKUP(C114,'تقرير المصروفات حسب الشهر'!$C$135:$AD$244,19,FALSE),0)</f>
        <v>0</v>
      </c>
      <c r="F114" s="362">
        <f>IFERROR(VLOOKUP(C114,'تقرير المصروفات حسب الشهر'!$C$261:$AD$368,19,FALSE),0)</f>
        <v>0</v>
      </c>
      <c r="G114" s="362">
        <f>IFERROR(VLOOKUP(C114,'تقرير المصروفات حسب الشهر'!$C$387:$AD$495,19,FALSE),0)</f>
        <v>0</v>
      </c>
      <c r="H114" s="362">
        <f>IFERROR(VLOOKUP(C114,'تقرير المصروفات حسب الشهر'!$C$512:$AD$620,19,FALSE),0)</f>
        <v>0</v>
      </c>
      <c r="I114" s="362">
        <f>IFERROR(VLOOKUP(C114,'تقرير المصروفات حسب الشهر'!$C$637:$AD$746,19,FALSE),0)</f>
        <v>0</v>
      </c>
      <c r="J114" s="362">
        <f>IFERROR(VLOOKUP(C114,'تقرير المصروفات حسب الشهر'!$C$763:$AD$872,19,FALSE),0)</f>
        <v>0</v>
      </c>
      <c r="K114" s="362">
        <f>IFERROR(VLOOKUP(C114,'تقرير المصروفات حسب الشهر'!$C$890:$AD$999,19,FALSE),0)</f>
        <v>0</v>
      </c>
      <c r="L114" s="362">
        <f>IFERROR(VLOOKUP(C114,'تقرير المصروفات حسب الشهر'!$C$1016:$AD$1126,19,FALSE),0)</f>
        <v>0</v>
      </c>
      <c r="M114" s="376">
        <f>IFERROR(VLOOKUP(C114,'تقرير المصروفات حسب الشهر'!$C$1143:$AD$1254,19,FALSE),0)</f>
        <v>0</v>
      </c>
      <c r="N114" s="376">
        <f>IFERROR(VLOOKUP(C114,'تقرير المصروفات حسب الشهر'!$C$1270:$AD$1381,19,FALSE),0)</f>
        <v>0</v>
      </c>
      <c r="O114" s="376">
        <f>IFERROR(VLOOKUP(C114,'تقرير المصروفات حسب الشهر'!$C$1397:$AI$1512,19,FALSE),0)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الشهر'!$C$10:$AD$119,19,FALSE),0)</f>
        <v>0</v>
      </c>
      <c r="E115" s="362">
        <f>IFERROR(VLOOKUP(C115,'تقرير المصروفات حسب الشهر'!$C$135:$AD$244,19,FALSE),0)</f>
        <v>0</v>
      </c>
      <c r="F115" s="362">
        <f>IFERROR(VLOOKUP(C115,'تقرير المصروفات حسب الشهر'!$C$261:$AD$368,19,FALSE),0)</f>
        <v>0</v>
      </c>
      <c r="G115" s="362">
        <f>IFERROR(VLOOKUP(C115,'تقرير المصروفات حسب الشهر'!$C$387:$AD$495,19,FALSE),0)</f>
        <v>0</v>
      </c>
      <c r="H115" s="362">
        <f>IFERROR(VLOOKUP(C115,'تقرير المصروفات حسب الشهر'!$C$512:$AD$620,19,FALSE),0)</f>
        <v>0</v>
      </c>
      <c r="I115" s="362">
        <f>IFERROR(VLOOKUP(C115,'تقرير المصروفات حسب الشهر'!$C$637:$AD$746,19,FALSE),0)</f>
        <v>0</v>
      </c>
      <c r="J115" s="362">
        <f>IFERROR(VLOOKUP(C115,'تقرير المصروفات حسب الشهر'!$C$763:$AD$872,19,FALSE),0)</f>
        <v>0</v>
      </c>
      <c r="K115" s="362">
        <f>IFERROR(VLOOKUP(C115,'تقرير المصروفات حسب الشهر'!$C$890:$AD$999,19,FALSE),0)</f>
        <v>0</v>
      </c>
      <c r="L115" s="362">
        <f>IFERROR(VLOOKUP(C115,'تقرير المصروفات حسب الشهر'!$C$1016:$AD$1126,19,FALSE),0)</f>
        <v>0</v>
      </c>
      <c r="M115" s="376">
        <f>IFERROR(VLOOKUP(C115,'تقرير المصروفات حسب الشهر'!$C$1143:$AD$1254,19,FALSE),0)</f>
        <v>0</v>
      </c>
      <c r="N115" s="376">
        <f>IFERROR(VLOOKUP(C115,'تقرير المصروفات حسب الشهر'!$C$1270:$AD$1381,19,FALSE),0)</f>
        <v>0</v>
      </c>
      <c r="O115" s="376">
        <f>IFERROR(VLOOKUP(C115,'تقرير المصروفات حسب الشهر'!$C$1397:$AI$1512,19,FALSE),0)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الشهر'!$C$10:$AD$119,19,FALSE),0)</f>
        <v>0</v>
      </c>
      <c r="E116" s="362">
        <f>IFERROR(VLOOKUP(C116,'تقرير المصروفات حسب الشهر'!$C$135:$AD$244,19,FALSE),0)</f>
        <v>0</v>
      </c>
      <c r="F116" s="362">
        <f>IFERROR(VLOOKUP(C116,'تقرير المصروفات حسب الشهر'!$C$261:$AD$368,19,FALSE),0)</f>
        <v>0</v>
      </c>
      <c r="G116" s="362">
        <f>IFERROR(VLOOKUP(C116,'تقرير المصروفات حسب الشهر'!$C$387:$AD$495,19,FALSE),0)</f>
        <v>0</v>
      </c>
      <c r="H116" s="362">
        <f>IFERROR(VLOOKUP(C116,'تقرير المصروفات حسب الشهر'!$C$512:$AD$620,19,FALSE),0)</f>
        <v>0</v>
      </c>
      <c r="I116" s="362">
        <f>IFERROR(VLOOKUP(C116,'تقرير المصروفات حسب الشهر'!$C$637:$AD$746,19,FALSE),0)</f>
        <v>0</v>
      </c>
      <c r="J116" s="362">
        <f>IFERROR(VLOOKUP(C116,'تقرير المصروفات حسب الشهر'!$C$763:$AD$872,19,FALSE),0)</f>
        <v>0</v>
      </c>
      <c r="K116" s="362">
        <f>IFERROR(VLOOKUP(C116,'تقرير المصروفات حسب الشهر'!$C$890:$AD$999,19,FALSE),0)</f>
        <v>0</v>
      </c>
      <c r="L116" s="362">
        <f>IFERROR(VLOOKUP(C116,'تقرير المصروفات حسب الشهر'!$C$1016:$AD$1126,19,FALSE),0)</f>
        <v>0</v>
      </c>
      <c r="M116" s="376">
        <f>IFERROR(VLOOKUP(C116,'تقرير المصروفات حسب الشهر'!$C$1143:$AD$1254,19,FALSE),0)</f>
        <v>0</v>
      </c>
      <c r="N116" s="376">
        <f>IFERROR(VLOOKUP(C116,'تقرير المصروفات حسب الشهر'!$C$1270:$AD$1381,19,FALSE),0)</f>
        <v>0</v>
      </c>
      <c r="O116" s="376">
        <f>IFERROR(VLOOKUP(C116,'تقرير المصروفات حسب الشهر'!$C$1397:$AI$1512,19,FALSE),0)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الشهر'!$C$10:$AD$119,19,FALSE),0)</f>
        <v>0</v>
      </c>
      <c r="E117" s="362">
        <f>IFERROR(VLOOKUP(C117,'تقرير المصروفات حسب الشهر'!$C$135:$AD$244,19,FALSE),0)</f>
        <v>0</v>
      </c>
      <c r="F117" s="362">
        <f>IFERROR(VLOOKUP(C117,'تقرير المصروفات حسب الشهر'!$C$261:$AD$368,19,FALSE),0)</f>
        <v>0</v>
      </c>
      <c r="G117" s="362">
        <f>IFERROR(VLOOKUP(C117,'تقرير المصروفات حسب الشهر'!$C$387:$AD$495,19,FALSE),0)</f>
        <v>0</v>
      </c>
      <c r="H117" s="362">
        <f>IFERROR(VLOOKUP(C117,'تقرير المصروفات حسب الشهر'!$C$512:$AD$620,19,FALSE),0)</f>
        <v>0</v>
      </c>
      <c r="I117" s="362">
        <f>IFERROR(VLOOKUP(C117,'تقرير المصروفات حسب الشهر'!$C$637:$AD$746,19,FALSE),0)</f>
        <v>0</v>
      </c>
      <c r="J117" s="362">
        <f>IFERROR(VLOOKUP(C117,'تقرير المصروفات حسب الشهر'!$C$763:$AD$872,19,FALSE),0)</f>
        <v>0</v>
      </c>
      <c r="K117" s="362">
        <f>IFERROR(VLOOKUP(C117,'تقرير المصروفات حسب الشهر'!$C$890:$AD$999,19,FALSE),0)</f>
        <v>0</v>
      </c>
      <c r="L117" s="362">
        <f>IFERROR(VLOOKUP(C117,'تقرير المصروفات حسب الشهر'!$C$1016:$AD$1126,19,FALSE),0)</f>
        <v>0</v>
      </c>
      <c r="M117" s="376">
        <f>IFERROR(VLOOKUP(C117,'تقرير المصروفات حسب الشهر'!$C$1143:$AD$1254,19,FALSE),0)</f>
        <v>0</v>
      </c>
      <c r="N117" s="376">
        <f>IFERROR(VLOOKUP(C117,'تقرير المصروفات حسب الشهر'!$C$1270:$AD$1381,19,FALSE),0)</f>
        <v>0</v>
      </c>
      <c r="O117" s="376">
        <f>IFERROR(VLOOKUP(C117,'تقرير المصروفات حسب الشهر'!$C$1397:$AI$1512,19,FALSE),0)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الشهر'!$C$10:$AD$119,19,FALSE),0)</f>
        <v>0</v>
      </c>
      <c r="E118" s="362">
        <f>IFERROR(VLOOKUP(C118,'تقرير المصروفات حسب الشهر'!$C$135:$AD$244,19,FALSE),0)</f>
        <v>0</v>
      </c>
      <c r="F118" s="362">
        <f>IFERROR(VLOOKUP(C118,'تقرير المصروفات حسب الشهر'!$C$261:$AD$368,19,FALSE),0)</f>
        <v>0</v>
      </c>
      <c r="G118" s="362">
        <f>IFERROR(VLOOKUP(C118,'تقرير المصروفات حسب الشهر'!$C$387:$AD$495,19,FALSE),0)</f>
        <v>0</v>
      </c>
      <c r="H118" s="362">
        <f>IFERROR(VLOOKUP(C118,'تقرير المصروفات حسب الشهر'!$C$512:$AD$620,19,FALSE),0)</f>
        <v>0</v>
      </c>
      <c r="I118" s="362">
        <f>IFERROR(VLOOKUP(C118,'تقرير المصروفات حسب الشهر'!$C$637:$AD$746,19,FALSE),0)</f>
        <v>0</v>
      </c>
      <c r="J118" s="362">
        <f>IFERROR(VLOOKUP(C118,'تقرير المصروفات حسب الشهر'!$C$763:$AD$872,19,FALSE),0)</f>
        <v>0</v>
      </c>
      <c r="K118" s="362">
        <f>IFERROR(VLOOKUP(C118,'تقرير المصروفات حسب الشهر'!$C$890:$AD$999,19,FALSE),0)</f>
        <v>0</v>
      </c>
      <c r="L118" s="362">
        <f>IFERROR(VLOOKUP(C118,'تقرير المصروفات حسب الشهر'!$C$1016:$AD$1126,19,FALSE),0)</f>
        <v>0</v>
      </c>
      <c r="M118" s="376">
        <f>IFERROR(VLOOKUP(C118,'تقرير المصروفات حسب الشهر'!$C$1143:$AD$1254,19,FALSE),0)</f>
        <v>0</v>
      </c>
      <c r="N118" s="376">
        <f>IFERROR(VLOOKUP(C118,'تقرير المصروفات حسب الشهر'!$C$1270:$AD$1381,19,FALSE),0)</f>
        <v>0</v>
      </c>
      <c r="O118" s="376">
        <f>IFERROR(VLOOKUP(C118,'تقرير المصروفات حسب الشهر'!$C$1397:$AI$1512,19,FALSE),0)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الشهر'!$C$10:$AD$119,19,FALSE),0)</f>
        <v>0</v>
      </c>
      <c r="E119" s="362">
        <f>IFERROR(VLOOKUP(C119,'تقرير المصروفات حسب الشهر'!$C$135:$AD$244,19,FALSE),0)</f>
        <v>0</v>
      </c>
      <c r="F119" s="362">
        <f>IFERROR(VLOOKUP(C119,'تقرير المصروفات حسب الشهر'!$C$261:$AD$368,19,FALSE),0)</f>
        <v>0</v>
      </c>
      <c r="G119" s="362">
        <f>IFERROR(VLOOKUP(C119,'تقرير المصروفات حسب الشهر'!$C$387:$AD$495,19,FALSE),0)</f>
        <v>0</v>
      </c>
      <c r="H119" s="362">
        <f>IFERROR(VLOOKUP(C119,'تقرير المصروفات حسب الشهر'!$C$512:$AD$620,19,FALSE),0)</f>
        <v>0</v>
      </c>
      <c r="I119" s="362">
        <f>IFERROR(VLOOKUP(C119,'تقرير المصروفات حسب الشهر'!$C$637:$AD$746,19,FALSE),0)</f>
        <v>0</v>
      </c>
      <c r="J119" s="362">
        <f>IFERROR(VLOOKUP(C119,'تقرير المصروفات حسب الشهر'!$C$763:$AD$872,19,FALSE),0)</f>
        <v>0</v>
      </c>
      <c r="K119" s="362">
        <f>IFERROR(VLOOKUP(C119,'تقرير المصروفات حسب الشهر'!$C$890:$AD$999,19,FALSE),0)</f>
        <v>0</v>
      </c>
      <c r="L119" s="362">
        <f>IFERROR(VLOOKUP(C119,'تقرير المصروفات حسب الشهر'!$C$1016:$AD$1126,19,FALSE),0)</f>
        <v>0</v>
      </c>
      <c r="M119" s="376">
        <f>IFERROR(VLOOKUP(C119,'تقرير المصروفات حسب الشهر'!$C$1143:$AD$1254,19,FALSE),0)</f>
        <v>0</v>
      </c>
      <c r="N119" s="376">
        <f>IFERROR(VLOOKUP(C119,'تقرير المصروفات حسب الشهر'!$C$1270:$AD$1381,19,FALSE),0)</f>
        <v>0</v>
      </c>
      <c r="O119" s="376">
        <f>IFERROR(VLOOKUP(C119,'تقرير المصروفات حسب الشهر'!$C$1397:$AI$1512,19,FALSE),0)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الشهر'!$C$10:$AD$119,19,FALSE),0)</f>
        <v>0</v>
      </c>
      <c r="E120" s="362">
        <f>IFERROR(VLOOKUP(C120,'تقرير المصروفات حسب الشهر'!$C$135:$AD$244,19,FALSE),0)</f>
        <v>0</v>
      </c>
      <c r="F120" s="362">
        <f>IFERROR(VLOOKUP(C120,'تقرير المصروفات حسب الشهر'!$C$261:$AD$368,19,FALSE),0)</f>
        <v>0</v>
      </c>
      <c r="G120" s="362">
        <f>IFERROR(VLOOKUP(C120,'تقرير المصروفات حسب الشهر'!$C$387:$AD$495,19,FALSE),0)</f>
        <v>0</v>
      </c>
      <c r="H120" s="362">
        <f>IFERROR(VLOOKUP(C120,'تقرير المصروفات حسب الشهر'!$C$512:$AD$620,19,FALSE),0)</f>
        <v>0</v>
      </c>
      <c r="I120" s="362">
        <f>IFERROR(VLOOKUP(C120,'تقرير المصروفات حسب الشهر'!$C$637:$AD$746,19,FALSE),0)</f>
        <v>0</v>
      </c>
      <c r="J120" s="362">
        <f>IFERROR(VLOOKUP(C120,'تقرير المصروفات حسب الشهر'!$C$763:$AD$872,19,FALSE),0)</f>
        <v>0</v>
      </c>
      <c r="K120" s="362">
        <f>IFERROR(VLOOKUP(C120,'تقرير المصروفات حسب الشهر'!$C$890:$AD$999,19,FALSE),0)</f>
        <v>0</v>
      </c>
      <c r="L120" s="362">
        <f>IFERROR(VLOOKUP(C120,'تقرير المصروفات حسب الشهر'!$C$1016:$AD$1126,19,FALSE),0)</f>
        <v>0</v>
      </c>
      <c r="M120" s="376">
        <f>IFERROR(VLOOKUP(C120,'تقرير المصروفات حسب الشهر'!$C$1143:$AD$1254,19,FALSE),0)</f>
        <v>0</v>
      </c>
      <c r="N120" s="376">
        <f>IFERROR(VLOOKUP(C120,'تقرير المصروفات حسب الشهر'!$C$1270:$AD$1381,19,FALSE),0)</f>
        <v>0</v>
      </c>
      <c r="O120" s="376">
        <f>IFERROR(VLOOKUP(C120,'تقرير المصروفات حسب الشهر'!$C$1397:$AI$1512,19,FALSE),0)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الشهر'!$C$10:$AD$119,19,FALSE),0)</f>
        <v>0</v>
      </c>
      <c r="E121" s="362">
        <f>IFERROR(VLOOKUP(C121,'تقرير المصروفات حسب الشهر'!$C$135:$AD$244,19,FALSE),0)</f>
        <v>0</v>
      </c>
      <c r="F121" s="362">
        <f>IFERROR(VLOOKUP(C121,'تقرير المصروفات حسب الشهر'!$C$261:$AD$368,19,FALSE),0)</f>
        <v>0</v>
      </c>
      <c r="G121" s="362">
        <f>IFERROR(VLOOKUP(C121,'تقرير المصروفات حسب الشهر'!$C$387:$AD$495,19,FALSE),0)</f>
        <v>0</v>
      </c>
      <c r="H121" s="362">
        <f>IFERROR(VLOOKUP(C121,'تقرير المصروفات حسب الشهر'!$C$512:$AD$620,19,FALSE),0)</f>
        <v>0</v>
      </c>
      <c r="I121" s="362">
        <f>IFERROR(VLOOKUP(C121,'تقرير المصروفات حسب الشهر'!$C$637:$AD$746,19,FALSE),0)</f>
        <v>0</v>
      </c>
      <c r="J121" s="362">
        <f>IFERROR(VLOOKUP(C121,'تقرير المصروفات حسب الشهر'!$C$763:$AD$872,19,FALSE),0)</f>
        <v>0</v>
      </c>
      <c r="K121" s="362">
        <f>IFERROR(VLOOKUP(C121,'تقرير المصروفات حسب الشهر'!$C$890:$AD$999,19,FALSE),0)</f>
        <v>0</v>
      </c>
      <c r="L121" s="362">
        <f>IFERROR(VLOOKUP(C121,'تقرير المصروفات حسب الشهر'!$C$1016:$AD$1126,19,FALSE),0)</f>
        <v>0</v>
      </c>
      <c r="M121" s="376">
        <f>IFERROR(VLOOKUP(C121,'تقرير المصروفات حسب الشهر'!$C$1143:$AD$1254,19,FALSE),0)</f>
        <v>0</v>
      </c>
      <c r="N121" s="376">
        <f>IFERROR(VLOOKUP(C121,'تقرير المصروفات حسب الشهر'!$C$1270:$AD$1381,19,FALSE),0)</f>
        <v>0</v>
      </c>
      <c r="O121" s="376">
        <f>IFERROR(VLOOKUP(C121,'تقرير المصروفات حسب الشهر'!$C$1397:$AI$1512,19,FALSE),0)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الشهر'!$C$10:$AD$119,19,FALSE),0)</f>
        <v>0</v>
      </c>
      <c r="E122" s="362">
        <f>IFERROR(VLOOKUP(C122,'تقرير المصروفات حسب الشهر'!$C$135:$AD$244,19,FALSE),0)</f>
        <v>0</v>
      </c>
      <c r="F122" s="362">
        <f>IFERROR(VLOOKUP(C122,'تقرير المصروفات حسب الشهر'!$C$261:$AD$368,19,FALSE),0)</f>
        <v>0</v>
      </c>
      <c r="G122" s="362">
        <f>IFERROR(VLOOKUP(C122,'تقرير المصروفات حسب الشهر'!$C$387:$AD$495,19,FALSE),0)</f>
        <v>0</v>
      </c>
      <c r="H122" s="362">
        <f>IFERROR(VLOOKUP(C122,'تقرير المصروفات حسب الشهر'!$C$512:$AD$620,19,FALSE),0)</f>
        <v>0</v>
      </c>
      <c r="I122" s="362">
        <f>IFERROR(VLOOKUP(C122,'تقرير المصروفات حسب الشهر'!$C$637:$AD$746,19,FALSE),0)</f>
        <v>0</v>
      </c>
      <c r="J122" s="362">
        <f>IFERROR(VLOOKUP(C122,'تقرير المصروفات حسب الشهر'!$C$763:$AD$872,19,FALSE),0)</f>
        <v>0</v>
      </c>
      <c r="K122" s="362">
        <f>IFERROR(VLOOKUP(C122,'تقرير المصروفات حسب الشهر'!$C$890:$AD$999,19,FALSE),0)</f>
        <v>0</v>
      </c>
      <c r="L122" s="362">
        <f>IFERROR(VLOOKUP(C122,'تقرير المصروفات حسب الشهر'!$C$1016:$AD$1126,19,FALSE),0)</f>
        <v>0</v>
      </c>
      <c r="M122" s="376">
        <f>IFERROR(VLOOKUP(C122,'تقرير المصروفات حسب الشهر'!$C$1143:$AD$1254,19,FALSE),0)</f>
        <v>0</v>
      </c>
      <c r="N122" s="376">
        <f>IFERROR(VLOOKUP(C122,'تقرير المصروفات حسب الشهر'!$C$1270:$AD$1381,19,FALSE),0)</f>
        <v>0</v>
      </c>
      <c r="O122" s="376">
        <f>IFERROR(VLOOKUP(C122,'تقرير المصروفات حسب الشهر'!$C$1397:$AI$1512,19,FALSE),0)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الشهر'!$C$10:$AD$119,19,FALSE),0)</f>
        <v>0</v>
      </c>
      <c r="E123" s="362">
        <f>IFERROR(VLOOKUP(C123,'تقرير المصروفات حسب الشهر'!$C$135:$AD$244,19,FALSE),0)</f>
        <v>0</v>
      </c>
      <c r="F123" s="362">
        <f>IFERROR(VLOOKUP(C123,'تقرير المصروفات حسب الشهر'!$C$261:$AD$368,19,FALSE),0)</f>
        <v>0</v>
      </c>
      <c r="G123" s="362">
        <f>IFERROR(VLOOKUP(C123,'تقرير المصروفات حسب الشهر'!$C$387:$AD$495,19,FALSE),0)</f>
        <v>0</v>
      </c>
      <c r="H123" s="362">
        <f>IFERROR(VLOOKUP(C123,'تقرير المصروفات حسب الشهر'!$C$512:$AD$620,19,FALSE),0)</f>
        <v>0</v>
      </c>
      <c r="I123" s="362">
        <f>IFERROR(VLOOKUP(C123,'تقرير المصروفات حسب الشهر'!$C$637:$AD$746,19,FALSE),0)</f>
        <v>0</v>
      </c>
      <c r="J123" s="362">
        <f>IFERROR(VLOOKUP(C123,'تقرير المصروفات حسب الشهر'!$C$763:$AD$872,19,FALSE),0)</f>
        <v>0</v>
      </c>
      <c r="K123" s="362">
        <f>IFERROR(VLOOKUP(C123,'تقرير المصروفات حسب الشهر'!$C$890:$AD$999,19,FALSE),0)</f>
        <v>0</v>
      </c>
      <c r="L123" s="362">
        <f>IFERROR(VLOOKUP(C123,'تقرير المصروفات حسب الشهر'!$C$1016:$AD$1126,19,FALSE),0)</f>
        <v>0</v>
      </c>
      <c r="M123" s="376">
        <f>IFERROR(VLOOKUP(C123,'تقرير المصروفات حسب الشهر'!$C$1143:$AD$1254,19,FALSE),0)</f>
        <v>0</v>
      </c>
      <c r="N123" s="376">
        <f>IFERROR(VLOOKUP(C123,'تقرير المصروفات حسب الشهر'!$C$1270:$AD$1381,19,FALSE),0)</f>
        <v>0</v>
      </c>
      <c r="O123" s="376">
        <f>IFERROR(VLOOKUP(C123,'تقرير المصروفات حسب الشهر'!$C$1397:$AI$1512,19,FALSE),0)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الشهر'!$C$10:$AD$119,19,FALSE),0)</f>
        <v>0</v>
      </c>
      <c r="E124" s="362">
        <f>IFERROR(VLOOKUP(C124,'تقرير المصروفات حسب الشهر'!$C$135:$AD$244,19,FALSE),0)</f>
        <v>0</v>
      </c>
      <c r="F124" s="362">
        <f>IFERROR(VLOOKUP(C124,'تقرير المصروفات حسب الشهر'!$C$261:$AD$368,19,FALSE),0)</f>
        <v>0</v>
      </c>
      <c r="G124" s="362">
        <f>IFERROR(VLOOKUP(C124,'تقرير المصروفات حسب الشهر'!$C$387:$AD$495,19,FALSE),0)</f>
        <v>0</v>
      </c>
      <c r="H124" s="362">
        <f>IFERROR(VLOOKUP(C124,'تقرير المصروفات حسب الشهر'!$C$512:$AD$620,19,FALSE),0)</f>
        <v>0</v>
      </c>
      <c r="I124" s="362">
        <f>IFERROR(VLOOKUP(C124,'تقرير المصروفات حسب الشهر'!$C$637:$AD$746,19,FALSE),0)</f>
        <v>0</v>
      </c>
      <c r="J124" s="362">
        <f>IFERROR(VLOOKUP(C124,'تقرير المصروفات حسب الشهر'!$C$763:$AD$872,19,FALSE),0)</f>
        <v>0</v>
      </c>
      <c r="K124" s="362">
        <f>IFERROR(VLOOKUP(C124,'تقرير المصروفات حسب الشهر'!$C$890:$AD$999,19,FALSE),0)</f>
        <v>0</v>
      </c>
      <c r="L124" s="362">
        <f>IFERROR(VLOOKUP(C124,'تقرير المصروفات حسب الشهر'!$C$1016:$AD$1126,19,FALSE),0)</f>
        <v>0</v>
      </c>
      <c r="M124" s="376">
        <f>IFERROR(VLOOKUP(C124,'تقرير المصروفات حسب الشهر'!$C$1143:$AD$1254,19,FALSE),0)</f>
        <v>0</v>
      </c>
      <c r="N124" s="376">
        <f>IFERROR(VLOOKUP(C124,'تقرير المصروفات حسب الشهر'!$C$1270:$AD$1381,19,FALSE),0)</f>
        <v>0</v>
      </c>
      <c r="O124" s="376">
        <f>IFERROR(VLOOKUP(C124,'تقرير المصروفات حسب الشهر'!$C$1397:$AI$1512,19,FALSE),0)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الشهر'!$C$10:$AD$119,19,FALSE),0)</f>
        <v>0</v>
      </c>
      <c r="E125" s="362">
        <f>IFERROR(VLOOKUP(C125,'تقرير المصروفات حسب الشهر'!$C$135:$AD$244,19,FALSE),0)</f>
        <v>0</v>
      </c>
      <c r="F125" s="362">
        <f>IFERROR(VLOOKUP(C125,'تقرير المصروفات حسب الشهر'!$C$261:$AD$368,19,FALSE),0)</f>
        <v>0</v>
      </c>
      <c r="G125" s="362">
        <f>IFERROR(VLOOKUP(C125,'تقرير المصروفات حسب الشهر'!$C$387:$AD$495,19,FALSE),0)</f>
        <v>0</v>
      </c>
      <c r="H125" s="362">
        <f>IFERROR(VLOOKUP(C125,'تقرير المصروفات حسب الشهر'!$C$512:$AD$620,19,FALSE),0)</f>
        <v>0</v>
      </c>
      <c r="I125" s="362">
        <f>IFERROR(VLOOKUP(C125,'تقرير المصروفات حسب الشهر'!$C$637:$AD$746,19,FALSE),0)</f>
        <v>0</v>
      </c>
      <c r="J125" s="362">
        <f>IFERROR(VLOOKUP(C125,'تقرير المصروفات حسب الشهر'!$C$763:$AD$872,19,FALSE),0)</f>
        <v>0</v>
      </c>
      <c r="K125" s="362">
        <f>IFERROR(VLOOKUP(C125,'تقرير المصروفات حسب الشهر'!$C$890:$AD$999,19,FALSE),0)</f>
        <v>0</v>
      </c>
      <c r="L125" s="362">
        <f>IFERROR(VLOOKUP(C125,'تقرير المصروفات حسب الشهر'!$C$1016:$AD$1126,19,FALSE),0)</f>
        <v>0</v>
      </c>
      <c r="M125" s="376">
        <f>IFERROR(VLOOKUP(C125,'تقرير المصروفات حسب الشهر'!$C$1143:$AD$1254,19,FALSE),0)</f>
        <v>0</v>
      </c>
      <c r="N125" s="376">
        <f>IFERROR(VLOOKUP(C125,'تقرير المصروفات حسب الشهر'!$C$1270:$AD$1381,19,FALSE),0)</f>
        <v>0</v>
      </c>
      <c r="O125" s="376">
        <f>IFERROR(VLOOKUP(C125,'تقرير المصروفات حسب الشهر'!$C$1397:$AI$1512,19,FALSE),0)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الشهر'!$C$10:$AD$119,19,FALSE),0)</f>
        <v>0</v>
      </c>
      <c r="E126" s="362">
        <f>IFERROR(VLOOKUP(C126,'تقرير المصروفات حسب الشهر'!$C$135:$AD$244,19,FALSE),0)</f>
        <v>0</v>
      </c>
      <c r="F126" s="362">
        <f>IFERROR(VLOOKUP(C126,'تقرير المصروفات حسب الشهر'!$C$261:$AD$368,19,FALSE),0)</f>
        <v>0</v>
      </c>
      <c r="G126" s="362">
        <f>IFERROR(VLOOKUP(C126,'تقرير المصروفات حسب الشهر'!$C$387:$AD$495,19,FALSE),0)</f>
        <v>0</v>
      </c>
      <c r="H126" s="362">
        <f>IFERROR(VLOOKUP(C126,'تقرير المصروفات حسب الشهر'!$C$512:$AD$620,19,FALSE),0)</f>
        <v>0</v>
      </c>
      <c r="I126" s="362">
        <f>IFERROR(VLOOKUP(C126,'تقرير المصروفات حسب الشهر'!$C$637:$AD$746,19,FALSE),0)</f>
        <v>0</v>
      </c>
      <c r="J126" s="362">
        <f>IFERROR(VLOOKUP(C126,'تقرير المصروفات حسب الشهر'!$C$763:$AD$872,19,FALSE),0)</f>
        <v>0</v>
      </c>
      <c r="K126" s="362">
        <f>IFERROR(VLOOKUP(C126,'تقرير المصروفات حسب الشهر'!$C$890:$AD$999,19,FALSE),0)</f>
        <v>0</v>
      </c>
      <c r="L126" s="362">
        <f>IFERROR(VLOOKUP(C126,'تقرير المصروفات حسب الشهر'!$C$1016:$AD$1126,19,FALSE),0)</f>
        <v>0</v>
      </c>
      <c r="M126" s="376">
        <f>IFERROR(VLOOKUP(C126,'تقرير المصروفات حسب الشهر'!$C$1143:$AD$1254,19,FALSE),0)</f>
        <v>0</v>
      </c>
      <c r="N126" s="376">
        <f>IFERROR(VLOOKUP(C126,'تقرير المصروفات حسب الشهر'!$C$1270:$AD$1381,19,FALSE),0)</f>
        <v>0</v>
      </c>
      <c r="O126" s="376">
        <f>IFERROR(VLOOKUP(C126,'تقرير المصروفات حسب الشهر'!$C$1397:$AI$1512,19,FALSE),0)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الشهر'!$C$10:$AD$119,19,FALSE),0)</f>
        <v>0</v>
      </c>
      <c r="E127" s="362">
        <f>IFERROR(VLOOKUP(C127,'تقرير المصروفات حسب الشهر'!$C$135:$AD$244,19,FALSE),0)</f>
        <v>0</v>
      </c>
      <c r="F127" s="362">
        <f>IFERROR(VLOOKUP(C127,'تقرير المصروفات حسب الشهر'!$C$261:$AD$368,19,FALSE),0)</f>
        <v>0</v>
      </c>
      <c r="G127" s="362">
        <f>IFERROR(VLOOKUP(C127,'تقرير المصروفات حسب الشهر'!$C$387:$AD$495,19,FALSE),0)</f>
        <v>0</v>
      </c>
      <c r="H127" s="362">
        <f>IFERROR(VLOOKUP(C127,'تقرير المصروفات حسب الشهر'!$C$512:$AD$620,19,FALSE),0)</f>
        <v>0</v>
      </c>
      <c r="I127" s="362">
        <f>IFERROR(VLOOKUP(C127,'تقرير المصروفات حسب الشهر'!$C$637:$AD$746,19,FALSE),0)</f>
        <v>0</v>
      </c>
      <c r="J127" s="362">
        <f>IFERROR(VLOOKUP(C127,'تقرير المصروفات حسب الشهر'!$C$763:$AD$872,19,FALSE),0)</f>
        <v>0</v>
      </c>
      <c r="K127" s="362">
        <f>IFERROR(VLOOKUP(C127,'تقرير المصروفات حسب الشهر'!$C$890:$AD$999,19,FALSE),0)</f>
        <v>0</v>
      </c>
      <c r="L127" s="362">
        <f>IFERROR(VLOOKUP(C127,'تقرير المصروفات حسب الشهر'!$C$1016:$AD$1126,19,FALSE),0)</f>
        <v>0</v>
      </c>
      <c r="M127" s="376">
        <f>IFERROR(VLOOKUP(C127,'تقرير المصروفات حسب الشهر'!$C$1143:$AD$1254,19,FALSE),0)</f>
        <v>0</v>
      </c>
      <c r="N127" s="376">
        <f>IFERROR(VLOOKUP(C127,'تقرير المصروفات حسب الشهر'!$C$1270:$AD$1381,19,FALSE),0)</f>
        <v>0</v>
      </c>
      <c r="O127" s="376">
        <f>IFERROR(VLOOKUP(C127,'تقرير المصروفات حسب الشهر'!$C$1397:$AI$1512,19,FALSE),0)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الشهر'!$C$10:$AD$119,19,FALSE),0)</f>
        <v>0</v>
      </c>
      <c r="E128" s="362">
        <f>IFERROR(VLOOKUP(C128,'تقرير المصروفات حسب الشهر'!$C$135:$AD$244,19,FALSE),0)</f>
        <v>0</v>
      </c>
      <c r="F128" s="362">
        <f>IFERROR(VLOOKUP(C128,'تقرير المصروفات حسب الشهر'!$C$261:$AD$368,19,FALSE),0)</f>
        <v>0</v>
      </c>
      <c r="G128" s="362">
        <f>IFERROR(VLOOKUP(C128,'تقرير المصروفات حسب الشهر'!$C$387:$AD$495,19,FALSE),0)</f>
        <v>0</v>
      </c>
      <c r="H128" s="362">
        <f>IFERROR(VLOOKUP(C128,'تقرير المصروفات حسب الشهر'!$C$512:$AD$620,19,FALSE),0)</f>
        <v>0</v>
      </c>
      <c r="I128" s="362">
        <f>IFERROR(VLOOKUP(C128,'تقرير المصروفات حسب الشهر'!$C$637:$AD$746,19,FALSE),0)</f>
        <v>0</v>
      </c>
      <c r="J128" s="362">
        <f>IFERROR(VLOOKUP(C128,'تقرير المصروفات حسب الشهر'!$C$763:$AD$872,19,FALSE),0)</f>
        <v>0</v>
      </c>
      <c r="K128" s="362">
        <f>IFERROR(VLOOKUP(C128,'تقرير المصروفات حسب الشهر'!$C$890:$AD$999,19,FALSE),0)</f>
        <v>0</v>
      </c>
      <c r="L128" s="362">
        <f>IFERROR(VLOOKUP(C128,'تقرير المصروفات حسب الشهر'!$C$1016:$AD$1126,19,FALSE),0)</f>
        <v>0</v>
      </c>
      <c r="M128" s="376">
        <f>IFERROR(VLOOKUP(C128,'تقرير المصروفات حسب الشهر'!$C$1143:$AD$1254,19,FALSE),0)</f>
        <v>0</v>
      </c>
      <c r="N128" s="376">
        <f>IFERROR(VLOOKUP(C128,'تقرير المصروفات حسب الشهر'!$C$1270:$AD$1381,19,FALSE),0)</f>
        <v>0</v>
      </c>
      <c r="O128" s="376">
        <f>IFERROR(VLOOKUP(C128,'تقرير المصروفات حسب الشهر'!$C$1397:$AI$1512,19,FALSE),0)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الشهر'!$C$10:$AD$119,19,FALSE),0)</f>
        <v>0</v>
      </c>
      <c r="E129" s="362">
        <f>IFERROR(VLOOKUP(C129,'تقرير المصروفات حسب الشهر'!$C$135:$AD$244,19,FALSE),0)</f>
        <v>0</v>
      </c>
      <c r="F129" s="362">
        <f>IFERROR(VLOOKUP(C129,'تقرير المصروفات حسب الشهر'!$C$261:$AD$368,19,FALSE),0)</f>
        <v>0</v>
      </c>
      <c r="G129" s="362">
        <f>IFERROR(VLOOKUP(C129,'تقرير المصروفات حسب الشهر'!$C$387:$AD$495,19,FALSE),0)</f>
        <v>0</v>
      </c>
      <c r="H129" s="362">
        <f>IFERROR(VLOOKUP(C129,'تقرير المصروفات حسب الشهر'!$C$512:$AD$620,19,FALSE),0)</f>
        <v>0</v>
      </c>
      <c r="I129" s="362">
        <f>IFERROR(VLOOKUP(C129,'تقرير المصروفات حسب الشهر'!$C$637:$AD$746,19,FALSE),0)</f>
        <v>0</v>
      </c>
      <c r="J129" s="362">
        <f>IFERROR(VLOOKUP(C129,'تقرير المصروفات حسب الشهر'!$C$763:$AD$872,19,FALSE),0)</f>
        <v>0</v>
      </c>
      <c r="K129" s="362">
        <f>IFERROR(VLOOKUP(C129,'تقرير المصروفات حسب الشهر'!$C$890:$AD$999,19,FALSE),0)</f>
        <v>0</v>
      </c>
      <c r="L129" s="362">
        <f>IFERROR(VLOOKUP(C129,'تقرير المصروفات حسب الشهر'!$C$1016:$AD$1126,19,FALSE),0)</f>
        <v>0</v>
      </c>
      <c r="M129" s="376">
        <f>IFERROR(VLOOKUP(C129,'تقرير المصروفات حسب الشهر'!$C$1143:$AD$1254,19,FALSE),0)</f>
        <v>0</v>
      </c>
      <c r="N129" s="376">
        <f>IFERROR(VLOOKUP(C129,'تقرير المصروفات حسب الشهر'!$C$1270:$AD$1381,19,FALSE),0)</f>
        <v>0</v>
      </c>
      <c r="O129" s="376">
        <f>IFERROR(VLOOKUP(C129,'تقرير المصروفات حسب الشهر'!$C$1397:$AI$1512,19,FALSE),0)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الشهر'!$C$10:$AD$119,19,FALSE),0)</f>
        <v>0</v>
      </c>
      <c r="E130" s="362">
        <f>IFERROR(VLOOKUP(C130,'تقرير المصروفات حسب الشهر'!$C$135:$AD$244,19,FALSE),0)</f>
        <v>0</v>
      </c>
      <c r="F130" s="362">
        <f>IFERROR(VLOOKUP(C130,'تقرير المصروفات حسب الشهر'!$C$261:$AD$368,19,FALSE),0)</f>
        <v>0</v>
      </c>
      <c r="G130" s="362">
        <f>IFERROR(VLOOKUP(C130,'تقرير المصروفات حسب الشهر'!$C$387:$AD$495,19,FALSE),0)</f>
        <v>0</v>
      </c>
      <c r="H130" s="362">
        <f>IFERROR(VLOOKUP(C130,'تقرير المصروفات حسب الشهر'!$C$512:$AD$620,19,FALSE),0)</f>
        <v>0</v>
      </c>
      <c r="I130" s="362">
        <f>IFERROR(VLOOKUP(C130,'تقرير المصروفات حسب الشهر'!$C$637:$AD$746,19,FALSE),0)</f>
        <v>0</v>
      </c>
      <c r="J130" s="362">
        <f>IFERROR(VLOOKUP(C130,'تقرير المصروفات حسب الشهر'!$C$763:$AD$872,19,FALSE),0)</f>
        <v>0</v>
      </c>
      <c r="K130" s="362">
        <f>IFERROR(VLOOKUP(C130,'تقرير المصروفات حسب الشهر'!$C$890:$AD$999,19,FALSE),0)</f>
        <v>0</v>
      </c>
      <c r="L130" s="362">
        <f>IFERROR(VLOOKUP(C130,'تقرير المصروفات حسب الشهر'!$C$1016:$AD$1126,19,FALSE),0)</f>
        <v>0</v>
      </c>
      <c r="M130" s="376">
        <f>IFERROR(VLOOKUP(C130,'تقرير المصروفات حسب الشهر'!$C$1143:$AD$1254,19,FALSE),0)</f>
        <v>0</v>
      </c>
      <c r="N130" s="376">
        <f>IFERROR(VLOOKUP(C130,'تقرير المصروفات حسب الشهر'!$C$1270:$AD$1381,19,FALSE),0)</f>
        <v>0</v>
      </c>
      <c r="O130" s="376">
        <f>IFERROR(VLOOKUP(C130,'تقرير المصروفات حسب الشهر'!$C$1397:$AI$1512,19,FALSE),0)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الشهر'!$C$10:$AD$119,19,FALSE),0)</f>
        <v>0</v>
      </c>
      <c r="E131" s="362">
        <f>IFERROR(VLOOKUP(C131,'تقرير المصروفات حسب الشهر'!$C$135:$AD$244,19,FALSE),0)</f>
        <v>0</v>
      </c>
      <c r="F131" s="362">
        <f>IFERROR(VLOOKUP(C131,'تقرير المصروفات حسب الشهر'!$C$261:$AD$368,19,FALSE),0)</f>
        <v>0</v>
      </c>
      <c r="G131" s="362">
        <f>IFERROR(VLOOKUP(C131,'تقرير المصروفات حسب الشهر'!$C$387:$AD$495,19,FALSE),0)</f>
        <v>0</v>
      </c>
      <c r="H131" s="362">
        <f>IFERROR(VLOOKUP(C131,'تقرير المصروفات حسب الشهر'!$C$512:$AD$620,19,FALSE),0)</f>
        <v>0</v>
      </c>
      <c r="I131" s="362">
        <f>IFERROR(VLOOKUP(C131,'تقرير المصروفات حسب الشهر'!$C$637:$AD$746,19,FALSE),0)</f>
        <v>0</v>
      </c>
      <c r="J131" s="362">
        <f>IFERROR(VLOOKUP(C131,'تقرير المصروفات حسب الشهر'!$C$763:$AD$872,19,FALSE),0)</f>
        <v>0</v>
      </c>
      <c r="K131" s="362">
        <f>IFERROR(VLOOKUP(C131,'تقرير المصروفات حسب الشهر'!$C$890:$AD$999,19,FALSE),0)</f>
        <v>0</v>
      </c>
      <c r="L131" s="362">
        <f>IFERROR(VLOOKUP(C131,'تقرير المصروفات حسب الشهر'!$C$1016:$AD$1126,19,FALSE),0)</f>
        <v>0</v>
      </c>
      <c r="M131" s="376">
        <f>IFERROR(VLOOKUP(C131,'تقرير المصروفات حسب الشهر'!$C$1143:$AD$1254,19,FALSE),0)</f>
        <v>0</v>
      </c>
      <c r="N131" s="376">
        <f>IFERROR(VLOOKUP(C131,'تقرير المصروفات حسب الشهر'!$C$1270:$AD$1381,19,FALSE),0)</f>
        <v>0</v>
      </c>
      <c r="O131" s="376">
        <f>IFERROR(VLOOKUP(C131,'تقرير المصروفات حسب الشهر'!$C$1397:$AI$1512,19,FALSE),0)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22401.61</v>
      </c>
      <c r="E132" s="146">
        <f t="shared" si="7"/>
        <v>22424.28</v>
      </c>
      <c r="F132" s="146">
        <f t="shared" si="7"/>
        <v>18993.019999999997</v>
      </c>
      <c r="G132" s="146">
        <f t="shared" si="7"/>
        <v>21967.119999999995</v>
      </c>
      <c r="H132" s="146">
        <f t="shared" si="7"/>
        <v>19558.009999999998</v>
      </c>
      <c r="I132" s="146">
        <f t="shared" si="7"/>
        <v>30519.849999999995</v>
      </c>
      <c r="J132" s="146">
        <f t="shared" si="7"/>
        <v>28804.36</v>
      </c>
      <c r="K132" s="146">
        <f t="shared" si="7"/>
        <v>27717.779999999995</v>
      </c>
      <c r="L132" s="146">
        <f t="shared" si="7"/>
        <v>26151.009999999995</v>
      </c>
      <c r="M132" s="146">
        <f t="shared" si="7"/>
        <v>32104.769999999997</v>
      </c>
      <c r="N132" s="146">
        <f t="shared" si="7"/>
        <v>31481.62</v>
      </c>
      <c r="O132" s="146">
        <f t="shared" si="7"/>
        <v>37669.630000000005</v>
      </c>
      <c r="P132" s="388">
        <f t="shared" si="6"/>
        <v>319793.06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64577.520000000019</v>
      </c>
      <c r="E134" s="392">
        <f t="shared" si="8"/>
        <v>50310.650000000023</v>
      </c>
      <c r="F134" s="392">
        <f t="shared" si="8"/>
        <v>54712.44</v>
      </c>
      <c r="G134" s="392">
        <f t="shared" si="8"/>
        <v>56338.339999999967</v>
      </c>
      <c r="H134" s="392">
        <f t="shared" si="8"/>
        <v>96466.740000000049</v>
      </c>
      <c r="I134" s="392">
        <f t="shared" si="8"/>
        <v>77710.870000000054</v>
      </c>
      <c r="J134" s="392">
        <f t="shared" si="8"/>
        <v>72776.599999999977</v>
      </c>
      <c r="K134" s="392">
        <f t="shared" si="8"/>
        <v>71899.299999999988</v>
      </c>
      <c r="L134" s="392">
        <f t="shared" si="8"/>
        <v>93335</v>
      </c>
      <c r="M134" s="392">
        <f t="shared" si="8"/>
        <v>84080.640000000014</v>
      </c>
      <c r="N134" s="392">
        <f t="shared" si="8"/>
        <v>139256.72</v>
      </c>
      <c r="O134" s="392">
        <f t="shared" si="8"/>
        <v>82060.360000000044</v>
      </c>
      <c r="P134" s="388">
        <f t="shared" si="6"/>
        <v>943525.18000000017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42175.910000000018</v>
      </c>
      <c r="E137" s="383">
        <f t="shared" ref="E137:O137" si="9">E134-E132</f>
        <v>27886.370000000024</v>
      </c>
      <c r="F137" s="383">
        <f t="shared" si="9"/>
        <v>35719.420000000006</v>
      </c>
      <c r="G137" s="383">
        <f t="shared" si="9"/>
        <v>34371.219999999972</v>
      </c>
      <c r="H137" s="383">
        <f t="shared" si="9"/>
        <v>76908.730000000054</v>
      </c>
      <c r="I137" s="383">
        <f t="shared" si="9"/>
        <v>47191.020000000062</v>
      </c>
      <c r="J137" s="383">
        <f t="shared" si="9"/>
        <v>43972.239999999976</v>
      </c>
      <c r="K137" s="383">
        <f t="shared" si="9"/>
        <v>44181.51999999999</v>
      </c>
      <c r="L137" s="383">
        <f t="shared" si="9"/>
        <v>67183.990000000005</v>
      </c>
      <c r="M137" s="383">
        <f t="shared" si="9"/>
        <v>51975.870000000017</v>
      </c>
      <c r="N137" s="383">
        <f t="shared" si="9"/>
        <v>107775.1</v>
      </c>
      <c r="O137" s="383">
        <f t="shared" si="9"/>
        <v>44390.73000000004</v>
      </c>
      <c r="P137" s="387">
        <f>SUM(D137:O137)</f>
        <v>623732.12000000011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6">
    <tabColor rgb="FFFFC000"/>
  </sheetPr>
  <dimension ref="A1:T144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342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177</v>
      </c>
      <c r="B8" s="390"/>
      <c r="C8" s="369" t="s">
        <v>114</v>
      </c>
      <c r="D8" s="364">
        <f>D9+D10+D11</f>
        <v>606580.29</v>
      </c>
      <c r="E8" s="364">
        <f t="shared" ref="E8:O8" si="0">E9+E10+E11</f>
        <v>648898.12</v>
      </c>
      <c r="F8" s="364">
        <f t="shared" si="0"/>
        <v>662278.60000000009</v>
      </c>
      <c r="G8" s="364">
        <f t="shared" si="0"/>
        <v>587927.75</v>
      </c>
      <c r="H8" s="364">
        <f t="shared" si="0"/>
        <v>714045.02</v>
      </c>
      <c r="I8" s="364">
        <f t="shared" si="0"/>
        <v>764402.41</v>
      </c>
      <c r="J8" s="364">
        <f t="shared" si="0"/>
        <v>726103.39</v>
      </c>
      <c r="K8" s="364">
        <f t="shared" si="0"/>
        <v>669262.12</v>
      </c>
      <c r="L8" s="364">
        <f t="shared" si="0"/>
        <v>754074.83</v>
      </c>
      <c r="M8" s="364">
        <f t="shared" si="0"/>
        <v>641778.22</v>
      </c>
      <c r="N8" s="364">
        <f t="shared" si="0"/>
        <v>746867.77</v>
      </c>
      <c r="O8" s="364">
        <f t="shared" si="0"/>
        <v>777312.26</v>
      </c>
      <c r="P8" s="364">
        <f>SUM(D8:O8)</f>
        <v>8299530.7799999993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113765.15000000004</v>
      </c>
      <c r="E9" s="365">
        <f>VLOOKUP($A$8,'تقرير إحصائية بحجم المبيعات'!$B$42:$G$73,2,FALSE)</f>
        <v>120485.17000000004</v>
      </c>
      <c r="F9" s="365">
        <f>VLOOKUP($A$8,'تقرير إحصائية بحجم المبيعات'!$B$78:$E$103,2,FALSE)</f>
        <v>87697.89000000013</v>
      </c>
      <c r="G9" s="365">
        <f>VLOOKUP($A$8,'تقرير إحصائية بحجم المبيعات'!$B$112:$G$137,2,FALSE)</f>
        <v>106467.29999999993</v>
      </c>
      <c r="H9" s="365">
        <f>VLOOKUP($A$8,'تقرير إحصائية بحجم المبيعات'!$B$147:$G$177,2,FALSE)</f>
        <v>143872.78000000003</v>
      </c>
      <c r="I9" s="365">
        <f>VLOOKUP($A$8,'تقرير إحصائية بحجم المبيعات'!$B$182:$G$212,2,FALSE)</f>
        <v>144516.19000000006</v>
      </c>
      <c r="J9" s="365">
        <f>VLOOKUP($A$8,'تقرير إحصائية بحجم المبيعات'!$B$217:$L$243,2,FALSE)</f>
        <v>153365.76000000001</v>
      </c>
      <c r="K9" s="365">
        <f>VLOOKUP($A$8,'تقرير إحصائية بحجم المبيعات'!$B$252:$L$278,2,FALSE)</f>
        <v>136035.49</v>
      </c>
      <c r="L9" s="365">
        <f>VLOOKUP($A$8,'تقرير إحصائية بحجم المبيعات'!$B$287:$L$313,2,FALSE)</f>
        <v>118022.26000000001</v>
      </c>
      <c r="M9" s="365">
        <f>VLOOKUP($A$8,'تقرير إحصائية بحجم المبيعات'!$B$322:$L$347,2,FALSE)</f>
        <v>127451.85999999999</v>
      </c>
      <c r="N9" s="365">
        <f>VLOOKUP($A$8,'تقرير إحصائية بحجم المبيعات'!$B$357:$L$383,2,FALSE)</f>
        <v>117904.95000000007</v>
      </c>
      <c r="O9" s="365">
        <f>VLOOKUP($A$8,'تقرير إحصائية بحجم المبيعات'!$B$391:$L$420,2,FALSE)</f>
        <v>128269.98999999999</v>
      </c>
      <c r="P9" s="364">
        <f t="shared" ref="P9:P18" si="1">SUM(D9:O9)</f>
        <v>1497854.7900000003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492815.14</v>
      </c>
      <c r="E11" s="365">
        <f>VLOOKUP($A$8,'تقرير إحصائية بحجم المبيعات'!$B$42:$G$73,4,FALSE)</f>
        <v>528412.94999999995</v>
      </c>
      <c r="F11" s="365">
        <f>VLOOKUP($A$8,'تقرير إحصائية بحجم المبيعات'!$B$78:$E$103,4,FALSE)</f>
        <v>574580.71</v>
      </c>
      <c r="G11" s="365">
        <f>VLOOKUP($A$8,'تقرير إحصائية بحجم المبيعات'!$B$112:$G$137,4,FALSE)</f>
        <v>481460.45</v>
      </c>
      <c r="H11" s="365">
        <f>VLOOKUP($A$8,'تقرير إحصائية بحجم المبيعات'!$B$147:$G$177,4,FALSE)</f>
        <v>570172.24</v>
      </c>
      <c r="I11" s="365">
        <f>VLOOKUP($A$8,'تقرير إحصائية بحجم المبيعات'!$B$182:$G$212,4,FALSE)</f>
        <v>619886.22</v>
      </c>
      <c r="J11" s="365">
        <f>VLOOKUP($A$8,'تقرير إحصائية بحجم المبيعات'!$B$217:$L$243,4,FALSE)</f>
        <v>572737.63</v>
      </c>
      <c r="K11" s="365">
        <f>VLOOKUP($A$8,'تقرير إحصائية بحجم المبيعات'!$B$252:$L$278,4,FALSE)</f>
        <v>533226.63</v>
      </c>
      <c r="L11" s="365">
        <f>VLOOKUP($A$8,'تقرير إحصائية بحجم المبيعات'!$B$287:$L$313,4,FALSE)</f>
        <v>636052.56999999995</v>
      </c>
      <c r="M11" s="365">
        <f>VLOOKUP($A$8,'تقرير إحصائية بحجم المبيعات'!$B$322:$L$347,4,FALSE)</f>
        <v>514326.36</v>
      </c>
      <c r="N11" s="365">
        <f>VLOOKUP($A$8,'تقرير إحصائية بحجم المبيعات'!$B$357:$L$383,4,FALSE)</f>
        <v>628962.81999999995</v>
      </c>
      <c r="O11" s="365">
        <f>VLOOKUP($A$8,'تقرير إحصائية بحجم المبيعات'!$B$391:$L$420,4,FALSE)</f>
        <v>649042.27</v>
      </c>
      <c r="P11" s="364">
        <f t="shared" si="1"/>
        <v>6801675.9900000002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518002.47</v>
      </c>
      <c r="E12" s="364">
        <f>VLOOKUP($A$8,'تقرير إحصائية بحجم المبيعات'!$B$42:$L$73,11,FALSE)</f>
        <v>552572.82999999996</v>
      </c>
      <c r="F12" s="364">
        <f>VLOOKUP($A$8,'تقرير إحصائية بحجم المبيعات'!$B$78:$L$103,11,FALSE)</f>
        <v>545005.15</v>
      </c>
      <c r="G12" s="364">
        <f>VLOOKUP($A$8,'تقرير إحصائية بحجم المبيعات'!$B$112:$L$137,11,FALSE)</f>
        <v>493393.54</v>
      </c>
      <c r="H12" s="364">
        <f>VLOOKUP($A$8,'تقرير إحصائية بحجم المبيعات'!$B$147:$L$177,11,FALSE)</f>
        <v>576058.93999999994</v>
      </c>
      <c r="I12" s="364">
        <f>VLOOKUP($A$8,'تقرير إحصائية بحجم المبيعات'!$B$182:$L$212,11,FALSE)</f>
        <v>613623.46</v>
      </c>
      <c r="J12" s="365">
        <f>VLOOKUP($A$8,'تقرير إحصائية بحجم المبيعات'!$B$217:$L$243,11,FALSE)</f>
        <v>587585.55000000005</v>
      </c>
      <c r="K12" s="364">
        <f>VLOOKUP($A$8,'تقرير إحصائية بحجم المبيعات'!$B$252:$L$278,11,FALSE)</f>
        <v>548936.93000000005</v>
      </c>
      <c r="L12" s="364">
        <f>VLOOKUP($A$8,'تقرير إحصائية بحجم المبيعات'!$B$287:$L$313,11,FALSE)</f>
        <v>618821.27</v>
      </c>
      <c r="M12" s="365">
        <f>VLOOKUP($A$8,'تقرير إحصائية بحجم المبيعات'!$B$322:$L$347,11,FALSE)</f>
        <v>538000.88</v>
      </c>
      <c r="N12" s="365">
        <f>VLOOKUP($A$8,'تقرير إحصائية بحجم المبيعات'!$B$357:$L$383,11,FALSE)</f>
        <v>628400.27</v>
      </c>
      <c r="O12" s="365">
        <f>VLOOKUP($A$8,'تقرير إحصائية بحجم المبيعات'!$B$391:$L$420,11,FALSE)</f>
        <v>649168.36</v>
      </c>
      <c r="P12" s="364">
        <f t="shared" si="1"/>
        <v>6869569.6499999994</v>
      </c>
    </row>
    <row r="13" spans="1:20" ht="18" customHeight="1">
      <c r="B13" s="124"/>
      <c r="C13" s="371" t="s">
        <v>14</v>
      </c>
      <c r="D13" s="366">
        <f t="shared" ref="D13:O13" si="2">D8-D12</f>
        <v>88577.820000000065</v>
      </c>
      <c r="E13" s="366">
        <f t="shared" si="2"/>
        <v>96325.290000000037</v>
      </c>
      <c r="F13" s="366">
        <f t="shared" si="2"/>
        <v>117273.45000000007</v>
      </c>
      <c r="G13" s="366">
        <f t="shared" si="2"/>
        <v>94534.210000000021</v>
      </c>
      <c r="H13" s="366">
        <f t="shared" si="2"/>
        <v>137986.08000000007</v>
      </c>
      <c r="I13" s="366">
        <f t="shared" si="2"/>
        <v>150778.95000000007</v>
      </c>
      <c r="J13" s="366">
        <f t="shared" si="2"/>
        <v>138517.83999999997</v>
      </c>
      <c r="K13" s="366">
        <f t="shared" si="2"/>
        <v>120325.18999999994</v>
      </c>
      <c r="L13" s="366">
        <f t="shared" si="2"/>
        <v>135253.55999999994</v>
      </c>
      <c r="M13" s="366">
        <f t="shared" si="2"/>
        <v>103777.33999999997</v>
      </c>
      <c r="N13" s="366">
        <f t="shared" si="2"/>
        <v>118467.5</v>
      </c>
      <c r="O13" s="366">
        <f t="shared" si="2"/>
        <v>128143.90000000002</v>
      </c>
      <c r="P13" s="366">
        <f t="shared" si="1"/>
        <v>1429961.13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>
        <v>8336.380000000001</v>
      </c>
      <c r="I16" s="367"/>
      <c r="J16" s="367"/>
      <c r="K16" s="367"/>
      <c r="L16" s="367"/>
      <c r="M16" s="367"/>
      <c r="N16" s="367">
        <v>5238.59</v>
      </c>
      <c r="O16" s="367"/>
      <c r="P16" s="364">
        <f t="shared" si="1"/>
        <v>13574.970000000001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8336.380000000001</v>
      </c>
      <c r="I18" s="363">
        <f t="shared" si="3"/>
        <v>0</v>
      </c>
      <c r="J18" s="363">
        <f t="shared" si="3"/>
        <v>0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 t="shared" si="3"/>
        <v>5238.59</v>
      </c>
      <c r="O18" s="368">
        <f t="shared" si="3"/>
        <v>0</v>
      </c>
      <c r="P18" s="364">
        <f t="shared" si="1"/>
        <v>13574.970000000001</v>
      </c>
    </row>
    <row r="19" spans="2:16" ht="18" customHeight="1">
      <c r="B19" s="124"/>
      <c r="C19" s="386" t="s">
        <v>14</v>
      </c>
      <c r="D19" s="374">
        <f t="shared" ref="D19:O19" si="4">D13+D18</f>
        <v>88577.820000000065</v>
      </c>
      <c r="E19" s="374">
        <f t="shared" si="4"/>
        <v>96325.290000000037</v>
      </c>
      <c r="F19" s="374">
        <f t="shared" si="4"/>
        <v>117273.45000000007</v>
      </c>
      <c r="G19" s="374">
        <f t="shared" si="4"/>
        <v>94534.210000000021</v>
      </c>
      <c r="H19" s="374">
        <f t="shared" si="4"/>
        <v>146322.46000000008</v>
      </c>
      <c r="I19" s="374">
        <f t="shared" si="4"/>
        <v>150778.95000000007</v>
      </c>
      <c r="J19" s="374">
        <f t="shared" si="4"/>
        <v>138517.83999999997</v>
      </c>
      <c r="K19" s="374">
        <f t="shared" si="4"/>
        <v>120325.18999999994</v>
      </c>
      <c r="L19" s="374">
        <f t="shared" si="4"/>
        <v>135253.55999999994</v>
      </c>
      <c r="M19" s="374">
        <f t="shared" si="4"/>
        <v>103777.33999999997</v>
      </c>
      <c r="N19" s="374">
        <f t="shared" si="4"/>
        <v>123706.09</v>
      </c>
      <c r="O19" s="374">
        <f t="shared" si="4"/>
        <v>128143.90000000002</v>
      </c>
      <c r="P19" s="382">
        <f>SUM(D19:O19)</f>
        <v>1443536.1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الشهر'!$C$10:$AD$119,20,FALSE),0)</f>
        <v>0</v>
      </c>
      <c r="E22" s="362">
        <f>IFERROR(VLOOKUP(C22,'تقرير المصروفات حسب الشهر'!$C$135:$AD$244,20,FALSE),0)</f>
        <v>0</v>
      </c>
      <c r="F22" s="362">
        <f>IFERROR(VLOOKUP(C22,'تقرير المصروفات حسب الشهر'!$C$261:$AD$368,20,FALSE),0)</f>
        <v>0</v>
      </c>
      <c r="G22" s="362">
        <f>IFERROR(VLOOKUP(C22,'تقرير المصروفات حسب الشهر'!$C$387:$AD$495,20,FALSE),0)</f>
        <v>0</v>
      </c>
      <c r="H22" s="362">
        <f>IFERROR(VLOOKUP(C22,'تقرير المصروفات حسب الشهر'!$C$512:$AD$620,20,FALSE),0)</f>
        <v>0</v>
      </c>
      <c r="I22" s="362">
        <f>IFERROR(VLOOKUP(C22,'تقرير المصروفات حسب الشهر'!$C$637:$AD$746,20,FALSE),0)</f>
        <v>0</v>
      </c>
      <c r="J22" s="362">
        <f>IFERROR(VLOOKUP(C22,'تقرير المصروفات حسب الشهر'!$C$763:$AD$872,20,FALSE),0)</f>
        <v>0</v>
      </c>
      <c r="K22" s="362">
        <f>IFERROR(VLOOKUP(C22,'تقرير المصروفات حسب الشهر'!$C$890:$AD$999,20,FALSE),0)</f>
        <v>0</v>
      </c>
      <c r="L22" s="362">
        <f>IFERROR(VLOOKUP(C22,'تقرير المصروفات حسب الشهر'!$C$1016:$AD$1126,20,FALSE),0)</f>
        <v>0</v>
      </c>
      <c r="M22" s="376">
        <f>IFERROR(VLOOKUP(C22,'تقرير المصروفات حسب الشهر'!$C$1143:$AD$1254,20,FALSE),0)</f>
        <v>0</v>
      </c>
      <c r="N22" s="376">
        <f>IFERROR(VLOOKUP(C22,'تقرير المصروفات حسب الشهر'!$C$1270:$AD$1381,20,FALSE),0)</f>
        <v>0</v>
      </c>
      <c r="O22" s="376">
        <f>IFERROR(VLOOKUP(C22,'تقرير المصروفات حسب الشهر'!$C$1397:$AI$1512,20,FALSE),0)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الشهر'!$C$10:$AD$119,20,FALSE),0)</f>
        <v>21019</v>
      </c>
      <c r="E23" s="362">
        <f>IFERROR(VLOOKUP(C23,'تقرير المصروفات حسب الشهر'!$C$135:$AD$244,20,FALSE),0)</f>
        <v>20626.8</v>
      </c>
      <c r="F23" s="362">
        <f>IFERROR(VLOOKUP(C23,'تقرير المصروفات حسب الشهر'!$C$261:$AD$368,20,FALSE),0)</f>
        <v>19356.599999999999</v>
      </c>
      <c r="G23" s="362">
        <f>IFERROR(VLOOKUP(C23,'تقرير المصروفات حسب الشهر'!$C$387:$AD$495,20,FALSE),0)</f>
        <v>19636.07</v>
      </c>
      <c r="H23" s="362">
        <f>IFERROR(VLOOKUP(C23,'تقرير المصروفات حسب الشهر'!$C$512:$AD$620,20,FALSE),0)</f>
        <v>20908.440000000002</v>
      </c>
      <c r="I23" s="362">
        <f>IFERROR(VLOOKUP(C23,'تقرير المصروفات حسب الشهر'!$C$637:$AD$746,20,FALSE),0)</f>
        <v>24631.94</v>
      </c>
      <c r="J23" s="362">
        <f>IFERROR(VLOOKUP(C23,'تقرير المصروفات حسب الشهر'!$C$763:$AD$872,20,FALSE),0)</f>
        <v>25370.33</v>
      </c>
      <c r="K23" s="362">
        <f>IFERROR(VLOOKUP(C23,'تقرير المصروفات حسب الشهر'!$C$890:$AD$999,20,FALSE),0)</f>
        <v>24582.92</v>
      </c>
      <c r="L23" s="362">
        <f>IFERROR(VLOOKUP(C23,'تقرير المصروفات حسب الشهر'!$C$1016:$AD$1126,20,FALSE),0)</f>
        <v>23477.5</v>
      </c>
      <c r="M23" s="376">
        <f>IFERROR(VLOOKUP(C23,'تقرير المصروفات حسب الشهر'!$C$1143:$AD$1254,20,FALSE),0)</f>
        <v>24857.86</v>
      </c>
      <c r="N23" s="376">
        <f>IFERROR(VLOOKUP(C23,'تقرير المصروفات حسب الشهر'!$C$1270:$AD$1381,20,FALSE),0)</f>
        <v>25788.699999999997</v>
      </c>
      <c r="O23" s="376">
        <f>IFERROR(VLOOKUP(C23,'تقرير المصروفات حسب الشهر'!$C$1397:$AI$1512,20,FALSE),0)</f>
        <v>25269.84</v>
      </c>
      <c r="P23" s="364">
        <f t="shared" ref="P23:P86" si="5">SUM(D23:O23)</f>
        <v>275526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الشهر'!$C$10:$AD$119,20,FALSE),0)</f>
        <v>0</v>
      </c>
      <c r="E24" s="362">
        <f>IFERROR(VLOOKUP(C24,'تقرير المصروفات حسب الشهر'!$C$135:$AD$244,20,FALSE),0)</f>
        <v>0</v>
      </c>
      <c r="F24" s="362">
        <f>IFERROR(VLOOKUP(C24,'تقرير المصروفات حسب الشهر'!$C$261:$AD$368,20,FALSE),0)</f>
        <v>0</v>
      </c>
      <c r="G24" s="362">
        <f>IFERROR(VLOOKUP(C24,'تقرير المصروفات حسب الشهر'!$C$387:$AD$495,20,FALSE),0)</f>
        <v>0</v>
      </c>
      <c r="H24" s="362">
        <f>IFERROR(VLOOKUP(C24,'تقرير المصروفات حسب الشهر'!$C$512:$AD$620,20,FALSE),0)</f>
        <v>0</v>
      </c>
      <c r="I24" s="362">
        <f>IFERROR(VLOOKUP(C24,'تقرير المصروفات حسب الشهر'!$C$637:$AD$746,20,FALSE),0)</f>
        <v>0</v>
      </c>
      <c r="J24" s="362">
        <f>IFERROR(VLOOKUP(C24,'تقرير المصروفات حسب الشهر'!$C$763:$AD$872,20,FALSE),0)</f>
        <v>0</v>
      </c>
      <c r="K24" s="362">
        <f>IFERROR(VLOOKUP(C24,'تقرير المصروفات حسب الشهر'!$C$890:$AD$999,20,FALSE),0)</f>
        <v>0</v>
      </c>
      <c r="L24" s="362">
        <f>IFERROR(VLOOKUP(C24,'تقرير المصروفات حسب الشهر'!$C$1016:$AD$1126,20,FALSE),0)</f>
        <v>0</v>
      </c>
      <c r="M24" s="376">
        <f>IFERROR(VLOOKUP(C24,'تقرير المصروفات حسب الشهر'!$C$1143:$AD$1254,20,FALSE),0)</f>
        <v>0</v>
      </c>
      <c r="N24" s="376">
        <f>IFERROR(VLOOKUP(C24,'تقرير المصروفات حسب الشهر'!$C$1270:$AD$1381,20,FALSE),0)</f>
        <v>0</v>
      </c>
      <c r="O24" s="376">
        <f>IFERROR(VLOOKUP(C24,'تقرير المصروفات حسب الشهر'!$C$1397:$AI$1512,20,FALSE),0)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الشهر'!$C$10:$AD$119,20,FALSE),0)</f>
        <v>0</v>
      </c>
      <c r="E25" s="362">
        <f>IFERROR(VLOOKUP(C25,'تقرير المصروفات حسب الشهر'!$C$135:$AD$244,20,FALSE),0)</f>
        <v>0</v>
      </c>
      <c r="F25" s="362">
        <f>IFERROR(VLOOKUP(C25,'تقرير المصروفات حسب الشهر'!$C$261:$AD$368,20,FALSE),0)</f>
        <v>0</v>
      </c>
      <c r="G25" s="362">
        <f>IFERROR(VLOOKUP(C25,'تقرير المصروفات حسب الشهر'!$C$387:$AD$495,20,FALSE),0)</f>
        <v>0</v>
      </c>
      <c r="H25" s="362">
        <f>IFERROR(VLOOKUP(C25,'تقرير المصروفات حسب الشهر'!$C$512:$AD$620,20,FALSE),0)</f>
        <v>0</v>
      </c>
      <c r="I25" s="362">
        <f>IFERROR(VLOOKUP(C25,'تقرير المصروفات حسب الشهر'!$C$637:$AD$746,20,FALSE),0)</f>
        <v>0</v>
      </c>
      <c r="J25" s="362">
        <f>IFERROR(VLOOKUP(C25,'تقرير المصروفات حسب الشهر'!$C$763:$AD$872,20,FALSE),0)</f>
        <v>0</v>
      </c>
      <c r="K25" s="362">
        <f>IFERROR(VLOOKUP(C25,'تقرير المصروفات حسب الشهر'!$C$890:$AD$999,20,FALSE),0)</f>
        <v>0</v>
      </c>
      <c r="L25" s="362">
        <f>IFERROR(VLOOKUP(C25,'تقرير المصروفات حسب الشهر'!$C$1016:$AD$1126,20,FALSE),0)</f>
        <v>0</v>
      </c>
      <c r="M25" s="376">
        <f>IFERROR(VLOOKUP(C25,'تقرير المصروفات حسب الشهر'!$C$1143:$AD$1254,20,FALSE),0)</f>
        <v>0</v>
      </c>
      <c r="N25" s="376">
        <f>IFERROR(VLOOKUP(C25,'تقرير المصروفات حسب الشهر'!$C$1270:$AD$1381,20,FALSE),0)</f>
        <v>0</v>
      </c>
      <c r="O25" s="376">
        <f>IFERROR(VLOOKUP(C25,'تقرير المصروفات حسب الشهر'!$C$1397:$AI$1512,20,FALSE),0)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الشهر'!$C$10:$AD$119,20,FALSE),0)</f>
        <v>0</v>
      </c>
      <c r="E26" s="362">
        <f>IFERROR(VLOOKUP(C26,'تقرير المصروفات حسب الشهر'!$C$135:$AD$244,20,FALSE),0)</f>
        <v>0</v>
      </c>
      <c r="F26" s="362">
        <f>IFERROR(VLOOKUP(C26,'تقرير المصروفات حسب الشهر'!$C$261:$AD$368,20,FALSE),0)</f>
        <v>0</v>
      </c>
      <c r="G26" s="362">
        <f>IFERROR(VLOOKUP(C26,'تقرير المصروفات حسب الشهر'!$C$387:$AD$495,20,FALSE),0)</f>
        <v>0</v>
      </c>
      <c r="H26" s="362">
        <f>IFERROR(VLOOKUP(C26,'تقرير المصروفات حسب الشهر'!$C$512:$AD$620,20,FALSE),0)</f>
        <v>0</v>
      </c>
      <c r="I26" s="362">
        <f>IFERROR(VLOOKUP(C26,'تقرير المصروفات حسب الشهر'!$C$637:$AD$746,20,FALSE),0)</f>
        <v>0</v>
      </c>
      <c r="J26" s="362">
        <f>IFERROR(VLOOKUP(C26,'تقرير المصروفات حسب الشهر'!$C$763:$AD$872,20,FALSE),0)</f>
        <v>0</v>
      </c>
      <c r="K26" s="362">
        <f>IFERROR(VLOOKUP(C26,'تقرير المصروفات حسب الشهر'!$C$890:$AD$999,20,FALSE),0)</f>
        <v>0</v>
      </c>
      <c r="L26" s="362">
        <f>IFERROR(VLOOKUP(C26,'تقرير المصروفات حسب الشهر'!$C$1016:$AD$1126,20,FALSE),0)</f>
        <v>0</v>
      </c>
      <c r="M26" s="376">
        <f>IFERROR(VLOOKUP(C26,'تقرير المصروفات حسب الشهر'!$C$1143:$AD$1254,20,FALSE),0)</f>
        <v>0</v>
      </c>
      <c r="N26" s="376">
        <f>IFERROR(VLOOKUP(C26,'تقرير المصروفات حسب الشهر'!$C$1270:$AD$1381,20,FALSE),0)</f>
        <v>0</v>
      </c>
      <c r="O26" s="376">
        <f>IFERROR(VLOOKUP(C26,'تقرير المصروفات حسب الشهر'!$C$1397:$AI$1512,20,FALSE),0)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الشهر'!$C$10:$AD$119,20,FALSE),0)</f>
        <v>0</v>
      </c>
      <c r="E27" s="362">
        <f>IFERROR(VLOOKUP(C27,'تقرير المصروفات حسب الشهر'!$C$135:$AD$244,20,FALSE),0)</f>
        <v>0</v>
      </c>
      <c r="F27" s="362">
        <f>IFERROR(VLOOKUP(C27,'تقرير المصروفات حسب الشهر'!$C$261:$AD$368,20,FALSE),0)</f>
        <v>0</v>
      </c>
      <c r="G27" s="362">
        <f>IFERROR(VLOOKUP(C27,'تقرير المصروفات حسب الشهر'!$C$387:$AD$495,20,FALSE),0)</f>
        <v>0</v>
      </c>
      <c r="H27" s="362">
        <f>IFERROR(VLOOKUP(C27,'تقرير المصروفات حسب الشهر'!$C$512:$AD$620,20,FALSE),0)</f>
        <v>0</v>
      </c>
      <c r="I27" s="362">
        <f>IFERROR(VLOOKUP(C27,'تقرير المصروفات حسب الشهر'!$C$637:$AD$746,20,FALSE),0)</f>
        <v>0</v>
      </c>
      <c r="J27" s="362">
        <f>IFERROR(VLOOKUP(C27,'تقرير المصروفات حسب الشهر'!$C$763:$AD$872,20,FALSE),0)</f>
        <v>0</v>
      </c>
      <c r="K27" s="362">
        <f>IFERROR(VLOOKUP(C27,'تقرير المصروفات حسب الشهر'!$C$890:$AD$999,20,FALSE),0)</f>
        <v>0</v>
      </c>
      <c r="L27" s="362">
        <f>IFERROR(VLOOKUP(C27,'تقرير المصروفات حسب الشهر'!$C$1016:$AD$1126,20,FALSE),0)</f>
        <v>0</v>
      </c>
      <c r="M27" s="376">
        <f>IFERROR(VLOOKUP(C27,'تقرير المصروفات حسب الشهر'!$C$1143:$AD$1254,20,FALSE),0)</f>
        <v>0</v>
      </c>
      <c r="N27" s="376">
        <f>IFERROR(VLOOKUP(C27,'تقرير المصروفات حسب الشهر'!$C$1270:$AD$1381,20,FALSE),0)</f>
        <v>0</v>
      </c>
      <c r="O27" s="376">
        <f>IFERROR(VLOOKUP(C27,'تقرير المصروفات حسب الشهر'!$C$1397:$AI$1512,20,FALSE),0)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الشهر'!$C$10:$AD$119,20,FALSE),0)</f>
        <v>0</v>
      </c>
      <c r="E28" s="362">
        <f>IFERROR(VLOOKUP(C28,'تقرير المصروفات حسب الشهر'!$C$135:$AD$244,20,FALSE),0)</f>
        <v>0</v>
      </c>
      <c r="F28" s="362">
        <f>IFERROR(VLOOKUP(C28,'تقرير المصروفات حسب الشهر'!$C$261:$AD$368,20,FALSE),0)</f>
        <v>0</v>
      </c>
      <c r="G28" s="362">
        <f>IFERROR(VLOOKUP(C28,'تقرير المصروفات حسب الشهر'!$C$387:$AD$495,20,FALSE),0)</f>
        <v>0</v>
      </c>
      <c r="H28" s="362">
        <f>IFERROR(VLOOKUP(C28,'تقرير المصروفات حسب الشهر'!$C$512:$AD$620,20,FALSE),0)</f>
        <v>0</v>
      </c>
      <c r="I28" s="362">
        <f>IFERROR(VLOOKUP(C28,'تقرير المصروفات حسب الشهر'!$C$637:$AD$746,20,FALSE),0)</f>
        <v>0</v>
      </c>
      <c r="J28" s="362">
        <f>IFERROR(VLOOKUP(C28,'تقرير المصروفات حسب الشهر'!$C$763:$AD$872,20,FALSE),0)</f>
        <v>0</v>
      </c>
      <c r="K28" s="362">
        <f>IFERROR(VLOOKUP(C28,'تقرير المصروفات حسب الشهر'!$C$890:$AD$999,20,FALSE),0)</f>
        <v>0</v>
      </c>
      <c r="L28" s="362">
        <f>IFERROR(VLOOKUP(C28,'تقرير المصروفات حسب الشهر'!$C$1016:$AD$1126,20,FALSE),0)</f>
        <v>0</v>
      </c>
      <c r="M28" s="376">
        <f>IFERROR(VLOOKUP(C28,'تقرير المصروفات حسب الشهر'!$C$1143:$AD$1254,20,FALSE),0)</f>
        <v>0</v>
      </c>
      <c r="N28" s="376">
        <f>IFERROR(VLOOKUP(C28,'تقرير المصروفات حسب الشهر'!$C$1270:$AD$1381,20,FALSE),0)</f>
        <v>0</v>
      </c>
      <c r="O28" s="376">
        <f>IFERROR(VLOOKUP(C28,'تقرير المصروفات حسب الشهر'!$C$1397:$AI$1512,20,FALSE),0)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الشهر'!$C$10:$AD$119,20,FALSE),0)</f>
        <v>0</v>
      </c>
      <c r="E29" s="362">
        <f>IFERROR(VLOOKUP(C29,'تقرير المصروفات حسب الشهر'!$C$135:$AD$244,20,FALSE),0)</f>
        <v>0</v>
      </c>
      <c r="F29" s="362">
        <f>IFERROR(VLOOKUP(C29,'تقرير المصروفات حسب الشهر'!$C$261:$AD$368,20,FALSE),0)</f>
        <v>0</v>
      </c>
      <c r="G29" s="362">
        <f>IFERROR(VLOOKUP(C29,'تقرير المصروفات حسب الشهر'!$C$387:$AD$495,20,FALSE),0)</f>
        <v>0</v>
      </c>
      <c r="H29" s="362">
        <f>IFERROR(VLOOKUP(C29,'تقرير المصروفات حسب الشهر'!$C$512:$AD$620,20,FALSE),0)</f>
        <v>0</v>
      </c>
      <c r="I29" s="362">
        <f>IFERROR(VLOOKUP(C29,'تقرير المصروفات حسب الشهر'!$C$637:$AD$746,20,FALSE),0)</f>
        <v>0</v>
      </c>
      <c r="J29" s="362">
        <f>IFERROR(VLOOKUP(C29,'تقرير المصروفات حسب الشهر'!$C$763:$AD$872,20,FALSE),0)</f>
        <v>0</v>
      </c>
      <c r="K29" s="362">
        <f>IFERROR(VLOOKUP(C29,'تقرير المصروفات حسب الشهر'!$C$890:$AD$999,20,FALSE),0)</f>
        <v>0</v>
      </c>
      <c r="L29" s="362">
        <f>IFERROR(VLOOKUP(C29,'تقرير المصروفات حسب الشهر'!$C$1016:$AD$1126,20,FALSE),0)</f>
        <v>0</v>
      </c>
      <c r="M29" s="376">
        <f>IFERROR(VLOOKUP(C29,'تقرير المصروفات حسب الشهر'!$C$1143:$AD$1254,20,FALSE),0)</f>
        <v>0</v>
      </c>
      <c r="N29" s="376">
        <f>IFERROR(VLOOKUP(C29,'تقرير المصروفات حسب الشهر'!$C$1270:$AD$1381,20,FALSE),0)</f>
        <v>0</v>
      </c>
      <c r="O29" s="376">
        <f>IFERROR(VLOOKUP(C29,'تقرير المصروفات حسب الشهر'!$C$1397:$AI$1512,20,FALSE),0)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الشهر'!$C$10:$AD$119,20,FALSE),0)</f>
        <v>0</v>
      </c>
      <c r="E30" s="362">
        <f>IFERROR(VLOOKUP(C30,'تقرير المصروفات حسب الشهر'!$C$135:$AD$244,20,FALSE),0)</f>
        <v>0</v>
      </c>
      <c r="F30" s="362">
        <f>IFERROR(VLOOKUP(C30,'تقرير المصروفات حسب الشهر'!$C$261:$AD$368,20,FALSE),0)</f>
        <v>0</v>
      </c>
      <c r="G30" s="362">
        <f>IFERROR(VLOOKUP(C30,'تقرير المصروفات حسب الشهر'!$C$387:$AD$495,20,FALSE),0)</f>
        <v>0</v>
      </c>
      <c r="H30" s="362">
        <f>IFERROR(VLOOKUP(C30,'تقرير المصروفات حسب الشهر'!$C$512:$AD$620,20,FALSE),0)</f>
        <v>0</v>
      </c>
      <c r="I30" s="362">
        <f>IFERROR(VLOOKUP(C30,'تقرير المصروفات حسب الشهر'!$C$637:$AD$746,20,FALSE),0)</f>
        <v>0</v>
      </c>
      <c r="J30" s="362">
        <f>IFERROR(VLOOKUP(C30,'تقرير المصروفات حسب الشهر'!$C$763:$AD$872,20,FALSE),0)</f>
        <v>0</v>
      </c>
      <c r="K30" s="362">
        <f>IFERROR(VLOOKUP(C30,'تقرير المصروفات حسب الشهر'!$C$890:$AD$999,20,FALSE),0)</f>
        <v>0</v>
      </c>
      <c r="L30" s="362">
        <f>IFERROR(VLOOKUP(C30,'تقرير المصروفات حسب الشهر'!$C$1016:$AD$1126,20,FALSE),0)</f>
        <v>0</v>
      </c>
      <c r="M30" s="376">
        <f>IFERROR(VLOOKUP(C30,'تقرير المصروفات حسب الشهر'!$C$1143:$AD$1254,20,FALSE),0)</f>
        <v>0</v>
      </c>
      <c r="N30" s="376">
        <f>IFERROR(VLOOKUP(C30,'تقرير المصروفات حسب الشهر'!$C$1270:$AD$1381,20,FALSE),0)</f>
        <v>0</v>
      </c>
      <c r="O30" s="376">
        <f>IFERROR(VLOOKUP(C30,'تقرير المصروفات حسب الشهر'!$C$1397:$AI$1512,20,FALSE),0)</f>
        <v>0</v>
      </c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الشهر'!$C$10:$AD$119,20,FALSE),0)</f>
        <v>90</v>
      </c>
      <c r="E31" s="362">
        <f>IFERROR(VLOOKUP(C31,'تقرير المصروفات حسب الشهر'!$C$135:$AD$244,20,FALSE),0)</f>
        <v>100</v>
      </c>
      <c r="F31" s="362">
        <f>IFERROR(VLOOKUP(C31,'تقرير المصروفات حسب الشهر'!$C$261:$AD$368,20,FALSE),0)</f>
        <v>0</v>
      </c>
      <c r="G31" s="362">
        <f>IFERROR(VLOOKUP(C31,'تقرير المصروفات حسب الشهر'!$C$387:$AD$495,20,FALSE),0)</f>
        <v>54</v>
      </c>
      <c r="H31" s="362">
        <f>IFERROR(VLOOKUP(C31,'تقرير المصروفات حسب الشهر'!$C$512:$AD$620,20,FALSE),0)</f>
        <v>124</v>
      </c>
      <c r="I31" s="362">
        <f>IFERROR(VLOOKUP(C31,'تقرير المصروفات حسب الشهر'!$C$637:$AD$746,20,FALSE),0)</f>
        <v>100</v>
      </c>
      <c r="J31" s="362">
        <f>IFERROR(VLOOKUP(C31,'تقرير المصروفات حسب الشهر'!$C$763:$AD$872,20,FALSE),0)</f>
        <v>0</v>
      </c>
      <c r="K31" s="362">
        <f>IFERROR(VLOOKUP(C31,'تقرير المصروفات حسب الشهر'!$C$890:$AD$999,20,FALSE),0)</f>
        <v>124</v>
      </c>
      <c r="L31" s="362">
        <f>IFERROR(VLOOKUP(C31,'تقرير المصروفات حسب الشهر'!$C$1016:$AD$1126,20,FALSE),0)</f>
        <v>0</v>
      </c>
      <c r="M31" s="376">
        <f>IFERROR(VLOOKUP(C31,'تقرير المصروفات حسب الشهر'!$C$1143:$AD$1254,20,FALSE),0)</f>
        <v>130.78</v>
      </c>
      <c r="N31" s="376">
        <f>IFERROR(VLOOKUP(C31,'تقرير المصروفات حسب الشهر'!$C$1270:$AD$1381,20,FALSE),0)</f>
        <v>130.13999999999999</v>
      </c>
      <c r="O31" s="376">
        <f>IFERROR(VLOOKUP(C31,'تقرير المصروفات حسب الشهر'!$C$1397:$AI$1512,20,FALSE),0)</f>
        <v>123</v>
      </c>
      <c r="P31" s="364">
        <f t="shared" si="5"/>
        <v>975.92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الشهر'!$C$10:$AD$119,20,FALSE),0)</f>
        <v>0</v>
      </c>
      <c r="E32" s="362">
        <f>IFERROR(VLOOKUP(C32,'تقرير المصروفات حسب الشهر'!$C$135:$AD$244,20,FALSE),0)</f>
        <v>0</v>
      </c>
      <c r="F32" s="362">
        <f>IFERROR(VLOOKUP(C32,'تقرير المصروفات حسب الشهر'!$C$261:$AD$368,20,FALSE),0)</f>
        <v>0</v>
      </c>
      <c r="G32" s="362">
        <f>IFERROR(VLOOKUP(C32,'تقرير المصروفات حسب الشهر'!$C$387:$AD$495,20,FALSE),0)</f>
        <v>0</v>
      </c>
      <c r="H32" s="362">
        <f>IFERROR(VLOOKUP(C32,'تقرير المصروفات حسب الشهر'!$C$512:$AD$620,20,FALSE),0)</f>
        <v>0</v>
      </c>
      <c r="I32" s="362">
        <f>IFERROR(VLOOKUP(C32,'تقرير المصروفات حسب الشهر'!$C$637:$AD$746,20,FALSE),0)</f>
        <v>0</v>
      </c>
      <c r="J32" s="362">
        <f>IFERROR(VLOOKUP(C32,'تقرير المصروفات حسب الشهر'!$C$763:$AD$872,20,FALSE),0)</f>
        <v>0</v>
      </c>
      <c r="K32" s="362">
        <f>IFERROR(VLOOKUP(C32,'تقرير المصروفات حسب الشهر'!$C$890:$AD$999,20,FALSE),0)</f>
        <v>0</v>
      </c>
      <c r="L32" s="362">
        <f>IFERROR(VLOOKUP(C32,'تقرير المصروفات حسب الشهر'!$C$1016:$AD$1126,20,FALSE),0)</f>
        <v>0</v>
      </c>
      <c r="M32" s="376">
        <f>IFERROR(VLOOKUP(C32,'تقرير المصروفات حسب الشهر'!$C$1143:$AD$1254,20,FALSE),0)</f>
        <v>0</v>
      </c>
      <c r="N32" s="376">
        <f>IFERROR(VLOOKUP(C32,'تقرير المصروفات حسب الشهر'!$C$1270:$AD$1381,20,FALSE),0)</f>
        <v>0</v>
      </c>
      <c r="O32" s="376">
        <f>IFERROR(VLOOKUP(C32,'تقرير المصروفات حسب الشهر'!$C$1397:$AI$1512,20,FALSE),0)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الشهر'!$C$10:$AD$119,20,FALSE),0)</f>
        <v>0</v>
      </c>
      <c r="E33" s="362">
        <f>IFERROR(VLOOKUP(C33,'تقرير المصروفات حسب الشهر'!$C$135:$AD$244,20,FALSE),0)</f>
        <v>0</v>
      </c>
      <c r="F33" s="362">
        <f>IFERROR(VLOOKUP(C33,'تقرير المصروفات حسب الشهر'!$C$261:$AD$368,20,FALSE),0)</f>
        <v>0</v>
      </c>
      <c r="G33" s="362">
        <f>IFERROR(VLOOKUP(C33,'تقرير المصروفات حسب الشهر'!$C$387:$AD$495,20,FALSE),0)</f>
        <v>0</v>
      </c>
      <c r="H33" s="362">
        <f>IFERROR(VLOOKUP(C33,'تقرير المصروفات حسب الشهر'!$C$512:$AD$620,20,FALSE),0)</f>
        <v>0</v>
      </c>
      <c r="I33" s="362">
        <f>IFERROR(VLOOKUP(C33,'تقرير المصروفات حسب الشهر'!$C$637:$AD$746,20,FALSE),0)</f>
        <v>0</v>
      </c>
      <c r="J33" s="362">
        <f>IFERROR(VLOOKUP(C33,'تقرير المصروفات حسب الشهر'!$C$763:$AD$872,20,FALSE),0)</f>
        <v>0</v>
      </c>
      <c r="K33" s="362">
        <f>IFERROR(VLOOKUP(C33,'تقرير المصروفات حسب الشهر'!$C$890:$AD$999,20,FALSE),0)</f>
        <v>0</v>
      </c>
      <c r="L33" s="362">
        <f>IFERROR(VLOOKUP(C33,'تقرير المصروفات حسب الشهر'!$C$1016:$AD$1126,20,FALSE),0)</f>
        <v>0</v>
      </c>
      <c r="M33" s="376">
        <f>IFERROR(VLOOKUP(C33,'تقرير المصروفات حسب الشهر'!$C$1143:$AD$1254,20,FALSE),0)</f>
        <v>0</v>
      </c>
      <c r="N33" s="376">
        <f>IFERROR(VLOOKUP(C33,'تقرير المصروفات حسب الشهر'!$C$1270:$AD$1381,20,FALSE),0)</f>
        <v>0</v>
      </c>
      <c r="O33" s="376">
        <f>IFERROR(VLOOKUP(C33,'تقرير المصروفات حسب الشهر'!$C$1397:$AI$1512,20,FALSE),0)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الشهر'!$C$10:$AD$119,20,FALSE),0)</f>
        <v>0</v>
      </c>
      <c r="E34" s="362">
        <f>IFERROR(VLOOKUP(C34,'تقرير المصروفات حسب الشهر'!$C$135:$AD$244,20,FALSE),0)</f>
        <v>0</v>
      </c>
      <c r="F34" s="362">
        <f>IFERROR(VLOOKUP(C34,'تقرير المصروفات حسب الشهر'!$C$261:$AD$368,20,FALSE),0)</f>
        <v>0</v>
      </c>
      <c r="G34" s="362">
        <f>IFERROR(VLOOKUP(C34,'تقرير المصروفات حسب الشهر'!$C$387:$AD$495,20,FALSE),0)</f>
        <v>0</v>
      </c>
      <c r="H34" s="362">
        <f>IFERROR(VLOOKUP(C34,'تقرير المصروفات حسب الشهر'!$C$512:$AD$620,20,FALSE),0)</f>
        <v>0</v>
      </c>
      <c r="I34" s="362">
        <f>IFERROR(VLOOKUP(C34,'تقرير المصروفات حسب الشهر'!$C$637:$AD$746,20,FALSE),0)</f>
        <v>0</v>
      </c>
      <c r="J34" s="362">
        <f>IFERROR(VLOOKUP(C34,'تقرير المصروفات حسب الشهر'!$C$763:$AD$872,20,FALSE),0)</f>
        <v>0</v>
      </c>
      <c r="K34" s="362">
        <f>IFERROR(VLOOKUP(C34,'تقرير المصروفات حسب الشهر'!$C$890:$AD$999,20,FALSE),0)</f>
        <v>0</v>
      </c>
      <c r="L34" s="362">
        <f>IFERROR(VLOOKUP(C34,'تقرير المصروفات حسب الشهر'!$C$1016:$AD$1126,20,FALSE),0)</f>
        <v>0</v>
      </c>
      <c r="M34" s="376">
        <f>IFERROR(VLOOKUP(C34,'تقرير المصروفات حسب الشهر'!$C$1143:$AD$1254,20,FALSE),0)</f>
        <v>0</v>
      </c>
      <c r="N34" s="376">
        <f>IFERROR(VLOOKUP(C34,'تقرير المصروفات حسب الشهر'!$C$1270:$AD$1381,20,FALSE),0)</f>
        <v>0</v>
      </c>
      <c r="O34" s="376">
        <f>IFERROR(VLOOKUP(C34,'تقرير المصروفات حسب الشهر'!$C$1397:$AI$1512,20,FALSE),0)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الشهر'!$C$10:$AD$119,20,FALSE),0)</f>
        <v>0</v>
      </c>
      <c r="E35" s="362">
        <f>IFERROR(VLOOKUP(C35,'تقرير المصروفات حسب الشهر'!$C$135:$AD$244,20,FALSE),0)</f>
        <v>0</v>
      </c>
      <c r="F35" s="362">
        <f>IFERROR(VLOOKUP(C35,'تقرير المصروفات حسب الشهر'!$C$261:$AD$368,20,FALSE),0)</f>
        <v>0</v>
      </c>
      <c r="G35" s="362">
        <f>IFERROR(VLOOKUP(C35,'تقرير المصروفات حسب الشهر'!$C$387:$AD$495,20,FALSE),0)</f>
        <v>0</v>
      </c>
      <c r="H35" s="362">
        <f>IFERROR(VLOOKUP(C35,'تقرير المصروفات حسب الشهر'!$C$512:$AD$620,20,FALSE),0)</f>
        <v>0</v>
      </c>
      <c r="I35" s="362">
        <f>IFERROR(VLOOKUP(C35,'تقرير المصروفات حسب الشهر'!$C$637:$AD$746,20,FALSE),0)</f>
        <v>0</v>
      </c>
      <c r="J35" s="362">
        <f>IFERROR(VLOOKUP(C35,'تقرير المصروفات حسب الشهر'!$C$763:$AD$872,20,FALSE),0)</f>
        <v>0</v>
      </c>
      <c r="K35" s="362">
        <f>IFERROR(VLOOKUP(C35,'تقرير المصروفات حسب الشهر'!$C$890:$AD$999,20,FALSE),0)</f>
        <v>0</v>
      </c>
      <c r="L35" s="362">
        <f>IFERROR(VLOOKUP(C35,'تقرير المصروفات حسب الشهر'!$C$1016:$AD$1126,20,FALSE),0)</f>
        <v>0</v>
      </c>
      <c r="M35" s="376">
        <f>IFERROR(VLOOKUP(C35,'تقرير المصروفات حسب الشهر'!$C$1143:$AD$1254,20,FALSE),0)</f>
        <v>0</v>
      </c>
      <c r="N35" s="376">
        <f>IFERROR(VLOOKUP(C35,'تقرير المصروفات حسب الشهر'!$C$1270:$AD$1381,20,FALSE),0)</f>
        <v>0</v>
      </c>
      <c r="O35" s="376">
        <f>IFERROR(VLOOKUP(C35,'تقرير المصروفات حسب الشهر'!$C$1397:$AI$1512,20,FALSE),0)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الشهر'!$C$10:$AD$119,20,FALSE),0)</f>
        <v>750</v>
      </c>
      <c r="E36" s="362">
        <f>IFERROR(VLOOKUP(C36,'تقرير المصروفات حسب الشهر'!$C$135:$AD$244,20,FALSE),0)</f>
        <v>0</v>
      </c>
      <c r="F36" s="362">
        <f>IFERROR(VLOOKUP(C36,'تقرير المصروفات حسب الشهر'!$C$261:$AD$368,20,FALSE),0)</f>
        <v>750</v>
      </c>
      <c r="G36" s="362">
        <f>IFERROR(VLOOKUP(C36,'تقرير المصروفات حسب الشهر'!$C$387:$AD$495,20,FALSE),0)</f>
        <v>750</v>
      </c>
      <c r="H36" s="362">
        <f>IFERROR(VLOOKUP(C36,'تقرير المصروفات حسب الشهر'!$C$512:$AD$620,20,FALSE),0)</f>
        <v>0</v>
      </c>
      <c r="I36" s="362">
        <f>IFERROR(VLOOKUP(C36,'تقرير المصروفات حسب الشهر'!$C$637:$AD$746,20,FALSE),0)</f>
        <v>0</v>
      </c>
      <c r="J36" s="362">
        <f>IFERROR(VLOOKUP(C36,'تقرير المصروفات حسب الشهر'!$C$763:$AD$872,20,FALSE),0)</f>
        <v>0</v>
      </c>
      <c r="K36" s="362">
        <f>IFERROR(VLOOKUP(C36,'تقرير المصروفات حسب الشهر'!$C$890:$AD$999,20,FALSE),0)</f>
        <v>0</v>
      </c>
      <c r="L36" s="362">
        <f>IFERROR(VLOOKUP(C36,'تقرير المصروفات حسب الشهر'!$C$1016:$AD$1126,20,FALSE),0)</f>
        <v>0</v>
      </c>
      <c r="M36" s="376">
        <f>IFERROR(VLOOKUP(C36,'تقرير المصروفات حسب الشهر'!$C$1143:$AD$1254,20,FALSE),0)</f>
        <v>770</v>
      </c>
      <c r="N36" s="376">
        <f>IFERROR(VLOOKUP(C36,'تقرير المصروفات حسب الشهر'!$C$1270:$AD$1381,20,FALSE),0)</f>
        <v>0</v>
      </c>
      <c r="O36" s="376">
        <f>IFERROR(VLOOKUP(C36,'تقرير المصروفات حسب الشهر'!$C$1397:$AI$1512,20,FALSE),0)</f>
        <v>770</v>
      </c>
      <c r="P36" s="364">
        <f t="shared" si="5"/>
        <v>3790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الشهر'!$C$10:$AD$119,20,FALSE),0)</f>
        <v>0</v>
      </c>
      <c r="E37" s="362">
        <f>IFERROR(VLOOKUP(C37,'تقرير المصروفات حسب الشهر'!$C$135:$AD$244,20,FALSE),0)</f>
        <v>0</v>
      </c>
      <c r="F37" s="362">
        <f>IFERROR(VLOOKUP(C37,'تقرير المصروفات حسب الشهر'!$C$261:$AD$368,20,FALSE),0)</f>
        <v>0</v>
      </c>
      <c r="G37" s="362">
        <f>IFERROR(VLOOKUP(C37,'تقرير المصروفات حسب الشهر'!$C$387:$AD$495,20,FALSE),0)</f>
        <v>2250</v>
      </c>
      <c r="H37" s="362">
        <f>IFERROR(VLOOKUP(C37,'تقرير المصروفات حسب الشهر'!$C$512:$AD$620,20,FALSE),0)</f>
        <v>0</v>
      </c>
      <c r="I37" s="362">
        <f>IFERROR(VLOOKUP(C37,'تقرير المصروفات حسب الشهر'!$C$637:$AD$746,20,FALSE),0)</f>
        <v>0</v>
      </c>
      <c r="J37" s="362">
        <f>IFERROR(VLOOKUP(C37,'تقرير المصروفات حسب الشهر'!$C$763:$AD$872,20,FALSE),0)</f>
        <v>0</v>
      </c>
      <c r="K37" s="362">
        <f>IFERROR(VLOOKUP(C37,'تقرير المصروفات حسب الشهر'!$C$890:$AD$999,20,FALSE),0)</f>
        <v>2250</v>
      </c>
      <c r="L37" s="362">
        <f>IFERROR(VLOOKUP(C37,'تقرير المصروفات حسب الشهر'!$C$1016:$AD$1126,20,FALSE),0)</f>
        <v>0</v>
      </c>
      <c r="M37" s="376">
        <f>IFERROR(VLOOKUP(C37,'تقرير المصروفات حسب الشهر'!$C$1143:$AD$1254,20,FALSE),0)</f>
        <v>0</v>
      </c>
      <c r="N37" s="376">
        <f>IFERROR(VLOOKUP(C37,'تقرير المصروفات حسب الشهر'!$C$1270:$AD$1381,20,FALSE),0)</f>
        <v>0</v>
      </c>
      <c r="O37" s="376">
        <f>IFERROR(VLOOKUP(C37,'تقرير المصروفات حسب الشهر'!$C$1397:$AI$1512,20,FALSE),0)</f>
        <v>0</v>
      </c>
      <c r="P37" s="364">
        <f t="shared" si="5"/>
        <v>4500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الشهر'!$C$10:$AD$119,20,FALSE),0)</f>
        <v>0</v>
      </c>
      <c r="E38" s="362">
        <f>IFERROR(VLOOKUP(C38,'تقرير المصروفات حسب الشهر'!$C$135:$AD$244,20,FALSE),0)</f>
        <v>0</v>
      </c>
      <c r="F38" s="362">
        <f>IFERROR(VLOOKUP(C38,'تقرير المصروفات حسب الشهر'!$C$261:$AD$368,20,FALSE),0)</f>
        <v>0</v>
      </c>
      <c r="G38" s="362">
        <f>IFERROR(VLOOKUP(C38,'تقرير المصروفات حسب الشهر'!$C$387:$AD$495,20,FALSE),0)</f>
        <v>0</v>
      </c>
      <c r="H38" s="362">
        <f>IFERROR(VLOOKUP(C38,'تقرير المصروفات حسب الشهر'!$C$512:$AD$620,20,FALSE),0)</f>
        <v>0</v>
      </c>
      <c r="I38" s="362">
        <f>IFERROR(VLOOKUP(C38,'تقرير المصروفات حسب الشهر'!$C$637:$AD$746,20,FALSE),0)</f>
        <v>0</v>
      </c>
      <c r="J38" s="362">
        <f>IFERROR(VLOOKUP(C38,'تقرير المصروفات حسب الشهر'!$C$763:$AD$872,20,FALSE),0)</f>
        <v>0</v>
      </c>
      <c r="K38" s="362">
        <f>IFERROR(VLOOKUP(C38,'تقرير المصروفات حسب الشهر'!$C$890:$AD$999,20,FALSE),0)</f>
        <v>0</v>
      </c>
      <c r="L38" s="362">
        <f>IFERROR(VLOOKUP(C38,'تقرير المصروفات حسب الشهر'!$C$1016:$AD$1126,20,FALSE),0)</f>
        <v>0</v>
      </c>
      <c r="M38" s="376">
        <f>IFERROR(VLOOKUP(C38,'تقرير المصروفات حسب الشهر'!$C$1143:$AD$1254,20,FALSE),0)</f>
        <v>0</v>
      </c>
      <c r="N38" s="376">
        <f>IFERROR(VLOOKUP(C38,'تقرير المصروفات حسب الشهر'!$C$1270:$AD$1381,20,FALSE),0)</f>
        <v>0</v>
      </c>
      <c r="O38" s="376">
        <f>IFERROR(VLOOKUP(C38,'تقرير المصروفات حسب الشهر'!$C$1397:$AI$1512,20,FALSE),0)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الشهر'!$C$10:$AD$119,20,FALSE),0)</f>
        <v>0</v>
      </c>
      <c r="E39" s="362">
        <f>IFERROR(VLOOKUP(C39,'تقرير المصروفات حسب الشهر'!$C$135:$AD$244,20,FALSE),0)</f>
        <v>833</v>
      </c>
      <c r="F39" s="362">
        <f>IFERROR(VLOOKUP(C39,'تقرير المصروفات حسب الشهر'!$C$261:$AD$368,20,FALSE),0)</f>
        <v>648</v>
      </c>
      <c r="G39" s="362">
        <f>IFERROR(VLOOKUP(C39,'تقرير المصروفات حسب الشهر'!$C$387:$AD$495,20,FALSE),0)</f>
        <v>793</v>
      </c>
      <c r="H39" s="362">
        <f>IFERROR(VLOOKUP(C39,'تقرير المصروفات حسب الشهر'!$C$512:$AD$620,20,FALSE),0)</f>
        <v>0</v>
      </c>
      <c r="I39" s="362">
        <f>IFERROR(VLOOKUP(C39,'تقرير المصروفات حسب الشهر'!$C$637:$AD$746,20,FALSE),0)</f>
        <v>0</v>
      </c>
      <c r="J39" s="362">
        <f>IFERROR(VLOOKUP(C39,'تقرير المصروفات حسب الشهر'!$C$763:$AD$872,20,FALSE),0)</f>
        <v>0</v>
      </c>
      <c r="K39" s="362">
        <f>IFERROR(VLOOKUP(C39,'تقرير المصروفات حسب الشهر'!$C$890:$AD$999,20,FALSE),0)</f>
        <v>0</v>
      </c>
      <c r="L39" s="362">
        <f>IFERROR(VLOOKUP(C39,'تقرير المصروفات حسب الشهر'!$C$1016:$AD$1126,20,FALSE),0)</f>
        <v>0</v>
      </c>
      <c r="M39" s="376">
        <f>IFERROR(VLOOKUP(C39,'تقرير المصروفات حسب الشهر'!$C$1143:$AD$1254,20,FALSE),0)</f>
        <v>0</v>
      </c>
      <c r="N39" s="376">
        <f>IFERROR(VLOOKUP(C39,'تقرير المصروفات حسب الشهر'!$C$1270:$AD$1381,20,FALSE),0)</f>
        <v>506</v>
      </c>
      <c r="O39" s="376">
        <f>IFERROR(VLOOKUP(C39,'تقرير المصروفات حسب الشهر'!$C$1397:$AI$1512,20,FALSE),0)</f>
        <v>0</v>
      </c>
      <c r="P39" s="364">
        <f t="shared" si="5"/>
        <v>2780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الشهر'!$C$10:$AD$119,20,FALSE),0)</f>
        <v>0</v>
      </c>
      <c r="E40" s="362">
        <f>IFERROR(VLOOKUP(C40,'تقرير المصروفات حسب الشهر'!$C$135:$AD$244,20,FALSE),0)</f>
        <v>0</v>
      </c>
      <c r="F40" s="362">
        <f>IFERROR(VLOOKUP(C40,'تقرير المصروفات حسب الشهر'!$C$261:$AD$368,20,FALSE),0)</f>
        <v>0</v>
      </c>
      <c r="G40" s="362">
        <f>IFERROR(VLOOKUP(C40,'تقرير المصروفات حسب الشهر'!$C$387:$AD$495,20,FALSE),0)</f>
        <v>0</v>
      </c>
      <c r="H40" s="362">
        <f>IFERROR(VLOOKUP(C40,'تقرير المصروفات حسب الشهر'!$C$512:$AD$620,20,FALSE),0)</f>
        <v>0</v>
      </c>
      <c r="I40" s="362">
        <f>IFERROR(VLOOKUP(C40,'تقرير المصروفات حسب الشهر'!$C$637:$AD$746,20,FALSE),0)</f>
        <v>0</v>
      </c>
      <c r="J40" s="362">
        <f>IFERROR(VLOOKUP(C40,'تقرير المصروفات حسب الشهر'!$C$763:$AD$872,20,FALSE),0)</f>
        <v>0</v>
      </c>
      <c r="K40" s="362">
        <f>IFERROR(VLOOKUP(C40,'تقرير المصروفات حسب الشهر'!$C$890:$AD$999,20,FALSE),0)</f>
        <v>0</v>
      </c>
      <c r="L40" s="362">
        <f>IFERROR(VLOOKUP(C40,'تقرير المصروفات حسب الشهر'!$C$1016:$AD$1126,20,FALSE),0)</f>
        <v>0</v>
      </c>
      <c r="M40" s="376">
        <f>IFERROR(VLOOKUP(C40,'تقرير المصروفات حسب الشهر'!$C$1143:$AD$1254,20,FALSE),0)</f>
        <v>0</v>
      </c>
      <c r="N40" s="376">
        <f>IFERROR(VLOOKUP(C40,'تقرير المصروفات حسب الشهر'!$C$1270:$AD$1381,20,FALSE),0)</f>
        <v>0</v>
      </c>
      <c r="O40" s="376">
        <f>IFERROR(VLOOKUP(C40,'تقرير المصروفات حسب الشهر'!$C$1397:$AI$1512,20,FALSE),0)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الشهر'!$C$10:$AD$119,20,FALSE),0)</f>
        <v>0</v>
      </c>
      <c r="E41" s="362">
        <f>IFERROR(VLOOKUP(C41,'تقرير المصروفات حسب الشهر'!$C$135:$AD$244,20,FALSE),0)</f>
        <v>0</v>
      </c>
      <c r="F41" s="362">
        <f>IFERROR(VLOOKUP(C41,'تقرير المصروفات حسب الشهر'!$C$261:$AD$368,20,FALSE),0)</f>
        <v>0</v>
      </c>
      <c r="G41" s="362">
        <f>IFERROR(VLOOKUP(C41,'تقرير المصروفات حسب الشهر'!$C$387:$AD$495,20,FALSE),0)</f>
        <v>0</v>
      </c>
      <c r="H41" s="362">
        <f>IFERROR(VLOOKUP(C41,'تقرير المصروفات حسب الشهر'!$C$512:$AD$620,20,FALSE),0)</f>
        <v>0</v>
      </c>
      <c r="I41" s="362">
        <f>IFERROR(VLOOKUP(C41,'تقرير المصروفات حسب الشهر'!$C$637:$AD$746,20,FALSE),0)</f>
        <v>0</v>
      </c>
      <c r="J41" s="362">
        <f>IFERROR(VLOOKUP(C41,'تقرير المصروفات حسب الشهر'!$C$763:$AD$872,20,FALSE),0)</f>
        <v>0</v>
      </c>
      <c r="K41" s="362">
        <f>IFERROR(VLOOKUP(C41,'تقرير المصروفات حسب الشهر'!$C$890:$AD$999,20,FALSE),0)</f>
        <v>0</v>
      </c>
      <c r="L41" s="362">
        <f>IFERROR(VLOOKUP(C41,'تقرير المصروفات حسب الشهر'!$C$1016:$AD$1126,20,FALSE),0)</f>
        <v>0</v>
      </c>
      <c r="M41" s="376">
        <f>IFERROR(VLOOKUP(C41,'تقرير المصروفات حسب الشهر'!$C$1143:$AD$1254,20,FALSE),0)</f>
        <v>0</v>
      </c>
      <c r="N41" s="376">
        <f>IFERROR(VLOOKUP(C41,'تقرير المصروفات حسب الشهر'!$C$1270:$AD$1381,20,FALSE),0)</f>
        <v>0</v>
      </c>
      <c r="O41" s="376">
        <f>IFERROR(VLOOKUP(C41,'تقرير المصروفات حسب الشهر'!$C$1397:$AI$1512,20,FALSE),0)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الشهر'!$C$10:$AD$119,20,FALSE),0)</f>
        <v>0</v>
      </c>
      <c r="E42" s="362">
        <f>IFERROR(VLOOKUP(C42,'تقرير المصروفات حسب الشهر'!$C$135:$AD$244,20,FALSE),0)</f>
        <v>0</v>
      </c>
      <c r="F42" s="362">
        <f>IFERROR(VLOOKUP(C42,'تقرير المصروفات حسب الشهر'!$C$261:$AD$368,20,FALSE),0)</f>
        <v>0</v>
      </c>
      <c r="G42" s="362">
        <f>IFERROR(VLOOKUP(C42,'تقرير المصروفات حسب الشهر'!$C$387:$AD$495,20,FALSE),0)</f>
        <v>0</v>
      </c>
      <c r="H42" s="362">
        <f>IFERROR(VLOOKUP(C42,'تقرير المصروفات حسب الشهر'!$C$512:$AD$620,20,FALSE),0)</f>
        <v>0</v>
      </c>
      <c r="I42" s="362">
        <f>IFERROR(VLOOKUP(C42,'تقرير المصروفات حسب الشهر'!$C$637:$AD$746,20,FALSE),0)</f>
        <v>0</v>
      </c>
      <c r="J42" s="362">
        <f>IFERROR(VLOOKUP(C42,'تقرير المصروفات حسب الشهر'!$C$763:$AD$872,20,FALSE),0)</f>
        <v>0</v>
      </c>
      <c r="K42" s="362">
        <f>IFERROR(VLOOKUP(C42,'تقرير المصروفات حسب الشهر'!$C$890:$AD$999,20,FALSE),0)</f>
        <v>0</v>
      </c>
      <c r="L42" s="362">
        <f>IFERROR(VLOOKUP(C42,'تقرير المصروفات حسب الشهر'!$C$1016:$AD$1126,20,FALSE),0)</f>
        <v>0</v>
      </c>
      <c r="M42" s="376">
        <f>IFERROR(VLOOKUP(C42,'تقرير المصروفات حسب الشهر'!$C$1143:$AD$1254,20,FALSE),0)</f>
        <v>0</v>
      </c>
      <c r="N42" s="376">
        <f>IFERROR(VLOOKUP(C42,'تقرير المصروفات حسب الشهر'!$C$1270:$AD$1381,20,FALSE),0)</f>
        <v>0</v>
      </c>
      <c r="O42" s="376">
        <f>IFERROR(VLOOKUP(C42,'تقرير المصروفات حسب الشهر'!$C$1397:$AI$1512,20,FALSE),0)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الشهر'!$C$10:$AD$119,20,FALSE),0)</f>
        <v>0</v>
      </c>
      <c r="E43" s="362">
        <f>IFERROR(VLOOKUP(C43,'تقرير المصروفات حسب الشهر'!$C$135:$AD$244,20,FALSE),0)</f>
        <v>0</v>
      </c>
      <c r="F43" s="362">
        <f>IFERROR(VLOOKUP(C43,'تقرير المصروفات حسب الشهر'!$C$261:$AD$368,20,FALSE),0)</f>
        <v>0</v>
      </c>
      <c r="G43" s="362">
        <f>IFERROR(VLOOKUP(C43,'تقرير المصروفات حسب الشهر'!$C$387:$AD$495,20,FALSE),0)</f>
        <v>0</v>
      </c>
      <c r="H43" s="362">
        <f>IFERROR(VLOOKUP(C43,'تقرير المصروفات حسب الشهر'!$C$512:$AD$620,20,FALSE),0)</f>
        <v>0</v>
      </c>
      <c r="I43" s="362">
        <f>IFERROR(VLOOKUP(C43,'تقرير المصروفات حسب الشهر'!$C$637:$AD$746,20,FALSE),0)</f>
        <v>0</v>
      </c>
      <c r="J43" s="362">
        <f>IFERROR(VLOOKUP(C43,'تقرير المصروفات حسب الشهر'!$C$763:$AD$872,20,FALSE),0)</f>
        <v>0</v>
      </c>
      <c r="K43" s="362">
        <f>IFERROR(VLOOKUP(C43,'تقرير المصروفات حسب الشهر'!$C$890:$AD$999,20,FALSE),0)</f>
        <v>0</v>
      </c>
      <c r="L43" s="362">
        <f>IFERROR(VLOOKUP(C43,'تقرير المصروفات حسب الشهر'!$C$1016:$AD$1126,20,FALSE),0)</f>
        <v>0</v>
      </c>
      <c r="M43" s="376">
        <f>IFERROR(VLOOKUP(C43,'تقرير المصروفات حسب الشهر'!$C$1143:$AD$1254,20,FALSE),0)</f>
        <v>0</v>
      </c>
      <c r="N43" s="376">
        <f>IFERROR(VLOOKUP(C43,'تقرير المصروفات حسب الشهر'!$C$1270:$AD$1381,20,FALSE),0)</f>
        <v>0</v>
      </c>
      <c r="O43" s="376">
        <f>IFERROR(VLOOKUP(C43,'تقرير المصروفات حسب الشهر'!$C$1397:$AI$1512,20,FALSE),0)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الشهر'!$C$10:$AD$119,20,FALSE),0)</f>
        <v>0</v>
      </c>
      <c r="E44" s="362">
        <f>IFERROR(VLOOKUP(C44,'تقرير المصروفات حسب الشهر'!$C$135:$AD$244,20,FALSE),0)</f>
        <v>0</v>
      </c>
      <c r="F44" s="362">
        <f>IFERROR(VLOOKUP(C44,'تقرير المصروفات حسب الشهر'!$C$261:$AD$368,20,FALSE),0)</f>
        <v>0</v>
      </c>
      <c r="G44" s="362">
        <f>IFERROR(VLOOKUP(C44,'تقرير المصروفات حسب الشهر'!$C$387:$AD$495,20,FALSE),0)</f>
        <v>0</v>
      </c>
      <c r="H44" s="362">
        <f>IFERROR(VLOOKUP(C44,'تقرير المصروفات حسب الشهر'!$C$512:$AD$620,20,FALSE),0)</f>
        <v>0</v>
      </c>
      <c r="I44" s="362">
        <f>IFERROR(VLOOKUP(C44,'تقرير المصروفات حسب الشهر'!$C$637:$AD$746,20,FALSE),0)</f>
        <v>0</v>
      </c>
      <c r="J44" s="362">
        <f>IFERROR(VLOOKUP(C44,'تقرير المصروفات حسب الشهر'!$C$763:$AD$872,20,FALSE),0)</f>
        <v>0</v>
      </c>
      <c r="K44" s="362">
        <f>IFERROR(VLOOKUP(C44,'تقرير المصروفات حسب الشهر'!$C$890:$AD$999,20,FALSE),0)</f>
        <v>0</v>
      </c>
      <c r="L44" s="362">
        <f>IFERROR(VLOOKUP(C44,'تقرير المصروفات حسب الشهر'!$C$1016:$AD$1126,20,FALSE),0)</f>
        <v>0</v>
      </c>
      <c r="M44" s="376">
        <f>IFERROR(VLOOKUP(C44,'تقرير المصروفات حسب الشهر'!$C$1143:$AD$1254,20,FALSE),0)</f>
        <v>0</v>
      </c>
      <c r="N44" s="376">
        <f>IFERROR(VLOOKUP(C44,'تقرير المصروفات حسب الشهر'!$C$1270:$AD$1381,20,FALSE),0)</f>
        <v>0</v>
      </c>
      <c r="O44" s="376">
        <f>IFERROR(VLOOKUP(C44,'تقرير المصروفات حسب الشهر'!$C$1397:$AI$1512,20,FALSE),0)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الشهر'!$C$10:$AD$119,20,FALSE),0)</f>
        <v>0</v>
      </c>
      <c r="E45" s="362">
        <f>IFERROR(VLOOKUP(C45,'تقرير المصروفات حسب الشهر'!$C$135:$AD$244,20,FALSE),0)</f>
        <v>0</v>
      </c>
      <c r="F45" s="362">
        <f>IFERROR(VLOOKUP(C45,'تقرير المصروفات حسب الشهر'!$C$261:$AD$368,20,FALSE),0)</f>
        <v>0</v>
      </c>
      <c r="G45" s="362">
        <f>IFERROR(VLOOKUP(C45,'تقرير المصروفات حسب الشهر'!$C$387:$AD$495,20,FALSE),0)</f>
        <v>0</v>
      </c>
      <c r="H45" s="362">
        <f>IFERROR(VLOOKUP(C45,'تقرير المصروفات حسب الشهر'!$C$512:$AD$620,20,FALSE),0)</f>
        <v>0</v>
      </c>
      <c r="I45" s="362">
        <f>IFERROR(VLOOKUP(C45,'تقرير المصروفات حسب الشهر'!$C$637:$AD$746,20,FALSE),0)</f>
        <v>0</v>
      </c>
      <c r="J45" s="362">
        <f>IFERROR(VLOOKUP(C45,'تقرير المصروفات حسب الشهر'!$C$763:$AD$872,20,FALSE),0)</f>
        <v>0</v>
      </c>
      <c r="K45" s="362">
        <f>IFERROR(VLOOKUP(C45,'تقرير المصروفات حسب الشهر'!$C$890:$AD$999,20,FALSE),0)</f>
        <v>0</v>
      </c>
      <c r="L45" s="362">
        <f>IFERROR(VLOOKUP(C45,'تقرير المصروفات حسب الشهر'!$C$1016:$AD$1126,20,FALSE),0)</f>
        <v>0</v>
      </c>
      <c r="M45" s="376">
        <f>IFERROR(VLOOKUP(C45,'تقرير المصروفات حسب الشهر'!$C$1143:$AD$1254,20,FALSE),0)</f>
        <v>0</v>
      </c>
      <c r="N45" s="376">
        <f>IFERROR(VLOOKUP(C45,'تقرير المصروفات حسب الشهر'!$C$1270:$AD$1381,20,FALSE),0)</f>
        <v>0</v>
      </c>
      <c r="O45" s="376">
        <f>IFERROR(VLOOKUP(C45,'تقرير المصروفات حسب الشهر'!$C$1397:$AI$1512,20,FALSE),0)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الشهر'!$C$10:$AD$119,20,FALSE),0)</f>
        <v>0</v>
      </c>
      <c r="E46" s="362">
        <f>IFERROR(VLOOKUP(C46,'تقرير المصروفات حسب الشهر'!$C$135:$AD$244,20,FALSE),0)</f>
        <v>0</v>
      </c>
      <c r="F46" s="362">
        <f>IFERROR(VLOOKUP(C46,'تقرير المصروفات حسب الشهر'!$C$261:$AD$368,20,FALSE),0)</f>
        <v>0</v>
      </c>
      <c r="G46" s="362">
        <f>IFERROR(VLOOKUP(C46,'تقرير المصروفات حسب الشهر'!$C$387:$AD$495,20,FALSE),0)</f>
        <v>0</v>
      </c>
      <c r="H46" s="362">
        <f>IFERROR(VLOOKUP(C46,'تقرير المصروفات حسب الشهر'!$C$512:$AD$620,20,FALSE),0)</f>
        <v>0</v>
      </c>
      <c r="I46" s="362">
        <f>IFERROR(VLOOKUP(C46,'تقرير المصروفات حسب الشهر'!$C$637:$AD$746,20,FALSE),0)</f>
        <v>0</v>
      </c>
      <c r="J46" s="362">
        <f>IFERROR(VLOOKUP(C46,'تقرير المصروفات حسب الشهر'!$C$763:$AD$872,20,FALSE),0)</f>
        <v>0</v>
      </c>
      <c r="K46" s="362">
        <f>IFERROR(VLOOKUP(C46,'تقرير المصروفات حسب الشهر'!$C$890:$AD$999,20,FALSE),0)</f>
        <v>0</v>
      </c>
      <c r="L46" s="362">
        <f>IFERROR(VLOOKUP(C46,'تقرير المصروفات حسب الشهر'!$C$1016:$AD$1126,20,FALSE),0)</f>
        <v>0</v>
      </c>
      <c r="M46" s="376">
        <f>IFERROR(VLOOKUP(C46,'تقرير المصروفات حسب الشهر'!$C$1143:$AD$1254,20,FALSE),0)</f>
        <v>0</v>
      </c>
      <c r="N46" s="376">
        <f>IFERROR(VLOOKUP(C46,'تقرير المصروفات حسب الشهر'!$C$1270:$AD$1381,20,FALSE),0)</f>
        <v>0</v>
      </c>
      <c r="O46" s="376">
        <f>IFERROR(VLOOKUP(C46,'تقرير المصروفات حسب الشهر'!$C$1397:$AI$1512,20,FALSE),0)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الشهر'!$C$10:$AD$119,20,FALSE),0)</f>
        <v>0</v>
      </c>
      <c r="E47" s="362">
        <f>IFERROR(VLOOKUP(C47,'تقرير المصروفات حسب الشهر'!$C$135:$AD$244,20,FALSE),0)</f>
        <v>0</v>
      </c>
      <c r="F47" s="362">
        <f>IFERROR(VLOOKUP(C47,'تقرير المصروفات حسب الشهر'!$C$261:$AD$368,20,FALSE),0)</f>
        <v>0</v>
      </c>
      <c r="G47" s="362">
        <f>IFERROR(VLOOKUP(C47,'تقرير المصروفات حسب الشهر'!$C$387:$AD$495,20,FALSE),0)</f>
        <v>0</v>
      </c>
      <c r="H47" s="362">
        <f>IFERROR(VLOOKUP(C47,'تقرير المصروفات حسب الشهر'!$C$512:$AD$620,20,FALSE),0)</f>
        <v>0</v>
      </c>
      <c r="I47" s="362">
        <f>IFERROR(VLOOKUP(C47,'تقرير المصروفات حسب الشهر'!$C$637:$AD$746,20,FALSE),0)</f>
        <v>0</v>
      </c>
      <c r="J47" s="362">
        <f>IFERROR(VLOOKUP(C47,'تقرير المصروفات حسب الشهر'!$C$763:$AD$872,20,FALSE),0)</f>
        <v>0</v>
      </c>
      <c r="K47" s="362">
        <f>IFERROR(VLOOKUP(C47,'تقرير المصروفات حسب الشهر'!$C$890:$AD$999,20,FALSE),0)</f>
        <v>0</v>
      </c>
      <c r="L47" s="362">
        <f>IFERROR(VLOOKUP(C47,'تقرير المصروفات حسب الشهر'!$C$1016:$AD$1126,20,FALSE),0)</f>
        <v>0</v>
      </c>
      <c r="M47" s="376">
        <f>IFERROR(VLOOKUP(C47,'تقرير المصروفات حسب الشهر'!$C$1143:$AD$1254,20,FALSE),0)</f>
        <v>0</v>
      </c>
      <c r="N47" s="376">
        <f>IFERROR(VLOOKUP(C47,'تقرير المصروفات حسب الشهر'!$C$1270:$AD$1381,20,FALSE),0)</f>
        <v>0</v>
      </c>
      <c r="O47" s="376">
        <f>IFERROR(VLOOKUP(C47,'تقرير المصروفات حسب الشهر'!$C$1397:$AI$1512,20,FALSE),0)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الشهر'!$C$10:$AD$119,20,FALSE),0)</f>
        <v>4500</v>
      </c>
      <c r="E48" s="362">
        <f>IFERROR(VLOOKUP(C48,'تقرير المصروفات حسب الشهر'!$C$135:$AD$244,20,FALSE),0)</f>
        <v>0</v>
      </c>
      <c r="F48" s="362">
        <f>IFERROR(VLOOKUP(C48,'تقرير المصروفات حسب الشهر'!$C$261:$AD$368,20,FALSE),0)</f>
        <v>0</v>
      </c>
      <c r="G48" s="362">
        <f>IFERROR(VLOOKUP(C48,'تقرير المصروفات حسب الشهر'!$C$387:$AD$495,20,FALSE),0)</f>
        <v>0</v>
      </c>
      <c r="H48" s="362">
        <f>IFERROR(VLOOKUP(C48,'تقرير المصروفات حسب الشهر'!$C$512:$AD$620,20,FALSE),0)</f>
        <v>0</v>
      </c>
      <c r="I48" s="362">
        <f>IFERROR(VLOOKUP(C48,'تقرير المصروفات حسب الشهر'!$C$637:$AD$746,20,FALSE),0)</f>
        <v>0</v>
      </c>
      <c r="J48" s="362">
        <f>IFERROR(VLOOKUP(C48,'تقرير المصروفات حسب الشهر'!$C$763:$AD$872,20,FALSE),0)</f>
        <v>0</v>
      </c>
      <c r="K48" s="362">
        <f>IFERROR(VLOOKUP(C48,'تقرير المصروفات حسب الشهر'!$C$890:$AD$999,20,FALSE),0)</f>
        <v>0</v>
      </c>
      <c r="L48" s="362">
        <f>IFERROR(VLOOKUP(C48,'تقرير المصروفات حسب الشهر'!$C$1016:$AD$1126,20,FALSE),0)</f>
        <v>0</v>
      </c>
      <c r="M48" s="376">
        <f>IFERROR(VLOOKUP(C48,'تقرير المصروفات حسب الشهر'!$C$1143:$AD$1254,20,FALSE),0)</f>
        <v>0</v>
      </c>
      <c r="N48" s="376">
        <f>IFERROR(VLOOKUP(C48,'تقرير المصروفات حسب الشهر'!$C$1270:$AD$1381,20,FALSE),0)</f>
        <v>0</v>
      </c>
      <c r="O48" s="376">
        <f>IFERROR(VLOOKUP(C48,'تقرير المصروفات حسب الشهر'!$C$1397:$AI$1512,20,FALSE),0)</f>
        <v>0</v>
      </c>
      <c r="P48" s="364">
        <f t="shared" si="5"/>
        <v>4500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الشهر'!$C$10:$AD$119,20,FALSE),0)</f>
        <v>0</v>
      </c>
      <c r="E49" s="362">
        <f>IFERROR(VLOOKUP(C49,'تقرير المصروفات حسب الشهر'!$C$135:$AD$244,20,FALSE),0)</f>
        <v>0</v>
      </c>
      <c r="F49" s="362">
        <f>IFERROR(VLOOKUP(C49,'تقرير المصروفات حسب الشهر'!$C$261:$AD$368,20,FALSE),0)</f>
        <v>0</v>
      </c>
      <c r="G49" s="362">
        <f>IFERROR(VLOOKUP(C49,'تقرير المصروفات حسب الشهر'!$C$387:$AD$495,20,FALSE),0)</f>
        <v>0</v>
      </c>
      <c r="H49" s="362">
        <f>IFERROR(VLOOKUP(C49,'تقرير المصروفات حسب الشهر'!$C$512:$AD$620,20,FALSE),0)</f>
        <v>0</v>
      </c>
      <c r="I49" s="362">
        <f>IFERROR(VLOOKUP(C49,'تقرير المصروفات حسب الشهر'!$C$637:$AD$746,20,FALSE),0)</f>
        <v>0</v>
      </c>
      <c r="J49" s="362">
        <f>IFERROR(VLOOKUP(C49,'تقرير المصروفات حسب الشهر'!$C$763:$AD$872,20,FALSE),0)</f>
        <v>0</v>
      </c>
      <c r="K49" s="362">
        <f>IFERROR(VLOOKUP(C49,'تقرير المصروفات حسب الشهر'!$C$890:$AD$999,20,FALSE),0)</f>
        <v>0</v>
      </c>
      <c r="L49" s="362">
        <f>IFERROR(VLOOKUP(C49,'تقرير المصروفات حسب الشهر'!$C$1016:$AD$1126,20,FALSE),0)</f>
        <v>0</v>
      </c>
      <c r="M49" s="376">
        <f>IFERROR(VLOOKUP(C49,'تقرير المصروفات حسب الشهر'!$C$1143:$AD$1254,20,FALSE),0)</f>
        <v>0</v>
      </c>
      <c r="N49" s="376">
        <f>IFERROR(VLOOKUP(C49,'تقرير المصروفات حسب الشهر'!$C$1270:$AD$1381,20,FALSE),0)</f>
        <v>0</v>
      </c>
      <c r="O49" s="376">
        <f>IFERROR(VLOOKUP(C49,'تقرير المصروفات حسب الشهر'!$C$1397:$AI$1512,20,FALSE),0)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الشهر'!$C$10:$AD$119,20,FALSE),0)</f>
        <v>0</v>
      </c>
      <c r="E50" s="362">
        <f>IFERROR(VLOOKUP(C50,'تقرير المصروفات حسب الشهر'!$C$135:$AD$244,20,FALSE),0)</f>
        <v>0</v>
      </c>
      <c r="F50" s="362">
        <f>IFERROR(VLOOKUP(C50,'تقرير المصروفات حسب الشهر'!$C$261:$AD$368,20,FALSE),0)</f>
        <v>0</v>
      </c>
      <c r="G50" s="362">
        <f>IFERROR(VLOOKUP(C50,'تقرير المصروفات حسب الشهر'!$C$387:$AD$495,20,FALSE),0)</f>
        <v>0</v>
      </c>
      <c r="H50" s="362">
        <f>IFERROR(VLOOKUP(C50,'تقرير المصروفات حسب الشهر'!$C$512:$AD$620,20,FALSE),0)</f>
        <v>0</v>
      </c>
      <c r="I50" s="362">
        <f>IFERROR(VLOOKUP(C50,'تقرير المصروفات حسب الشهر'!$C$637:$AD$746,20,FALSE),0)</f>
        <v>0</v>
      </c>
      <c r="J50" s="362">
        <f>IFERROR(VLOOKUP(C50,'تقرير المصروفات حسب الشهر'!$C$763:$AD$872,20,FALSE),0)</f>
        <v>0</v>
      </c>
      <c r="K50" s="362">
        <f>IFERROR(VLOOKUP(C50,'تقرير المصروفات حسب الشهر'!$C$890:$AD$999,20,FALSE),0)</f>
        <v>0</v>
      </c>
      <c r="L50" s="362">
        <f>IFERROR(VLOOKUP(C50,'تقرير المصروفات حسب الشهر'!$C$1016:$AD$1126,20,FALSE),0)</f>
        <v>0</v>
      </c>
      <c r="M50" s="376">
        <f>IFERROR(VLOOKUP(C50,'تقرير المصروفات حسب الشهر'!$C$1143:$AD$1254,20,FALSE),0)</f>
        <v>0</v>
      </c>
      <c r="N50" s="376">
        <f>IFERROR(VLOOKUP(C50,'تقرير المصروفات حسب الشهر'!$C$1270:$AD$1381,20,FALSE),0)</f>
        <v>0</v>
      </c>
      <c r="O50" s="376">
        <f>IFERROR(VLOOKUP(C50,'تقرير المصروفات حسب الشهر'!$C$1397:$AI$1512,20,FALSE),0)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الشهر'!$C$10:$AD$119,20,FALSE),0)</f>
        <v>0</v>
      </c>
      <c r="E51" s="362">
        <f>IFERROR(VLOOKUP(C51,'تقرير المصروفات حسب الشهر'!$C$135:$AD$244,20,FALSE),0)</f>
        <v>0</v>
      </c>
      <c r="F51" s="362">
        <f>IFERROR(VLOOKUP(C51,'تقرير المصروفات حسب الشهر'!$C$261:$AD$368,20,FALSE),0)</f>
        <v>0</v>
      </c>
      <c r="G51" s="362">
        <f>IFERROR(VLOOKUP(C51,'تقرير المصروفات حسب الشهر'!$C$387:$AD$495,20,FALSE),0)</f>
        <v>0</v>
      </c>
      <c r="H51" s="362">
        <f>IFERROR(VLOOKUP(C51,'تقرير المصروفات حسب الشهر'!$C$512:$AD$620,20,FALSE),0)</f>
        <v>0</v>
      </c>
      <c r="I51" s="362">
        <f>IFERROR(VLOOKUP(C51,'تقرير المصروفات حسب الشهر'!$C$637:$AD$746,20,FALSE),0)</f>
        <v>0</v>
      </c>
      <c r="J51" s="362">
        <f>IFERROR(VLOOKUP(C51,'تقرير المصروفات حسب الشهر'!$C$763:$AD$872,20,FALSE),0)</f>
        <v>0</v>
      </c>
      <c r="K51" s="362">
        <f>IFERROR(VLOOKUP(C51,'تقرير المصروفات حسب الشهر'!$C$890:$AD$999,20,FALSE),0)</f>
        <v>0</v>
      </c>
      <c r="L51" s="362">
        <f>IFERROR(VLOOKUP(C51,'تقرير المصروفات حسب الشهر'!$C$1016:$AD$1126,20,FALSE),0)</f>
        <v>0</v>
      </c>
      <c r="M51" s="376">
        <f>IFERROR(VLOOKUP(C51,'تقرير المصروفات حسب الشهر'!$C$1143:$AD$1254,20,FALSE),0)</f>
        <v>0</v>
      </c>
      <c r="N51" s="376">
        <f>IFERROR(VLOOKUP(C51,'تقرير المصروفات حسب الشهر'!$C$1270:$AD$1381,20,FALSE),0)</f>
        <v>0</v>
      </c>
      <c r="O51" s="376">
        <f>IFERROR(VLOOKUP(C51,'تقرير المصروفات حسب الشهر'!$C$1397:$AI$1512,20,FALSE),0)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الشهر'!$C$10:$AD$119,20,FALSE),0)</f>
        <v>0</v>
      </c>
      <c r="E52" s="362">
        <f>IFERROR(VLOOKUP(C52,'تقرير المصروفات حسب الشهر'!$C$135:$AD$244,20,FALSE),0)</f>
        <v>0</v>
      </c>
      <c r="F52" s="362">
        <f>IFERROR(VLOOKUP(C52,'تقرير المصروفات حسب الشهر'!$C$261:$AD$368,20,FALSE),0)</f>
        <v>0</v>
      </c>
      <c r="G52" s="362">
        <f>IFERROR(VLOOKUP(C52,'تقرير المصروفات حسب الشهر'!$C$387:$AD$495,20,FALSE),0)</f>
        <v>2000</v>
      </c>
      <c r="H52" s="362">
        <f>IFERROR(VLOOKUP(C52,'تقرير المصروفات حسب الشهر'!$C$512:$AD$620,20,FALSE),0)</f>
        <v>0</v>
      </c>
      <c r="I52" s="362">
        <f>IFERROR(VLOOKUP(C52,'تقرير المصروفات حسب الشهر'!$C$637:$AD$746,20,FALSE),0)</f>
        <v>0</v>
      </c>
      <c r="J52" s="362">
        <f>IFERROR(VLOOKUP(C52,'تقرير المصروفات حسب الشهر'!$C$763:$AD$872,20,FALSE),0)</f>
        <v>0</v>
      </c>
      <c r="K52" s="362">
        <f>IFERROR(VLOOKUP(C52,'تقرير المصروفات حسب الشهر'!$C$890:$AD$999,20,FALSE),0)</f>
        <v>0</v>
      </c>
      <c r="L52" s="362">
        <f>IFERROR(VLOOKUP(C52,'تقرير المصروفات حسب الشهر'!$C$1016:$AD$1126,20,FALSE),0)</f>
        <v>0</v>
      </c>
      <c r="M52" s="376">
        <f>IFERROR(VLOOKUP(C52,'تقرير المصروفات حسب الشهر'!$C$1143:$AD$1254,20,FALSE),0)</f>
        <v>0</v>
      </c>
      <c r="N52" s="376">
        <f>IFERROR(VLOOKUP(C52,'تقرير المصروفات حسب الشهر'!$C$1270:$AD$1381,20,FALSE),0)</f>
        <v>0</v>
      </c>
      <c r="O52" s="376">
        <f>IFERROR(VLOOKUP(C52,'تقرير المصروفات حسب الشهر'!$C$1397:$AI$1512,20,FALSE),0)</f>
        <v>0</v>
      </c>
      <c r="P52" s="364">
        <f t="shared" si="5"/>
        <v>2000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الشهر'!$C$10:$AD$119,20,FALSE),0)</f>
        <v>0</v>
      </c>
      <c r="E53" s="362">
        <f>IFERROR(VLOOKUP(C53,'تقرير المصروفات حسب الشهر'!$C$135:$AD$244,20,FALSE),0)</f>
        <v>0</v>
      </c>
      <c r="F53" s="362">
        <f>IFERROR(VLOOKUP(C53,'تقرير المصروفات حسب الشهر'!$C$261:$AD$368,20,FALSE),0)</f>
        <v>0</v>
      </c>
      <c r="G53" s="362">
        <f>IFERROR(VLOOKUP(C53,'تقرير المصروفات حسب الشهر'!$C$387:$AD$495,20,FALSE),0)</f>
        <v>0</v>
      </c>
      <c r="H53" s="362">
        <f>IFERROR(VLOOKUP(C53,'تقرير المصروفات حسب الشهر'!$C$512:$AD$620,20,FALSE),0)</f>
        <v>0</v>
      </c>
      <c r="I53" s="362">
        <f>IFERROR(VLOOKUP(C53,'تقرير المصروفات حسب الشهر'!$C$637:$AD$746,20,FALSE),0)</f>
        <v>0</v>
      </c>
      <c r="J53" s="362">
        <f>IFERROR(VLOOKUP(C53,'تقرير المصروفات حسب الشهر'!$C$763:$AD$872,20,FALSE),0)</f>
        <v>0</v>
      </c>
      <c r="K53" s="362">
        <f>IFERROR(VLOOKUP(C53,'تقرير المصروفات حسب الشهر'!$C$890:$AD$999,20,FALSE),0)</f>
        <v>0</v>
      </c>
      <c r="L53" s="362">
        <f>IFERROR(VLOOKUP(C53,'تقرير المصروفات حسب الشهر'!$C$1016:$AD$1126,20,FALSE),0)</f>
        <v>0</v>
      </c>
      <c r="M53" s="376">
        <f>IFERROR(VLOOKUP(C53,'تقرير المصروفات حسب الشهر'!$C$1143:$AD$1254,20,FALSE),0)</f>
        <v>0</v>
      </c>
      <c r="N53" s="376">
        <f>IFERROR(VLOOKUP(C53,'تقرير المصروفات حسب الشهر'!$C$1270:$AD$1381,20,FALSE),0)</f>
        <v>0</v>
      </c>
      <c r="O53" s="376">
        <f>IFERROR(VLOOKUP(C53,'تقرير المصروفات حسب الشهر'!$C$1397:$AI$1512,20,FALSE),0)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الشهر'!$C$10:$AD$119,20,FALSE),0)</f>
        <v>600</v>
      </c>
      <c r="E54" s="362">
        <f>IFERROR(VLOOKUP(C54,'تقرير المصروفات حسب الشهر'!$C$135:$AD$244,20,FALSE),0)</f>
        <v>0</v>
      </c>
      <c r="F54" s="362">
        <f>IFERROR(VLOOKUP(C54,'تقرير المصروفات حسب الشهر'!$C$261:$AD$368,20,FALSE),0)</f>
        <v>0</v>
      </c>
      <c r="G54" s="362">
        <f>IFERROR(VLOOKUP(C54,'تقرير المصروفات حسب الشهر'!$C$387:$AD$495,20,FALSE),0)</f>
        <v>0</v>
      </c>
      <c r="H54" s="362">
        <f>IFERROR(VLOOKUP(C54,'تقرير المصروفات حسب الشهر'!$C$512:$AD$620,20,FALSE),0)</f>
        <v>0</v>
      </c>
      <c r="I54" s="362">
        <f>IFERROR(VLOOKUP(C54,'تقرير المصروفات حسب الشهر'!$C$637:$AD$746,20,FALSE),0)</f>
        <v>0</v>
      </c>
      <c r="J54" s="362">
        <f>IFERROR(VLOOKUP(C54,'تقرير المصروفات حسب الشهر'!$C$763:$AD$872,20,FALSE),0)</f>
        <v>400</v>
      </c>
      <c r="K54" s="362">
        <f>IFERROR(VLOOKUP(C54,'تقرير المصروفات حسب الشهر'!$C$890:$AD$999,20,FALSE),0)</f>
        <v>0</v>
      </c>
      <c r="L54" s="362">
        <f>IFERROR(VLOOKUP(C54,'تقرير المصروفات حسب الشهر'!$C$1016:$AD$1126,20,FALSE),0)</f>
        <v>0</v>
      </c>
      <c r="M54" s="376">
        <f>IFERROR(VLOOKUP(C54,'تقرير المصروفات حسب الشهر'!$C$1143:$AD$1254,20,FALSE),0)</f>
        <v>200</v>
      </c>
      <c r="N54" s="376">
        <f>IFERROR(VLOOKUP(C54,'تقرير المصروفات حسب الشهر'!$C$1270:$AD$1381,20,FALSE),0)</f>
        <v>0</v>
      </c>
      <c r="O54" s="376">
        <f>IFERROR(VLOOKUP(C54,'تقرير المصروفات حسب الشهر'!$C$1397:$AI$1512,20,FALSE),0)</f>
        <v>0</v>
      </c>
      <c r="P54" s="364">
        <f t="shared" si="5"/>
        <v>1200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الشهر'!$C$10:$AD$119,20,FALSE),0)</f>
        <v>0</v>
      </c>
      <c r="E55" s="362">
        <f>IFERROR(VLOOKUP(C55,'تقرير المصروفات حسب الشهر'!$C$135:$AD$244,20,FALSE),0)</f>
        <v>0</v>
      </c>
      <c r="F55" s="362">
        <f>IFERROR(VLOOKUP(C55,'تقرير المصروفات حسب الشهر'!$C$261:$AD$368,20,FALSE),0)</f>
        <v>0</v>
      </c>
      <c r="G55" s="362">
        <f>IFERROR(VLOOKUP(C55,'تقرير المصروفات حسب الشهر'!$C$387:$AD$495,20,FALSE),0)</f>
        <v>0</v>
      </c>
      <c r="H55" s="362">
        <f>IFERROR(VLOOKUP(C55,'تقرير المصروفات حسب الشهر'!$C$512:$AD$620,20,FALSE),0)</f>
        <v>0</v>
      </c>
      <c r="I55" s="362">
        <f>IFERROR(VLOOKUP(C55,'تقرير المصروفات حسب الشهر'!$C$637:$AD$746,20,FALSE),0)</f>
        <v>0</v>
      </c>
      <c r="J55" s="362">
        <f>IFERROR(VLOOKUP(C55,'تقرير المصروفات حسب الشهر'!$C$763:$AD$872,20,FALSE),0)</f>
        <v>0</v>
      </c>
      <c r="K55" s="362">
        <f>IFERROR(VLOOKUP(C55,'تقرير المصروفات حسب الشهر'!$C$890:$AD$999,20,FALSE),0)</f>
        <v>0</v>
      </c>
      <c r="L55" s="362">
        <f>IFERROR(VLOOKUP(C55,'تقرير المصروفات حسب الشهر'!$C$1016:$AD$1126,20,FALSE),0)</f>
        <v>0</v>
      </c>
      <c r="M55" s="376">
        <f>IFERROR(VLOOKUP(C55,'تقرير المصروفات حسب الشهر'!$C$1143:$AD$1254,20,FALSE),0)</f>
        <v>0</v>
      </c>
      <c r="N55" s="376">
        <f>IFERROR(VLOOKUP(C55,'تقرير المصروفات حسب الشهر'!$C$1270:$AD$1381,20,FALSE),0)</f>
        <v>0</v>
      </c>
      <c r="O55" s="376">
        <f>IFERROR(VLOOKUP(C55,'تقرير المصروفات حسب الشهر'!$C$1397:$AI$1512,20,FALSE),0)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الشهر'!$C$10:$AD$119,20,FALSE),0)</f>
        <v>0</v>
      </c>
      <c r="E56" s="362">
        <f>IFERROR(VLOOKUP(C56,'تقرير المصروفات حسب الشهر'!$C$135:$AD$244,20,FALSE),0)</f>
        <v>0</v>
      </c>
      <c r="F56" s="362">
        <f>IFERROR(VLOOKUP(C56,'تقرير المصروفات حسب الشهر'!$C$261:$AD$368,20,FALSE),0)</f>
        <v>0</v>
      </c>
      <c r="G56" s="362">
        <f>IFERROR(VLOOKUP(C56,'تقرير المصروفات حسب الشهر'!$C$387:$AD$495,20,FALSE),0)</f>
        <v>0</v>
      </c>
      <c r="H56" s="362">
        <f>IFERROR(VLOOKUP(C56,'تقرير المصروفات حسب الشهر'!$C$512:$AD$620,20,FALSE),0)</f>
        <v>0</v>
      </c>
      <c r="I56" s="362">
        <f>IFERROR(VLOOKUP(C56,'تقرير المصروفات حسب الشهر'!$C$637:$AD$746,20,FALSE),0)</f>
        <v>0</v>
      </c>
      <c r="J56" s="362">
        <f>IFERROR(VLOOKUP(C56,'تقرير المصروفات حسب الشهر'!$C$763:$AD$872,20,FALSE),0)</f>
        <v>0</v>
      </c>
      <c r="K56" s="362">
        <f>IFERROR(VLOOKUP(C56,'تقرير المصروفات حسب الشهر'!$C$890:$AD$999,20,FALSE),0)</f>
        <v>0</v>
      </c>
      <c r="L56" s="362">
        <f>IFERROR(VLOOKUP(C56,'تقرير المصروفات حسب الشهر'!$C$1016:$AD$1126,20,FALSE),0)</f>
        <v>0</v>
      </c>
      <c r="M56" s="376">
        <f>IFERROR(VLOOKUP(C56,'تقرير المصروفات حسب الشهر'!$C$1143:$AD$1254,20,FALSE),0)</f>
        <v>0</v>
      </c>
      <c r="N56" s="376">
        <f>IFERROR(VLOOKUP(C56,'تقرير المصروفات حسب الشهر'!$C$1270:$AD$1381,20,FALSE),0)</f>
        <v>0</v>
      </c>
      <c r="O56" s="376">
        <f>IFERROR(VLOOKUP(C56,'تقرير المصروفات حسب الشهر'!$C$1397:$AI$1512,20,FALSE),0)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الشهر'!$C$10:$AD$119,20,FALSE),0)</f>
        <v>0</v>
      </c>
      <c r="E57" s="362">
        <f>IFERROR(VLOOKUP(C57,'تقرير المصروفات حسب الشهر'!$C$135:$AD$244,20,FALSE),0)</f>
        <v>0</v>
      </c>
      <c r="F57" s="362">
        <f>IFERROR(VLOOKUP(C57,'تقرير المصروفات حسب الشهر'!$C$261:$AD$368,20,FALSE),0)</f>
        <v>0</v>
      </c>
      <c r="G57" s="362">
        <f>IFERROR(VLOOKUP(C57,'تقرير المصروفات حسب الشهر'!$C$387:$AD$495,20,FALSE),0)</f>
        <v>0</v>
      </c>
      <c r="H57" s="362">
        <f>IFERROR(VLOOKUP(C57,'تقرير المصروفات حسب الشهر'!$C$512:$AD$620,20,FALSE),0)</f>
        <v>0</v>
      </c>
      <c r="I57" s="362">
        <f>IFERROR(VLOOKUP(C57,'تقرير المصروفات حسب الشهر'!$C$637:$AD$746,20,FALSE),0)</f>
        <v>0</v>
      </c>
      <c r="J57" s="362">
        <f>IFERROR(VLOOKUP(C57,'تقرير المصروفات حسب الشهر'!$C$763:$AD$872,20,FALSE),0)</f>
        <v>0</v>
      </c>
      <c r="K57" s="362">
        <f>IFERROR(VLOOKUP(C57,'تقرير المصروفات حسب الشهر'!$C$890:$AD$999,20,FALSE),0)</f>
        <v>0</v>
      </c>
      <c r="L57" s="362">
        <f>IFERROR(VLOOKUP(C57,'تقرير المصروفات حسب الشهر'!$C$1016:$AD$1126,20,FALSE),0)</f>
        <v>0</v>
      </c>
      <c r="M57" s="376">
        <f>IFERROR(VLOOKUP(C57,'تقرير المصروفات حسب الشهر'!$C$1143:$AD$1254,20,FALSE),0)</f>
        <v>0</v>
      </c>
      <c r="N57" s="376">
        <f>IFERROR(VLOOKUP(C57,'تقرير المصروفات حسب الشهر'!$C$1270:$AD$1381,20,FALSE),0)</f>
        <v>0</v>
      </c>
      <c r="O57" s="376">
        <f>IFERROR(VLOOKUP(C57,'تقرير المصروفات حسب الشهر'!$C$1397:$AI$1512,20,FALSE),0)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الشهر'!$C$10:$AD$119,20,FALSE),0)</f>
        <v>0</v>
      </c>
      <c r="E58" s="362">
        <f>IFERROR(VLOOKUP(C58,'تقرير المصروفات حسب الشهر'!$C$135:$AD$244,20,FALSE),0)</f>
        <v>0</v>
      </c>
      <c r="F58" s="362">
        <f>IFERROR(VLOOKUP(C58,'تقرير المصروفات حسب الشهر'!$C$261:$AD$368,20,FALSE),0)</f>
        <v>0</v>
      </c>
      <c r="G58" s="362">
        <f>IFERROR(VLOOKUP(C58,'تقرير المصروفات حسب الشهر'!$C$387:$AD$495,20,FALSE),0)</f>
        <v>0</v>
      </c>
      <c r="H58" s="362">
        <f>IFERROR(VLOOKUP(C58,'تقرير المصروفات حسب الشهر'!$C$512:$AD$620,20,FALSE),0)</f>
        <v>0</v>
      </c>
      <c r="I58" s="362">
        <f>IFERROR(VLOOKUP(C58,'تقرير المصروفات حسب الشهر'!$C$637:$AD$746,20,FALSE),0)</f>
        <v>0</v>
      </c>
      <c r="J58" s="362">
        <f>IFERROR(VLOOKUP(C58,'تقرير المصروفات حسب الشهر'!$C$763:$AD$872,20,FALSE),0)</f>
        <v>0</v>
      </c>
      <c r="K58" s="362">
        <f>IFERROR(VLOOKUP(C58,'تقرير المصروفات حسب الشهر'!$C$890:$AD$999,20,FALSE),0)</f>
        <v>0</v>
      </c>
      <c r="L58" s="362">
        <f>IFERROR(VLOOKUP(C58,'تقرير المصروفات حسب الشهر'!$C$1016:$AD$1126,20,FALSE),0)</f>
        <v>0</v>
      </c>
      <c r="M58" s="376">
        <f>IFERROR(VLOOKUP(C58,'تقرير المصروفات حسب الشهر'!$C$1143:$AD$1254,20,FALSE),0)</f>
        <v>0</v>
      </c>
      <c r="N58" s="376">
        <f>IFERROR(VLOOKUP(C58,'تقرير المصروفات حسب الشهر'!$C$1270:$AD$1381,20,FALSE),0)</f>
        <v>0</v>
      </c>
      <c r="O58" s="376">
        <f>IFERROR(VLOOKUP(C58,'تقرير المصروفات حسب الشهر'!$C$1397:$AI$1512,20,FALSE),0)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الشهر'!$C$10:$AD$119,20,FALSE),0)</f>
        <v>0</v>
      </c>
      <c r="E59" s="362">
        <f>IFERROR(VLOOKUP(C59,'تقرير المصروفات حسب الشهر'!$C$135:$AD$244,20,FALSE),0)</f>
        <v>899.5</v>
      </c>
      <c r="F59" s="362">
        <f>IFERROR(VLOOKUP(C59,'تقرير المصروفات حسب الشهر'!$C$261:$AD$368,20,FALSE),0)</f>
        <v>888.5</v>
      </c>
      <c r="G59" s="362">
        <f>IFERROR(VLOOKUP(C59,'تقرير المصروفات حسب الشهر'!$C$387:$AD$495,20,FALSE),0)</f>
        <v>2088.5</v>
      </c>
      <c r="H59" s="362">
        <f>IFERROR(VLOOKUP(C59,'تقرير المصروفات حسب الشهر'!$C$512:$AD$620,20,FALSE),0)</f>
        <v>0</v>
      </c>
      <c r="I59" s="362">
        <f>IFERROR(VLOOKUP(C59,'تقرير المصروفات حسب الشهر'!$C$637:$AD$746,20,FALSE),0)</f>
        <v>1900.5</v>
      </c>
      <c r="J59" s="362">
        <f>IFERROR(VLOOKUP(C59,'تقرير المصروفات حسب الشهر'!$C$763:$AD$872,20,FALSE),0)</f>
        <v>1300.25</v>
      </c>
      <c r="K59" s="362">
        <f>IFERROR(VLOOKUP(C59,'تقرير المصروفات حسب الشهر'!$C$890:$AD$999,20,FALSE),0)</f>
        <v>0</v>
      </c>
      <c r="L59" s="362">
        <f>IFERROR(VLOOKUP(C59,'تقرير المصروفات حسب الشهر'!$C$1016:$AD$1126,20,FALSE),0)</f>
        <v>2888.25</v>
      </c>
      <c r="M59" s="376">
        <f>IFERROR(VLOOKUP(C59,'تقرير المصروفات حسب الشهر'!$C$1143:$AD$1254,20,FALSE),0)</f>
        <v>1600</v>
      </c>
      <c r="N59" s="376">
        <f>IFERROR(VLOOKUP(C59,'تقرير المصروفات حسب الشهر'!$C$1270:$AD$1381,20,FALSE),0)</f>
        <v>2200</v>
      </c>
      <c r="O59" s="376">
        <f>IFERROR(VLOOKUP(C59,'تقرير المصروفات حسب الشهر'!$C$1397:$AI$1512,20,FALSE),0)</f>
        <v>900.25</v>
      </c>
      <c r="P59" s="364">
        <f t="shared" si="5"/>
        <v>14665.75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الشهر'!$C$10:$AD$119,20,FALSE),0)</f>
        <v>0</v>
      </c>
      <c r="E60" s="362">
        <f>IFERROR(VLOOKUP(C60,'تقرير المصروفات حسب الشهر'!$C$135:$AD$244,20,FALSE),0)</f>
        <v>0</v>
      </c>
      <c r="F60" s="362">
        <f>IFERROR(VLOOKUP(C60,'تقرير المصروفات حسب الشهر'!$C$261:$AD$368,20,FALSE),0)</f>
        <v>0</v>
      </c>
      <c r="G60" s="362">
        <f>IFERROR(VLOOKUP(C60,'تقرير المصروفات حسب الشهر'!$C$387:$AD$495,20,FALSE),0)</f>
        <v>0</v>
      </c>
      <c r="H60" s="362">
        <f>IFERROR(VLOOKUP(C60,'تقرير المصروفات حسب الشهر'!$C$512:$AD$620,20,FALSE),0)</f>
        <v>0</v>
      </c>
      <c r="I60" s="362">
        <f>IFERROR(VLOOKUP(C60,'تقرير المصروفات حسب الشهر'!$C$637:$AD$746,20,FALSE),0)</f>
        <v>0</v>
      </c>
      <c r="J60" s="362">
        <f>IFERROR(VLOOKUP(C60,'تقرير المصروفات حسب الشهر'!$C$763:$AD$872,20,FALSE),0)</f>
        <v>0</v>
      </c>
      <c r="K60" s="362">
        <f>IFERROR(VLOOKUP(C60,'تقرير المصروفات حسب الشهر'!$C$890:$AD$999,20,FALSE),0)</f>
        <v>1650</v>
      </c>
      <c r="L60" s="362">
        <f>IFERROR(VLOOKUP(C60,'تقرير المصروفات حسب الشهر'!$C$1016:$AD$1126,20,FALSE),0)</f>
        <v>0</v>
      </c>
      <c r="M60" s="376">
        <f>IFERROR(VLOOKUP(C60,'تقرير المصروفات حسب الشهر'!$C$1143:$AD$1254,20,FALSE),0)</f>
        <v>0</v>
      </c>
      <c r="N60" s="376">
        <f>IFERROR(VLOOKUP(C60,'تقرير المصروفات حسب الشهر'!$C$1270:$AD$1381,20,FALSE),0)</f>
        <v>0</v>
      </c>
      <c r="O60" s="376">
        <f>IFERROR(VLOOKUP(C60,'تقرير المصروفات حسب الشهر'!$C$1397:$AI$1512,20,FALSE),0)</f>
        <v>4620</v>
      </c>
      <c r="P60" s="364">
        <f t="shared" si="5"/>
        <v>6270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الشهر'!$C$10:$AD$119,20,FALSE),0)</f>
        <v>0</v>
      </c>
      <c r="E61" s="362">
        <f>IFERROR(VLOOKUP(C61,'تقرير المصروفات حسب الشهر'!$C$135:$AD$244,20,FALSE),0)</f>
        <v>0</v>
      </c>
      <c r="F61" s="362">
        <f>IFERROR(VLOOKUP(C61,'تقرير المصروفات حسب الشهر'!$C$261:$AD$368,20,FALSE),0)</f>
        <v>0</v>
      </c>
      <c r="G61" s="362">
        <f>IFERROR(VLOOKUP(C61,'تقرير المصروفات حسب الشهر'!$C$387:$AD$495,20,FALSE),0)</f>
        <v>0</v>
      </c>
      <c r="H61" s="362">
        <f>IFERROR(VLOOKUP(C61,'تقرير المصروفات حسب الشهر'!$C$512:$AD$620,20,FALSE),0)</f>
        <v>0</v>
      </c>
      <c r="I61" s="362">
        <f>IFERROR(VLOOKUP(C61,'تقرير المصروفات حسب الشهر'!$C$637:$AD$746,20,FALSE),0)</f>
        <v>0</v>
      </c>
      <c r="J61" s="362">
        <f>IFERROR(VLOOKUP(C61,'تقرير المصروفات حسب الشهر'!$C$763:$AD$872,20,FALSE),0)</f>
        <v>0</v>
      </c>
      <c r="K61" s="362">
        <f>IFERROR(VLOOKUP(C61,'تقرير المصروفات حسب الشهر'!$C$890:$AD$999,20,FALSE),0)</f>
        <v>0</v>
      </c>
      <c r="L61" s="362">
        <f>IFERROR(VLOOKUP(C61,'تقرير المصروفات حسب الشهر'!$C$1016:$AD$1126,20,FALSE),0)</f>
        <v>350</v>
      </c>
      <c r="M61" s="376">
        <f>IFERROR(VLOOKUP(C61,'تقرير المصروفات حسب الشهر'!$C$1143:$AD$1254,20,FALSE),0)</f>
        <v>0</v>
      </c>
      <c r="N61" s="376">
        <f>IFERROR(VLOOKUP(C61,'تقرير المصروفات حسب الشهر'!$C$1270:$AD$1381,20,FALSE),0)</f>
        <v>0</v>
      </c>
      <c r="O61" s="376">
        <f>IFERROR(VLOOKUP(C61,'تقرير المصروفات حسب الشهر'!$C$1397:$AI$1512,20,FALSE),0)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الشهر'!$C$10:$AD$119,20,FALSE),0)</f>
        <v>0</v>
      </c>
      <c r="E62" s="362">
        <f>IFERROR(VLOOKUP(C62,'تقرير المصروفات حسب الشهر'!$C$135:$AD$244,20,FALSE),0)</f>
        <v>0</v>
      </c>
      <c r="F62" s="362">
        <f>IFERROR(VLOOKUP(C62,'تقرير المصروفات حسب الشهر'!$C$261:$AD$368,20,FALSE),0)</f>
        <v>0</v>
      </c>
      <c r="G62" s="362">
        <f>IFERROR(VLOOKUP(C62,'تقرير المصروفات حسب الشهر'!$C$387:$AD$495,20,FALSE),0)</f>
        <v>0</v>
      </c>
      <c r="H62" s="362">
        <f>IFERROR(VLOOKUP(C62,'تقرير المصروفات حسب الشهر'!$C$512:$AD$620,20,FALSE),0)</f>
        <v>0</v>
      </c>
      <c r="I62" s="362">
        <f>IFERROR(VLOOKUP(C62,'تقرير المصروفات حسب الشهر'!$C$637:$AD$746,20,FALSE),0)</f>
        <v>0</v>
      </c>
      <c r="J62" s="362">
        <f>IFERROR(VLOOKUP(C62,'تقرير المصروفات حسب الشهر'!$C$763:$AD$872,20,FALSE),0)</f>
        <v>0</v>
      </c>
      <c r="K62" s="362">
        <f>IFERROR(VLOOKUP(C62,'تقرير المصروفات حسب الشهر'!$C$890:$AD$999,20,FALSE),0)</f>
        <v>0</v>
      </c>
      <c r="L62" s="362">
        <f>IFERROR(VLOOKUP(C62,'تقرير المصروفات حسب الشهر'!$C$1016:$AD$1126,20,FALSE),0)</f>
        <v>0</v>
      </c>
      <c r="M62" s="376">
        <f>IFERROR(VLOOKUP(C62,'تقرير المصروفات حسب الشهر'!$C$1143:$AD$1254,20,FALSE),0)</f>
        <v>0</v>
      </c>
      <c r="N62" s="376">
        <f>IFERROR(VLOOKUP(C62,'تقرير المصروفات حسب الشهر'!$C$1270:$AD$1381,20,FALSE),0)</f>
        <v>0</v>
      </c>
      <c r="O62" s="376">
        <f>IFERROR(VLOOKUP(C62,'تقرير المصروفات حسب الشهر'!$C$1397:$AI$1512,20,FALSE),0)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الشهر'!$C$10:$AD$119,20,FALSE),0)</f>
        <v>0</v>
      </c>
      <c r="E63" s="362">
        <f>IFERROR(VLOOKUP(C63,'تقرير المصروفات حسب الشهر'!$C$135:$AD$244,20,FALSE),0)</f>
        <v>0</v>
      </c>
      <c r="F63" s="362">
        <f>IFERROR(VLOOKUP(C63,'تقرير المصروفات حسب الشهر'!$C$261:$AD$368,20,FALSE),0)</f>
        <v>0</v>
      </c>
      <c r="G63" s="362">
        <f>IFERROR(VLOOKUP(C63,'تقرير المصروفات حسب الشهر'!$C$387:$AD$495,20,FALSE),0)</f>
        <v>0</v>
      </c>
      <c r="H63" s="362">
        <f>IFERROR(VLOOKUP(C63,'تقرير المصروفات حسب الشهر'!$C$512:$AD$620,20,FALSE),0)</f>
        <v>0</v>
      </c>
      <c r="I63" s="362">
        <f>IFERROR(VLOOKUP(C63,'تقرير المصروفات حسب الشهر'!$C$637:$AD$746,20,FALSE),0)</f>
        <v>0</v>
      </c>
      <c r="J63" s="362">
        <f>IFERROR(VLOOKUP(C63,'تقرير المصروفات حسب الشهر'!$C$763:$AD$872,20,FALSE),0)</f>
        <v>0</v>
      </c>
      <c r="K63" s="362">
        <f>IFERROR(VLOOKUP(C63,'تقرير المصروفات حسب الشهر'!$C$890:$AD$999,20,FALSE),0)</f>
        <v>0</v>
      </c>
      <c r="L63" s="362">
        <f>IFERROR(VLOOKUP(C63,'تقرير المصروفات حسب الشهر'!$C$1016:$AD$1126,20,FALSE),0)</f>
        <v>0</v>
      </c>
      <c r="M63" s="376">
        <f>IFERROR(VLOOKUP(C63,'تقرير المصروفات حسب الشهر'!$C$1143:$AD$1254,20,FALSE),0)</f>
        <v>0</v>
      </c>
      <c r="N63" s="376">
        <f>IFERROR(VLOOKUP(C63,'تقرير المصروفات حسب الشهر'!$C$1270:$AD$1381,20,FALSE),0)</f>
        <v>0</v>
      </c>
      <c r="O63" s="376">
        <f>IFERROR(VLOOKUP(C63,'تقرير المصروفات حسب الشهر'!$C$1397:$AI$1512,20,FALSE),0)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الشهر'!$C$10:$AD$119,20,FALSE),0)</f>
        <v>0</v>
      </c>
      <c r="E64" s="362">
        <f>IFERROR(VLOOKUP(C64,'تقرير المصروفات حسب الشهر'!$C$135:$AD$244,20,FALSE),0)</f>
        <v>0</v>
      </c>
      <c r="F64" s="362">
        <f>IFERROR(VLOOKUP(C64,'تقرير المصروفات حسب الشهر'!$C$261:$AD$368,20,FALSE),0)</f>
        <v>0</v>
      </c>
      <c r="G64" s="362">
        <f>IFERROR(VLOOKUP(C64,'تقرير المصروفات حسب الشهر'!$C$387:$AD$495,20,FALSE),0)</f>
        <v>0</v>
      </c>
      <c r="H64" s="362">
        <f>IFERROR(VLOOKUP(C64,'تقرير المصروفات حسب الشهر'!$C$512:$AD$620,20,FALSE),0)</f>
        <v>0</v>
      </c>
      <c r="I64" s="362">
        <f>IFERROR(VLOOKUP(C64,'تقرير المصروفات حسب الشهر'!$C$637:$AD$746,20,FALSE),0)</f>
        <v>0</v>
      </c>
      <c r="J64" s="362">
        <f>IFERROR(VLOOKUP(C64,'تقرير المصروفات حسب الشهر'!$C$763:$AD$872,20,FALSE),0)</f>
        <v>0</v>
      </c>
      <c r="K64" s="362">
        <f>IFERROR(VLOOKUP(C64,'تقرير المصروفات حسب الشهر'!$C$890:$AD$999,20,FALSE),0)</f>
        <v>0</v>
      </c>
      <c r="L64" s="362">
        <f>IFERROR(VLOOKUP(C64,'تقرير المصروفات حسب الشهر'!$C$1016:$AD$1126,20,FALSE),0)</f>
        <v>0</v>
      </c>
      <c r="M64" s="376">
        <f>IFERROR(VLOOKUP(C64,'تقرير المصروفات حسب الشهر'!$C$1143:$AD$1254,20,FALSE),0)</f>
        <v>0</v>
      </c>
      <c r="N64" s="376">
        <f>IFERROR(VLOOKUP(C64,'تقرير المصروفات حسب الشهر'!$C$1270:$AD$1381,20,FALSE),0)</f>
        <v>0</v>
      </c>
      <c r="O64" s="376">
        <f>IFERROR(VLOOKUP(C64,'تقرير المصروفات حسب الشهر'!$C$1397:$AI$1512,20,FALSE),0)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الشهر'!$C$10:$AD$119,20,FALSE),0)</f>
        <v>0</v>
      </c>
      <c r="E65" s="362">
        <f>IFERROR(VLOOKUP(C65,'تقرير المصروفات حسب الشهر'!$C$135:$AD$244,20,FALSE),0)</f>
        <v>0</v>
      </c>
      <c r="F65" s="362">
        <f>IFERROR(VLOOKUP(C65,'تقرير المصروفات حسب الشهر'!$C$261:$AD$368,20,FALSE),0)</f>
        <v>0</v>
      </c>
      <c r="G65" s="362">
        <f>IFERROR(VLOOKUP(C65,'تقرير المصروفات حسب الشهر'!$C$387:$AD$495,20,FALSE),0)</f>
        <v>0</v>
      </c>
      <c r="H65" s="362">
        <f>IFERROR(VLOOKUP(C65,'تقرير المصروفات حسب الشهر'!$C$512:$AD$620,20,FALSE),0)</f>
        <v>0</v>
      </c>
      <c r="I65" s="362">
        <f>IFERROR(VLOOKUP(C65,'تقرير المصروفات حسب الشهر'!$C$637:$AD$746,20,FALSE),0)</f>
        <v>0</v>
      </c>
      <c r="J65" s="362">
        <f>IFERROR(VLOOKUP(C65,'تقرير المصروفات حسب الشهر'!$C$763:$AD$872,20,FALSE),0)</f>
        <v>0</v>
      </c>
      <c r="K65" s="362">
        <f>IFERROR(VLOOKUP(C65,'تقرير المصروفات حسب الشهر'!$C$890:$AD$999,20,FALSE),0)</f>
        <v>0</v>
      </c>
      <c r="L65" s="362">
        <f>IFERROR(VLOOKUP(C65,'تقرير المصروفات حسب الشهر'!$C$1016:$AD$1126,20,FALSE),0)</f>
        <v>0</v>
      </c>
      <c r="M65" s="376">
        <f>IFERROR(VLOOKUP(C65,'تقرير المصروفات حسب الشهر'!$C$1143:$AD$1254,20,FALSE),0)</f>
        <v>0</v>
      </c>
      <c r="N65" s="376">
        <f>IFERROR(VLOOKUP(C65,'تقرير المصروفات حسب الشهر'!$C$1270:$AD$1381,20,FALSE),0)</f>
        <v>0</v>
      </c>
      <c r="O65" s="376">
        <f>IFERROR(VLOOKUP(C65,'تقرير المصروفات حسب الشهر'!$C$1397:$AI$1512,20,FALSE),0)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الشهر'!$C$10:$AD$119,20,FALSE),0)</f>
        <v>0</v>
      </c>
      <c r="E66" s="362">
        <f>IFERROR(VLOOKUP(C66,'تقرير المصروفات حسب الشهر'!$C$135:$AD$244,20,FALSE),0)</f>
        <v>0</v>
      </c>
      <c r="F66" s="362">
        <f>IFERROR(VLOOKUP(C66,'تقرير المصروفات حسب الشهر'!$C$261:$AD$368,20,FALSE),0)</f>
        <v>0</v>
      </c>
      <c r="G66" s="362">
        <f>IFERROR(VLOOKUP(C66,'تقرير المصروفات حسب الشهر'!$C$387:$AD$495,20,FALSE),0)</f>
        <v>0</v>
      </c>
      <c r="H66" s="362">
        <f>IFERROR(VLOOKUP(C66,'تقرير المصروفات حسب الشهر'!$C$512:$AD$620,20,FALSE),0)</f>
        <v>0</v>
      </c>
      <c r="I66" s="362">
        <f>IFERROR(VLOOKUP(C66,'تقرير المصروفات حسب الشهر'!$C$637:$AD$746,20,FALSE),0)</f>
        <v>0</v>
      </c>
      <c r="J66" s="362">
        <f>IFERROR(VLOOKUP(C66,'تقرير المصروفات حسب الشهر'!$C$763:$AD$872,20,FALSE),0)</f>
        <v>0</v>
      </c>
      <c r="K66" s="362">
        <f>IFERROR(VLOOKUP(C66,'تقرير المصروفات حسب الشهر'!$C$890:$AD$999,20,FALSE),0)</f>
        <v>0</v>
      </c>
      <c r="L66" s="362">
        <f>IFERROR(VLOOKUP(C66,'تقرير المصروفات حسب الشهر'!$C$1016:$AD$1126,20,FALSE),0)</f>
        <v>0</v>
      </c>
      <c r="M66" s="376">
        <f>IFERROR(VLOOKUP(C66,'تقرير المصروفات حسب الشهر'!$C$1143:$AD$1254,20,FALSE),0)</f>
        <v>0</v>
      </c>
      <c r="N66" s="376">
        <f>IFERROR(VLOOKUP(C66,'تقرير المصروفات حسب الشهر'!$C$1270:$AD$1381,20,FALSE),0)</f>
        <v>0</v>
      </c>
      <c r="O66" s="376">
        <f>IFERROR(VLOOKUP(C66,'تقرير المصروفات حسب الشهر'!$C$1397:$AI$1512,20,FALSE),0)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الشهر'!$C$10:$AD$119,20,FALSE),0)</f>
        <v>0</v>
      </c>
      <c r="E67" s="362">
        <f>IFERROR(VLOOKUP(C67,'تقرير المصروفات حسب الشهر'!$C$135:$AD$244,20,FALSE),0)</f>
        <v>0</v>
      </c>
      <c r="F67" s="362">
        <f>IFERROR(VLOOKUP(C67,'تقرير المصروفات حسب الشهر'!$C$261:$AD$368,20,FALSE),0)</f>
        <v>0</v>
      </c>
      <c r="G67" s="362">
        <f>IFERROR(VLOOKUP(C67,'تقرير المصروفات حسب الشهر'!$C$387:$AD$495,20,FALSE),0)</f>
        <v>0</v>
      </c>
      <c r="H67" s="362">
        <f>IFERROR(VLOOKUP(C67,'تقرير المصروفات حسب الشهر'!$C$512:$AD$620,20,FALSE),0)</f>
        <v>0</v>
      </c>
      <c r="I67" s="362">
        <f>IFERROR(VLOOKUP(C67,'تقرير المصروفات حسب الشهر'!$C$637:$AD$746,20,FALSE),0)</f>
        <v>0</v>
      </c>
      <c r="J67" s="362">
        <f>IFERROR(VLOOKUP(C67,'تقرير المصروفات حسب الشهر'!$C$763:$AD$872,20,FALSE),0)</f>
        <v>0</v>
      </c>
      <c r="K67" s="362">
        <f>IFERROR(VLOOKUP(C67,'تقرير المصروفات حسب الشهر'!$C$890:$AD$999,20,FALSE),0)</f>
        <v>0</v>
      </c>
      <c r="L67" s="362">
        <f>IFERROR(VLOOKUP(C67,'تقرير المصروفات حسب الشهر'!$C$1016:$AD$1126,20,FALSE),0)</f>
        <v>0</v>
      </c>
      <c r="M67" s="376">
        <f>IFERROR(VLOOKUP(C67,'تقرير المصروفات حسب الشهر'!$C$1143:$AD$1254,20,FALSE),0)</f>
        <v>0</v>
      </c>
      <c r="N67" s="376">
        <f>IFERROR(VLOOKUP(C67,'تقرير المصروفات حسب الشهر'!$C$1270:$AD$1381,20,FALSE),0)</f>
        <v>0</v>
      </c>
      <c r="O67" s="376">
        <f>IFERROR(VLOOKUP(C67,'تقرير المصروفات حسب الشهر'!$C$1397:$AI$1512,20,FALSE),0)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الشهر'!$C$10:$AD$119,20,FALSE),0)</f>
        <v>0</v>
      </c>
      <c r="E68" s="362">
        <f>IFERROR(VLOOKUP(C68,'تقرير المصروفات حسب الشهر'!$C$135:$AD$244,20,FALSE),0)</f>
        <v>0</v>
      </c>
      <c r="F68" s="362">
        <f>IFERROR(VLOOKUP(C68,'تقرير المصروفات حسب الشهر'!$C$261:$AD$368,20,FALSE),0)</f>
        <v>0</v>
      </c>
      <c r="G68" s="362">
        <f>IFERROR(VLOOKUP(C68,'تقرير المصروفات حسب الشهر'!$C$387:$AD$495,20,FALSE),0)</f>
        <v>0</v>
      </c>
      <c r="H68" s="362">
        <f>IFERROR(VLOOKUP(C68,'تقرير المصروفات حسب الشهر'!$C$512:$AD$620,20,FALSE),0)</f>
        <v>0</v>
      </c>
      <c r="I68" s="362">
        <f>IFERROR(VLOOKUP(C68,'تقرير المصروفات حسب الشهر'!$C$637:$AD$746,20,FALSE),0)</f>
        <v>0</v>
      </c>
      <c r="J68" s="362">
        <f>IFERROR(VLOOKUP(C68,'تقرير المصروفات حسب الشهر'!$C$763:$AD$872,20,FALSE),0)</f>
        <v>0</v>
      </c>
      <c r="K68" s="362">
        <f>IFERROR(VLOOKUP(C68,'تقرير المصروفات حسب الشهر'!$C$890:$AD$999,20,FALSE),0)</f>
        <v>0</v>
      </c>
      <c r="L68" s="362">
        <f>IFERROR(VLOOKUP(C68,'تقرير المصروفات حسب الشهر'!$C$1016:$AD$1126,20,FALSE),0)</f>
        <v>0</v>
      </c>
      <c r="M68" s="376">
        <f>IFERROR(VLOOKUP(C68,'تقرير المصروفات حسب الشهر'!$C$1143:$AD$1254,20,FALSE),0)</f>
        <v>0</v>
      </c>
      <c r="N68" s="376">
        <f>IFERROR(VLOOKUP(C68,'تقرير المصروفات حسب الشهر'!$C$1270:$AD$1381,20,FALSE),0)</f>
        <v>0</v>
      </c>
      <c r="O68" s="376">
        <f>IFERROR(VLOOKUP(C68,'تقرير المصروفات حسب الشهر'!$C$1397:$AI$1512,20,FALSE),0)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الشهر'!$C$10:$AD$119,20,FALSE),0)</f>
        <v>0</v>
      </c>
      <c r="E69" s="362">
        <f>IFERROR(VLOOKUP(C69,'تقرير المصروفات حسب الشهر'!$C$135:$AD$244,20,FALSE),0)</f>
        <v>0</v>
      </c>
      <c r="F69" s="362">
        <f>IFERROR(VLOOKUP(C69,'تقرير المصروفات حسب الشهر'!$C$261:$AD$368,20,FALSE),0)</f>
        <v>0</v>
      </c>
      <c r="G69" s="362">
        <f>IFERROR(VLOOKUP(C69,'تقرير المصروفات حسب الشهر'!$C$387:$AD$495,20,FALSE),0)</f>
        <v>0</v>
      </c>
      <c r="H69" s="362">
        <f>IFERROR(VLOOKUP(C69,'تقرير المصروفات حسب الشهر'!$C$512:$AD$620,20,FALSE),0)</f>
        <v>0</v>
      </c>
      <c r="I69" s="362">
        <f>IFERROR(VLOOKUP(C69,'تقرير المصروفات حسب الشهر'!$C$637:$AD$746,20,FALSE),0)</f>
        <v>0</v>
      </c>
      <c r="J69" s="362">
        <f>IFERROR(VLOOKUP(C69,'تقرير المصروفات حسب الشهر'!$C$763:$AD$872,20,FALSE),0)</f>
        <v>0</v>
      </c>
      <c r="K69" s="362">
        <f>IFERROR(VLOOKUP(C69,'تقرير المصروفات حسب الشهر'!$C$890:$AD$999,20,FALSE),0)</f>
        <v>0</v>
      </c>
      <c r="L69" s="362">
        <f>IFERROR(VLOOKUP(C69,'تقرير المصروفات حسب الشهر'!$C$1016:$AD$1126,20,FALSE),0)</f>
        <v>0</v>
      </c>
      <c r="M69" s="376">
        <f>IFERROR(VLOOKUP(C69,'تقرير المصروفات حسب الشهر'!$C$1143:$AD$1254,20,FALSE),0)</f>
        <v>0</v>
      </c>
      <c r="N69" s="376">
        <f>IFERROR(VLOOKUP(C69,'تقرير المصروفات حسب الشهر'!$C$1270:$AD$1381,20,FALSE),0)</f>
        <v>0</v>
      </c>
      <c r="O69" s="376">
        <f>IFERROR(VLOOKUP(C69,'تقرير المصروفات حسب الشهر'!$C$1397:$AI$1512,20,FALSE),0)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الشهر'!$C$10:$AD$119,20,FALSE),0)</f>
        <v>0</v>
      </c>
      <c r="E70" s="362">
        <f>IFERROR(VLOOKUP(C70,'تقرير المصروفات حسب الشهر'!$C$135:$AD$244,20,FALSE),0)</f>
        <v>0</v>
      </c>
      <c r="F70" s="362">
        <f>IFERROR(VLOOKUP(C70,'تقرير المصروفات حسب الشهر'!$C$261:$AD$368,20,FALSE),0)</f>
        <v>0</v>
      </c>
      <c r="G70" s="362">
        <f>IFERROR(VLOOKUP(C70,'تقرير المصروفات حسب الشهر'!$C$387:$AD$495,20,FALSE),0)</f>
        <v>0</v>
      </c>
      <c r="H70" s="362">
        <f>IFERROR(VLOOKUP(C70,'تقرير المصروفات حسب الشهر'!$C$512:$AD$620,20,FALSE),0)</f>
        <v>0</v>
      </c>
      <c r="I70" s="362">
        <f>IFERROR(VLOOKUP(C70,'تقرير المصروفات حسب الشهر'!$C$637:$AD$746,20,FALSE),0)</f>
        <v>0</v>
      </c>
      <c r="J70" s="362">
        <f>IFERROR(VLOOKUP(C70,'تقرير المصروفات حسب الشهر'!$C$763:$AD$872,20,FALSE),0)</f>
        <v>0</v>
      </c>
      <c r="K70" s="362">
        <f>IFERROR(VLOOKUP(C70,'تقرير المصروفات حسب الشهر'!$C$890:$AD$999,20,FALSE),0)</f>
        <v>0</v>
      </c>
      <c r="L70" s="362">
        <f>IFERROR(VLOOKUP(C70,'تقرير المصروفات حسب الشهر'!$C$1016:$AD$1126,20,FALSE),0)</f>
        <v>0</v>
      </c>
      <c r="M70" s="376">
        <f>IFERROR(VLOOKUP(C70,'تقرير المصروفات حسب الشهر'!$C$1143:$AD$1254,20,FALSE),0)</f>
        <v>0</v>
      </c>
      <c r="N70" s="376">
        <f>IFERROR(VLOOKUP(C70,'تقرير المصروفات حسب الشهر'!$C$1270:$AD$1381,20,FALSE),0)</f>
        <v>0</v>
      </c>
      <c r="O70" s="376">
        <f>IFERROR(VLOOKUP(C70,'تقرير المصروفات حسب الشهر'!$C$1397:$AI$1512,20,FALSE),0)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الشهر'!$C$10:$AD$119,20,FALSE),0)</f>
        <v>0</v>
      </c>
      <c r="E71" s="362">
        <f>IFERROR(VLOOKUP(C71,'تقرير المصروفات حسب الشهر'!$C$135:$AD$244,20,FALSE),0)</f>
        <v>0</v>
      </c>
      <c r="F71" s="362">
        <f>IFERROR(VLOOKUP(C71,'تقرير المصروفات حسب الشهر'!$C$261:$AD$368,20,FALSE),0)</f>
        <v>0</v>
      </c>
      <c r="G71" s="362">
        <f>IFERROR(VLOOKUP(C71,'تقرير المصروفات حسب الشهر'!$C$387:$AD$495,20,FALSE),0)</f>
        <v>0</v>
      </c>
      <c r="H71" s="362">
        <f>IFERROR(VLOOKUP(C71,'تقرير المصروفات حسب الشهر'!$C$512:$AD$620,20,FALSE),0)</f>
        <v>0</v>
      </c>
      <c r="I71" s="362">
        <f>IFERROR(VLOOKUP(C71,'تقرير المصروفات حسب الشهر'!$C$637:$AD$746,20,FALSE),0)</f>
        <v>0</v>
      </c>
      <c r="J71" s="362">
        <f>IFERROR(VLOOKUP(C71,'تقرير المصروفات حسب الشهر'!$C$763:$AD$872,20,FALSE),0)</f>
        <v>0</v>
      </c>
      <c r="K71" s="362">
        <f>IFERROR(VLOOKUP(C71,'تقرير المصروفات حسب الشهر'!$C$890:$AD$999,20,FALSE),0)</f>
        <v>0</v>
      </c>
      <c r="L71" s="362">
        <f>IFERROR(VLOOKUP(C71,'تقرير المصروفات حسب الشهر'!$C$1016:$AD$1126,20,FALSE),0)</f>
        <v>0</v>
      </c>
      <c r="M71" s="376">
        <f>IFERROR(VLOOKUP(C71,'تقرير المصروفات حسب الشهر'!$C$1143:$AD$1254,20,FALSE),0)</f>
        <v>0</v>
      </c>
      <c r="N71" s="376">
        <f>IFERROR(VLOOKUP(C71,'تقرير المصروفات حسب الشهر'!$C$1270:$AD$1381,20,FALSE),0)</f>
        <v>0</v>
      </c>
      <c r="O71" s="376">
        <f>IFERROR(VLOOKUP(C71,'تقرير المصروفات حسب الشهر'!$C$1397:$AI$1512,20,FALSE),0)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الشهر'!$C$10:$AD$119,20,FALSE),0)</f>
        <v>0</v>
      </c>
      <c r="E72" s="362">
        <f>IFERROR(VLOOKUP(C72,'تقرير المصروفات حسب الشهر'!$C$135:$AD$244,20,FALSE),0)</f>
        <v>0</v>
      </c>
      <c r="F72" s="362">
        <f>IFERROR(VLOOKUP(C72,'تقرير المصروفات حسب الشهر'!$C$261:$AD$368,20,FALSE),0)</f>
        <v>0</v>
      </c>
      <c r="G72" s="362">
        <f>IFERROR(VLOOKUP(C72,'تقرير المصروفات حسب الشهر'!$C$387:$AD$495,20,FALSE),0)</f>
        <v>0</v>
      </c>
      <c r="H72" s="362">
        <f>IFERROR(VLOOKUP(C72,'تقرير المصروفات حسب الشهر'!$C$512:$AD$620,20,FALSE),0)</f>
        <v>0</v>
      </c>
      <c r="I72" s="362">
        <f>IFERROR(VLOOKUP(C72,'تقرير المصروفات حسب الشهر'!$C$637:$AD$746,20,FALSE),0)</f>
        <v>0</v>
      </c>
      <c r="J72" s="362">
        <f>IFERROR(VLOOKUP(C72,'تقرير المصروفات حسب الشهر'!$C$763:$AD$872,20,FALSE),0)</f>
        <v>0</v>
      </c>
      <c r="K72" s="362">
        <f>IFERROR(VLOOKUP(C72,'تقرير المصروفات حسب الشهر'!$C$890:$AD$999,20,FALSE),0)</f>
        <v>0</v>
      </c>
      <c r="L72" s="362">
        <f>IFERROR(VLOOKUP(C72,'تقرير المصروفات حسب الشهر'!$C$1016:$AD$1126,20,FALSE),0)</f>
        <v>0</v>
      </c>
      <c r="M72" s="376">
        <f>IFERROR(VLOOKUP(C72,'تقرير المصروفات حسب الشهر'!$C$1143:$AD$1254,20,FALSE),0)</f>
        <v>0</v>
      </c>
      <c r="N72" s="376">
        <f>IFERROR(VLOOKUP(C72,'تقرير المصروفات حسب الشهر'!$C$1270:$AD$1381,20,FALSE),0)</f>
        <v>0</v>
      </c>
      <c r="O72" s="376">
        <f>IFERROR(VLOOKUP(C72,'تقرير المصروفات حسب الشهر'!$C$1397:$AI$1512,20,FALSE),0)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الشهر'!$C$10:$AD$119,20,FALSE),0)</f>
        <v>0</v>
      </c>
      <c r="E73" s="362">
        <f>IFERROR(VLOOKUP(C73,'تقرير المصروفات حسب الشهر'!$C$135:$AD$244,20,FALSE),0)</f>
        <v>0</v>
      </c>
      <c r="F73" s="362">
        <f>IFERROR(VLOOKUP(C73,'تقرير المصروفات حسب الشهر'!$C$261:$AD$368,20,FALSE),0)</f>
        <v>0</v>
      </c>
      <c r="G73" s="362">
        <f>IFERROR(VLOOKUP(C73,'تقرير المصروفات حسب الشهر'!$C$387:$AD$495,20,FALSE),0)</f>
        <v>0</v>
      </c>
      <c r="H73" s="362">
        <f>IFERROR(VLOOKUP(C73,'تقرير المصروفات حسب الشهر'!$C$512:$AD$620,20,FALSE),0)</f>
        <v>0</v>
      </c>
      <c r="I73" s="362">
        <f>IFERROR(VLOOKUP(C73,'تقرير المصروفات حسب الشهر'!$C$637:$AD$746,20,FALSE),0)</f>
        <v>0</v>
      </c>
      <c r="J73" s="362">
        <f>IFERROR(VLOOKUP(C73,'تقرير المصروفات حسب الشهر'!$C$763:$AD$872,20,FALSE),0)</f>
        <v>0</v>
      </c>
      <c r="K73" s="362">
        <f>IFERROR(VLOOKUP(C73,'تقرير المصروفات حسب الشهر'!$C$890:$AD$999,20,FALSE),0)</f>
        <v>0</v>
      </c>
      <c r="L73" s="362">
        <f>IFERROR(VLOOKUP(C73,'تقرير المصروفات حسب الشهر'!$C$1016:$AD$1126,20,FALSE),0)</f>
        <v>0</v>
      </c>
      <c r="M73" s="376">
        <f>IFERROR(VLOOKUP(C73,'تقرير المصروفات حسب الشهر'!$C$1143:$AD$1254,20,FALSE),0)</f>
        <v>0</v>
      </c>
      <c r="N73" s="376">
        <f>IFERROR(VLOOKUP(C73,'تقرير المصروفات حسب الشهر'!$C$1270:$AD$1381,20,FALSE),0)</f>
        <v>0</v>
      </c>
      <c r="O73" s="376">
        <f>IFERROR(VLOOKUP(C73,'تقرير المصروفات حسب الشهر'!$C$1397:$AI$1512,20,FALSE),0)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الشهر'!$C$10:$AD$119,20,FALSE),0)</f>
        <v>0</v>
      </c>
      <c r="E74" s="362">
        <f>IFERROR(VLOOKUP(C74,'تقرير المصروفات حسب الشهر'!$C$135:$AD$244,20,FALSE),0)</f>
        <v>0</v>
      </c>
      <c r="F74" s="362">
        <f>IFERROR(VLOOKUP(C74,'تقرير المصروفات حسب الشهر'!$C$261:$AD$368,20,FALSE),0)</f>
        <v>0</v>
      </c>
      <c r="G74" s="362">
        <f>IFERROR(VLOOKUP(C74,'تقرير المصروفات حسب الشهر'!$C$387:$AD$495,20,FALSE),0)</f>
        <v>0</v>
      </c>
      <c r="H74" s="362">
        <f>IFERROR(VLOOKUP(C74,'تقرير المصروفات حسب الشهر'!$C$512:$AD$620,20,FALSE),0)</f>
        <v>0</v>
      </c>
      <c r="I74" s="362">
        <f>IFERROR(VLOOKUP(C74,'تقرير المصروفات حسب الشهر'!$C$637:$AD$746,20,FALSE),0)</f>
        <v>0</v>
      </c>
      <c r="J74" s="362">
        <f>IFERROR(VLOOKUP(C74,'تقرير المصروفات حسب الشهر'!$C$763:$AD$872,20,FALSE),0)</f>
        <v>0</v>
      </c>
      <c r="K74" s="362">
        <f>IFERROR(VLOOKUP(C74,'تقرير المصروفات حسب الشهر'!$C$890:$AD$999,20,FALSE),0)</f>
        <v>0</v>
      </c>
      <c r="L74" s="362">
        <f>IFERROR(VLOOKUP(C74,'تقرير المصروفات حسب الشهر'!$C$1016:$AD$1126,20,FALSE),0)</f>
        <v>0</v>
      </c>
      <c r="M74" s="376">
        <f>IFERROR(VLOOKUP(C74,'تقرير المصروفات حسب الشهر'!$C$1143:$AD$1254,20,FALSE),0)</f>
        <v>0</v>
      </c>
      <c r="N74" s="376">
        <f>IFERROR(VLOOKUP(C74,'تقرير المصروفات حسب الشهر'!$C$1270:$AD$1381,20,FALSE),0)</f>
        <v>0</v>
      </c>
      <c r="O74" s="376">
        <f>IFERROR(VLOOKUP(C74,'تقرير المصروفات حسب الشهر'!$C$1397:$AI$1512,20,FALSE),0)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الشهر'!$C$10:$AD$119,20,FALSE),0)</f>
        <v>0</v>
      </c>
      <c r="E75" s="362">
        <f>IFERROR(VLOOKUP(C75,'تقرير المصروفات حسب الشهر'!$C$135:$AD$244,20,FALSE),0)</f>
        <v>0</v>
      </c>
      <c r="F75" s="362">
        <f>IFERROR(VLOOKUP(C75,'تقرير المصروفات حسب الشهر'!$C$261:$AD$368,20,FALSE),0)</f>
        <v>0</v>
      </c>
      <c r="G75" s="362">
        <f>IFERROR(VLOOKUP(C75,'تقرير المصروفات حسب الشهر'!$C$387:$AD$495,20,FALSE),0)</f>
        <v>0</v>
      </c>
      <c r="H75" s="362">
        <f>IFERROR(VLOOKUP(C75,'تقرير المصروفات حسب الشهر'!$C$512:$AD$620,20,FALSE),0)</f>
        <v>0</v>
      </c>
      <c r="I75" s="362">
        <f>IFERROR(VLOOKUP(C75,'تقرير المصروفات حسب الشهر'!$C$637:$AD$746,20,FALSE),0)</f>
        <v>0</v>
      </c>
      <c r="J75" s="362">
        <f>IFERROR(VLOOKUP(C75,'تقرير المصروفات حسب الشهر'!$C$763:$AD$872,20,FALSE),0)</f>
        <v>0</v>
      </c>
      <c r="K75" s="362">
        <f>IFERROR(VLOOKUP(C75,'تقرير المصروفات حسب الشهر'!$C$890:$AD$999,20,FALSE),0)</f>
        <v>0</v>
      </c>
      <c r="L75" s="362">
        <f>IFERROR(VLOOKUP(C75,'تقرير المصروفات حسب الشهر'!$C$1016:$AD$1126,20,FALSE),0)</f>
        <v>0</v>
      </c>
      <c r="M75" s="376">
        <f>IFERROR(VLOOKUP(C75,'تقرير المصروفات حسب الشهر'!$C$1143:$AD$1254,20,FALSE),0)</f>
        <v>0</v>
      </c>
      <c r="N75" s="376">
        <f>IFERROR(VLOOKUP(C75,'تقرير المصروفات حسب الشهر'!$C$1270:$AD$1381,20,FALSE),0)</f>
        <v>0</v>
      </c>
      <c r="O75" s="376">
        <f>IFERROR(VLOOKUP(C75,'تقرير المصروفات حسب الشهر'!$C$1397:$AI$1512,20,FALSE),0)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الشهر'!$C$10:$AD$119,20,FALSE),0)</f>
        <v>0</v>
      </c>
      <c r="E76" s="362">
        <f>IFERROR(VLOOKUP(C76,'تقرير المصروفات حسب الشهر'!$C$135:$AD$244,20,FALSE),0)</f>
        <v>0</v>
      </c>
      <c r="F76" s="362">
        <f>IFERROR(VLOOKUP(C76,'تقرير المصروفات حسب الشهر'!$C$261:$AD$368,20,FALSE),0)</f>
        <v>0</v>
      </c>
      <c r="G76" s="362">
        <f>IFERROR(VLOOKUP(C76,'تقرير المصروفات حسب الشهر'!$C$387:$AD$495,20,FALSE),0)</f>
        <v>0</v>
      </c>
      <c r="H76" s="362">
        <f>IFERROR(VLOOKUP(C76,'تقرير المصروفات حسب الشهر'!$C$512:$AD$620,20,FALSE),0)</f>
        <v>0</v>
      </c>
      <c r="I76" s="362">
        <f>IFERROR(VLOOKUP(C76,'تقرير المصروفات حسب الشهر'!$C$637:$AD$746,20,FALSE),0)</f>
        <v>0</v>
      </c>
      <c r="J76" s="362">
        <f>IFERROR(VLOOKUP(C76,'تقرير المصروفات حسب الشهر'!$C$763:$AD$872,20,FALSE),0)</f>
        <v>0</v>
      </c>
      <c r="K76" s="362">
        <f>IFERROR(VLOOKUP(C76,'تقرير المصروفات حسب الشهر'!$C$890:$AD$999,20,FALSE),0)</f>
        <v>0</v>
      </c>
      <c r="L76" s="362">
        <f>IFERROR(VLOOKUP(C76,'تقرير المصروفات حسب الشهر'!$C$1016:$AD$1126,20,FALSE),0)</f>
        <v>0</v>
      </c>
      <c r="M76" s="376">
        <f>IFERROR(VLOOKUP(C76,'تقرير المصروفات حسب الشهر'!$C$1143:$AD$1254,20,FALSE),0)</f>
        <v>0</v>
      </c>
      <c r="N76" s="376">
        <f>IFERROR(VLOOKUP(C76,'تقرير المصروفات حسب الشهر'!$C$1270:$AD$1381,20,FALSE),0)</f>
        <v>0</v>
      </c>
      <c r="O76" s="376">
        <f>IFERROR(VLOOKUP(C76,'تقرير المصروفات حسب الشهر'!$C$1397:$AI$1512,20,FALSE),0)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الشهر'!$C$10:$AD$119,20,FALSE),0)</f>
        <v>0</v>
      </c>
      <c r="E77" s="362">
        <f>IFERROR(VLOOKUP(C77,'تقرير المصروفات حسب الشهر'!$C$135:$AD$244,20,FALSE),0)</f>
        <v>0</v>
      </c>
      <c r="F77" s="362">
        <f>IFERROR(VLOOKUP(C77,'تقرير المصروفات حسب الشهر'!$C$261:$AD$368,20,FALSE),0)</f>
        <v>0</v>
      </c>
      <c r="G77" s="362">
        <f>IFERROR(VLOOKUP(C77,'تقرير المصروفات حسب الشهر'!$C$387:$AD$495,20,FALSE),0)</f>
        <v>0</v>
      </c>
      <c r="H77" s="362">
        <f>IFERROR(VLOOKUP(C77,'تقرير المصروفات حسب الشهر'!$C$512:$AD$620,20,FALSE),0)</f>
        <v>0</v>
      </c>
      <c r="I77" s="362">
        <f>IFERROR(VLOOKUP(C77,'تقرير المصروفات حسب الشهر'!$C$637:$AD$746,20,FALSE),0)</f>
        <v>0</v>
      </c>
      <c r="J77" s="362">
        <f>IFERROR(VLOOKUP(C77,'تقرير المصروفات حسب الشهر'!$C$763:$AD$872,20,FALSE),0)</f>
        <v>0</v>
      </c>
      <c r="K77" s="362">
        <f>IFERROR(VLOOKUP(C77,'تقرير المصروفات حسب الشهر'!$C$890:$AD$999,20,FALSE),0)</f>
        <v>0</v>
      </c>
      <c r="L77" s="362">
        <f>IFERROR(VLOOKUP(C77,'تقرير المصروفات حسب الشهر'!$C$1016:$AD$1126,20,FALSE),0)</f>
        <v>0</v>
      </c>
      <c r="M77" s="376">
        <f>IFERROR(VLOOKUP(C77,'تقرير المصروفات حسب الشهر'!$C$1143:$AD$1254,20,FALSE),0)</f>
        <v>0</v>
      </c>
      <c r="N77" s="376">
        <f>IFERROR(VLOOKUP(C77,'تقرير المصروفات حسب الشهر'!$C$1270:$AD$1381,20,FALSE),0)</f>
        <v>0</v>
      </c>
      <c r="O77" s="376">
        <f>IFERROR(VLOOKUP(C77,'تقرير المصروفات حسب الشهر'!$C$1397:$AI$1512,20,FALSE),0)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الشهر'!$C$10:$AD$119,20,FALSE),0)</f>
        <v>0</v>
      </c>
      <c r="E78" s="362">
        <f>IFERROR(VLOOKUP(C78,'تقرير المصروفات حسب الشهر'!$C$135:$AD$244,20,FALSE),0)</f>
        <v>0</v>
      </c>
      <c r="F78" s="362">
        <f>IFERROR(VLOOKUP(C78,'تقرير المصروفات حسب الشهر'!$C$261:$AD$368,20,FALSE),0)</f>
        <v>0</v>
      </c>
      <c r="G78" s="362">
        <f>IFERROR(VLOOKUP(C78,'تقرير المصروفات حسب الشهر'!$C$387:$AD$495,20,FALSE),0)</f>
        <v>0</v>
      </c>
      <c r="H78" s="362">
        <f>IFERROR(VLOOKUP(C78,'تقرير المصروفات حسب الشهر'!$C$512:$AD$620,20,FALSE),0)</f>
        <v>0</v>
      </c>
      <c r="I78" s="362">
        <f>IFERROR(VLOOKUP(C78,'تقرير المصروفات حسب الشهر'!$C$637:$AD$746,20,FALSE),0)</f>
        <v>0</v>
      </c>
      <c r="J78" s="362">
        <f>IFERROR(VLOOKUP(C78,'تقرير المصروفات حسب الشهر'!$C$763:$AD$872,20,FALSE),0)</f>
        <v>0</v>
      </c>
      <c r="K78" s="362">
        <f>IFERROR(VLOOKUP(C78,'تقرير المصروفات حسب الشهر'!$C$890:$AD$999,20,FALSE),0)</f>
        <v>0</v>
      </c>
      <c r="L78" s="362">
        <f>IFERROR(VLOOKUP(C78,'تقرير المصروفات حسب الشهر'!$C$1016:$AD$1126,20,FALSE),0)</f>
        <v>0</v>
      </c>
      <c r="M78" s="376">
        <f>IFERROR(VLOOKUP(C78,'تقرير المصروفات حسب الشهر'!$C$1143:$AD$1254,20,FALSE),0)</f>
        <v>0</v>
      </c>
      <c r="N78" s="376">
        <f>IFERROR(VLOOKUP(C78,'تقرير المصروفات حسب الشهر'!$C$1270:$AD$1381,20,FALSE),0)</f>
        <v>0</v>
      </c>
      <c r="O78" s="376">
        <f>IFERROR(VLOOKUP(C78,'تقرير المصروفات حسب الشهر'!$C$1397:$AI$1512,20,FALSE),0)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الشهر'!$C$10:$AD$119,20,FALSE),0)</f>
        <v>0</v>
      </c>
      <c r="E79" s="362">
        <f>IFERROR(VLOOKUP(C79,'تقرير المصروفات حسب الشهر'!$C$135:$AD$244,20,FALSE),0)</f>
        <v>0</v>
      </c>
      <c r="F79" s="362">
        <f>IFERROR(VLOOKUP(C79,'تقرير المصروفات حسب الشهر'!$C$261:$AD$368,20,FALSE),0)</f>
        <v>0</v>
      </c>
      <c r="G79" s="362">
        <f>IFERROR(VLOOKUP(C79,'تقرير المصروفات حسب الشهر'!$C$387:$AD$495,20,FALSE),0)</f>
        <v>0</v>
      </c>
      <c r="H79" s="362">
        <f>IFERROR(VLOOKUP(C79,'تقرير المصروفات حسب الشهر'!$C$512:$AD$620,20,FALSE),0)</f>
        <v>0</v>
      </c>
      <c r="I79" s="362">
        <f>IFERROR(VLOOKUP(C79,'تقرير المصروفات حسب الشهر'!$C$637:$AD$746,20,FALSE),0)</f>
        <v>0</v>
      </c>
      <c r="J79" s="362">
        <f>IFERROR(VLOOKUP(C79,'تقرير المصروفات حسب الشهر'!$C$763:$AD$872,20,FALSE),0)</f>
        <v>0</v>
      </c>
      <c r="K79" s="362">
        <f>IFERROR(VLOOKUP(C79,'تقرير المصروفات حسب الشهر'!$C$890:$AD$999,20,FALSE),0)</f>
        <v>0</v>
      </c>
      <c r="L79" s="362">
        <f>IFERROR(VLOOKUP(C79,'تقرير المصروفات حسب الشهر'!$C$1016:$AD$1126,20,FALSE),0)</f>
        <v>0</v>
      </c>
      <c r="M79" s="376">
        <f>IFERROR(VLOOKUP(C79,'تقرير المصروفات حسب الشهر'!$C$1143:$AD$1254,20,FALSE),0)</f>
        <v>0</v>
      </c>
      <c r="N79" s="376">
        <f>IFERROR(VLOOKUP(C79,'تقرير المصروفات حسب الشهر'!$C$1270:$AD$1381,20,FALSE),0)</f>
        <v>0</v>
      </c>
      <c r="O79" s="376">
        <f>IFERROR(VLOOKUP(C79,'تقرير المصروفات حسب الشهر'!$C$1397:$AI$1512,20,FALSE),0)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الشهر'!$C$10:$AD$119,20,FALSE),0)</f>
        <v>0</v>
      </c>
      <c r="E80" s="362">
        <f>IFERROR(VLOOKUP(C80,'تقرير المصروفات حسب الشهر'!$C$135:$AD$244,20,FALSE),0)</f>
        <v>0</v>
      </c>
      <c r="F80" s="362">
        <f>IFERROR(VLOOKUP(C80,'تقرير المصروفات حسب الشهر'!$C$261:$AD$368,20,FALSE),0)</f>
        <v>0</v>
      </c>
      <c r="G80" s="362">
        <f>IFERROR(VLOOKUP(C80,'تقرير المصروفات حسب الشهر'!$C$387:$AD$495,20,FALSE),0)</f>
        <v>0</v>
      </c>
      <c r="H80" s="362">
        <f>IFERROR(VLOOKUP(C80,'تقرير المصروفات حسب الشهر'!$C$512:$AD$620,20,FALSE),0)</f>
        <v>0</v>
      </c>
      <c r="I80" s="362">
        <f>IFERROR(VLOOKUP(C80,'تقرير المصروفات حسب الشهر'!$C$637:$AD$746,20,FALSE),0)</f>
        <v>0</v>
      </c>
      <c r="J80" s="362">
        <f>IFERROR(VLOOKUP(C80,'تقرير المصروفات حسب الشهر'!$C$763:$AD$872,20,FALSE),0)</f>
        <v>0</v>
      </c>
      <c r="K80" s="362">
        <f>IFERROR(VLOOKUP(C80,'تقرير المصروفات حسب الشهر'!$C$890:$AD$999,20,FALSE),0)</f>
        <v>0</v>
      </c>
      <c r="L80" s="362">
        <f>IFERROR(VLOOKUP(C80,'تقرير المصروفات حسب الشهر'!$C$1016:$AD$1126,20,FALSE),0)</f>
        <v>0</v>
      </c>
      <c r="M80" s="376">
        <f>IFERROR(VLOOKUP(C80,'تقرير المصروفات حسب الشهر'!$C$1143:$AD$1254,20,FALSE),0)</f>
        <v>0</v>
      </c>
      <c r="N80" s="376">
        <f>IFERROR(VLOOKUP(C80,'تقرير المصروفات حسب الشهر'!$C$1270:$AD$1381,20,FALSE),0)</f>
        <v>0</v>
      </c>
      <c r="O80" s="376">
        <f>IFERROR(VLOOKUP(C80,'تقرير المصروفات حسب الشهر'!$C$1397:$AI$1512,20,FALSE),0)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الشهر'!$C$10:$AD$119,20,FALSE),0)</f>
        <v>2316</v>
      </c>
      <c r="E81" s="362">
        <f>IFERROR(VLOOKUP(C81,'تقرير المصروفات حسب الشهر'!$C$135:$AD$244,20,FALSE),0)</f>
        <v>100</v>
      </c>
      <c r="F81" s="362">
        <f>IFERROR(VLOOKUP(C81,'تقرير المصروفات حسب الشهر'!$C$261:$AD$368,20,FALSE),0)</f>
        <v>100</v>
      </c>
      <c r="G81" s="362">
        <f>IFERROR(VLOOKUP(C81,'تقرير المصروفات حسب الشهر'!$C$387:$AD$495,20,FALSE),0)</f>
        <v>100</v>
      </c>
      <c r="H81" s="362">
        <f>IFERROR(VLOOKUP(C81,'تقرير المصروفات حسب الشهر'!$C$512:$AD$620,20,FALSE),0)</f>
        <v>100</v>
      </c>
      <c r="I81" s="362">
        <f>IFERROR(VLOOKUP(C81,'تقرير المصروفات حسب الشهر'!$C$637:$AD$746,20,FALSE),0)</f>
        <v>100</v>
      </c>
      <c r="J81" s="362">
        <f>IFERROR(VLOOKUP(C81,'تقرير المصروفات حسب الشهر'!$C$763:$AD$872,20,FALSE),0)</f>
        <v>0</v>
      </c>
      <c r="K81" s="362">
        <f>IFERROR(VLOOKUP(C81,'تقرير المصروفات حسب الشهر'!$C$890:$AD$999,20,FALSE),0)</f>
        <v>300</v>
      </c>
      <c r="L81" s="362">
        <f>IFERROR(VLOOKUP(C81,'تقرير المصروفات حسب الشهر'!$C$1016:$AD$1126,20,FALSE),0)</f>
        <v>200</v>
      </c>
      <c r="M81" s="376">
        <f>IFERROR(VLOOKUP(C81,'تقرير المصروفات حسب الشهر'!$C$1143:$AD$1254,20,FALSE),0)</f>
        <v>200</v>
      </c>
      <c r="N81" s="376">
        <f>IFERROR(VLOOKUP(C81,'تقرير المصروفات حسب الشهر'!$C$1270:$AD$1381,20,FALSE),0)</f>
        <v>200</v>
      </c>
      <c r="O81" s="376">
        <f>IFERROR(VLOOKUP(C81,'تقرير المصروفات حسب الشهر'!$C$1397:$AI$1512,20,FALSE),0)</f>
        <v>200</v>
      </c>
      <c r="P81" s="364">
        <f t="shared" si="5"/>
        <v>3916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الشهر'!$C$10:$AD$119,20,FALSE),0)</f>
        <v>0</v>
      </c>
      <c r="E82" s="362">
        <f>IFERROR(VLOOKUP(C82,'تقرير المصروفات حسب الشهر'!$C$135:$AD$244,20,FALSE),0)</f>
        <v>0</v>
      </c>
      <c r="F82" s="362">
        <f>IFERROR(VLOOKUP(C82,'تقرير المصروفات حسب الشهر'!$C$261:$AD$368,20,FALSE),0)</f>
        <v>0</v>
      </c>
      <c r="G82" s="362">
        <f>IFERROR(VLOOKUP(C82,'تقرير المصروفات حسب الشهر'!$C$387:$AD$495,20,FALSE),0)</f>
        <v>0</v>
      </c>
      <c r="H82" s="362">
        <f>IFERROR(VLOOKUP(C82,'تقرير المصروفات حسب الشهر'!$C$512:$AD$620,20,FALSE),0)</f>
        <v>0</v>
      </c>
      <c r="I82" s="362">
        <f>IFERROR(VLOOKUP(C82,'تقرير المصروفات حسب الشهر'!$C$637:$AD$746,20,FALSE),0)</f>
        <v>0</v>
      </c>
      <c r="J82" s="362">
        <f>IFERROR(VLOOKUP(C82,'تقرير المصروفات حسب الشهر'!$C$763:$AD$872,20,FALSE),0)</f>
        <v>0</v>
      </c>
      <c r="K82" s="362">
        <f>IFERROR(VLOOKUP(C82,'تقرير المصروفات حسب الشهر'!$C$890:$AD$999,20,FALSE),0)</f>
        <v>0</v>
      </c>
      <c r="L82" s="362">
        <f>IFERROR(VLOOKUP(C82,'تقرير المصروفات حسب الشهر'!$C$1016:$AD$1126,20,FALSE),0)</f>
        <v>0</v>
      </c>
      <c r="M82" s="376">
        <f>IFERROR(VLOOKUP(C82,'تقرير المصروفات حسب الشهر'!$C$1143:$AD$1254,20,FALSE),0)</f>
        <v>0</v>
      </c>
      <c r="N82" s="376">
        <f>IFERROR(VLOOKUP(C82,'تقرير المصروفات حسب الشهر'!$C$1270:$AD$1381,20,FALSE),0)</f>
        <v>0</v>
      </c>
      <c r="O82" s="376">
        <f>IFERROR(VLOOKUP(C82,'تقرير المصروفات حسب الشهر'!$C$1397:$AI$1512,20,FALSE),0)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الشهر'!$C$10:$AD$119,20,FALSE),0)</f>
        <v>0</v>
      </c>
      <c r="E83" s="362">
        <f>IFERROR(VLOOKUP(C83,'تقرير المصروفات حسب الشهر'!$C$135:$AD$244,20,FALSE),0)</f>
        <v>0</v>
      </c>
      <c r="F83" s="362">
        <f>IFERROR(VLOOKUP(C83,'تقرير المصروفات حسب الشهر'!$C$261:$AD$368,20,FALSE),0)</f>
        <v>0</v>
      </c>
      <c r="G83" s="362">
        <f>IFERROR(VLOOKUP(C83,'تقرير المصروفات حسب الشهر'!$C$387:$AD$495,20,FALSE),0)</f>
        <v>0</v>
      </c>
      <c r="H83" s="362">
        <f>IFERROR(VLOOKUP(C83,'تقرير المصروفات حسب الشهر'!$C$512:$AD$620,20,FALSE),0)</f>
        <v>0</v>
      </c>
      <c r="I83" s="362">
        <f>IFERROR(VLOOKUP(C83,'تقرير المصروفات حسب الشهر'!$C$637:$AD$746,20,FALSE),0)</f>
        <v>0</v>
      </c>
      <c r="J83" s="362">
        <f>IFERROR(VLOOKUP(C83,'تقرير المصروفات حسب الشهر'!$C$763:$AD$872,20,FALSE),0)</f>
        <v>0</v>
      </c>
      <c r="K83" s="362">
        <f>IFERROR(VLOOKUP(C83,'تقرير المصروفات حسب الشهر'!$C$890:$AD$999,20,FALSE),0)</f>
        <v>0</v>
      </c>
      <c r="L83" s="362">
        <f>IFERROR(VLOOKUP(C83,'تقرير المصروفات حسب الشهر'!$C$1016:$AD$1126,20,FALSE),0)</f>
        <v>0</v>
      </c>
      <c r="M83" s="376">
        <f>IFERROR(VLOOKUP(C83,'تقرير المصروفات حسب الشهر'!$C$1143:$AD$1254,20,FALSE),0)</f>
        <v>0</v>
      </c>
      <c r="N83" s="376">
        <f>IFERROR(VLOOKUP(C83,'تقرير المصروفات حسب الشهر'!$C$1270:$AD$1381,20,FALSE),0)</f>
        <v>0</v>
      </c>
      <c r="O83" s="376">
        <f>IFERROR(VLOOKUP(C83,'تقرير المصروفات حسب الشهر'!$C$1397:$AI$1512,20,FALSE),0)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الشهر'!$C$10:$AD$119,20,FALSE),0)</f>
        <v>0</v>
      </c>
      <c r="E84" s="362">
        <f>IFERROR(VLOOKUP(C84,'تقرير المصروفات حسب الشهر'!$C$135:$AD$244,20,FALSE),0)</f>
        <v>0</v>
      </c>
      <c r="F84" s="362">
        <f>IFERROR(VLOOKUP(C84,'تقرير المصروفات حسب الشهر'!$C$261:$AD$368,20,FALSE),0)</f>
        <v>0</v>
      </c>
      <c r="G84" s="362">
        <f>IFERROR(VLOOKUP(C84,'تقرير المصروفات حسب الشهر'!$C$387:$AD$495,20,FALSE),0)</f>
        <v>0</v>
      </c>
      <c r="H84" s="362">
        <f>IFERROR(VLOOKUP(C84,'تقرير المصروفات حسب الشهر'!$C$512:$AD$620,20,FALSE),0)</f>
        <v>0</v>
      </c>
      <c r="I84" s="362">
        <f>IFERROR(VLOOKUP(C84,'تقرير المصروفات حسب الشهر'!$C$637:$AD$746,20,FALSE),0)</f>
        <v>0</v>
      </c>
      <c r="J84" s="362">
        <f>IFERROR(VLOOKUP(C84,'تقرير المصروفات حسب الشهر'!$C$763:$AD$872,20,FALSE),0)</f>
        <v>0</v>
      </c>
      <c r="K84" s="362">
        <f>IFERROR(VLOOKUP(C84,'تقرير المصروفات حسب الشهر'!$C$890:$AD$999,20,FALSE),0)</f>
        <v>0</v>
      </c>
      <c r="L84" s="362">
        <f>IFERROR(VLOOKUP(C84,'تقرير المصروفات حسب الشهر'!$C$1016:$AD$1126,20,FALSE),0)</f>
        <v>0</v>
      </c>
      <c r="M84" s="376">
        <f>IFERROR(VLOOKUP(C84,'تقرير المصروفات حسب الشهر'!$C$1143:$AD$1254,20,FALSE),0)</f>
        <v>0</v>
      </c>
      <c r="N84" s="376">
        <f>IFERROR(VLOOKUP(C84,'تقرير المصروفات حسب الشهر'!$C$1270:$AD$1381,20,FALSE),0)</f>
        <v>0</v>
      </c>
      <c r="O84" s="376">
        <f>IFERROR(VLOOKUP(C84,'تقرير المصروفات حسب الشهر'!$C$1397:$AI$1512,20,FALSE),0)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الشهر'!$C$10:$AD$119,20,FALSE),0)</f>
        <v>0</v>
      </c>
      <c r="E85" s="362">
        <f>IFERROR(VLOOKUP(C85,'تقرير المصروفات حسب الشهر'!$C$135:$AD$244,20,FALSE),0)</f>
        <v>0</v>
      </c>
      <c r="F85" s="362">
        <f>IFERROR(VLOOKUP(C85,'تقرير المصروفات حسب الشهر'!$C$261:$AD$368,20,FALSE),0)</f>
        <v>0</v>
      </c>
      <c r="G85" s="362">
        <f>IFERROR(VLOOKUP(C85,'تقرير المصروفات حسب الشهر'!$C$387:$AD$495,20,FALSE),0)</f>
        <v>0</v>
      </c>
      <c r="H85" s="362">
        <f>IFERROR(VLOOKUP(C85,'تقرير المصروفات حسب الشهر'!$C$512:$AD$620,20,FALSE),0)</f>
        <v>0</v>
      </c>
      <c r="I85" s="362">
        <f>IFERROR(VLOOKUP(C85,'تقرير المصروفات حسب الشهر'!$C$637:$AD$746,20,FALSE),0)</f>
        <v>0</v>
      </c>
      <c r="J85" s="362">
        <f>IFERROR(VLOOKUP(C85,'تقرير المصروفات حسب الشهر'!$C$763:$AD$872,20,FALSE),0)</f>
        <v>0</v>
      </c>
      <c r="K85" s="362">
        <f>IFERROR(VLOOKUP(C85,'تقرير المصروفات حسب الشهر'!$C$890:$AD$999,20,FALSE),0)</f>
        <v>0</v>
      </c>
      <c r="L85" s="362">
        <f>IFERROR(VLOOKUP(C85,'تقرير المصروفات حسب الشهر'!$C$1016:$AD$1126,20,FALSE),0)</f>
        <v>0</v>
      </c>
      <c r="M85" s="376">
        <f>IFERROR(VLOOKUP(C85,'تقرير المصروفات حسب الشهر'!$C$1143:$AD$1254,20,FALSE),0)</f>
        <v>0</v>
      </c>
      <c r="N85" s="376">
        <f>IFERROR(VLOOKUP(C85,'تقرير المصروفات حسب الشهر'!$C$1270:$AD$1381,20,FALSE),0)</f>
        <v>0</v>
      </c>
      <c r="O85" s="376">
        <f>IFERROR(VLOOKUP(C85,'تقرير المصروفات حسب الشهر'!$C$1397:$AI$1512,20,FALSE),0)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الشهر'!$C$10:$AD$119,20,FALSE),0)</f>
        <v>0</v>
      </c>
      <c r="E86" s="362">
        <f>IFERROR(VLOOKUP(C86,'تقرير المصروفات حسب الشهر'!$C$135:$AD$244,20,FALSE),0)</f>
        <v>1959.65</v>
      </c>
      <c r="F86" s="362">
        <f>IFERROR(VLOOKUP(C86,'تقرير المصروفات حسب الشهر'!$C$261:$AD$368,20,FALSE),0)</f>
        <v>0</v>
      </c>
      <c r="G86" s="362">
        <f>IFERROR(VLOOKUP(C86,'تقرير المصروفات حسب الشهر'!$C$387:$AD$495,20,FALSE),0)</f>
        <v>653</v>
      </c>
      <c r="H86" s="362">
        <f>IFERROR(VLOOKUP(C86,'تقرير المصروفات حسب الشهر'!$C$512:$AD$620,20,FALSE),0)</f>
        <v>1243</v>
      </c>
      <c r="I86" s="362">
        <f>IFERROR(VLOOKUP(C86,'تقرير المصروفات حسب الشهر'!$C$637:$AD$746,20,FALSE),0)</f>
        <v>0</v>
      </c>
      <c r="J86" s="362">
        <f>IFERROR(VLOOKUP(C86,'تقرير المصروفات حسب الشهر'!$C$763:$AD$872,20,FALSE),0)</f>
        <v>979</v>
      </c>
      <c r="K86" s="362">
        <f>IFERROR(VLOOKUP(C86,'تقرير المصروفات حسب الشهر'!$C$890:$AD$999,20,FALSE),0)</f>
        <v>0</v>
      </c>
      <c r="L86" s="362">
        <f>IFERROR(VLOOKUP(C86,'تقرير المصروفات حسب الشهر'!$C$1016:$AD$1126,20,FALSE),0)</f>
        <v>0</v>
      </c>
      <c r="M86" s="376">
        <f>IFERROR(VLOOKUP(C86,'تقرير المصروفات حسب الشهر'!$C$1143:$AD$1254,20,FALSE),0)</f>
        <v>0</v>
      </c>
      <c r="N86" s="376">
        <f>IFERROR(VLOOKUP(C86,'تقرير المصروفات حسب الشهر'!$C$1270:$AD$1381,20,FALSE),0)</f>
        <v>2207.5700000000002</v>
      </c>
      <c r="O86" s="376">
        <f>IFERROR(VLOOKUP(C86,'تقرير المصروفات حسب الشهر'!$C$1397:$AI$1512,20,FALSE),0)</f>
        <v>0</v>
      </c>
      <c r="P86" s="364">
        <f t="shared" si="5"/>
        <v>7042.2199999999993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الشهر'!$C$10:$AD$119,20,FALSE),0)</f>
        <v>0</v>
      </c>
      <c r="E87" s="362">
        <f>IFERROR(VLOOKUP(C87,'تقرير المصروفات حسب الشهر'!$C$135:$AD$244,20,FALSE),0)</f>
        <v>0</v>
      </c>
      <c r="F87" s="362">
        <f>IFERROR(VLOOKUP(C87,'تقرير المصروفات حسب الشهر'!$C$261:$AD$368,20,FALSE),0)</f>
        <v>0</v>
      </c>
      <c r="G87" s="362">
        <f>IFERROR(VLOOKUP(C87,'تقرير المصروفات حسب الشهر'!$C$387:$AD$495,20,FALSE),0)</f>
        <v>0</v>
      </c>
      <c r="H87" s="362">
        <f>IFERROR(VLOOKUP(C87,'تقرير المصروفات حسب الشهر'!$C$512:$AD$620,20,FALSE),0)</f>
        <v>0</v>
      </c>
      <c r="I87" s="362">
        <f>IFERROR(VLOOKUP(C87,'تقرير المصروفات حسب الشهر'!$C$637:$AD$746,20,FALSE),0)</f>
        <v>0</v>
      </c>
      <c r="J87" s="362">
        <f>IFERROR(VLOOKUP(C87,'تقرير المصروفات حسب الشهر'!$C$763:$AD$872,20,FALSE),0)</f>
        <v>0</v>
      </c>
      <c r="K87" s="362">
        <f>IFERROR(VLOOKUP(C87,'تقرير المصروفات حسب الشهر'!$C$890:$AD$999,20,FALSE),0)</f>
        <v>0</v>
      </c>
      <c r="L87" s="362">
        <f>IFERROR(VLOOKUP(C87,'تقرير المصروفات حسب الشهر'!$C$1016:$AD$1126,20,FALSE),0)</f>
        <v>0</v>
      </c>
      <c r="M87" s="376">
        <f>IFERROR(VLOOKUP(C87,'تقرير المصروفات حسب الشهر'!$C$1143:$AD$1254,20,FALSE),0)</f>
        <v>0</v>
      </c>
      <c r="N87" s="376">
        <f>IFERROR(VLOOKUP(C87,'تقرير المصروفات حسب الشهر'!$C$1270:$AD$1381,20,FALSE),0)</f>
        <v>0</v>
      </c>
      <c r="O87" s="376">
        <f>IFERROR(VLOOKUP(C87,'تقرير المصروفات حسب الشهر'!$C$1397:$AI$1512,20,FALSE),0)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الشهر'!$C$10:$AD$119,20,FALSE),0)</f>
        <v>0</v>
      </c>
      <c r="E88" s="362">
        <f>IFERROR(VLOOKUP(C88,'تقرير المصروفات حسب الشهر'!$C$135:$AD$244,20,FALSE),0)</f>
        <v>0</v>
      </c>
      <c r="F88" s="362">
        <f>IFERROR(VLOOKUP(C88,'تقرير المصروفات حسب الشهر'!$C$261:$AD$368,20,FALSE),0)</f>
        <v>0</v>
      </c>
      <c r="G88" s="362">
        <f>IFERROR(VLOOKUP(C88,'تقرير المصروفات حسب الشهر'!$C$387:$AD$495,20,FALSE),0)</f>
        <v>0</v>
      </c>
      <c r="H88" s="362">
        <f>IFERROR(VLOOKUP(C88,'تقرير المصروفات حسب الشهر'!$C$512:$AD$620,20,FALSE),0)</f>
        <v>333</v>
      </c>
      <c r="I88" s="362">
        <f>IFERROR(VLOOKUP(C88,'تقرير المصروفات حسب الشهر'!$C$637:$AD$746,20,FALSE),0)</f>
        <v>0</v>
      </c>
      <c r="J88" s="362">
        <f>IFERROR(VLOOKUP(C88,'تقرير المصروفات حسب الشهر'!$C$763:$AD$872,20,FALSE),0)</f>
        <v>0</v>
      </c>
      <c r="K88" s="362">
        <f>IFERROR(VLOOKUP(C88,'تقرير المصروفات حسب الشهر'!$C$890:$AD$999,20,FALSE),0)</f>
        <v>0</v>
      </c>
      <c r="L88" s="362">
        <f>IFERROR(VLOOKUP(C88,'تقرير المصروفات حسب الشهر'!$C$1016:$AD$1126,20,FALSE),0)</f>
        <v>0</v>
      </c>
      <c r="M88" s="376">
        <f>IFERROR(VLOOKUP(C88,'تقرير المصروفات حسب الشهر'!$C$1143:$AD$1254,20,FALSE),0)</f>
        <v>0</v>
      </c>
      <c r="N88" s="376">
        <f>IFERROR(VLOOKUP(C88,'تقرير المصروفات حسب الشهر'!$C$1270:$AD$1381,20,FALSE),0)</f>
        <v>0</v>
      </c>
      <c r="O88" s="376">
        <f>IFERROR(VLOOKUP(C88,'تقرير المصروفات حسب الشهر'!$C$1397:$AI$1512,20,FALSE),0)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الشهر'!$C$10:$AD$119,20,FALSE),0)</f>
        <v>0</v>
      </c>
      <c r="E89" s="362">
        <f>IFERROR(VLOOKUP(C89,'تقرير المصروفات حسب الشهر'!$C$135:$AD$244,20,FALSE),0)</f>
        <v>0</v>
      </c>
      <c r="F89" s="362">
        <f>IFERROR(VLOOKUP(C89,'تقرير المصروفات حسب الشهر'!$C$261:$AD$368,20,FALSE),0)</f>
        <v>0</v>
      </c>
      <c r="G89" s="362">
        <f>IFERROR(VLOOKUP(C89,'تقرير المصروفات حسب الشهر'!$C$387:$AD$495,20,FALSE),0)</f>
        <v>0</v>
      </c>
      <c r="H89" s="362">
        <f>IFERROR(VLOOKUP(C89,'تقرير المصروفات حسب الشهر'!$C$512:$AD$620,20,FALSE),0)</f>
        <v>0</v>
      </c>
      <c r="I89" s="362">
        <f>IFERROR(VLOOKUP(C89,'تقرير المصروفات حسب الشهر'!$C$637:$AD$746,20,FALSE),0)</f>
        <v>0</v>
      </c>
      <c r="J89" s="362">
        <f>IFERROR(VLOOKUP(C89,'تقرير المصروفات حسب الشهر'!$C$763:$AD$872,20,FALSE),0)</f>
        <v>0</v>
      </c>
      <c r="K89" s="362">
        <f>IFERROR(VLOOKUP(C89,'تقرير المصروفات حسب الشهر'!$C$890:$AD$999,20,FALSE),0)</f>
        <v>0</v>
      </c>
      <c r="L89" s="362">
        <f>IFERROR(VLOOKUP(C89,'تقرير المصروفات حسب الشهر'!$C$1016:$AD$1126,20,FALSE),0)</f>
        <v>0</v>
      </c>
      <c r="M89" s="376">
        <f>IFERROR(VLOOKUP(C89,'تقرير المصروفات حسب الشهر'!$C$1143:$AD$1254,20,FALSE),0)</f>
        <v>0</v>
      </c>
      <c r="N89" s="376">
        <f>IFERROR(VLOOKUP(C89,'تقرير المصروفات حسب الشهر'!$C$1270:$AD$1381,20,FALSE),0)</f>
        <v>0</v>
      </c>
      <c r="O89" s="376">
        <f>IFERROR(VLOOKUP(C89,'تقرير المصروفات حسب الشهر'!$C$1397:$AI$1512,20,FALSE),0)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الشهر'!$C$10:$AD$119,20,FALSE),0)</f>
        <v>0</v>
      </c>
      <c r="E90" s="362">
        <f>IFERROR(VLOOKUP(C90,'تقرير المصروفات حسب الشهر'!$C$135:$AD$244,20,FALSE),0)</f>
        <v>0</v>
      </c>
      <c r="F90" s="362">
        <f>IFERROR(VLOOKUP(C90,'تقرير المصروفات حسب الشهر'!$C$261:$AD$368,20,FALSE),0)</f>
        <v>0</v>
      </c>
      <c r="G90" s="362">
        <f>IFERROR(VLOOKUP(C90,'تقرير المصروفات حسب الشهر'!$C$387:$AD$495,20,FALSE),0)</f>
        <v>0</v>
      </c>
      <c r="H90" s="362">
        <f>IFERROR(VLOOKUP(C90,'تقرير المصروفات حسب الشهر'!$C$512:$AD$620,20,FALSE),0)</f>
        <v>0</v>
      </c>
      <c r="I90" s="362">
        <f>IFERROR(VLOOKUP(C90,'تقرير المصروفات حسب الشهر'!$C$637:$AD$746,20,FALSE),0)</f>
        <v>0</v>
      </c>
      <c r="J90" s="362">
        <f>IFERROR(VLOOKUP(C90,'تقرير المصروفات حسب الشهر'!$C$763:$AD$872,20,FALSE),0)</f>
        <v>0</v>
      </c>
      <c r="K90" s="362">
        <f>IFERROR(VLOOKUP(C90,'تقرير المصروفات حسب الشهر'!$C$890:$AD$999,20,FALSE),0)</f>
        <v>0</v>
      </c>
      <c r="L90" s="362">
        <f>IFERROR(VLOOKUP(C90,'تقرير المصروفات حسب الشهر'!$C$1016:$AD$1126,20,FALSE),0)</f>
        <v>0</v>
      </c>
      <c r="M90" s="376">
        <f>IFERROR(VLOOKUP(C90,'تقرير المصروفات حسب الشهر'!$C$1143:$AD$1254,20,FALSE),0)</f>
        <v>0</v>
      </c>
      <c r="N90" s="376">
        <f>IFERROR(VLOOKUP(C90,'تقرير المصروفات حسب الشهر'!$C$1270:$AD$1381,20,FALSE),0)</f>
        <v>0</v>
      </c>
      <c r="O90" s="376">
        <f>IFERROR(VLOOKUP(C90,'تقرير المصروفات حسب الشهر'!$C$1397:$AI$1512,20,FALSE),0)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الشهر'!$C$10:$AD$119,20,FALSE),0)</f>
        <v>0</v>
      </c>
      <c r="E91" s="362">
        <f>IFERROR(VLOOKUP(C91,'تقرير المصروفات حسب الشهر'!$C$135:$AD$244,20,FALSE),0)</f>
        <v>0</v>
      </c>
      <c r="F91" s="362">
        <f>IFERROR(VLOOKUP(C91,'تقرير المصروفات حسب الشهر'!$C$261:$AD$368,20,FALSE),0)</f>
        <v>0</v>
      </c>
      <c r="G91" s="362">
        <f>IFERROR(VLOOKUP(C91,'تقرير المصروفات حسب الشهر'!$C$387:$AD$495,20,FALSE),0)</f>
        <v>0</v>
      </c>
      <c r="H91" s="362">
        <f>IFERROR(VLOOKUP(C91,'تقرير المصروفات حسب الشهر'!$C$512:$AD$620,20,FALSE),0)</f>
        <v>0</v>
      </c>
      <c r="I91" s="362">
        <f>IFERROR(VLOOKUP(C91,'تقرير المصروفات حسب الشهر'!$C$637:$AD$746,20,FALSE),0)</f>
        <v>0</v>
      </c>
      <c r="J91" s="362">
        <f>IFERROR(VLOOKUP(C91,'تقرير المصروفات حسب الشهر'!$C$763:$AD$872,20,FALSE),0)</f>
        <v>0</v>
      </c>
      <c r="K91" s="362">
        <f>IFERROR(VLOOKUP(C91,'تقرير المصروفات حسب الشهر'!$C$890:$AD$999,20,FALSE),0)</f>
        <v>0</v>
      </c>
      <c r="L91" s="362">
        <f>IFERROR(VLOOKUP(C91,'تقرير المصروفات حسب الشهر'!$C$1016:$AD$1126,20,FALSE),0)</f>
        <v>0</v>
      </c>
      <c r="M91" s="376">
        <f>IFERROR(VLOOKUP(C91,'تقرير المصروفات حسب الشهر'!$C$1143:$AD$1254,20,FALSE),0)</f>
        <v>0</v>
      </c>
      <c r="N91" s="376">
        <f>IFERROR(VLOOKUP(C91,'تقرير المصروفات حسب الشهر'!$C$1270:$AD$1381,20,FALSE),0)</f>
        <v>0</v>
      </c>
      <c r="O91" s="376">
        <f>IFERROR(VLOOKUP(C91,'تقرير المصروفات حسب الشهر'!$C$1397:$AI$1512,20,FALSE),0)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الشهر'!$C$10:$AD$119,20,FALSE),0)</f>
        <v>0</v>
      </c>
      <c r="E92" s="362">
        <f>IFERROR(VLOOKUP(C92,'تقرير المصروفات حسب الشهر'!$C$135:$AD$244,20,FALSE),0)</f>
        <v>0</v>
      </c>
      <c r="F92" s="362">
        <f>IFERROR(VLOOKUP(C92,'تقرير المصروفات حسب الشهر'!$C$261:$AD$368,20,FALSE),0)</f>
        <v>0</v>
      </c>
      <c r="G92" s="362">
        <f>IFERROR(VLOOKUP(C92,'تقرير المصروفات حسب الشهر'!$C$387:$AD$495,20,FALSE),0)</f>
        <v>0</v>
      </c>
      <c r="H92" s="362">
        <f>IFERROR(VLOOKUP(C92,'تقرير المصروفات حسب الشهر'!$C$512:$AD$620,20,FALSE),0)</f>
        <v>0</v>
      </c>
      <c r="I92" s="362">
        <f>IFERROR(VLOOKUP(C92,'تقرير المصروفات حسب الشهر'!$C$637:$AD$746,20,FALSE),0)</f>
        <v>0</v>
      </c>
      <c r="J92" s="362">
        <f>IFERROR(VLOOKUP(C92,'تقرير المصروفات حسب الشهر'!$C$763:$AD$872,20,FALSE),0)</f>
        <v>0</v>
      </c>
      <c r="K92" s="362">
        <f>IFERROR(VLOOKUP(C92,'تقرير المصروفات حسب الشهر'!$C$890:$AD$999,20,FALSE),0)</f>
        <v>0</v>
      </c>
      <c r="L92" s="362">
        <f>IFERROR(VLOOKUP(C92,'تقرير المصروفات حسب الشهر'!$C$1016:$AD$1126,20,FALSE),0)</f>
        <v>0</v>
      </c>
      <c r="M92" s="376">
        <f>IFERROR(VLOOKUP(C92,'تقرير المصروفات حسب الشهر'!$C$1143:$AD$1254,20,FALSE),0)</f>
        <v>0</v>
      </c>
      <c r="N92" s="376">
        <f>IFERROR(VLOOKUP(C92,'تقرير المصروفات حسب الشهر'!$C$1270:$AD$1381,20,FALSE),0)</f>
        <v>0</v>
      </c>
      <c r="O92" s="376">
        <f>IFERROR(VLOOKUP(C92,'تقرير المصروفات حسب الشهر'!$C$1397:$AI$1512,20,FALSE),0)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الشهر'!$C$10:$AD$119,20,FALSE),0)</f>
        <v>0</v>
      </c>
      <c r="E93" s="362">
        <f>IFERROR(VLOOKUP(C93,'تقرير المصروفات حسب الشهر'!$C$135:$AD$244,20,FALSE),0)</f>
        <v>0</v>
      </c>
      <c r="F93" s="362">
        <f>IFERROR(VLOOKUP(C93,'تقرير المصروفات حسب الشهر'!$C$261:$AD$368,20,FALSE),0)</f>
        <v>0</v>
      </c>
      <c r="G93" s="362">
        <f>IFERROR(VLOOKUP(C93,'تقرير المصروفات حسب الشهر'!$C$387:$AD$495,20,FALSE),0)</f>
        <v>621.5</v>
      </c>
      <c r="H93" s="362">
        <f>IFERROR(VLOOKUP(C93,'تقرير المصروفات حسب الشهر'!$C$512:$AD$620,20,FALSE),0)</f>
        <v>0</v>
      </c>
      <c r="I93" s="362">
        <f>IFERROR(VLOOKUP(C93,'تقرير المصروفات حسب الشهر'!$C$637:$AD$746,20,FALSE),0)</f>
        <v>0</v>
      </c>
      <c r="J93" s="362">
        <f>IFERROR(VLOOKUP(C93,'تقرير المصروفات حسب الشهر'!$C$763:$AD$872,20,FALSE),0)</f>
        <v>668</v>
      </c>
      <c r="K93" s="362">
        <f>IFERROR(VLOOKUP(C93,'تقرير المصروفات حسب الشهر'!$C$890:$AD$999,20,FALSE),0)</f>
        <v>0</v>
      </c>
      <c r="L93" s="362">
        <f>IFERROR(VLOOKUP(C93,'تقرير المصروفات حسب الشهر'!$C$1016:$AD$1126,20,FALSE),0)</f>
        <v>0</v>
      </c>
      <c r="M93" s="376">
        <f>IFERROR(VLOOKUP(C93,'تقرير المصروفات حسب الشهر'!$C$1143:$AD$1254,20,FALSE),0)</f>
        <v>0</v>
      </c>
      <c r="N93" s="376">
        <f>IFERROR(VLOOKUP(C93,'تقرير المصروفات حسب الشهر'!$C$1270:$AD$1381,20,FALSE),0)</f>
        <v>0</v>
      </c>
      <c r="O93" s="376">
        <f>IFERROR(VLOOKUP(C93,'تقرير المصروفات حسب الشهر'!$C$1397:$AI$1512,20,FALSE),0)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الشهر'!$C$10:$AD$119,20,FALSE),0)</f>
        <v>360</v>
      </c>
      <c r="E94" s="362">
        <f>IFERROR(VLOOKUP(C94,'تقرير المصروفات حسب الشهر'!$C$135:$AD$244,20,FALSE),0)</f>
        <v>731.5</v>
      </c>
      <c r="F94" s="362">
        <f>IFERROR(VLOOKUP(C94,'تقرير المصروفات حسب الشهر'!$C$261:$AD$368,20,FALSE),0)</f>
        <v>0</v>
      </c>
      <c r="G94" s="362">
        <f>IFERROR(VLOOKUP(C94,'تقرير المصروفات حسب الشهر'!$C$387:$AD$495,20,FALSE),0)</f>
        <v>370</v>
      </c>
      <c r="H94" s="362">
        <f>IFERROR(VLOOKUP(C94,'تقرير المصروفات حسب الشهر'!$C$512:$AD$620,20,FALSE),0)</f>
        <v>309</v>
      </c>
      <c r="I94" s="362">
        <f>IFERROR(VLOOKUP(C94,'تقرير المصروفات حسب الشهر'!$C$637:$AD$746,20,FALSE),0)</f>
        <v>280</v>
      </c>
      <c r="J94" s="362">
        <f>IFERROR(VLOOKUP(C94,'تقرير المصروفات حسب الشهر'!$C$763:$AD$872,20,FALSE),0)</f>
        <v>310</v>
      </c>
      <c r="K94" s="362">
        <f>IFERROR(VLOOKUP(C94,'تقرير المصروفات حسب الشهر'!$C$890:$AD$999,20,FALSE),0)</f>
        <v>309</v>
      </c>
      <c r="L94" s="362">
        <f>IFERROR(VLOOKUP(C94,'تقرير المصروفات حسب الشهر'!$C$1016:$AD$1126,20,FALSE),0)</f>
        <v>0</v>
      </c>
      <c r="M94" s="376">
        <f>IFERROR(VLOOKUP(C94,'تقرير المصروفات حسب الشهر'!$C$1143:$AD$1254,20,FALSE),0)</f>
        <v>617.24</v>
      </c>
      <c r="N94" s="376">
        <f>IFERROR(VLOOKUP(C94,'تقرير المصروفات حسب الشهر'!$C$1270:$AD$1381,20,FALSE),0)</f>
        <v>469</v>
      </c>
      <c r="O94" s="376">
        <f>IFERROR(VLOOKUP(C94,'تقرير المصروفات حسب الشهر'!$C$1397:$AI$1512,20,FALSE),0)</f>
        <v>388</v>
      </c>
      <c r="P94" s="364">
        <f t="shared" si="6"/>
        <v>4143.74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الشهر'!$C$10:$AD$119,20,FALSE),0)</f>
        <v>0</v>
      </c>
      <c r="E95" s="362">
        <f>IFERROR(VLOOKUP(C95,'تقرير المصروفات حسب الشهر'!$C$135:$AD$244,20,FALSE),0)</f>
        <v>0</v>
      </c>
      <c r="F95" s="362">
        <f>IFERROR(VLOOKUP(C95,'تقرير المصروفات حسب الشهر'!$C$261:$AD$368,20,FALSE),0)</f>
        <v>0</v>
      </c>
      <c r="G95" s="362">
        <f>IFERROR(VLOOKUP(C95,'تقرير المصروفات حسب الشهر'!$C$387:$AD$495,20,FALSE),0)</f>
        <v>0</v>
      </c>
      <c r="H95" s="362">
        <f>IFERROR(VLOOKUP(C95,'تقرير المصروفات حسب الشهر'!$C$512:$AD$620,20,FALSE),0)</f>
        <v>0</v>
      </c>
      <c r="I95" s="362">
        <f>IFERROR(VLOOKUP(C95,'تقرير المصروفات حسب الشهر'!$C$637:$AD$746,20,FALSE),0)</f>
        <v>0</v>
      </c>
      <c r="J95" s="362">
        <f>IFERROR(VLOOKUP(C95,'تقرير المصروفات حسب الشهر'!$C$763:$AD$872,20,FALSE),0)</f>
        <v>0</v>
      </c>
      <c r="K95" s="362">
        <f>IFERROR(VLOOKUP(C95,'تقرير المصروفات حسب الشهر'!$C$890:$AD$999,20,FALSE),0)</f>
        <v>0</v>
      </c>
      <c r="L95" s="362">
        <f>IFERROR(VLOOKUP(C95,'تقرير المصروفات حسب الشهر'!$C$1016:$AD$1126,20,FALSE),0)</f>
        <v>2130</v>
      </c>
      <c r="M95" s="376">
        <f>IFERROR(VLOOKUP(C95,'تقرير المصروفات حسب الشهر'!$C$1143:$AD$1254,20,FALSE),0)</f>
        <v>1065</v>
      </c>
      <c r="N95" s="376">
        <f>IFERROR(VLOOKUP(C95,'تقرير المصروفات حسب الشهر'!$C$1270:$AD$1381,20,FALSE),0)</f>
        <v>1065</v>
      </c>
      <c r="O95" s="376">
        <f>IFERROR(VLOOKUP(C95,'تقرير المصروفات حسب الشهر'!$C$1397:$AI$1512,20,FALSE),0)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الشهر'!$C$10:$AD$119,20,FALSE),0)</f>
        <v>0</v>
      </c>
      <c r="E96" s="362">
        <f>IFERROR(VLOOKUP(C96,'تقرير المصروفات حسب الشهر'!$C$135:$AD$244,20,FALSE),0)</f>
        <v>0</v>
      </c>
      <c r="F96" s="362">
        <f>IFERROR(VLOOKUP(C96,'تقرير المصروفات حسب الشهر'!$C$261:$AD$368,20,FALSE),0)</f>
        <v>0</v>
      </c>
      <c r="G96" s="362">
        <f>IFERROR(VLOOKUP(C96,'تقرير المصروفات حسب الشهر'!$C$387:$AD$495,20,FALSE),0)</f>
        <v>0</v>
      </c>
      <c r="H96" s="362">
        <f>IFERROR(VLOOKUP(C96,'تقرير المصروفات حسب الشهر'!$C$512:$AD$620,20,FALSE),0)</f>
        <v>0</v>
      </c>
      <c r="I96" s="362">
        <f>IFERROR(VLOOKUP(C96,'تقرير المصروفات حسب الشهر'!$C$637:$AD$746,20,FALSE),0)</f>
        <v>0</v>
      </c>
      <c r="J96" s="362">
        <f>IFERROR(VLOOKUP(C96,'تقرير المصروفات حسب الشهر'!$C$763:$AD$872,20,FALSE),0)</f>
        <v>0</v>
      </c>
      <c r="K96" s="362">
        <f>IFERROR(VLOOKUP(C96,'تقرير المصروفات حسب الشهر'!$C$890:$AD$999,20,FALSE),0)</f>
        <v>0</v>
      </c>
      <c r="L96" s="362">
        <f>IFERROR(VLOOKUP(C96,'تقرير المصروفات حسب الشهر'!$C$1016:$AD$1126,20,FALSE),0)</f>
        <v>0</v>
      </c>
      <c r="M96" s="376">
        <f>IFERROR(VLOOKUP(C96,'تقرير المصروفات حسب الشهر'!$C$1143:$AD$1254,20,FALSE),0)</f>
        <v>0</v>
      </c>
      <c r="N96" s="376">
        <f>IFERROR(VLOOKUP(C96,'تقرير المصروفات حسب الشهر'!$C$1270:$AD$1381,20,FALSE),0)</f>
        <v>0</v>
      </c>
      <c r="O96" s="376">
        <f>IFERROR(VLOOKUP(C96,'تقرير المصروفات حسب الشهر'!$C$1397:$AI$1512,20,FALSE),0)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الشهر'!$C$10:$AD$119,20,FALSE),0)</f>
        <v>0</v>
      </c>
      <c r="E97" s="362">
        <f>IFERROR(VLOOKUP(C97,'تقرير المصروفات حسب الشهر'!$C$135:$AD$244,20,FALSE),0)</f>
        <v>0</v>
      </c>
      <c r="F97" s="362">
        <f>IFERROR(VLOOKUP(C97,'تقرير المصروفات حسب الشهر'!$C$261:$AD$368,20,FALSE),0)</f>
        <v>0</v>
      </c>
      <c r="G97" s="362">
        <f>IFERROR(VLOOKUP(C97,'تقرير المصروفات حسب الشهر'!$C$387:$AD$495,20,FALSE),0)</f>
        <v>0</v>
      </c>
      <c r="H97" s="362">
        <f>IFERROR(VLOOKUP(C97,'تقرير المصروفات حسب الشهر'!$C$512:$AD$620,20,FALSE),0)</f>
        <v>0</v>
      </c>
      <c r="I97" s="362">
        <f>IFERROR(VLOOKUP(C97,'تقرير المصروفات حسب الشهر'!$C$637:$AD$746,20,FALSE),0)</f>
        <v>0</v>
      </c>
      <c r="J97" s="362">
        <f>IFERROR(VLOOKUP(C97,'تقرير المصروفات حسب الشهر'!$C$763:$AD$872,20,FALSE),0)</f>
        <v>0</v>
      </c>
      <c r="K97" s="362">
        <f>IFERROR(VLOOKUP(C97,'تقرير المصروفات حسب الشهر'!$C$890:$AD$999,20,FALSE),0)</f>
        <v>0</v>
      </c>
      <c r="L97" s="362">
        <f>IFERROR(VLOOKUP(C97,'تقرير المصروفات حسب الشهر'!$C$1016:$AD$1126,20,FALSE),0)</f>
        <v>0</v>
      </c>
      <c r="M97" s="376">
        <f>IFERROR(VLOOKUP(C97,'تقرير المصروفات حسب الشهر'!$C$1143:$AD$1254,20,FALSE),0)</f>
        <v>0</v>
      </c>
      <c r="N97" s="376">
        <f>IFERROR(VLOOKUP(C97,'تقرير المصروفات حسب الشهر'!$C$1270:$AD$1381,20,FALSE),0)</f>
        <v>0</v>
      </c>
      <c r="O97" s="376">
        <f>IFERROR(VLOOKUP(C97,'تقرير المصروفات حسب الشهر'!$C$1397:$AI$1512,20,FALSE),0)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الشهر'!$C$10:$AD$119,20,FALSE),0)</f>
        <v>0</v>
      </c>
      <c r="E98" s="362">
        <f>IFERROR(VLOOKUP(C98,'تقرير المصروفات حسب الشهر'!$C$135:$AD$244,20,FALSE),0)</f>
        <v>0</v>
      </c>
      <c r="F98" s="362">
        <f>IFERROR(VLOOKUP(C98,'تقرير المصروفات حسب الشهر'!$C$261:$AD$368,20,FALSE),0)</f>
        <v>0</v>
      </c>
      <c r="G98" s="362">
        <f>IFERROR(VLOOKUP(C98,'تقرير المصروفات حسب الشهر'!$C$387:$AD$495,20,FALSE),0)</f>
        <v>0</v>
      </c>
      <c r="H98" s="362">
        <f>IFERROR(VLOOKUP(C98,'تقرير المصروفات حسب الشهر'!$C$512:$AD$620,20,FALSE),0)</f>
        <v>0</v>
      </c>
      <c r="I98" s="362">
        <f>IFERROR(VLOOKUP(C98,'تقرير المصروفات حسب الشهر'!$C$637:$AD$746,20,FALSE),0)</f>
        <v>0</v>
      </c>
      <c r="J98" s="362">
        <f>IFERROR(VLOOKUP(C98,'تقرير المصروفات حسب الشهر'!$C$763:$AD$872,20,FALSE),0)</f>
        <v>0</v>
      </c>
      <c r="K98" s="362">
        <f>IFERROR(VLOOKUP(C98,'تقرير المصروفات حسب الشهر'!$C$890:$AD$999,20,FALSE),0)</f>
        <v>0</v>
      </c>
      <c r="L98" s="362">
        <f>IFERROR(VLOOKUP(C98,'تقرير المصروفات حسب الشهر'!$C$1016:$AD$1126,20,FALSE),0)</f>
        <v>0</v>
      </c>
      <c r="M98" s="376">
        <f>IFERROR(VLOOKUP(C98,'تقرير المصروفات حسب الشهر'!$C$1143:$AD$1254,20,FALSE),0)</f>
        <v>0</v>
      </c>
      <c r="N98" s="376">
        <f>IFERROR(VLOOKUP(C98,'تقرير المصروفات حسب الشهر'!$C$1270:$AD$1381,20,FALSE),0)</f>
        <v>0</v>
      </c>
      <c r="O98" s="376">
        <f>IFERROR(VLOOKUP(C98,'تقرير المصروفات حسب الشهر'!$C$1397:$AI$1512,20,FALSE),0)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الشهر'!$C$10:$AD$119,20,FALSE),0)</f>
        <v>0</v>
      </c>
      <c r="E99" s="362">
        <f>IFERROR(VLOOKUP(C99,'تقرير المصروفات حسب الشهر'!$C$135:$AD$244,20,FALSE),0)</f>
        <v>0</v>
      </c>
      <c r="F99" s="362">
        <f>IFERROR(VLOOKUP(C99,'تقرير المصروفات حسب الشهر'!$C$261:$AD$368,20,FALSE),0)</f>
        <v>0</v>
      </c>
      <c r="G99" s="362">
        <f>IFERROR(VLOOKUP(C99,'تقرير المصروفات حسب الشهر'!$C$387:$AD$495,20,FALSE),0)</f>
        <v>0</v>
      </c>
      <c r="H99" s="362">
        <f>IFERROR(VLOOKUP(C99,'تقرير المصروفات حسب الشهر'!$C$512:$AD$620,20,FALSE),0)</f>
        <v>0</v>
      </c>
      <c r="I99" s="362">
        <f>IFERROR(VLOOKUP(C99,'تقرير المصروفات حسب الشهر'!$C$637:$AD$746,20,FALSE),0)</f>
        <v>0</v>
      </c>
      <c r="J99" s="362">
        <f>IFERROR(VLOOKUP(C99,'تقرير المصروفات حسب الشهر'!$C$763:$AD$872,20,FALSE),0)</f>
        <v>0</v>
      </c>
      <c r="K99" s="362">
        <f>IFERROR(VLOOKUP(C99,'تقرير المصروفات حسب الشهر'!$C$890:$AD$999,20,FALSE),0)</f>
        <v>0</v>
      </c>
      <c r="L99" s="362">
        <f>IFERROR(VLOOKUP(C99,'تقرير المصروفات حسب الشهر'!$C$1016:$AD$1126,20,FALSE),0)</f>
        <v>0</v>
      </c>
      <c r="M99" s="376">
        <f>IFERROR(VLOOKUP(C99,'تقرير المصروفات حسب الشهر'!$C$1143:$AD$1254,20,FALSE),0)</f>
        <v>0</v>
      </c>
      <c r="N99" s="376">
        <f>IFERROR(VLOOKUP(C99,'تقرير المصروفات حسب الشهر'!$C$1270:$AD$1381,20,FALSE),0)</f>
        <v>0</v>
      </c>
      <c r="O99" s="376">
        <f>IFERROR(VLOOKUP(C99,'تقرير المصروفات حسب الشهر'!$C$1397:$AI$1512,20,FALSE),0)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الشهر'!$C$10:$AD$119,20,FALSE),0)</f>
        <v>266.27</v>
      </c>
      <c r="E100" s="362">
        <f>IFERROR(VLOOKUP(C100,'تقرير المصروفات حسب الشهر'!$C$135:$AD$244,20,FALSE),0)</f>
        <v>0</v>
      </c>
      <c r="F100" s="362">
        <f>IFERROR(VLOOKUP(C100,'تقرير المصروفات حسب الشهر'!$C$261:$AD$368,20,FALSE),0)</f>
        <v>0</v>
      </c>
      <c r="G100" s="362">
        <f>IFERROR(VLOOKUP(C100,'تقرير المصروفات حسب الشهر'!$C$387:$AD$495,20,FALSE),0)</f>
        <v>0</v>
      </c>
      <c r="H100" s="362">
        <f>IFERROR(VLOOKUP(C100,'تقرير المصروفات حسب الشهر'!$C$512:$AD$620,20,FALSE),0)</f>
        <v>0</v>
      </c>
      <c r="I100" s="362">
        <f>IFERROR(VLOOKUP(C100,'تقرير المصروفات حسب الشهر'!$C$637:$AD$746,20,FALSE),0)</f>
        <v>0.02</v>
      </c>
      <c r="J100" s="362">
        <f>IFERROR(VLOOKUP(C100,'تقرير المصروفات حسب الشهر'!$C$763:$AD$872,20,FALSE),0)</f>
        <v>123.15</v>
      </c>
      <c r="K100" s="362">
        <f>IFERROR(VLOOKUP(C100,'تقرير المصروفات حسب الشهر'!$C$890:$AD$999,20,FALSE),0)</f>
        <v>157.72999999999999</v>
      </c>
      <c r="L100" s="362">
        <f>IFERROR(VLOOKUP(C100,'تقرير المصروفات حسب الشهر'!$C$1016:$AD$1126,20,FALSE),0)</f>
        <v>157.72999999999999</v>
      </c>
      <c r="M100" s="376">
        <f>IFERROR(VLOOKUP(C100,'تقرير المصروفات حسب الشهر'!$C$1143:$AD$1254,20,FALSE),0)</f>
        <v>160.04</v>
      </c>
      <c r="N100" s="376">
        <f>IFERROR(VLOOKUP(C100,'تقرير المصروفات حسب الشهر'!$C$1270:$AD$1381,20,FALSE),0)</f>
        <v>229.61</v>
      </c>
      <c r="O100" s="376">
        <f>IFERROR(VLOOKUP(C100,'تقرير المصروفات حسب الشهر'!$C$1397:$AI$1512,20,FALSE),0)</f>
        <v>294.77</v>
      </c>
      <c r="P100" s="364">
        <f t="shared" si="6"/>
        <v>1389.32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الشهر'!$C$10:$AD$119,20,FALSE),0)</f>
        <v>387.96</v>
      </c>
      <c r="E101" s="362">
        <f>IFERROR(VLOOKUP(C101,'تقرير المصروفات حسب الشهر'!$C$135:$AD$244,20,FALSE),0)</f>
        <v>225.06</v>
      </c>
      <c r="F101" s="362">
        <f>IFERROR(VLOOKUP(C101,'تقرير المصروفات حسب الشهر'!$C$261:$AD$368,20,FALSE),0)</f>
        <v>53.44</v>
      </c>
      <c r="G101" s="362">
        <f>IFERROR(VLOOKUP(C101,'تقرير المصروفات حسب الشهر'!$C$387:$AD$495,20,FALSE),0)</f>
        <v>53.44</v>
      </c>
      <c r="H101" s="362">
        <f>IFERROR(VLOOKUP(C101,'تقرير المصروفات حسب الشهر'!$C$512:$AD$620,20,FALSE),0)</f>
        <v>53.44</v>
      </c>
      <c r="I101" s="362">
        <f>IFERROR(VLOOKUP(C101,'تقرير المصروفات حسب الشهر'!$C$637:$AD$746,20,FALSE),0)</f>
        <v>53.44</v>
      </c>
      <c r="J101" s="362">
        <f>IFERROR(VLOOKUP(C101,'تقرير المصروفات حسب الشهر'!$C$763:$AD$872,20,FALSE),0)</f>
        <v>53.44</v>
      </c>
      <c r="K101" s="362">
        <f>IFERROR(VLOOKUP(C101,'تقرير المصروفات حسب الشهر'!$C$890:$AD$999,20,FALSE),0)</f>
        <v>38.17</v>
      </c>
      <c r="L101" s="362">
        <f>IFERROR(VLOOKUP(C101,'تقرير المصروفات حسب الشهر'!$C$1016:$AD$1126,20,FALSE),0)</f>
        <v>0</v>
      </c>
      <c r="M101" s="376">
        <f>IFERROR(VLOOKUP(C101,'تقرير المصروفات حسب الشهر'!$C$1143:$AD$1254,20,FALSE),0)</f>
        <v>0</v>
      </c>
      <c r="N101" s="376">
        <f>IFERROR(VLOOKUP(C101,'تقرير المصروفات حسب الشهر'!$C$1270:$AD$1381,20,FALSE),0)</f>
        <v>0</v>
      </c>
      <c r="O101" s="376">
        <f>IFERROR(VLOOKUP(C101,'تقرير المصروفات حسب الشهر'!$C$1397:$AI$1512,20,FALSE),0)</f>
        <v>0</v>
      </c>
      <c r="P101" s="364">
        <f t="shared" si="6"/>
        <v>918.39000000000021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الشهر'!$C$10:$AD$119,20,FALSE),0)</f>
        <v>78.66</v>
      </c>
      <c r="E102" s="362">
        <f>IFERROR(VLOOKUP(C102,'تقرير المصروفات حسب الشهر'!$C$135:$AD$244,20,FALSE),0)</f>
        <v>44.58</v>
      </c>
      <c r="F102" s="362">
        <f>IFERROR(VLOOKUP(C102,'تقرير المصروفات حسب الشهر'!$C$261:$AD$368,20,FALSE),0)</f>
        <v>44.58</v>
      </c>
      <c r="G102" s="362">
        <f>IFERROR(VLOOKUP(C102,'تقرير المصروفات حسب الشهر'!$C$387:$AD$495,20,FALSE),0)</f>
        <v>44.58</v>
      </c>
      <c r="H102" s="362">
        <f>IFERROR(VLOOKUP(C102,'تقرير المصروفات حسب الشهر'!$C$512:$AD$620,20,FALSE),0)</f>
        <v>44.58</v>
      </c>
      <c r="I102" s="362">
        <f>IFERROR(VLOOKUP(C102,'تقرير المصروفات حسب الشهر'!$C$637:$AD$746,20,FALSE),0)</f>
        <v>44.58</v>
      </c>
      <c r="J102" s="362">
        <f>IFERROR(VLOOKUP(C102,'تقرير المصروفات حسب الشهر'!$C$763:$AD$872,20,FALSE),0)</f>
        <v>44.58</v>
      </c>
      <c r="K102" s="362">
        <f>IFERROR(VLOOKUP(C102,'تقرير المصروفات حسب الشهر'!$C$890:$AD$999,20,FALSE),0)</f>
        <v>44.58</v>
      </c>
      <c r="L102" s="362">
        <f>IFERROR(VLOOKUP(C102,'تقرير المصروفات حسب الشهر'!$C$1016:$AD$1126,20,FALSE),0)</f>
        <v>44.58</v>
      </c>
      <c r="M102" s="376">
        <f>IFERROR(VLOOKUP(C102,'تقرير المصروفات حسب الشهر'!$C$1143:$AD$1254,20,FALSE),0)</f>
        <v>44.58</v>
      </c>
      <c r="N102" s="376">
        <f>IFERROR(VLOOKUP(C102,'تقرير المصروفات حسب الشهر'!$C$1270:$AD$1381,20,FALSE),0)</f>
        <v>44.58</v>
      </c>
      <c r="O102" s="376">
        <f>IFERROR(VLOOKUP(C102,'تقرير المصروفات حسب الشهر'!$C$1397:$AI$1512,20,FALSE),0)</f>
        <v>0.04</v>
      </c>
      <c r="P102" s="364">
        <f t="shared" si="6"/>
        <v>524.49999999999989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الشهر'!$C$10:$AD$119,20,FALSE),0)</f>
        <v>6</v>
      </c>
      <c r="E103" s="362">
        <f>IFERROR(VLOOKUP(C103,'تقرير المصروفات حسب الشهر'!$C$135:$AD$244,20,FALSE),0)</f>
        <v>6</v>
      </c>
      <c r="F103" s="362">
        <f>IFERROR(VLOOKUP(C103,'تقرير المصروفات حسب الشهر'!$C$261:$AD$368,20,FALSE),0)</f>
        <v>6</v>
      </c>
      <c r="G103" s="362">
        <f>IFERROR(VLOOKUP(C103,'تقرير المصروفات حسب الشهر'!$C$387:$AD$495,20,FALSE),0)</f>
        <v>6</v>
      </c>
      <c r="H103" s="362">
        <f>IFERROR(VLOOKUP(C103,'تقرير المصروفات حسب الشهر'!$C$512:$AD$620,20,FALSE),0)</f>
        <v>6</v>
      </c>
      <c r="I103" s="362">
        <f>IFERROR(VLOOKUP(C103,'تقرير المصروفات حسب الشهر'!$C$637:$AD$746,20,FALSE),0)</f>
        <v>6</v>
      </c>
      <c r="J103" s="362">
        <f>IFERROR(VLOOKUP(C103,'تقرير المصروفات حسب الشهر'!$C$763:$AD$872,20,FALSE),0)</f>
        <v>6</v>
      </c>
      <c r="K103" s="362">
        <f>IFERROR(VLOOKUP(C103,'تقرير المصروفات حسب الشهر'!$C$890:$AD$999,20,FALSE),0)</f>
        <v>6</v>
      </c>
      <c r="L103" s="362">
        <f>IFERROR(VLOOKUP(C103,'تقرير المصروفات حسب الشهر'!$C$1016:$AD$1126,20,FALSE),0)</f>
        <v>6</v>
      </c>
      <c r="M103" s="376">
        <f>IFERROR(VLOOKUP(C103,'تقرير المصروفات حسب الشهر'!$C$1143:$AD$1254,20,FALSE),0)</f>
        <v>6</v>
      </c>
      <c r="N103" s="376">
        <f>IFERROR(VLOOKUP(C103,'تقرير المصروفات حسب الشهر'!$C$1270:$AD$1381,20,FALSE),0)</f>
        <v>6</v>
      </c>
      <c r="O103" s="376">
        <f>IFERROR(VLOOKUP(C103,'تقرير المصروفات حسب الشهر'!$C$1397:$AI$1512,20,FALSE),0)</f>
        <v>0</v>
      </c>
      <c r="P103" s="364">
        <f t="shared" si="6"/>
        <v>66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الشهر'!$C$10:$AD$119,20,FALSE),0)</f>
        <v>0</v>
      </c>
      <c r="E104" s="362">
        <f>IFERROR(VLOOKUP(C104,'تقرير المصروفات حسب الشهر'!$C$135:$AD$244,20,FALSE),0)</f>
        <v>0</v>
      </c>
      <c r="F104" s="362">
        <f>IFERROR(VLOOKUP(C104,'تقرير المصروفات حسب الشهر'!$C$261:$AD$368,20,FALSE),0)</f>
        <v>0</v>
      </c>
      <c r="G104" s="362">
        <f>IFERROR(VLOOKUP(C104,'تقرير المصروفات حسب الشهر'!$C$387:$AD$495,20,FALSE),0)</f>
        <v>0</v>
      </c>
      <c r="H104" s="362">
        <f>IFERROR(VLOOKUP(C104,'تقرير المصروفات حسب الشهر'!$C$512:$AD$620,20,FALSE),0)</f>
        <v>0</v>
      </c>
      <c r="I104" s="362">
        <f>IFERROR(VLOOKUP(C104,'تقرير المصروفات حسب الشهر'!$C$637:$AD$746,20,FALSE),0)</f>
        <v>0</v>
      </c>
      <c r="J104" s="362">
        <f>IFERROR(VLOOKUP(C104,'تقرير المصروفات حسب الشهر'!$C$763:$AD$872,20,FALSE),0)</f>
        <v>0</v>
      </c>
      <c r="K104" s="362">
        <f>IFERROR(VLOOKUP(C104,'تقرير المصروفات حسب الشهر'!$C$890:$AD$999,20,FALSE),0)</f>
        <v>0</v>
      </c>
      <c r="L104" s="362">
        <f>IFERROR(VLOOKUP(C104,'تقرير المصروفات حسب الشهر'!$C$1016:$AD$1126,20,FALSE),0)</f>
        <v>0</v>
      </c>
      <c r="M104" s="376">
        <f>IFERROR(VLOOKUP(C104,'تقرير المصروفات حسب الشهر'!$C$1143:$AD$1254,20,FALSE),0)</f>
        <v>0</v>
      </c>
      <c r="N104" s="376">
        <f>IFERROR(VLOOKUP(C104,'تقرير المصروفات حسب الشهر'!$C$1270:$AD$1381,20,FALSE),0)</f>
        <v>0</v>
      </c>
      <c r="O104" s="376">
        <f>IFERROR(VLOOKUP(C104,'تقرير المصروفات حسب الشهر'!$C$1397:$AI$1512,20,FALSE),0)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الشهر'!$C$10:$AD$119,20,FALSE),0)</f>
        <v>0</v>
      </c>
      <c r="E105" s="362">
        <f>IFERROR(VLOOKUP(C105,'تقرير المصروفات حسب الشهر'!$C$135:$AD$244,20,FALSE),0)</f>
        <v>0</v>
      </c>
      <c r="F105" s="362">
        <f>IFERROR(VLOOKUP(C105,'تقرير المصروفات حسب الشهر'!$C$261:$AD$368,20,FALSE),0)</f>
        <v>0</v>
      </c>
      <c r="G105" s="362">
        <f>IFERROR(VLOOKUP(C105,'تقرير المصروفات حسب الشهر'!$C$387:$AD$495,20,FALSE),0)</f>
        <v>0</v>
      </c>
      <c r="H105" s="362">
        <f>IFERROR(VLOOKUP(C105,'تقرير المصروفات حسب الشهر'!$C$512:$AD$620,20,FALSE),0)</f>
        <v>0</v>
      </c>
      <c r="I105" s="362">
        <f>IFERROR(VLOOKUP(C105,'تقرير المصروفات حسب الشهر'!$C$637:$AD$746,20,FALSE),0)</f>
        <v>0</v>
      </c>
      <c r="J105" s="362">
        <f>IFERROR(VLOOKUP(C105,'تقرير المصروفات حسب الشهر'!$C$763:$AD$872,20,FALSE),0)</f>
        <v>0</v>
      </c>
      <c r="K105" s="362">
        <f>IFERROR(VLOOKUP(C105,'تقرير المصروفات حسب الشهر'!$C$890:$AD$999,20,FALSE),0)</f>
        <v>0</v>
      </c>
      <c r="L105" s="362">
        <f>IFERROR(VLOOKUP(C105,'تقرير المصروفات حسب الشهر'!$C$1016:$AD$1126,20,FALSE),0)</f>
        <v>0</v>
      </c>
      <c r="M105" s="376">
        <f>IFERROR(VLOOKUP(C105,'تقرير المصروفات حسب الشهر'!$C$1143:$AD$1254,20,FALSE),0)</f>
        <v>0</v>
      </c>
      <c r="N105" s="376">
        <f>IFERROR(VLOOKUP(C105,'تقرير المصروفات حسب الشهر'!$C$1270:$AD$1381,20,FALSE),0)</f>
        <v>0</v>
      </c>
      <c r="O105" s="376">
        <f>IFERROR(VLOOKUP(C105,'تقرير المصروفات حسب الشهر'!$C$1397:$AI$1512,20,FALSE),0)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الشهر'!$C$10:$AD$119,20,FALSE),0)</f>
        <v>0</v>
      </c>
      <c r="E106" s="362">
        <f>IFERROR(VLOOKUP(C106,'تقرير المصروفات حسب الشهر'!$C$135:$AD$244,20,FALSE),0)</f>
        <v>0</v>
      </c>
      <c r="F106" s="362">
        <f>IFERROR(VLOOKUP(C106,'تقرير المصروفات حسب الشهر'!$C$261:$AD$368,20,FALSE),0)</f>
        <v>0</v>
      </c>
      <c r="G106" s="362">
        <f>IFERROR(VLOOKUP(C106,'تقرير المصروفات حسب الشهر'!$C$387:$AD$495,20,FALSE),0)</f>
        <v>0</v>
      </c>
      <c r="H106" s="362">
        <f>IFERROR(VLOOKUP(C106,'تقرير المصروفات حسب الشهر'!$C$512:$AD$620,20,FALSE),0)</f>
        <v>0</v>
      </c>
      <c r="I106" s="362">
        <f>IFERROR(VLOOKUP(C106,'تقرير المصروفات حسب الشهر'!$C$637:$AD$746,20,FALSE),0)</f>
        <v>0</v>
      </c>
      <c r="J106" s="362">
        <f>IFERROR(VLOOKUP(C106,'تقرير المصروفات حسب الشهر'!$C$763:$AD$872,20,FALSE),0)</f>
        <v>0</v>
      </c>
      <c r="K106" s="362">
        <f>IFERROR(VLOOKUP(C106,'تقرير المصروفات حسب الشهر'!$C$890:$AD$999,20,FALSE),0)</f>
        <v>0</v>
      </c>
      <c r="L106" s="362">
        <f>IFERROR(VLOOKUP(C106,'تقرير المصروفات حسب الشهر'!$C$1016:$AD$1126,20,FALSE),0)</f>
        <v>0</v>
      </c>
      <c r="M106" s="376">
        <f>IFERROR(VLOOKUP(C106,'تقرير المصروفات حسب الشهر'!$C$1143:$AD$1254,20,FALSE),0)</f>
        <v>0</v>
      </c>
      <c r="N106" s="376">
        <f>IFERROR(VLOOKUP(C106,'تقرير المصروفات حسب الشهر'!$C$1270:$AD$1381,20,FALSE),0)</f>
        <v>0</v>
      </c>
      <c r="O106" s="376">
        <f>IFERROR(VLOOKUP(C106,'تقرير المصروفات حسب الشهر'!$C$1397:$AI$1512,20,FALSE),0)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الشهر'!$C$10:$AD$119,20,FALSE),0)</f>
        <v>0</v>
      </c>
      <c r="E107" s="362">
        <f>IFERROR(VLOOKUP(C107,'تقرير المصروفات حسب الشهر'!$C$135:$AD$244,20,FALSE),0)</f>
        <v>0</v>
      </c>
      <c r="F107" s="362">
        <f>IFERROR(VLOOKUP(C107,'تقرير المصروفات حسب الشهر'!$C$261:$AD$368,20,FALSE),0)</f>
        <v>0</v>
      </c>
      <c r="G107" s="362">
        <f>IFERROR(VLOOKUP(C107,'تقرير المصروفات حسب الشهر'!$C$387:$AD$495,20,FALSE),0)</f>
        <v>0</v>
      </c>
      <c r="H107" s="362">
        <f>IFERROR(VLOOKUP(C107,'تقرير المصروفات حسب الشهر'!$C$512:$AD$620,20,FALSE),0)</f>
        <v>0</v>
      </c>
      <c r="I107" s="362">
        <f>IFERROR(VLOOKUP(C107,'تقرير المصروفات حسب الشهر'!$C$637:$AD$746,20,FALSE),0)</f>
        <v>0</v>
      </c>
      <c r="J107" s="362">
        <f>IFERROR(VLOOKUP(C107,'تقرير المصروفات حسب الشهر'!$C$763:$AD$872,20,FALSE),0)</f>
        <v>0</v>
      </c>
      <c r="K107" s="362">
        <f>IFERROR(VLOOKUP(C107,'تقرير المصروفات حسب الشهر'!$C$890:$AD$999,20,FALSE),0)</f>
        <v>0</v>
      </c>
      <c r="L107" s="362">
        <f>IFERROR(VLOOKUP(C107,'تقرير المصروفات حسب الشهر'!$C$1016:$AD$1126,20,FALSE),0)</f>
        <v>0</v>
      </c>
      <c r="M107" s="376">
        <f>IFERROR(VLOOKUP(C107,'تقرير المصروفات حسب الشهر'!$C$1143:$AD$1254,20,FALSE),0)</f>
        <v>0</v>
      </c>
      <c r="N107" s="376">
        <f>IFERROR(VLOOKUP(C107,'تقرير المصروفات حسب الشهر'!$C$1270:$AD$1381,20,FALSE),0)</f>
        <v>0</v>
      </c>
      <c r="O107" s="376">
        <f>IFERROR(VLOOKUP(C107,'تقرير المصروفات حسب الشهر'!$C$1397:$AI$1512,20,FALSE),0)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الشهر'!$C$10:$AD$119,20,FALSE),0)</f>
        <v>0</v>
      </c>
      <c r="E108" s="362">
        <f>IFERROR(VLOOKUP(C108,'تقرير المصروفات حسب الشهر'!$C$135:$AD$244,20,FALSE),0)</f>
        <v>0</v>
      </c>
      <c r="F108" s="362">
        <f>IFERROR(VLOOKUP(C108,'تقرير المصروفات حسب الشهر'!$C$261:$AD$368,20,FALSE),0)</f>
        <v>0</v>
      </c>
      <c r="G108" s="362">
        <f>IFERROR(VLOOKUP(C108,'تقرير المصروفات حسب الشهر'!$C$387:$AD$495,20,FALSE),0)</f>
        <v>0</v>
      </c>
      <c r="H108" s="362">
        <f>IFERROR(VLOOKUP(C108,'تقرير المصروفات حسب الشهر'!$C$512:$AD$620,20,FALSE),0)</f>
        <v>0</v>
      </c>
      <c r="I108" s="362">
        <f>IFERROR(VLOOKUP(C108,'تقرير المصروفات حسب الشهر'!$C$637:$AD$746,20,FALSE),0)</f>
        <v>0</v>
      </c>
      <c r="J108" s="362">
        <f>IFERROR(VLOOKUP(C108,'تقرير المصروفات حسب الشهر'!$C$763:$AD$872,20,FALSE),0)</f>
        <v>0</v>
      </c>
      <c r="K108" s="362">
        <f>IFERROR(VLOOKUP(C108,'تقرير المصروفات حسب الشهر'!$C$890:$AD$999,20,FALSE),0)</f>
        <v>0</v>
      </c>
      <c r="L108" s="362">
        <f>IFERROR(VLOOKUP(C108,'تقرير المصروفات حسب الشهر'!$C$1016:$AD$1126,20,FALSE),0)</f>
        <v>0</v>
      </c>
      <c r="M108" s="376">
        <f>IFERROR(VLOOKUP(C108,'تقرير المصروفات حسب الشهر'!$C$1143:$AD$1254,20,FALSE),0)</f>
        <v>0</v>
      </c>
      <c r="N108" s="376">
        <f>IFERROR(VLOOKUP(C108,'تقرير المصروفات حسب الشهر'!$C$1270:$AD$1381,20,FALSE),0)</f>
        <v>0</v>
      </c>
      <c r="O108" s="376">
        <f>IFERROR(VLOOKUP(C108,'تقرير المصروفات حسب الشهر'!$C$1397:$AI$1512,20,FALSE),0)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الشهر'!$C$10:$AD$119,20,FALSE),0)</f>
        <v>0</v>
      </c>
      <c r="E109" s="362">
        <f>IFERROR(VLOOKUP(C109,'تقرير المصروفات حسب الشهر'!$C$135:$AD$244,20,FALSE),0)</f>
        <v>0</v>
      </c>
      <c r="F109" s="362">
        <f>IFERROR(VLOOKUP(C109,'تقرير المصروفات حسب الشهر'!$C$261:$AD$368,20,FALSE),0)</f>
        <v>0</v>
      </c>
      <c r="G109" s="362">
        <f>IFERROR(VLOOKUP(C109,'تقرير المصروفات حسب الشهر'!$C$387:$AD$495,20,FALSE),0)</f>
        <v>0</v>
      </c>
      <c r="H109" s="362">
        <f>IFERROR(VLOOKUP(C109,'تقرير المصروفات حسب الشهر'!$C$512:$AD$620,20,FALSE),0)</f>
        <v>0</v>
      </c>
      <c r="I109" s="362">
        <f>IFERROR(VLOOKUP(C109,'تقرير المصروفات حسب الشهر'!$C$637:$AD$746,20,FALSE),0)</f>
        <v>0</v>
      </c>
      <c r="J109" s="362">
        <f>IFERROR(VLOOKUP(C109,'تقرير المصروفات حسب الشهر'!$C$763:$AD$872,20,FALSE),0)</f>
        <v>0</v>
      </c>
      <c r="K109" s="362">
        <f>IFERROR(VLOOKUP(C109,'تقرير المصروفات حسب الشهر'!$C$890:$AD$999,20,FALSE),0)</f>
        <v>0</v>
      </c>
      <c r="L109" s="362">
        <f>IFERROR(VLOOKUP(C109,'تقرير المصروفات حسب الشهر'!$C$1016:$AD$1126,20,FALSE),0)</f>
        <v>0</v>
      </c>
      <c r="M109" s="376">
        <f>IFERROR(VLOOKUP(C109,'تقرير المصروفات حسب الشهر'!$C$1143:$AD$1254,20,FALSE),0)</f>
        <v>0</v>
      </c>
      <c r="N109" s="376">
        <f>IFERROR(VLOOKUP(C109,'تقرير المصروفات حسب الشهر'!$C$1270:$AD$1381,20,FALSE),0)</f>
        <v>0</v>
      </c>
      <c r="O109" s="376">
        <f>IFERROR(VLOOKUP(C109,'تقرير المصروفات حسب الشهر'!$C$1397:$AI$1512,20,FALSE),0)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الشهر'!$C$10:$AD$119,20,FALSE),0)</f>
        <v>0</v>
      </c>
      <c r="E110" s="362">
        <f>IFERROR(VLOOKUP(C110,'تقرير المصروفات حسب الشهر'!$C$135:$AD$244,20,FALSE),0)</f>
        <v>0</v>
      </c>
      <c r="F110" s="362">
        <f>IFERROR(VLOOKUP(C110,'تقرير المصروفات حسب الشهر'!$C$261:$AD$368,20,FALSE),0)</f>
        <v>0</v>
      </c>
      <c r="G110" s="362">
        <f>IFERROR(VLOOKUP(C110,'تقرير المصروفات حسب الشهر'!$C$387:$AD$495,20,FALSE),0)</f>
        <v>0</v>
      </c>
      <c r="H110" s="362">
        <f>IFERROR(VLOOKUP(C110,'تقرير المصروفات حسب الشهر'!$C$512:$AD$620,20,FALSE),0)</f>
        <v>0</v>
      </c>
      <c r="I110" s="362">
        <v>0.56000000000000005</v>
      </c>
      <c r="J110" s="362">
        <f>IFERROR(VLOOKUP(C110,'تقرير المصروفات حسب الشهر'!$C$763:$AD$872,20,FALSE),0)</f>
        <v>0</v>
      </c>
      <c r="K110" s="362">
        <f>IFERROR(VLOOKUP(C110,'تقرير المصروفات حسب الشهر'!$C$890:$AD$999,20,FALSE),0)</f>
        <v>27</v>
      </c>
      <c r="L110" s="362">
        <f>IFERROR(VLOOKUP(C110,'تقرير المصروفات حسب الشهر'!$C$1016:$AD$1126,20,FALSE),0)</f>
        <v>0</v>
      </c>
      <c r="M110" s="376">
        <f>IFERROR(VLOOKUP(C110,'تقرير المصروفات حسب الشهر'!$C$1143:$AD$1254,20,FALSE),0)</f>
        <v>0</v>
      </c>
      <c r="N110" s="376">
        <f>IFERROR(VLOOKUP(C110,'تقرير المصروفات حسب الشهر'!$C$1270:$AD$1381,20,FALSE),0)</f>
        <v>0</v>
      </c>
      <c r="O110" s="376">
        <f>IFERROR(VLOOKUP(C110,'تقرير المصروفات حسب الشهر'!$C$1397:$AI$1512,20,FALSE),0)</f>
        <v>0</v>
      </c>
      <c r="P110" s="364">
        <f t="shared" si="6"/>
        <v>27.56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الشهر'!$C$10:$AD$119,20,FALSE),0)</f>
        <v>0</v>
      </c>
      <c r="E111" s="362">
        <f>IFERROR(VLOOKUP(C111,'تقرير المصروفات حسب الشهر'!$C$135:$AD$244,20,FALSE),0)</f>
        <v>0</v>
      </c>
      <c r="F111" s="362">
        <f>IFERROR(VLOOKUP(C111,'تقرير المصروفات حسب الشهر'!$C$261:$AD$368,20,FALSE),0)</f>
        <v>0</v>
      </c>
      <c r="G111" s="362">
        <f>IFERROR(VLOOKUP(C111,'تقرير المصروفات حسب الشهر'!$C$387:$AD$495,20,FALSE),0)</f>
        <v>0</v>
      </c>
      <c r="H111" s="362">
        <f>IFERROR(VLOOKUP(C111,'تقرير المصروفات حسب الشهر'!$C$512:$AD$620,20,FALSE),0)</f>
        <v>0</v>
      </c>
      <c r="I111" s="362">
        <f>IFERROR(VLOOKUP(C111,'تقرير المصروفات حسب الشهر'!$C$637:$AD$746,20,FALSE),0)</f>
        <v>0</v>
      </c>
      <c r="J111" s="362">
        <f>IFERROR(VLOOKUP(C111,'تقرير المصروفات حسب الشهر'!$C$763:$AD$872,20,FALSE),0)</f>
        <v>0</v>
      </c>
      <c r="K111" s="362">
        <f>IFERROR(VLOOKUP(C111,'تقرير المصروفات حسب الشهر'!$C$890:$AD$999,20,FALSE),0)</f>
        <v>0</v>
      </c>
      <c r="L111" s="362">
        <f>IFERROR(VLOOKUP(C111,'تقرير المصروفات حسب الشهر'!$C$1016:$AD$1126,20,FALSE),0)</f>
        <v>0</v>
      </c>
      <c r="M111" s="376">
        <f>IFERROR(VLOOKUP(C111,'تقرير المصروفات حسب الشهر'!$C$1143:$AD$1254,20,FALSE),0)</f>
        <v>0</v>
      </c>
      <c r="N111" s="376">
        <f>IFERROR(VLOOKUP(C111,'تقرير المصروفات حسب الشهر'!$C$1270:$AD$1381,20,FALSE),0)</f>
        <v>0</v>
      </c>
      <c r="O111" s="376">
        <f>IFERROR(VLOOKUP(C111,'تقرير المصروفات حسب الشهر'!$C$1397:$AI$1512,20,FALSE),0)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الشهر'!$C$10:$AD$119,20,FALSE),0)</f>
        <v>0</v>
      </c>
      <c r="E112" s="362">
        <f>IFERROR(VLOOKUP(C112,'تقرير المصروفات حسب الشهر'!$C$135:$AD$244,20,FALSE),0)</f>
        <v>0</v>
      </c>
      <c r="F112" s="362">
        <f>IFERROR(VLOOKUP(C112,'تقرير المصروفات حسب الشهر'!$C$261:$AD$368,20,FALSE),0)</f>
        <v>0</v>
      </c>
      <c r="G112" s="362">
        <f>IFERROR(VLOOKUP(C112,'تقرير المصروفات حسب الشهر'!$C$387:$AD$495,20,FALSE),0)</f>
        <v>0</v>
      </c>
      <c r="H112" s="362">
        <f>IFERROR(VLOOKUP(C112,'تقرير المصروفات حسب الشهر'!$C$512:$AD$620,20,FALSE),0)</f>
        <v>0</v>
      </c>
      <c r="I112" s="362">
        <f>IFERROR(VLOOKUP(C112,'تقرير المصروفات حسب الشهر'!$C$637:$AD$746,20,FALSE),0)</f>
        <v>0</v>
      </c>
      <c r="J112" s="362">
        <f>IFERROR(VLOOKUP(C112,'تقرير المصروفات حسب الشهر'!$C$763:$AD$872,20,FALSE),0)</f>
        <v>0</v>
      </c>
      <c r="K112" s="362">
        <f>IFERROR(VLOOKUP(C112,'تقرير المصروفات حسب الشهر'!$C$890:$AD$999,20,FALSE),0)</f>
        <v>0</v>
      </c>
      <c r="L112" s="362">
        <f>IFERROR(VLOOKUP(C112,'تقرير المصروفات حسب الشهر'!$C$1016:$AD$1126,20,FALSE),0)</f>
        <v>0</v>
      </c>
      <c r="M112" s="376">
        <f>IFERROR(VLOOKUP(C112,'تقرير المصروفات حسب الشهر'!$C$1143:$AD$1254,20,FALSE),0)</f>
        <v>0</v>
      </c>
      <c r="N112" s="376">
        <f>IFERROR(VLOOKUP(C112,'تقرير المصروفات حسب الشهر'!$C$1270:$AD$1381,20,FALSE),0)</f>
        <v>0</v>
      </c>
      <c r="O112" s="376">
        <f>IFERROR(VLOOKUP(C112,'تقرير المصروفات حسب الشهر'!$C$1397:$AI$1512,20,FALSE),0)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الشهر'!$C$10:$AD$119,20,FALSE),0)</f>
        <v>0</v>
      </c>
      <c r="E113" s="362">
        <f>IFERROR(VLOOKUP(C113,'تقرير المصروفات حسب الشهر'!$C$135:$AD$244,20,FALSE),0)</f>
        <v>0</v>
      </c>
      <c r="F113" s="362">
        <f>IFERROR(VLOOKUP(C113,'تقرير المصروفات حسب الشهر'!$C$261:$AD$368,20,FALSE),0)</f>
        <v>0</v>
      </c>
      <c r="G113" s="362">
        <f>IFERROR(VLOOKUP(C113,'تقرير المصروفات حسب الشهر'!$C$387:$AD$495,20,FALSE),0)</f>
        <v>0</v>
      </c>
      <c r="H113" s="362">
        <f>IFERROR(VLOOKUP(C113,'تقرير المصروفات حسب الشهر'!$C$512:$AD$620,20,FALSE),0)</f>
        <v>0</v>
      </c>
      <c r="I113" s="362">
        <f>IFERROR(VLOOKUP(C113,'تقرير المصروفات حسب الشهر'!$C$637:$AD$746,20,FALSE),0)</f>
        <v>0</v>
      </c>
      <c r="J113" s="362">
        <f>IFERROR(VLOOKUP(C113,'تقرير المصروفات حسب الشهر'!$C$763:$AD$872,20,FALSE),0)</f>
        <v>0</v>
      </c>
      <c r="K113" s="362">
        <f>IFERROR(VLOOKUP(C113,'تقرير المصروفات حسب الشهر'!$C$890:$AD$999,20,FALSE),0)</f>
        <v>0</v>
      </c>
      <c r="L113" s="362">
        <f>IFERROR(VLOOKUP(C113,'تقرير المصروفات حسب الشهر'!$C$1016:$AD$1126,20,FALSE),0)</f>
        <v>0</v>
      </c>
      <c r="M113" s="376">
        <f>IFERROR(VLOOKUP(C113,'تقرير المصروفات حسب الشهر'!$C$1143:$AD$1254,20,FALSE),0)</f>
        <v>0</v>
      </c>
      <c r="N113" s="376">
        <f>IFERROR(VLOOKUP(C113,'تقرير المصروفات حسب الشهر'!$C$1270:$AD$1381,20,FALSE),0)</f>
        <v>0</v>
      </c>
      <c r="O113" s="376">
        <f>IFERROR(VLOOKUP(C113,'تقرير المصروفات حسب الشهر'!$C$1397:$AI$1512,20,FALSE),0)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الشهر'!$C$10:$AD$119,20,FALSE),0)</f>
        <v>0</v>
      </c>
      <c r="E114" s="362">
        <f>IFERROR(VLOOKUP(C114,'تقرير المصروفات حسب الشهر'!$C$135:$AD$244,20,FALSE),0)</f>
        <v>0</v>
      </c>
      <c r="F114" s="362">
        <f>IFERROR(VLOOKUP(C114,'تقرير المصروفات حسب الشهر'!$C$261:$AD$368,20,FALSE),0)</f>
        <v>0</v>
      </c>
      <c r="G114" s="362">
        <f>IFERROR(VLOOKUP(C114,'تقرير المصروفات حسب الشهر'!$C$387:$AD$495,20,FALSE),0)</f>
        <v>0</v>
      </c>
      <c r="H114" s="362">
        <f>IFERROR(VLOOKUP(C114,'تقرير المصروفات حسب الشهر'!$C$512:$AD$620,20,FALSE),0)</f>
        <v>0</v>
      </c>
      <c r="I114" s="362">
        <f>IFERROR(VLOOKUP(C114,'تقرير المصروفات حسب الشهر'!$C$637:$AD$746,20,FALSE),0)</f>
        <v>0</v>
      </c>
      <c r="J114" s="362">
        <f>IFERROR(VLOOKUP(C114,'تقرير المصروفات حسب الشهر'!$C$763:$AD$872,20,FALSE),0)</f>
        <v>0</v>
      </c>
      <c r="K114" s="362">
        <f>IFERROR(VLOOKUP(C114,'تقرير المصروفات حسب الشهر'!$C$890:$AD$999,20,FALSE),0)</f>
        <v>0</v>
      </c>
      <c r="L114" s="362">
        <f>IFERROR(VLOOKUP(C114,'تقرير المصروفات حسب الشهر'!$C$1016:$AD$1126,20,FALSE),0)</f>
        <v>0</v>
      </c>
      <c r="M114" s="376">
        <f>IFERROR(VLOOKUP(C114,'تقرير المصروفات حسب الشهر'!$C$1143:$AD$1254,20,FALSE),0)</f>
        <v>0</v>
      </c>
      <c r="N114" s="376">
        <f>IFERROR(VLOOKUP(C114,'تقرير المصروفات حسب الشهر'!$C$1270:$AD$1381,20,FALSE),0)</f>
        <v>0</v>
      </c>
      <c r="O114" s="376">
        <f>IFERROR(VLOOKUP(C114,'تقرير المصروفات حسب الشهر'!$C$1397:$AI$1512,20,FALSE),0)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الشهر'!$C$10:$AD$119,20,FALSE),0)</f>
        <v>0</v>
      </c>
      <c r="E115" s="362">
        <f>IFERROR(VLOOKUP(C115,'تقرير المصروفات حسب الشهر'!$C$135:$AD$244,20,FALSE),0)</f>
        <v>0</v>
      </c>
      <c r="F115" s="362">
        <f>IFERROR(VLOOKUP(C115,'تقرير المصروفات حسب الشهر'!$C$261:$AD$368,20,FALSE),0)</f>
        <v>0</v>
      </c>
      <c r="G115" s="362">
        <f>IFERROR(VLOOKUP(C115,'تقرير المصروفات حسب الشهر'!$C$387:$AD$495,20,FALSE),0)</f>
        <v>0</v>
      </c>
      <c r="H115" s="362">
        <f>IFERROR(VLOOKUP(C115,'تقرير المصروفات حسب الشهر'!$C$512:$AD$620,20,FALSE),0)</f>
        <v>0</v>
      </c>
      <c r="I115" s="362">
        <f>IFERROR(VLOOKUP(C115,'تقرير المصروفات حسب الشهر'!$C$637:$AD$746,20,FALSE),0)</f>
        <v>0</v>
      </c>
      <c r="J115" s="362">
        <f>IFERROR(VLOOKUP(C115,'تقرير المصروفات حسب الشهر'!$C$763:$AD$872,20,FALSE),0)</f>
        <v>0</v>
      </c>
      <c r="K115" s="362">
        <f>IFERROR(VLOOKUP(C115,'تقرير المصروفات حسب الشهر'!$C$890:$AD$999,20,FALSE),0)</f>
        <v>0</v>
      </c>
      <c r="L115" s="362">
        <f>IFERROR(VLOOKUP(C115,'تقرير المصروفات حسب الشهر'!$C$1016:$AD$1126,20,FALSE),0)</f>
        <v>0</v>
      </c>
      <c r="M115" s="376">
        <f>IFERROR(VLOOKUP(C115,'تقرير المصروفات حسب الشهر'!$C$1143:$AD$1254,20,FALSE),0)</f>
        <v>0</v>
      </c>
      <c r="N115" s="376">
        <f>IFERROR(VLOOKUP(C115,'تقرير المصروفات حسب الشهر'!$C$1270:$AD$1381,20,FALSE),0)</f>
        <v>0</v>
      </c>
      <c r="O115" s="376">
        <f>IFERROR(VLOOKUP(C115,'تقرير المصروفات حسب الشهر'!$C$1397:$AI$1512,20,FALSE),0)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الشهر'!$C$10:$AD$119,20,FALSE),0)</f>
        <v>0</v>
      </c>
      <c r="E116" s="362">
        <f>IFERROR(VLOOKUP(C116,'تقرير المصروفات حسب الشهر'!$C$135:$AD$244,20,FALSE),0)</f>
        <v>0</v>
      </c>
      <c r="F116" s="362">
        <f>IFERROR(VLOOKUP(C116,'تقرير المصروفات حسب الشهر'!$C$261:$AD$368,20,FALSE),0)</f>
        <v>0</v>
      </c>
      <c r="G116" s="362">
        <f>IFERROR(VLOOKUP(C116,'تقرير المصروفات حسب الشهر'!$C$387:$AD$495,20,FALSE),0)</f>
        <v>0</v>
      </c>
      <c r="H116" s="362">
        <f>IFERROR(VLOOKUP(C116,'تقرير المصروفات حسب الشهر'!$C$512:$AD$620,20,FALSE),0)</f>
        <v>0</v>
      </c>
      <c r="I116" s="362">
        <f>IFERROR(VLOOKUP(C116,'تقرير المصروفات حسب الشهر'!$C$637:$AD$746,20,FALSE),0)</f>
        <v>0</v>
      </c>
      <c r="J116" s="362">
        <f>IFERROR(VLOOKUP(C116,'تقرير المصروفات حسب الشهر'!$C$763:$AD$872,20,FALSE),0)</f>
        <v>0</v>
      </c>
      <c r="K116" s="362">
        <f>IFERROR(VLOOKUP(C116,'تقرير المصروفات حسب الشهر'!$C$890:$AD$999,20,FALSE),0)</f>
        <v>0</v>
      </c>
      <c r="L116" s="362">
        <f>IFERROR(VLOOKUP(C116,'تقرير المصروفات حسب الشهر'!$C$1016:$AD$1126,20,FALSE),0)</f>
        <v>0</v>
      </c>
      <c r="M116" s="376">
        <f>IFERROR(VLOOKUP(C116,'تقرير المصروفات حسب الشهر'!$C$1143:$AD$1254,20,FALSE),0)</f>
        <v>0</v>
      </c>
      <c r="N116" s="376">
        <f>IFERROR(VLOOKUP(C116,'تقرير المصروفات حسب الشهر'!$C$1270:$AD$1381,20,FALSE),0)</f>
        <v>0</v>
      </c>
      <c r="O116" s="376">
        <f>IFERROR(VLOOKUP(C116,'تقرير المصروفات حسب الشهر'!$C$1397:$AI$1512,20,FALSE),0)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الشهر'!$C$10:$AD$119,20,FALSE),0)</f>
        <v>0</v>
      </c>
      <c r="E117" s="362">
        <f>IFERROR(VLOOKUP(C117,'تقرير المصروفات حسب الشهر'!$C$135:$AD$244,20,FALSE),0)</f>
        <v>0</v>
      </c>
      <c r="F117" s="362">
        <f>IFERROR(VLOOKUP(C117,'تقرير المصروفات حسب الشهر'!$C$261:$AD$368,20,FALSE),0)</f>
        <v>0</v>
      </c>
      <c r="G117" s="362">
        <f>IFERROR(VLOOKUP(C117,'تقرير المصروفات حسب الشهر'!$C$387:$AD$495,20,FALSE),0)</f>
        <v>0</v>
      </c>
      <c r="H117" s="362">
        <f>IFERROR(VLOOKUP(C117,'تقرير المصروفات حسب الشهر'!$C$512:$AD$620,20,FALSE),0)</f>
        <v>0</v>
      </c>
      <c r="I117" s="362">
        <f>IFERROR(VLOOKUP(C117,'تقرير المصروفات حسب الشهر'!$C$637:$AD$746,20,FALSE),0)</f>
        <v>0</v>
      </c>
      <c r="J117" s="362">
        <f>IFERROR(VLOOKUP(C117,'تقرير المصروفات حسب الشهر'!$C$763:$AD$872,20,FALSE),0)</f>
        <v>0</v>
      </c>
      <c r="K117" s="362">
        <f>IFERROR(VLOOKUP(C117,'تقرير المصروفات حسب الشهر'!$C$890:$AD$999,20,FALSE),0)</f>
        <v>0</v>
      </c>
      <c r="L117" s="362">
        <f>IFERROR(VLOOKUP(C117,'تقرير المصروفات حسب الشهر'!$C$1016:$AD$1126,20,FALSE),0)</f>
        <v>0</v>
      </c>
      <c r="M117" s="376">
        <f>IFERROR(VLOOKUP(C117,'تقرير المصروفات حسب الشهر'!$C$1143:$AD$1254,20,FALSE),0)</f>
        <v>0</v>
      </c>
      <c r="N117" s="376">
        <f>IFERROR(VLOOKUP(C117,'تقرير المصروفات حسب الشهر'!$C$1270:$AD$1381,20,FALSE),0)</f>
        <v>0</v>
      </c>
      <c r="O117" s="376">
        <f>IFERROR(VLOOKUP(C117,'تقرير المصروفات حسب الشهر'!$C$1397:$AI$1512,20,FALSE),0)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الشهر'!$C$10:$AD$119,20,FALSE),0)</f>
        <v>0</v>
      </c>
      <c r="E118" s="362">
        <f>IFERROR(VLOOKUP(C118,'تقرير المصروفات حسب الشهر'!$C$135:$AD$244,20,FALSE),0)</f>
        <v>0</v>
      </c>
      <c r="F118" s="362">
        <f>IFERROR(VLOOKUP(C118,'تقرير المصروفات حسب الشهر'!$C$261:$AD$368,20,FALSE),0)</f>
        <v>0</v>
      </c>
      <c r="G118" s="362">
        <f>IFERROR(VLOOKUP(C118,'تقرير المصروفات حسب الشهر'!$C$387:$AD$495,20,FALSE),0)</f>
        <v>0</v>
      </c>
      <c r="H118" s="362">
        <f>IFERROR(VLOOKUP(C118,'تقرير المصروفات حسب الشهر'!$C$512:$AD$620,20,FALSE),0)</f>
        <v>0</v>
      </c>
      <c r="I118" s="362">
        <f>IFERROR(VLOOKUP(C118,'تقرير المصروفات حسب الشهر'!$C$637:$AD$746,20,FALSE),0)</f>
        <v>0</v>
      </c>
      <c r="J118" s="362">
        <f>IFERROR(VLOOKUP(C118,'تقرير المصروفات حسب الشهر'!$C$763:$AD$872,20,FALSE),0)</f>
        <v>0</v>
      </c>
      <c r="K118" s="362">
        <f>IFERROR(VLOOKUP(C118,'تقرير المصروفات حسب الشهر'!$C$890:$AD$999,20,FALSE),0)</f>
        <v>0</v>
      </c>
      <c r="L118" s="362">
        <f>IFERROR(VLOOKUP(C118,'تقرير المصروفات حسب الشهر'!$C$1016:$AD$1126,20,FALSE),0)</f>
        <v>0</v>
      </c>
      <c r="M118" s="376">
        <f>IFERROR(VLOOKUP(C118,'تقرير المصروفات حسب الشهر'!$C$1143:$AD$1254,20,FALSE),0)</f>
        <v>0</v>
      </c>
      <c r="N118" s="376">
        <f>IFERROR(VLOOKUP(C118,'تقرير المصروفات حسب الشهر'!$C$1270:$AD$1381,20,FALSE),0)</f>
        <v>0</v>
      </c>
      <c r="O118" s="376">
        <f>IFERROR(VLOOKUP(C118,'تقرير المصروفات حسب الشهر'!$C$1397:$AI$1512,20,FALSE),0)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الشهر'!$C$10:$AD$119,20,FALSE),0)</f>
        <v>0</v>
      </c>
      <c r="E119" s="362">
        <f>IFERROR(VLOOKUP(C119,'تقرير المصروفات حسب الشهر'!$C$135:$AD$244,20,FALSE),0)</f>
        <v>0</v>
      </c>
      <c r="F119" s="362">
        <f>IFERROR(VLOOKUP(C119,'تقرير المصروفات حسب الشهر'!$C$261:$AD$368,20,FALSE),0)</f>
        <v>0</v>
      </c>
      <c r="G119" s="362">
        <f>IFERROR(VLOOKUP(C119,'تقرير المصروفات حسب الشهر'!$C$387:$AD$495,20,FALSE),0)</f>
        <v>0</v>
      </c>
      <c r="H119" s="362">
        <f>IFERROR(VLOOKUP(C119,'تقرير المصروفات حسب الشهر'!$C$512:$AD$620,20,FALSE),0)</f>
        <v>0</v>
      </c>
      <c r="I119" s="362">
        <f>IFERROR(VLOOKUP(C119,'تقرير المصروفات حسب الشهر'!$C$637:$AD$746,20,FALSE),0)</f>
        <v>0</v>
      </c>
      <c r="J119" s="362">
        <f>IFERROR(VLOOKUP(C119,'تقرير المصروفات حسب الشهر'!$C$763:$AD$872,20,FALSE),0)</f>
        <v>0</v>
      </c>
      <c r="K119" s="362">
        <f>IFERROR(VLOOKUP(C119,'تقرير المصروفات حسب الشهر'!$C$890:$AD$999,20,FALSE),0)</f>
        <v>0</v>
      </c>
      <c r="L119" s="362">
        <f>IFERROR(VLOOKUP(C119,'تقرير المصروفات حسب الشهر'!$C$1016:$AD$1126,20,FALSE),0)</f>
        <v>0</v>
      </c>
      <c r="M119" s="376">
        <f>IFERROR(VLOOKUP(C119,'تقرير المصروفات حسب الشهر'!$C$1143:$AD$1254,20,FALSE),0)</f>
        <v>0</v>
      </c>
      <c r="N119" s="376">
        <f>IFERROR(VLOOKUP(C119,'تقرير المصروفات حسب الشهر'!$C$1270:$AD$1381,20,FALSE),0)</f>
        <v>0</v>
      </c>
      <c r="O119" s="376">
        <f>IFERROR(VLOOKUP(C119,'تقرير المصروفات حسب الشهر'!$C$1397:$AI$1512,20,FALSE),0)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الشهر'!$C$10:$AD$119,20,FALSE),0)</f>
        <v>0</v>
      </c>
      <c r="E120" s="362">
        <f>IFERROR(VLOOKUP(C120,'تقرير المصروفات حسب الشهر'!$C$135:$AD$244,20,FALSE),0)</f>
        <v>0</v>
      </c>
      <c r="F120" s="362">
        <f>IFERROR(VLOOKUP(C120,'تقرير المصروفات حسب الشهر'!$C$261:$AD$368,20,FALSE),0)</f>
        <v>0</v>
      </c>
      <c r="G120" s="362">
        <f>IFERROR(VLOOKUP(C120,'تقرير المصروفات حسب الشهر'!$C$387:$AD$495,20,FALSE),0)</f>
        <v>0</v>
      </c>
      <c r="H120" s="362">
        <f>IFERROR(VLOOKUP(C120,'تقرير المصروفات حسب الشهر'!$C$512:$AD$620,20,FALSE),0)</f>
        <v>0</v>
      </c>
      <c r="I120" s="362">
        <f>IFERROR(VLOOKUP(C120,'تقرير المصروفات حسب الشهر'!$C$637:$AD$746,20,FALSE),0)</f>
        <v>0</v>
      </c>
      <c r="J120" s="362">
        <f>IFERROR(VLOOKUP(C120,'تقرير المصروفات حسب الشهر'!$C$763:$AD$872,20,FALSE),0)</f>
        <v>0</v>
      </c>
      <c r="K120" s="362">
        <f>IFERROR(VLOOKUP(C120,'تقرير المصروفات حسب الشهر'!$C$890:$AD$999,20,FALSE),0)</f>
        <v>0</v>
      </c>
      <c r="L120" s="362">
        <f>IFERROR(VLOOKUP(C120,'تقرير المصروفات حسب الشهر'!$C$1016:$AD$1126,20,FALSE),0)</f>
        <v>0</v>
      </c>
      <c r="M120" s="376">
        <f>IFERROR(VLOOKUP(C120,'تقرير المصروفات حسب الشهر'!$C$1143:$AD$1254,20,FALSE),0)</f>
        <v>0</v>
      </c>
      <c r="N120" s="376">
        <f>IFERROR(VLOOKUP(C120,'تقرير المصروفات حسب الشهر'!$C$1270:$AD$1381,20,FALSE),0)</f>
        <v>0</v>
      </c>
      <c r="O120" s="376">
        <f>IFERROR(VLOOKUP(C120,'تقرير المصروفات حسب الشهر'!$C$1397:$AI$1512,20,FALSE),0)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الشهر'!$C$10:$AD$119,20,FALSE),0)</f>
        <v>0</v>
      </c>
      <c r="E121" s="362">
        <f>IFERROR(VLOOKUP(C121,'تقرير المصروفات حسب الشهر'!$C$135:$AD$244,20,FALSE),0)</f>
        <v>0</v>
      </c>
      <c r="F121" s="362">
        <f>IFERROR(VLOOKUP(C121,'تقرير المصروفات حسب الشهر'!$C$261:$AD$368,20,FALSE),0)</f>
        <v>0</v>
      </c>
      <c r="G121" s="362">
        <f>IFERROR(VLOOKUP(C121,'تقرير المصروفات حسب الشهر'!$C$387:$AD$495,20,FALSE),0)</f>
        <v>0</v>
      </c>
      <c r="H121" s="362">
        <f>IFERROR(VLOOKUP(C121,'تقرير المصروفات حسب الشهر'!$C$512:$AD$620,20,FALSE),0)</f>
        <v>0</v>
      </c>
      <c r="I121" s="362">
        <f>IFERROR(VLOOKUP(C121,'تقرير المصروفات حسب الشهر'!$C$637:$AD$746,20,FALSE),0)</f>
        <v>0</v>
      </c>
      <c r="J121" s="362">
        <f>IFERROR(VLOOKUP(C121,'تقرير المصروفات حسب الشهر'!$C$763:$AD$872,20,FALSE),0)</f>
        <v>0</v>
      </c>
      <c r="K121" s="362">
        <f>IFERROR(VLOOKUP(C121,'تقرير المصروفات حسب الشهر'!$C$890:$AD$999,20,FALSE),0)</f>
        <v>0</v>
      </c>
      <c r="L121" s="362">
        <f>IFERROR(VLOOKUP(C121,'تقرير المصروفات حسب الشهر'!$C$1016:$AD$1126,20,FALSE),0)</f>
        <v>0</v>
      </c>
      <c r="M121" s="376">
        <f>IFERROR(VLOOKUP(C121,'تقرير المصروفات حسب الشهر'!$C$1143:$AD$1254,20,FALSE),0)</f>
        <v>0</v>
      </c>
      <c r="N121" s="376">
        <f>IFERROR(VLOOKUP(C121,'تقرير المصروفات حسب الشهر'!$C$1270:$AD$1381,20,FALSE),0)</f>
        <v>0</v>
      </c>
      <c r="O121" s="376">
        <f>IFERROR(VLOOKUP(C121,'تقرير المصروفات حسب الشهر'!$C$1397:$AI$1512,20,FALSE),0)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الشهر'!$C$10:$AD$119,20,FALSE),0)</f>
        <v>0</v>
      </c>
      <c r="E122" s="362">
        <f>IFERROR(VLOOKUP(C122,'تقرير المصروفات حسب الشهر'!$C$135:$AD$244,20,FALSE),0)</f>
        <v>0</v>
      </c>
      <c r="F122" s="362">
        <f>IFERROR(VLOOKUP(C122,'تقرير المصروفات حسب الشهر'!$C$261:$AD$368,20,FALSE),0)</f>
        <v>0</v>
      </c>
      <c r="G122" s="362">
        <f>IFERROR(VLOOKUP(C122,'تقرير المصروفات حسب الشهر'!$C$387:$AD$495,20,FALSE),0)</f>
        <v>0</v>
      </c>
      <c r="H122" s="362">
        <f>IFERROR(VLOOKUP(C122,'تقرير المصروفات حسب الشهر'!$C$512:$AD$620,20,FALSE),0)</f>
        <v>0</v>
      </c>
      <c r="I122" s="362">
        <f>IFERROR(VLOOKUP(C122,'تقرير المصروفات حسب الشهر'!$C$637:$AD$746,20,FALSE),0)</f>
        <v>0</v>
      </c>
      <c r="J122" s="362">
        <f>IFERROR(VLOOKUP(C122,'تقرير المصروفات حسب الشهر'!$C$763:$AD$872,20,FALSE),0)</f>
        <v>0</v>
      </c>
      <c r="K122" s="362">
        <f>IFERROR(VLOOKUP(C122,'تقرير المصروفات حسب الشهر'!$C$890:$AD$999,20,FALSE),0)</f>
        <v>0</v>
      </c>
      <c r="L122" s="362">
        <f>IFERROR(VLOOKUP(C122,'تقرير المصروفات حسب الشهر'!$C$1016:$AD$1126,20,FALSE),0)</f>
        <v>0</v>
      </c>
      <c r="M122" s="376">
        <f>IFERROR(VLOOKUP(C122,'تقرير المصروفات حسب الشهر'!$C$1143:$AD$1254,20,FALSE),0)</f>
        <v>0</v>
      </c>
      <c r="N122" s="376">
        <f>IFERROR(VLOOKUP(C122,'تقرير المصروفات حسب الشهر'!$C$1270:$AD$1381,20,FALSE),0)</f>
        <v>0</v>
      </c>
      <c r="O122" s="376">
        <f>IFERROR(VLOOKUP(C122,'تقرير المصروفات حسب الشهر'!$C$1397:$AI$1512,20,FALSE),0)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الشهر'!$C$10:$AD$119,20,FALSE),0)</f>
        <v>0</v>
      </c>
      <c r="E123" s="362">
        <f>IFERROR(VLOOKUP(C123,'تقرير المصروفات حسب الشهر'!$C$135:$AD$244,20,FALSE),0)</f>
        <v>0</v>
      </c>
      <c r="F123" s="362">
        <f>IFERROR(VLOOKUP(C123,'تقرير المصروفات حسب الشهر'!$C$261:$AD$368,20,FALSE),0)</f>
        <v>0</v>
      </c>
      <c r="G123" s="362">
        <f>IFERROR(VLOOKUP(C123,'تقرير المصروفات حسب الشهر'!$C$387:$AD$495,20,FALSE),0)</f>
        <v>0</v>
      </c>
      <c r="H123" s="362">
        <f>IFERROR(VLOOKUP(C123,'تقرير المصروفات حسب الشهر'!$C$512:$AD$620,20,FALSE),0)</f>
        <v>0</v>
      </c>
      <c r="I123" s="362">
        <f>IFERROR(VLOOKUP(C123,'تقرير المصروفات حسب الشهر'!$C$637:$AD$746,20,FALSE),0)</f>
        <v>0</v>
      </c>
      <c r="J123" s="362">
        <f>IFERROR(VLOOKUP(C123,'تقرير المصروفات حسب الشهر'!$C$763:$AD$872,20,FALSE),0)</f>
        <v>0</v>
      </c>
      <c r="K123" s="362">
        <f>IFERROR(VLOOKUP(C123,'تقرير المصروفات حسب الشهر'!$C$890:$AD$999,20,FALSE),0)</f>
        <v>0</v>
      </c>
      <c r="L123" s="362">
        <f>IFERROR(VLOOKUP(C123,'تقرير المصروفات حسب الشهر'!$C$1016:$AD$1126,20,FALSE),0)</f>
        <v>0</v>
      </c>
      <c r="M123" s="376">
        <f>IFERROR(VLOOKUP(C123,'تقرير المصروفات حسب الشهر'!$C$1143:$AD$1254,20,FALSE),0)</f>
        <v>0</v>
      </c>
      <c r="N123" s="376">
        <f>IFERROR(VLOOKUP(C123,'تقرير المصروفات حسب الشهر'!$C$1270:$AD$1381,20,FALSE),0)</f>
        <v>0</v>
      </c>
      <c r="O123" s="376">
        <f>IFERROR(VLOOKUP(C123,'تقرير المصروفات حسب الشهر'!$C$1397:$AI$1512,20,FALSE),0)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الشهر'!$C$10:$AD$119,20,FALSE),0)</f>
        <v>0</v>
      </c>
      <c r="E124" s="362">
        <f>IFERROR(VLOOKUP(C124,'تقرير المصروفات حسب الشهر'!$C$135:$AD$244,20,FALSE),0)</f>
        <v>0</v>
      </c>
      <c r="F124" s="362">
        <f>IFERROR(VLOOKUP(C124,'تقرير المصروفات حسب الشهر'!$C$261:$AD$368,20,FALSE),0)</f>
        <v>0</v>
      </c>
      <c r="G124" s="362">
        <f>IFERROR(VLOOKUP(C124,'تقرير المصروفات حسب الشهر'!$C$387:$AD$495,20,FALSE),0)</f>
        <v>0</v>
      </c>
      <c r="H124" s="362">
        <f>IFERROR(VLOOKUP(C124,'تقرير المصروفات حسب الشهر'!$C$512:$AD$620,20,FALSE),0)</f>
        <v>0</v>
      </c>
      <c r="I124" s="362">
        <f>IFERROR(VLOOKUP(C124,'تقرير المصروفات حسب الشهر'!$C$637:$AD$746,20,FALSE),0)</f>
        <v>0</v>
      </c>
      <c r="J124" s="362">
        <f>IFERROR(VLOOKUP(C124,'تقرير المصروفات حسب الشهر'!$C$763:$AD$872,20,FALSE),0)</f>
        <v>0</v>
      </c>
      <c r="K124" s="362">
        <f>IFERROR(VLOOKUP(C124,'تقرير المصروفات حسب الشهر'!$C$890:$AD$999,20,FALSE),0)</f>
        <v>0</v>
      </c>
      <c r="L124" s="362">
        <f>IFERROR(VLOOKUP(C124,'تقرير المصروفات حسب الشهر'!$C$1016:$AD$1126,20,FALSE),0)</f>
        <v>0</v>
      </c>
      <c r="M124" s="376">
        <f>IFERROR(VLOOKUP(C124,'تقرير المصروفات حسب الشهر'!$C$1143:$AD$1254,20,FALSE),0)</f>
        <v>0</v>
      </c>
      <c r="N124" s="376">
        <f>IFERROR(VLOOKUP(C124,'تقرير المصروفات حسب الشهر'!$C$1270:$AD$1381,20,FALSE),0)</f>
        <v>0</v>
      </c>
      <c r="O124" s="376">
        <f>IFERROR(VLOOKUP(C124,'تقرير المصروفات حسب الشهر'!$C$1397:$AI$1512,20,FALSE),0)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الشهر'!$C$10:$AD$119,20,FALSE),0)</f>
        <v>0</v>
      </c>
      <c r="E125" s="362">
        <f>IFERROR(VLOOKUP(C125,'تقرير المصروفات حسب الشهر'!$C$135:$AD$244,20,FALSE),0)</f>
        <v>0</v>
      </c>
      <c r="F125" s="362">
        <f>IFERROR(VLOOKUP(C125,'تقرير المصروفات حسب الشهر'!$C$261:$AD$368,20,FALSE),0)</f>
        <v>0</v>
      </c>
      <c r="G125" s="362">
        <f>IFERROR(VLOOKUP(C125,'تقرير المصروفات حسب الشهر'!$C$387:$AD$495,20,FALSE),0)</f>
        <v>0</v>
      </c>
      <c r="H125" s="362">
        <f>IFERROR(VLOOKUP(C125,'تقرير المصروفات حسب الشهر'!$C$512:$AD$620,20,FALSE),0)</f>
        <v>0</v>
      </c>
      <c r="I125" s="362">
        <f>IFERROR(VLOOKUP(C125,'تقرير المصروفات حسب الشهر'!$C$637:$AD$746,20,FALSE),0)</f>
        <v>0</v>
      </c>
      <c r="J125" s="362">
        <f>IFERROR(VLOOKUP(C125,'تقرير المصروفات حسب الشهر'!$C$763:$AD$872,20,FALSE),0)</f>
        <v>0</v>
      </c>
      <c r="K125" s="362">
        <f>IFERROR(VLOOKUP(C125,'تقرير المصروفات حسب الشهر'!$C$890:$AD$999,20,FALSE),0)</f>
        <v>0</v>
      </c>
      <c r="L125" s="362">
        <f>IFERROR(VLOOKUP(C125,'تقرير المصروفات حسب الشهر'!$C$1016:$AD$1126,20,FALSE),0)</f>
        <v>0</v>
      </c>
      <c r="M125" s="376">
        <f>IFERROR(VLOOKUP(C125,'تقرير المصروفات حسب الشهر'!$C$1143:$AD$1254,20,FALSE),0)</f>
        <v>0</v>
      </c>
      <c r="N125" s="376">
        <f>IFERROR(VLOOKUP(C125,'تقرير المصروفات حسب الشهر'!$C$1270:$AD$1381,20,FALSE),0)</f>
        <v>0</v>
      </c>
      <c r="O125" s="376">
        <f>IFERROR(VLOOKUP(C125,'تقرير المصروفات حسب الشهر'!$C$1397:$AI$1512,20,FALSE),0)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الشهر'!$C$10:$AD$119,20,FALSE),0)</f>
        <v>0</v>
      </c>
      <c r="E126" s="362">
        <f>IFERROR(VLOOKUP(C126,'تقرير المصروفات حسب الشهر'!$C$135:$AD$244,20,FALSE),0)</f>
        <v>0</v>
      </c>
      <c r="F126" s="362">
        <f>IFERROR(VLOOKUP(C126,'تقرير المصروفات حسب الشهر'!$C$261:$AD$368,20,FALSE),0)</f>
        <v>0</v>
      </c>
      <c r="G126" s="362">
        <f>IFERROR(VLOOKUP(C126,'تقرير المصروفات حسب الشهر'!$C$387:$AD$495,20,FALSE),0)</f>
        <v>0</v>
      </c>
      <c r="H126" s="362">
        <f>IFERROR(VLOOKUP(C126,'تقرير المصروفات حسب الشهر'!$C$512:$AD$620,20,FALSE),0)</f>
        <v>0</v>
      </c>
      <c r="I126" s="362">
        <f>IFERROR(VLOOKUP(C126,'تقرير المصروفات حسب الشهر'!$C$637:$AD$746,20,FALSE),0)</f>
        <v>0</v>
      </c>
      <c r="J126" s="362">
        <f>IFERROR(VLOOKUP(C126,'تقرير المصروفات حسب الشهر'!$C$763:$AD$872,20,FALSE),0)</f>
        <v>0</v>
      </c>
      <c r="K126" s="362">
        <f>IFERROR(VLOOKUP(C126,'تقرير المصروفات حسب الشهر'!$C$890:$AD$999,20,FALSE),0)</f>
        <v>0</v>
      </c>
      <c r="L126" s="362">
        <f>IFERROR(VLOOKUP(C126,'تقرير المصروفات حسب الشهر'!$C$1016:$AD$1126,20,FALSE),0)</f>
        <v>0</v>
      </c>
      <c r="M126" s="376">
        <f>IFERROR(VLOOKUP(C126,'تقرير المصروفات حسب الشهر'!$C$1143:$AD$1254,20,FALSE),0)</f>
        <v>0</v>
      </c>
      <c r="N126" s="376">
        <f>IFERROR(VLOOKUP(C126,'تقرير المصروفات حسب الشهر'!$C$1270:$AD$1381,20,FALSE),0)</f>
        <v>0</v>
      </c>
      <c r="O126" s="376">
        <f>IFERROR(VLOOKUP(C126,'تقرير المصروفات حسب الشهر'!$C$1397:$AI$1512,20,FALSE),0)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الشهر'!$C$10:$AD$119,20,FALSE),0)</f>
        <v>0</v>
      </c>
      <c r="E127" s="362">
        <f>IFERROR(VLOOKUP(C127,'تقرير المصروفات حسب الشهر'!$C$135:$AD$244,20,FALSE),0)</f>
        <v>0</v>
      </c>
      <c r="F127" s="362">
        <f>IFERROR(VLOOKUP(C127,'تقرير المصروفات حسب الشهر'!$C$261:$AD$368,20,FALSE),0)</f>
        <v>0</v>
      </c>
      <c r="G127" s="362">
        <f>IFERROR(VLOOKUP(C127,'تقرير المصروفات حسب الشهر'!$C$387:$AD$495,20,FALSE),0)</f>
        <v>0</v>
      </c>
      <c r="H127" s="362">
        <f>IFERROR(VLOOKUP(C127,'تقرير المصروفات حسب الشهر'!$C$512:$AD$620,20,FALSE),0)</f>
        <v>0</v>
      </c>
      <c r="I127" s="362">
        <f>IFERROR(VLOOKUP(C127,'تقرير المصروفات حسب الشهر'!$C$637:$AD$746,20,FALSE),0)</f>
        <v>0</v>
      </c>
      <c r="J127" s="362">
        <f>IFERROR(VLOOKUP(C127,'تقرير المصروفات حسب الشهر'!$C$763:$AD$872,20,FALSE),0)</f>
        <v>0</v>
      </c>
      <c r="K127" s="362">
        <f>IFERROR(VLOOKUP(C127,'تقرير المصروفات حسب الشهر'!$C$890:$AD$999,20,FALSE),0)</f>
        <v>0</v>
      </c>
      <c r="L127" s="362">
        <f>IFERROR(VLOOKUP(C127,'تقرير المصروفات حسب الشهر'!$C$1016:$AD$1126,20,FALSE),0)</f>
        <v>0</v>
      </c>
      <c r="M127" s="376">
        <f>IFERROR(VLOOKUP(C127,'تقرير المصروفات حسب الشهر'!$C$1143:$AD$1254,20,FALSE),0)</f>
        <v>0</v>
      </c>
      <c r="N127" s="376">
        <f>IFERROR(VLOOKUP(C127,'تقرير المصروفات حسب الشهر'!$C$1270:$AD$1381,20,FALSE),0)</f>
        <v>0</v>
      </c>
      <c r="O127" s="376">
        <f>IFERROR(VLOOKUP(C127,'تقرير المصروفات حسب الشهر'!$C$1397:$AI$1512,20,FALSE),0)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الشهر'!$C$10:$AD$119,20,FALSE),0)</f>
        <v>0</v>
      </c>
      <c r="E128" s="362">
        <f>IFERROR(VLOOKUP(C128,'تقرير المصروفات حسب الشهر'!$C$135:$AD$244,20,FALSE),0)</f>
        <v>0</v>
      </c>
      <c r="F128" s="362">
        <f>IFERROR(VLOOKUP(C128,'تقرير المصروفات حسب الشهر'!$C$261:$AD$368,20,FALSE),0)</f>
        <v>0</v>
      </c>
      <c r="G128" s="362">
        <f>IFERROR(VLOOKUP(C128,'تقرير المصروفات حسب الشهر'!$C$387:$AD$495,20,FALSE),0)</f>
        <v>0</v>
      </c>
      <c r="H128" s="362">
        <f>IFERROR(VLOOKUP(C128,'تقرير المصروفات حسب الشهر'!$C$512:$AD$620,20,FALSE),0)</f>
        <v>0</v>
      </c>
      <c r="I128" s="362">
        <f>IFERROR(VLOOKUP(C128,'تقرير المصروفات حسب الشهر'!$C$637:$AD$746,20,FALSE),0)</f>
        <v>0</v>
      </c>
      <c r="J128" s="362">
        <f>IFERROR(VLOOKUP(C128,'تقرير المصروفات حسب الشهر'!$C$763:$AD$872,20,FALSE),0)</f>
        <v>0</v>
      </c>
      <c r="K128" s="362">
        <f>IFERROR(VLOOKUP(C128,'تقرير المصروفات حسب الشهر'!$C$890:$AD$999,20,FALSE),0)</f>
        <v>0</v>
      </c>
      <c r="L128" s="362">
        <f>IFERROR(VLOOKUP(C128,'تقرير المصروفات حسب الشهر'!$C$1016:$AD$1126,20,FALSE),0)</f>
        <v>0</v>
      </c>
      <c r="M128" s="376">
        <f>IFERROR(VLOOKUP(C128,'تقرير المصروفات حسب الشهر'!$C$1143:$AD$1254,20,FALSE),0)</f>
        <v>0</v>
      </c>
      <c r="N128" s="376">
        <f>IFERROR(VLOOKUP(C128,'تقرير المصروفات حسب الشهر'!$C$1270:$AD$1381,20,FALSE),0)</f>
        <v>0</v>
      </c>
      <c r="O128" s="376">
        <f>IFERROR(VLOOKUP(C128,'تقرير المصروفات حسب الشهر'!$C$1397:$AI$1512,20,FALSE),0)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الشهر'!$C$10:$AD$119,20,FALSE),0)</f>
        <v>0</v>
      </c>
      <c r="E129" s="362">
        <f>IFERROR(VLOOKUP(C129,'تقرير المصروفات حسب الشهر'!$C$135:$AD$244,20,FALSE),0)</f>
        <v>0</v>
      </c>
      <c r="F129" s="362">
        <f>IFERROR(VLOOKUP(C129,'تقرير المصروفات حسب الشهر'!$C$261:$AD$368,20,FALSE),0)</f>
        <v>0</v>
      </c>
      <c r="G129" s="362">
        <f>IFERROR(VLOOKUP(C129,'تقرير المصروفات حسب الشهر'!$C$387:$AD$495,20,FALSE),0)</f>
        <v>0</v>
      </c>
      <c r="H129" s="362">
        <f>IFERROR(VLOOKUP(C129,'تقرير المصروفات حسب الشهر'!$C$512:$AD$620,20,FALSE),0)</f>
        <v>0</v>
      </c>
      <c r="I129" s="362">
        <f>IFERROR(VLOOKUP(C129,'تقرير المصروفات حسب الشهر'!$C$637:$AD$746,20,FALSE),0)</f>
        <v>0</v>
      </c>
      <c r="J129" s="362">
        <f>IFERROR(VLOOKUP(C129,'تقرير المصروفات حسب الشهر'!$C$763:$AD$872,20,FALSE),0)</f>
        <v>0</v>
      </c>
      <c r="K129" s="362">
        <f>IFERROR(VLOOKUP(C129,'تقرير المصروفات حسب الشهر'!$C$890:$AD$999,20,FALSE),0)</f>
        <v>0</v>
      </c>
      <c r="L129" s="362">
        <f>IFERROR(VLOOKUP(C129,'تقرير المصروفات حسب الشهر'!$C$1016:$AD$1126,20,FALSE),0)</f>
        <v>0</v>
      </c>
      <c r="M129" s="376">
        <f>IFERROR(VLOOKUP(C129,'تقرير المصروفات حسب الشهر'!$C$1143:$AD$1254,20,FALSE),0)</f>
        <v>0</v>
      </c>
      <c r="N129" s="376">
        <f>IFERROR(VLOOKUP(C129,'تقرير المصروفات حسب الشهر'!$C$1270:$AD$1381,20,FALSE),0)</f>
        <v>0</v>
      </c>
      <c r="O129" s="376">
        <f>IFERROR(VLOOKUP(C129,'تقرير المصروفات حسب الشهر'!$C$1397:$AI$1512,20,FALSE),0)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الشهر'!$C$10:$AD$119,20,FALSE),0)</f>
        <v>0</v>
      </c>
      <c r="E130" s="362">
        <f>IFERROR(VLOOKUP(C130,'تقرير المصروفات حسب الشهر'!$C$135:$AD$244,20,FALSE),0)</f>
        <v>0</v>
      </c>
      <c r="F130" s="362">
        <f>IFERROR(VLOOKUP(C130,'تقرير المصروفات حسب الشهر'!$C$261:$AD$368,20,FALSE),0)</f>
        <v>0</v>
      </c>
      <c r="G130" s="362">
        <f>IFERROR(VLOOKUP(C130,'تقرير المصروفات حسب الشهر'!$C$387:$AD$495,20,FALSE),0)</f>
        <v>0</v>
      </c>
      <c r="H130" s="362">
        <f>IFERROR(VLOOKUP(C130,'تقرير المصروفات حسب الشهر'!$C$512:$AD$620,20,FALSE),0)</f>
        <v>0</v>
      </c>
      <c r="I130" s="362">
        <f>IFERROR(VLOOKUP(C130,'تقرير المصروفات حسب الشهر'!$C$637:$AD$746,20,FALSE),0)</f>
        <v>0</v>
      </c>
      <c r="J130" s="362">
        <f>IFERROR(VLOOKUP(C130,'تقرير المصروفات حسب الشهر'!$C$763:$AD$872,20,FALSE),0)</f>
        <v>0</v>
      </c>
      <c r="K130" s="362">
        <f>IFERROR(VLOOKUP(C130,'تقرير المصروفات حسب الشهر'!$C$890:$AD$999,20,FALSE),0)</f>
        <v>0</v>
      </c>
      <c r="L130" s="362">
        <f>IFERROR(VLOOKUP(C130,'تقرير المصروفات حسب الشهر'!$C$1016:$AD$1126,20,FALSE),0)</f>
        <v>0</v>
      </c>
      <c r="M130" s="376">
        <f>IFERROR(VLOOKUP(C130,'تقرير المصروفات حسب الشهر'!$C$1143:$AD$1254,20,FALSE),0)</f>
        <v>0</v>
      </c>
      <c r="N130" s="376">
        <f>IFERROR(VLOOKUP(C130,'تقرير المصروفات حسب الشهر'!$C$1270:$AD$1381,20,FALSE),0)</f>
        <v>0</v>
      </c>
      <c r="O130" s="376">
        <f>IFERROR(VLOOKUP(C130,'تقرير المصروفات حسب الشهر'!$C$1397:$AI$1512,20,FALSE),0)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الشهر'!$C$10:$AD$119,20,FALSE),0)</f>
        <v>0</v>
      </c>
      <c r="E131" s="362">
        <f>IFERROR(VLOOKUP(C131,'تقرير المصروفات حسب الشهر'!$C$135:$AD$244,20,FALSE),0)</f>
        <v>0</v>
      </c>
      <c r="F131" s="362">
        <f>IFERROR(VLOOKUP(C131,'تقرير المصروفات حسب الشهر'!$C$261:$AD$368,20,FALSE),0)</f>
        <v>0</v>
      </c>
      <c r="G131" s="362">
        <f>IFERROR(VLOOKUP(C131,'تقرير المصروفات حسب الشهر'!$C$387:$AD$495,20,FALSE),0)</f>
        <v>0</v>
      </c>
      <c r="H131" s="362">
        <f>IFERROR(VLOOKUP(C131,'تقرير المصروفات حسب الشهر'!$C$512:$AD$620,20,FALSE),0)</f>
        <v>0</v>
      </c>
      <c r="I131" s="362">
        <f>IFERROR(VLOOKUP(C131,'تقرير المصروفات حسب الشهر'!$C$637:$AD$746,20,FALSE),0)</f>
        <v>0</v>
      </c>
      <c r="J131" s="362">
        <f>IFERROR(VLOOKUP(C131,'تقرير المصروفات حسب الشهر'!$C$763:$AD$872,20,FALSE),0)</f>
        <v>0</v>
      </c>
      <c r="K131" s="362">
        <f>IFERROR(VLOOKUP(C131,'تقرير المصروفات حسب الشهر'!$C$890:$AD$999,20,FALSE),0)</f>
        <v>0</v>
      </c>
      <c r="L131" s="362">
        <f>IFERROR(VLOOKUP(C131,'تقرير المصروفات حسب الشهر'!$C$1016:$AD$1126,20,FALSE),0)</f>
        <v>0</v>
      </c>
      <c r="M131" s="376">
        <f>IFERROR(VLOOKUP(C131,'تقرير المصروفات حسب الشهر'!$C$1143:$AD$1254,20,FALSE),0)</f>
        <v>0</v>
      </c>
      <c r="N131" s="376">
        <f>IFERROR(VLOOKUP(C131,'تقرير المصروفات حسب الشهر'!$C$1270:$AD$1381,20,FALSE),0)</f>
        <v>0</v>
      </c>
      <c r="O131" s="376">
        <f>IFERROR(VLOOKUP(C131,'تقرير المصروفات حسب الشهر'!$C$1397:$AI$1512,20,FALSE),0)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30373.89</v>
      </c>
      <c r="E132" s="146">
        <f t="shared" si="7"/>
        <v>25526.090000000004</v>
      </c>
      <c r="F132" s="146">
        <f t="shared" si="7"/>
        <v>21847.119999999999</v>
      </c>
      <c r="G132" s="146">
        <f t="shared" si="7"/>
        <v>29420.09</v>
      </c>
      <c r="H132" s="146">
        <f t="shared" si="7"/>
        <v>23121.460000000003</v>
      </c>
      <c r="I132" s="146">
        <f t="shared" si="7"/>
        <v>27117.040000000001</v>
      </c>
      <c r="J132" s="146">
        <f t="shared" si="7"/>
        <v>29254.750000000004</v>
      </c>
      <c r="K132" s="146">
        <f t="shared" si="7"/>
        <v>29489.399999999998</v>
      </c>
      <c r="L132" s="146">
        <f t="shared" si="7"/>
        <v>29254.06</v>
      </c>
      <c r="M132" s="146">
        <f t="shared" si="7"/>
        <v>29651.500000000004</v>
      </c>
      <c r="N132" s="146">
        <f t="shared" si="7"/>
        <v>32846.6</v>
      </c>
      <c r="O132" s="146">
        <f t="shared" si="7"/>
        <v>38002.899999999994</v>
      </c>
      <c r="P132" s="388">
        <f t="shared" si="6"/>
        <v>345904.9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88577.820000000065</v>
      </c>
      <c r="E134" s="392">
        <f t="shared" si="8"/>
        <v>96325.290000000037</v>
      </c>
      <c r="F134" s="392">
        <f t="shared" si="8"/>
        <v>117273.45000000007</v>
      </c>
      <c r="G134" s="392">
        <f t="shared" si="8"/>
        <v>94534.210000000021</v>
      </c>
      <c r="H134" s="392">
        <f t="shared" si="8"/>
        <v>146322.46000000008</v>
      </c>
      <c r="I134" s="392">
        <f t="shared" si="8"/>
        <v>150778.95000000007</v>
      </c>
      <c r="J134" s="392">
        <f t="shared" si="8"/>
        <v>138517.83999999997</v>
      </c>
      <c r="K134" s="392">
        <f t="shared" si="8"/>
        <v>120325.18999999994</v>
      </c>
      <c r="L134" s="392">
        <f t="shared" si="8"/>
        <v>135253.55999999994</v>
      </c>
      <c r="M134" s="392">
        <f t="shared" si="8"/>
        <v>103777.33999999997</v>
      </c>
      <c r="N134" s="392">
        <f t="shared" si="8"/>
        <v>123706.09</v>
      </c>
      <c r="O134" s="392">
        <f t="shared" si="8"/>
        <v>128143.90000000002</v>
      </c>
      <c r="P134" s="388">
        <f t="shared" si="6"/>
        <v>1443536.1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58203.930000000066</v>
      </c>
      <c r="E137" s="383">
        <f t="shared" ref="E137:O137" si="9">E134-E132</f>
        <v>70799.200000000041</v>
      </c>
      <c r="F137" s="383">
        <f t="shared" si="9"/>
        <v>95426.330000000075</v>
      </c>
      <c r="G137" s="383">
        <f t="shared" si="9"/>
        <v>65114.120000000024</v>
      </c>
      <c r="H137" s="383">
        <f t="shared" si="9"/>
        <v>123201.00000000007</v>
      </c>
      <c r="I137" s="383">
        <f t="shared" si="9"/>
        <v>123661.91000000006</v>
      </c>
      <c r="J137" s="383">
        <f t="shared" si="9"/>
        <v>109263.08999999997</v>
      </c>
      <c r="K137" s="383">
        <f t="shared" si="9"/>
        <v>90835.78999999995</v>
      </c>
      <c r="L137" s="383">
        <f t="shared" si="9"/>
        <v>105999.49999999994</v>
      </c>
      <c r="M137" s="383">
        <f t="shared" si="9"/>
        <v>74125.839999999967</v>
      </c>
      <c r="N137" s="383">
        <f t="shared" si="9"/>
        <v>90859.489999999991</v>
      </c>
      <c r="O137" s="383">
        <f t="shared" si="9"/>
        <v>90141.000000000029</v>
      </c>
      <c r="P137" s="387">
        <f>SUM(D137:O137)</f>
        <v>1097631.2000000002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E141" s="113">
        <v>70799.199999999997</v>
      </c>
    </row>
    <row r="142" spans="1:17">
      <c r="E142" s="415">
        <f>E141-E137</f>
        <v>0</v>
      </c>
    </row>
    <row r="144" spans="1:17">
      <c r="N144" s="238">
        <f>N137-73645.38</f>
        <v>17214.109999999986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48">
    <tabColor rgb="FFFFC000"/>
  </sheetPr>
  <dimension ref="A1:T141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341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178</v>
      </c>
      <c r="B8" s="390"/>
      <c r="C8" s="369" t="s">
        <v>114</v>
      </c>
      <c r="D8" s="364">
        <f>D9+D10+D11</f>
        <v>240070.30000000002</v>
      </c>
      <c r="E8" s="364">
        <f t="shared" ref="E8:O8" si="0">E9+E10+E11</f>
        <v>235879.21000000002</v>
      </c>
      <c r="F8" s="364">
        <f t="shared" si="0"/>
        <v>172120.76</v>
      </c>
      <c r="G8" s="364">
        <f t="shared" si="0"/>
        <v>264233.38999999996</v>
      </c>
      <c r="H8" s="364">
        <f t="shared" si="0"/>
        <v>466153.12</v>
      </c>
      <c r="I8" s="364">
        <f t="shared" si="0"/>
        <v>428363.32</v>
      </c>
      <c r="J8" s="364">
        <f t="shared" si="0"/>
        <v>346623.12</v>
      </c>
      <c r="K8" s="364">
        <f t="shared" si="0"/>
        <v>400548.73</v>
      </c>
      <c r="L8" s="364">
        <f t="shared" si="0"/>
        <v>428361.98</v>
      </c>
      <c r="M8" s="364">
        <f t="shared" si="0"/>
        <v>391122.8</v>
      </c>
      <c r="N8" s="364">
        <f t="shared" si="0"/>
        <v>414755.98</v>
      </c>
      <c r="O8" s="364">
        <f t="shared" si="0"/>
        <v>518775.63999999996</v>
      </c>
      <c r="P8" s="364">
        <f>SUM(D8:O8)</f>
        <v>4307008.3499999996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23438.01</v>
      </c>
      <c r="E9" s="365">
        <f>VLOOKUP($A$8,'تقرير إحصائية بحجم المبيعات'!$B$42:$G$73,2,FALSE)</f>
        <v>19413.430000000022</v>
      </c>
      <c r="F9" s="365">
        <f>VLOOKUP($A$8,'تقرير إحصائية بحجم المبيعات'!$B$78:$E$103,2,FALSE)</f>
        <v>15243.390000000014</v>
      </c>
      <c r="G9" s="365">
        <f>VLOOKUP($A$8,'تقرير إحصائية بحجم المبيعات'!$B$112:$G$137,2,FALSE)</f>
        <v>12115.829999999982</v>
      </c>
      <c r="H9" s="365">
        <f>VLOOKUP($A$8,'تقرير إحصائية بحجم المبيعات'!$B$147:$G$177,2,FALSE)</f>
        <v>12094.52999999997</v>
      </c>
      <c r="I9" s="365">
        <f>VLOOKUP($A$8,'تقرير إحصائية بحجم المبيعات'!$B$182:$G$212,2,FALSE)</f>
        <v>34469.840000000026</v>
      </c>
      <c r="J9" s="365">
        <f>VLOOKUP($A$8,'تقرير إحصائية بحجم المبيعات'!$B$217:$L$243,2,FALSE)</f>
        <v>5135.1599999999744</v>
      </c>
      <c r="K9" s="365">
        <f>VLOOKUP($A$8,'تقرير إحصائية بحجم المبيعات'!$B$252:$L$278,2,FALSE)</f>
        <v>-124.86999999999534</v>
      </c>
      <c r="L9" s="365">
        <f>VLOOKUP($A$8,'تقرير إحصائية بحجم المبيعات'!$B$287:$L$313,2,FALSE)</f>
        <v>10050.719999999972</v>
      </c>
      <c r="M9" s="365">
        <f>VLOOKUP($A$8,'تقرير إحصائية بحجم المبيعات'!$B$322:$L$347,2,FALSE)</f>
        <v>15735.700000000012</v>
      </c>
      <c r="N9" s="365">
        <f>VLOOKUP($A$8,'تقرير إحصائية بحجم المبيعات'!$B$357:$L$383,2,FALSE)</f>
        <v>10685.75</v>
      </c>
      <c r="O9" s="365">
        <f>VLOOKUP($A$8,'تقرير إحصائية بحجم المبيعات'!$B$391:$L$420,2,FALSE)</f>
        <v>5374.9399999999441</v>
      </c>
      <c r="P9" s="364">
        <f t="shared" ref="P9:P18" si="1">SUM(D9:O9)</f>
        <v>163632.42999999993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216632.29</v>
      </c>
      <c r="E11" s="365">
        <f>VLOOKUP($A$8,'تقرير إحصائية بحجم المبيعات'!$B$42:$G$73,4,FALSE)</f>
        <v>216465.78</v>
      </c>
      <c r="F11" s="365">
        <f>VLOOKUP($A$8,'تقرير إحصائية بحجم المبيعات'!$B$78:$E$103,4,FALSE)</f>
        <v>156877.37</v>
      </c>
      <c r="G11" s="365">
        <f>VLOOKUP($A$8,'تقرير إحصائية بحجم المبيعات'!$B$112:$G$137,4,FALSE)</f>
        <v>252117.56</v>
      </c>
      <c r="H11" s="365">
        <f>VLOOKUP($A$8,'تقرير إحصائية بحجم المبيعات'!$B$147:$G$177,4,FALSE)</f>
        <v>454058.59</v>
      </c>
      <c r="I11" s="365">
        <f>VLOOKUP($A$8,'تقرير إحصائية بحجم المبيعات'!$B$182:$G$212,4,FALSE)</f>
        <v>393893.48</v>
      </c>
      <c r="J11" s="365">
        <f>VLOOKUP($A$8,'تقرير إحصائية بحجم المبيعات'!$B$217:$L$243,4,FALSE)</f>
        <v>341487.96</v>
      </c>
      <c r="K11" s="365">
        <f>VLOOKUP($A$8,'تقرير إحصائية بحجم المبيعات'!$B$252:$L$278,4,FALSE)</f>
        <v>400673.6</v>
      </c>
      <c r="L11" s="365">
        <f>VLOOKUP($A$8,'تقرير إحصائية بحجم المبيعات'!$B$287:$L$313,4,FALSE)</f>
        <v>418311.26</v>
      </c>
      <c r="M11" s="365">
        <f>VLOOKUP($A$8,'تقرير إحصائية بحجم المبيعات'!$B$322:$L$347,4,FALSE)</f>
        <v>375387.1</v>
      </c>
      <c r="N11" s="365">
        <f>VLOOKUP($A$8,'تقرير إحصائية بحجم المبيعات'!$B$357:$L$383,4,FALSE)</f>
        <v>404070.23</v>
      </c>
      <c r="O11" s="365">
        <f>VLOOKUP($A$8,'تقرير إحصائية بحجم المبيعات'!$B$391:$L$420,4,FALSE)</f>
        <v>513400.7</v>
      </c>
      <c r="P11" s="364">
        <f t="shared" si="1"/>
        <v>4143375.92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204460.02</v>
      </c>
      <c r="E12" s="364">
        <f>VLOOKUP($A$8,'تقرير إحصائية بحجم المبيعات'!$B$42:$L$73,11,FALSE)</f>
        <v>202246.44</v>
      </c>
      <c r="F12" s="364">
        <f>VLOOKUP($A$8,'تقرير إحصائية بحجم المبيعات'!$B$78:$L$103,11,FALSE)</f>
        <v>146490.82999999999</v>
      </c>
      <c r="G12" s="364">
        <f>VLOOKUP($A$8,'تقرير إحصائية بحجم المبيعات'!$B$112:$L$137,11,FALSE)</f>
        <v>224914.93</v>
      </c>
      <c r="H12" s="364">
        <f>VLOOKUP($A$8,'تقرير إحصائية بحجم المبيعات'!$B$147:$L$177,11,FALSE)</f>
        <v>345447.42</v>
      </c>
      <c r="I12" s="364">
        <f>VLOOKUP($A$8,'تقرير إحصائية بحجم المبيعات'!$B$182:$L$212,11,FALSE)</f>
        <v>322479.93</v>
      </c>
      <c r="J12" s="365">
        <f>VLOOKUP($A$8,'تقرير إحصائية بحجم المبيعات'!$B$217:$L$243,11,FALSE)</f>
        <v>298481.57</v>
      </c>
      <c r="K12" s="364">
        <f>VLOOKUP($A$8,'تقرير إحصائية بحجم المبيعات'!$B$252:$L$278,11,FALSE)</f>
        <v>342411.86</v>
      </c>
      <c r="L12" s="364">
        <f>VLOOKUP($A$8,'تقرير إحصائية بحجم المبيعات'!$B$287:$L$313,11,FALSE)</f>
        <v>353241.5</v>
      </c>
      <c r="M12" s="365">
        <f>VLOOKUP($A$8,'تقرير إحصائية بحجم المبيعات'!$B$322:$L$347,11,FALSE)</f>
        <v>334218.71999999997</v>
      </c>
      <c r="N12" s="365">
        <f>VLOOKUP($A$8,'تقرير إحصائية بحجم المبيعات'!$B$357:$L$383,11,FALSE)</f>
        <v>344149.29</v>
      </c>
      <c r="O12" s="365">
        <f>VLOOKUP($A$8,'تقرير إحصائية بحجم المبيعات'!$B$391:$L$420,11,FALSE)</f>
        <v>423947.55</v>
      </c>
      <c r="P12" s="364">
        <f t="shared" si="1"/>
        <v>3542490.0599999996</v>
      </c>
    </row>
    <row r="13" spans="1:20" ht="18" customHeight="1">
      <c r="B13" s="124"/>
      <c r="C13" s="371" t="s">
        <v>14</v>
      </c>
      <c r="D13" s="366">
        <f t="shared" ref="D13:O13" si="2">D8-D12</f>
        <v>35610.280000000028</v>
      </c>
      <c r="E13" s="366">
        <f t="shared" si="2"/>
        <v>33632.770000000019</v>
      </c>
      <c r="F13" s="366">
        <f t="shared" si="2"/>
        <v>25629.930000000022</v>
      </c>
      <c r="G13" s="366">
        <f t="shared" si="2"/>
        <v>39318.459999999963</v>
      </c>
      <c r="H13" s="366">
        <f t="shared" si="2"/>
        <v>120705.70000000001</v>
      </c>
      <c r="I13" s="366">
        <f t="shared" si="2"/>
        <v>105883.39000000001</v>
      </c>
      <c r="J13" s="366">
        <f t="shared" si="2"/>
        <v>48141.549999999988</v>
      </c>
      <c r="K13" s="366">
        <f t="shared" si="2"/>
        <v>58136.869999999995</v>
      </c>
      <c r="L13" s="366">
        <f t="shared" si="2"/>
        <v>75120.479999999981</v>
      </c>
      <c r="M13" s="366">
        <f t="shared" si="2"/>
        <v>56904.080000000016</v>
      </c>
      <c r="N13" s="366">
        <f t="shared" si="2"/>
        <v>70606.69</v>
      </c>
      <c r="O13" s="366">
        <f t="shared" si="2"/>
        <v>94828.089999999967</v>
      </c>
      <c r="P13" s="366">
        <f t="shared" si="1"/>
        <v>764518.28999999992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>
        <v>-294.8</v>
      </c>
      <c r="F16" s="367">
        <v>3.75</v>
      </c>
      <c r="G16" s="367">
        <v>17540.740000000002</v>
      </c>
      <c r="H16" s="367">
        <v>1.21</v>
      </c>
      <c r="I16" s="367"/>
      <c r="J16" s="367">
        <v>0.2</v>
      </c>
      <c r="K16" s="367"/>
      <c r="L16" s="367">
        <v>21081.809999999998</v>
      </c>
      <c r="M16" s="367"/>
      <c r="N16" s="367">
        <v>8287.6900000000023</v>
      </c>
      <c r="O16" s="367">
        <v>0.34</v>
      </c>
      <c r="P16" s="364">
        <f t="shared" si="1"/>
        <v>46620.94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-294.8</v>
      </c>
      <c r="F18" s="363">
        <f t="shared" si="3"/>
        <v>3.75</v>
      </c>
      <c r="G18" s="363">
        <f t="shared" si="3"/>
        <v>17540.740000000002</v>
      </c>
      <c r="H18" s="363">
        <f t="shared" si="3"/>
        <v>1.21</v>
      </c>
      <c r="I18" s="363">
        <f t="shared" si="3"/>
        <v>0</v>
      </c>
      <c r="J18" s="363">
        <f t="shared" si="3"/>
        <v>0.2</v>
      </c>
      <c r="K18" s="363">
        <f t="shared" si="3"/>
        <v>0</v>
      </c>
      <c r="L18" s="363">
        <f t="shared" si="3"/>
        <v>21081.809999999998</v>
      </c>
      <c r="M18" s="368">
        <f t="shared" si="3"/>
        <v>0</v>
      </c>
      <c r="N18" s="368">
        <f t="shared" si="3"/>
        <v>8287.6900000000023</v>
      </c>
      <c r="O18" s="368">
        <f t="shared" si="3"/>
        <v>0.34</v>
      </c>
      <c r="P18" s="364">
        <f t="shared" si="1"/>
        <v>46620.94</v>
      </c>
    </row>
    <row r="19" spans="2:16" ht="18" customHeight="1">
      <c r="B19" s="124"/>
      <c r="C19" s="386" t="s">
        <v>14</v>
      </c>
      <c r="D19" s="374">
        <f t="shared" ref="D19:O19" si="4">D13+D18</f>
        <v>35610.280000000028</v>
      </c>
      <c r="E19" s="374">
        <f t="shared" si="4"/>
        <v>33337.970000000016</v>
      </c>
      <c r="F19" s="374">
        <f t="shared" si="4"/>
        <v>25633.680000000022</v>
      </c>
      <c r="G19" s="374">
        <f t="shared" si="4"/>
        <v>56859.199999999968</v>
      </c>
      <c r="H19" s="374">
        <f t="shared" si="4"/>
        <v>120706.91000000002</v>
      </c>
      <c r="I19" s="374">
        <f t="shared" si="4"/>
        <v>105883.39000000001</v>
      </c>
      <c r="J19" s="374">
        <f t="shared" si="4"/>
        <v>48141.749999999985</v>
      </c>
      <c r="K19" s="374">
        <f t="shared" si="4"/>
        <v>58136.869999999995</v>
      </c>
      <c r="L19" s="374">
        <f t="shared" si="4"/>
        <v>96202.289999999979</v>
      </c>
      <c r="M19" s="374">
        <f t="shared" si="4"/>
        <v>56904.080000000016</v>
      </c>
      <c r="N19" s="374">
        <f t="shared" si="4"/>
        <v>78894.38</v>
      </c>
      <c r="O19" s="374">
        <f t="shared" si="4"/>
        <v>94828.429999999964</v>
      </c>
      <c r="P19" s="382">
        <f>SUM(D19:O19)</f>
        <v>811139.2300000001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الشهر'!$C$10:$AD$119,21,FALSE),0)</f>
        <v>0</v>
      </c>
      <c r="E22" s="362">
        <f>IFERROR(VLOOKUP(C22,'تقرير المصروفات حسب الشهر'!$C$135:$AD$244,21,FALSE),0)</f>
        <v>0</v>
      </c>
      <c r="F22" s="362">
        <f>IFERROR(VLOOKUP(C22,'تقرير المصروفات حسب الشهر'!$C$261:$AD$368,21,FALSE),0)</f>
        <v>0</v>
      </c>
      <c r="G22" s="362">
        <f>IFERROR(VLOOKUP(C22,'تقرير المصروفات حسب الشهر'!$C$387:$AD$495,21,FALSE),0)</f>
        <v>0</v>
      </c>
      <c r="H22" s="362">
        <f>IFERROR(VLOOKUP(C22,'تقرير المصروفات حسب الشهر'!$C$512:$AD$620,21,FALSE),0)</f>
        <v>0</v>
      </c>
      <c r="I22" s="362">
        <f>IFERROR(VLOOKUP(C22,'تقرير المصروفات حسب الشهر'!$C$637:$AD$746,21,FALSE),0)</f>
        <v>0</v>
      </c>
      <c r="J22" s="362">
        <f>IFERROR(VLOOKUP(C22,'تقرير المصروفات حسب الشهر'!$C$763:$AD$872,21,FALSE),0)</f>
        <v>0</v>
      </c>
      <c r="K22" s="362">
        <f>IFERROR(VLOOKUP(C22,'تقرير المصروفات حسب الشهر'!$C$890:$AD$999,21,FALSE),0)</f>
        <v>0</v>
      </c>
      <c r="L22" s="362">
        <f>IFERROR(VLOOKUP(C22,'تقرير المصروفات حسب الشهر'!$C$1016:$AD$1126,21,FALSE),0)</f>
        <v>0</v>
      </c>
      <c r="M22" s="376">
        <f>IFERROR(VLOOKUP(C22,'تقرير المصروفات حسب الشهر'!$C$1143:$AD$1254,21,FALSE),0)</f>
        <v>0</v>
      </c>
      <c r="N22" s="376">
        <f>IFERROR(VLOOKUP(C22,'تقرير المصروفات حسب الشهر'!$C$1270:$AD$1381,21,FALSE),0)</f>
        <v>0</v>
      </c>
      <c r="O22" s="376">
        <f>IFERROR(VLOOKUP(C22,'تقرير المصروفات حسب الشهر'!$C$1397:$AI$1512,21,FALSE),0)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الشهر'!$C$10:$AD$119,21,FALSE),0)</f>
        <v>7281.77</v>
      </c>
      <c r="E23" s="362">
        <f>IFERROR(VLOOKUP(C23,'تقرير المصروفات حسب الشهر'!$C$135:$AD$244,21,FALSE),0)</f>
        <v>7015.4</v>
      </c>
      <c r="F23" s="362">
        <f>IFERROR(VLOOKUP(C23,'تقرير المصروفات حسب الشهر'!$C$261:$AD$368,21,FALSE),0)</f>
        <v>7377.72</v>
      </c>
      <c r="G23" s="362">
        <f>IFERROR(VLOOKUP(C23,'تقرير المصروفات حسب الشهر'!$C$387:$AD$495,21,FALSE),0)</f>
        <v>7374.01</v>
      </c>
      <c r="H23" s="362">
        <f>IFERROR(VLOOKUP(C23,'تقرير المصروفات حسب الشهر'!$C$512:$AD$620,21,FALSE),0)</f>
        <v>11983.619999999999</v>
      </c>
      <c r="I23" s="362">
        <f>IFERROR(VLOOKUP(C23,'تقرير المصروفات حسب الشهر'!$C$637:$AD$746,21,FALSE),0)</f>
        <v>8190.35</v>
      </c>
      <c r="J23" s="362">
        <f>IFERROR(VLOOKUP(C23,'تقرير المصروفات حسب الشهر'!$C$763:$AD$872,21,FALSE),0)</f>
        <v>7637.6900000000005</v>
      </c>
      <c r="K23" s="362">
        <f>IFERROR(VLOOKUP(C23,'تقرير المصروفات حسب الشهر'!$C$890:$AD$999,21,FALSE),0)</f>
        <v>8043.64</v>
      </c>
      <c r="L23" s="362">
        <f>IFERROR(VLOOKUP(C23,'تقرير المصروفات حسب الشهر'!$C$1016:$AD$1126,21,FALSE),0)</f>
        <v>7507.4</v>
      </c>
      <c r="M23" s="376">
        <f>IFERROR(VLOOKUP(C23,'تقرير المصروفات حسب الشهر'!$C$1143:$AD$1254,21,FALSE),0)</f>
        <v>7415.7699999999995</v>
      </c>
      <c r="N23" s="376">
        <f>IFERROR(VLOOKUP(C23,'تقرير المصروفات حسب الشهر'!$C$1270:$AD$1381,21,FALSE),0)</f>
        <v>9037.15</v>
      </c>
      <c r="O23" s="376">
        <f>IFERROR(VLOOKUP(C23,'تقرير المصروفات حسب الشهر'!$C$1397:$AI$1512,21,FALSE),0)</f>
        <v>8826.09</v>
      </c>
      <c r="P23" s="364">
        <f t="shared" ref="P23:P86" si="5">SUM(D23:O23)</f>
        <v>97690.61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الشهر'!$C$10:$AD$119,21,FALSE),0)</f>
        <v>0</v>
      </c>
      <c r="E24" s="362">
        <f>IFERROR(VLOOKUP(C24,'تقرير المصروفات حسب الشهر'!$C$135:$AD$244,21,FALSE),0)</f>
        <v>0</v>
      </c>
      <c r="F24" s="362">
        <f>IFERROR(VLOOKUP(C24,'تقرير المصروفات حسب الشهر'!$C$261:$AD$368,21,FALSE),0)</f>
        <v>0</v>
      </c>
      <c r="G24" s="362">
        <f>IFERROR(VLOOKUP(C24,'تقرير المصروفات حسب الشهر'!$C$387:$AD$495,21,FALSE),0)</f>
        <v>0</v>
      </c>
      <c r="H24" s="362">
        <f>IFERROR(VLOOKUP(C24,'تقرير المصروفات حسب الشهر'!$C$512:$AD$620,21,FALSE),0)</f>
        <v>0</v>
      </c>
      <c r="I24" s="362">
        <f>IFERROR(VLOOKUP(C24,'تقرير المصروفات حسب الشهر'!$C$637:$AD$746,21,FALSE),0)</f>
        <v>0</v>
      </c>
      <c r="J24" s="362">
        <f>IFERROR(VLOOKUP(C24,'تقرير المصروفات حسب الشهر'!$C$763:$AD$872,21,FALSE),0)</f>
        <v>0</v>
      </c>
      <c r="K24" s="362">
        <f>IFERROR(VLOOKUP(C24,'تقرير المصروفات حسب الشهر'!$C$890:$AD$999,21,FALSE),0)</f>
        <v>0</v>
      </c>
      <c r="L24" s="362">
        <f>IFERROR(VLOOKUP(C24,'تقرير المصروفات حسب الشهر'!$C$1016:$AD$1126,21,FALSE),0)</f>
        <v>0</v>
      </c>
      <c r="M24" s="376">
        <f>IFERROR(VLOOKUP(C24,'تقرير المصروفات حسب الشهر'!$C$1143:$AD$1254,21,FALSE),0)</f>
        <v>0</v>
      </c>
      <c r="N24" s="376">
        <f>IFERROR(VLOOKUP(C24,'تقرير المصروفات حسب الشهر'!$C$1270:$AD$1381,21,FALSE),0)</f>
        <v>0</v>
      </c>
      <c r="O24" s="376">
        <f>IFERROR(VLOOKUP(C24,'تقرير المصروفات حسب الشهر'!$C$1397:$AI$1512,21,FALSE),0)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الشهر'!$C$10:$AD$119,21,FALSE),0)</f>
        <v>0</v>
      </c>
      <c r="E25" s="362">
        <f>IFERROR(VLOOKUP(C25,'تقرير المصروفات حسب الشهر'!$C$135:$AD$244,21,FALSE),0)</f>
        <v>0</v>
      </c>
      <c r="F25" s="362">
        <f>IFERROR(VLOOKUP(C25,'تقرير المصروفات حسب الشهر'!$C$261:$AD$368,21,FALSE),0)</f>
        <v>0</v>
      </c>
      <c r="G25" s="362">
        <f>IFERROR(VLOOKUP(C25,'تقرير المصروفات حسب الشهر'!$C$387:$AD$495,21,FALSE),0)</f>
        <v>0</v>
      </c>
      <c r="H25" s="362">
        <f>IFERROR(VLOOKUP(C25,'تقرير المصروفات حسب الشهر'!$C$512:$AD$620,21,FALSE),0)</f>
        <v>0</v>
      </c>
      <c r="I25" s="362">
        <f>IFERROR(VLOOKUP(C25,'تقرير المصروفات حسب الشهر'!$C$637:$AD$746,21,FALSE),0)</f>
        <v>0</v>
      </c>
      <c r="J25" s="362">
        <f>IFERROR(VLOOKUP(C25,'تقرير المصروفات حسب الشهر'!$C$763:$AD$872,21,FALSE),0)</f>
        <v>0</v>
      </c>
      <c r="K25" s="362">
        <f>IFERROR(VLOOKUP(C25,'تقرير المصروفات حسب الشهر'!$C$890:$AD$999,21,FALSE),0)</f>
        <v>0</v>
      </c>
      <c r="L25" s="362">
        <f>IFERROR(VLOOKUP(C25,'تقرير المصروفات حسب الشهر'!$C$1016:$AD$1126,21,FALSE),0)</f>
        <v>0</v>
      </c>
      <c r="M25" s="376">
        <f>IFERROR(VLOOKUP(C25,'تقرير المصروفات حسب الشهر'!$C$1143:$AD$1254,21,FALSE),0)</f>
        <v>0</v>
      </c>
      <c r="N25" s="376">
        <f>IFERROR(VLOOKUP(C25,'تقرير المصروفات حسب الشهر'!$C$1270:$AD$1381,21,FALSE),0)</f>
        <v>0</v>
      </c>
      <c r="O25" s="376">
        <f>IFERROR(VLOOKUP(C25,'تقرير المصروفات حسب الشهر'!$C$1397:$AI$1512,21,FALSE),0)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الشهر'!$C$10:$AD$119,21,FALSE),0)</f>
        <v>0</v>
      </c>
      <c r="E26" s="362">
        <f>IFERROR(VLOOKUP(C26,'تقرير المصروفات حسب الشهر'!$C$135:$AD$244,21,FALSE),0)</f>
        <v>0</v>
      </c>
      <c r="F26" s="362">
        <f>IFERROR(VLOOKUP(C26,'تقرير المصروفات حسب الشهر'!$C$261:$AD$368,21,FALSE),0)</f>
        <v>0</v>
      </c>
      <c r="G26" s="362">
        <f>IFERROR(VLOOKUP(C26,'تقرير المصروفات حسب الشهر'!$C$387:$AD$495,21,FALSE),0)</f>
        <v>0</v>
      </c>
      <c r="H26" s="362">
        <f>IFERROR(VLOOKUP(C26,'تقرير المصروفات حسب الشهر'!$C$512:$AD$620,21,FALSE),0)</f>
        <v>0</v>
      </c>
      <c r="I26" s="362">
        <f>IFERROR(VLOOKUP(C26,'تقرير المصروفات حسب الشهر'!$C$637:$AD$746,21,FALSE),0)</f>
        <v>0</v>
      </c>
      <c r="J26" s="362">
        <f>IFERROR(VLOOKUP(C26,'تقرير المصروفات حسب الشهر'!$C$763:$AD$872,21,FALSE),0)</f>
        <v>0</v>
      </c>
      <c r="K26" s="362">
        <f>IFERROR(VLOOKUP(C26,'تقرير المصروفات حسب الشهر'!$C$890:$AD$999,21,FALSE),0)</f>
        <v>0</v>
      </c>
      <c r="L26" s="362">
        <f>IFERROR(VLOOKUP(C26,'تقرير المصروفات حسب الشهر'!$C$1016:$AD$1126,21,FALSE),0)</f>
        <v>0</v>
      </c>
      <c r="M26" s="376">
        <f>IFERROR(VLOOKUP(C26,'تقرير المصروفات حسب الشهر'!$C$1143:$AD$1254,21,FALSE),0)</f>
        <v>0</v>
      </c>
      <c r="N26" s="376">
        <f>IFERROR(VLOOKUP(C26,'تقرير المصروفات حسب الشهر'!$C$1270:$AD$1381,21,FALSE),0)</f>
        <v>0</v>
      </c>
      <c r="O26" s="376">
        <f>IFERROR(VLOOKUP(C26,'تقرير المصروفات حسب الشهر'!$C$1397:$AI$1512,21,FALSE),0)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الشهر'!$C$10:$AD$119,21,FALSE),0)</f>
        <v>0</v>
      </c>
      <c r="E27" s="362">
        <f>IFERROR(VLOOKUP(C27,'تقرير المصروفات حسب الشهر'!$C$135:$AD$244,21,FALSE),0)</f>
        <v>0</v>
      </c>
      <c r="F27" s="362">
        <f>IFERROR(VLOOKUP(C27,'تقرير المصروفات حسب الشهر'!$C$261:$AD$368,21,FALSE),0)</f>
        <v>0</v>
      </c>
      <c r="G27" s="362">
        <f>IFERROR(VLOOKUP(C27,'تقرير المصروفات حسب الشهر'!$C$387:$AD$495,21,FALSE),0)</f>
        <v>0</v>
      </c>
      <c r="H27" s="362">
        <f>IFERROR(VLOOKUP(C27,'تقرير المصروفات حسب الشهر'!$C$512:$AD$620,21,FALSE),0)</f>
        <v>0</v>
      </c>
      <c r="I27" s="362">
        <f>IFERROR(VLOOKUP(C27,'تقرير المصروفات حسب الشهر'!$C$637:$AD$746,21,FALSE),0)</f>
        <v>0</v>
      </c>
      <c r="J27" s="362">
        <f>IFERROR(VLOOKUP(C27,'تقرير المصروفات حسب الشهر'!$C$763:$AD$872,21,FALSE),0)</f>
        <v>0</v>
      </c>
      <c r="K27" s="362">
        <f>IFERROR(VLOOKUP(C27,'تقرير المصروفات حسب الشهر'!$C$890:$AD$999,21,FALSE),0)</f>
        <v>0</v>
      </c>
      <c r="L27" s="362">
        <f>IFERROR(VLOOKUP(C27,'تقرير المصروفات حسب الشهر'!$C$1016:$AD$1126,21,FALSE),0)</f>
        <v>0</v>
      </c>
      <c r="M27" s="376">
        <f>IFERROR(VLOOKUP(C27,'تقرير المصروفات حسب الشهر'!$C$1143:$AD$1254,21,FALSE),0)</f>
        <v>0</v>
      </c>
      <c r="N27" s="376">
        <f>IFERROR(VLOOKUP(C27,'تقرير المصروفات حسب الشهر'!$C$1270:$AD$1381,21,FALSE),0)</f>
        <v>0</v>
      </c>
      <c r="O27" s="376">
        <f>IFERROR(VLOOKUP(C27,'تقرير المصروفات حسب الشهر'!$C$1397:$AI$1512,21,FALSE),0)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الشهر'!$C$10:$AD$119,21,FALSE),0)</f>
        <v>0</v>
      </c>
      <c r="E28" s="362">
        <f>IFERROR(VLOOKUP(C28,'تقرير المصروفات حسب الشهر'!$C$135:$AD$244,21,FALSE),0)</f>
        <v>0</v>
      </c>
      <c r="F28" s="362">
        <f>IFERROR(VLOOKUP(C28,'تقرير المصروفات حسب الشهر'!$C$261:$AD$368,21,FALSE),0)</f>
        <v>0</v>
      </c>
      <c r="G28" s="362">
        <f>IFERROR(VLOOKUP(C28,'تقرير المصروفات حسب الشهر'!$C$387:$AD$495,21,FALSE),0)</f>
        <v>0</v>
      </c>
      <c r="H28" s="362">
        <f>IFERROR(VLOOKUP(C28,'تقرير المصروفات حسب الشهر'!$C$512:$AD$620,21,FALSE),0)</f>
        <v>0</v>
      </c>
      <c r="I28" s="362">
        <f>IFERROR(VLOOKUP(C28,'تقرير المصروفات حسب الشهر'!$C$637:$AD$746,21,FALSE),0)</f>
        <v>0</v>
      </c>
      <c r="J28" s="362">
        <f>IFERROR(VLOOKUP(C28,'تقرير المصروفات حسب الشهر'!$C$763:$AD$872,21,FALSE),0)</f>
        <v>0</v>
      </c>
      <c r="K28" s="362">
        <f>IFERROR(VLOOKUP(C28,'تقرير المصروفات حسب الشهر'!$C$890:$AD$999,21,FALSE),0)</f>
        <v>0</v>
      </c>
      <c r="L28" s="362">
        <f>IFERROR(VLOOKUP(C28,'تقرير المصروفات حسب الشهر'!$C$1016:$AD$1126,21,FALSE),0)</f>
        <v>0</v>
      </c>
      <c r="M28" s="376">
        <f>IFERROR(VLOOKUP(C28,'تقرير المصروفات حسب الشهر'!$C$1143:$AD$1254,21,FALSE),0)</f>
        <v>0</v>
      </c>
      <c r="N28" s="376">
        <f>IFERROR(VLOOKUP(C28,'تقرير المصروفات حسب الشهر'!$C$1270:$AD$1381,21,FALSE),0)</f>
        <v>0</v>
      </c>
      <c r="O28" s="376">
        <f>IFERROR(VLOOKUP(C28,'تقرير المصروفات حسب الشهر'!$C$1397:$AI$1512,21,FALSE),0)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الشهر'!$C$10:$AD$119,21,FALSE),0)</f>
        <v>0</v>
      </c>
      <c r="E29" s="362">
        <f>IFERROR(VLOOKUP(C29,'تقرير المصروفات حسب الشهر'!$C$135:$AD$244,21,FALSE),0)</f>
        <v>0</v>
      </c>
      <c r="F29" s="362">
        <f>IFERROR(VLOOKUP(C29,'تقرير المصروفات حسب الشهر'!$C$261:$AD$368,21,FALSE),0)</f>
        <v>0</v>
      </c>
      <c r="G29" s="362">
        <f>IFERROR(VLOOKUP(C29,'تقرير المصروفات حسب الشهر'!$C$387:$AD$495,21,FALSE),0)</f>
        <v>0</v>
      </c>
      <c r="H29" s="362">
        <f>IFERROR(VLOOKUP(C29,'تقرير المصروفات حسب الشهر'!$C$512:$AD$620,21,FALSE),0)</f>
        <v>0</v>
      </c>
      <c r="I29" s="362">
        <f>IFERROR(VLOOKUP(C29,'تقرير المصروفات حسب الشهر'!$C$637:$AD$746,21,FALSE),0)</f>
        <v>0</v>
      </c>
      <c r="J29" s="362">
        <f>IFERROR(VLOOKUP(C29,'تقرير المصروفات حسب الشهر'!$C$763:$AD$872,21,FALSE),0)</f>
        <v>0</v>
      </c>
      <c r="K29" s="362">
        <f>IFERROR(VLOOKUP(C29,'تقرير المصروفات حسب الشهر'!$C$890:$AD$999,21,FALSE),0)</f>
        <v>0</v>
      </c>
      <c r="L29" s="362">
        <f>IFERROR(VLOOKUP(C29,'تقرير المصروفات حسب الشهر'!$C$1016:$AD$1126,21,FALSE),0)</f>
        <v>0</v>
      </c>
      <c r="M29" s="376">
        <f>IFERROR(VLOOKUP(C29,'تقرير المصروفات حسب الشهر'!$C$1143:$AD$1254,21,FALSE),0)</f>
        <v>0</v>
      </c>
      <c r="N29" s="376">
        <f>IFERROR(VLOOKUP(C29,'تقرير المصروفات حسب الشهر'!$C$1270:$AD$1381,21,FALSE),0)</f>
        <v>0</v>
      </c>
      <c r="O29" s="376">
        <f>IFERROR(VLOOKUP(C29,'تقرير المصروفات حسب الشهر'!$C$1397:$AI$1512,21,FALSE),0)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الشهر'!$C$10:$AD$119,21,FALSE),0)</f>
        <v>0</v>
      </c>
      <c r="E30" s="362">
        <f>IFERROR(VLOOKUP(C30,'تقرير المصروفات حسب الشهر'!$C$135:$AD$244,21,FALSE),0)</f>
        <v>0</v>
      </c>
      <c r="F30" s="362">
        <f>IFERROR(VLOOKUP(C30,'تقرير المصروفات حسب الشهر'!$C$261:$AD$368,21,FALSE),0)</f>
        <v>0</v>
      </c>
      <c r="G30" s="362">
        <f>IFERROR(VLOOKUP(C30,'تقرير المصروفات حسب الشهر'!$C$387:$AD$495,21,FALSE),0)</f>
        <v>0</v>
      </c>
      <c r="H30" s="362">
        <f>IFERROR(VLOOKUP(C30,'تقرير المصروفات حسب الشهر'!$C$512:$AD$620,21,FALSE),0)</f>
        <v>0</v>
      </c>
      <c r="I30" s="362">
        <f>IFERROR(VLOOKUP(C30,'تقرير المصروفات حسب الشهر'!$C$637:$AD$746,21,FALSE),0)</f>
        <v>0</v>
      </c>
      <c r="J30" s="362">
        <f>IFERROR(VLOOKUP(C30,'تقرير المصروفات حسب الشهر'!$C$763:$AD$872,21,FALSE),0)</f>
        <v>0</v>
      </c>
      <c r="K30" s="362">
        <f>IFERROR(VLOOKUP(C30,'تقرير المصروفات حسب الشهر'!$C$890:$AD$999,21,FALSE),0)</f>
        <v>0</v>
      </c>
      <c r="L30" s="362">
        <f>IFERROR(VLOOKUP(C30,'تقرير المصروفات حسب الشهر'!$C$1016:$AD$1126,21,FALSE),0)</f>
        <v>0</v>
      </c>
      <c r="M30" s="376">
        <f>IFERROR(VLOOKUP(C30,'تقرير المصروفات حسب الشهر'!$C$1143:$AD$1254,21,FALSE),0)</f>
        <v>0</v>
      </c>
      <c r="N30" s="376">
        <f>IFERROR(VLOOKUP(C30,'تقرير المصروفات حسب الشهر'!$C$1270:$AD$1381,21,FALSE),0)</f>
        <v>0</v>
      </c>
      <c r="O30" s="376">
        <f>IFERROR(VLOOKUP(C30,'تقرير المصروفات حسب الشهر'!$C$1397:$AI$1512,21,FALSE),0)</f>
        <v>0</v>
      </c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الشهر'!$C$10:$AD$119,21,FALSE),0)</f>
        <v>300</v>
      </c>
      <c r="E31" s="362">
        <f>IFERROR(VLOOKUP(C31,'تقرير المصروفات حسب الشهر'!$C$135:$AD$244,21,FALSE),0)</f>
        <v>450</v>
      </c>
      <c r="F31" s="362">
        <f>IFERROR(VLOOKUP(C31,'تقرير المصروفات حسب الشهر'!$C$261:$AD$368,21,FALSE),0)</f>
        <v>450</v>
      </c>
      <c r="G31" s="362">
        <f>IFERROR(VLOOKUP(C31,'تقرير المصروفات حسب الشهر'!$C$387:$AD$495,21,FALSE),0)</f>
        <v>504</v>
      </c>
      <c r="H31" s="362">
        <f>IFERROR(VLOOKUP(C31,'تقرير المصروفات حسب الشهر'!$C$512:$AD$620,21,FALSE),0)</f>
        <v>124</v>
      </c>
      <c r="I31" s="362">
        <f>IFERROR(VLOOKUP(C31,'تقرير المصروفات حسب الشهر'!$C$637:$AD$746,21,FALSE),0)</f>
        <v>550</v>
      </c>
      <c r="J31" s="362">
        <f>IFERROR(VLOOKUP(C31,'تقرير المصروفات حسب الشهر'!$C$763:$AD$872,21,FALSE),0)</f>
        <v>300</v>
      </c>
      <c r="K31" s="362">
        <f>IFERROR(VLOOKUP(C31,'تقرير المصروفات حسب الشهر'!$C$890:$AD$999,21,FALSE),0)</f>
        <v>124</v>
      </c>
      <c r="L31" s="362">
        <f>IFERROR(VLOOKUP(C31,'تقرير المصروفات حسب الشهر'!$C$1016:$AD$1126,21,FALSE),0)</f>
        <v>65</v>
      </c>
      <c r="M31" s="376">
        <f>IFERROR(VLOOKUP(C31,'تقرير المصروفات حسب الشهر'!$C$1143:$AD$1254,21,FALSE),0)</f>
        <v>123.64</v>
      </c>
      <c r="N31" s="376">
        <f>IFERROR(VLOOKUP(C31,'تقرير المصروفات حسب الشهر'!$C$1270:$AD$1381,21,FALSE),0)</f>
        <v>123</v>
      </c>
      <c r="O31" s="376">
        <f>IFERROR(VLOOKUP(C31,'تقرير المصروفات حسب الشهر'!$C$1397:$AI$1512,21,FALSE),0)</f>
        <v>123</v>
      </c>
      <c r="P31" s="364">
        <f t="shared" si="5"/>
        <v>3236.64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الشهر'!$C$10:$AD$119,21,FALSE),0)</f>
        <v>0</v>
      </c>
      <c r="E32" s="362">
        <f>IFERROR(VLOOKUP(C32,'تقرير المصروفات حسب الشهر'!$C$135:$AD$244,21,FALSE),0)</f>
        <v>0</v>
      </c>
      <c r="F32" s="362">
        <f>IFERROR(VLOOKUP(C32,'تقرير المصروفات حسب الشهر'!$C$261:$AD$368,21,FALSE),0)</f>
        <v>0</v>
      </c>
      <c r="G32" s="362">
        <f>IFERROR(VLOOKUP(C32,'تقرير المصروفات حسب الشهر'!$C$387:$AD$495,21,FALSE),0)</f>
        <v>0</v>
      </c>
      <c r="H32" s="362">
        <f>IFERROR(VLOOKUP(C32,'تقرير المصروفات حسب الشهر'!$C$512:$AD$620,21,FALSE),0)</f>
        <v>0</v>
      </c>
      <c r="I32" s="362">
        <f>IFERROR(VLOOKUP(C32,'تقرير المصروفات حسب الشهر'!$C$637:$AD$746,21,FALSE),0)</f>
        <v>0</v>
      </c>
      <c r="J32" s="362">
        <f>IFERROR(VLOOKUP(C32,'تقرير المصروفات حسب الشهر'!$C$763:$AD$872,21,FALSE),0)</f>
        <v>0</v>
      </c>
      <c r="K32" s="362">
        <f>IFERROR(VLOOKUP(C32,'تقرير المصروفات حسب الشهر'!$C$890:$AD$999,21,FALSE),0)</f>
        <v>0</v>
      </c>
      <c r="L32" s="362">
        <f>IFERROR(VLOOKUP(C32,'تقرير المصروفات حسب الشهر'!$C$1016:$AD$1126,21,FALSE),0)</f>
        <v>0</v>
      </c>
      <c r="M32" s="376">
        <f>IFERROR(VLOOKUP(C32,'تقرير المصروفات حسب الشهر'!$C$1143:$AD$1254,21,FALSE),0)</f>
        <v>0</v>
      </c>
      <c r="N32" s="376">
        <f>IFERROR(VLOOKUP(C32,'تقرير المصروفات حسب الشهر'!$C$1270:$AD$1381,21,FALSE),0)</f>
        <v>0</v>
      </c>
      <c r="O32" s="376">
        <f>IFERROR(VLOOKUP(C32,'تقرير المصروفات حسب الشهر'!$C$1397:$AI$1512,21,FALSE),0)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الشهر'!$C$10:$AD$119,21,FALSE),0)</f>
        <v>0</v>
      </c>
      <c r="E33" s="362">
        <f>IFERROR(VLOOKUP(C33,'تقرير المصروفات حسب الشهر'!$C$135:$AD$244,21,FALSE),0)</f>
        <v>0</v>
      </c>
      <c r="F33" s="362">
        <f>IFERROR(VLOOKUP(C33,'تقرير المصروفات حسب الشهر'!$C$261:$AD$368,21,FALSE),0)</f>
        <v>0</v>
      </c>
      <c r="G33" s="362">
        <f>IFERROR(VLOOKUP(C33,'تقرير المصروفات حسب الشهر'!$C$387:$AD$495,21,FALSE),0)</f>
        <v>0</v>
      </c>
      <c r="H33" s="362">
        <f>IFERROR(VLOOKUP(C33,'تقرير المصروفات حسب الشهر'!$C$512:$AD$620,21,FALSE),0)</f>
        <v>0</v>
      </c>
      <c r="I33" s="362">
        <f>IFERROR(VLOOKUP(C33,'تقرير المصروفات حسب الشهر'!$C$637:$AD$746,21,FALSE),0)</f>
        <v>0</v>
      </c>
      <c r="J33" s="362">
        <f>IFERROR(VLOOKUP(C33,'تقرير المصروفات حسب الشهر'!$C$763:$AD$872,21,FALSE),0)</f>
        <v>0</v>
      </c>
      <c r="K33" s="362">
        <f>IFERROR(VLOOKUP(C33,'تقرير المصروفات حسب الشهر'!$C$890:$AD$999,21,FALSE),0)</f>
        <v>0</v>
      </c>
      <c r="L33" s="362">
        <f>IFERROR(VLOOKUP(C33,'تقرير المصروفات حسب الشهر'!$C$1016:$AD$1126,21,FALSE),0)</f>
        <v>0</v>
      </c>
      <c r="M33" s="376">
        <f>IFERROR(VLOOKUP(C33,'تقرير المصروفات حسب الشهر'!$C$1143:$AD$1254,21,FALSE),0)</f>
        <v>0</v>
      </c>
      <c r="N33" s="376">
        <f>IFERROR(VLOOKUP(C33,'تقرير المصروفات حسب الشهر'!$C$1270:$AD$1381,21,FALSE),0)</f>
        <v>0</v>
      </c>
      <c r="O33" s="376">
        <f>IFERROR(VLOOKUP(C33,'تقرير المصروفات حسب الشهر'!$C$1397:$AI$1512,21,FALSE),0)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الشهر'!$C$10:$AD$119,21,FALSE),0)</f>
        <v>0</v>
      </c>
      <c r="E34" s="362">
        <f>IFERROR(VLOOKUP(C34,'تقرير المصروفات حسب الشهر'!$C$135:$AD$244,21,FALSE),0)</f>
        <v>0</v>
      </c>
      <c r="F34" s="362">
        <f>IFERROR(VLOOKUP(C34,'تقرير المصروفات حسب الشهر'!$C$261:$AD$368,21,FALSE),0)</f>
        <v>0</v>
      </c>
      <c r="G34" s="362">
        <f>IFERROR(VLOOKUP(C34,'تقرير المصروفات حسب الشهر'!$C$387:$AD$495,21,FALSE),0)</f>
        <v>0</v>
      </c>
      <c r="H34" s="362">
        <f>IFERROR(VLOOKUP(C34,'تقرير المصروفات حسب الشهر'!$C$512:$AD$620,21,FALSE),0)</f>
        <v>0</v>
      </c>
      <c r="I34" s="362">
        <f>IFERROR(VLOOKUP(C34,'تقرير المصروفات حسب الشهر'!$C$637:$AD$746,21,FALSE),0)</f>
        <v>0</v>
      </c>
      <c r="J34" s="362">
        <f>IFERROR(VLOOKUP(C34,'تقرير المصروفات حسب الشهر'!$C$763:$AD$872,21,FALSE),0)</f>
        <v>0</v>
      </c>
      <c r="K34" s="362">
        <f>IFERROR(VLOOKUP(C34,'تقرير المصروفات حسب الشهر'!$C$890:$AD$999,21,FALSE),0)</f>
        <v>0</v>
      </c>
      <c r="L34" s="362">
        <f>IFERROR(VLOOKUP(C34,'تقرير المصروفات حسب الشهر'!$C$1016:$AD$1126,21,FALSE),0)</f>
        <v>0</v>
      </c>
      <c r="M34" s="376">
        <f>IFERROR(VLOOKUP(C34,'تقرير المصروفات حسب الشهر'!$C$1143:$AD$1254,21,FALSE),0)</f>
        <v>0</v>
      </c>
      <c r="N34" s="376">
        <f>IFERROR(VLOOKUP(C34,'تقرير المصروفات حسب الشهر'!$C$1270:$AD$1381,21,FALSE),0)</f>
        <v>0</v>
      </c>
      <c r="O34" s="376">
        <f>IFERROR(VLOOKUP(C34,'تقرير المصروفات حسب الشهر'!$C$1397:$AI$1512,21,FALSE),0)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الشهر'!$C$10:$AD$119,21,FALSE),0)</f>
        <v>0</v>
      </c>
      <c r="E35" s="362">
        <f>IFERROR(VLOOKUP(C35,'تقرير المصروفات حسب الشهر'!$C$135:$AD$244,21,FALSE),0)</f>
        <v>0</v>
      </c>
      <c r="F35" s="362">
        <f>IFERROR(VLOOKUP(C35,'تقرير المصروفات حسب الشهر'!$C$261:$AD$368,21,FALSE),0)</f>
        <v>0</v>
      </c>
      <c r="G35" s="362">
        <f>IFERROR(VLOOKUP(C35,'تقرير المصروفات حسب الشهر'!$C$387:$AD$495,21,FALSE),0)</f>
        <v>0</v>
      </c>
      <c r="H35" s="362">
        <f>IFERROR(VLOOKUP(C35,'تقرير المصروفات حسب الشهر'!$C$512:$AD$620,21,FALSE),0)</f>
        <v>0</v>
      </c>
      <c r="I35" s="362">
        <f>IFERROR(VLOOKUP(C35,'تقرير المصروفات حسب الشهر'!$C$637:$AD$746,21,FALSE),0)</f>
        <v>0</v>
      </c>
      <c r="J35" s="362">
        <f>IFERROR(VLOOKUP(C35,'تقرير المصروفات حسب الشهر'!$C$763:$AD$872,21,FALSE),0)</f>
        <v>0</v>
      </c>
      <c r="K35" s="362">
        <f>IFERROR(VLOOKUP(C35,'تقرير المصروفات حسب الشهر'!$C$890:$AD$999,21,FALSE),0)</f>
        <v>0</v>
      </c>
      <c r="L35" s="362">
        <f>IFERROR(VLOOKUP(C35,'تقرير المصروفات حسب الشهر'!$C$1016:$AD$1126,21,FALSE),0)</f>
        <v>0</v>
      </c>
      <c r="M35" s="376">
        <f>IFERROR(VLOOKUP(C35,'تقرير المصروفات حسب الشهر'!$C$1143:$AD$1254,21,FALSE),0)</f>
        <v>0</v>
      </c>
      <c r="N35" s="376">
        <f>IFERROR(VLOOKUP(C35,'تقرير المصروفات حسب الشهر'!$C$1270:$AD$1381,21,FALSE),0)</f>
        <v>0</v>
      </c>
      <c r="O35" s="376">
        <f>IFERROR(VLOOKUP(C35,'تقرير المصروفات حسب الشهر'!$C$1397:$AI$1512,21,FALSE),0)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الشهر'!$C$10:$AD$119,21,FALSE),0)</f>
        <v>750</v>
      </c>
      <c r="E36" s="362">
        <f>IFERROR(VLOOKUP(C36,'تقرير المصروفات حسب الشهر'!$C$135:$AD$244,21,FALSE),0)</f>
        <v>0</v>
      </c>
      <c r="F36" s="362">
        <f>IFERROR(VLOOKUP(C36,'تقرير المصروفات حسب الشهر'!$C$261:$AD$368,21,FALSE),0)</f>
        <v>0</v>
      </c>
      <c r="G36" s="362">
        <f>IFERROR(VLOOKUP(C36,'تقرير المصروفات حسب الشهر'!$C$387:$AD$495,21,FALSE),0)</f>
        <v>750</v>
      </c>
      <c r="H36" s="362">
        <f>IFERROR(VLOOKUP(C36,'تقرير المصروفات حسب الشهر'!$C$512:$AD$620,21,FALSE),0)</f>
        <v>0</v>
      </c>
      <c r="I36" s="362">
        <f>IFERROR(VLOOKUP(C36,'تقرير المصروفات حسب الشهر'!$C$637:$AD$746,21,FALSE),0)</f>
        <v>770</v>
      </c>
      <c r="J36" s="362">
        <f>IFERROR(VLOOKUP(C36,'تقرير المصروفات حسب الشهر'!$C$763:$AD$872,21,FALSE),0)</f>
        <v>0</v>
      </c>
      <c r="K36" s="362">
        <f>IFERROR(VLOOKUP(C36,'تقرير المصروفات حسب الشهر'!$C$890:$AD$999,21,FALSE),0)</f>
        <v>770</v>
      </c>
      <c r="L36" s="362">
        <f>IFERROR(VLOOKUP(C36,'تقرير المصروفات حسب الشهر'!$C$1016:$AD$1126,21,FALSE),0)</f>
        <v>0</v>
      </c>
      <c r="M36" s="376">
        <f>IFERROR(VLOOKUP(C36,'تقرير المصروفات حسب الشهر'!$C$1143:$AD$1254,21,FALSE),0)</f>
        <v>770</v>
      </c>
      <c r="N36" s="376">
        <f>IFERROR(VLOOKUP(C36,'تقرير المصروفات حسب الشهر'!$C$1270:$AD$1381,21,FALSE),0)</f>
        <v>0</v>
      </c>
      <c r="O36" s="376">
        <f>IFERROR(VLOOKUP(C36,'تقرير المصروفات حسب الشهر'!$C$1397:$AI$1512,21,FALSE),0)</f>
        <v>770</v>
      </c>
      <c r="P36" s="364">
        <f t="shared" si="5"/>
        <v>4580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الشهر'!$C$10:$AD$119,21,FALSE),0)</f>
        <v>0</v>
      </c>
      <c r="E37" s="362">
        <f>IFERROR(VLOOKUP(C37,'تقرير المصروفات حسب الشهر'!$C$135:$AD$244,21,FALSE),0)</f>
        <v>0</v>
      </c>
      <c r="F37" s="362">
        <f>IFERROR(VLOOKUP(C37,'تقرير المصروفات حسب الشهر'!$C$261:$AD$368,21,FALSE),0)</f>
        <v>0</v>
      </c>
      <c r="G37" s="362">
        <f>IFERROR(VLOOKUP(C37,'تقرير المصروفات حسب الشهر'!$C$387:$AD$495,21,FALSE),0)</f>
        <v>2250</v>
      </c>
      <c r="H37" s="362">
        <f>IFERROR(VLOOKUP(C37,'تقرير المصروفات حسب الشهر'!$C$512:$AD$620,21,FALSE),0)</f>
        <v>0</v>
      </c>
      <c r="I37" s="362">
        <f>IFERROR(VLOOKUP(C37,'تقرير المصروفات حسب الشهر'!$C$637:$AD$746,21,FALSE),0)</f>
        <v>0</v>
      </c>
      <c r="J37" s="362">
        <f>IFERROR(VLOOKUP(C37,'تقرير المصروفات حسب الشهر'!$C$763:$AD$872,21,FALSE),0)</f>
        <v>0</v>
      </c>
      <c r="K37" s="362">
        <f>IFERROR(VLOOKUP(C37,'تقرير المصروفات حسب الشهر'!$C$890:$AD$999,21,FALSE),0)</f>
        <v>2250</v>
      </c>
      <c r="L37" s="362">
        <f>IFERROR(VLOOKUP(C37,'تقرير المصروفات حسب الشهر'!$C$1016:$AD$1126,21,FALSE),0)</f>
        <v>0</v>
      </c>
      <c r="M37" s="376">
        <f>IFERROR(VLOOKUP(C37,'تقرير المصروفات حسب الشهر'!$C$1143:$AD$1254,21,FALSE),0)</f>
        <v>2250</v>
      </c>
      <c r="N37" s="376">
        <f>IFERROR(VLOOKUP(C37,'تقرير المصروفات حسب الشهر'!$C$1270:$AD$1381,21,FALSE),0)</f>
        <v>0</v>
      </c>
      <c r="O37" s="376">
        <f>IFERROR(VLOOKUP(C37,'تقرير المصروفات حسب الشهر'!$C$1397:$AI$1512,21,FALSE),0)</f>
        <v>2260</v>
      </c>
      <c r="P37" s="364">
        <f t="shared" si="5"/>
        <v>9010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الشهر'!$C$10:$AD$119,21,FALSE),0)</f>
        <v>0</v>
      </c>
      <c r="E38" s="362">
        <f>IFERROR(VLOOKUP(C38,'تقرير المصروفات حسب الشهر'!$C$135:$AD$244,21,FALSE),0)</f>
        <v>0</v>
      </c>
      <c r="F38" s="362">
        <f>IFERROR(VLOOKUP(C38,'تقرير المصروفات حسب الشهر'!$C$261:$AD$368,21,FALSE),0)</f>
        <v>0</v>
      </c>
      <c r="G38" s="362">
        <f>IFERROR(VLOOKUP(C38,'تقرير المصروفات حسب الشهر'!$C$387:$AD$495,21,FALSE),0)</f>
        <v>0</v>
      </c>
      <c r="H38" s="362">
        <f>IFERROR(VLOOKUP(C38,'تقرير المصروفات حسب الشهر'!$C$512:$AD$620,21,FALSE),0)</f>
        <v>0</v>
      </c>
      <c r="I38" s="362">
        <f>IFERROR(VLOOKUP(C38,'تقرير المصروفات حسب الشهر'!$C$637:$AD$746,21,FALSE),0)</f>
        <v>0</v>
      </c>
      <c r="J38" s="362">
        <f>IFERROR(VLOOKUP(C38,'تقرير المصروفات حسب الشهر'!$C$763:$AD$872,21,FALSE),0)</f>
        <v>0</v>
      </c>
      <c r="K38" s="362">
        <f>IFERROR(VLOOKUP(C38,'تقرير المصروفات حسب الشهر'!$C$890:$AD$999,21,FALSE),0)</f>
        <v>0</v>
      </c>
      <c r="L38" s="362">
        <f>IFERROR(VLOOKUP(C38,'تقرير المصروفات حسب الشهر'!$C$1016:$AD$1126,21,FALSE),0)</f>
        <v>0</v>
      </c>
      <c r="M38" s="376">
        <f>IFERROR(VLOOKUP(C38,'تقرير المصروفات حسب الشهر'!$C$1143:$AD$1254,21,FALSE),0)</f>
        <v>0</v>
      </c>
      <c r="N38" s="376">
        <f>IFERROR(VLOOKUP(C38,'تقرير المصروفات حسب الشهر'!$C$1270:$AD$1381,21,FALSE),0)</f>
        <v>0</v>
      </c>
      <c r="O38" s="376">
        <f>IFERROR(VLOOKUP(C38,'تقرير المصروفات حسب الشهر'!$C$1397:$AI$1512,21,FALSE),0)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الشهر'!$C$10:$AD$119,21,FALSE),0)</f>
        <v>0</v>
      </c>
      <c r="E39" s="362">
        <f>IFERROR(VLOOKUP(C39,'تقرير المصروفات حسب الشهر'!$C$135:$AD$244,21,FALSE),0)</f>
        <v>833</v>
      </c>
      <c r="F39" s="362">
        <f>IFERROR(VLOOKUP(C39,'تقرير المصروفات حسب الشهر'!$C$261:$AD$368,21,FALSE),0)</f>
        <v>648</v>
      </c>
      <c r="G39" s="362">
        <f>IFERROR(VLOOKUP(C39,'تقرير المصروفات حسب الشهر'!$C$387:$AD$495,21,FALSE),0)</f>
        <v>793</v>
      </c>
      <c r="H39" s="362">
        <f>IFERROR(VLOOKUP(C39,'تقرير المصروفات حسب الشهر'!$C$512:$AD$620,21,FALSE),0)</f>
        <v>0</v>
      </c>
      <c r="I39" s="362">
        <f>IFERROR(VLOOKUP(C39,'تقرير المصروفات حسب الشهر'!$C$637:$AD$746,21,FALSE),0)</f>
        <v>0</v>
      </c>
      <c r="J39" s="362">
        <f>IFERROR(VLOOKUP(C39,'تقرير المصروفات حسب الشهر'!$C$763:$AD$872,21,FALSE),0)</f>
        <v>0</v>
      </c>
      <c r="K39" s="362">
        <f>IFERROR(VLOOKUP(C39,'تقرير المصروفات حسب الشهر'!$C$890:$AD$999,21,FALSE),0)</f>
        <v>0</v>
      </c>
      <c r="L39" s="362">
        <f>IFERROR(VLOOKUP(C39,'تقرير المصروفات حسب الشهر'!$C$1016:$AD$1126,21,FALSE),0)</f>
        <v>0</v>
      </c>
      <c r="M39" s="376">
        <f>IFERROR(VLOOKUP(C39,'تقرير المصروفات حسب الشهر'!$C$1143:$AD$1254,21,FALSE),0)</f>
        <v>0</v>
      </c>
      <c r="N39" s="376">
        <f>IFERROR(VLOOKUP(C39,'تقرير المصروفات حسب الشهر'!$C$1270:$AD$1381,21,FALSE),0)</f>
        <v>506</v>
      </c>
      <c r="O39" s="376">
        <f>IFERROR(VLOOKUP(C39,'تقرير المصروفات حسب الشهر'!$C$1397:$AI$1512,21,FALSE),0)</f>
        <v>0</v>
      </c>
      <c r="P39" s="364">
        <f t="shared" si="5"/>
        <v>2780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الشهر'!$C$10:$AD$119,21,FALSE),0)</f>
        <v>0</v>
      </c>
      <c r="E40" s="362">
        <f>IFERROR(VLOOKUP(C40,'تقرير المصروفات حسب الشهر'!$C$135:$AD$244,21,FALSE),0)</f>
        <v>0</v>
      </c>
      <c r="F40" s="362">
        <f>IFERROR(VLOOKUP(C40,'تقرير المصروفات حسب الشهر'!$C$261:$AD$368,21,FALSE),0)</f>
        <v>0</v>
      </c>
      <c r="G40" s="362">
        <f>IFERROR(VLOOKUP(C40,'تقرير المصروفات حسب الشهر'!$C$387:$AD$495,21,FALSE),0)</f>
        <v>0</v>
      </c>
      <c r="H40" s="362">
        <f>IFERROR(VLOOKUP(C40,'تقرير المصروفات حسب الشهر'!$C$512:$AD$620,21,FALSE),0)</f>
        <v>0</v>
      </c>
      <c r="I40" s="362">
        <f>IFERROR(VLOOKUP(C40,'تقرير المصروفات حسب الشهر'!$C$637:$AD$746,21,FALSE),0)</f>
        <v>0</v>
      </c>
      <c r="J40" s="362">
        <f>IFERROR(VLOOKUP(C40,'تقرير المصروفات حسب الشهر'!$C$763:$AD$872,21,FALSE),0)</f>
        <v>0</v>
      </c>
      <c r="K40" s="362">
        <f>IFERROR(VLOOKUP(C40,'تقرير المصروفات حسب الشهر'!$C$890:$AD$999,21,FALSE),0)</f>
        <v>0</v>
      </c>
      <c r="L40" s="362">
        <f>IFERROR(VLOOKUP(C40,'تقرير المصروفات حسب الشهر'!$C$1016:$AD$1126,21,FALSE),0)</f>
        <v>0</v>
      </c>
      <c r="M40" s="376">
        <f>IFERROR(VLOOKUP(C40,'تقرير المصروفات حسب الشهر'!$C$1143:$AD$1254,21,FALSE),0)</f>
        <v>0</v>
      </c>
      <c r="N40" s="376">
        <f>IFERROR(VLOOKUP(C40,'تقرير المصروفات حسب الشهر'!$C$1270:$AD$1381,21,FALSE),0)</f>
        <v>0</v>
      </c>
      <c r="O40" s="376">
        <f>IFERROR(VLOOKUP(C40,'تقرير المصروفات حسب الشهر'!$C$1397:$AI$1512,21,FALSE),0)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الشهر'!$C$10:$AD$119,21,FALSE),0)</f>
        <v>0</v>
      </c>
      <c r="E41" s="362">
        <f>IFERROR(VLOOKUP(C41,'تقرير المصروفات حسب الشهر'!$C$135:$AD$244,21,FALSE),0)</f>
        <v>0</v>
      </c>
      <c r="F41" s="362">
        <f>IFERROR(VLOOKUP(C41,'تقرير المصروفات حسب الشهر'!$C$261:$AD$368,21,FALSE),0)</f>
        <v>0</v>
      </c>
      <c r="G41" s="362">
        <f>IFERROR(VLOOKUP(C41,'تقرير المصروفات حسب الشهر'!$C$387:$AD$495,21,FALSE),0)</f>
        <v>0</v>
      </c>
      <c r="H41" s="362">
        <f>IFERROR(VLOOKUP(C41,'تقرير المصروفات حسب الشهر'!$C$512:$AD$620,21,FALSE),0)</f>
        <v>0</v>
      </c>
      <c r="I41" s="362">
        <f>IFERROR(VLOOKUP(C41,'تقرير المصروفات حسب الشهر'!$C$637:$AD$746,21,FALSE),0)</f>
        <v>0</v>
      </c>
      <c r="J41" s="362">
        <f>IFERROR(VLOOKUP(C41,'تقرير المصروفات حسب الشهر'!$C$763:$AD$872,21,FALSE),0)</f>
        <v>0</v>
      </c>
      <c r="K41" s="362">
        <f>IFERROR(VLOOKUP(C41,'تقرير المصروفات حسب الشهر'!$C$890:$AD$999,21,FALSE),0)</f>
        <v>0</v>
      </c>
      <c r="L41" s="362">
        <f>IFERROR(VLOOKUP(C41,'تقرير المصروفات حسب الشهر'!$C$1016:$AD$1126,21,FALSE),0)</f>
        <v>0</v>
      </c>
      <c r="M41" s="376">
        <f>IFERROR(VLOOKUP(C41,'تقرير المصروفات حسب الشهر'!$C$1143:$AD$1254,21,FALSE),0)</f>
        <v>0</v>
      </c>
      <c r="N41" s="376">
        <f>IFERROR(VLOOKUP(C41,'تقرير المصروفات حسب الشهر'!$C$1270:$AD$1381,21,FALSE),0)</f>
        <v>0</v>
      </c>
      <c r="O41" s="376">
        <f>IFERROR(VLOOKUP(C41,'تقرير المصروفات حسب الشهر'!$C$1397:$AI$1512,21,FALSE),0)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الشهر'!$C$10:$AD$119,21,FALSE),0)</f>
        <v>0</v>
      </c>
      <c r="E42" s="362">
        <f>IFERROR(VLOOKUP(C42,'تقرير المصروفات حسب الشهر'!$C$135:$AD$244,21,FALSE),0)</f>
        <v>0</v>
      </c>
      <c r="F42" s="362">
        <f>IFERROR(VLOOKUP(C42,'تقرير المصروفات حسب الشهر'!$C$261:$AD$368,21,FALSE),0)</f>
        <v>0</v>
      </c>
      <c r="G42" s="362">
        <f>IFERROR(VLOOKUP(C42,'تقرير المصروفات حسب الشهر'!$C$387:$AD$495,21,FALSE),0)</f>
        <v>0</v>
      </c>
      <c r="H42" s="362">
        <f>IFERROR(VLOOKUP(C42,'تقرير المصروفات حسب الشهر'!$C$512:$AD$620,21,FALSE),0)</f>
        <v>0</v>
      </c>
      <c r="I42" s="362">
        <f>IFERROR(VLOOKUP(C42,'تقرير المصروفات حسب الشهر'!$C$637:$AD$746,21,FALSE),0)</f>
        <v>0</v>
      </c>
      <c r="J42" s="362">
        <f>IFERROR(VLOOKUP(C42,'تقرير المصروفات حسب الشهر'!$C$763:$AD$872,21,FALSE),0)</f>
        <v>0</v>
      </c>
      <c r="K42" s="362">
        <f>IFERROR(VLOOKUP(C42,'تقرير المصروفات حسب الشهر'!$C$890:$AD$999,21,FALSE),0)</f>
        <v>0</v>
      </c>
      <c r="L42" s="362">
        <f>IFERROR(VLOOKUP(C42,'تقرير المصروفات حسب الشهر'!$C$1016:$AD$1126,21,FALSE),0)</f>
        <v>0</v>
      </c>
      <c r="M42" s="376">
        <f>IFERROR(VLOOKUP(C42,'تقرير المصروفات حسب الشهر'!$C$1143:$AD$1254,21,FALSE),0)</f>
        <v>0</v>
      </c>
      <c r="N42" s="376">
        <f>IFERROR(VLOOKUP(C42,'تقرير المصروفات حسب الشهر'!$C$1270:$AD$1381,21,FALSE),0)</f>
        <v>0</v>
      </c>
      <c r="O42" s="376">
        <f>IFERROR(VLOOKUP(C42,'تقرير المصروفات حسب الشهر'!$C$1397:$AI$1512,21,FALSE),0)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الشهر'!$C$10:$AD$119,21,FALSE),0)</f>
        <v>0</v>
      </c>
      <c r="E43" s="362">
        <f>IFERROR(VLOOKUP(C43,'تقرير المصروفات حسب الشهر'!$C$135:$AD$244,21,FALSE),0)</f>
        <v>0</v>
      </c>
      <c r="F43" s="362">
        <f>IFERROR(VLOOKUP(C43,'تقرير المصروفات حسب الشهر'!$C$261:$AD$368,21,FALSE),0)</f>
        <v>0</v>
      </c>
      <c r="G43" s="362">
        <f>IFERROR(VLOOKUP(C43,'تقرير المصروفات حسب الشهر'!$C$387:$AD$495,21,FALSE),0)</f>
        <v>0</v>
      </c>
      <c r="H43" s="362">
        <f>IFERROR(VLOOKUP(C43,'تقرير المصروفات حسب الشهر'!$C$512:$AD$620,21,FALSE),0)</f>
        <v>0</v>
      </c>
      <c r="I43" s="362">
        <f>IFERROR(VLOOKUP(C43,'تقرير المصروفات حسب الشهر'!$C$637:$AD$746,21,FALSE),0)</f>
        <v>0</v>
      </c>
      <c r="J43" s="362">
        <f>IFERROR(VLOOKUP(C43,'تقرير المصروفات حسب الشهر'!$C$763:$AD$872,21,FALSE),0)</f>
        <v>0</v>
      </c>
      <c r="K43" s="362">
        <f>IFERROR(VLOOKUP(C43,'تقرير المصروفات حسب الشهر'!$C$890:$AD$999,21,FALSE),0)</f>
        <v>0</v>
      </c>
      <c r="L43" s="362">
        <f>IFERROR(VLOOKUP(C43,'تقرير المصروفات حسب الشهر'!$C$1016:$AD$1126,21,FALSE),0)</f>
        <v>0</v>
      </c>
      <c r="M43" s="376">
        <f>IFERROR(VLOOKUP(C43,'تقرير المصروفات حسب الشهر'!$C$1143:$AD$1254,21,FALSE),0)</f>
        <v>0</v>
      </c>
      <c r="N43" s="376">
        <f>IFERROR(VLOOKUP(C43,'تقرير المصروفات حسب الشهر'!$C$1270:$AD$1381,21,FALSE),0)</f>
        <v>0</v>
      </c>
      <c r="O43" s="376">
        <f>IFERROR(VLOOKUP(C43,'تقرير المصروفات حسب الشهر'!$C$1397:$AI$1512,21,FALSE),0)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الشهر'!$C$10:$AD$119,21,FALSE),0)</f>
        <v>0</v>
      </c>
      <c r="E44" s="362">
        <f>IFERROR(VLOOKUP(C44,'تقرير المصروفات حسب الشهر'!$C$135:$AD$244,21,FALSE),0)</f>
        <v>0</v>
      </c>
      <c r="F44" s="362">
        <f>IFERROR(VLOOKUP(C44,'تقرير المصروفات حسب الشهر'!$C$261:$AD$368,21,FALSE),0)</f>
        <v>0</v>
      </c>
      <c r="G44" s="362">
        <f>IFERROR(VLOOKUP(C44,'تقرير المصروفات حسب الشهر'!$C$387:$AD$495,21,FALSE),0)</f>
        <v>0</v>
      </c>
      <c r="H44" s="362">
        <f>IFERROR(VLOOKUP(C44,'تقرير المصروفات حسب الشهر'!$C$512:$AD$620,21,FALSE),0)</f>
        <v>0</v>
      </c>
      <c r="I44" s="362">
        <f>IFERROR(VLOOKUP(C44,'تقرير المصروفات حسب الشهر'!$C$637:$AD$746,21,FALSE),0)</f>
        <v>0</v>
      </c>
      <c r="J44" s="362">
        <f>IFERROR(VLOOKUP(C44,'تقرير المصروفات حسب الشهر'!$C$763:$AD$872,21,FALSE),0)</f>
        <v>0</v>
      </c>
      <c r="K44" s="362">
        <f>IFERROR(VLOOKUP(C44,'تقرير المصروفات حسب الشهر'!$C$890:$AD$999,21,FALSE),0)</f>
        <v>0</v>
      </c>
      <c r="L44" s="362">
        <f>IFERROR(VLOOKUP(C44,'تقرير المصروفات حسب الشهر'!$C$1016:$AD$1126,21,FALSE),0)</f>
        <v>0</v>
      </c>
      <c r="M44" s="376">
        <f>IFERROR(VLOOKUP(C44,'تقرير المصروفات حسب الشهر'!$C$1143:$AD$1254,21,FALSE),0)</f>
        <v>0</v>
      </c>
      <c r="N44" s="376">
        <f>IFERROR(VLOOKUP(C44,'تقرير المصروفات حسب الشهر'!$C$1270:$AD$1381,21,FALSE),0)</f>
        <v>0</v>
      </c>
      <c r="O44" s="376">
        <f>IFERROR(VLOOKUP(C44,'تقرير المصروفات حسب الشهر'!$C$1397:$AI$1512,21,FALSE),0)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الشهر'!$C$10:$AD$119,21,FALSE),0)</f>
        <v>0</v>
      </c>
      <c r="E45" s="362">
        <f>IFERROR(VLOOKUP(C45,'تقرير المصروفات حسب الشهر'!$C$135:$AD$244,21,FALSE),0)</f>
        <v>0</v>
      </c>
      <c r="F45" s="362">
        <f>IFERROR(VLOOKUP(C45,'تقرير المصروفات حسب الشهر'!$C$261:$AD$368,21,FALSE),0)</f>
        <v>0</v>
      </c>
      <c r="G45" s="362">
        <f>IFERROR(VLOOKUP(C45,'تقرير المصروفات حسب الشهر'!$C$387:$AD$495,21,FALSE),0)</f>
        <v>0</v>
      </c>
      <c r="H45" s="362">
        <f>IFERROR(VLOOKUP(C45,'تقرير المصروفات حسب الشهر'!$C$512:$AD$620,21,FALSE),0)</f>
        <v>0</v>
      </c>
      <c r="I45" s="362">
        <f>IFERROR(VLOOKUP(C45,'تقرير المصروفات حسب الشهر'!$C$637:$AD$746,21,FALSE),0)</f>
        <v>0</v>
      </c>
      <c r="J45" s="362">
        <f>IFERROR(VLOOKUP(C45,'تقرير المصروفات حسب الشهر'!$C$763:$AD$872,21,FALSE),0)</f>
        <v>0</v>
      </c>
      <c r="K45" s="362">
        <f>IFERROR(VLOOKUP(C45,'تقرير المصروفات حسب الشهر'!$C$890:$AD$999,21,FALSE),0)</f>
        <v>0</v>
      </c>
      <c r="L45" s="362">
        <f>IFERROR(VLOOKUP(C45,'تقرير المصروفات حسب الشهر'!$C$1016:$AD$1126,21,FALSE),0)</f>
        <v>0</v>
      </c>
      <c r="M45" s="376">
        <f>IFERROR(VLOOKUP(C45,'تقرير المصروفات حسب الشهر'!$C$1143:$AD$1254,21,FALSE),0)</f>
        <v>0</v>
      </c>
      <c r="N45" s="376">
        <f>IFERROR(VLOOKUP(C45,'تقرير المصروفات حسب الشهر'!$C$1270:$AD$1381,21,FALSE),0)</f>
        <v>0</v>
      </c>
      <c r="O45" s="376">
        <f>IFERROR(VLOOKUP(C45,'تقرير المصروفات حسب الشهر'!$C$1397:$AI$1512,21,FALSE),0)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الشهر'!$C$10:$AD$119,21,FALSE),0)</f>
        <v>0</v>
      </c>
      <c r="E46" s="362">
        <f>IFERROR(VLOOKUP(C46,'تقرير المصروفات حسب الشهر'!$C$135:$AD$244,21,FALSE),0)</f>
        <v>0</v>
      </c>
      <c r="F46" s="362">
        <f>IFERROR(VLOOKUP(C46,'تقرير المصروفات حسب الشهر'!$C$261:$AD$368,21,FALSE),0)</f>
        <v>0</v>
      </c>
      <c r="G46" s="362">
        <f>IFERROR(VLOOKUP(C46,'تقرير المصروفات حسب الشهر'!$C$387:$AD$495,21,FALSE),0)</f>
        <v>0</v>
      </c>
      <c r="H46" s="362">
        <f>IFERROR(VLOOKUP(C46,'تقرير المصروفات حسب الشهر'!$C$512:$AD$620,21,FALSE),0)</f>
        <v>0</v>
      </c>
      <c r="I46" s="362">
        <f>IFERROR(VLOOKUP(C46,'تقرير المصروفات حسب الشهر'!$C$637:$AD$746,21,FALSE),0)</f>
        <v>0</v>
      </c>
      <c r="J46" s="362">
        <f>IFERROR(VLOOKUP(C46,'تقرير المصروفات حسب الشهر'!$C$763:$AD$872,21,FALSE),0)</f>
        <v>0</v>
      </c>
      <c r="K46" s="362">
        <f>IFERROR(VLOOKUP(C46,'تقرير المصروفات حسب الشهر'!$C$890:$AD$999,21,FALSE),0)</f>
        <v>0</v>
      </c>
      <c r="L46" s="362">
        <f>IFERROR(VLOOKUP(C46,'تقرير المصروفات حسب الشهر'!$C$1016:$AD$1126,21,FALSE),0)</f>
        <v>0</v>
      </c>
      <c r="M46" s="376">
        <f>IFERROR(VLOOKUP(C46,'تقرير المصروفات حسب الشهر'!$C$1143:$AD$1254,21,FALSE),0)</f>
        <v>0</v>
      </c>
      <c r="N46" s="376">
        <f>IFERROR(VLOOKUP(C46,'تقرير المصروفات حسب الشهر'!$C$1270:$AD$1381,21,FALSE),0)</f>
        <v>0</v>
      </c>
      <c r="O46" s="376">
        <f>IFERROR(VLOOKUP(C46,'تقرير المصروفات حسب الشهر'!$C$1397:$AI$1512,21,FALSE),0)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الشهر'!$C$10:$AD$119,21,FALSE),0)</f>
        <v>0</v>
      </c>
      <c r="E47" s="362">
        <f>IFERROR(VLOOKUP(C47,'تقرير المصروفات حسب الشهر'!$C$135:$AD$244,21,FALSE),0)</f>
        <v>0</v>
      </c>
      <c r="F47" s="362">
        <f>IFERROR(VLOOKUP(C47,'تقرير المصروفات حسب الشهر'!$C$261:$AD$368,21,FALSE),0)</f>
        <v>0</v>
      </c>
      <c r="G47" s="362">
        <f>IFERROR(VLOOKUP(C47,'تقرير المصروفات حسب الشهر'!$C$387:$AD$495,21,FALSE),0)</f>
        <v>0</v>
      </c>
      <c r="H47" s="362">
        <f>IFERROR(VLOOKUP(C47,'تقرير المصروفات حسب الشهر'!$C$512:$AD$620,21,FALSE),0)</f>
        <v>0</v>
      </c>
      <c r="I47" s="362">
        <f>IFERROR(VLOOKUP(C47,'تقرير المصروفات حسب الشهر'!$C$637:$AD$746,21,FALSE),0)</f>
        <v>0</v>
      </c>
      <c r="J47" s="362">
        <f>IFERROR(VLOOKUP(C47,'تقرير المصروفات حسب الشهر'!$C$763:$AD$872,21,FALSE),0)</f>
        <v>0</v>
      </c>
      <c r="K47" s="362">
        <f>IFERROR(VLOOKUP(C47,'تقرير المصروفات حسب الشهر'!$C$890:$AD$999,21,FALSE),0)</f>
        <v>0</v>
      </c>
      <c r="L47" s="362">
        <f>IFERROR(VLOOKUP(C47,'تقرير المصروفات حسب الشهر'!$C$1016:$AD$1126,21,FALSE),0)</f>
        <v>0</v>
      </c>
      <c r="M47" s="376">
        <f>IFERROR(VLOOKUP(C47,'تقرير المصروفات حسب الشهر'!$C$1143:$AD$1254,21,FALSE),0)</f>
        <v>0</v>
      </c>
      <c r="N47" s="376">
        <f>IFERROR(VLOOKUP(C47,'تقرير المصروفات حسب الشهر'!$C$1270:$AD$1381,21,FALSE),0)</f>
        <v>0</v>
      </c>
      <c r="O47" s="376">
        <f>IFERROR(VLOOKUP(C47,'تقرير المصروفات حسب الشهر'!$C$1397:$AI$1512,21,FALSE),0)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الشهر'!$C$10:$AD$119,21,FALSE),0)</f>
        <v>0</v>
      </c>
      <c r="E48" s="362">
        <f>IFERROR(VLOOKUP(C48,'تقرير المصروفات حسب الشهر'!$C$135:$AD$244,21,FALSE),0)</f>
        <v>0</v>
      </c>
      <c r="F48" s="362">
        <f>IFERROR(VLOOKUP(C48,'تقرير المصروفات حسب الشهر'!$C$261:$AD$368,21,FALSE),0)</f>
        <v>0</v>
      </c>
      <c r="G48" s="362">
        <f>IFERROR(VLOOKUP(C48,'تقرير المصروفات حسب الشهر'!$C$387:$AD$495,21,FALSE),0)</f>
        <v>0</v>
      </c>
      <c r="H48" s="362">
        <f>IFERROR(VLOOKUP(C48,'تقرير المصروفات حسب الشهر'!$C$512:$AD$620,21,FALSE),0)</f>
        <v>0</v>
      </c>
      <c r="I48" s="362">
        <f>IFERROR(VLOOKUP(C48,'تقرير المصروفات حسب الشهر'!$C$637:$AD$746,21,FALSE),0)</f>
        <v>0</v>
      </c>
      <c r="J48" s="362">
        <f>IFERROR(VLOOKUP(C48,'تقرير المصروفات حسب الشهر'!$C$763:$AD$872,21,FALSE),0)</f>
        <v>0</v>
      </c>
      <c r="K48" s="362">
        <f>IFERROR(VLOOKUP(C48,'تقرير المصروفات حسب الشهر'!$C$890:$AD$999,21,FALSE),0)</f>
        <v>0</v>
      </c>
      <c r="L48" s="362">
        <f>IFERROR(VLOOKUP(C48,'تقرير المصروفات حسب الشهر'!$C$1016:$AD$1126,21,FALSE),0)</f>
        <v>0</v>
      </c>
      <c r="M48" s="376">
        <f>IFERROR(VLOOKUP(C48,'تقرير المصروفات حسب الشهر'!$C$1143:$AD$1254,21,FALSE),0)</f>
        <v>0</v>
      </c>
      <c r="N48" s="376">
        <f>IFERROR(VLOOKUP(C48,'تقرير المصروفات حسب الشهر'!$C$1270:$AD$1381,21,FALSE),0)</f>
        <v>0</v>
      </c>
      <c r="O48" s="376">
        <f>IFERROR(VLOOKUP(C48,'تقرير المصروفات حسب الشهر'!$C$1397:$AI$1512,21,FALSE),0)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الشهر'!$C$10:$AD$119,21,FALSE),0)</f>
        <v>0</v>
      </c>
      <c r="E49" s="362">
        <f>IFERROR(VLOOKUP(C49,'تقرير المصروفات حسب الشهر'!$C$135:$AD$244,21,FALSE),0)</f>
        <v>0</v>
      </c>
      <c r="F49" s="362">
        <f>IFERROR(VLOOKUP(C49,'تقرير المصروفات حسب الشهر'!$C$261:$AD$368,21,FALSE),0)</f>
        <v>0</v>
      </c>
      <c r="G49" s="362">
        <f>IFERROR(VLOOKUP(C49,'تقرير المصروفات حسب الشهر'!$C$387:$AD$495,21,FALSE),0)</f>
        <v>0</v>
      </c>
      <c r="H49" s="362">
        <f>IFERROR(VLOOKUP(C49,'تقرير المصروفات حسب الشهر'!$C$512:$AD$620,21,FALSE),0)</f>
        <v>0</v>
      </c>
      <c r="I49" s="362">
        <f>IFERROR(VLOOKUP(C49,'تقرير المصروفات حسب الشهر'!$C$637:$AD$746,21,FALSE),0)</f>
        <v>0</v>
      </c>
      <c r="J49" s="362">
        <f>IFERROR(VLOOKUP(C49,'تقرير المصروفات حسب الشهر'!$C$763:$AD$872,21,FALSE),0)</f>
        <v>0</v>
      </c>
      <c r="K49" s="362">
        <f>IFERROR(VLOOKUP(C49,'تقرير المصروفات حسب الشهر'!$C$890:$AD$999,21,FALSE),0)</f>
        <v>0</v>
      </c>
      <c r="L49" s="362">
        <f>IFERROR(VLOOKUP(C49,'تقرير المصروفات حسب الشهر'!$C$1016:$AD$1126,21,FALSE),0)</f>
        <v>0</v>
      </c>
      <c r="M49" s="376">
        <f>IFERROR(VLOOKUP(C49,'تقرير المصروفات حسب الشهر'!$C$1143:$AD$1254,21,FALSE),0)</f>
        <v>0</v>
      </c>
      <c r="N49" s="376">
        <f>IFERROR(VLOOKUP(C49,'تقرير المصروفات حسب الشهر'!$C$1270:$AD$1381,21,FALSE),0)</f>
        <v>0</v>
      </c>
      <c r="O49" s="376">
        <f>IFERROR(VLOOKUP(C49,'تقرير المصروفات حسب الشهر'!$C$1397:$AI$1512,21,FALSE),0)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الشهر'!$C$10:$AD$119,21,FALSE),0)</f>
        <v>0</v>
      </c>
      <c r="E50" s="362">
        <f>IFERROR(VLOOKUP(C50,'تقرير المصروفات حسب الشهر'!$C$135:$AD$244,21,FALSE),0)</f>
        <v>0</v>
      </c>
      <c r="F50" s="362">
        <f>IFERROR(VLOOKUP(C50,'تقرير المصروفات حسب الشهر'!$C$261:$AD$368,21,FALSE),0)</f>
        <v>0</v>
      </c>
      <c r="G50" s="362">
        <f>IFERROR(VLOOKUP(C50,'تقرير المصروفات حسب الشهر'!$C$387:$AD$495,21,FALSE),0)</f>
        <v>0</v>
      </c>
      <c r="H50" s="362">
        <f>IFERROR(VLOOKUP(C50,'تقرير المصروفات حسب الشهر'!$C$512:$AD$620,21,FALSE),0)</f>
        <v>0</v>
      </c>
      <c r="I50" s="362">
        <f>IFERROR(VLOOKUP(C50,'تقرير المصروفات حسب الشهر'!$C$637:$AD$746,21,FALSE),0)</f>
        <v>0</v>
      </c>
      <c r="J50" s="362">
        <f>IFERROR(VLOOKUP(C50,'تقرير المصروفات حسب الشهر'!$C$763:$AD$872,21,FALSE),0)</f>
        <v>0</v>
      </c>
      <c r="K50" s="362">
        <f>IFERROR(VLOOKUP(C50,'تقرير المصروفات حسب الشهر'!$C$890:$AD$999,21,FALSE),0)</f>
        <v>0</v>
      </c>
      <c r="L50" s="362">
        <f>IFERROR(VLOOKUP(C50,'تقرير المصروفات حسب الشهر'!$C$1016:$AD$1126,21,FALSE),0)</f>
        <v>0</v>
      </c>
      <c r="M50" s="376">
        <f>IFERROR(VLOOKUP(C50,'تقرير المصروفات حسب الشهر'!$C$1143:$AD$1254,21,FALSE),0)</f>
        <v>0</v>
      </c>
      <c r="N50" s="376">
        <f>IFERROR(VLOOKUP(C50,'تقرير المصروفات حسب الشهر'!$C$1270:$AD$1381,21,FALSE),0)</f>
        <v>0</v>
      </c>
      <c r="O50" s="376">
        <f>IFERROR(VLOOKUP(C50,'تقرير المصروفات حسب الشهر'!$C$1397:$AI$1512,21,FALSE),0)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الشهر'!$C$10:$AD$119,21,FALSE),0)</f>
        <v>0</v>
      </c>
      <c r="E51" s="362">
        <f>IFERROR(VLOOKUP(C51,'تقرير المصروفات حسب الشهر'!$C$135:$AD$244,21,FALSE),0)</f>
        <v>0</v>
      </c>
      <c r="F51" s="362">
        <f>IFERROR(VLOOKUP(C51,'تقرير المصروفات حسب الشهر'!$C$261:$AD$368,21,FALSE),0)</f>
        <v>0</v>
      </c>
      <c r="G51" s="362">
        <f>IFERROR(VLOOKUP(C51,'تقرير المصروفات حسب الشهر'!$C$387:$AD$495,21,FALSE),0)</f>
        <v>0</v>
      </c>
      <c r="H51" s="362">
        <f>IFERROR(VLOOKUP(C51,'تقرير المصروفات حسب الشهر'!$C$512:$AD$620,21,FALSE),0)</f>
        <v>0</v>
      </c>
      <c r="I51" s="362">
        <f>IFERROR(VLOOKUP(C51,'تقرير المصروفات حسب الشهر'!$C$637:$AD$746,21,FALSE),0)</f>
        <v>0</v>
      </c>
      <c r="J51" s="362">
        <f>IFERROR(VLOOKUP(C51,'تقرير المصروفات حسب الشهر'!$C$763:$AD$872,21,FALSE),0)</f>
        <v>0</v>
      </c>
      <c r="K51" s="362">
        <f>IFERROR(VLOOKUP(C51,'تقرير المصروفات حسب الشهر'!$C$890:$AD$999,21,FALSE),0)</f>
        <v>0</v>
      </c>
      <c r="L51" s="362">
        <f>IFERROR(VLOOKUP(C51,'تقرير المصروفات حسب الشهر'!$C$1016:$AD$1126,21,FALSE),0)</f>
        <v>0</v>
      </c>
      <c r="M51" s="376">
        <f>IFERROR(VLOOKUP(C51,'تقرير المصروفات حسب الشهر'!$C$1143:$AD$1254,21,FALSE),0)</f>
        <v>0</v>
      </c>
      <c r="N51" s="376">
        <f>IFERROR(VLOOKUP(C51,'تقرير المصروفات حسب الشهر'!$C$1270:$AD$1381,21,FALSE),0)</f>
        <v>0</v>
      </c>
      <c r="O51" s="376">
        <f>IFERROR(VLOOKUP(C51,'تقرير المصروفات حسب الشهر'!$C$1397:$AI$1512,21,FALSE),0)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الشهر'!$C$10:$AD$119,21,FALSE),0)</f>
        <v>0</v>
      </c>
      <c r="E52" s="362">
        <f>IFERROR(VLOOKUP(C52,'تقرير المصروفات حسب الشهر'!$C$135:$AD$244,21,FALSE),0)</f>
        <v>0</v>
      </c>
      <c r="F52" s="362">
        <f>IFERROR(VLOOKUP(C52,'تقرير المصروفات حسب الشهر'!$C$261:$AD$368,21,FALSE),0)</f>
        <v>0</v>
      </c>
      <c r="G52" s="362">
        <f>IFERROR(VLOOKUP(C52,'تقرير المصروفات حسب الشهر'!$C$387:$AD$495,21,FALSE),0)</f>
        <v>0</v>
      </c>
      <c r="H52" s="362">
        <f>IFERROR(VLOOKUP(C52,'تقرير المصروفات حسب الشهر'!$C$512:$AD$620,21,FALSE),0)</f>
        <v>0</v>
      </c>
      <c r="I52" s="362">
        <f>IFERROR(VLOOKUP(C52,'تقرير المصروفات حسب الشهر'!$C$637:$AD$746,21,FALSE),0)</f>
        <v>0</v>
      </c>
      <c r="J52" s="362">
        <f>IFERROR(VLOOKUP(C52,'تقرير المصروفات حسب الشهر'!$C$763:$AD$872,21,FALSE),0)</f>
        <v>0</v>
      </c>
      <c r="K52" s="362">
        <f>IFERROR(VLOOKUP(C52,'تقرير المصروفات حسب الشهر'!$C$890:$AD$999,21,FALSE),0)</f>
        <v>0</v>
      </c>
      <c r="L52" s="362">
        <f>IFERROR(VLOOKUP(C52,'تقرير المصروفات حسب الشهر'!$C$1016:$AD$1126,21,FALSE),0)</f>
        <v>0</v>
      </c>
      <c r="M52" s="376">
        <f>IFERROR(VLOOKUP(C52,'تقرير المصروفات حسب الشهر'!$C$1143:$AD$1254,21,FALSE),0)</f>
        <v>0</v>
      </c>
      <c r="N52" s="376">
        <f>IFERROR(VLOOKUP(C52,'تقرير المصروفات حسب الشهر'!$C$1270:$AD$1381,21,FALSE),0)</f>
        <v>0</v>
      </c>
      <c r="O52" s="376">
        <f>IFERROR(VLOOKUP(C52,'تقرير المصروفات حسب الشهر'!$C$1397:$AI$1512,21,FALSE),0)</f>
        <v>0</v>
      </c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الشهر'!$C$10:$AD$119,21,FALSE),0)</f>
        <v>0</v>
      </c>
      <c r="E53" s="362">
        <f>IFERROR(VLOOKUP(C53,'تقرير المصروفات حسب الشهر'!$C$135:$AD$244,21,FALSE),0)</f>
        <v>0</v>
      </c>
      <c r="F53" s="362">
        <f>IFERROR(VLOOKUP(C53,'تقرير المصروفات حسب الشهر'!$C$261:$AD$368,21,FALSE),0)</f>
        <v>0</v>
      </c>
      <c r="G53" s="362">
        <f>IFERROR(VLOOKUP(C53,'تقرير المصروفات حسب الشهر'!$C$387:$AD$495,21,FALSE),0)</f>
        <v>0</v>
      </c>
      <c r="H53" s="362">
        <f>IFERROR(VLOOKUP(C53,'تقرير المصروفات حسب الشهر'!$C$512:$AD$620,21,FALSE),0)</f>
        <v>0</v>
      </c>
      <c r="I53" s="362">
        <f>IFERROR(VLOOKUP(C53,'تقرير المصروفات حسب الشهر'!$C$637:$AD$746,21,FALSE),0)</f>
        <v>0</v>
      </c>
      <c r="J53" s="362">
        <f>IFERROR(VLOOKUP(C53,'تقرير المصروفات حسب الشهر'!$C$763:$AD$872,21,FALSE),0)</f>
        <v>0</v>
      </c>
      <c r="K53" s="362">
        <f>IFERROR(VLOOKUP(C53,'تقرير المصروفات حسب الشهر'!$C$890:$AD$999,21,FALSE),0)</f>
        <v>0</v>
      </c>
      <c r="L53" s="362">
        <f>IFERROR(VLOOKUP(C53,'تقرير المصروفات حسب الشهر'!$C$1016:$AD$1126,21,FALSE),0)</f>
        <v>0</v>
      </c>
      <c r="M53" s="376">
        <f>IFERROR(VLOOKUP(C53,'تقرير المصروفات حسب الشهر'!$C$1143:$AD$1254,21,FALSE),0)</f>
        <v>0</v>
      </c>
      <c r="N53" s="376">
        <f>IFERROR(VLOOKUP(C53,'تقرير المصروفات حسب الشهر'!$C$1270:$AD$1381,21,FALSE),0)</f>
        <v>0</v>
      </c>
      <c r="O53" s="376">
        <f>IFERROR(VLOOKUP(C53,'تقرير المصروفات حسب الشهر'!$C$1397:$AI$1512,21,FALSE),0)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الشهر'!$C$10:$AD$119,21,FALSE),0)</f>
        <v>0</v>
      </c>
      <c r="E54" s="362">
        <f>IFERROR(VLOOKUP(C54,'تقرير المصروفات حسب الشهر'!$C$135:$AD$244,21,FALSE),0)</f>
        <v>0</v>
      </c>
      <c r="F54" s="362">
        <f>IFERROR(VLOOKUP(C54,'تقرير المصروفات حسب الشهر'!$C$261:$AD$368,21,FALSE),0)</f>
        <v>0</v>
      </c>
      <c r="G54" s="362">
        <f>IFERROR(VLOOKUP(C54,'تقرير المصروفات حسب الشهر'!$C$387:$AD$495,21,FALSE),0)</f>
        <v>0</v>
      </c>
      <c r="H54" s="362">
        <f>IFERROR(VLOOKUP(C54,'تقرير المصروفات حسب الشهر'!$C$512:$AD$620,21,FALSE),0)</f>
        <v>0</v>
      </c>
      <c r="I54" s="362">
        <f>IFERROR(VLOOKUP(C54,'تقرير المصروفات حسب الشهر'!$C$637:$AD$746,21,FALSE),0)</f>
        <v>0</v>
      </c>
      <c r="J54" s="362">
        <f>IFERROR(VLOOKUP(C54,'تقرير المصروفات حسب الشهر'!$C$763:$AD$872,21,FALSE),0)</f>
        <v>0</v>
      </c>
      <c r="K54" s="362">
        <f>IFERROR(VLOOKUP(C54,'تقرير المصروفات حسب الشهر'!$C$890:$AD$999,21,FALSE),0)</f>
        <v>200</v>
      </c>
      <c r="L54" s="362">
        <f>IFERROR(VLOOKUP(C54,'تقرير المصروفات حسب الشهر'!$C$1016:$AD$1126,21,FALSE),0)</f>
        <v>0</v>
      </c>
      <c r="M54" s="376">
        <f>IFERROR(VLOOKUP(C54,'تقرير المصروفات حسب الشهر'!$C$1143:$AD$1254,21,FALSE),0)</f>
        <v>0</v>
      </c>
      <c r="N54" s="376">
        <f>IFERROR(VLOOKUP(C54,'تقرير المصروفات حسب الشهر'!$C$1270:$AD$1381,21,FALSE),0)</f>
        <v>300</v>
      </c>
      <c r="O54" s="376">
        <f>IFERROR(VLOOKUP(C54,'تقرير المصروفات حسب الشهر'!$C$1397:$AI$1512,21,FALSE),0)</f>
        <v>0</v>
      </c>
      <c r="P54" s="364">
        <f t="shared" si="5"/>
        <v>500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الشهر'!$C$10:$AD$119,21,FALSE),0)</f>
        <v>0</v>
      </c>
      <c r="E55" s="362">
        <f>IFERROR(VLOOKUP(C55,'تقرير المصروفات حسب الشهر'!$C$135:$AD$244,21,FALSE),0)</f>
        <v>0</v>
      </c>
      <c r="F55" s="362">
        <f>IFERROR(VLOOKUP(C55,'تقرير المصروفات حسب الشهر'!$C$261:$AD$368,21,FALSE),0)</f>
        <v>0</v>
      </c>
      <c r="G55" s="362">
        <f>IFERROR(VLOOKUP(C55,'تقرير المصروفات حسب الشهر'!$C$387:$AD$495,21,FALSE),0)</f>
        <v>0</v>
      </c>
      <c r="H55" s="362">
        <f>IFERROR(VLOOKUP(C55,'تقرير المصروفات حسب الشهر'!$C$512:$AD$620,21,FALSE),0)</f>
        <v>0</v>
      </c>
      <c r="I55" s="362">
        <f>IFERROR(VLOOKUP(C55,'تقرير المصروفات حسب الشهر'!$C$637:$AD$746,21,FALSE),0)</f>
        <v>0</v>
      </c>
      <c r="J55" s="362">
        <f>IFERROR(VLOOKUP(C55,'تقرير المصروفات حسب الشهر'!$C$763:$AD$872,21,FALSE),0)</f>
        <v>0</v>
      </c>
      <c r="K55" s="362">
        <f>IFERROR(VLOOKUP(C55,'تقرير المصروفات حسب الشهر'!$C$890:$AD$999,21,FALSE),0)</f>
        <v>0</v>
      </c>
      <c r="L55" s="362">
        <f>IFERROR(VLOOKUP(C55,'تقرير المصروفات حسب الشهر'!$C$1016:$AD$1126,21,FALSE),0)</f>
        <v>0</v>
      </c>
      <c r="M55" s="376">
        <f>IFERROR(VLOOKUP(C55,'تقرير المصروفات حسب الشهر'!$C$1143:$AD$1254,21,FALSE),0)</f>
        <v>0</v>
      </c>
      <c r="N55" s="376">
        <f>IFERROR(VLOOKUP(C55,'تقرير المصروفات حسب الشهر'!$C$1270:$AD$1381,21,FALSE),0)</f>
        <v>0</v>
      </c>
      <c r="O55" s="376">
        <f>IFERROR(VLOOKUP(C55,'تقرير المصروفات حسب الشهر'!$C$1397:$AI$1512,21,FALSE),0)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الشهر'!$C$10:$AD$119,21,FALSE),0)</f>
        <v>0</v>
      </c>
      <c r="E56" s="362">
        <f>IFERROR(VLOOKUP(C56,'تقرير المصروفات حسب الشهر'!$C$135:$AD$244,21,FALSE),0)</f>
        <v>0</v>
      </c>
      <c r="F56" s="362">
        <f>IFERROR(VLOOKUP(C56,'تقرير المصروفات حسب الشهر'!$C$261:$AD$368,21,FALSE),0)</f>
        <v>0</v>
      </c>
      <c r="G56" s="362">
        <f>IFERROR(VLOOKUP(C56,'تقرير المصروفات حسب الشهر'!$C$387:$AD$495,21,FALSE),0)</f>
        <v>0</v>
      </c>
      <c r="H56" s="362">
        <f>IFERROR(VLOOKUP(C56,'تقرير المصروفات حسب الشهر'!$C$512:$AD$620,21,FALSE),0)</f>
        <v>0</v>
      </c>
      <c r="I56" s="362">
        <f>IFERROR(VLOOKUP(C56,'تقرير المصروفات حسب الشهر'!$C$637:$AD$746,21,FALSE),0)</f>
        <v>0</v>
      </c>
      <c r="J56" s="362">
        <f>IFERROR(VLOOKUP(C56,'تقرير المصروفات حسب الشهر'!$C$763:$AD$872,21,FALSE),0)</f>
        <v>0</v>
      </c>
      <c r="K56" s="362">
        <f>IFERROR(VLOOKUP(C56,'تقرير المصروفات حسب الشهر'!$C$890:$AD$999,21,FALSE),0)</f>
        <v>0</v>
      </c>
      <c r="L56" s="362">
        <f>IFERROR(VLOOKUP(C56,'تقرير المصروفات حسب الشهر'!$C$1016:$AD$1126,21,FALSE),0)</f>
        <v>0</v>
      </c>
      <c r="M56" s="376">
        <f>IFERROR(VLOOKUP(C56,'تقرير المصروفات حسب الشهر'!$C$1143:$AD$1254,21,FALSE),0)</f>
        <v>0</v>
      </c>
      <c r="N56" s="376">
        <f>IFERROR(VLOOKUP(C56,'تقرير المصروفات حسب الشهر'!$C$1270:$AD$1381,21,FALSE),0)</f>
        <v>0</v>
      </c>
      <c r="O56" s="376">
        <f>IFERROR(VLOOKUP(C56,'تقرير المصروفات حسب الشهر'!$C$1397:$AI$1512,21,FALSE),0)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الشهر'!$C$10:$AD$119,21,FALSE),0)</f>
        <v>0</v>
      </c>
      <c r="E57" s="362">
        <f>IFERROR(VLOOKUP(C57,'تقرير المصروفات حسب الشهر'!$C$135:$AD$244,21,FALSE),0)</f>
        <v>0</v>
      </c>
      <c r="F57" s="362">
        <f>IFERROR(VLOOKUP(C57,'تقرير المصروفات حسب الشهر'!$C$261:$AD$368,21,FALSE),0)</f>
        <v>0</v>
      </c>
      <c r="G57" s="362">
        <f>IFERROR(VLOOKUP(C57,'تقرير المصروفات حسب الشهر'!$C$387:$AD$495,21,FALSE),0)</f>
        <v>0</v>
      </c>
      <c r="H57" s="362">
        <f>IFERROR(VLOOKUP(C57,'تقرير المصروفات حسب الشهر'!$C$512:$AD$620,21,FALSE),0)</f>
        <v>0</v>
      </c>
      <c r="I57" s="362">
        <f>IFERROR(VLOOKUP(C57,'تقرير المصروفات حسب الشهر'!$C$637:$AD$746,21,FALSE),0)</f>
        <v>0</v>
      </c>
      <c r="J57" s="362">
        <f>IFERROR(VLOOKUP(C57,'تقرير المصروفات حسب الشهر'!$C$763:$AD$872,21,FALSE),0)</f>
        <v>0</v>
      </c>
      <c r="K57" s="362">
        <f>IFERROR(VLOOKUP(C57,'تقرير المصروفات حسب الشهر'!$C$890:$AD$999,21,FALSE),0)</f>
        <v>0</v>
      </c>
      <c r="L57" s="362">
        <f>IFERROR(VLOOKUP(C57,'تقرير المصروفات حسب الشهر'!$C$1016:$AD$1126,21,FALSE),0)</f>
        <v>0</v>
      </c>
      <c r="M57" s="376">
        <f>IFERROR(VLOOKUP(C57,'تقرير المصروفات حسب الشهر'!$C$1143:$AD$1254,21,FALSE),0)</f>
        <v>0</v>
      </c>
      <c r="N57" s="376">
        <f>IFERROR(VLOOKUP(C57,'تقرير المصروفات حسب الشهر'!$C$1270:$AD$1381,21,FALSE),0)</f>
        <v>0</v>
      </c>
      <c r="O57" s="376">
        <f>IFERROR(VLOOKUP(C57,'تقرير المصروفات حسب الشهر'!$C$1397:$AI$1512,21,FALSE),0)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الشهر'!$C$10:$AD$119,21,FALSE),0)</f>
        <v>0</v>
      </c>
      <c r="E58" s="362">
        <f>IFERROR(VLOOKUP(C58,'تقرير المصروفات حسب الشهر'!$C$135:$AD$244,21,FALSE),0)</f>
        <v>0</v>
      </c>
      <c r="F58" s="362">
        <f>IFERROR(VLOOKUP(C58,'تقرير المصروفات حسب الشهر'!$C$261:$AD$368,21,FALSE),0)</f>
        <v>0</v>
      </c>
      <c r="G58" s="362">
        <f>IFERROR(VLOOKUP(C58,'تقرير المصروفات حسب الشهر'!$C$387:$AD$495,21,FALSE),0)</f>
        <v>0</v>
      </c>
      <c r="H58" s="362">
        <f>IFERROR(VLOOKUP(C58,'تقرير المصروفات حسب الشهر'!$C$512:$AD$620,21,FALSE),0)</f>
        <v>0</v>
      </c>
      <c r="I58" s="362">
        <f>IFERROR(VLOOKUP(C58,'تقرير المصروفات حسب الشهر'!$C$637:$AD$746,21,FALSE),0)</f>
        <v>0</v>
      </c>
      <c r="J58" s="362">
        <f>IFERROR(VLOOKUP(C58,'تقرير المصروفات حسب الشهر'!$C$763:$AD$872,21,FALSE),0)</f>
        <v>0</v>
      </c>
      <c r="K58" s="362">
        <f>IFERROR(VLOOKUP(C58,'تقرير المصروفات حسب الشهر'!$C$890:$AD$999,21,FALSE),0)</f>
        <v>0</v>
      </c>
      <c r="L58" s="362">
        <f>IFERROR(VLOOKUP(C58,'تقرير المصروفات حسب الشهر'!$C$1016:$AD$1126,21,FALSE),0)</f>
        <v>0</v>
      </c>
      <c r="M58" s="376">
        <f>IFERROR(VLOOKUP(C58,'تقرير المصروفات حسب الشهر'!$C$1143:$AD$1254,21,FALSE),0)</f>
        <v>0</v>
      </c>
      <c r="N58" s="376">
        <f>IFERROR(VLOOKUP(C58,'تقرير المصروفات حسب الشهر'!$C$1270:$AD$1381,21,FALSE),0)</f>
        <v>0</v>
      </c>
      <c r="O58" s="376">
        <f>IFERROR(VLOOKUP(C58,'تقرير المصروفات حسب الشهر'!$C$1397:$AI$1512,21,FALSE),0)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الشهر'!$C$10:$AD$119,21,FALSE),0)</f>
        <v>0</v>
      </c>
      <c r="E59" s="362">
        <f>IFERROR(VLOOKUP(C59,'تقرير المصروفات حسب الشهر'!$C$135:$AD$244,21,FALSE),0)</f>
        <v>1200.25</v>
      </c>
      <c r="F59" s="362">
        <f>IFERROR(VLOOKUP(C59,'تقرير المصروفات حسب الشهر'!$C$261:$AD$368,21,FALSE),0)</f>
        <v>900.5</v>
      </c>
      <c r="G59" s="362">
        <f>IFERROR(VLOOKUP(C59,'تقرير المصروفات حسب الشهر'!$C$387:$AD$495,21,FALSE),0)</f>
        <v>0</v>
      </c>
      <c r="H59" s="362">
        <f>IFERROR(VLOOKUP(C59,'تقرير المصروفات حسب الشهر'!$C$512:$AD$620,21,FALSE),0)</f>
        <v>0</v>
      </c>
      <c r="I59" s="362">
        <f>IFERROR(VLOOKUP(C59,'تقرير المصروفات حسب الشهر'!$C$637:$AD$746,21,FALSE),0)</f>
        <v>2200.5</v>
      </c>
      <c r="J59" s="362">
        <f>IFERROR(VLOOKUP(C59,'تقرير المصروفات حسب الشهر'!$C$763:$AD$872,21,FALSE),0)</f>
        <v>1400.25</v>
      </c>
      <c r="K59" s="362">
        <f>IFERROR(VLOOKUP(C59,'تقرير المصروفات حسب الشهر'!$C$890:$AD$999,21,FALSE),0)</f>
        <v>0</v>
      </c>
      <c r="L59" s="362">
        <f>IFERROR(VLOOKUP(C59,'تقرير المصروفات حسب الشهر'!$C$1016:$AD$1126,21,FALSE),0)</f>
        <v>2888.29</v>
      </c>
      <c r="M59" s="376">
        <f>IFERROR(VLOOKUP(C59,'تقرير المصروفات حسب الشهر'!$C$1143:$AD$1254,21,FALSE),0)</f>
        <v>1700</v>
      </c>
      <c r="N59" s="376">
        <f>IFERROR(VLOOKUP(C59,'تقرير المصروفات حسب الشهر'!$C$1270:$AD$1381,21,FALSE),0)</f>
        <v>2500</v>
      </c>
      <c r="O59" s="376">
        <f>IFERROR(VLOOKUP(C59,'تقرير المصروفات حسب الشهر'!$C$1397:$AI$1512,21,FALSE),0)</f>
        <v>3977.25</v>
      </c>
      <c r="P59" s="364">
        <f t="shared" si="5"/>
        <v>16767.04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الشهر'!$C$10:$AD$119,21,FALSE),0)</f>
        <v>0</v>
      </c>
      <c r="E60" s="362">
        <f>IFERROR(VLOOKUP(C60,'تقرير المصروفات حسب الشهر'!$C$135:$AD$244,21,FALSE),0)</f>
        <v>0</v>
      </c>
      <c r="F60" s="362">
        <f>IFERROR(VLOOKUP(C60,'تقرير المصروفات حسب الشهر'!$C$261:$AD$368,21,FALSE),0)</f>
        <v>0</v>
      </c>
      <c r="G60" s="362">
        <f>IFERROR(VLOOKUP(C60,'تقرير المصروفات حسب الشهر'!$C$387:$AD$495,21,FALSE),0)</f>
        <v>0</v>
      </c>
      <c r="H60" s="362">
        <f>IFERROR(VLOOKUP(C60,'تقرير المصروفات حسب الشهر'!$C$512:$AD$620,21,FALSE),0)</f>
        <v>0</v>
      </c>
      <c r="I60" s="362">
        <f>IFERROR(VLOOKUP(C60,'تقرير المصروفات حسب الشهر'!$C$637:$AD$746,21,FALSE),0)</f>
        <v>0</v>
      </c>
      <c r="J60" s="362">
        <f>IFERROR(VLOOKUP(C60,'تقرير المصروفات حسب الشهر'!$C$763:$AD$872,21,FALSE),0)</f>
        <v>0</v>
      </c>
      <c r="K60" s="362">
        <f>IFERROR(VLOOKUP(C60,'تقرير المصروفات حسب الشهر'!$C$890:$AD$999,21,FALSE),0)</f>
        <v>3300</v>
      </c>
      <c r="L60" s="362">
        <f>IFERROR(VLOOKUP(C60,'تقرير المصروفات حسب الشهر'!$C$1016:$AD$1126,21,FALSE),0)</f>
        <v>0</v>
      </c>
      <c r="M60" s="376">
        <f>IFERROR(VLOOKUP(C60,'تقرير المصروفات حسب الشهر'!$C$1143:$AD$1254,21,FALSE),0)</f>
        <v>1320</v>
      </c>
      <c r="N60" s="376">
        <f>IFERROR(VLOOKUP(C60,'تقرير المصروفات حسب الشهر'!$C$1270:$AD$1381,21,FALSE),0)</f>
        <v>0</v>
      </c>
      <c r="O60" s="376">
        <f>IFERROR(VLOOKUP(C60,'تقرير المصروفات حسب الشهر'!$C$1397:$AI$1512,21,FALSE),0)</f>
        <v>3300</v>
      </c>
      <c r="P60" s="364">
        <f t="shared" si="5"/>
        <v>7920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الشهر'!$C$10:$AD$119,21,FALSE),0)</f>
        <v>0</v>
      </c>
      <c r="E61" s="362">
        <f>IFERROR(VLOOKUP(C61,'تقرير المصروفات حسب الشهر'!$C$135:$AD$244,21,FALSE),0)</f>
        <v>0</v>
      </c>
      <c r="F61" s="362">
        <f>IFERROR(VLOOKUP(C61,'تقرير المصروفات حسب الشهر'!$C$261:$AD$368,21,FALSE),0)</f>
        <v>0</v>
      </c>
      <c r="G61" s="362">
        <f>IFERROR(VLOOKUP(C61,'تقرير المصروفات حسب الشهر'!$C$387:$AD$495,21,FALSE),0)</f>
        <v>0</v>
      </c>
      <c r="H61" s="362">
        <f>IFERROR(VLOOKUP(C61,'تقرير المصروفات حسب الشهر'!$C$512:$AD$620,21,FALSE),0)</f>
        <v>0</v>
      </c>
      <c r="I61" s="362">
        <f>IFERROR(VLOOKUP(C61,'تقرير المصروفات حسب الشهر'!$C$637:$AD$746,21,FALSE),0)</f>
        <v>0</v>
      </c>
      <c r="J61" s="362">
        <f>IFERROR(VLOOKUP(C61,'تقرير المصروفات حسب الشهر'!$C$763:$AD$872,21,FALSE),0)</f>
        <v>0</v>
      </c>
      <c r="K61" s="362">
        <f>IFERROR(VLOOKUP(C61,'تقرير المصروفات حسب الشهر'!$C$890:$AD$999,21,FALSE),0)</f>
        <v>0</v>
      </c>
      <c r="L61" s="362">
        <f>IFERROR(VLOOKUP(C61,'تقرير المصروفات حسب الشهر'!$C$1016:$AD$1126,21,FALSE),0)</f>
        <v>350</v>
      </c>
      <c r="M61" s="376">
        <f>IFERROR(VLOOKUP(C61,'تقرير المصروفات حسب الشهر'!$C$1143:$AD$1254,21,FALSE),0)</f>
        <v>0</v>
      </c>
      <c r="N61" s="376">
        <f>IFERROR(VLOOKUP(C61,'تقرير المصروفات حسب الشهر'!$C$1270:$AD$1381,21,FALSE),0)</f>
        <v>0</v>
      </c>
      <c r="O61" s="376">
        <f>IFERROR(VLOOKUP(C61,'تقرير المصروفات حسب الشهر'!$C$1397:$AI$1512,21,FALSE),0)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الشهر'!$C$10:$AD$119,21,FALSE),0)</f>
        <v>0</v>
      </c>
      <c r="E62" s="362">
        <f>IFERROR(VLOOKUP(C62,'تقرير المصروفات حسب الشهر'!$C$135:$AD$244,21,FALSE),0)</f>
        <v>0</v>
      </c>
      <c r="F62" s="362">
        <f>IFERROR(VLOOKUP(C62,'تقرير المصروفات حسب الشهر'!$C$261:$AD$368,21,FALSE),0)</f>
        <v>0</v>
      </c>
      <c r="G62" s="362">
        <f>IFERROR(VLOOKUP(C62,'تقرير المصروفات حسب الشهر'!$C$387:$AD$495,21,FALSE),0)</f>
        <v>0</v>
      </c>
      <c r="H62" s="362">
        <f>IFERROR(VLOOKUP(C62,'تقرير المصروفات حسب الشهر'!$C$512:$AD$620,21,FALSE),0)</f>
        <v>0</v>
      </c>
      <c r="I62" s="362">
        <f>IFERROR(VLOOKUP(C62,'تقرير المصروفات حسب الشهر'!$C$637:$AD$746,21,FALSE),0)</f>
        <v>0</v>
      </c>
      <c r="J62" s="362">
        <f>IFERROR(VLOOKUP(C62,'تقرير المصروفات حسب الشهر'!$C$763:$AD$872,21,FALSE),0)</f>
        <v>0</v>
      </c>
      <c r="K62" s="362">
        <f>IFERROR(VLOOKUP(C62,'تقرير المصروفات حسب الشهر'!$C$890:$AD$999,21,FALSE),0)</f>
        <v>0</v>
      </c>
      <c r="L62" s="362">
        <f>IFERROR(VLOOKUP(C62,'تقرير المصروفات حسب الشهر'!$C$1016:$AD$1126,21,FALSE),0)</f>
        <v>0</v>
      </c>
      <c r="M62" s="376">
        <f>IFERROR(VLOOKUP(C62,'تقرير المصروفات حسب الشهر'!$C$1143:$AD$1254,21,FALSE),0)</f>
        <v>0</v>
      </c>
      <c r="N62" s="376">
        <f>IFERROR(VLOOKUP(C62,'تقرير المصروفات حسب الشهر'!$C$1270:$AD$1381,21,FALSE),0)</f>
        <v>0</v>
      </c>
      <c r="O62" s="376">
        <f>IFERROR(VLOOKUP(C62,'تقرير المصروفات حسب الشهر'!$C$1397:$AI$1512,21,FALSE),0)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الشهر'!$C$10:$AD$119,21,FALSE),0)</f>
        <v>0</v>
      </c>
      <c r="E63" s="362">
        <f>IFERROR(VLOOKUP(C63,'تقرير المصروفات حسب الشهر'!$C$135:$AD$244,21,FALSE),0)</f>
        <v>0</v>
      </c>
      <c r="F63" s="362">
        <f>IFERROR(VLOOKUP(C63,'تقرير المصروفات حسب الشهر'!$C$261:$AD$368,21,FALSE),0)</f>
        <v>0</v>
      </c>
      <c r="G63" s="362">
        <f>IFERROR(VLOOKUP(C63,'تقرير المصروفات حسب الشهر'!$C$387:$AD$495,21,FALSE),0)</f>
        <v>0</v>
      </c>
      <c r="H63" s="362">
        <f>IFERROR(VLOOKUP(C63,'تقرير المصروفات حسب الشهر'!$C$512:$AD$620,21,FALSE),0)</f>
        <v>0</v>
      </c>
      <c r="I63" s="362">
        <f>IFERROR(VLOOKUP(C63,'تقرير المصروفات حسب الشهر'!$C$637:$AD$746,21,FALSE),0)</f>
        <v>0</v>
      </c>
      <c r="J63" s="362">
        <f>IFERROR(VLOOKUP(C63,'تقرير المصروفات حسب الشهر'!$C$763:$AD$872,21,FALSE),0)</f>
        <v>0</v>
      </c>
      <c r="K63" s="362">
        <f>IFERROR(VLOOKUP(C63,'تقرير المصروفات حسب الشهر'!$C$890:$AD$999,21,FALSE),0)</f>
        <v>0</v>
      </c>
      <c r="L63" s="362">
        <f>IFERROR(VLOOKUP(C63,'تقرير المصروفات حسب الشهر'!$C$1016:$AD$1126,21,FALSE),0)</f>
        <v>0</v>
      </c>
      <c r="M63" s="376">
        <f>IFERROR(VLOOKUP(C63,'تقرير المصروفات حسب الشهر'!$C$1143:$AD$1254,21,FALSE),0)</f>
        <v>0</v>
      </c>
      <c r="N63" s="376">
        <f>IFERROR(VLOOKUP(C63,'تقرير المصروفات حسب الشهر'!$C$1270:$AD$1381,21,FALSE),0)</f>
        <v>0</v>
      </c>
      <c r="O63" s="376">
        <f>IFERROR(VLOOKUP(C63,'تقرير المصروفات حسب الشهر'!$C$1397:$AI$1512,21,FALSE),0)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الشهر'!$C$10:$AD$119,21,FALSE),0)</f>
        <v>0</v>
      </c>
      <c r="E64" s="362">
        <f>IFERROR(VLOOKUP(C64,'تقرير المصروفات حسب الشهر'!$C$135:$AD$244,21,FALSE),0)</f>
        <v>0</v>
      </c>
      <c r="F64" s="362">
        <f>IFERROR(VLOOKUP(C64,'تقرير المصروفات حسب الشهر'!$C$261:$AD$368,21,FALSE),0)</f>
        <v>0</v>
      </c>
      <c r="G64" s="362">
        <f>IFERROR(VLOOKUP(C64,'تقرير المصروفات حسب الشهر'!$C$387:$AD$495,21,FALSE),0)</f>
        <v>0</v>
      </c>
      <c r="H64" s="362">
        <f>IFERROR(VLOOKUP(C64,'تقرير المصروفات حسب الشهر'!$C$512:$AD$620,21,FALSE),0)</f>
        <v>0</v>
      </c>
      <c r="I64" s="362">
        <f>IFERROR(VLOOKUP(C64,'تقرير المصروفات حسب الشهر'!$C$637:$AD$746,21,FALSE),0)</f>
        <v>0</v>
      </c>
      <c r="J64" s="362">
        <f>IFERROR(VLOOKUP(C64,'تقرير المصروفات حسب الشهر'!$C$763:$AD$872,21,FALSE),0)</f>
        <v>0</v>
      </c>
      <c r="K64" s="362">
        <f>IFERROR(VLOOKUP(C64,'تقرير المصروفات حسب الشهر'!$C$890:$AD$999,21,FALSE),0)</f>
        <v>0</v>
      </c>
      <c r="L64" s="362">
        <f>IFERROR(VLOOKUP(C64,'تقرير المصروفات حسب الشهر'!$C$1016:$AD$1126,21,FALSE),0)</f>
        <v>0</v>
      </c>
      <c r="M64" s="376">
        <f>IFERROR(VLOOKUP(C64,'تقرير المصروفات حسب الشهر'!$C$1143:$AD$1254,21,FALSE),0)</f>
        <v>0</v>
      </c>
      <c r="N64" s="376">
        <f>IFERROR(VLOOKUP(C64,'تقرير المصروفات حسب الشهر'!$C$1270:$AD$1381,21,FALSE),0)</f>
        <v>0</v>
      </c>
      <c r="O64" s="376">
        <f>IFERROR(VLOOKUP(C64,'تقرير المصروفات حسب الشهر'!$C$1397:$AI$1512,21,FALSE),0)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الشهر'!$C$10:$AD$119,21,FALSE),0)</f>
        <v>0</v>
      </c>
      <c r="E65" s="362">
        <f>IFERROR(VLOOKUP(C65,'تقرير المصروفات حسب الشهر'!$C$135:$AD$244,21,FALSE),0)</f>
        <v>0</v>
      </c>
      <c r="F65" s="362">
        <f>IFERROR(VLOOKUP(C65,'تقرير المصروفات حسب الشهر'!$C$261:$AD$368,21,FALSE),0)</f>
        <v>0</v>
      </c>
      <c r="G65" s="362">
        <f>IFERROR(VLOOKUP(C65,'تقرير المصروفات حسب الشهر'!$C$387:$AD$495,21,FALSE),0)</f>
        <v>0</v>
      </c>
      <c r="H65" s="362">
        <f>IFERROR(VLOOKUP(C65,'تقرير المصروفات حسب الشهر'!$C$512:$AD$620,21,FALSE),0)</f>
        <v>0</v>
      </c>
      <c r="I65" s="362">
        <f>IFERROR(VLOOKUP(C65,'تقرير المصروفات حسب الشهر'!$C$637:$AD$746,21,FALSE),0)</f>
        <v>0</v>
      </c>
      <c r="J65" s="362">
        <f>IFERROR(VLOOKUP(C65,'تقرير المصروفات حسب الشهر'!$C$763:$AD$872,21,FALSE),0)</f>
        <v>0</v>
      </c>
      <c r="K65" s="362">
        <f>IFERROR(VLOOKUP(C65,'تقرير المصروفات حسب الشهر'!$C$890:$AD$999,21,FALSE),0)</f>
        <v>0</v>
      </c>
      <c r="L65" s="362">
        <f>IFERROR(VLOOKUP(C65,'تقرير المصروفات حسب الشهر'!$C$1016:$AD$1126,21,FALSE),0)</f>
        <v>0</v>
      </c>
      <c r="M65" s="376">
        <f>IFERROR(VLOOKUP(C65,'تقرير المصروفات حسب الشهر'!$C$1143:$AD$1254,21,FALSE),0)</f>
        <v>0</v>
      </c>
      <c r="N65" s="376">
        <f>IFERROR(VLOOKUP(C65,'تقرير المصروفات حسب الشهر'!$C$1270:$AD$1381,21,FALSE),0)</f>
        <v>0</v>
      </c>
      <c r="O65" s="376">
        <f>IFERROR(VLOOKUP(C65,'تقرير المصروفات حسب الشهر'!$C$1397:$AI$1512,21,FALSE),0)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الشهر'!$C$10:$AD$119,21,FALSE),0)</f>
        <v>0</v>
      </c>
      <c r="E66" s="362">
        <f>IFERROR(VLOOKUP(C66,'تقرير المصروفات حسب الشهر'!$C$135:$AD$244,21,FALSE),0)</f>
        <v>0</v>
      </c>
      <c r="F66" s="362">
        <f>IFERROR(VLOOKUP(C66,'تقرير المصروفات حسب الشهر'!$C$261:$AD$368,21,FALSE),0)</f>
        <v>0</v>
      </c>
      <c r="G66" s="362">
        <f>IFERROR(VLOOKUP(C66,'تقرير المصروفات حسب الشهر'!$C$387:$AD$495,21,FALSE),0)</f>
        <v>0</v>
      </c>
      <c r="H66" s="362">
        <f>IFERROR(VLOOKUP(C66,'تقرير المصروفات حسب الشهر'!$C$512:$AD$620,21,FALSE),0)</f>
        <v>0</v>
      </c>
      <c r="I66" s="362">
        <f>IFERROR(VLOOKUP(C66,'تقرير المصروفات حسب الشهر'!$C$637:$AD$746,21,FALSE),0)</f>
        <v>0</v>
      </c>
      <c r="J66" s="362">
        <f>IFERROR(VLOOKUP(C66,'تقرير المصروفات حسب الشهر'!$C$763:$AD$872,21,FALSE),0)</f>
        <v>0</v>
      </c>
      <c r="K66" s="362">
        <f>IFERROR(VLOOKUP(C66,'تقرير المصروفات حسب الشهر'!$C$890:$AD$999,21,FALSE),0)</f>
        <v>0</v>
      </c>
      <c r="L66" s="362">
        <f>IFERROR(VLOOKUP(C66,'تقرير المصروفات حسب الشهر'!$C$1016:$AD$1126,21,FALSE),0)</f>
        <v>0</v>
      </c>
      <c r="M66" s="376">
        <f>IFERROR(VLOOKUP(C66,'تقرير المصروفات حسب الشهر'!$C$1143:$AD$1254,21,FALSE),0)</f>
        <v>0</v>
      </c>
      <c r="N66" s="376">
        <f>IFERROR(VLOOKUP(C66,'تقرير المصروفات حسب الشهر'!$C$1270:$AD$1381,21,FALSE),0)</f>
        <v>0</v>
      </c>
      <c r="O66" s="376">
        <f>IFERROR(VLOOKUP(C66,'تقرير المصروفات حسب الشهر'!$C$1397:$AI$1512,21,FALSE),0)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الشهر'!$C$10:$AD$119,21,FALSE),0)</f>
        <v>0</v>
      </c>
      <c r="E67" s="362">
        <f>IFERROR(VLOOKUP(C67,'تقرير المصروفات حسب الشهر'!$C$135:$AD$244,21,FALSE),0)</f>
        <v>0</v>
      </c>
      <c r="F67" s="362">
        <f>IFERROR(VLOOKUP(C67,'تقرير المصروفات حسب الشهر'!$C$261:$AD$368,21,FALSE),0)</f>
        <v>0</v>
      </c>
      <c r="G67" s="362">
        <f>IFERROR(VLOOKUP(C67,'تقرير المصروفات حسب الشهر'!$C$387:$AD$495,21,FALSE),0)</f>
        <v>0</v>
      </c>
      <c r="H67" s="362">
        <f>IFERROR(VLOOKUP(C67,'تقرير المصروفات حسب الشهر'!$C$512:$AD$620,21,FALSE),0)</f>
        <v>0</v>
      </c>
      <c r="I67" s="362">
        <f>IFERROR(VLOOKUP(C67,'تقرير المصروفات حسب الشهر'!$C$637:$AD$746,21,FALSE),0)</f>
        <v>0</v>
      </c>
      <c r="J67" s="362">
        <f>IFERROR(VLOOKUP(C67,'تقرير المصروفات حسب الشهر'!$C$763:$AD$872,21,FALSE),0)</f>
        <v>0</v>
      </c>
      <c r="K67" s="362">
        <f>IFERROR(VLOOKUP(C67,'تقرير المصروفات حسب الشهر'!$C$890:$AD$999,21,FALSE),0)</f>
        <v>0</v>
      </c>
      <c r="L67" s="362">
        <f>IFERROR(VLOOKUP(C67,'تقرير المصروفات حسب الشهر'!$C$1016:$AD$1126,21,FALSE),0)</f>
        <v>0</v>
      </c>
      <c r="M67" s="376">
        <f>IFERROR(VLOOKUP(C67,'تقرير المصروفات حسب الشهر'!$C$1143:$AD$1254,21,FALSE),0)</f>
        <v>0</v>
      </c>
      <c r="N67" s="376">
        <f>IFERROR(VLOOKUP(C67,'تقرير المصروفات حسب الشهر'!$C$1270:$AD$1381,21,FALSE),0)</f>
        <v>0</v>
      </c>
      <c r="O67" s="376">
        <f>IFERROR(VLOOKUP(C67,'تقرير المصروفات حسب الشهر'!$C$1397:$AI$1512,21,FALSE),0)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الشهر'!$C$10:$AD$119,21,FALSE),0)</f>
        <v>0</v>
      </c>
      <c r="E68" s="362">
        <f>IFERROR(VLOOKUP(C68,'تقرير المصروفات حسب الشهر'!$C$135:$AD$244,21,FALSE),0)</f>
        <v>0</v>
      </c>
      <c r="F68" s="362">
        <f>IFERROR(VLOOKUP(C68,'تقرير المصروفات حسب الشهر'!$C$261:$AD$368,21,FALSE),0)</f>
        <v>0</v>
      </c>
      <c r="G68" s="362">
        <f>IFERROR(VLOOKUP(C68,'تقرير المصروفات حسب الشهر'!$C$387:$AD$495,21,FALSE),0)</f>
        <v>0</v>
      </c>
      <c r="H68" s="362">
        <f>IFERROR(VLOOKUP(C68,'تقرير المصروفات حسب الشهر'!$C$512:$AD$620,21,FALSE),0)</f>
        <v>0</v>
      </c>
      <c r="I68" s="362">
        <f>IFERROR(VLOOKUP(C68,'تقرير المصروفات حسب الشهر'!$C$637:$AD$746,21,FALSE),0)</f>
        <v>0</v>
      </c>
      <c r="J68" s="362">
        <f>IFERROR(VLOOKUP(C68,'تقرير المصروفات حسب الشهر'!$C$763:$AD$872,21,FALSE),0)</f>
        <v>0</v>
      </c>
      <c r="K68" s="362">
        <f>IFERROR(VLOOKUP(C68,'تقرير المصروفات حسب الشهر'!$C$890:$AD$999,21,FALSE),0)</f>
        <v>0</v>
      </c>
      <c r="L68" s="362">
        <f>IFERROR(VLOOKUP(C68,'تقرير المصروفات حسب الشهر'!$C$1016:$AD$1126,21,FALSE),0)</f>
        <v>0</v>
      </c>
      <c r="M68" s="376">
        <f>IFERROR(VLOOKUP(C68,'تقرير المصروفات حسب الشهر'!$C$1143:$AD$1254,21,FALSE),0)</f>
        <v>0</v>
      </c>
      <c r="N68" s="376">
        <f>IFERROR(VLOOKUP(C68,'تقرير المصروفات حسب الشهر'!$C$1270:$AD$1381,21,FALSE),0)</f>
        <v>0</v>
      </c>
      <c r="O68" s="376">
        <f>IFERROR(VLOOKUP(C68,'تقرير المصروفات حسب الشهر'!$C$1397:$AI$1512,21,FALSE),0)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الشهر'!$C$10:$AD$119,21,FALSE),0)</f>
        <v>0</v>
      </c>
      <c r="E69" s="362">
        <f>IFERROR(VLOOKUP(C69,'تقرير المصروفات حسب الشهر'!$C$135:$AD$244,21,FALSE),0)</f>
        <v>0</v>
      </c>
      <c r="F69" s="362">
        <f>IFERROR(VLOOKUP(C69,'تقرير المصروفات حسب الشهر'!$C$261:$AD$368,21,FALSE),0)</f>
        <v>0</v>
      </c>
      <c r="G69" s="362">
        <f>IFERROR(VLOOKUP(C69,'تقرير المصروفات حسب الشهر'!$C$387:$AD$495,21,FALSE),0)</f>
        <v>0</v>
      </c>
      <c r="H69" s="362">
        <f>IFERROR(VLOOKUP(C69,'تقرير المصروفات حسب الشهر'!$C$512:$AD$620,21,FALSE),0)</f>
        <v>0</v>
      </c>
      <c r="I69" s="362">
        <f>IFERROR(VLOOKUP(C69,'تقرير المصروفات حسب الشهر'!$C$637:$AD$746,21,FALSE),0)</f>
        <v>0</v>
      </c>
      <c r="J69" s="362">
        <f>IFERROR(VLOOKUP(C69,'تقرير المصروفات حسب الشهر'!$C$763:$AD$872,21,FALSE),0)</f>
        <v>0</v>
      </c>
      <c r="K69" s="362">
        <f>IFERROR(VLOOKUP(C69,'تقرير المصروفات حسب الشهر'!$C$890:$AD$999,21,FALSE),0)</f>
        <v>0</v>
      </c>
      <c r="L69" s="362">
        <f>IFERROR(VLOOKUP(C69,'تقرير المصروفات حسب الشهر'!$C$1016:$AD$1126,21,FALSE),0)</f>
        <v>0</v>
      </c>
      <c r="M69" s="376">
        <f>IFERROR(VLOOKUP(C69,'تقرير المصروفات حسب الشهر'!$C$1143:$AD$1254,21,FALSE),0)</f>
        <v>0</v>
      </c>
      <c r="N69" s="376">
        <f>IFERROR(VLOOKUP(C69,'تقرير المصروفات حسب الشهر'!$C$1270:$AD$1381,21,FALSE),0)</f>
        <v>0</v>
      </c>
      <c r="O69" s="376">
        <f>IFERROR(VLOOKUP(C69,'تقرير المصروفات حسب الشهر'!$C$1397:$AI$1512,21,FALSE),0)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الشهر'!$C$10:$AD$119,21,FALSE),0)</f>
        <v>0</v>
      </c>
      <c r="E70" s="362">
        <f>IFERROR(VLOOKUP(C70,'تقرير المصروفات حسب الشهر'!$C$135:$AD$244,21,FALSE),0)</f>
        <v>0</v>
      </c>
      <c r="F70" s="362">
        <f>IFERROR(VLOOKUP(C70,'تقرير المصروفات حسب الشهر'!$C$261:$AD$368,21,FALSE),0)</f>
        <v>0</v>
      </c>
      <c r="G70" s="362">
        <f>IFERROR(VLOOKUP(C70,'تقرير المصروفات حسب الشهر'!$C$387:$AD$495,21,FALSE),0)</f>
        <v>0</v>
      </c>
      <c r="H70" s="362">
        <f>IFERROR(VLOOKUP(C70,'تقرير المصروفات حسب الشهر'!$C$512:$AD$620,21,FALSE),0)</f>
        <v>0</v>
      </c>
      <c r="I70" s="362">
        <f>IFERROR(VLOOKUP(C70,'تقرير المصروفات حسب الشهر'!$C$637:$AD$746,21,FALSE),0)</f>
        <v>0</v>
      </c>
      <c r="J70" s="362">
        <f>IFERROR(VLOOKUP(C70,'تقرير المصروفات حسب الشهر'!$C$763:$AD$872,21,FALSE),0)</f>
        <v>0</v>
      </c>
      <c r="K70" s="362">
        <f>IFERROR(VLOOKUP(C70,'تقرير المصروفات حسب الشهر'!$C$890:$AD$999,21,FALSE),0)</f>
        <v>0</v>
      </c>
      <c r="L70" s="362">
        <f>IFERROR(VLOOKUP(C70,'تقرير المصروفات حسب الشهر'!$C$1016:$AD$1126,21,FALSE),0)</f>
        <v>0</v>
      </c>
      <c r="M70" s="376">
        <f>IFERROR(VLOOKUP(C70,'تقرير المصروفات حسب الشهر'!$C$1143:$AD$1254,21,FALSE),0)</f>
        <v>0</v>
      </c>
      <c r="N70" s="376">
        <f>IFERROR(VLOOKUP(C70,'تقرير المصروفات حسب الشهر'!$C$1270:$AD$1381,21,FALSE),0)</f>
        <v>0</v>
      </c>
      <c r="O70" s="376">
        <f>IFERROR(VLOOKUP(C70,'تقرير المصروفات حسب الشهر'!$C$1397:$AI$1512,21,FALSE),0)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الشهر'!$C$10:$AD$119,21,FALSE),0)</f>
        <v>0</v>
      </c>
      <c r="E71" s="362">
        <f>IFERROR(VLOOKUP(C71,'تقرير المصروفات حسب الشهر'!$C$135:$AD$244,21,FALSE),0)</f>
        <v>0</v>
      </c>
      <c r="F71" s="362">
        <f>IFERROR(VLOOKUP(C71,'تقرير المصروفات حسب الشهر'!$C$261:$AD$368,21,FALSE),0)</f>
        <v>0</v>
      </c>
      <c r="G71" s="362">
        <f>IFERROR(VLOOKUP(C71,'تقرير المصروفات حسب الشهر'!$C$387:$AD$495,21,FALSE),0)</f>
        <v>0</v>
      </c>
      <c r="H71" s="362">
        <f>IFERROR(VLOOKUP(C71,'تقرير المصروفات حسب الشهر'!$C$512:$AD$620,21,FALSE),0)</f>
        <v>0</v>
      </c>
      <c r="I71" s="362">
        <f>IFERROR(VLOOKUP(C71,'تقرير المصروفات حسب الشهر'!$C$637:$AD$746,21,FALSE),0)</f>
        <v>0</v>
      </c>
      <c r="J71" s="362">
        <f>IFERROR(VLOOKUP(C71,'تقرير المصروفات حسب الشهر'!$C$763:$AD$872,21,FALSE),0)</f>
        <v>0</v>
      </c>
      <c r="K71" s="362">
        <f>IFERROR(VLOOKUP(C71,'تقرير المصروفات حسب الشهر'!$C$890:$AD$999,21,FALSE),0)</f>
        <v>0</v>
      </c>
      <c r="L71" s="362">
        <f>IFERROR(VLOOKUP(C71,'تقرير المصروفات حسب الشهر'!$C$1016:$AD$1126,21,FALSE),0)</f>
        <v>0</v>
      </c>
      <c r="M71" s="376">
        <f>IFERROR(VLOOKUP(C71,'تقرير المصروفات حسب الشهر'!$C$1143:$AD$1254,21,FALSE),0)</f>
        <v>0</v>
      </c>
      <c r="N71" s="376">
        <f>IFERROR(VLOOKUP(C71,'تقرير المصروفات حسب الشهر'!$C$1270:$AD$1381,21,FALSE),0)</f>
        <v>0</v>
      </c>
      <c r="O71" s="376">
        <f>IFERROR(VLOOKUP(C71,'تقرير المصروفات حسب الشهر'!$C$1397:$AI$1512,21,FALSE),0)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الشهر'!$C$10:$AD$119,21,FALSE),0)</f>
        <v>0</v>
      </c>
      <c r="E72" s="362">
        <f>IFERROR(VLOOKUP(C72,'تقرير المصروفات حسب الشهر'!$C$135:$AD$244,21,FALSE),0)</f>
        <v>0</v>
      </c>
      <c r="F72" s="362">
        <f>IFERROR(VLOOKUP(C72,'تقرير المصروفات حسب الشهر'!$C$261:$AD$368,21,FALSE),0)</f>
        <v>0</v>
      </c>
      <c r="G72" s="362">
        <f>IFERROR(VLOOKUP(C72,'تقرير المصروفات حسب الشهر'!$C$387:$AD$495,21,FALSE),0)</f>
        <v>0</v>
      </c>
      <c r="H72" s="362">
        <f>IFERROR(VLOOKUP(C72,'تقرير المصروفات حسب الشهر'!$C$512:$AD$620,21,FALSE),0)</f>
        <v>0</v>
      </c>
      <c r="I72" s="362">
        <f>IFERROR(VLOOKUP(C72,'تقرير المصروفات حسب الشهر'!$C$637:$AD$746,21,FALSE),0)</f>
        <v>0</v>
      </c>
      <c r="J72" s="362">
        <f>IFERROR(VLOOKUP(C72,'تقرير المصروفات حسب الشهر'!$C$763:$AD$872,21,FALSE),0)</f>
        <v>0</v>
      </c>
      <c r="K72" s="362">
        <f>IFERROR(VLOOKUP(C72,'تقرير المصروفات حسب الشهر'!$C$890:$AD$999,21,FALSE),0)</f>
        <v>0</v>
      </c>
      <c r="L72" s="362">
        <f>IFERROR(VLOOKUP(C72,'تقرير المصروفات حسب الشهر'!$C$1016:$AD$1126,21,FALSE),0)</f>
        <v>0</v>
      </c>
      <c r="M72" s="376">
        <f>IFERROR(VLOOKUP(C72,'تقرير المصروفات حسب الشهر'!$C$1143:$AD$1254,21,FALSE),0)</f>
        <v>0</v>
      </c>
      <c r="N72" s="376">
        <f>IFERROR(VLOOKUP(C72,'تقرير المصروفات حسب الشهر'!$C$1270:$AD$1381,21,FALSE),0)</f>
        <v>0</v>
      </c>
      <c r="O72" s="376">
        <f>IFERROR(VLOOKUP(C72,'تقرير المصروفات حسب الشهر'!$C$1397:$AI$1512,21,FALSE),0)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الشهر'!$C$10:$AD$119,21,FALSE),0)</f>
        <v>0</v>
      </c>
      <c r="E73" s="362">
        <f>IFERROR(VLOOKUP(C73,'تقرير المصروفات حسب الشهر'!$C$135:$AD$244,21,FALSE),0)</f>
        <v>0</v>
      </c>
      <c r="F73" s="362">
        <f>IFERROR(VLOOKUP(C73,'تقرير المصروفات حسب الشهر'!$C$261:$AD$368,21,FALSE),0)</f>
        <v>0</v>
      </c>
      <c r="G73" s="362">
        <f>IFERROR(VLOOKUP(C73,'تقرير المصروفات حسب الشهر'!$C$387:$AD$495,21,FALSE),0)</f>
        <v>0</v>
      </c>
      <c r="H73" s="362">
        <f>IFERROR(VLOOKUP(C73,'تقرير المصروفات حسب الشهر'!$C$512:$AD$620,21,FALSE),0)</f>
        <v>0</v>
      </c>
      <c r="I73" s="362">
        <f>IFERROR(VLOOKUP(C73,'تقرير المصروفات حسب الشهر'!$C$637:$AD$746,21,FALSE),0)</f>
        <v>0</v>
      </c>
      <c r="J73" s="362">
        <f>IFERROR(VLOOKUP(C73,'تقرير المصروفات حسب الشهر'!$C$763:$AD$872,21,FALSE),0)</f>
        <v>0</v>
      </c>
      <c r="K73" s="362">
        <f>IFERROR(VLOOKUP(C73,'تقرير المصروفات حسب الشهر'!$C$890:$AD$999,21,FALSE),0)</f>
        <v>0</v>
      </c>
      <c r="L73" s="362">
        <f>IFERROR(VLOOKUP(C73,'تقرير المصروفات حسب الشهر'!$C$1016:$AD$1126,21,FALSE),0)</f>
        <v>0</v>
      </c>
      <c r="M73" s="376">
        <f>IFERROR(VLOOKUP(C73,'تقرير المصروفات حسب الشهر'!$C$1143:$AD$1254,21,FALSE),0)</f>
        <v>0</v>
      </c>
      <c r="N73" s="376">
        <f>IFERROR(VLOOKUP(C73,'تقرير المصروفات حسب الشهر'!$C$1270:$AD$1381,21,FALSE),0)</f>
        <v>0</v>
      </c>
      <c r="O73" s="376">
        <f>IFERROR(VLOOKUP(C73,'تقرير المصروفات حسب الشهر'!$C$1397:$AI$1512,21,FALSE),0)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الشهر'!$C$10:$AD$119,21,FALSE),0)</f>
        <v>0</v>
      </c>
      <c r="E74" s="362">
        <f>IFERROR(VLOOKUP(C74,'تقرير المصروفات حسب الشهر'!$C$135:$AD$244,21,FALSE),0)</f>
        <v>0</v>
      </c>
      <c r="F74" s="362">
        <f>IFERROR(VLOOKUP(C74,'تقرير المصروفات حسب الشهر'!$C$261:$AD$368,21,FALSE),0)</f>
        <v>0</v>
      </c>
      <c r="G74" s="362">
        <f>IFERROR(VLOOKUP(C74,'تقرير المصروفات حسب الشهر'!$C$387:$AD$495,21,FALSE),0)</f>
        <v>0</v>
      </c>
      <c r="H74" s="362">
        <f>IFERROR(VLOOKUP(C74,'تقرير المصروفات حسب الشهر'!$C$512:$AD$620,21,FALSE),0)</f>
        <v>0</v>
      </c>
      <c r="I74" s="362">
        <f>IFERROR(VLOOKUP(C74,'تقرير المصروفات حسب الشهر'!$C$637:$AD$746,21,FALSE),0)</f>
        <v>0</v>
      </c>
      <c r="J74" s="362">
        <f>IFERROR(VLOOKUP(C74,'تقرير المصروفات حسب الشهر'!$C$763:$AD$872,21,FALSE),0)</f>
        <v>0</v>
      </c>
      <c r="K74" s="362">
        <f>IFERROR(VLOOKUP(C74,'تقرير المصروفات حسب الشهر'!$C$890:$AD$999,21,FALSE),0)</f>
        <v>0</v>
      </c>
      <c r="L74" s="362">
        <f>IFERROR(VLOOKUP(C74,'تقرير المصروفات حسب الشهر'!$C$1016:$AD$1126,21,FALSE),0)</f>
        <v>0</v>
      </c>
      <c r="M74" s="376">
        <f>IFERROR(VLOOKUP(C74,'تقرير المصروفات حسب الشهر'!$C$1143:$AD$1254,21,FALSE),0)</f>
        <v>0</v>
      </c>
      <c r="N74" s="376">
        <f>IFERROR(VLOOKUP(C74,'تقرير المصروفات حسب الشهر'!$C$1270:$AD$1381,21,FALSE),0)</f>
        <v>0</v>
      </c>
      <c r="O74" s="376">
        <f>IFERROR(VLOOKUP(C74,'تقرير المصروفات حسب الشهر'!$C$1397:$AI$1512,21,FALSE),0)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الشهر'!$C$10:$AD$119,21,FALSE),0)</f>
        <v>0</v>
      </c>
      <c r="E75" s="362">
        <f>IFERROR(VLOOKUP(C75,'تقرير المصروفات حسب الشهر'!$C$135:$AD$244,21,FALSE),0)</f>
        <v>0</v>
      </c>
      <c r="F75" s="362">
        <f>IFERROR(VLOOKUP(C75,'تقرير المصروفات حسب الشهر'!$C$261:$AD$368,21,FALSE),0)</f>
        <v>0</v>
      </c>
      <c r="G75" s="362">
        <f>IFERROR(VLOOKUP(C75,'تقرير المصروفات حسب الشهر'!$C$387:$AD$495,21,FALSE),0)</f>
        <v>0</v>
      </c>
      <c r="H75" s="362">
        <f>IFERROR(VLOOKUP(C75,'تقرير المصروفات حسب الشهر'!$C$512:$AD$620,21,FALSE),0)</f>
        <v>0</v>
      </c>
      <c r="I75" s="362">
        <f>IFERROR(VLOOKUP(C75,'تقرير المصروفات حسب الشهر'!$C$637:$AD$746,21,FALSE),0)</f>
        <v>0</v>
      </c>
      <c r="J75" s="362">
        <f>IFERROR(VLOOKUP(C75,'تقرير المصروفات حسب الشهر'!$C$763:$AD$872,21,FALSE),0)</f>
        <v>0</v>
      </c>
      <c r="K75" s="362">
        <f>IFERROR(VLOOKUP(C75,'تقرير المصروفات حسب الشهر'!$C$890:$AD$999,21,FALSE),0)</f>
        <v>0</v>
      </c>
      <c r="L75" s="362">
        <f>IFERROR(VLOOKUP(C75,'تقرير المصروفات حسب الشهر'!$C$1016:$AD$1126,21,FALSE),0)</f>
        <v>0</v>
      </c>
      <c r="M75" s="376">
        <f>IFERROR(VLOOKUP(C75,'تقرير المصروفات حسب الشهر'!$C$1143:$AD$1254,21,FALSE),0)</f>
        <v>0</v>
      </c>
      <c r="N75" s="376">
        <f>IFERROR(VLOOKUP(C75,'تقرير المصروفات حسب الشهر'!$C$1270:$AD$1381,21,FALSE),0)</f>
        <v>0</v>
      </c>
      <c r="O75" s="376">
        <f>IFERROR(VLOOKUP(C75,'تقرير المصروفات حسب الشهر'!$C$1397:$AI$1512,21,FALSE),0)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الشهر'!$C$10:$AD$119,21,FALSE),0)</f>
        <v>0</v>
      </c>
      <c r="E76" s="362">
        <f>IFERROR(VLOOKUP(C76,'تقرير المصروفات حسب الشهر'!$C$135:$AD$244,21,FALSE),0)</f>
        <v>0</v>
      </c>
      <c r="F76" s="362">
        <f>IFERROR(VLOOKUP(C76,'تقرير المصروفات حسب الشهر'!$C$261:$AD$368,21,FALSE),0)</f>
        <v>0</v>
      </c>
      <c r="G76" s="362">
        <f>IFERROR(VLOOKUP(C76,'تقرير المصروفات حسب الشهر'!$C$387:$AD$495,21,FALSE),0)</f>
        <v>0</v>
      </c>
      <c r="H76" s="362">
        <f>IFERROR(VLOOKUP(C76,'تقرير المصروفات حسب الشهر'!$C$512:$AD$620,21,FALSE),0)</f>
        <v>0</v>
      </c>
      <c r="I76" s="362">
        <f>IFERROR(VLOOKUP(C76,'تقرير المصروفات حسب الشهر'!$C$637:$AD$746,21,FALSE),0)</f>
        <v>0</v>
      </c>
      <c r="J76" s="362">
        <f>IFERROR(VLOOKUP(C76,'تقرير المصروفات حسب الشهر'!$C$763:$AD$872,21,FALSE),0)</f>
        <v>0</v>
      </c>
      <c r="K76" s="362">
        <f>IFERROR(VLOOKUP(C76,'تقرير المصروفات حسب الشهر'!$C$890:$AD$999,21,FALSE),0)</f>
        <v>0</v>
      </c>
      <c r="L76" s="362">
        <f>IFERROR(VLOOKUP(C76,'تقرير المصروفات حسب الشهر'!$C$1016:$AD$1126,21,FALSE),0)</f>
        <v>0</v>
      </c>
      <c r="M76" s="376">
        <f>IFERROR(VLOOKUP(C76,'تقرير المصروفات حسب الشهر'!$C$1143:$AD$1254,21,FALSE),0)</f>
        <v>0</v>
      </c>
      <c r="N76" s="376">
        <f>IFERROR(VLOOKUP(C76,'تقرير المصروفات حسب الشهر'!$C$1270:$AD$1381,21,FALSE),0)</f>
        <v>0</v>
      </c>
      <c r="O76" s="376">
        <f>IFERROR(VLOOKUP(C76,'تقرير المصروفات حسب الشهر'!$C$1397:$AI$1512,21,FALSE),0)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الشهر'!$C$10:$AD$119,21,FALSE),0)</f>
        <v>0</v>
      </c>
      <c r="E77" s="362">
        <f>IFERROR(VLOOKUP(C77,'تقرير المصروفات حسب الشهر'!$C$135:$AD$244,21,FALSE),0)</f>
        <v>0</v>
      </c>
      <c r="F77" s="362">
        <f>IFERROR(VLOOKUP(C77,'تقرير المصروفات حسب الشهر'!$C$261:$AD$368,21,FALSE),0)</f>
        <v>0</v>
      </c>
      <c r="G77" s="362">
        <f>IFERROR(VLOOKUP(C77,'تقرير المصروفات حسب الشهر'!$C$387:$AD$495,21,FALSE),0)</f>
        <v>0</v>
      </c>
      <c r="H77" s="362">
        <f>IFERROR(VLOOKUP(C77,'تقرير المصروفات حسب الشهر'!$C$512:$AD$620,21,FALSE),0)</f>
        <v>0</v>
      </c>
      <c r="I77" s="362">
        <f>IFERROR(VLOOKUP(C77,'تقرير المصروفات حسب الشهر'!$C$637:$AD$746,21,FALSE),0)</f>
        <v>0</v>
      </c>
      <c r="J77" s="362">
        <f>IFERROR(VLOOKUP(C77,'تقرير المصروفات حسب الشهر'!$C$763:$AD$872,21,FALSE),0)</f>
        <v>0</v>
      </c>
      <c r="K77" s="362">
        <f>IFERROR(VLOOKUP(C77,'تقرير المصروفات حسب الشهر'!$C$890:$AD$999,21,FALSE),0)</f>
        <v>0</v>
      </c>
      <c r="L77" s="362">
        <f>IFERROR(VLOOKUP(C77,'تقرير المصروفات حسب الشهر'!$C$1016:$AD$1126,21,FALSE),0)</f>
        <v>0</v>
      </c>
      <c r="M77" s="376">
        <f>IFERROR(VLOOKUP(C77,'تقرير المصروفات حسب الشهر'!$C$1143:$AD$1254,21,FALSE),0)</f>
        <v>0</v>
      </c>
      <c r="N77" s="376">
        <f>IFERROR(VLOOKUP(C77,'تقرير المصروفات حسب الشهر'!$C$1270:$AD$1381,21,FALSE),0)</f>
        <v>0</v>
      </c>
      <c r="O77" s="376">
        <f>IFERROR(VLOOKUP(C77,'تقرير المصروفات حسب الشهر'!$C$1397:$AI$1512,21,FALSE),0)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الشهر'!$C$10:$AD$119,21,FALSE),0)</f>
        <v>0</v>
      </c>
      <c r="E78" s="362">
        <f>IFERROR(VLOOKUP(C78,'تقرير المصروفات حسب الشهر'!$C$135:$AD$244,21,FALSE),0)</f>
        <v>0</v>
      </c>
      <c r="F78" s="362">
        <f>IFERROR(VLOOKUP(C78,'تقرير المصروفات حسب الشهر'!$C$261:$AD$368,21,FALSE),0)</f>
        <v>0</v>
      </c>
      <c r="G78" s="362">
        <f>IFERROR(VLOOKUP(C78,'تقرير المصروفات حسب الشهر'!$C$387:$AD$495,21,FALSE),0)</f>
        <v>0</v>
      </c>
      <c r="H78" s="362">
        <f>IFERROR(VLOOKUP(C78,'تقرير المصروفات حسب الشهر'!$C$512:$AD$620,21,FALSE),0)</f>
        <v>0</v>
      </c>
      <c r="I78" s="362">
        <f>IFERROR(VLOOKUP(C78,'تقرير المصروفات حسب الشهر'!$C$637:$AD$746,21,FALSE),0)</f>
        <v>0</v>
      </c>
      <c r="J78" s="362">
        <f>IFERROR(VLOOKUP(C78,'تقرير المصروفات حسب الشهر'!$C$763:$AD$872,21,FALSE),0)</f>
        <v>0</v>
      </c>
      <c r="K78" s="362">
        <f>IFERROR(VLOOKUP(C78,'تقرير المصروفات حسب الشهر'!$C$890:$AD$999,21,FALSE),0)</f>
        <v>0</v>
      </c>
      <c r="L78" s="362">
        <f>IFERROR(VLOOKUP(C78,'تقرير المصروفات حسب الشهر'!$C$1016:$AD$1126,21,FALSE),0)</f>
        <v>0</v>
      </c>
      <c r="M78" s="376">
        <f>IFERROR(VLOOKUP(C78,'تقرير المصروفات حسب الشهر'!$C$1143:$AD$1254,21,FALSE),0)</f>
        <v>0</v>
      </c>
      <c r="N78" s="376">
        <f>IFERROR(VLOOKUP(C78,'تقرير المصروفات حسب الشهر'!$C$1270:$AD$1381,21,FALSE),0)</f>
        <v>0</v>
      </c>
      <c r="O78" s="376">
        <f>IFERROR(VLOOKUP(C78,'تقرير المصروفات حسب الشهر'!$C$1397:$AI$1512,21,FALSE),0)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الشهر'!$C$10:$AD$119,21,FALSE),0)</f>
        <v>0</v>
      </c>
      <c r="E79" s="362">
        <f>IFERROR(VLOOKUP(C79,'تقرير المصروفات حسب الشهر'!$C$135:$AD$244,21,FALSE),0)</f>
        <v>0</v>
      </c>
      <c r="F79" s="362">
        <f>IFERROR(VLOOKUP(C79,'تقرير المصروفات حسب الشهر'!$C$261:$AD$368,21,FALSE),0)</f>
        <v>0</v>
      </c>
      <c r="G79" s="362">
        <f>IFERROR(VLOOKUP(C79,'تقرير المصروفات حسب الشهر'!$C$387:$AD$495,21,FALSE),0)</f>
        <v>0</v>
      </c>
      <c r="H79" s="362">
        <f>IFERROR(VLOOKUP(C79,'تقرير المصروفات حسب الشهر'!$C$512:$AD$620,21,FALSE),0)</f>
        <v>0</v>
      </c>
      <c r="I79" s="362">
        <f>IFERROR(VLOOKUP(C79,'تقرير المصروفات حسب الشهر'!$C$637:$AD$746,21,FALSE),0)</f>
        <v>0</v>
      </c>
      <c r="J79" s="362">
        <f>IFERROR(VLOOKUP(C79,'تقرير المصروفات حسب الشهر'!$C$763:$AD$872,21,FALSE),0)</f>
        <v>0</v>
      </c>
      <c r="K79" s="362">
        <f>IFERROR(VLOOKUP(C79,'تقرير المصروفات حسب الشهر'!$C$890:$AD$999,21,FALSE),0)</f>
        <v>0</v>
      </c>
      <c r="L79" s="362">
        <f>IFERROR(VLOOKUP(C79,'تقرير المصروفات حسب الشهر'!$C$1016:$AD$1126,21,FALSE),0)</f>
        <v>0</v>
      </c>
      <c r="M79" s="376">
        <f>IFERROR(VLOOKUP(C79,'تقرير المصروفات حسب الشهر'!$C$1143:$AD$1254,21,FALSE),0)</f>
        <v>0</v>
      </c>
      <c r="N79" s="376">
        <f>IFERROR(VLOOKUP(C79,'تقرير المصروفات حسب الشهر'!$C$1270:$AD$1381,21,FALSE),0)</f>
        <v>0</v>
      </c>
      <c r="O79" s="376">
        <f>IFERROR(VLOOKUP(C79,'تقرير المصروفات حسب الشهر'!$C$1397:$AI$1512,21,FALSE),0)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الشهر'!$C$10:$AD$119,21,FALSE),0)</f>
        <v>0</v>
      </c>
      <c r="E80" s="362">
        <f>IFERROR(VLOOKUP(C80,'تقرير المصروفات حسب الشهر'!$C$135:$AD$244,21,FALSE),0)</f>
        <v>0</v>
      </c>
      <c r="F80" s="362">
        <f>IFERROR(VLOOKUP(C80,'تقرير المصروفات حسب الشهر'!$C$261:$AD$368,21,FALSE),0)</f>
        <v>0</v>
      </c>
      <c r="G80" s="362">
        <f>IFERROR(VLOOKUP(C80,'تقرير المصروفات حسب الشهر'!$C$387:$AD$495,21,FALSE),0)</f>
        <v>0</v>
      </c>
      <c r="H80" s="362">
        <f>IFERROR(VLOOKUP(C80,'تقرير المصروفات حسب الشهر'!$C$512:$AD$620,21,FALSE),0)</f>
        <v>0</v>
      </c>
      <c r="I80" s="362">
        <f>IFERROR(VLOOKUP(C80,'تقرير المصروفات حسب الشهر'!$C$637:$AD$746,21,FALSE),0)</f>
        <v>0</v>
      </c>
      <c r="J80" s="362">
        <f>IFERROR(VLOOKUP(C80,'تقرير المصروفات حسب الشهر'!$C$763:$AD$872,21,FALSE),0)</f>
        <v>0</v>
      </c>
      <c r="K80" s="362">
        <f>IFERROR(VLOOKUP(C80,'تقرير المصروفات حسب الشهر'!$C$890:$AD$999,21,FALSE),0)</f>
        <v>0</v>
      </c>
      <c r="L80" s="362">
        <f>IFERROR(VLOOKUP(C80,'تقرير المصروفات حسب الشهر'!$C$1016:$AD$1126,21,FALSE),0)</f>
        <v>0</v>
      </c>
      <c r="M80" s="376">
        <f>IFERROR(VLOOKUP(C80,'تقرير المصروفات حسب الشهر'!$C$1143:$AD$1254,21,FALSE),0)</f>
        <v>0</v>
      </c>
      <c r="N80" s="376">
        <f>IFERROR(VLOOKUP(C80,'تقرير المصروفات حسب الشهر'!$C$1270:$AD$1381,21,FALSE),0)</f>
        <v>0</v>
      </c>
      <c r="O80" s="376">
        <f>IFERROR(VLOOKUP(C80,'تقرير المصروفات حسب الشهر'!$C$1397:$AI$1512,21,FALSE),0)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الشهر'!$C$10:$AD$119,21,FALSE),0)</f>
        <v>316</v>
      </c>
      <c r="E81" s="362">
        <f>IFERROR(VLOOKUP(C81,'تقرير المصروفات حسب الشهر'!$C$135:$AD$244,21,FALSE),0)</f>
        <v>100</v>
      </c>
      <c r="F81" s="362">
        <f>IFERROR(VLOOKUP(C81,'تقرير المصروفات حسب الشهر'!$C$261:$AD$368,21,FALSE),0)</f>
        <v>100</v>
      </c>
      <c r="G81" s="362">
        <f>IFERROR(VLOOKUP(C81,'تقرير المصروفات حسب الشهر'!$C$387:$AD$495,21,FALSE),0)</f>
        <v>100</v>
      </c>
      <c r="H81" s="362">
        <f>IFERROR(VLOOKUP(C81,'تقرير المصروفات حسب الشهر'!$C$512:$AD$620,21,FALSE),0)</f>
        <v>100</v>
      </c>
      <c r="I81" s="362">
        <f>IFERROR(VLOOKUP(C81,'تقرير المصروفات حسب الشهر'!$C$637:$AD$746,21,FALSE),0)</f>
        <v>600</v>
      </c>
      <c r="J81" s="362">
        <f>IFERROR(VLOOKUP(C81,'تقرير المصروفات حسب الشهر'!$C$763:$AD$872,21,FALSE),0)</f>
        <v>0</v>
      </c>
      <c r="K81" s="362">
        <f>IFERROR(VLOOKUP(C81,'تقرير المصروفات حسب الشهر'!$C$890:$AD$999,21,FALSE),0)</f>
        <v>300</v>
      </c>
      <c r="L81" s="362">
        <f>IFERROR(VLOOKUP(C81,'تقرير المصروفات حسب الشهر'!$C$1016:$AD$1126,21,FALSE),0)</f>
        <v>200</v>
      </c>
      <c r="M81" s="376">
        <f>IFERROR(VLOOKUP(C81,'تقرير المصروفات حسب الشهر'!$C$1143:$AD$1254,21,FALSE),0)</f>
        <v>200</v>
      </c>
      <c r="N81" s="376">
        <f>IFERROR(VLOOKUP(C81,'تقرير المصروفات حسب الشهر'!$C$1270:$AD$1381,21,FALSE),0)</f>
        <v>200</v>
      </c>
      <c r="O81" s="376">
        <f>IFERROR(VLOOKUP(C81,'تقرير المصروفات حسب الشهر'!$C$1397:$AI$1512,21,FALSE),0)</f>
        <v>200</v>
      </c>
      <c r="P81" s="364">
        <f t="shared" si="5"/>
        <v>2416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الشهر'!$C$10:$AD$119,21,FALSE),0)</f>
        <v>0</v>
      </c>
      <c r="E82" s="362">
        <f>IFERROR(VLOOKUP(C82,'تقرير المصروفات حسب الشهر'!$C$135:$AD$244,21,FALSE),0)</f>
        <v>0</v>
      </c>
      <c r="F82" s="362">
        <f>IFERROR(VLOOKUP(C82,'تقرير المصروفات حسب الشهر'!$C$261:$AD$368,21,FALSE),0)</f>
        <v>0</v>
      </c>
      <c r="G82" s="362">
        <f>IFERROR(VLOOKUP(C82,'تقرير المصروفات حسب الشهر'!$C$387:$AD$495,21,FALSE),0)</f>
        <v>0</v>
      </c>
      <c r="H82" s="362">
        <f>IFERROR(VLOOKUP(C82,'تقرير المصروفات حسب الشهر'!$C$512:$AD$620,21,FALSE),0)</f>
        <v>0</v>
      </c>
      <c r="I82" s="362">
        <f>IFERROR(VLOOKUP(C82,'تقرير المصروفات حسب الشهر'!$C$637:$AD$746,21,FALSE),0)</f>
        <v>0</v>
      </c>
      <c r="J82" s="362">
        <f>IFERROR(VLOOKUP(C82,'تقرير المصروفات حسب الشهر'!$C$763:$AD$872,21,FALSE),0)</f>
        <v>0</v>
      </c>
      <c r="K82" s="362">
        <f>IFERROR(VLOOKUP(C82,'تقرير المصروفات حسب الشهر'!$C$890:$AD$999,21,FALSE),0)</f>
        <v>0</v>
      </c>
      <c r="L82" s="362">
        <f>IFERROR(VLOOKUP(C82,'تقرير المصروفات حسب الشهر'!$C$1016:$AD$1126,21,FALSE),0)</f>
        <v>0</v>
      </c>
      <c r="M82" s="376">
        <f>IFERROR(VLOOKUP(C82,'تقرير المصروفات حسب الشهر'!$C$1143:$AD$1254,21,FALSE),0)</f>
        <v>0</v>
      </c>
      <c r="N82" s="376">
        <f>IFERROR(VLOOKUP(C82,'تقرير المصروفات حسب الشهر'!$C$1270:$AD$1381,21,FALSE),0)</f>
        <v>0</v>
      </c>
      <c r="O82" s="376">
        <f>IFERROR(VLOOKUP(C82,'تقرير المصروفات حسب الشهر'!$C$1397:$AI$1512,21,FALSE),0)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الشهر'!$C$10:$AD$119,21,FALSE),0)</f>
        <v>0</v>
      </c>
      <c r="E83" s="362">
        <f>IFERROR(VLOOKUP(C83,'تقرير المصروفات حسب الشهر'!$C$135:$AD$244,21,FALSE),0)</f>
        <v>0</v>
      </c>
      <c r="F83" s="362">
        <f>IFERROR(VLOOKUP(C83,'تقرير المصروفات حسب الشهر'!$C$261:$AD$368,21,FALSE),0)</f>
        <v>0</v>
      </c>
      <c r="G83" s="362">
        <f>IFERROR(VLOOKUP(C83,'تقرير المصروفات حسب الشهر'!$C$387:$AD$495,21,FALSE),0)</f>
        <v>0</v>
      </c>
      <c r="H83" s="362">
        <f>IFERROR(VLOOKUP(C83,'تقرير المصروفات حسب الشهر'!$C$512:$AD$620,21,FALSE),0)</f>
        <v>0</v>
      </c>
      <c r="I83" s="362">
        <f>IFERROR(VLOOKUP(C83,'تقرير المصروفات حسب الشهر'!$C$637:$AD$746,21,FALSE),0)</f>
        <v>0</v>
      </c>
      <c r="J83" s="362">
        <f>IFERROR(VLOOKUP(C83,'تقرير المصروفات حسب الشهر'!$C$763:$AD$872,21,FALSE),0)</f>
        <v>0</v>
      </c>
      <c r="K83" s="362">
        <f>IFERROR(VLOOKUP(C83,'تقرير المصروفات حسب الشهر'!$C$890:$AD$999,21,FALSE),0)</f>
        <v>0</v>
      </c>
      <c r="L83" s="362">
        <f>IFERROR(VLOOKUP(C83,'تقرير المصروفات حسب الشهر'!$C$1016:$AD$1126,21,FALSE),0)</f>
        <v>0</v>
      </c>
      <c r="M83" s="376">
        <f>IFERROR(VLOOKUP(C83,'تقرير المصروفات حسب الشهر'!$C$1143:$AD$1254,21,FALSE),0)</f>
        <v>0</v>
      </c>
      <c r="N83" s="376">
        <f>IFERROR(VLOOKUP(C83,'تقرير المصروفات حسب الشهر'!$C$1270:$AD$1381,21,FALSE),0)</f>
        <v>0</v>
      </c>
      <c r="O83" s="376">
        <f>IFERROR(VLOOKUP(C83,'تقرير المصروفات حسب الشهر'!$C$1397:$AI$1512,21,FALSE),0)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الشهر'!$C$10:$AD$119,21,FALSE),0)</f>
        <v>0</v>
      </c>
      <c r="E84" s="362">
        <f>IFERROR(VLOOKUP(C84,'تقرير المصروفات حسب الشهر'!$C$135:$AD$244,21,FALSE),0)</f>
        <v>0</v>
      </c>
      <c r="F84" s="362">
        <f>IFERROR(VLOOKUP(C84,'تقرير المصروفات حسب الشهر'!$C$261:$AD$368,21,FALSE),0)</f>
        <v>0</v>
      </c>
      <c r="G84" s="362">
        <f>IFERROR(VLOOKUP(C84,'تقرير المصروفات حسب الشهر'!$C$387:$AD$495,21,FALSE),0)</f>
        <v>0</v>
      </c>
      <c r="H84" s="362">
        <f>IFERROR(VLOOKUP(C84,'تقرير المصروفات حسب الشهر'!$C$512:$AD$620,21,FALSE),0)</f>
        <v>0</v>
      </c>
      <c r="I84" s="362">
        <f>IFERROR(VLOOKUP(C84,'تقرير المصروفات حسب الشهر'!$C$637:$AD$746,21,FALSE),0)</f>
        <v>0</v>
      </c>
      <c r="J84" s="362">
        <f>IFERROR(VLOOKUP(C84,'تقرير المصروفات حسب الشهر'!$C$763:$AD$872,21,FALSE),0)</f>
        <v>0</v>
      </c>
      <c r="K84" s="362">
        <f>IFERROR(VLOOKUP(C84,'تقرير المصروفات حسب الشهر'!$C$890:$AD$999,21,FALSE),0)</f>
        <v>0</v>
      </c>
      <c r="L84" s="362">
        <f>IFERROR(VLOOKUP(C84,'تقرير المصروفات حسب الشهر'!$C$1016:$AD$1126,21,FALSE),0)</f>
        <v>0</v>
      </c>
      <c r="M84" s="376">
        <f>IFERROR(VLOOKUP(C84,'تقرير المصروفات حسب الشهر'!$C$1143:$AD$1254,21,FALSE),0)</f>
        <v>0</v>
      </c>
      <c r="N84" s="376">
        <f>IFERROR(VLOOKUP(C84,'تقرير المصروفات حسب الشهر'!$C$1270:$AD$1381,21,FALSE),0)</f>
        <v>0</v>
      </c>
      <c r="O84" s="376">
        <f>IFERROR(VLOOKUP(C84,'تقرير المصروفات حسب الشهر'!$C$1397:$AI$1512,21,FALSE),0)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الشهر'!$C$10:$AD$119,21,FALSE),0)</f>
        <v>0</v>
      </c>
      <c r="E85" s="362">
        <f>IFERROR(VLOOKUP(C85,'تقرير المصروفات حسب الشهر'!$C$135:$AD$244,21,FALSE),0)</f>
        <v>0</v>
      </c>
      <c r="F85" s="362">
        <f>IFERROR(VLOOKUP(C85,'تقرير المصروفات حسب الشهر'!$C$261:$AD$368,21,FALSE),0)</f>
        <v>0</v>
      </c>
      <c r="G85" s="362">
        <f>IFERROR(VLOOKUP(C85,'تقرير المصروفات حسب الشهر'!$C$387:$AD$495,21,FALSE),0)</f>
        <v>0</v>
      </c>
      <c r="H85" s="362">
        <f>IFERROR(VLOOKUP(C85,'تقرير المصروفات حسب الشهر'!$C$512:$AD$620,21,FALSE),0)</f>
        <v>0</v>
      </c>
      <c r="I85" s="362">
        <f>IFERROR(VLOOKUP(C85,'تقرير المصروفات حسب الشهر'!$C$637:$AD$746,21,FALSE),0)</f>
        <v>0</v>
      </c>
      <c r="J85" s="362">
        <f>IFERROR(VLOOKUP(C85,'تقرير المصروفات حسب الشهر'!$C$763:$AD$872,21,FALSE),0)</f>
        <v>0</v>
      </c>
      <c r="K85" s="362">
        <f>IFERROR(VLOOKUP(C85,'تقرير المصروفات حسب الشهر'!$C$890:$AD$999,21,FALSE),0)</f>
        <v>0</v>
      </c>
      <c r="L85" s="362">
        <f>IFERROR(VLOOKUP(C85,'تقرير المصروفات حسب الشهر'!$C$1016:$AD$1126,21,FALSE),0)</f>
        <v>0</v>
      </c>
      <c r="M85" s="376">
        <f>IFERROR(VLOOKUP(C85,'تقرير المصروفات حسب الشهر'!$C$1143:$AD$1254,21,FALSE),0)</f>
        <v>0</v>
      </c>
      <c r="N85" s="376">
        <f>IFERROR(VLOOKUP(C85,'تقرير المصروفات حسب الشهر'!$C$1270:$AD$1381,21,FALSE),0)</f>
        <v>0</v>
      </c>
      <c r="O85" s="376">
        <f>IFERROR(VLOOKUP(C85,'تقرير المصروفات حسب الشهر'!$C$1397:$AI$1512,21,FALSE),0)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الشهر'!$C$10:$AD$119,21,FALSE),0)</f>
        <v>0</v>
      </c>
      <c r="E86" s="362">
        <f>IFERROR(VLOOKUP(C86,'تقرير المصروفات حسب الشهر'!$C$135:$AD$244,21,FALSE),0)</f>
        <v>0</v>
      </c>
      <c r="F86" s="362">
        <f>IFERROR(VLOOKUP(C86,'تقرير المصروفات حسب الشهر'!$C$261:$AD$368,21,FALSE),0)</f>
        <v>0</v>
      </c>
      <c r="G86" s="362">
        <f>IFERROR(VLOOKUP(C86,'تقرير المصروفات حسب الشهر'!$C$387:$AD$495,21,FALSE),0)</f>
        <v>653</v>
      </c>
      <c r="H86" s="362">
        <f>IFERROR(VLOOKUP(C86,'تقرير المصروفات حسب الشهر'!$C$512:$AD$620,21,FALSE),0)</f>
        <v>0</v>
      </c>
      <c r="I86" s="362">
        <f>IFERROR(VLOOKUP(C86,'تقرير المصروفات حسب الشهر'!$C$637:$AD$746,21,FALSE),0)</f>
        <v>1700</v>
      </c>
      <c r="J86" s="362">
        <f>IFERROR(VLOOKUP(C86,'تقرير المصروفات حسب الشهر'!$C$763:$AD$872,21,FALSE),0)</f>
        <v>979</v>
      </c>
      <c r="K86" s="362">
        <f>IFERROR(VLOOKUP(C86,'تقرير المصروفات حسب الشهر'!$C$890:$AD$999,21,FALSE),0)</f>
        <v>0</v>
      </c>
      <c r="L86" s="362">
        <f>IFERROR(VLOOKUP(C86,'تقرير المصروفات حسب الشهر'!$C$1016:$AD$1126,21,FALSE),0)</f>
        <v>0</v>
      </c>
      <c r="M86" s="376">
        <f>IFERROR(VLOOKUP(C86,'تقرير المصروفات حسب الشهر'!$C$1143:$AD$1254,21,FALSE),0)</f>
        <v>0</v>
      </c>
      <c r="N86" s="376">
        <f>IFERROR(VLOOKUP(C86,'تقرير المصروفات حسب الشهر'!$C$1270:$AD$1381,21,FALSE),0)</f>
        <v>367.25</v>
      </c>
      <c r="O86" s="376">
        <f>IFERROR(VLOOKUP(C86,'تقرير المصروفات حسب الشهر'!$C$1397:$AI$1512,21,FALSE),0)</f>
        <v>0</v>
      </c>
      <c r="P86" s="364">
        <f t="shared" si="5"/>
        <v>3699.25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الشهر'!$C$10:$AD$119,21,FALSE),0)</f>
        <v>0</v>
      </c>
      <c r="E87" s="362">
        <f>IFERROR(VLOOKUP(C87,'تقرير المصروفات حسب الشهر'!$C$135:$AD$244,21,FALSE),0)</f>
        <v>0</v>
      </c>
      <c r="F87" s="362">
        <f>IFERROR(VLOOKUP(C87,'تقرير المصروفات حسب الشهر'!$C$261:$AD$368,21,FALSE),0)</f>
        <v>0</v>
      </c>
      <c r="G87" s="362">
        <f>IFERROR(VLOOKUP(C87,'تقرير المصروفات حسب الشهر'!$C$387:$AD$495,21,FALSE),0)</f>
        <v>0</v>
      </c>
      <c r="H87" s="362">
        <f>IFERROR(VLOOKUP(C87,'تقرير المصروفات حسب الشهر'!$C$512:$AD$620,21,FALSE),0)</f>
        <v>0</v>
      </c>
      <c r="I87" s="362">
        <f>IFERROR(VLOOKUP(C87,'تقرير المصروفات حسب الشهر'!$C$637:$AD$746,21,FALSE),0)</f>
        <v>0</v>
      </c>
      <c r="J87" s="362">
        <f>IFERROR(VLOOKUP(C87,'تقرير المصروفات حسب الشهر'!$C$763:$AD$872,21,FALSE),0)</f>
        <v>0</v>
      </c>
      <c r="K87" s="362">
        <f>IFERROR(VLOOKUP(C87,'تقرير المصروفات حسب الشهر'!$C$890:$AD$999,21,FALSE),0)</f>
        <v>0</v>
      </c>
      <c r="L87" s="362">
        <f>IFERROR(VLOOKUP(C87,'تقرير المصروفات حسب الشهر'!$C$1016:$AD$1126,21,FALSE),0)</f>
        <v>0</v>
      </c>
      <c r="M87" s="376">
        <f>IFERROR(VLOOKUP(C87,'تقرير المصروفات حسب الشهر'!$C$1143:$AD$1254,21,FALSE),0)</f>
        <v>0</v>
      </c>
      <c r="N87" s="376">
        <f>IFERROR(VLOOKUP(C87,'تقرير المصروفات حسب الشهر'!$C$1270:$AD$1381,21,FALSE),0)</f>
        <v>0</v>
      </c>
      <c r="O87" s="376">
        <f>IFERROR(VLOOKUP(C87,'تقرير المصروفات حسب الشهر'!$C$1397:$AI$1512,21,FALSE),0)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الشهر'!$C$10:$AD$119,21,FALSE),0)</f>
        <v>0</v>
      </c>
      <c r="E88" s="362">
        <f>IFERROR(VLOOKUP(C88,'تقرير المصروفات حسب الشهر'!$C$135:$AD$244,21,FALSE),0)</f>
        <v>0</v>
      </c>
      <c r="F88" s="362">
        <f>IFERROR(VLOOKUP(C88,'تقرير المصروفات حسب الشهر'!$C$261:$AD$368,21,FALSE),0)</f>
        <v>0</v>
      </c>
      <c r="G88" s="362">
        <f>IFERROR(VLOOKUP(C88,'تقرير المصروفات حسب الشهر'!$C$387:$AD$495,21,FALSE),0)</f>
        <v>0</v>
      </c>
      <c r="H88" s="362">
        <f>IFERROR(VLOOKUP(C88,'تقرير المصروفات حسب الشهر'!$C$512:$AD$620,21,FALSE),0)</f>
        <v>333</v>
      </c>
      <c r="I88" s="362">
        <f>IFERROR(VLOOKUP(C88,'تقرير المصروفات حسب الشهر'!$C$637:$AD$746,21,FALSE),0)</f>
        <v>0</v>
      </c>
      <c r="J88" s="362">
        <f>IFERROR(VLOOKUP(C88,'تقرير المصروفات حسب الشهر'!$C$763:$AD$872,21,FALSE),0)</f>
        <v>0</v>
      </c>
      <c r="K88" s="362">
        <f>IFERROR(VLOOKUP(C88,'تقرير المصروفات حسب الشهر'!$C$890:$AD$999,21,FALSE),0)</f>
        <v>0</v>
      </c>
      <c r="L88" s="362">
        <f>IFERROR(VLOOKUP(C88,'تقرير المصروفات حسب الشهر'!$C$1016:$AD$1126,21,FALSE),0)</f>
        <v>0</v>
      </c>
      <c r="M88" s="376">
        <f>IFERROR(VLOOKUP(C88,'تقرير المصروفات حسب الشهر'!$C$1143:$AD$1254,21,FALSE),0)</f>
        <v>0</v>
      </c>
      <c r="N88" s="376">
        <f>IFERROR(VLOOKUP(C88,'تقرير المصروفات حسب الشهر'!$C$1270:$AD$1381,21,FALSE),0)</f>
        <v>0</v>
      </c>
      <c r="O88" s="376">
        <f>IFERROR(VLOOKUP(C88,'تقرير المصروفات حسب الشهر'!$C$1397:$AI$1512,21,FALSE),0)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الشهر'!$C$10:$AD$119,21,FALSE),0)</f>
        <v>0</v>
      </c>
      <c r="E89" s="362">
        <f>IFERROR(VLOOKUP(C89,'تقرير المصروفات حسب الشهر'!$C$135:$AD$244,21,FALSE),0)</f>
        <v>0</v>
      </c>
      <c r="F89" s="362">
        <f>IFERROR(VLOOKUP(C89,'تقرير المصروفات حسب الشهر'!$C$261:$AD$368,21,FALSE),0)</f>
        <v>0</v>
      </c>
      <c r="G89" s="362">
        <f>IFERROR(VLOOKUP(C89,'تقرير المصروفات حسب الشهر'!$C$387:$AD$495,21,FALSE),0)</f>
        <v>0</v>
      </c>
      <c r="H89" s="362">
        <f>IFERROR(VLOOKUP(C89,'تقرير المصروفات حسب الشهر'!$C$512:$AD$620,21,FALSE),0)</f>
        <v>0</v>
      </c>
      <c r="I89" s="362">
        <f>IFERROR(VLOOKUP(C89,'تقرير المصروفات حسب الشهر'!$C$637:$AD$746,21,FALSE),0)</f>
        <v>0</v>
      </c>
      <c r="J89" s="362">
        <f>IFERROR(VLOOKUP(C89,'تقرير المصروفات حسب الشهر'!$C$763:$AD$872,21,FALSE),0)</f>
        <v>0</v>
      </c>
      <c r="K89" s="362">
        <f>IFERROR(VLOOKUP(C89,'تقرير المصروفات حسب الشهر'!$C$890:$AD$999,21,FALSE),0)</f>
        <v>0</v>
      </c>
      <c r="L89" s="362">
        <f>IFERROR(VLOOKUP(C89,'تقرير المصروفات حسب الشهر'!$C$1016:$AD$1126,21,FALSE),0)</f>
        <v>0</v>
      </c>
      <c r="M89" s="376">
        <f>IFERROR(VLOOKUP(C89,'تقرير المصروفات حسب الشهر'!$C$1143:$AD$1254,21,FALSE),0)</f>
        <v>0</v>
      </c>
      <c r="N89" s="376">
        <f>IFERROR(VLOOKUP(C89,'تقرير المصروفات حسب الشهر'!$C$1270:$AD$1381,21,FALSE),0)</f>
        <v>0</v>
      </c>
      <c r="O89" s="376">
        <f>IFERROR(VLOOKUP(C89,'تقرير المصروفات حسب الشهر'!$C$1397:$AI$1512,21,FALSE),0)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الشهر'!$C$10:$AD$119,21,FALSE),0)</f>
        <v>0</v>
      </c>
      <c r="E90" s="362">
        <f>IFERROR(VLOOKUP(C90,'تقرير المصروفات حسب الشهر'!$C$135:$AD$244,21,FALSE),0)</f>
        <v>0</v>
      </c>
      <c r="F90" s="362">
        <f>IFERROR(VLOOKUP(C90,'تقرير المصروفات حسب الشهر'!$C$261:$AD$368,21,FALSE),0)</f>
        <v>0</v>
      </c>
      <c r="G90" s="362">
        <f>IFERROR(VLOOKUP(C90,'تقرير المصروفات حسب الشهر'!$C$387:$AD$495,21,FALSE),0)</f>
        <v>0</v>
      </c>
      <c r="H90" s="362">
        <f>IFERROR(VLOOKUP(C90,'تقرير المصروفات حسب الشهر'!$C$512:$AD$620,21,FALSE),0)</f>
        <v>0</v>
      </c>
      <c r="I90" s="362">
        <f>IFERROR(VLOOKUP(C90,'تقرير المصروفات حسب الشهر'!$C$637:$AD$746,21,FALSE),0)</f>
        <v>0</v>
      </c>
      <c r="J90" s="362">
        <f>IFERROR(VLOOKUP(C90,'تقرير المصروفات حسب الشهر'!$C$763:$AD$872,21,FALSE),0)</f>
        <v>0</v>
      </c>
      <c r="K90" s="362">
        <f>IFERROR(VLOOKUP(C90,'تقرير المصروفات حسب الشهر'!$C$890:$AD$999,21,FALSE),0)</f>
        <v>0</v>
      </c>
      <c r="L90" s="362">
        <f>IFERROR(VLOOKUP(C90,'تقرير المصروفات حسب الشهر'!$C$1016:$AD$1126,21,FALSE),0)</f>
        <v>0</v>
      </c>
      <c r="M90" s="376">
        <f>IFERROR(VLOOKUP(C90,'تقرير المصروفات حسب الشهر'!$C$1143:$AD$1254,21,FALSE),0)</f>
        <v>0</v>
      </c>
      <c r="N90" s="376">
        <f>IFERROR(VLOOKUP(C90,'تقرير المصروفات حسب الشهر'!$C$1270:$AD$1381,21,FALSE),0)</f>
        <v>0</v>
      </c>
      <c r="O90" s="376">
        <f>IFERROR(VLOOKUP(C90,'تقرير المصروفات حسب الشهر'!$C$1397:$AI$1512,21,FALSE),0)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الشهر'!$C$10:$AD$119,21,FALSE),0)</f>
        <v>0</v>
      </c>
      <c r="E91" s="362">
        <f>IFERROR(VLOOKUP(C91,'تقرير المصروفات حسب الشهر'!$C$135:$AD$244,21,FALSE),0)</f>
        <v>0</v>
      </c>
      <c r="F91" s="362">
        <f>IFERROR(VLOOKUP(C91,'تقرير المصروفات حسب الشهر'!$C$261:$AD$368,21,FALSE),0)</f>
        <v>0</v>
      </c>
      <c r="G91" s="362">
        <f>IFERROR(VLOOKUP(C91,'تقرير المصروفات حسب الشهر'!$C$387:$AD$495,21,FALSE),0)</f>
        <v>0</v>
      </c>
      <c r="H91" s="362">
        <f>IFERROR(VLOOKUP(C91,'تقرير المصروفات حسب الشهر'!$C$512:$AD$620,21,FALSE),0)</f>
        <v>0</v>
      </c>
      <c r="I91" s="362">
        <f>IFERROR(VLOOKUP(C91,'تقرير المصروفات حسب الشهر'!$C$637:$AD$746,21,FALSE),0)</f>
        <v>0</v>
      </c>
      <c r="J91" s="362">
        <f>IFERROR(VLOOKUP(C91,'تقرير المصروفات حسب الشهر'!$C$763:$AD$872,21,FALSE),0)</f>
        <v>0</v>
      </c>
      <c r="K91" s="362">
        <f>IFERROR(VLOOKUP(C91,'تقرير المصروفات حسب الشهر'!$C$890:$AD$999,21,FALSE),0)</f>
        <v>0</v>
      </c>
      <c r="L91" s="362">
        <f>IFERROR(VLOOKUP(C91,'تقرير المصروفات حسب الشهر'!$C$1016:$AD$1126,21,FALSE),0)</f>
        <v>0</v>
      </c>
      <c r="M91" s="376">
        <f>IFERROR(VLOOKUP(C91,'تقرير المصروفات حسب الشهر'!$C$1143:$AD$1254,21,FALSE),0)</f>
        <v>0</v>
      </c>
      <c r="N91" s="376">
        <f>IFERROR(VLOOKUP(C91,'تقرير المصروفات حسب الشهر'!$C$1270:$AD$1381,21,FALSE),0)</f>
        <v>0</v>
      </c>
      <c r="O91" s="376">
        <f>IFERROR(VLOOKUP(C91,'تقرير المصروفات حسب الشهر'!$C$1397:$AI$1512,21,FALSE),0)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الشهر'!$C$10:$AD$119,21,FALSE),0)</f>
        <v>0</v>
      </c>
      <c r="E92" s="362">
        <f>IFERROR(VLOOKUP(C92,'تقرير المصروفات حسب الشهر'!$C$135:$AD$244,21,FALSE),0)</f>
        <v>0</v>
      </c>
      <c r="F92" s="362">
        <f>IFERROR(VLOOKUP(C92,'تقرير المصروفات حسب الشهر'!$C$261:$AD$368,21,FALSE),0)</f>
        <v>0</v>
      </c>
      <c r="G92" s="362">
        <f>IFERROR(VLOOKUP(C92,'تقرير المصروفات حسب الشهر'!$C$387:$AD$495,21,FALSE),0)</f>
        <v>0</v>
      </c>
      <c r="H92" s="362">
        <f>IFERROR(VLOOKUP(C92,'تقرير المصروفات حسب الشهر'!$C$512:$AD$620,21,FALSE),0)</f>
        <v>0</v>
      </c>
      <c r="I92" s="362">
        <f>IFERROR(VLOOKUP(C92,'تقرير المصروفات حسب الشهر'!$C$637:$AD$746,21,FALSE),0)</f>
        <v>0</v>
      </c>
      <c r="J92" s="362">
        <f>IFERROR(VLOOKUP(C92,'تقرير المصروفات حسب الشهر'!$C$763:$AD$872,21,FALSE),0)</f>
        <v>0</v>
      </c>
      <c r="K92" s="362">
        <f>IFERROR(VLOOKUP(C92,'تقرير المصروفات حسب الشهر'!$C$890:$AD$999,21,FALSE),0)</f>
        <v>0</v>
      </c>
      <c r="L92" s="362">
        <f>IFERROR(VLOOKUP(C92,'تقرير المصروفات حسب الشهر'!$C$1016:$AD$1126,21,FALSE),0)</f>
        <v>0</v>
      </c>
      <c r="M92" s="376">
        <f>IFERROR(VLOOKUP(C92,'تقرير المصروفات حسب الشهر'!$C$1143:$AD$1254,21,FALSE),0)</f>
        <v>0</v>
      </c>
      <c r="N92" s="376">
        <f>IFERROR(VLOOKUP(C92,'تقرير المصروفات حسب الشهر'!$C$1270:$AD$1381,21,FALSE),0)</f>
        <v>0</v>
      </c>
      <c r="O92" s="376">
        <f>IFERROR(VLOOKUP(C92,'تقرير المصروفات حسب الشهر'!$C$1397:$AI$1512,21,FALSE),0)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الشهر'!$C$10:$AD$119,21,FALSE),0)</f>
        <v>0</v>
      </c>
      <c r="E93" s="362">
        <f>IFERROR(VLOOKUP(C93,'تقرير المصروفات حسب الشهر'!$C$135:$AD$244,21,FALSE),0)</f>
        <v>0</v>
      </c>
      <c r="F93" s="362">
        <f>IFERROR(VLOOKUP(C93,'تقرير المصروفات حسب الشهر'!$C$261:$AD$368,21,FALSE),0)</f>
        <v>0</v>
      </c>
      <c r="G93" s="362">
        <f>IFERROR(VLOOKUP(C93,'تقرير المصروفات حسب الشهر'!$C$387:$AD$495,21,FALSE),0)</f>
        <v>621.5</v>
      </c>
      <c r="H93" s="362">
        <f>IFERROR(VLOOKUP(C93,'تقرير المصروفات حسب الشهر'!$C$512:$AD$620,21,FALSE),0)</f>
        <v>0</v>
      </c>
      <c r="I93" s="362">
        <f>IFERROR(VLOOKUP(C93,'تقرير المصروفات حسب الشهر'!$C$637:$AD$746,21,FALSE),0)</f>
        <v>0</v>
      </c>
      <c r="J93" s="362">
        <f>IFERROR(VLOOKUP(C93,'تقرير المصروفات حسب الشهر'!$C$763:$AD$872,21,FALSE),0)</f>
        <v>668</v>
      </c>
      <c r="K93" s="362">
        <f>IFERROR(VLOOKUP(C93,'تقرير المصروفات حسب الشهر'!$C$890:$AD$999,21,FALSE),0)</f>
        <v>0</v>
      </c>
      <c r="L93" s="362">
        <f>IFERROR(VLOOKUP(C93,'تقرير المصروفات حسب الشهر'!$C$1016:$AD$1126,21,FALSE),0)</f>
        <v>0</v>
      </c>
      <c r="M93" s="376">
        <f>IFERROR(VLOOKUP(C93,'تقرير المصروفات حسب الشهر'!$C$1143:$AD$1254,21,FALSE),0)</f>
        <v>0</v>
      </c>
      <c r="N93" s="376">
        <f>IFERROR(VLOOKUP(C93,'تقرير المصروفات حسب الشهر'!$C$1270:$AD$1381,21,FALSE),0)</f>
        <v>0</v>
      </c>
      <c r="O93" s="376">
        <f>IFERROR(VLOOKUP(C93,'تقرير المصروفات حسب الشهر'!$C$1397:$AI$1512,21,FALSE),0)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الشهر'!$C$10:$AD$119,21,FALSE),0)</f>
        <v>885</v>
      </c>
      <c r="E94" s="362">
        <f>IFERROR(VLOOKUP(C94,'تقرير المصروفات حسب الشهر'!$C$135:$AD$244,21,FALSE),0)</f>
        <v>0</v>
      </c>
      <c r="F94" s="362">
        <f>IFERROR(VLOOKUP(C94,'تقرير المصروفات حسب الشهر'!$C$261:$AD$368,21,FALSE),0)</f>
        <v>0</v>
      </c>
      <c r="G94" s="362">
        <f>IFERROR(VLOOKUP(C94,'تقرير المصروفات حسب الشهر'!$C$387:$AD$495,21,FALSE),0)</f>
        <v>0</v>
      </c>
      <c r="H94" s="362">
        <f>IFERROR(VLOOKUP(C94,'تقرير المصروفات حسب الشهر'!$C$512:$AD$620,21,FALSE),0)</f>
        <v>675</v>
      </c>
      <c r="I94" s="362">
        <f>IFERROR(VLOOKUP(C94,'تقرير المصروفات حسب الشهر'!$C$637:$AD$746,21,FALSE),0)</f>
        <v>290</v>
      </c>
      <c r="J94" s="362">
        <f>IFERROR(VLOOKUP(C94,'تقرير المصروفات حسب الشهر'!$C$763:$AD$872,21,FALSE),0)</f>
        <v>310</v>
      </c>
      <c r="K94" s="362">
        <f>IFERROR(VLOOKUP(C94,'تقرير المصروفات حسب الشهر'!$C$890:$AD$999,21,FALSE),0)</f>
        <v>309</v>
      </c>
      <c r="L94" s="362">
        <f>IFERROR(VLOOKUP(C94,'تقرير المصروفات حسب الشهر'!$C$1016:$AD$1126,21,FALSE),0)</f>
        <v>0</v>
      </c>
      <c r="M94" s="376">
        <f>IFERROR(VLOOKUP(C94,'تقرير المصروفات حسب الشهر'!$C$1143:$AD$1254,21,FALSE),0)</f>
        <v>616.62</v>
      </c>
      <c r="N94" s="376">
        <f>IFERROR(VLOOKUP(C94,'تقرير المصروفات حسب الشهر'!$C$1270:$AD$1381,21,FALSE),0)</f>
        <v>309</v>
      </c>
      <c r="O94" s="376">
        <f>IFERROR(VLOOKUP(C94,'تقرير المصروفات حسب الشهر'!$C$1397:$AI$1512,21,FALSE),0)</f>
        <v>308</v>
      </c>
      <c r="P94" s="364">
        <f t="shared" si="6"/>
        <v>3702.62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الشهر'!$C$10:$AD$119,21,FALSE),0)</f>
        <v>0</v>
      </c>
      <c r="E95" s="362">
        <f>IFERROR(VLOOKUP(C95,'تقرير المصروفات حسب الشهر'!$C$135:$AD$244,21,FALSE),0)</f>
        <v>0</v>
      </c>
      <c r="F95" s="362">
        <f>IFERROR(VLOOKUP(C95,'تقرير المصروفات حسب الشهر'!$C$261:$AD$368,21,FALSE),0)</f>
        <v>0</v>
      </c>
      <c r="G95" s="362">
        <f>IFERROR(VLOOKUP(C95,'تقرير المصروفات حسب الشهر'!$C$387:$AD$495,21,FALSE),0)</f>
        <v>0</v>
      </c>
      <c r="H95" s="362">
        <f>IFERROR(VLOOKUP(C95,'تقرير المصروفات حسب الشهر'!$C$512:$AD$620,21,FALSE),0)</f>
        <v>0</v>
      </c>
      <c r="I95" s="362">
        <f>IFERROR(VLOOKUP(C95,'تقرير المصروفات حسب الشهر'!$C$637:$AD$746,21,FALSE),0)</f>
        <v>0</v>
      </c>
      <c r="J95" s="362">
        <f>IFERROR(VLOOKUP(C95,'تقرير المصروفات حسب الشهر'!$C$763:$AD$872,21,FALSE),0)</f>
        <v>0</v>
      </c>
      <c r="K95" s="362">
        <f>IFERROR(VLOOKUP(C95,'تقرير المصروفات حسب الشهر'!$C$890:$AD$999,21,FALSE),0)</f>
        <v>0</v>
      </c>
      <c r="L95" s="362">
        <f>IFERROR(VLOOKUP(C95,'تقرير المصروفات حسب الشهر'!$C$1016:$AD$1126,21,FALSE),0)</f>
        <v>2130</v>
      </c>
      <c r="M95" s="376">
        <f>IFERROR(VLOOKUP(C95,'تقرير المصروفات حسب الشهر'!$C$1143:$AD$1254,21,FALSE),0)</f>
        <v>1065</v>
      </c>
      <c r="N95" s="376">
        <f>IFERROR(VLOOKUP(C95,'تقرير المصروفات حسب الشهر'!$C$1270:$AD$1381,21,FALSE),0)</f>
        <v>1065</v>
      </c>
      <c r="O95" s="376">
        <f>IFERROR(VLOOKUP(C95,'تقرير المصروفات حسب الشهر'!$C$1397:$AI$1512,21,FALSE),0)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الشهر'!$C$10:$AD$119,21,FALSE),0)</f>
        <v>0</v>
      </c>
      <c r="E96" s="362">
        <f>IFERROR(VLOOKUP(C96,'تقرير المصروفات حسب الشهر'!$C$135:$AD$244,21,FALSE),0)</f>
        <v>0</v>
      </c>
      <c r="F96" s="362">
        <f>IFERROR(VLOOKUP(C96,'تقرير المصروفات حسب الشهر'!$C$261:$AD$368,21,FALSE),0)</f>
        <v>0</v>
      </c>
      <c r="G96" s="362">
        <f>IFERROR(VLOOKUP(C96,'تقرير المصروفات حسب الشهر'!$C$387:$AD$495,21,FALSE),0)</f>
        <v>0</v>
      </c>
      <c r="H96" s="362">
        <f>IFERROR(VLOOKUP(C96,'تقرير المصروفات حسب الشهر'!$C$512:$AD$620,21,FALSE),0)</f>
        <v>0</v>
      </c>
      <c r="I96" s="362">
        <f>IFERROR(VLOOKUP(C96,'تقرير المصروفات حسب الشهر'!$C$637:$AD$746,21,FALSE),0)</f>
        <v>0</v>
      </c>
      <c r="J96" s="362">
        <f>IFERROR(VLOOKUP(C96,'تقرير المصروفات حسب الشهر'!$C$763:$AD$872,21,FALSE),0)</f>
        <v>0</v>
      </c>
      <c r="K96" s="362">
        <f>IFERROR(VLOOKUP(C96,'تقرير المصروفات حسب الشهر'!$C$890:$AD$999,21,FALSE),0)</f>
        <v>0</v>
      </c>
      <c r="L96" s="362">
        <f>IFERROR(VLOOKUP(C96,'تقرير المصروفات حسب الشهر'!$C$1016:$AD$1126,21,FALSE),0)</f>
        <v>0</v>
      </c>
      <c r="M96" s="376">
        <f>IFERROR(VLOOKUP(C96,'تقرير المصروفات حسب الشهر'!$C$1143:$AD$1254,21,FALSE),0)</f>
        <v>0</v>
      </c>
      <c r="N96" s="376">
        <f>IFERROR(VLOOKUP(C96,'تقرير المصروفات حسب الشهر'!$C$1270:$AD$1381,21,FALSE),0)</f>
        <v>0</v>
      </c>
      <c r="O96" s="376">
        <f>IFERROR(VLOOKUP(C96,'تقرير المصروفات حسب الشهر'!$C$1397:$AI$1512,21,FALSE),0)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الشهر'!$C$10:$AD$119,21,FALSE),0)</f>
        <v>0</v>
      </c>
      <c r="E97" s="362">
        <f>IFERROR(VLOOKUP(C97,'تقرير المصروفات حسب الشهر'!$C$135:$AD$244,21,FALSE),0)</f>
        <v>0</v>
      </c>
      <c r="F97" s="362">
        <f>IFERROR(VLOOKUP(C97,'تقرير المصروفات حسب الشهر'!$C$261:$AD$368,21,FALSE),0)</f>
        <v>0</v>
      </c>
      <c r="G97" s="362">
        <f>IFERROR(VLOOKUP(C97,'تقرير المصروفات حسب الشهر'!$C$387:$AD$495,21,FALSE),0)</f>
        <v>0</v>
      </c>
      <c r="H97" s="362">
        <f>IFERROR(VLOOKUP(C97,'تقرير المصروفات حسب الشهر'!$C$512:$AD$620,21,FALSE),0)</f>
        <v>0</v>
      </c>
      <c r="I97" s="362">
        <f>IFERROR(VLOOKUP(C97,'تقرير المصروفات حسب الشهر'!$C$637:$AD$746,21,FALSE),0)</f>
        <v>0</v>
      </c>
      <c r="J97" s="362">
        <f>IFERROR(VLOOKUP(C97,'تقرير المصروفات حسب الشهر'!$C$763:$AD$872,21,FALSE),0)</f>
        <v>0</v>
      </c>
      <c r="K97" s="362">
        <f>IFERROR(VLOOKUP(C97,'تقرير المصروفات حسب الشهر'!$C$890:$AD$999,21,FALSE),0)</f>
        <v>0</v>
      </c>
      <c r="L97" s="362">
        <f>IFERROR(VLOOKUP(C97,'تقرير المصروفات حسب الشهر'!$C$1016:$AD$1126,21,FALSE),0)</f>
        <v>0</v>
      </c>
      <c r="M97" s="376">
        <f>IFERROR(VLOOKUP(C97,'تقرير المصروفات حسب الشهر'!$C$1143:$AD$1254,21,FALSE),0)</f>
        <v>0</v>
      </c>
      <c r="N97" s="376">
        <f>IFERROR(VLOOKUP(C97,'تقرير المصروفات حسب الشهر'!$C$1270:$AD$1381,21,FALSE),0)</f>
        <v>0</v>
      </c>
      <c r="O97" s="376">
        <f>IFERROR(VLOOKUP(C97,'تقرير المصروفات حسب الشهر'!$C$1397:$AI$1512,21,FALSE),0)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الشهر'!$C$10:$AD$119,21,FALSE),0)</f>
        <v>0</v>
      </c>
      <c r="E98" s="362">
        <f>IFERROR(VLOOKUP(C98,'تقرير المصروفات حسب الشهر'!$C$135:$AD$244,21,FALSE),0)</f>
        <v>0</v>
      </c>
      <c r="F98" s="362">
        <f>IFERROR(VLOOKUP(C98,'تقرير المصروفات حسب الشهر'!$C$261:$AD$368,21,FALSE),0)</f>
        <v>0</v>
      </c>
      <c r="G98" s="362">
        <f>IFERROR(VLOOKUP(C98,'تقرير المصروفات حسب الشهر'!$C$387:$AD$495,21,FALSE),0)</f>
        <v>0</v>
      </c>
      <c r="H98" s="362">
        <f>IFERROR(VLOOKUP(C98,'تقرير المصروفات حسب الشهر'!$C$512:$AD$620,21,FALSE),0)</f>
        <v>0</v>
      </c>
      <c r="I98" s="362">
        <f>IFERROR(VLOOKUP(C98,'تقرير المصروفات حسب الشهر'!$C$637:$AD$746,21,FALSE),0)</f>
        <v>0</v>
      </c>
      <c r="J98" s="362">
        <f>IFERROR(VLOOKUP(C98,'تقرير المصروفات حسب الشهر'!$C$763:$AD$872,21,FALSE),0)</f>
        <v>0</v>
      </c>
      <c r="K98" s="362">
        <f>IFERROR(VLOOKUP(C98,'تقرير المصروفات حسب الشهر'!$C$890:$AD$999,21,FALSE),0)</f>
        <v>0</v>
      </c>
      <c r="L98" s="362">
        <f>IFERROR(VLOOKUP(C98,'تقرير المصروفات حسب الشهر'!$C$1016:$AD$1126,21,FALSE),0)</f>
        <v>0</v>
      </c>
      <c r="M98" s="376">
        <f>IFERROR(VLOOKUP(C98,'تقرير المصروفات حسب الشهر'!$C$1143:$AD$1254,21,FALSE),0)</f>
        <v>0</v>
      </c>
      <c r="N98" s="376">
        <f>IFERROR(VLOOKUP(C98,'تقرير المصروفات حسب الشهر'!$C$1270:$AD$1381,21,FALSE),0)</f>
        <v>0</v>
      </c>
      <c r="O98" s="376">
        <f>IFERROR(VLOOKUP(C98,'تقرير المصروفات حسب الشهر'!$C$1397:$AI$1512,21,FALSE),0)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الشهر'!$C$10:$AD$119,21,FALSE),0)</f>
        <v>0</v>
      </c>
      <c r="E99" s="362">
        <f>IFERROR(VLOOKUP(C99,'تقرير المصروفات حسب الشهر'!$C$135:$AD$244,21,FALSE),0)</f>
        <v>0</v>
      </c>
      <c r="F99" s="362">
        <f>IFERROR(VLOOKUP(C99,'تقرير المصروفات حسب الشهر'!$C$261:$AD$368,21,FALSE),0)</f>
        <v>0</v>
      </c>
      <c r="G99" s="362">
        <f>IFERROR(VLOOKUP(C99,'تقرير المصروفات حسب الشهر'!$C$387:$AD$495,21,FALSE),0)</f>
        <v>0</v>
      </c>
      <c r="H99" s="362">
        <f>IFERROR(VLOOKUP(C99,'تقرير المصروفات حسب الشهر'!$C$512:$AD$620,21,FALSE),0)</f>
        <v>0</v>
      </c>
      <c r="I99" s="362">
        <f>IFERROR(VLOOKUP(C99,'تقرير المصروفات حسب الشهر'!$C$637:$AD$746,21,FALSE),0)</f>
        <v>0</v>
      </c>
      <c r="J99" s="362">
        <f>IFERROR(VLOOKUP(C99,'تقرير المصروفات حسب الشهر'!$C$763:$AD$872,21,FALSE),0)</f>
        <v>0</v>
      </c>
      <c r="K99" s="362">
        <f>IFERROR(VLOOKUP(C99,'تقرير المصروفات حسب الشهر'!$C$890:$AD$999,21,FALSE),0)</f>
        <v>0</v>
      </c>
      <c r="L99" s="362">
        <f>IFERROR(VLOOKUP(C99,'تقرير المصروفات حسب الشهر'!$C$1016:$AD$1126,21,FALSE),0)</f>
        <v>0</v>
      </c>
      <c r="M99" s="376">
        <f>IFERROR(VLOOKUP(C99,'تقرير المصروفات حسب الشهر'!$C$1143:$AD$1254,21,FALSE),0)</f>
        <v>0</v>
      </c>
      <c r="N99" s="376">
        <f>IFERROR(VLOOKUP(C99,'تقرير المصروفات حسب الشهر'!$C$1270:$AD$1381,21,FALSE),0)</f>
        <v>0</v>
      </c>
      <c r="O99" s="376">
        <f>IFERROR(VLOOKUP(C99,'تقرير المصروفات حسب الشهر'!$C$1397:$AI$1512,21,FALSE),0)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الشهر'!$C$10:$AD$119,21,FALSE),0)</f>
        <v>220.26</v>
      </c>
      <c r="E100" s="362">
        <f>IFERROR(VLOOKUP(C100,'تقرير المصروفات حسب الشهر'!$C$135:$AD$244,21,FALSE),0)</f>
        <v>0</v>
      </c>
      <c r="F100" s="362">
        <f>IFERROR(VLOOKUP(C100,'تقرير المصروفات حسب الشهر'!$C$261:$AD$368,21,FALSE),0)</f>
        <v>0</v>
      </c>
      <c r="G100" s="362">
        <f>IFERROR(VLOOKUP(C100,'تقرير المصروفات حسب الشهر'!$C$387:$AD$495,21,FALSE),0)</f>
        <v>0</v>
      </c>
      <c r="H100" s="362">
        <f>IFERROR(VLOOKUP(C100,'تقرير المصروفات حسب الشهر'!$C$512:$AD$620,21,FALSE),0)</f>
        <v>0</v>
      </c>
      <c r="I100" s="362">
        <f>IFERROR(VLOOKUP(C100,'تقرير المصروفات حسب الشهر'!$C$637:$AD$746,21,FALSE),0)</f>
        <v>0</v>
      </c>
      <c r="J100" s="362">
        <f>IFERROR(VLOOKUP(C100,'تقرير المصروفات حسب الشهر'!$C$763:$AD$872,21,FALSE),0)</f>
        <v>0</v>
      </c>
      <c r="K100" s="362">
        <f>IFERROR(VLOOKUP(C100,'تقرير المصروفات حسب الشهر'!$C$890:$AD$999,21,FALSE),0)</f>
        <v>0</v>
      </c>
      <c r="L100" s="362">
        <f>IFERROR(VLOOKUP(C100,'تقرير المصروفات حسب الشهر'!$C$1016:$AD$1126,21,FALSE),0)</f>
        <v>0</v>
      </c>
      <c r="M100" s="376">
        <f>IFERROR(VLOOKUP(C100,'تقرير المصروفات حسب الشهر'!$C$1143:$AD$1254,21,FALSE),0)</f>
        <v>0</v>
      </c>
      <c r="N100" s="376">
        <f>IFERROR(VLOOKUP(C100,'تقرير المصروفات حسب الشهر'!$C$1270:$AD$1381,21,FALSE),0)</f>
        <v>0</v>
      </c>
      <c r="O100" s="376">
        <f>IFERROR(VLOOKUP(C100,'تقرير المصروفات حسب الشهر'!$C$1397:$AI$1512,21,FALSE),0)</f>
        <v>0</v>
      </c>
      <c r="P100" s="364">
        <f t="shared" si="6"/>
        <v>220.26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الشهر'!$C$10:$AD$119,21,FALSE),0)</f>
        <v>387.96</v>
      </c>
      <c r="E101" s="362">
        <f>IFERROR(VLOOKUP(C101,'تقرير المصروفات حسب الشهر'!$C$135:$AD$244,21,FALSE),0)</f>
        <v>225.06</v>
      </c>
      <c r="F101" s="362">
        <f>IFERROR(VLOOKUP(C101,'تقرير المصروفات حسب الشهر'!$C$261:$AD$368,21,FALSE),0)</f>
        <v>53.44</v>
      </c>
      <c r="G101" s="362">
        <f>IFERROR(VLOOKUP(C101,'تقرير المصروفات حسب الشهر'!$C$387:$AD$495,21,FALSE),0)</f>
        <v>53.44</v>
      </c>
      <c r="H101" s="362">
        <f>IFERROR(VLOOKUP(C101,'تقرير المصروفات حسب الشهر'!$C$512:$AD$620,21,FALSE),0)</f>
        <v>53.44</v>
      </c>
      <c r="I101" s="362">
        <f>IFERROR(VLOOKUP(C101,'تقرير المصروفات حسب الشهر'!$C$637:$AD$746,21,FALSE),0)</f>
        <v>53.44</v>
      </c>
      <c r="J101" s="362">
        <f>IFERROR(VLOOKUP(C101,'تقرير المصروفات حسب الشهر'!$C$763:$AD$872,21,FALSE),0)</f>
        <v>53.44</v>
      </c>
      <c r="K101" s="362">
        <f>IFERROR(VLOOKUP(C101,'تقرير المصروفات حسب الشهر'!$C$890:$AD$999,21,FALSE),0)</f>
        <v>38.17</v>
      </c>
      <c r="L101" s="362">
        <f>IFERROR(VLOOKUP(C101,'تقرير المصروفات حسب الشهر'!$C$1016:$AD$1126,21,FALSE),0)</f>
        <v>0</v>
      </c>
      <c r="M101" s="376">
        <f>IFERROR(VLOOKUP(C101,'تقرير المصروفات حسب الشهر'!$C$1143:$AD$1254,21,FALSE),0)</f>
        <v>0</v>
      </c>
      <c r="N101" s="376">
        <f>IFERROR(VLOOKUP(C101,'تقرير المصروفات حسب الشهر'!$C$1270:$AD$1381,21,FALSE),0)</f>
        <v>0</v>
      </c>
      <c r="O101" s="376">
        <f>IFERROR(VLOOKUP(C101,'تقرير المصروفات حسب الشهر'!$C$1397:$AI$1512,21,FALSE),0)</f>
        <v>0</v>
      </c>
      <c r="P101" s="364">
        <f t="shared" si="6"/>
        <v>918.39000000000021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الشهر'!$C$10:$AD$119,21,FALSE),0)</f>
        <v>79.91</v>
      </c>
      <c r="E102" s="362">
        <f>IFERROR(VLOOKUP(C102,'تقرير المصروفات حسب الشهر'!$C$135:$AD$244,21,FALSE),0)</f>
        <v>45.83</v>
      </c>
      <c r="F102" s="362">
        <f>IFERROR(VLOOKUP(C102,'تقرير المصروفات حسب الشهر'!$C$261:$AD$368,21,FALSE),0)</f>
        <v>45.83</v>
      </c>
      <c r="G102" s="362">
        <f>IFERROR(VLOOKUP(C102,'تقرير المصروفات حسب الشهر'!$C$387:$AD$495,21,FALSE),0)</f>
        <v>45.83</v>
      </c>
      <c r="H102" s="362">
        <f>IFERROR(VLOOKUP(C102,'تقرير المصروفات حسب الشهر'!$C$512:$AD$620,21,FALSE),0)</f>
        <v>45.83</v>
      </c>
      <c r="I102" s="362">
        <f>IFERROR(VLOOKUP(C102,'تقرير المصروفات حسب الشهر'!$C$637:$AD$746,21,FALSE),0)</f>
        <v>45.83</v>
      </c>
      <c r="J102" s="362">
        <f>IFERROR(VLOOKUP(C102,'تقرير المصروفات حسب الشهر'!$C$763:$AD$872,21,FALSE),0)</f>
        <v>45.83</v>
      </c>
      <c r="K102" s="362">
        <f>IFERROR(VLOOKUP(C102,'تقرير المصروفات حسب الشهر'!$C$890:$AD$999,21,FALSE),0)</f>
        <v>45.83</v>
      </c>
      <c r="L102" s="362">
        <f>IFERROR(VLOOKUP(C102,'تقرير المصروفات حسب الشهر'!$C$1016:$AD$1126,21,FALSE),0)</f>
        <v>45.83</v>
      </c>
      <c r="M102" s="376">
        <f>IFERROR(VLOOKUP(C102,'تقرير المصروفات حسب الشهر'!$C$1143:$AD$1254,21,FALSE),0)</f>
        <v>45.83</v>
      </c>
      <c r="N102" s="376">
        <f>IFERROR(VLOOKUP(C102,'تقرير المصروفات حسب الشهر'!$C$1270:$AD$1381,21,FALSE),0)</f>
        <v>45.83</v>
      </c>
      <c r="O102" s="376">
        <f>IFERROR(VLOOKUP(C102,'تقرير المصروفات حسب الشهر'!$C$1397:$AI$1512,21,FALSE),0)</f>
        <v>0.04</v>
      </c>
      <c r="P102" s="364">
        <f t="shared" si="6"/>
        <v>538.24999999999989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الشهر'!$C$10:$AD$119,21,FALSE),0)</f>
        <v>17.3</v>
      </c>
      <c r="E103" s="362">
        <f>IFERROR(VLOOKUP(C103,'تقرير المصروفات حسب الشهر'!$C$135:$AD$244,21,FALSE),0)</f>
        <v>17.3</v>
      </c>
      <c r="F103" s="362">
        <f>IFERROR(VLOOKUP(C103,'تقرير المصروفات حسب الشهر'!$C$261:$AD$368,21,FALSE),0)</f>
        <v>17.3</v>
      </c>
      <c r="G103" s="362">
        <f>IFERROR(VLOOKUP(C103,'تقرير المصروفات حسب الشهر'!$C$387:$AD$495,21,FALSE),0)</f>
        <v>17.3</v>
      </c>
      <c r="H103" s="362">
        <f>IFERROR(VLOOKUP(C103,'تقرير المصروفات حسب الشهر'!$C$512:$AD$620,21,FALSE),0)</f>
        <v>17.3</v>
      </c>
      <c r="I103" s="362">
        <f>IFERROR(VLOOKUP(C103,'تقرير المصروفات حسب الشهر'!$C$637:$AD$746,21,FALSE),0)</f>
        <v>17.3</v>
      </c>
      <c r="J103" s="362">
        <f>IFERROR(VLOOKUP(C103,'تقرير المصروفات حسب الشهر'!$C$763:$AD$872,21,FALSE),0)</f>
        <v>17.3</v>
      </c>
      <c r="K103" s="362">
        <f>IFERROR(VLOOKUP(C103,'تقرير المصروفات حسب الشهر'!$C$890:$AD$999,21,FALSE),0)</f>
        <v>17.3</v>
      </c>
      <c r="L103" s="362">
        <f>IFERROR(VLOOKUP(C103,'تقرير المصروفات حسب الشهر'!$C$1016:$AD$1126,21,FALSE),0)</f>
        <v>17.3</v>
      </c>
      <c r="M103" s="376">
        <f>IFERROR(VLOOKUP(C103,'تقرير المصروفات حسب الشهر'!$C$1143:$AD$1254,21,FALSE),0)</f>
        <v>17.3</v>
      </c>
      <c r="N103" s="376">
        <f>IFERROR(VLOOKUP(C103,'تقرير المصروفات حسب الشهر'!$C$1270:$AD$1381,21,FALSE),0)</f>
        <v>17.3</v>
      </c>
      <c r="O103" s="376">
        <f>IFERROR(VLOOKUP(C103,'تقرير المصروفات حسب الشهر'!$C$1397:$AI$1512,21,FALSE),0)</f>
        <v>0</v>
      </c>
      <c r="P103" s="364">
        <f t="shared" si="6"/>
        <v>190.30000000000004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الشهر'!$C$10:$AD$119,21,FALSE),0)</f>
        <v>0</v>
      </c>
      <c r="E104" s="362">
        <f>IFERROR(VLOOKUP(C104,'تقرير المصروفات حسب الشهر'!$C$135:$AD$244,21,FALSE),0)</f>
        <v>0</v>
      </c>
      <c r="F104" s="362">
        <f>IFERROR(VLOOKUP(C104,'تقرير المصروفات حسب الشهر'!$C$261:$AD$368,21,FALSE),0)</f>
        <v>0</v>
      </c>
      <c r="G104" s="362">
        <f>IFERROR(VLOOKUP(C104,'تقرير المصروفات حسب الشهر'!$C$387:$AD$495,21,FALSE),0)</f>
        <v>0</v>
      </c>
      <c r="H104" s="362">
        <f>IFERROR(VLOOKUP(C104,'تقرير المصروفات حسب الشهر'!$C$512:$AD$620,21,FALSE),0)</f>
        <v>0</v>
      </c>
      <c r="I104" s="362">
        <f>IFERROR(VLOOKUP(C104,'تقرير المصروفات حسب الشهر'!$C$637:$AD$746,21,FALSE),0)</f>
        <v>0</v>
      </c>
      <c r="J104" s="362">
        <f>IFERROR(VLOOKUP(C104,'تقرير المصروفات حسب الشهر'!$C$763:$AD$872,21,FALSE),0)</f>
        <v>0</v>
      </c>
      <c r="K104" s="362">
        <f>IFERROR(VLOOKUP(C104,'تقرير المصروفات حسب الشهر'!$C$890:$AD$999,21,FALSE),0)</f>
        <v>0</v>
      </c>
      <c r="L104" s="362">
        <f>IFERROR(VLOOKUP(C104,'تقرير المصروفات حسب الشهر'!$C$1016:$AD$1126,21,FALSE),0)</f>
        <v>0</v>
      </c>
      <c r="M104" s="376">
        <f>IFERROR(VLOOKUP(C104,'تقرير المصروفات حسب الشهر'!$C$1143:$AD$1254,21,FALSE),0)</f>
        <v>0</v>
      </c>
      <c r="N104" s="376">
        <f>IFERROR(VLOOKUP(C104,'تقرير المصروفات حسب الشهر'!$C$1270:$AD$1381,21,FALSE),0)</f>
        <v>0</v>
      </c>
      <c r="O104" s="376">
        <f>IFERROR(VLOOKUP(C104,'تقرير المصروفات حسب الشهر'!$C$1397:$AI$1512,21,FALSE),0)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الشهر'!$C$10:$AD$119,21,FALSE),0)</f>
        <v>0</v>
      </c>
      <c r="E105" s="362">
        <f>IFERROR(VLOOKUP(C105,'تقرير المصروفات حسب الشهر'!$C$135:$AD$244,21,FALSE),0)</f>
        <v>0</v>
      </c>
      <c r="F105" s="362">
        <f>IFERROR(VLOOKUP(C105,'تقرير المصروفات حسب الشهر'!$C$261:$AD$368,21,FALSE),0)</f>
        <v>0</v>
      </c>
      <c r="G105" s="362">
        <f>IFERROR(VLOOKUP(C105,'تقرير المصروفات حسب الشهر'!$C$387:$AD$495,21,FALSE),0)</f>
        <v>0</v>
      </c>
      <c r="H105" s="362">
        <f>IFERROR(VLOOKUP(C105,'تقرير المصروفات حسب الشهر'!$C$512:$AD$620,21,FALSE),0)</f>
        <v>0</v>
      </c>
      <c r="I105" s="362">
        <f>IFERROR(VLOOKUP(C105,'تقرير المصروفات حسب الشهر'!$C$637:$AD$746,21,FALSE),0)</f>
        <v>0</v>
      </c>
      <c r="J105" s="362">
        <f>IFERROR(VLOOKUP(C105,'تقرير المصروفات حسب الشهر'!$C$763:$AD$872,21,FALSE),0)</f>
        <v>0</v>
      </c>
      <c r="K105" s="362">
        <f>IFERROR(VLOOKUP(C105,'تقرير المصروفات حسب الشهر'!$C$890:$AD$999,21,FALSE),0)</f>
        <v>0</v>
      </c>
      <c r="L105" s="362">
        <f>IFERROR(VLOOKUP(C105,'تقرير المصروفات حسب الشهر'!$C$1016:$AD$1126,21,FALSE),0)</f>
        <v>0</v>
      </c>
      <c r="M105" s="376">
        <f>IFERROR(VLOOKUP(C105,'تقرير المصروفات حسب الشهر'!$C$1143:$AD$1254,21,FALSE),0)</f>
        <v>0</v>
      </c>
      <c r="N105" s="376">
        <f>IFERROR(VLOOKUP(C105,'تقرير المصروفات حسب الشهر'!$C$1270:$AD$1381,21,FALSE),0)</f>
        <v>0</v>
      </c>
      <c r="O105" s="376">
        <f>IFERROR(VLOOKUP(C105,'تقرير المصروفات حسب الشهر'!$C$1397:$AI$1512,21,FALSE),0)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الشهر'!$C$10:$AD$119,21,FALSE),0)</f>
        <v>0</v>
      </c>
      <c r="E106" s="362">
        <f>IFERROR(VLOOKUP(C106,'تقرير المصروفات حسب الشهر'!$C$135:$AD$244,21,FALSE),0)</f>
        <v>0</v>
      </c>
      <c r="F106" s="362">
        <f>IFERROR(VLOOKUP(C106,'تقرير المصروفات حسب الشهر'!$C$261:$AD$368,21,FALSE),0)</f>
        <v>0</v>
      </c>
      <c r="G106" s="362">
        <f>IFERROR(VLOOKUP(C106,'تقرير المصروفات حسب الشهر'!$C$387:$AD$495,21,FALSE),0)</f>
        <v>0</v>
      </c>
      <c r="H106" s="362">
        <f>IFERROR(VLOOKUP(C106,'تقرير المصروفات حسب الشهر'!$C$512:$AD$620,21,FALSE),0)</f>
        <v>0</v>
      </c>
      <c r="I106" s="362">
        <f>IFERROR(VLOOKUP(C106,'تقرير المصروفات حسب الشهر'!$C$637:$AD$746,21,FALSE),0)</f>
        <v>0</v>
      </c>
      <c r="J106" s="362">
        <f>IFERROR(VLOOKUP(C106,'تقرير المصروفات حسب الشهر'!$C$763:$AD$872,21,FALSE),0)</f>
        <v>0</v>
      </c>
      <c r="K106" s="362">
        <f>IFERROR(VLOOKUP(C106,'تقرير المصروفات حسب الشهر'!$C$890:$AD$999,21,FALSE),0)</f>
        <v>0</v>
      </c>
      <c r="L106" s="362">
        <f>IFERROR(VLOOKUP(C106,'تقرير المصروفات حسب الشهر'!$C$1016:$AD$1126,21,FALSE),0)</f>
        <v>0</v>
      </c>
      <c r="M106" s="376">
        <f>IFERROR(VLOOKUP(C106,'تقرير المصروفات حسب الشهر'!$C$1143:$AD$1254,21,FALSE),0)</f>
        <v>0</v>
      </c>
      <c r="N106" s="376">
        <f>IFERROR(VLOOKUP(C106,'تقرير المصروفات حسب الشهر'!$C$1270:$AD$1381,21,FALSE),0)</f>
        <v>0</v>
      </c>
      <c r="O106" s="376">
        <f>IFERROR(VLOOKUP(C106,'تقرير المصروفات حسب الشهر'!$C$1397:$AI$1512,21,FALSE),0)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الشهر'!$C$10:$AD$119,21,FALSE),0)</f>
        <v>0</v>
      </c>
      <c r="E107" s="362">
        <f>IFERROR(VLOOKUP(C107,'تقرير المصروفات حسب الشهر'!$C$135:$AD$244,21,FALSE),0)</f>
        <v>0</v>
      </c>
      <c r="F107" s="362">
        <f>IFERROR(VLOOKUP(C107,'تقرير المصروفات حسب الشهر'!$C$261:$AD$368,21,FALSE),0)</f>
        <v>0</v>
      </c>
      <c r="G107" s="362">
        <f>IFERROR(VLOOKUP(C107,'تقرير المصروفات حسب الشهر'!$C$387:$AD$495,21,FALSE),0)</f>
        <v>0</v>
      </c>
      <c r="H107" s="362">
        <f>IFERROR(VLOOKUP(C107,'تقرير المصروفات حسب الشهر'!$C$512:$AD$620,21,FALSE),0)</f>
        <v>0</v>
      </c>
      <c r="I107" s="362">
        <f>IFERROR(VLOOKUP(C107,'تقرير المصروفات حسب الشهر'!$C$637:$AD$746,21,FALSE),0)</f>
        <v>0</v>
      </c>
      <c r="J107" s="362">
        <f>IFERROR(VLOOKUP(C107,'تقرير المصروفات حسب الشهر'!$C$763:$AD$872,21,FALSE),0)</f>
        <v>0</v>
      </c>
      <c r="K107" s="362">
        <f>IFERROR(VLOOKUP(C107,'تقرير المصروفات حسب الشهر'!$C$890:$AD$999,21,FALSE),0)</f>
        <v>0</v>
      </c>
      <c r="L107" s="362">
        <f>IFERROR(VLOOKUP(C107,'تقرير المصروفات حسب الشهر'!$C$1016:$AD$1126,21,FALSE),0)</f>
        <v>0</v>
      </c>
      <c r="M107" s="376">
        <f>IFERROR(VLOOKUP(C107,'تقرير المصروفات حسب الشهر'!$C$1143:$AD$1254,21,FALSE),0)</f>
        <v>0</v>
      </c>
      <c r="N107" s="376">
        <f>IFERROR(VLOOKUP(C107,'تقرير المصروفات حسب الشهر'!$C$1270:$AD$1381,21,FALSE),0)</f>
        <v>0</v>
      </c>
      <c r="O107" s="376">
        <f>IFERROR(VLOOKUP(C107,'تقرير المصروفات حسب الشهر'!$C$1397:$AI$1512,21,FALSE),0)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الشهر'!$C$10:$AD$119,21,FALSE),0)</f>
        <v>0</v>
      </c>
      <c r="E108" s="362">
        <f>IFERROR(VLOOKUP(C108,'تقرير المصروفات حسب الشهر'!$C$135:$AD$244,21,FALSE),0)</f>
        <v>0</v>
      </c>
      <c r="F108" s="362">
        <f>IFERROR(VLOOKUP(C108,'تقرير المصروفات حسب الشهر'!$C$261:$AD$368,21,FALSE),0)</f>
        <v>0</v>
      </c>
      <c r="G108" s="362">
        <f>IFERROR(VLOOKUP(C108,'تقرير المصروفات حسب الشهر'!$C$387:$AD$495,21,FALSE),0)</f>
        <v>0</v>
      </c>
      <c r="H108" s="362">
        <f>IFERROR(VLOOKUP(C108,'تقرير المصروفات حسب الشهر'!$C$512:$AD$620,21,FALSE),0)</f>
        <v>0</v>
      </c>
      <c r="I108" s="362">
        <f>IFERROR(VLOOKUP(C108,'تقرير المصروفات حسب الشهر'!$C$637:$AD$746,21,FALSE),0)</f>
        <v>0</v>
      </c>
      <c r="J108" s="362">
        <f>IFERROR(VLOOKUP(C108,'تقرير المصروفات حسب الشهر'!$C$763:$AD$872,21,FALSE),0)</f>
        <v>0</v>
      </c>
      <c r="K108" s="362">
        <f>IFERROR(VLOOKUP(C108,'تقرير المصروفات حسب الشهر'!$C$890:$AD$999,21,FALSE),0)</f>
        <v>0</v>
      </c>
      <c r="L108" s="362">
        <f>IFERROR(VLOOKUP(C108,'تقرير المصروفات حسب الشهر'!$C$1016:$AD$1126,21,FALSE),0)</f>
        <v>0</v>
      </c>
      <c r="M108" s="376">
        <f>IFERROR(VLOOKUP(C108,'تقرير المصروفات حسب الشهر'!$C$1143:$AD$1254,21,FALSE),0)</f>
        <v>0</v>
      </c>
      <c r="N108" s="376">
        <f>IFERROR(VLOOKUP(C108,'تقرير المصروفات حسب الشهر'!$C$1270:$AD$1381,21,FALSE),0)</f>
        <v>0</v>
      </c>
      <c r="O108" s="376">
        <f>IFERROR(VLOOKUP(C108,'تقرير المصروفات حسب الشهر'!$C$1397:$AI$1512,21,FALSE),0)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الشهر'!$C$10:$AD$119,21,FALSE),0)</f>
        <v>0</v>
      </c>
      <c r="E109" s="362">
        <f>IFERROR(VLOOKUP(C109,'تقرير المصروفات حسب الشهر'!$C$135:$AD$244,21,FALSE),0)</f>
        <v>0</v>
      </c>
      <c r="F109" s="362">
        <f>IFERROR(VLOOKUP(C109,'تقرير المصروفات حسب الشهر'!$C$261:$AD$368,21,FALSE),0)</f>
        <v>190</v>
      </c>
      <c r="G109" s="362">
        <f>IFERROR(VLOOKUP(C109,'تقرير المصروفات حسب الشهر'!$C$387:$AD$495,21,FALSE),0)</f>
        <v>0</v>
      </c>
      <c r="H109" s="362">
        <f>IFERROR(VLOOKUP(C109,'تقرير المصروفات حسب الشهر'!$C$512:$AD$620,21,FALSE),0)</f>
        <v>0</v>
      </c>
      <c r="I109" s="362">
        <f>IFERROR(VLOOKUP(C109,'تقرير المصروفات حسب الشهر'!$C$637:$AD$746,21,FALSE),0)</f>
        <v>0</v>
      </c>
      <c r="J109" s="362">
        <f>IFERROR(VLOOKUP(C109,'تقرير المصروفات حسب الشهر'!$C$763:$AD$872,21,FALSE),0)</f>
        <v>264</v>
      </c>
      <c r="K109" s="362">
        <f>IFERROR(VLOOKUP(C109,'تقرير المصروفات حسب الشهر'!$C$890:$AD$999,21,FALSE),0)</f>
        <v>0</v>
      </c>
      <c r="L109" s="362">
        <f>IFERROR(VLOOKUP(C109,'تقرير المصروفات حسب الشهر'!$C$1016:$AD$1126,21,FALSE),0)</f>
        <v>0</v>
      </c>
      <c r="M109" s="376">
        <f>IFERROR(VLOOKUP(C109,'تقرير المصروفات حسب الشهر'!$C$1143:$AD$1254,21,FALSE),0)</f>
        <v>0</v>
      </c>
      <c r="N109" s="376">
        <f>IFERROR(VLOOKUP(C109,'تقرير المصروفات حسب الشهر'!$C$1270:$AD$1381,21,FALSE),0)</f>
        <v>0</v>
      </c>
      <c r="O109" s="376">
        <f>IFERROR(VLOOKUP(C109,'تقرير المصروفات حسب الشهر'!$C$1397:$AI$1512,21,FALSE),0)</f>
        <v>0</v>
      </c>
      <c r="P109" s="364">
        <f t="shared" si="6"/>
        <v>454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الشهر'!$C$10:$AD$119,21,FALSE),0)</f>
        <v>0.57999999999999996</v>
      </c>
      <c r="E110" s="362">
        <f>IFERROR(VLOOKUP(C110,'تقرير المصروفات حسب الشهر'!$C$135:$AD$244,21,FALSE),0)</f>
        <v>0</v>
      </c>
      <c r="F110" s="362">
        <f>IFERROR(VLOOKUP(C110,'تقرير المصروفات حسب الشهر'!$C$261:$AD$368,21,FALSE),0)</f>
        <v>0</v>
      </c>
      <c r="G110" s="362">
        <f>IFERROR(VLOOKUP(C110,'تقرير المصروفات حسب الشهر'!$C$387:$AD$495,21,FALSE),0)</f>
        <v>0</v>
      </c>
      <c r="H110" s="362">
        <f>IFERROR(VLOOKUP(C110,'تقرير المصروفات حسب الشهر'!$C$512:$AD$620,21,FALSE),0)</f>
        <v>0</v>
      </c>
      <c r="I110" s="362">
        <f>IFERROR(VLOOKUP(C110,'تقرير المصروفات حسب الشهر'!$C$637:$AD$746,21,FALSE),0)</f>
        <v>0</v>
      </c>
      <c r="J110" s="362">
        <f>IFERROR(VLOOKUP(C110,'تقرير المصروفات حسب الشهر'!$C$763:$AD$872,21,FALSE),0)</f>
        <v>0</v>
      </c>
      <c r="K110" s="362">
        <f>IFERROR(VLOOKUP(C110,'تقرير المصروفات حسب الشهر'!$C$890:$AD$999,21,FALSE),0)</f>
        <v>0</v>
      </c>
      <c r="L110" s="362">
        <f>IFERROR(VLOOKUP(C110,'تقرير المصروفات حسب الشهر'!$C$1016:$AD$1126,21,FALSE),0)</f>
        <v>0</v>
      </c>
      <c r="M110" s="376">
        <f>IFERROR(VLOOKUP(C110,'تقرير المصروفات حسب الشهر'!$C$1143:$AD$1254,21,FALSE),0)</f>
        <v>0.16</v>
      </c>
      <c r="N110" s="376">
        <f>IFERROR(VLOOKUP(C110,'تقرير المصروفات حسب الشهر'!$C$1270:$AD$1381,21,FALSE),0)</f>
        <v>0</v>
      </c>
      <c r="O110" s="376">
        <f>IFERROR(VLOOKUP(C110,'تقرير المصروفات حسب الشهر'!$C$1397:$AI$1512,21,FALSE),0)</f>
        <v>0</v>
      </c>
      <c r="P110" s="364">
        <f t="shared" si="6"/>
        <v>0.74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الشهر'!$C$10:$AD$119,21,FALSE),0)</f>
        <v>0</v>
      </c>
      <c r="E111" s="362">
        <f>IFERROR(VLOOKUP(C111,'تقرير المصروفات حسب الشهر'!$C$135:$AD$244,21,FALSE),0)</f>
        <v>0</v>
      </c>
      <c r="F111" s="362">
        <f>IFERROR(VLOOKUP(C111,'تقرير المصروفات حسب الشهر'!$C$261:$AD$368,21,FALSE),0)</f>
        <v>0</v>
      </c>
      <c r="G111" s="362">
        <f>IFERROR(VLOOKUP(C111,'تقرير المصروفات حسب الشهر'!$C$387:$AD$495,21,FALSE),0)</f>
        <v>0</v>
      </c>
      <c r="H111" s="362">
        <f>IFERROR(VLOOKUP(C111,'تقرير المصروفات حسب الشهر'!$C$512:$AD$620,21,FALSE),0)</f>
        <v>0</v>
      </c>
      <c r="I111" s="362">
        <f>IFERROR(VLOOKUP(C111,'تقرير المصروفات حسب الشهر'!$C$637:$AD$746,21,FALSE),0)</f>
        <v>0</v>
      </c>
      <c r="J111" s="362">
        <f>IFERROR(VLOOKUP(C111,'تقرير المصروفات حسب الشهر'!$C$763:$AD$872,21,FALSE),0)</f>
        <v>0</v>
      </c>
      <c r="K111" s="362">
        <f>IFERROR(VLOOKUP(C111,'تقرير المصروفات حسب الشهر'!$C$890:$AD$999,21,FALSE),0)</f>
        <v>0</v>
      </c>
      <c r="L111" s="362">
        <f>IFERROR(VLOOKUP(C111,'تقرير المصروفات حسب الشهر'!$C$1016:$AD$1126,21,FALSE),0)</f>
        <v>0</v>
      </c>
      <c r="M111" s="376">
        <f>IFERROR(VLOOKUP(C111,'تقرير المصروفات حسب الشهر'!$C$1143:$AD$1254,21,FALSE),0)</f>
        <v>0</v>
      </c>
      <c r="N111" s="376">
        <f>IFERROR(VLOOKUP(C111,'تقرير المصروفات حسب الشهر'!$C$1270:$AD$1381,21,FALSE),0)</f>
        <v>0</v>
      </c>
      <c r="O111" s="376">
        <f>IFERROR(VLOOKUP(C111,'تقرير المصروفات حسب الشهر'!$C$1397:$AI$1512,21,FALSE),0)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الشهر'!$C$10:$AD$119,21,FALSE),0)</f>
        <v>0</v>
      </c>
      <c r="E112" s="362">
        <f>IFERROR(VLOOKUP(C112,'تقرير المصروفات حسب الشهر'!$C$135:$AD$244,21,FALSE),0)</f>
        <v>0</v>
      </c>
      <c r="F112" s="362">
        <f>IFERROR(VLOOKUP(C112,'تقرير المصروفات حسب الشهر'!$C$261:$AD$368,21,FALSE),0)</f>
        <v>0</v>
      </c>
      <c r="G112" s="362">
        <f>IFERROR(VLOOKUP(C112,'تقرير المصروفات حسب الشهر'!$C$387:$AD$495,21,FALSE),0)</f>
        <v>0</v>
      </c>
      <c r="H112" s="362">
        <f>IFERROR(VLOOKUP(C112,'تقرير المصروفات حسب الشهر'!$C$512:$AD$620,21,FALSE),0)</f>
        <v>0</v>
      </c>
      <c r="I112" s="362">
        <f>IFERROR(VLOOKUP(C112,'تقرير المصروفات حسب الشهر'!$C$637:$AD$746,21,FALSE),0)</f>
        <v>0</v>
      </c>
      <c r="J112" s="362">
        <f>IFERROR(VLOOKUP(C112,'تقرير المصروفات حسب الشهر'!$C$763:$AD$872,21,FALSE),0)</f>
        <v>0</v>
      </c>
      <c r="K112" s="362">
        <f>IFERROR(VLOOKUP(C112,'تقرير المصروفات حسب الشهر'!$C$890:$AD$999,21,FALSE),0)</f>
        <v>0</v>
      </c>
      <c r="L112" s="362">
        <f>IFERROR(VLOOKUP(C112,'تقرير المصروفات حسب الشهر'!$C$1016:$AD$1126,21,FALSE),0)</f>
        <v>0</v>
      </c>
      <c r="M112" s="376">
        <f>IFERROR(VLOOKUP(C112,'تقرير المصروفات حسب الشهر'!$C$1143:$AD$1254,21,FALSE),0)</f>
        <v>0</v>
      </c>
      <c r="N112" s="376">
        <f>IFERROR(VLOOKUP(C112,'تقرير المصروفات حسب الشهر'!$C$1270:$AD$1381,21,FALSE),0)</f>
        <v>0</v>
      </c>
      <c r="O112" s="376">
        <f>IFERROR(VLOOKUP(C112,'تقرير المصروفات حسب الشهر'!$C$1397:$AI$1512,21,FALSE),0)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الشهر'!$C$10:$AD$119,21,FALSE),0)</f>
        <v>0</v>
      </c>
      <c r="E113" s="362">
        <f>IFERROR(VLOOKUP(C113,'تقرير المصروفات حسب الشهر'!$C$135:$AD$244,21,FALSE),0)</f>
        <v>0</v>
      </c>
      <c r="F113" s="362">
        <f>IFERROR(VLOOKUP(C113,'تقرير المصروفات حسب الشهر'!$C$261:$AD$368,21,FALSE),0)</f>
        <v>0</v>
      </c>
      <c r="G113" s="362">
        <f>IFERROR(VLOOKUP(C113,'تقرير المصروفات حسب الشهر'!$C$387:$AD$495,21,FALSE),0)</f>
        <v>0</v>
      </c>
      <c r="H113" s="362">
        <f>IFERROR(VLOOKUP(C113,'تقرير المصروفات حسب الشهر'!$C$512:$AD$620,21,FALSE),0)</f>
        <v>0</v>
      </c>
      <c r="I113" s="362">
        <f>IFERROR(VLOOKUP(C113,'تقرير المصروفات حسب الشهر'!$C$637:$AD$746,21,FALSE),0)</f>
        <v>0</v>
      </c>
      <c r="J113" s="362">
        <f>IFERROR(VLOOKUP(C113,'تقرير المصروفات حسب الشهر'!$C$763:$AD$872,21,FALSE),0)</f>
        <v>0</v>
      </c>
      <c r="K113" s="362">
        <f>IFERROR(VLOOKUP(C113,'تقرير المصروفات حسب الشهر'!$C$890:$AD$999,21,FALSE),0)</f>
        <v>0</v>
      </c>
      <c r="L113" s="362">
        <f>IFERROR(VLOOKUP(C113,'تقرير المصروفات حسب الشهر'!$C$1016:$AD$1126,21,FALSE),0)</f>
        <v>0</v>
      </c>
      <c r="M113" s="376">
        <f>IFERROR(VLOOKUP(C113,'تقرير المصروفات حسب الشهر'!$C$1143:$AD$1254,21,FALSE),0)</f>
        <v>0</v>
      </c>
      <c r="N113" s="376">
        <f>IFERROR(VLOOKUP(C113,'تقرير المصروفات حسب الشهر'!$C$1270:$AD$1381,21,FALSE),0)</f>
        <v>0</v>
      </c>
      <c r="O113" s="376">
        <f>IFERROR(VLOOKUP(C113,'تقرير المصروفات حسب الشهر'!$C$1397:$AI$1512,21,FALSE),0)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الشهر'!$C$10:$AD$119,21,FALSE),0)</f>
        <v>0</v>
      </c>
      <c r="E114" s="362">
        <f>IFERROR(VLOOKUP(C114,'تقرير المصروفات حسب الشهر'!$C$135:$AD$244,21,FALSE),0)</f>
        <v>0</v>
      </c>
      <c r="F114" s="362">
        <f>IFERROR(VLOOKUP(C114,'تقرير المصروفات حسب الشهر'!$C$261:$AD$368,21,FALSE),0)</f>
        <v>0</v>
      </c>
      <c r="G114" s="362">
        <f>IFERROR(VLOOKUP(C114,'تقرير المصروفات حسب الشهر'!$C$387:$AD$495,21,FALSE),0)</f>
        <v>0</v>
      </c>
      <c r="H114" s="362">
        <f>IFERROR(VLOOKUP(C114,'تقرير المصروفات حسب الشهر'!$C$512:$AD$620,21,FALSE),0)</f>
        <v>0</v>
      </c>
      <c r="I114" s="362">
        <f>IFERROR(VLOOKUP(C114,'تقرير المصروفات حسب الشهر'!$C$637:$AD$746,21,FALSE),0)</f>
        <v>0</v>
      </c>
      <c r="J114" s="362">
        <f>IFERROR(VLOOKUP(C114,'تقرير المصروفات حسب الشهر'!$C$763:$AD$872,21,FALSE),0)</f>
        <v>0</v>
      </c>
      <c r="K114" s="362">
        <f>IFERROR(VLOOKUP(C114,'تقرير المصروفات حسب الشهر'!$C$890:$AD$999,21,FALSE),0)</f>
        <v>0</v>
      </c>
      <c r="L114" s="362">
        <f>IFERROR(VLOOKUP(C114,'تقرير المصروفات حسب الشهر'!$C$1016:$AD$1126,21,FALSE),0)</f>
        <v>0</v>
      </c>
      <c r="M114" s="376">
        <f>IFERROR(VLOOKUP(C114,'تقرير المصروفات حسب الشهر'!$C$1143:$AD$1254,21,FALSE),0)</f>
        <v>0</v>
      </c>
      <c r="N114" s="376">
        <f>IFERROR(VLOOKUP(C114,'تقرير المصروفات حسب الشهر'!$C$1270:$AD$1381,21,FALSE),0)</f>
        <v>0</v>
      </c>
      <c r="O114" s="376">
        <f>IFERROR(VLOOKUP(C114,'تقرير المصروفات حسب الشهر'!$C$1397:$AI$1512,21,FALSE),0)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الشهر'!$C$10:$AD$119,21,FALSE),0)</f>
        <v>0</v>
      </c>
      <c r="E115" s="362">
        <f>IFERROR(VLOOKUP(C115,'تقرير المصروفات حسب الشهر'!$C$135:$AD$244,21,FALSE),0)</f>
        <v>0</v>
      </c>
      <c r="F115" s="362">
        <f>IFERROR(VLOOKUP(C115,'تقرير المصروفات حسب الشهر'!$C$261:$AD$368,21,FALSE),0)</f>
        <v>0</v>
      </c>
      <c r="G115" s="362">
        <f>IFERROR(VLOOKUP(C115,'تقرير المصروفات حسب الشهر'!$C$387:$AD$495,21,FALSE),0)</f>
        <v>0</v>
      </c>
      <c r="H115" s="362">
        <f>IFERROR(VLOOKUP(C115,'تقرير المصروفات حسب الشهر'!$C$512:$AD$620,21,FALSE),0)</f>
        <v>0</v>
      </c>
      <c r="I115" s="362">
        <f>IFERROR(VLOOKUP(C115,'تقرير المصروفات حسب الشهر'!$C$637:$AD$746,21,FALSE),0)</f>
        <v>0</v>
      </c>
      <c r="J115" s="362">
        <f>IFERROR(VLOOKUP(C115,'تقرير المصروفات حسب الشهر'!$C$763:$AD$872,21,FALSE),0)</f>
        <v>0</v>
      </c>
      <c r="K115" s="362">
        <f>IFERROR(VLOOKUP(C115,'تقرير المصروفات حسب الشهر'!$C$890:$AD$999,21,FALSE),0)</f>
        <v>0</v>
      </c>
      <c r="L115" s="362">
        <f>IFERROR(VLOOKUP(C115,'تقرير المصروفات حسب الشهر'!$C$1016:$AD$1126,21,FALSE),0)</f>
        <v>0</v>
      </c>
      <c r="M115" s="376">
        <f>IFERROR(VLOOKUP(C115,'تقرير المصروفات حسب الشهر'!$C$1143:$AD$1254,21,FALSE),0)</f>
        <v>0</v>
      </c>
      <c r="N115" s="376">
        <f>IFERROR(VLOOKUP(C115,'تقرير المصروفات حسب الشهر'!$C$1270:$AD$1381,21,FALSE),0)</f>
        <v>0</v>
      </c>
      <c r="O115" s="376">
        <f>IFERROR(VLOOKUP(C115,'تقرير المصروفات حسب الشهر'!$C$1397:$AI$1512,21,FALSE),0)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الشهر'!$C$10:$AD$119,21,FALSE),0)</f>
        <v>0</v>
      </c>
      <c r="E116" s="362">
        <f>IFERROR(VLOOKUP(C116,'تقرير المصروفات حسب الشهر'!$C$135:$AD$244,21,FALSE),0)</f>
        <v>0</v>
      </c>
      <c r="F116" s="362">
        <f>IFERROR(VLOOKUP(C116,'تقرير المصروفات حسب الشهر'!$C$261:$AD$368,21,FALSE),0)</f>
        <v>0</v>
      </c>
      <c r="G116" s="362">
        <f>IFERROR(VLOOKUP(C116,'تقرير المصروفات حسب الشهر'!$C$387:$AD$495,21,FALSE),0)</f>
        <v>0</v>
      </c>
      <c r="H116" s="362">
        <f>IFERROR(VLOOKUP(C116,'تقرير المصروفات حسب الشهر'!$C$512:$AD$620,21,FALSE),0)</f>
        <v>0</v>
      </c>
      <c r="I116" s="362">
        <f>IFERROR(VLOOKUP(C116,'تقرير المصروفات حسب الشهر'!$C$637:$AD$746,21,FALSE),0)</f>
        <v>0</v>
      </c>
      <c r="J116" s="362">
        <f>IFERROR(VLOOKUP(C116,'تقرير المصروفات حسب الشهر'!$C$763:$AD$872,21,FALSE),0)</f>
        <v>0</v>
      </c>
      <c r="K116" s="362">
        <f>IFERROR(VLOOKUP(C116,'تقرير المصروفات حسب الشهر'!$C$890:$AD$999,21,FALSE),0)</f>
        <v>0</v>
      </c>
      <c r="L116" s="362">
        <f>IFERROR(VLOOKUP(C116,'تقرير المصروفات حسب الشهر'!$C$1016:$AD$1126,21,FALSE),0)</f>
        <v>0</v>
      </c>
      <c r="M116" s="376">
        <f>IFERROR(VLOOKUP(C116,'تقرير المصروفات حسب الشهر'!$C$1143:$AD$1254,21,FALSE),0)</f>
        <v>0</v>
      </c>
      <c r="N116" s="376">
        <f>IFERROR(VLOOKUP(C116,'تقرير المصروفات حسب الشهر'!$C$1270:$AD$1381,21,FALSE),0)</f>
        <v>0</v>
      </c>
      <c r="O116" s="376">
        <f>IFERROR(VLOOKUP(C116,'تقرير المصروفات حسب الشهر'!$C$1397:$AI$1512,21,FALSE),0)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الشهر'!$C$10:$AD$119,21,FALSE),0)</f>
        <v>0</v>
      </c>
      <c r="E117" s="362">
        <f>IFERROR(VLOOKUP(C117,'تقرير المصروفات حسب الشهر'!$C$135:$AD$244,21,FALSE),0)</f>
        <v>0</v>
      </c>
      <c r="F117" s="362">
        <f>IFERROR(VLOOKUP(C117,'تقرير المصروفات حسب الشهر'!$C$261:$AD$368,21,FALSE),0)</f>
        <v>0</v>
      </c>
      <c r="G117" s="362">
        <f>IFERROR(VLOOKUP(C117,'تقرير المصروفات حسب الشهر'!$C$387:$AD$495,21,FALSE),0)</f>
        <v>0</v>
      </c>
      <c r="H117" s="362">
        <f>IFERROR(VLOOKUP(C117,'تقرير المصروفات حسب الشهر'!$C$512:$AD$620,21,FALSE),0)</f>
        <v>0</v>
      </c>
      <c r="I117" s="362">
        <f>IFERROR(VLOOKUP(C117,'تقرير المصروفات حسب الشهر'!$C$637:$AD$746,21,FALSE),0)</f>
        <v>0</v>
      </c>
      <c r="J117" s="362">
        <f>IFERROR(VLOOKUP(C117,'تقرير المصروفات حسب الشهر'!$C$763:$AD$872,21,FALSE),0)</f>
        <v>0</v>
      </c>
      <c r="K117" s="362">
        <f>IFERROR(VLOOKUP(C117,'تقرير المصروفات حسب الشهر'!$C$890:$AD$999,21,FALSE),0)</f>
        <v>0</v>
      </c>
      <c r="L117" s="362">
        <f>IFERROR(VLOOKUP(C117,'تقرير المصروفات حسب الشهر'!$C$1016:$AD$1126,21,FALSE),0)</f>
        <v>0</v>
      </c>
      <c r="M117" s="376">
        <f>IFERROR(VLOOKUP(C117,'تقرير المصروفات حسب الشهر'!$C$1143:$AD$1254,21,FALSE),0)</f>
        <v>0</v>
      </c>
      <c r="N117" s="376">
        <f>IFERROR(VLOOKUP(C117,'تقرير المصروفات حسب الشهر'!$C$1270:$AD$1381,21,FALSE),0)</f>
        <v>0</v>
      </c>
      <c r="O117" s="376">
        <f>IFERROR(VLOOKUP(C117,'تقرير المصروفات حسب الشهر'!$C$1397:$AI$1512,21,FALSE),0)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الشهر'!$C$10:$AD$119,21,FALSE),0)</f>
        <v>0</v>
      </c>
      <c r="E118" s="362">
        <f>IFERROR(VLOOKUP(C118,'تقرير المصروفات حسب الشهر'!$C$135:$AD$244,21,FALSE),0)</f>
        <v>0</v>
      </c>
      <c r="F118" s="362">
        <f>IFERROR(VLOOKUP(C118,'تقرير المصروفات حسب الشهر'!$C$261:$AD$368,21,FALSE),0)</f>
        <v>0</v>
      </c>
      <c r="G118" s="362">
        <f>IFERROR(VLOOKUP(C118,'تقرير المصروفات حسب الشهر'!$C$387:$AD$495,21,FALSE),0)</f>
        <v>0</v>
      </c>
      <c r="H118" s="362">
        <f>IFERROR(VLOOKUP(C118,'تقرير المصروفات حسب الشهر'!$C$512:$AD$620,21,FALSE),0)</f>
        <v>0</v>
      </c>
      <c r="I118" s="362">
        <f>IFERROR(VLOOKUP(C118,'تقرير المصروفات حسب الشهر'!$C$637:$AD$746,21,FALSE),0)</f>
        <v>0</v>
      </c>
      <c r="J118" s="362">
        <f>IFERROR(VLOOKUP(C118,'تقرير المصروفات حسب الشهر'!$C$763:$AD$872,21,FALSE),0)</f>
        <v>0</v>
      </c>
      <c r="K118" s="362">
        <f>IFERROR(VLOOKUP(C118,'تقرير المصروفات حسب الشهر'!$C$890:$AD$999,21,FALSE),0)</f>
        <v>0</v>
      </c>
      <c r="L118" s="362">
        <f>IFERROR(VLOOKUP(C118,'تقرير المصروفات حسب الشهر'!$C$1016:$AD$1126,21,FALSE),0)</f>
        <v>0</v>
      </c>
      <c r="M118" s="376">
        <f>IFERROR(VLOOKUP(C118,'تقرير المصروفات حسب الشهر'!$C$1143:$AD$1254,21,FALSE),0)</f>
        <v>0</v>
      </c>
      <c r="N118" s="376">
        <f>IFERROR(VLOOKUP(C118,'تقرير المصروفات حسب الشهر'!$C$1270:$AD$1381,21,FALSE),0)</f>
        <v>0</v>
      </c>
      <c r="O118" s="376">
        <f>IFERROR(VLOOKUP(C118,'تقرير المصروفات حسب الشهر'!$C$1397:$AI$1512,21,FALSE),0)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الشهر'!$C$10:$AD$119,21,FALSE),0)</f>
        <v>0</v>
      </c>
      <c r="E119" s="362">
        <f>IFERROR(VLOOKUP(C119,'تقرير المصروفات حسب الشهر'!$C$135:$AD$244,21,FALSE),0)</f>
        <v>0</v>
      </c>
      <c r="F119" s="362">
        <f>IFERROR(VLOOKUP(C119,'تقرير المصروفات حسب الشهر'!$C$261:$AD$368,21,FALSE),0)</f>
        <v>0</v>
      </c>
      <c r="G119" s="362">
        <f>IFERROR(VLOOKUP(C119,'تقرير المصروفات حسب الشهر'!$C$387:$AD$495,21,FALSE),0)</f>
        <v>0</v>
      </c>
      <c r="H119" s="362">
        <f>IFERROR(VLOOKUP(C119,'تقرير المصروفات حسب الشهر'!$C$512:$AD$620,21,FALSE),0)</f>
        <v>0</v>
      </c>
      <c r="I119" s="362">
        <f>IFERROR(VLOOKUP(C119,'تقرير المصروفات حسب الشهر'!$C$637:$AD$746,21,FALSE),0)</f>
        <v>0</v>
      </c>
      <c r="J119" s="362">
        <f>IFERROR(VLOOKUP(C119,'تقرير المصروفات حسب الشهر'!$C$763:$AD$872,21,FALSE),0)</f>
        <v>0</v>
      </c>
      <c r="K119" s="362">
        <f>IFERROR(VLOOKUP(C119,'تقرير المصروفات حسب الشهر'!$C$890:$AD$999,21,FALSE),0)</f>
        <v>0</v>
      </c>
      <c r="L119" s="362">
        <f>IFERROR(VLOOKUP(C119,'تقرير المصروفات حسب الشهر'!$C$1016:$AD$1126,21,FALSE),0)</f>
        <v>0</v>
      </c>
      <c r="M119" s="376">
        <f>IFERROR(VLOOKUP(C119,'تقرير المصروفات حسب الشهر'!$C$1143:$AD$1254,21,FALSE),0)</f>
        <v>0</v>
      </c>
      <c r="N119" s="376">
        <f>IFERROR(VLOOKUP(C119,'تقرير المصروفات حسب الشهر'!$C$1270:$AD$1381,21,FALSE),0)</f>
        <v>0</v>
      </c>
      <c r="O119" s="376">
        <f>IFERROR(VLOOKUP(C119,'تقرير المصروفات حسب الشهر'!$C$1397:$AI$1512,21,FALSE),0)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الشهر'!$C$10:$AD$119,21,FALSE),0)</f>
        <v>0</v>
      </c>
      <c r="E120" s="362">
        <f>IFERROR(VLOOKUP(C120,'تقرير المصروفات حسب الشهر'!$C$135:$AD$244,21,FALSE),0)</f>
        <v>0</v>
      </c>
      <c r="F120" s="362">
        <f>IFERROR(VLOOKUP(C120,'تقرير المصروفات حسب الشهر'!$C$261:$AD$368,21,FALSE),0)</f>
        <v>0</v>
      </c>
      <c r="G120" s="362">
        <f>IFERROR(VLOOKUP(C120,'تقرير المصروفات حسب الشهر'!$C$387:$AD$495,21,FALSE),0)</f>
        <v>0</v>
      </c>
      <c r="H120" s="362">
        <f>IFERROR(VLOOKUP(C120,'تقرير المصروفات حسب الشهر'!$C$512:$AD$620,21,FALSE),0)</f>
        <v>0</v>
      </c>
      <c r="I120" s="362">
        <f>IFERROR(VLOOKUP(C120,'تقرير المصروفات حسب الشهر'!$C$637:$AD$746,21,FALSE),0)</f>
        <v>0</v>
      </c>
      <c r="J120" s="362">
        <f>IFERROR(VLOOKUP(C120,'تقرير المصروفات حسب الشهر'!$C$763:$AD$872,21,FALSE),0)</f>
        <v>0</v>
      </c>
      <c r="K120" s="362">
        <f>IFERROR(VLOOKUP(C120,'تقرير المصروفات حسب الشهر'!$C$890:$AD$999,21,FALSE),0)</f>
        <v>0</v>
      </c>
      <c r="L120" s="362">
        <f>IFERROR(VLOOKUP(C120,'تقرير المصروفات حسب الشهر'!$C$1016:$AD$1126,21,FALSE),0)</f>
        <v>0</v>
      </c>
      <c r="M120" s="376">
        <f>IFERROR(VLOOKUP(C120,'تقرير المصروفات حسب الشهر'!$C$1143:$AD$1254,21,FALSE),0)</f>
        <v>0</v>
      </c>
      <c r="N120" s="376">
        <f>IFERROR(VLOOKUP(C120,'تقرير المصروفات حسب الشهر'!$C$1270:$AD$1381,21,FALSE),0)</f>
        <v>0</v>
      </c>
      <c r="O120" s="376">
        <f>IFERROR(VLOOKUP(C120,'تقرير المصروفات حسب الشهر'!$C$1397:$AI$1512,21,FALSE),0)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الشهر'!$C$10:$AD$119,21,FALSE),0)</f>
        <v>0</v>
      </c>
      <c r="E121" s="362">
        <f>IFERROR(VLOOKUP(C121,'تقرير المصروفات حسب الشهر'!$C$135:$AD$244,21,FALSE),0)</f>
        <v>0</v>
      </c>
      <c r="F121" s="362">
        <f>IFERROR(VLOOKUP(C121,'تقرير المصروفات حسب الشهر'!$C$261:$AD$368,21,FALSE),0)</f>
        <v>0</v>
      </c>
      <c r="G121" s="362">
        <f>IFERROR(VLOOKUP(C121,'تقرير المصروفات حسب الشهر'!$C$387:$AD$495,21,FALSE),0)</f>
        <v>0</v>
      </c>
      <c r="H121" s="362">
        <f>IFERROR(VLOOKUP(C121,'تقرير المصروفات حسب الشهر'!$C$512:$AD$620,21,FALSE),0)</f>
        <v>0</v>
      </c>
      <c r="I121" s="362">
        <f>IFERROR(VLOOKUP(C121,'تقرير المصروفات حسب الشهر'!$C$637:$AD$746,21,FALSE),0)</f>
        <v>0</v>
      </c>
      <c r="J121" s="362">
        <f>IFERROR(VLOOKUP(C121,'تقرير المصروفات حسب الشهر'!$C$763:$AD$872,21,FALSE),0)</f>
        <v>0</v>
      </c>
      <c r="K121" s="362">
        <f>IFERROR(VLOOKUP(C121,'تقرير المصروفات حسب الشهر'!$C$890:$AD$999,21,FALSE),0)</f>
        <v>0</v>
      </c>
      <c r="L121" s="362">
        <f>IFERROR(VLOOKUP(C121,'تقرير المصروفات حسب الشهر'!$C$1016:$AD$1126,21,FALSE),0)</f>
        <v>0</v>
      </c>
      <c r="M121" s="376">
        <f>IFERROR(VLOOKUP(C121,'تقرير المصروفات حسب الشهر'!$C$1143:$AD$1254,21,FALSE),0)</f>
        <v>0</v>
      </c>
      <c r="N121" s="376">
        <f>IFERROR(VLOOKUP(C121,'تقرير المصروفات حسب الشهر'!$C$1270:$AD$1381,21,FALSE),0)</f>
        <v>0</v>
      </c>
      <c r="O121" s="376">
        <f>IFERROR(VLOOKUP(C121,'تقرير المصروفات حسب الشهر'!$C$1397:$AI$1512,21,FALSE),0)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الشهر'!$C$10:$AD$119,21,FALSE),0)</f>
        <v>0</v>
      </c>
      <c r="E122" s="362">
        <f>IFERROR(VLOOKUP(C122,'تقرير المصروفات حسب الشهر'!$C$135:$AD$244,21,FALSE),0)</f>
        <v>0</v>
      </c>
      <c r="F122" s="362">
        <f>IFERROR(VLOOKUP(C122,'تقرير المصروفات حسب الشهر'!$C$261:$AD$368,21,FALSE),0)</f>
        <v>0</v>
      </c>
      <c r="G122" s="362">
        <f>IFERROR(VLOOKUP(C122,'تقرير المصروفات حسب الشهر'!$C$387:$AD$495,21,FALSE),0)</f>
        <v>0</v>
      </c>
      <c r="H122" s="362">
        <f>IFERROR(VLOOKUP(C122,'تقرير المصروفات حسب الشهر'!$C$512:$AD$620,21,FALSE),0)</f>
        <v>0</v>
      </c>
      <c r="I122" s="362">
        <f>IFERROR(VLOOKUP(C122,'تقرير المصروفات حسب الشهر'!$C$637:$AD$746,21,FALSE),0)</f>
        <v>0</v>
      </c>
      <c r="J122" s="362">
        <f>IFERROR(VLOOKUP(C122,'تقرير المصروفات حسب الشهر'!$C$763:$AD$872,21,FALSE),0)</f>
        <v>0</v>
      </c>
      <c r="K122" s="362">
        <f>IFERROR(VLOOKUP(C122,'تقرير المصروفات حسب الشهر'!$C$890:$AD$999,21,FALSE),0)</f>
        <v>0</v>
      </c>
      <c r="L122" s="362">
        <f>IFERROR(VLOOKUP(C122,'تقرير المصروفات حسب الشهر'!$C$1016:$AD$1126,21,FALSE),0)</f>
        <v>0</v>
      </c>
      <c r="M122" s="376">
        <f>IFERROR(VLOOKUP(C122,'تقرير المصروفات حسب الشهر'!$C$1143:$AD$1254,21,FALSE),0)</f>
        <v>0</v>
      </c>
      <c r="N122" s="376">
        <f>IFERROR(VLOOKUP(C122,'تقرير المصروفات حسب الشهر'!$C$1270:$AD$1381,21,FALSE),0)</f>
        <v>0</v>
      </c>
      <c r="O122" s="376">
        <f>IFERROR(VLOOKUP(C122,'تقرير المصروفات حسب الشهر'!$C$1397:$AI$1512,21,FALSE),0)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الشهر'!$C$10:$AD$119,21,FALSE),0)</f>
        <v>0</v>
      </c>
      <c r="E123" s="362">
        <f>IFERROR(VLOOKUP(C123,'تقرير المصروفات حسب الشهر'!$C$135:$AD$244,21,FALSE),0)</f>
        <v>0</v>
      </c>
      <c r="F123" s="362">
        <f>IFERROR(VLOOKUP(C123,'تقرير المصروفات حسب الشهر'!$C$261:$AD$368,21,FALSE),0)</f>
        <v>0</v>
      </c>
      <c r="G123" s="362">
        <f>IFERROR(VLOOKUP(C123,'تقرير المصروفات حسب الشهر'!$C$387:$AD$495,21,FALSE),0)</f>
        <v>0</v>
      </c>
      <c r="H123" s="362">
        <f>IFERROR(VLOOKUP(C123,'تقرير المصروفات حسب الشهر'!$C$512:$AD$620,21,FALSE),0)</f>
        <v>0</v>
      </c>
      <c r="I123" s="362">
        <f>IFERROR(VLOOKUP(C123,'تقرير المصروفات حسب الشهر'!$C$637:$AD$746,21,FALSE),0)</f>
        <v>0</v>
      </c>
      <c r="J123" s="362">
        <f>IFERROR(VLOOKUP(C123,'تقرير المصروفات حسب الشهر'!$C$763:$AD$872,21,FALSE),0)</f>
        <v>0</v>
      </c>
      <c r="K123" s="362">
        <f>IFERROR(VLOOKUP(C123,'تقرير المصروفات حسب الشهر'!$C$890:$AD$999,21,FALSE),0)</f>
        <v>0</v>
      </c>
      <c r="L123" s="362">
        <f>IFERROR(VLOOKUP(C123,'تقرير المصروفات حسب الشهر'!$C$1016:$AD$1126,21,FALSE),0)</f>
        <v>0</v>
      </c>
      <c r="M123" s="376">
        <f>IFERROR(VLOOKUP(C123,'تقرير المصروفات حسب الشهر'!$C$1143:$AD$1254,21,FALSE),0)</f>
        <v>0</v>
      </c>
      <c r="N123" s="376">
        <f>IFERROR(VLOOKUP(C123,'تقرير المصروفات حسب الشهر'!$C$1270:$AD$1381,21,FALSE),0)</f>
        <v>0</v>
      </c>
      <c r="O123" s="376">
        <f>IFERROR(VLOOKUP(C123,'تقرير المصروفات حسب الشهر'!$C$1397:$AI$1512,21,FALSE),0)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الشهر'!$C$10:$AD$119,21,FALSE),0)</f>
        <v>0</v>
      </c>
      <c r="E124" s="362">
        <f>IFERROR(VLOOKUP(C124,'تقرير المصروفات حسب الشهر'!$C$135:$AD$244,21,FALSE),0)</f>
        <v>0</v>
      </c>
      <c r="F124" s="362">
        <f>IFERROR(VLOOKUP(C124,'تقرير المصروفات حسب الشهر'!$C$261:$AD$368,21,FALSE),0)</f>
        <v>0</v>
      </c>
      <c r="G124" s="362">
        <f>IFERROR(VLOOKUP(C124,'تقرير المصروفات حسب الشهر'!$C$387:$AD$495,21,FALSE),0)</f>
        <v>0</v>
      </c>
      <c r="H124" s="362">
        <f>IFERROR(VLOOKUP(C124,'تقرير المصروفات حسب الشهر'!$C$512:$AD$620,21,FALSE),0)</f>
        <v>0</v>
      </c>
      <c r="I124" s="362">
        <f>IFERROR(VLOOKUP(C124,'تقرير المصروفات حسب الشهر'!$C$637:$AD$746,21,FALSE),0)</f>
        <v>0</v>
      </c>
      <c r="J124" s="362">
        <f>IFERROR(VLOOKUP(C124,'تقرير المصروفات حسب الشهر'!$C$763:$AD$872,21,FALSE),0)</f>
        <v>0</v>
      </c>
      <c r="K124" s="362">
        <f>IFERROR(VLOOKUP(C124,'تقرير المصروفات حسب الشهر'!$C$890:$AD$999,21,FALSE),0)</f>
        <v>0</v>
      </c>
      <c r="L124" s="362">
        <f>IFERROR(VLOOKUP(C124,'تقرير المصروفات حسب الشهر'!$C$1016:$AD$1126,21,FALSE),0)</f>
        <v>0</v>
      </c>
      <c r="M124" s="376">
        <f>IFERROR(VLOOKUP(C124,'تقرير المصروفات حسب الشهر'!$C$1143:$AD$1254,21,FALSE),0)</f>
        <v>0</v>
      </c>
      <c r="N124" s="376">
        <f>IFERROR(VLOOKUP(C124,'تقرير المصروفات حسب الشهر'!$C$1270:$AD$1381,21,FALSE),0)</f>
        <v>0</v>
      </c>
      <c r="O124" s="376">
        <f>IFERROR(VLOOKUP(C124,'تقرير المصروفات حسب الشهر'!$C$1397:$AI$1512,21,FALSE),0)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الشهر'!$C$10:$AD$119,21,FALSE),0)</f>
        <v>0</v>
      </c>
      <c r="E125" s="362">
        <f>IFERROR(VLOOKUP(C125,'تقرير المصروفات حسب الشهر'!$C$135:$AD$244,21,FALSE),0)</f>
        <v>0</v>
      </c>
      <c r="F125" s="362">
        <f>IFERROR(VLOOKUP(C125,'تقرير المصروفات حسب الشهر'!$C$261:$AD$368,21,FALSE),0)</f>
        <v>0</v>
      </c>
      <c r="G125" s="362">
        <f>IFERROR(VLOOKUP(C125,'تقرير المصروفات حسب الشهر'!$C$387:$AD$495,21,FALSE),0)</f>
        <v>0</v>
      </c>
      <c r="H125" s="362">
        <f>IFERROR(VLOOKUP(C125,'تقرير المصروفات حسب الشهر'!$C$512:$AD$620,21,FALSE),0)</f>
        <v>0</v>
      </c>
      <c r="I125" s="362">
        <f>IFERROR(VLOOKUP(C125,'تقرير المصروفات حسب الشهر'!$C$637:$AD$746,21,FALSE),0)</f>
        <v>0</v>
      </c>
      <c r="J125" s="362">
        <f>IFERROR(VLOOKUP(C125,'تقرير المصروفات حسب الشهر'!$C$763:$AD$872,21,FALSE),0)</f>
        <v>0</v>
      </c>
      <c r="K125" s="362">
        <f>IFERROR(VLOOKUP(C125,'تقرير المصروفات حسب الشهر'!$C$890:$AD$999,21,FALSE),0)</f>
        <v>0</v>
      </c>
      <c r="L125" s="362">
        <f>IFERROR(VLOOKUP(C125,'تقرير المصروفات حسب الشهر'!$C$1016:$AD$1126,21,FALSE),0)</f>
        <v>0</v>
      </c>
      <c r="M125" s="376">
        <f>IFERROR(VLOOKUP(C125,'تقرير المصروفات حسب الشهر'!$C$1143:$AD$1254,21,FALSE),0)</f>
        <v>0</v>
      </c>
      <c r="N125" s="376">
        <f>IFERROR(VLOOKUP(C125,'تقرير المصروفات حسب الشهر'!$C$1270:$AD$1381,21,FALSE),0)</f>
        <v>0</v>
      </c>
      <c r="O125" s="376">
        <f>IFERROR(VLOOKUP(C125,'تقرير المصروفات حسب الشهر'!$C$1397:$AI$1512,21,FALSE),0)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الشهر'!$C$10:$AD$119,21,FALSE),0)</f>
        <v>0</v>
      </c>
      <c r="E126" s="362">
        <f>IFERROR(VLOOKUP(C126,'تقرير المصروفات حسب الشهر'!$C$135:$AD$244,21,FALSE),0)</f>
        <v>0</v>
      </c>
      <c r="F126" s="362">
        <f>IFERROR(VLOOKUP(C126,'تقرير المصروفات حسب الشهر'!$C$261:$AD$368,21,FALSE),0)</f>
        <v>0</v>
      </c>
      <c r="G126" s="362">
        <f>IFERROR(VLOOKUP(C126,'تقرير المصروفات حسب الشهر'!$C$387:$AD$495,21,FALSE),0)</f>
        <v>0</v>
      </c>
      <c r="H126" s="362">
        <f>IFERROR(VLOOKUP(C126,'تقرير المصروفات حسب الشهر'!$C$512:$AD$620,21,FALSE),0)</f>
        <v>0</v>
      </c>
      <c r="I126" s="362">
        <f>IFERROR(VLOOKUP(C126,'تقرير المصروفات حسب الشهر'!$C$637:$AD$746,21,FALSE),0)</f>
        <v>0</v>
      </c>
      <c r="J126" s="362">
        <f>IFERROR(VLOOKUP(C126,'تقرير المصروفات حسب الشهر'!$C$763:$AD$872,21,FALSE),0)</f>
        <v>0</v>
      </c>
      <c r="K126" s="362">
        <f>IFERROR(VLOOKUP(C126,'تقرير المصروفات حسب الشهر'!$C$890:$AD$999,21,FALSE),0)</f>
        <v>0</v>
      </c>
      <c r="L126" s="362">
        <f>IFERROR(VLOOKUP(C126,'تقرير المصروفات حسب الشهر'!$C$1016:$AD$1126,21,FALSE),0)</f>
        <v>0</v>
      </c>
      <c r="M126" s="376">
        <f>IFERROR(VLOOKUP(C126,'تقرير المصروفات حسب الشهر'!$C$1143:$AD$1254,21,FALSE),0)</f>
        <v>0</v>
      </c>
      <c r="N126" s="376">
        <f>IFERROR(VLOOKUP(C126,'تقرير المصروفات حسب الشهر'!$C$1270:$AD$1381,21,FALSE),0)</f>
        <v>0</v>
      </c>
      <c r="O126" s="376">
        <f>IFERROR(VLOOKUP(C126,'تقرير المصروفات حسب الشهر'!$C$1397:$AI$1512,21,FALSE),0)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الشهر'!$C$10:$AD$119,21,FALSE),0)</f>
        <v>0</v>
      </c>
      <c r="E127" s="362">
        <f>IFERROR(VLOOKUP(C127,'تقرير المصروفات حسب الشهر'!$C$135:$AD$244,21,FALSE),0)</f>
        <v>0</v>
      </c>
      <c r="F127" s="362">
        <f>IFERROR(VLOOKUP(C127,'تقرير المصروفات حسب الشهر'!$C$261:$AD$368,21,FALSE),0)</f>
        <v>0</v>
      </c>
      <c r="G127" s="362">
        <f>IFERROR(VLOOKUP(C127,'تقرير المصروفات حسب الشهر'!$C$387:$AD$495,21,FALSE),0)</f>
        <v>0</v>
      </c>
      <c r="H127" s="362">
        <f>IFERROR(VLOOKUP(C127,'تقرير المصروفات حسب الشهر'!$C$512:$AD$620,21,FALSE),0)</f>
        <v>0</v>
      </c>
      <c r="I127" s="362">
        <f>IFERROR(VLOOKUP(C127,'تقرير المصروفات حسب الشهر'!$C$637:$AD$746,21,FALSE),0)</f>
        <v>0</v>
      </c>
      <c r="J127" s="362">
        <f>IFERROR(VLOOKUP(C127,'تقرير المصروفات حسب الشهر'!$C$763:$AD$872,21,FALSE),0)</f>
        <v>0</v>
      </c>
      <c r="K127" s="362">
        <f>IFERROR(VLOOKUP(C127,'تقرير المصروفات حسب الشهر'!$C$890:$AD$999,21,FALSE),0)</f>
        <v>0</v>
      </c>
      <c r="L127" s="362">
        <f>IFERROR(VLOOKUP(C127,'تقرير المصروفات حسب الشهر'!$C$1016:$AD$1126,21,FALSE),0)</f>
        <v>0</v>
      </c>
      <c r="M127" s="376">
        <f>IFERROR(VLOOKUP(C127,'تقرير المصروفات حسب الشهر'!$C$1143:$AD$1254,21,FALSE),0)</f>
        <v>0</v>
      </c>
      <c r="N127" s="376">
        <f>IFERROR(VLOOKUP(C127,'تقرير المصروفات حسب الشهر'!$C$1270:$AD$1381,21,FALSE),0)</f>
        <v>0</v>
      </c>
      <c r="O127" s="376">
        <f>IFERROR(VLOOKUP(C127,'تقرير المصروفات حسب الشهر'!$C$1397:$AI$1512,21,FALSE),0)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الشهر'!$C$10:$AD$119,21,FALSE),0)</f>
        <v>0</v>
      </c>
      <c r="E128" s="362">
        <f>IFERROR(VLOOKUP(C128,'تقرير المصروفات حسب الشهر'!$C$135:$AD$244,21,FALSE),0)</f>
        <v>0</v>
      </c>
      <c r="F128" s="362">
        <f>IFERROR(VLOOKUP(C128,'تقرير المصروفات حسب الشهر'!$C$261:$AD$368,21,FALSE),0)</f>
        <v>0</v>
      </c>
      <c r="G128" s="362">
        <f>IFERROR(VLOOKUP(C128,'تقرير المصروفات حسب الشهر'!$C$387:$AD$495,21,FALSE),0)</f>
        <v>0</v>
      </c>
      <c r="H128" s="362">
        <f>IFERROR(VLOOKUP(C128,'تقرير المصروفات حسب الشهر'!$C$512:$AD$620,21,FALSE),0)</f>
        <v>0</v>
      </c>
      <c r="I128" s="362">
        <f>IFERROR(VLOOKUP(C128,'تقرير المصروفات حسب الشهر'!$C$637:$AD$746,21,FALSE),0)</f>
        <v>0</v>
      </c>
      <c r="J128" s="362">
        <f>IFERROR(VLOOKUP(C128,'تقرير المصروفات حسب الشهر'!$C$763:$AD$872,21,FALSE),0)</f>
        <v>0</v>
      </c>
      <c r="K128" s="362">
        <f>IFERROR(VLOOKUP(C128,'تقرير المصروفات حسب الشهر'!$C$890:$AD$999,21,FALSE),0)</f>
        <v>0</v>
      </c>
      <c r="L128" s="362">
        <f>IFERROR(VLOOKUP(C128,'تقرير المصروفات حسب الشهر'!$C$1016:$AD$1126,21,FALSE),0)</f>
        <v>0</v>
      </c>
      <c r="M128" s="376">
        <f>IFERROR(VLOOKUP(C128,'تقرير المصروفات حسب الشهر'!$C$1143:$AD$1254,21,FALSE),0)</f>
        <v>0</v>
      </c>
      <c r="N128" s="376">
        <f>IFERROR(VLOOKUP(C128,'تقرير المصروفات حسب الشهر'!$C$1270:$AD$1381,21,FALSE),0)</f>
        <v>0</v>
      </c>
      <c r="O128" s="376">
        <f>IFERROR(VLOOKUP(C128,'تقرير المصروفات حسب الشهر'!$C$1397:$AI$1512,21,FALSE),0)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الشهر'!$C$10:$AD$119,21,FALSE),0)</f>
        <v>0</v>
      </c>
      <c r="E129" s="362">
        <f>IFERROR(VLOOKUP(C129,'تقرير المصروفات حسب الشهر'!$C$135:$AD$244,21,FALSE),0)</f>
        <v>0</v>
      </c>
      <c r="F129" s="362">
        <f>IFERROR(VLOOKUP(C129,'تقرير المصروفات حسب الشهر'!$C$261:$AD$368,21,FALSE),0)</f>
        <v>0</v>
      </c>
      <c r="G129" s="362">
        <f>IFERROR(VLOOKUP(C129,'تقرير المصروفات حسب الشهر'!$C$387:$AD$495,21,FALSE),0)</f>
        <v>0</v>
      </c>
      <c r="H129" s="362">
        <f>IFERROR(VLOOKUP(C129,'تقرير المصروفات حسب الشهر'!$C$512:$AD$620,21,FALSE),0)</f>
        <v>0</v>
      </c>
      <c r="I129" s="362">
        <f>IFERROR(VLOOKUP(C129,'تقرير المصروفات حسب الشهر'!$C$637:$AD$746,21,FALSE),0)</f>
        <v>0</v>
      </c>
      <c r="J129" s="362">
        <f>IFERROR(VLOOKUP(C129,'تقرير المصروفات حسب الشهر'!$C$763:$AD$872,21,FALSE),0)</f>
        <v>0</v>
      </c>
      <c r="K129" s="362">
        <f>IFERROR(VLOOKUP(C129,'تقرير المصروفات حسب الشهر'!$C$890:$AD$999,21,FALSE),0)</f>
        <v>0</v>
      </c>
      <c r="L129" s="362">
        <f>IFERROR(VLOOKUP(C129,'تقرير المصروفات حسب الشهر'!$C$1016:$AD$1126,21,FALSE),0)</f>
        <v>0</v>
      </c>
      <c r="M129" s="376">
        <f>IFERROR(VLOOKUP(C129,'تقرير المصروفات حسب الشهر'!$C$1143:$AD$1254,21,FALSE),0)</f>
        <v>0</v>
      </c>
      <c r="N129" s="376">
        <f>IFERROR(VLOOKUP(C129,'تقرير المصروفات حسب الشهر'!$C$1270:$AD$1381,21,FALSE),0)</f>
        <v>0</v>
      </c>
      <c r="O129" s="376">
        <f>IFERROR(VLOOKUP(C129,'تقرير المصروفات حسب الشهر'!$C$1397:$AI$1512,21,FALSE),0)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الشهر'!$C$10:$AD$119,21,FALSE),0)</f>
        <v>0</v>
      </c>
      <c r="E130" s="362">
        <f>IFERROR(VLOOKUP(C130,'تقرير المصروفات حسب الشهر'!$C$135:$AD$244,21,FALSE),0)</f>
        <v>0</v>
      </c>
      <c r="F130" s="362">
        <f>IFERROR(VLOOKUP(C130,'تقرير المصروفات حسب الشهر'!$C$261:$AD$368,21,FALSE),0)</f>
        <v>0</v>
      </c>
      <c r="G130" s="362">
        <f>IFERROR(VLOOKUP(C130,'تقرير المصروفات حسب الشهر'!$C$387:$AD$495,21,FALSE),0)</f>
        <v>0</v>
      </c>
      <c r="H130" s="362">
        <f>IFERROR(VLOOKUP(C130,'تقرير المصروفات حسب الشهر'!$C$512:$AD$620,21,FALSE),0)</f>
        <v>0</v>
      </c>
      <c r="I130" s="362">
        <f>IFERROR(VLOOKUP(C130,'تقرير المصروفات حسب الشهر'!$C$637:$AD$746,21,FALSE),0)</f>
        <v>0</v>
      </c>
      <c r="J130" s="362">
        <f>IFERROR(VLOOKUP(C130,'تقرير المصروفات حسب الشهر'!$C$763:$AD$872,21,FALSE),0)</f>
        <v>0</v>
      </c>
      <c r="K130" s="362">
        <f>IFERROR(VLOOKUP(C130,'تقرير المصروفات حسب الشهر'!$C$890:$AD$999,21,FALSE),0)</f>
        <v>0</v>
      </c>
      <c r="L130" s="362">
        <f>IFERROR(VLOOKUP(C130,'تقرير المصروفات حسب الشهر'!$C$1016:$AD$1126,21,FALSE),0)</f>
        <v>0</v>
      </c>
      <c r="M130" s="376">
        <f>IFERROR(VLOOKUP(C130,'تقرير المصروفات حسب الشهر'!$C$1143:$AD$1254,21,FALSE),0)</f>
        <v>0</v>
      </c>
      <c r="N130" s="376">
        <f>IFERROR(VLOOKUP(C130,'تقرير المصروفات حسب الشهر'!$C$1270:$AD$1381,21,FALSE),0)</f>
        <v>0</v>
      </c>
      <c r="O130" s="376">
        <f>IFERROR(VLOOKUP(C130,'تقرير المصروفات حسب الشهر'!$C$1397:$AI$1512,21,FALSE),0)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الشهر'!$C$10:$AD$119,21,FALSE),0)</f>
        <v>0</v>
      </c>
      <c r="E131" s="362">
        <f>IFERROR(VLOOKUP(C131,'تقرير المصروفات حسب الشهر'!$C$135:$AD$244,21,FALSE),0)</f>
        <v>0</v>
      </c>
      <c r="F131" s="362">
        <f>IFERROR(VLOOKUP(C131,'تقرير المصروفات حسب الشهر'!$C$261:$AD$368,21,FALSE),0)</f>
        <v>0</v>
      </c>
      <c r="G131" s="362">
        <f>IFERROR(VLOOKUP(C131,'تقرير المصروفات حسب الشهر'!$C$387:$AD$495,21,FALSE),0)</f>
        <v>0</v>
      </c>
      <c r="H131" s="362">
        <f>IFERROR(VLOOKUP(C131,'تقرير المصروفات حسب الشهر'!$C$512:$AD$620,21,FALSE),0)</f>
        <v>0</v>
      </c>
      <c r="I131" s="362">
        <f>IFERROR(VLOOKUP(C131,'تقرير المصروفات حسب الشهر'!$C$637:$AD$746,21,FALSE),0)</f>
        <v>0</v>
      </c>
      <c r="J131" s="362">
        <f>IFERROR(VLOOKUP(C131,'تقرير المصروفات حسب الشهر'!$C$763:$AD$872,21,FALSE),0)</f>
        <v>0</v>
      </c>
      <c r="K131" s="362">
        <f>IFERROR(VLOOKUP(C131,'تقرير المصروفات حسب الشهر'!$C$890:$AD$999,21,FALSE),0)</f>
        <v>0</v>
      </c>
      <c r="L131" s="362">
        <f>IFERROR(VLOOKUP(C131,'تقرير المصروفات حسب الشهر'!$C$1016:$AD$1126,21,FALSE),0)</f>
        <v>0</v>
      </c>
      <c r="M131" s="376">
        <f>IFERROR(VLOOKUP(C131,'تقرير المصروفات حسب الشهر'!$C$1143:$AD$1254,21,FALSE),0)</f>
        <v>0</v>
      </c>
      <c r="N131" s="376">
        <f>IFERROR(VLOOKUP(C131,'تقرير المصروفات حسب الشهر'!$C$1270:$AD$1381,21,FALSE),0)</f>
        <v>0</v>
      </c>
      <c r="O131" s="376">
        <f>IFERROR(VLOOKUP(C131,'تقرير المصروفات حسب الشهر'!$C$1397:$AI$1512,21,FALSE),0)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10238.779999999999</v>
      </c>
      <c r="E132" s="146">
        <f t="shared" si="7"/>
        <v>9886.8399999999983</v>
      </c>
      <c r="F132" s="146">
        <f t="shared" si="7"/>
        <v>9782.7900000000009</v>
      </c>
      <c r="G132" s="146">
        <f t="shared" si="7"/>
        <v>13162.08</v>
      </c>
      <c r="H132" s="146">
        <f t="shared" si="7"/>
        <v>13332.189999999999</v>
      </c>
      <c r="I132" s="146">
        <f t="shared" si="7"/>
        <v>14417.42</v>
      </c>
      <c r="J132" s="146">
        <f t="shared" si="7"/>
        <v>11675.51</v>
      </c>
      <c r="K132" s="146">
        <f t="shared" si="7"/>
        <v>15397.939999999999</v>
      </c>
      <c r="L132" s="146">
        <f t="shared" si="7"/>
        <v>13203.819999999998</v>
      </c>
      <c r="M132" s="146">
        <f t="shared" si="7"/>
        <v>15524.32</v>
      </c>
      <c r="N132" s="146">
        <f t="shared" si="7"/>
        <v>14470.529999999999</v>
      </c>
      <c r="O132" s="146">
        <f t="shared" si="7"/>
        <v>25201.38</v>
      </c>
      <c r="P132" s="388">
        <f t="shared" si="6"/>
        <v>166293.59999999998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35610.280000000028</v>
      </c>
      <c r="E134" s="392">
        <f t="shared" si="8"/>
        <v>33337.970000000016</v>
      </c>
      <c r="F134" s="392">
        <f t="shared" si="8"/>
        <v>25633.680000000022</v>
      </c>
      <c r="G134" s="392">
        <f t="shared" si="8"/>
        <v>56859.199999999968</v>
      </c>
      <c r="H134" s="392">
        <f t="shared" si="8"/>
        <v>120706.91000000002</v>
      </c>
      <c r="I134" s="392">
        <f t="shared" si="8"/>
        <v>105883.39000000001</v>
      </c>
      <c r="J134" s="392">
        <f t="shared" si="8"/>
        <v>48141.749999999985</v>
      </c>
      <c r="K134" s="392">
        <f t="shared" si="8"/>
        <v>58136.869999999995</v>
      </c>
      <c r="L134" s="392">
        <f t="shared" si="8"/>
        <v>96202.289999999979</v>
      </c>
      <c r="M134" s="392">
        <f t="shared" si="8"/>
        <v>56904.080000000016</v>
      </c>
      <c r="N134" s="392">
        <f t="shared" si="8"/>
        <v>78894.38</v>
      </c>
      <c r="O134" s="392">
        <f t="shared" si="8"/>
        <v>94828.429999999964</v>
      </c>
      <c r="P134" s="388">
        <f t="shared" si="6"/>
        <v>811139.2300000001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25371.500000000029</v>
      </c>
      <c r="E137" s="383">
        <f t="shared" ref="E137:O137" si="9">E134-E132</f>
        <v>23451.130000000019</v>
      </c>
      <c r="F137" s="383">
        <f t="shared" si="9"/>
        <v>15850.890000000021</v>
      </c>
      <c r="G137" s="383">
        <f t="shared" si="9"/>
        <v>43697.119999999966</v>
      </c>
      <c r="H137" s="383">
        <f t="shared" si="9"/>
        <v>107374.72000000002</v>
      </c>
      <c r="I137" s="383">
        <f t="shared" si="9"/>
        <v>91465.970000000016</v>
      </c>
      <c r="J137" s="383">
        <f t="shared" si="9"/>
        <v>36466.239999999983</v>
      </c>
      <c r="K137" s="383">
        <f t="shared" si="9"/>
        <v>42738.929999999993</v>
      </c>
      <c r="L137" s="383">
        <f t="shared" si="9"/>
        <v>82998.469999999987</v>
      </c>
      <c r="M137" s="383">
        <f t="shared" si="9"/>
        <v>41379.760000000017</v>
      </c>
      <c r="N137" s="383">
        <f t="shared" si="9"/>
        <v>64423.850000000006</v>
      </c>
      <c r="O137" s="383">
        <f t="shared" si="9"/>
        <v>69627.049999999959</v>
      </c>
      <c r="P137" s="387">
        <f>SUM(D137:O137)</f>
        <v>644845.63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J141" s="233">
        <f>36466.24-J137</f>
        <v>0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50">
    <tabColor rgb="FFFFC000"/>
  </sheetPr>
  <dimension ref="A1:T142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340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179</v>
      </c>
      <c r="B8" s="390"/>
      <c r="C8" s="369" t="s">
        <v>114</v>
      </c>
      <c r="D8" s="364">
        <f>D9+D10+D11</f>
        <v>410087.76999999996</v>
      </c>
      <c r="E8" s="364">
        <f t="shared" ref="E8:O8" si="0">E9+E10+E11</f>
        <v>429278.36</v>
      </c>
      <c r="F8" s="364">
        <f t="shared" si="0"/>
        <v>491716.06</v>
      </c>
      <c r="G8" s="364">
        <f t="shared" si="0"/>
        <v>480123.48000000004</v>
      </c>
      <c r="H8" s="364">
        <f t="shared" si="0"/>
        <v>463108.37</v>
      </c>
      <c r="I8" s="364">
        <f t="shared" si="0"/>
        <v>533255.16</v>
      </c>
      <c r="J8" s="364">
        <f t="shared" si="0"/>
        <v>697487.87999999989</v>
      </c>
      <c r="K8" s="364">
        <f t="shared" si="0"/>
        <v>621926.02999999991</v>
      </c>
      <c r="L8" s="364">
        <f t="shared" si="0"/>
        <v>697455.47</v>
      </c>
      <c r="M8" s="364">
        <f t="shared" si="0"/>
        <v>697762.56</v>
      </c>
      <c r="N8" s="364">
        <f t="shared" si="0"/>
        <v>652089.67999999993</v>
      </c>
      <c r="O8" s="364">
        <f t="shared" si="0"/>
        <v>747501.23</v>
      </c>
      <c r="P8" s="364">
        <f>SUM(D8:O8)</f>
        <v>6921792.0500000007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0</v>
      </c>
      <c r="E9" s="365">
        <f>VLOOKUP($A$8,'تقرير إحصائية بحجم المبيعات'!$B$42:$G$73,2,FALSE)</f>
        <v>2633.539999999979</v>
      </c>
      <c r="F9" s="365">
        <f>VLOOKUP($A$8,'تقرير إحصائية بحجم المبيعات'!$B$78:$E$103,2,FALSE)</f>
        <v>1025.640000000014</v>
      </c>
      <c r="G9" s="365">
        <f>VLOOKUP($A$8,'تقرير إحصائية بحجم المبيعات'!$B$112:$G$137,2,FALSE)</f>
        <v>606.23000000002548</v>
      </c>
      <c r="H9" s="365">
        <f>VLOOKUP($A$8,'تقرير إحصائية بحجم المبيعات'!$B$147:$G$177,2,FALSE)</f>
        <v>1644.9000000000233</v>
      </c>
      <c r="I9" s="365">
        <f>VLOOKUP($A$8,'تقرير إحصائية بحجم المبيعات'!$B$182:$G$212,2,FALSE)</f>
        <v>416.29000000003725</v>
      </c>
      <c r="J9" s="365">
        <f>VLOOKUP($A$8,'تقرير إحصائية بحجم المبيعات'!$B$217:$L$243,2,FALSE)</f>
        <v>57245.459999999846</v>
      </c>
      <c r="K9" s="365">
        <f>VLOOKUP($A$8,'تقرير إحصائية بحجم المبيعات'!$B$252:$L$278,2,FALSE)</f>
        <v>2238.0599999999395</v>
      </c>
      <c r="L9" s="365">
        <f>VLOOKUP($A$8,'تقرير إحصائية بحجم المبيعات'!$B$287:$L$313,2,FALSE)</f>
        <v>102454.62</v>
      </c>
      <c r="M9" s="365">
        <f>VLOOKUP($A$8,'تقرير إحصائية بحجم المبيعات'!$B$322:$L$347,2,FALSE)</f>
        <v>54440.75</v>
      </c>
      <c r="N9" s="365">
        <f>VLOOKUP($A$8,'تقرير إحصائية بحجم المبيعات'!$B$357:$L$383,2,FALSE)</f>
        <v>-616.0100000000466</v>
      </c>
      <c r="O9" s="365">
        <f>VLOOKUP($A$8,'تقرير إحصائية بحجم المبيعات'!$B$391:$L$420,2,FALSE)</f>
        <v>6812.3499999999767</v>
      </c>
      <c r="P9" s="364">
        <f t="shared" ref="P9:P18" si="1">SUM(D9:O9)</f>
        <v>228901.82999999981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410087.76999999996</v>
      </c>
      <c r="E11" s="365">
        <f>VLOOKUP($A$8,'تقرير إحصائية بحجم المبيعات'!$B$42:$G$73,4,FALSE)</f>
        <v>426644.82</v>
      </c>
      <c r="F11" s="365">
        <f>VLOOKUP($A$8,'تقرير إحصائية بحجم المبيعات'!$B$78:$E$103,4,FALSE)</f>
        <v>490690.42</v>
      </c>
      <c r="G11" s="365">
        <f>VLOOKUP($A$8,'تقرير إحصائية بحجم المبيعات'!$B$112:$G$137,4,FALSE)</f>
        <v>479517.25</v>
      </c>
      <c r="H11" s="365">
        <f>VLOOKUP($A$8,'تقرير إحصائية بحجم المبيعات'!$B$147:$G$177,4,FALSE)</f>
        <v>461463.47</v>
      </c>
      <c r="I11" s="365">
        <f>VLOOKUP($A$8,'تقرير إحصائية بحجم المبيعات'!$B$182:$G$212,4,FALSE)</f>
        <v>532838.87</v>
      </c>
      <c r="J11" s="365">
        <f>VLOOKUP($A$8,'تقرير إحصائية بحجم المبيعات'!$B$217:$L$243,4,FALSE)</f>
        <v>640242.42000000004</v>
      </c>
      <c r="K11" s="365">
        <f>VLOOKUP($A$8,'تقرير إحصائية بحجم المبيعات'!$B$252:$L$278,4,FALSE)</f>
        <v>619687.97</v>
      </c>
      <c r="L11" s="365">
        <f>VLOOKUP($A$8,'تقرير إحصائية بحجم المبيعات'!$B$287:$L$313,4,FALSE)</f>
        <v>595000.85</v>
      </c>
      <c r="M11" s="365">
        <f>VLOOKUP($A$8,'تقرير إحصائية بحجم المبيعات'!$B$322:$L$347,4,FALSE)</f>
        <v>643321.81000000006</v>
      </c>
      <c r="N11" s="365">
        <f>VLOOKUP($A$8,'تقرير إحصائية بحجم المبيعات'!$B$357:$L$383,4,FALSE)</f>
        <v>652705.68999999994</v>
      </c>
      <c r="O11" s="365">
        <f>VLOOKUP($A$8,'تقرير إحصائية بحجم المبيعات'!$B$391:$L$420,4,FALSE)</f>
        <v>740688.88</v>
      </c>
      <c r="P11" s="364">
        <f t="shared" si="1"/>
        <v>6692890.2199999997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345316.84</v>
      </c>
      <c r="E12" s="364">
        <f>VLOOKUP($A$8,'تقرير إحصائية بحجم المبيعات'!$B$42:$L$73,11,FALSE)</f>
        <v>366654.83</v>
      </c>
      <c r="F12" s="364">
        <f>VLOOKUP($A$8,'تقرير إحصائية بحجم المبيعات'!$B$78:$L$103,11,FALSE)</f>
        <v>421096.09</v>
      </c>
      <c r="G12" s="364">
        <f>VLOOKUP($A$8,'تقرير إحصائية بحجم المبيعات'!$B$112:$L$137,11,FALSE)</f>
        <v>409723.18</v>
      </c>
      <c r="H12" s="364">
        <f>VLOOKUP($A$8,'تقرير إحصائية بحجم المبيعات'!$B$147:$L$177,11,FALSE)</f>
        <v>398538.59</v>
      </c>
      <c r="I12" s="364">
        <f>VLOOKUP($A$8,'تقرير إحصائية بحجم المبيعات'!$B$182:$L$212,11,FALSE)</f>
        <v>436669.43</v>
      </c>
      <c r="J12" s="365">
        <f>VLOOKUP($A$8,'تقرير إحصائية بحجم المبيعات'!$B$217:$L$243,11,FALSE)</f>
        <v>587489.88</v>
      </c>
      <c r="K12" s="364">
        <f>VLOOKUP($A$8,'تقرير إحصائية بحجم المبيعات'!$B$252:$L$278,11,FALSE)</f>
        <v>533019.09</v>
      </c>
      <c r="L12" s="364">
        <f>VLOOKUP($A$8,'تقرير إحصائية بحجم المبيعات'!$B$287:$L$313,11,FALSE)</f>
        <v>588827.4</v>
      </c>
      <c r="M12" s="365">
        <f>VLOOKUP($A$8,'تقرير إحصائية بحجم المبيعات'!$B$322:$L$347,11,FALSE)</f>
        <v>594034.04</v>
      </c>
      <c r="N12" s="365">
        <f>VLOOKUP($A$8,'تقرير إحصائية بحجم المبيعات'!$B$357:$L$383,11,FALSE)</f>
        <v>556940.98</v>
      </c>
      <c r="O12" s="365">
        <f>VLOOKUP($A$8,'تقرير إحصائية بحجم المبيعات'!$B$391:$L$420,11,FALSE)</f>
        <v>635402.67000000004</v>
      </c>
      <c r="P12" s="364">
        <f t="shared" si="1"/>
        <v>5873713.0199999996</v>
      </c>
    </row>
    <row r="13" spans="1:20" ht="18" customHeight="1">
      <c r="B13" s="124"/>
      <c r="C13" s="371" t="s">
        <v>14</v>
      </c>
      <c r="D13" s="366">
        <f t="shared" ref="D13:O13" si="2">D8-D12</f>
        <v>64770.929999999935</v>
      </c>
      <c r="E13" s="366">
        <f t="shared" si="2"/>
        <v>62623.52999999997</v>
      </c>
      <c r="F13" s="366">
        <f t="shared" si="2"/>
        <v>70619.969999999972</v>
      </c>
      <c r="G13" s="366">
        <f t="shared" si="2"/>
        <v>70400.300000000047</v>
      </c>
      <c r="H13" s="366">
        <f t="shared" si="2"/>
        <v>64569.77999999997</v>
      </c>
      <c r="I13" s="366">
        <f t="shared" si="2"/>
        <v>96585.73000000004</v>
      </c>
      <c r="J13" s="366">
        <f t="shared" si="2"/>
        <v>109997.99999999988</v>
      </c>
      <c r="K13" s="366">
        <f t="shared" si="2"/>
        <v>88906.939999999944</v>
      </c>
      <c r="L13" s="366">
        <f t="shared" si="2"/>
        <v>108628.06999999995</v>
      </c>
      <c r="M13" s="366">
        <f t="shared" si="2"/>
        <v>103728.52000000002</v>
      </c>
      <c r="N13" s="366">
        <f t="shared" si="2"/>
        <v>95148.699999999953</v>
      </c>
      <c r="O13" s="366">
        <f t="shared" si="2"/>
        <v>112098.55999999994</v>
      </c>
      <c r="P13" s="366">
        <f t="shared" si="1"/>
        <v>1048079.0299999996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32079.41</v>
      </c>
      <c r="E16" s="367"/>
      <c r="F16" s="367">
        <v>63025.33</v>
      </c>
      <c r="G16" s="367">
        <v>45070.810000000005</v>
      </c>
      <c r="H16" s="367">
        <v>41279.230000000003</v>
      </c>
      <c r="I16" s="367">
        <v>43184.61</v>
      </c>
      <c r="J16" s="367">
        <v>51815.85</v>
      </c>
      <c r="K16" s="367">
        <v>51506.210000000006</v>
      </c>
      <c r="L16" s="367">
        <v>70156.380000000019</v>
      </c>
      <c r="M16" s="367">
        <v>40810.99</v>
      </c>
      <c r="N16" s="367">
        <v>70650.5</v>
      </c>
      <c r="O16" s="367">
        <v>73507.070000000007</v>
      </c>
      <c r="P16" s="364">
        <f t="shared" si="1"/>
        <v>583086.39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32079.41</v>
      </c>
      <c r="E18" s="363">
        <f t="shared" ref="E18:O18" si="3">SUM(E14:E17)</f>
        <v>0</v>
      </c>
      <c r="F18" s="363">
        <f t="shared" si="3"/>
        <v>63025.33</v>
      </c>
      <c r="G18" s="363">
        <f t="shared" si="3"/>
        <v>45070.810000000005</v>
      </c>
      <c r="H18" s="363">
        <f t="shared" si="3"/>
        <v>41279.230000000003</v>
      </c>
      <c r="I18" s="363">
        <f t="shared" si="3"/>
        <v>43184.61</v>
      </c>
      <c r="J18" s="363">
        <f t="shared" si="3"/>
        <v>51815.85</v>
      </c>
      <c r="K18" s="363">
        <f t="shared" si="3"/>
        <v>51506.210000000006</v>
      </c>
      <c r="L18" s="363">
        <f t="shared" si="3"/>
        <v>70156.380000000019</v>
      </c>
      <c r="M18" s="368">
        <f t="shared" si="3"/>
        <v>40810.99</v>
      </c>
      <c r="N18" s="368">
        <f t="shared" si="3"/>
        <v>70650.5</v>
      </c>
      <c r="O18" s="368">
        <f t="shared" si="3"/>
        <v>73507.070000000007</v>
      </c>
      <c r="P18" s="364">
        <f t="shared" si="1"/>
        <v>583086.39</v>
      </c>
    </row>
    <row r="19" spans="2:16" ht="18" customHeight="1">
      <c r="B19" s="124"/>
      <c r="C19" s="386" t="s">
        <v>14</v>
      </c>
      <c r="D19" s="374">
        <f t="shared" ref="D19:O19" si="4">D13+D18</f>
        <v>96850.339999999938</v>
      </c>
      <c r="E19" s="374">
        <f t="shared" si="4"/>
        <v>62623.52999999997</v>
      </c>
      <c r="F19" s="374">
        <f t="shared" si="4"/>
        <v>133645.29999999999</v>
      </c>
      <c r="G19" s="374">
        <f t="shared" si="4"/>
        <v>115471.11000000004</v>
      </c>
      <c r="H19" s="374">
        <f t="shared" si="4"/>
        <v>105849.00999999998</v>
      </c>
      <c r="I19" s="374">
        <f t="shared" si="4"/>
        <v>139770.34000000003</v>
      </c>
      <c r="J19" s="374">
        <f t="shared" si="4"/>
        <v>161813.84999999989</v>
      </c>
      <c r="K19" s="374">
        <f t="shared" si="4"/>
        <v>140413.14999999997</v>
      </c>
      <c r="L19" s="374">
        <f t="shared" si="4"/>
        <v>178784.44999999995</v>
      </c>
      <c r="M19" s="374">
        <f t="shared" si="4"/>
        <v>144539.51</v>
      </c>
      <c r="N19" s="374">
        <f t="shared" si="4"/>
        <v>165799.19999999995</v>
      </c>
      <c r="O19" s="374">
        <f t="shared" si="4"/>
        <v>185605.62999999995</v>
      </c>
      <c r="P19" s="382">
        <f>SUM(D19:O19)</f>
        <v>1631165.4199999995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الشهر'!$C$10:$AD$119,22,FALSE),0)</f>
        <v>0</v>
      </c>
      <c r="E22" s="362">
        <f>IFERROR(VLOOKUP(C22,'تقرير المصروفات حسب الشهر'!$C$135:$AD$244,22,FALSE),0)</f>
        <v>0</v>
      </c>
      <c r="F22" s="362">
        <f>IFERROR(VLOOKUP(C22,'تقرير المصروفات حسب الشهر'!$C$261:$AD$368,22,FALSE),0)</f>
        <v>0</v>
      </c>
      <c r="G22" s="362">
        <f>IFERROR(VLOOKUP(C22,'تقرير المصروفات حسب الشهر'!$C$387:$AD$495,22,FALSE),0)</f>
        <v>0</v>
      </c>
      <c r="H22" s="362">
        <f>IFERROR(VLOOKUP(C22,'تقرير المصروفات حسب الشهر'!$C$512:$AD$620,22,FALSE),0)</f>
        <v>0</v>
      </c>
      <c r="I22" s="362">
        <f>IFERROR(VLOOKUP(C22,'تقرير المصروفات حسب الشهر'!$C$637:$AD$746,22,FALSE),0)</f>
        <v>0</v>
      </c>
      <c r="J22" s="362">
        <f>IFERROR(VLOOKUP(C22,'تقرير المصروفات حسب الشهر'!$C$763:$AD$872,22,FALSE),0)</f>
        <v>0</v>
      </c>
      <c r="K22" s="362">
        <f>IFERROR(VLOOKUP(C22,'تقرير المصروفات حسب الشهر'!$C$890:$AD$999,22,FALSE),0)</f>
        <v>0</v>
      </c>
      <c r="L22" s="362">
        <f>IFERROR(VLOOKUP(C22,'تقرير المصروفات حسب الشهر'!$C$1016:$AD$1126,22,FALSE),0)</f>
        <v>0</v>
      </c>
      <c r="M22" s="376">
        <f>IFERROR(VLOOKUP(C22,'تقرير المصروفات حسب الشهر'!$C$1143:$AD$1254,22,FALSE),0)</f>
        <v>0</v>
      </c>
      <c r="N22" s="376">
        <f>IFERROR(VLOOKUP(C22,'تقرير المصروفات حسب الشهر'!$C$1270:$AD$1381,22,FALSE),0)</f>
        <v>0</v>
      </c>
      <c r="O22" s="376">
        <f>IFERROR(VLOOKUP(C22,'تقرير المصروفات حسب الشهر'!$C$1397:$AD$1512,22,FALSE),0)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الشهر'!$C$10:$AD$119,22,FALSE),0)</f>
        <v>9145.4</v>
      </c>
      <c r="E23" s="362">
        <f>IFERROR(VLOOKUP(C23,'تقرير المصروفات حسب الشهر'!$C$135:$AD$244,22,FALSE),0)</f>
        <v>9592.2000000000007</v>
      </c>
      <c r="F23" s="362">
        <f>IFERROR(VLOOKUP(C23,'تقرير المصروفات حسب الشهر'!$C$261:$AD$368,22,FALSE),0)</f>
        <v>9373.7200000000012</v>
      </c>
      <c r="G23" s="362">
        <f>IFERROR(VLOOKUP(C23,'تقرير المصروفات حسب الشهر'!$C$387:$AD$495,22,FALSE),0)</f>
        <v>9367.7999999999993</v>
      </c>
      <c r="H23" s="362">
        <f>IFERROR(VLOOKUP(C23,'تقرير المصروفات حسب الشهر'!$C$512:$AD$620,22,FALSE),0)</f>
        <v>10621.7</v>
      </c>
      <c r="I23" s="362">
        <f>IFERROR(VLOOKUP(C23,'تقرير المصروفات حسب الشهر'!$C$637:$AD$746,22,FALSE),0)</f>
        <v>11646.16</v>
      </c>
      <c r="J23" s="362">
        <f>IFERROR(VLOOKUP(C23,'تقرير المصروفات حسب الشهر'!$C$763:$AD$872,22,FALSE),0)</f>
        <v>10825</v>
      </c>
      <c r="K23" s="362">
        <f>IFERROR(VLOOKUP(C23,'تقرير المصروفات حسب الشهر'!$C$890:$AD$999,22,FALSE),0)</f>
        <v>10659.62</v>
      </c>
      <c r="L23" s="362">
        <f>IFERROR(VLOOKUP(C23,'تقرير المصروفات حسب الشهر'!$C$1016:$AD$1126,22,FALSE),0)</f>
        <v>11460.880000000001</v>
      </c>
      <c r="M23" s="376">
        <f>IFERROR(VLOOKUP(C23,'تقرير المصروفات حسب الشهر'!$C$1143:$AD$1254,22,FALSE),0)</f>
        <v>11427.13</v>
      </c>
      <c r="N23" s="376">
        <f>IFERROR(VLOOKUP(C23,'تقرير المصروفات حسب الشهر'!$C$1270:$AD$1381,22,FALSE),0)</f>
        <v>11044.2</v>
      </c>
      <c r="O23" s="376">
        <f>IFERROR(VLOOKUP(C23,'تقرير المصروفات حسب الشهر'!$C$1397:$AD$1512,22,FALSE),0)</f>
        <v>11042.31</v>
      </c>
      <c r="P23" s="364">
        <f t="shared" ref="P23:P86" si="5">SUM(D23:O23)</f>
        <v>126206.12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الشهر'!$C$10:$AD$119,22,FALSE),0)</f>
        <v>0</v>
      </c>
      <c r="E24" s="362">
        <f>IFERROR(VLOOKUP(C24,'تقرير المصروفات حسب الشهر'!$C$135:$AD$244,22,FALSE),0)</f>
        <v>0</v>
      </c>
      <c r="F24" s="362">
        <f>IFERROR(VLOOKUP(C24,'تقرير المصروفات حسب الشهر'!$C$261:$AD$368,22,FALSE),0)</f>
        <v>0</v>
      </c>
      <c r="G24" s="362">
        <f>IFERROR(VLOOKUP(C24,'تقرير المصروفات حسب الشهر'!$C$387:$AD$495,22,FALSE),0)</f>
        <v>0</v>
      </c>
      <c r="H24" s="362">
        <f>IFERROR(VLOOKUP(C24,'تقرير المصروفات حسب الشهر'!$C$512:$AD$620,22,FALSE),0)</f>
        <v>0</v>
      </c>
      <c r="I24" s="362">
        <f>IFERROR(VLOOKUP(C24,'تقرير المصروفات حسب الشهر'!$C$637:$AD$746,22,FALSE),0)</f>
        <v>0</v>
      </c>
      <c r="J24" s="362">
        <f>IFERROR(VLOOKUP(C24,'تقرير المصروفات حسب الشهر'!$C$763:$AD$872,22,FALSE),0)</f>
        <v>0</v>
      </c>
      <c r="K24" s="362">
        <f>IFERROR(VLOOKUP(C24,'تقرير المصروفات حسب الشهر'!$C$890:$AD$999,22,FALSE),0)</f>
        <v>0</v>
      </c>
      <c r="L24" s="362">
        <f>IFERROR(VLOOKUP(C24,'تقرير المصروفات حسب الشهر'!$C$1016:$AD$1126,22,FALSE),0)</f>
        <v>0</v>
      </c>
      <c r="M24" s="376">
        <f>IFERROR(VLOOKUP(C24,'تقرير المصروفات حسب الشهر'!$C$1143:$AD$1254,22,FALSE),0)</f>
        <v>0</v>
      </c>
      <c r="N24" s="376">
        <f>IFERROR(VLOOKUP(C24,'تقرير المصروفات حسب الشهر'!$C$1270:$AD$1381,22,FALSE),0)</f>
        <v>0</v>
      </c>
      <c r="O24" s="376">
        <f>IFERROR(VLOOKUP(C24,'تقرير المصروفات حسب الشهر'!$C$1397:$AD$1512,22,FALSE),0)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الشهر'!$C$10:$AD$119,22,FALSE),0)</f>
        <v>0</v>
      </c>
      <c r="E25" s="362">
        <f>IFERROR(VLOOKUP(C25,'تقرير المصروفات حسب الشهر'!$C$135:$AD$244,22,FALSE),0)</f>
        <v>0</v>
      </c>
      <c r="F25" s="362">
        <f>IFERROR(VLOOKUP(C25,'تقرير المصروفات حسب الشهر'!$C$261:$AD$368,22,FALSE),0)</f>
        <v>0</v>
      </c>
      <c r="G25" s="362">
        <f>IFERROR(VLOOKUP(C25,'تقرير المصروفات حسب الشهر'!$C$387:$AD$495,22,FALSE),0)</f>
        <v>0</v>
      </c>
      <c r="H25" s="362">
        <f>IFERROR(VLOOKUP(C25,'تقرير المصروفات حسب الشهر'!$C$512:$AD$620,22,FALSE),0)</f>
        <v>0</v>
      </c>
      <c r="I25" s="362">
        <f>IFERROR(VLOOKUP(C25,'تقرير المصروفات حسب الشهر'!$C$637:$AD$746,22,FALSE),0)</f>
        <v>0</v>
      </c>
      <c r="J25" s="362">
        <f>IFERROR(VLOOKUP(C25,'تقرير المصروفات حسب الشهر'!$C$763:$AD$872,22,FALSE),0)</f>
        <v>0</v>
      </c>
      <c r="K25" s="362">
        <f>IFERROR(VLOOKUP(C25,'تقرير المصروفات حسب الشهر'!$C$890:$AD$999,22,FALSE),0)</f>
        <v>0</v>
      </c>
      <c r="L25" s="362">
        <f>IFERROR(VLOOKUP(C25,'تقرير المصروفات حسب الشهر'!$C$1016:$AD$1126,22,FALSE),0)</f>
        <v>0</v>
      </c>
      <c r="M25" s="376">
        <f>IFERROR(VLOOKUP(C25,'تقرير المصروفات حسب الشهر'!$C$1143:$AD$1254,22,FALSE),0)</f>
        <v>0</v>
      </c>
      <c r="N25" s="376">
        <f>IFERROR(VLOOKUP(C25,'تقرير المصروفات حسب الشهر'!$C$1270:$AD$1381,22,FALSE),0)</f>
        <v>0</v>
      </c>
      <c r="O25" s="376">
        <f>IFERROR(VLOOKUP(C25,'تقرير المصروفات حسب الشهر'!$C$1397:$AD$1512,22,FALSE),0)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الشهر'!$C$10:$AD$119,22,FALSE),0)</f>
        <v>0</v>
      </c>
      <c r="E26" s="362">
        <f>IFERROR(VLOOKUP(C26,'تقرير المصروفات حسب الشهر'!$C$135:$AD$244,22,FALSE),0)</f>
        <v>0</v>
      </c>
      <c r="F26" s="362">
        <f>IFERROR(VLOOKUP(C26,'تقرير المصروفات حسب الشهر'!$C$261:$AD$368,22,FALSE),0)</f>
        <v>0</v>
      </c>
      <c r="G26" s="362">
        <f>IFERROR(VLOOKUP(C26,'تقرير المصروفات حسب الشهر'!$C$387:$AD$495,22,FALSE),0)</f>
        <v>0</v>
      </c>
      <c r="H26" s="362">
        <f>IFERROR(VLOOKUP(C26,'تقرير المصروفات حسب الشهر'!$C$512:$AD$620,22,FALSE),0)</f>
        <v>0</v>
      </c>
      <c r="I26" s="362">
        <f>IFERROR(VLOOKUP(C26,'تقرير المصروفات حسب الشهر'!$C$637:$AD$746,22,FALSE),0)</f>
        <v>0</v>
      </c>
      <c r="J26" s="362">
        <f>IFERROR(VLOOKUP(C26,'تقرير المصروفات حسب الشهر'!$C$763:$AD$872,22,FALSE),0)</f>
        <v>0</v>
      </c>
      <c r="K26" s="362">
        <f>IFERROR(VLOOKUP(C26,'تقرير المصروفات حسب الشهر'!$C$890:$AD$999,22,FALSE),0)</f>
        <v>0</v>
      </c>
      <c r="L26" s="362">
        <f>IFERROR(VLOOKUP(C26,'تقرير المصروفات حسب الشهر'!$C$1016:$AD$1126,22,FALSE),0)</f>
        <v>0</v>
      </c>
      <c r="M26" s="376">
        <f>IFERROR(VLOOKUP(C26,'تقرير المصروفات حسب الشهر'!$C$1143:$AD$1254,22,FALSE),0)</f>
        <v>0</v>
      </c>
      <c r="N26" s="376">
        <f>IFERROR(VLOOKUP(C26,'تقرير المصروفات حسب الشهر'!$C$1270:$AD$1381,22,FALSE),0)</f>
        <v>0</v>
      </c>
      <c r="O26" s="376">
        <f>IFERROR(VLOOKUP(C26,'تقرير المصروفات حسب الشهر'!$C$1397:$AD$1512,22,FALSE),0)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الشهر'!$C$10:$AD$119,22,FALSE),0)</f>
        <v>0</v>
      </c>
      <c r="E27" s="362">
        <f>IFERROR(VLOOKUP(C27,'تقرير المصروفات حسب الشهر'!$C$135:$AD$244,22,FALSE),0)</f>
        <v>0</v>
      </c>
      <c r="F27" s="362">
        <f>IFERROR(VLOOKUP(C27,'تقرير المصروفات حسب الشهر'!$C$261:$AD$368,22,FALSE),0)</f>
        <v>0</v>
      </c>
      <c r="G27" s="362">
        <f>IFERROR(VLOOKUP(C27,'تقرير المصروفات حسب الشهر'!$C$387:$AD$495,22,FALSE),0)</f>
        <v>0</v>
      </c>
      <c r="H27" s="362">
        <f>IFERROR(VLOOKUP(C27,'تقرير المصروفات حسب الشهر'!$C$512:$AD$620,22,FALSE),0)</f>
        <v>0</v>
      </c>
      <c r="I27" s="362">
        <f>IFERROR(VLOOKUP(C27,'تقرير المصروفات حسب الشهر'!$C$637:$AD$746,22,FALSE),0)</f>
        <v>0</v>
      </c>
      <c r="J27" s="362">
        <f>IFERROR(VLOOKUP(C27,'تقرير المصروفات حسب الشهر'!$C$763:$AD$872,22,FALSE),0)</f>
        <v>0</v>
      </c>
      <c r="K27" s="362">
        <f>IFERROR(VLOOKUP(C27,'تقرير المصروفات حسب الشهر'!$C$890:$AD$999,22,FALSE),0)</f>
        <v>0</v>
      </c>
      <c r="L27" s="362">
        <f>IFERROR(VLOOKUP(C27,'تقرير المصروفات حسب الشهر'!$C$1016:$AD$1126,22,FALSE),0)</f>
        <v>0</v>
      </c>
      <c r="M27" s="376">
        <f>IFERROR(VLOOKUP(C27,'تقرير المصروفات حسب الشهر'!$C$1143:$AD$1254,22,FALSE),0)</f>
        <v>0</v>
      </c>
      <c r="N27" s="376">
        <f>IFERROR(VLOOKUP(C27,'تقرير المصروفات حسب الشهر'!$C$1270:$AD$1381,22,FALSE),0)</f>
        <v>0</v>
      </c>
      <c r="O27" s="376">
        <f>IFERROR(VLOOKUP(C27,'تقرير المصروفات حسب الشهر'!$C$1397:$AD$1512,22,FALSE),0)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الشهر'!$C$10:$AD$119,22,FALSE),0)</f>
        <v>0</v>
      </c>
      <c r="E28" s="362">
        <f>IFERROR(VLOOKUP(C28,'تقرير المصروفات حسب الشهر'!$C$135:$AD$244,22,FALSE),0)</f>
        <v>0</v>
      </c>
      <c r="F28" s="362">
        <f>IFERROR(VLOOKUP(C28,'تقرير المصروفات حسب الشهر'!$C$261:$AD$368,22,FALSE),0)</f>
        <v>0</v>
      </c>
      <c r="G28" s="362">
        <f>IFERROR(VLOOKUP(C28,'تقرير المصروفات حسب الشهر'!$C$387:$AD$495,22,FALSE),0)</f>
        <v>0</v>
      </c>
      <c r="H28" s="362">
        <f>IFERROR(VLOOKUP(C28,'تقرير المصروفات حسب الشهر'!$C$512:$AD$620,22,FALSE),0)</f>
        <v>0</v>
      </c>
      <c r="I28" s="362">
        <f>IFERROR(VLOOKUP(C28,'تقرير المصروفات حسب الشهر'!$C$637:$AD$746,22,FALSE),0)</f>
        <v>0</v>
      </c>
      <c r="J28" s="362">
        <f>IFERROR(VLOOKUP(C28,'تقرير المصروفات حسب الشهر'!$C$763:$AD$872,22,FALSE),0)</f>
        <v>0</v>
      </c>
      <c r="K28" s="362">
        <f>IFERROR(VLOOKUP(C28,'تقرير المصروفات حسب الشهر'!$C$890:$AD$999,22,FALSE),0)</f>
        <v>0</v>
      </c>
      <c r="L28" s="362">
        <f>IFERROR(VLOOKUP(C28,'تقرير المصروفات حسب الشهر'!$C$1016:$AD$1126,22,FALSE),0)</f>
        <v>0</v>
      </c>
      <c r="M28" s="376">
        <f>IFERROR(VLOOKUP(C28,'تقرير المصروفات حسب الشهر'!$C$1143:$AD$1254,22,FALSE),0)</f>
        <v>0</v>
      </c>
      <c r="N28" s="376">
        <f>IFERROR(VLOOKUP(C28,'تقرير المصروفات حسب الشهر'!$C$1270:$AD$1381,22,FALSE),0)</f>
        <v>0</v>
      </c>
      <c r="O28" s="376">
        <f>IFERROR(VLOOKUP(C28,'تقرير المصروفات حسب الشهر'!$C$1397:$AD$1512,22,FALSE),0)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الشهر'!$C$10:$AD$119,22,FALSE),0)</f>
        <v>0</v>
      </c>
      <c r="E29" s="362">
        <f>IFERROR(VLOOKUP(C29,'تقرير المصروفات حسب الشهر'!$C$135:$AD$244,22,FALSE),0)</f>
        <v>0</v>
      </c>
      <c r="F29" s="362">
        <f>IFERROR(VLOOKUP(C29,'تقرير المصروفات حسب الشهر'!$C$261:$AD$368,22,FALSE),0)</f>
        <v>0</v>
      </c>
      <c r="G29" s="362">
        <f>IFERROR(VLOOKUP(C29,'تقرير المصروفات حسب الشهر'!$C$387:$AD$495,22,FALSE),0)</f>
        <v>0</v>
      </c>
      <c r="H29" s="362">
        <f>IFERROR(VLOOKUP(C29,'تقرير المصروفات حسب الشهر'!$C$512:$AD$620,22,FALSE),0)</f>
        <v>0</v>
      </c>
      <c r="I29" s="362">
        <f>IFERROR(VLOOKUP(C29,'تقرير المصروفات حسب الشهر'!$C$637:$AD$746,22,FALSE),0)</f>
        <v>0</v>
      </c>
      <c r="J29" s="362">
        <f>IFERROR(VLOOKUP(C29,'تقرير المصروفات حسب الشهر'!$C$763:$AD$872,22,FALSE),0)</f>
        <v>0</v>
      </c>
      <c r="K29" s="362">
        <f>IFERROR(VLOOKUP(C29,'تقرير المصروفات حسب الشهر'!$C$890:$AD$999,22,FALSE),0)</f>
        <v>0</v>
      </c>
      <c r="L29" s="362">
        <f>IFERROR(VLOOKUP(C29,'تقرير المصروفات حسب الشهر'!$C$1016:$AD$1126,22,FALSE),0)</f>
        <v>0</v>
      </c>
      <c r="M29" s="376">
        <f>IFERROR(VLOOKUP(C29,'تقرير المصروفات حسب الشهر'!$C$1143:$AD$1254,22,FALSE),0)</f>
        <v>0</v>
      </c>
      <c r="N29" s="376">
        <f>IFERROR(VLOOKUP(C29,'تقرير المصروفات حسب الشهر'!$C$1270:$AD$1381,22,FALSE),0)</f>
        <v>0</v>
      </c>
      <c r="O29" s="376">
        <f>IFERROR(VLOOKUP(C29,'تقرير المصروفات حسب الشهر'!$C$1397:$AD$1512,22,FALSE),0)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الشهر'!$C$10:$AD$119,22,FALSE),0)</f>
        <v>0</v>
      </c>
      <c r="E30" s="362">
        <f>IFERROR(VLOOKUP(C30,'تقرير المصروفات حسب الشهر'!$C$135:$AD$244,22,FALSE),0)</f>
        <v>0</v>
      </c>
      <c r="F30" s="362">
        <f>IFERROR(VLOOKUP(C30,'تقرير المصروفات حسب الشهر'!$C$261:$AD$368,22,FALSE),0)</f>
        <v>0</v>
      </c>
      <c r="G30" s="362">
        <f>IFERROR(VLOOKUP(C30,'تقرير المصروفات حسب الشهر'!$C$387:$AD$495,22,FALSE),0)</f>
        <v>0</v>
      </c>
      <c r="H30" s="362">
        <f>IFERROR(VLOOKUP(C30,'تقرير المصروفات حسب الشهر'!$C$512:$AD$620,22,FALSE),0)</f>
        <v>0</v>
      </c>
      <c r="I30" s="362">
        <f>IFERROR(VLOOKUP(C30,'تقرير المصروفات حسب الشهر'!$C$637:$AD$746,22,FALSE),0)</f>
        <v>0</v>
      </c>
      <c r="J30" s="362">
        <f>IFERROR(VLOOKUP(C30,'تقرير المصروفات حسب الشهر'!$C$763:$AD$872,22,FALSE),0)</f>
        <v>0</v>
      </c>
      <c r="K30" s="362">
        <f>IFERROR(VLOOKUP(C30,'تقرير المصروفات حسب الشهر'!$C$890:$AD$999,22,FALSE),0)</f>
        <v>0</v>
      </c>
      <c r="L30" s="362">
        <f>IFERROR(VLOOKUP(C30,'تقرير المصروفات حسب الشهر'!$C$1016:$AD$1126,22,FALSE),0)</f>
        <v>0</v>
      </c>
      <c r="M30" s="376">
        <f>IFERROR(VLOOKUP(C30,'تقرير المصروفات حسب الشهر'!$C$1143:$AD$1254,22,FALSE),0)</f>
        <v>0</v>
      </c>
      <c r="N30" s="376">
        <f>IFERROR(VLOOKUP(C30,'تقرير المصروفات حسب الشهر'!$C$1270:$AD$1381,22,FALSE),0)</f>
        <v>0</v>
      </c>
      <c r="O30" s="376">
        <f>IFERROR(VLOOKUP(C30,'تقرير المصروفات حسب الشهر'!$C$1397:$AD$1512,22,FALSE),0)</f>
        <v>650</v>
      </c>
      <c r="P30" s="364">
        <f t="shared" si="5"/>
        <v>650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الشهر'!$C$10:$AD$119,22,FALSE),0)</f>
        <v>168.67</v>
      </c>
      <c r="E31" s="362">
        <f>IFERROR(VLOOKUP(C31,'تقرير المصروفات حسب الشهر'!$C$135:$AD$244,22,FALSE),0)</f>
        <v>168.67</v>
      </c>
      <c r="F31" s="362">
        <f>IFERROR(VLOOKUP(C31,'تقرير المصروفات حسب الشهر'!$C$261:$AD$368,22,FALSE),0)</f>
        <v>168.67</v>
      </c>
      <c r="G31" s="362">
        <f>IFERROR(VLOOKUP(C31,'تقرير المصروفات حسب الشهر'!$C$387:$AD$495,22,FALSE),0)</f>
        <v>168.67</v>
      </c>
      <c r="H31" s="362">
        <f>IFERROR(VLOOKUP(C31,'تقرير المصروفات حسب الشهر'!$C$512:$AD$620,22,FALSE),0)</f>
        <v>168.67</v>
      </c>
      <c r="I31" s="362">
        <f>IFERROR(VLOOKUP(C31,'تقرير المصروفات حسب الشهر'!$C$637:$AD$746,22,FALSE),0)</f>
        <v>168.67</v>
      </c>
      <c r="J31" s="362">
        <f>IFERROR(VLOOKUP(C31,'تقرير المصروفات حسب الشهر'!$C$763:$AD$872,22,FALSE),0)</f>
        <v>168.67</v>
      </c>
      <c r="K31" s="362">
        <f>IFERROR(VLOOKUP(C31,'تقرير المصروفات حسب الشهر'!$C$890:$AD$999,22,FALSE),0)</f>
        <v>168.67</v>
      </c>
      <c r="L31" s="362">
        <f>IFERROR(VLOOKUP(C31,'تقرير المصروفات حسب الشهر'!$C$1016:$AD$1126,22,FALSE),0)</f>
        <v>168.67</v>
      </c>
      <c r="M31" s="376">
        <f>IFERROR(VLOOKUP(C31,'تقرير المصروفات حسب الشهر'!$C$1143:$AD$1254,22,FALSE),0)</f>
        <v>168.67</v>
      </c>
      <c r="N31" s="376">
        <f>IFERROR(VLOOKUP(C31,'تقرير المصروفات حسب الشهر'!$C$1270:$AD$1381,22,FALSE),0)</f>
        <v>168.67</v>
      </c>
      <c r="O31" s="376">
        <f>IFERROR(VLOOKUP(C31,'تقرير المصروفات حسب الشهر'!$C$1397:$AD$1512,22,FALSE),0)</f>
        <v>168.67</v>
      </c>
      <c r="P31" s="364">
        <f t="shared" si="5"/>
        <v>2024.0400000000002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الشهر'!$C$10:$AD$119,22,FALSE),0)</f>
        <v>0</v>
      </c>
      <c r="E32" s="362">
        <f>IFERROR(VLOOKUP(C32,'تقرير المصروفات حسب الشهر'!$C$135:$AD$244,22,FALSE),0)</f>
        <v>0</v>
      </c>
      <c r="F32" s="362">
        <f>IFERROR(VLOOKUP(C32,'تقرير المصروفات حسب الشهر'!$C$261:$AD$368,22,FALSE),0)</f>
        <v>0</v>
      </c>
      <c r="G32" s="362">
        <f>IFERROR(VLOOKUP(C32,'تقرير المصروفات حسب الشهر'!$C$387:$AD$495,22,FALSE),0)</f>
        <v>0</v>
      </c>
      <c r="H32" s="362">
        <f>IFERROR(VLOOKUP(C32,'تقرير المصروفات حسب الشهر'!$C$512:$AD$620,22,FALSE),0)</f>
        <v>0</v>
      </c>
      <c r="I32" s="362">
        <f>IFERROR(VLOOKUP(C32,'تقرير المصروفات حسب الشهر'!$C$637:$AD$746,22,FALSE),0)</f>
        <v>0</v>
      </c>
      <c r="J32" s="362">
        <f>IFERROR(VLOOKUP(C32,'تقرير المصروفات حسب الشهر'!$C$763:$AD$872,22,FALSE),0)</f>
        <v>0</v>
      </c>
      <c r="K32" s="362">
        <f>IFERROR(VLOOKUP(C32,'تقرير المصروفات حسب الشهر'!$C$890:$AD$999,22,FALSE),0)</f>
        <v>0</v>
      </c>
      <c r="L32" s="362">
        <f>IFERROR(VLOOKUP(C32,'تقرير المصروفات حسب الشهر'!$C$1016:$AD$1126,22,FALSE),0)</f>
        <v>0</v>
      </c>
      <c r="M32" s="376">
        <f>IFERROR(VLOOKUP(C32,'تقرير المصروفات حسب الشهر'!$C$1143:$AD$1254,22,FALSE),0)</f>
        <v>0</v>
      </c>
      <c r="N32" s="376">
        <f>IFERROR(VLOOKUP(C32,'تقرير المصروفات حسب الشهر'!$C$1270:$AD$1381,22,FALSE),0)</f>
        <v>100</v>
      </c>
      <c r="O32" s="376">
        <f>IFERROR(VLOOKUP(C32,'تقرير المصروفات حسب الشهر'!$C$1397:$AD$1512,22,FALSE),0)</f>
        <v>0</v>
      </c>
      <c r="P32" s="364">
        <f t="shared" si="5"/>
        <v>100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الشهر'!$C$10:$AD$119,22,FALSE),0)</f>
        <v>0</v>
      </c>
      <c r="E33" s="362">
        <f>IFERROR(VLOOKUP(C33,'تقرير المصروفات حسب الشهر'!$C$135:$AD$244,22,FALSE),0)</f>
        <v>0</v>
      </c>
      <c r="F33" s="362">
        <f>IFERROR(VLOOKUP(C33,'تقرير المصروفات حسب الشهر'!$C$261:$AD$368,22,FALSE),0)</f>
        <v>0</v>
      </c>
      <c r="G33" s="362">
        <f>IFERROR(VLOOKUP(C33,'تقرير المصروفات حسب الشهر'!$C$387:$AD$495,22,FALSE),0)</f>
        <v>0</v>
      </c>
      <c r="H33" s="362">
        <f>IFERROR(VLOOKUP(C33,'تقرير المصروفات حسب الشهر'!$C$512:$AD$620,22,FALSE),0)</f>
        <v>0</v>
      </c>
      <c r="I33" s="362">
        <f>IFERROR(VLOOKUP(C33,'تقرير المصروفات حسب الشهر'!$C$637:$AD$746,22,FALSE),0)</f>
        <v>0</v>
      </c>
      <c r="J33" s="362">
        <f>IFERROR(VLOOKUP(C33,'تقرير المصروفات حسب الشهر'!$C$763:$AD$872,22,FALSE),0)</f>
        <v>0</v>
      </c>
      <c r="K33" s="362">
        <f>IFERROR(VLOOKUP(C33,'تقرير المصروفات حسب الشهر'!$C$890:$AD$999,22,FALSE),0)</f>
        <v>0</v>
      </c>
      <c r="L33" s="362">
        <f>IFERROR(VLOOKUP(C33,'تقرير المصروفات حسب الشهر'!$C$1016:$AD$1126,22,FALSE),0)</f>
        <v>0</v>
      </c>
      <c r="M33" s="376">
        <f>IFERROR(VLOOKUP(C33,'تقرير المصروفات حسب الشهر'!$C$1143:$AD$1254,22,FALSE),0)</f>
        <v>0</v>
      </c>
      <c r="N33" s="376">
        <f>IFERROR(VLOOKUP(C33,'تقرير المصروفات حسب الشهر'!$C$1270:$AD$1381,22,FALSE),0)</f>
        <v>0</v>
      </c>
      <c r="O33" s="376">
        <f>IFERROR(VLOOKUP(C33,'تقرير المصروفات حسب الشهر'!$C$1397:$AD$1512,22,FALSE),0)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الشهر'!$C$10:$AD$119,22,FALSE),0)</f>
        <v>0</v>
      </c>
      <c r="E34" s="362">
        <f>IFERROR(VLOOKUP(C34,'تقرير المصروفات حسب الشهر'!$C$135:$AD$244,22,FALSE),0)</f>
        <v>0</v>
      </c>
      <c r="F34" s="362">
        <f>IFERROR(VLOOKUP(C34,'تقرير المصروفات حسب الشهر'!$C$261:$AD$368,22,FALSE),0)</f>
        <v>0</v>
      </c>
      <c r="G34" s="362">
        <f>IFERROR(VLOOKUP(C34,'تقرير المصروفات حسب الشهر'!$C$387:$AD$495,22,FALSE),0)</f>
        <v>0</v>
      </c>
      <c r="H34" s="362">
        <f>IFERROR(VLOOKUP(C34,'تقرير المصروفات حسب الشهر'!$C$512:$AD$620,22,FALSE),0)</f>
        <v>0</v>
      </c>
      <c r="I34" s="362">
        <f>IFERROR(VLOOKUP(C34,'تقرير المصروفات حسب الشهر'!$C$637:$AD$746,22,FALSE),0)</f>
        <v>0</v>
      </c>
      <c r="J34" s="362">
        <f>IFERROR(VLOOKUP(C34,'تقرير المصروفات حسب الشهر'!$C$763:$AD$872,22,FALSE),0)</f>
        <v>0</v>
      </c>
      <c r="K34" s="362">
        <f>IFERROR(VLOOKUP(C34,'تقرير المصروفات حسب الشهر'!$C$890:$AD$999,22,FALSE),0)</f>
        <v>0</v>
      </c>
      <c r="L34" s="362">
        <f>IFERROR(VLOOKUP(C34,'تقرير المصروفات حسب الشهر'!$C$1016:$AD$1126,22,FALSE),0)</f>
        <v>0</v>
      </c>
      <c r="M34" s="376">
        <f>IFERROR(VLOOKUP(C34,'تقرير المصروفات حسب الشهر'!$C$1143:$AD$1254,22,FALSE),0)</f>
        <v>0</v>
      </c>
      <c r="N34" s="376">
        <f>IFERROR(VLOOKUP(C34,'تقرير المصروفات حسب الشهر'!$C$1270:$AD$1381,22,FALSE),0)</f>
        <v>0</v>
      </c>
      <c r="O34" s="376">
        <f>IFERROR(VLOOKUP(C34,'تقرير المصروفات حسب الشهر'!$C$1397:$AD$1512,22,FALSE),0)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الشهر'!$C$10:$AD$119,22,FALSE),0)</f>
        <v>0</v>
      </c>
      <c r="E35" s="362">
        <f>IFERROR(VLOOKUP(C35,'تقرير المصروفات حسب الشهر'!$C$135:$AD$244,22,FALSE),0)</f>
        <v>0</v>
      </c>
      <c r="F35" s="362">
        <f>IFERROR(VLOOKUP(C35,'تقرير المصروفات حسب الشهر'!$C$261:$AD$368,22,FALSE),0)</f>
        <v>0</v>
      </c>
      <c r="G35" s="362">
        <f>IFERROR(VLOOKUP(C35,'تقرير المصروفات حسب الشهر'!$C$387:$AD$495,22,FALSE),0)</f>
        <v>0</v>
      </c>
      <c r="H35" s="362">
        <f>IFERROR(VLOOKUP(C35,'تقرير المصروفات حسب الشهر'!$C$512:$AD$620,22,FALSE),0)</f>
        <v>0</v>
      </c>
      <c r="I35" s="362">
        <f>IFERROR(VLOOKUP(C35,'تقرير المصروفات حسب الشهر'!$C$637:$AD$746,22,FALSE),0)</f>
        <v>0</v>
      </c>
      <c r="J35" s="362">
        <f>IFERROR(VLOOKUP(C35,'تقرير المصروفات حسب الشهر'!$C$763:$AD$872,22,FALSE),0)</f>
        <v>0</v>
      </c>
      <c r="K35" s="362">
        <f>IFERROR(VLOOKUP(C35,'تقرير المصروفات حسب الشهر'!$C$890:$AD$999,22,FALSE),0)</f>
        <v>0</v>
      </c>
      <c r="L35" s="362">
        <f>IFERROR(VLOOKUP(C35,'تقرير المصروفات حسب الشهر'!$C$1016:$AD$1126,22,FALSE),0)</f>
        <v>0</v>
      </c>
      <c r="M35" s="376">
        <f>IFERROR(VLOOKUP(C35,'تقرير المصروفات حسب الشهر'!$C$1143:$AD$1254,22,FALSE),0)</f>
        <v>0</v>
      </c>
      <c r="N35" s="376">
        <f>IFERROR(VLOOKUP(C35,'تقرير المصروفات حسب الشهر'!$C$1270:$AD$1381,22,FALSE),0)</f>
        <v>0</v>
      </c>
      <c r="O35" s="376">
        <f>IFERROR(VLOOKUP(C35,'تقرير المصروفات حسب الشهر'!$C$1397:$AD$1512,22,FALSE),0)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الشهر'!$C$10:$AD$119,22,FALSE),0)</f>
        <v>0</v>
      </c>
      <c r="E36" s="362">
        <f>IFERROR(VLOOKUP(C36,'تقرير المصروفات حسب الشهر'!$C$135:$AD$244,22,FALSE),0)</f>
        <v>0</v>
      </c>
      <c r="F36" s="362">
        <f>IFERROR(VLOOKUP(C36,'تقرير المصروفات حسب الشهر'!$C$261:$AD$368,22,FALSE),0)</f>
        <v>750</v>
      </c>
      <c r="G36" s="362">
        <f>IFERROR(VLOOKUP(C36,'تقرير المصروفات حسب الشهر'!$C$387:$AD$495,22,FALSE),0)</f>
        <v>750</v>
      </c>
      <c r="H36" s="362">
        <f>IFERROR(VLOOKUP(C36,'تقرير المصروفات حسب الشهر'!$C$512:$AD$620,22,FALSE),0)</f>
        <v>0</v>
      </c>
      <c r="I36" s="362">
        <f>IFERROR(VLOOKUP(C36,'تقرير المصروفات حسب الشهر'!$C$637:$AD$746,22,FALSE),0)</f>
        <v>770</v>
      </c>
      <c r="J36" s="362">
        <f>IFERROR(VLOOKUP(C36,'تقرير المصروفات حسب الشهر'!$C$763:$AD$872,22,FALSE),0)</f>
        <v>0</v>
      </c>
      <c r="K36" s="362">
        <f>IFERROR(VLOOKUP(C36,'تقرير المصروفات حسب الشهر'!$C$890:$AD$999,22,FALSE),0)</f>
        <v>0</v>
      </c>
      <c r="L36" s="362">
        <f>IFERROR(VLOOKUP(C36,'تقرير المصروفات حسب الشهر'!$C$1016:$AD$1126,22,FALSE),0)</f>
        <v>0</v>
      </c>
      <c r="M36" s="376">
        <f>IFERROR(VLOOKUP(C36,'تقرير المصروفات حسب الشهر'!$C$1143:$AD$1254,22,FALSE),0)</f>
        <v>0</v>
      </c>
      <c r="N36" s="376">
        <f>IFERROR(VLOOKUP(C36,'تقرير المصروفات حسب الشهر'!$C$1270:$AD$1381,22,FALSE),0)</f>
        <v>0</v>
      </c>
      <c r="O36" s="376">
        <f>IFERROR(VLOOKUP(C36,'تقرير المصروفات حسب الشهر'!$C$1397:$AD$1512,22,FALSE),0)</f>
        <v>770</v>
      </c>
      <c r="P36" s="364">
        <f t="shared" si="5"/>
        <v>3040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الشهر'!$C$10:$AD$119,22,FALSE),0)</f>
        <v>0</v>
      </c>
      <c r="E37" s="362">
        <f>IFERROR(VLOOKUP(C37,'تقرير المصروفات حسب الشهر'!$C$135:$AD$244,22,FALSE),0)</f>
        <v>0</v>
      </c>
      <c r="F37" s="362">
        <f>IFERROR(VLOOKUP(C37,'تقرير المصروفات حسب الشهر'!$C$261:$AD$368,22,FALSE),0)</f>
        <v>0</v>
      </c>
      <c r="G37" s="362">
        <f>IFERROR(VLOOKUP(C37,'تقرير المصروفات حسب الشهر'!$C$387:$AD$495,22,FALSE),0)</f>
        <v>2250</v>
      </c>
      <c r="H37" s="362">
        <f>IFERROR(VLOOKUP(C37,'تقرير المصروفات حسب الشهر'!$C$512:$AD$620,22,FALSE),0)</f>
        <v>0</v>
      </c>
      <c r="I37" s="362">
        <f>IFERROR(VLOOKUP(C37,'تقرير المصروفات حسب الشهر'!$C$637:$AD$746,22,FALSE),0)</f>
        <v>0</v>
      </c>
      <c r="J37" s="362">
        <f>IFERROR(VLOOKUP(C37,'تقرير المصروفات حسب الشهر'!$C$763:$AD$872,22,FALSE),0)</f>
        <v>0</v>
      </c>
      <c r="K37" s="362">
        <f>IFERROR(VLOOKUP(C37,'تقرير المصروفات حسب الشهر'!$C$890:$AD$999,22,FALSE),0)</f>
        <v>0</v>
      </c>
      <c r="L37" s="362">
        <f>IFERROR(VLOOKUP(C37,'تقرير المصروفات حسب الشهر'!$C$1016:$AD$1126,22,FALSE),0)</f>
        <v>0</v>
      </c>
      <c r="M37" s="376">
        <f>IFERROR(VLOOKUP(C37,'تقرير المصروفات حسب الشهر'!$C$1143:$AD$1254,22,FALSE),0)</f>
        <v>0</v>
      </c>
      <c r="N37" s="376">
        <f>IFERROR(VLOOKUP(C37,'تقرير المصروفات حسب الشهر'!$C$1270:$AD$1381,22,FALSE),0)</f>
        <v>0</v>
      </c>
      <c r="O37" s="376">
        <f>IFERROR(VLOOKUP(C37,'تقرير المصروفات حسب الشهر'!$C$1397:$AD$1512,22,FALSE),0)</f>
        <v>0</v>
      </c>
      <c r="P37" s="364">
        <f t="shared" si="5"/>
        <v>2250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الشهر'!$C$10:$AD$119,22,FALSE),0)</f>
        <v>0</v>
      </c>
      <c r="E38" s="362">
        <f>IFERROR(VLOOKUP(C38,'تقرير المصروفات حسب الشهر'!$C$135:$AD$244,22,FALSE),0)</f>
        <v>0</v>
      </c>
      <c r="F38" s="362">
        <f>IFERROR(VLOOKUP(C38,'تقرير المصروفات حسب الشهر'!$C$261:$AD$368,22,FALSE),0)</f>
        <v>0</v>
      </c>
      <c r="G38" s="362">
        <f>IFERROR(VLOOKUP(C38,'تقرير المصروفات حسب الشهر'!$C$387:$AD$495,22,FALSE),0)</f>
        <v>0</v>
      </c>
      <c r="H38" s="362">
        <f>IFERROR(VLOOKUP(C38,'تقرير المصروفات حسب الشهر'!$C$512:$AD$620,22,FALSE),0)</f>
        <v>0</v>
      </c>
      <c r="I38" s="362">
        <f>IFERROR(VLOOKUP(C38,'تقرير المصروفات حسب الشهر'!$C$637:$AD$746,22,FALSE),0)</f>
        <v>0</v>
      </c>
      <c r="J38" s="362">
        <f>IFERROR(VLOOKUP(C38,'تقرير المصروفات حسب الشهر'!$C$763:$AD$872,22,FALSE),0)</f>
        <v>0</v>
      </c>
      <c r="K38" s="362">
        <f>IFERROR(VLOOKUP(C38,'تقرير المصروفات حسب الشهر'!$C$890:$AD$999,22,FALSE),0)</f>
        <v>0</v>
      </c>
      <c r="L38" s="362">
        <f>IFERROR(VLOOKUP(C38,'تقرير المصروفات حسب الشهر'!$C$1016:$AD$1126,22,FALSE),0)</f>
        <v>0</v>
      </c>
      <c r="M38" s="376">
        <f>IFERROR(VLOOKUP(C38,'تقرير المصروفات حسب الشهر'!$C$1143:$AD$1254,22,FALSE),0)</f>
        <v>0</v>
      </c>
      <c r="N38" s="376">
        <f>IFERROR(VLOOKUP(C38,'تقرير المصروفات حسب الشهر'!$C$1270:$AD$1381,22,FALSE),0)</f>
        <v>0</v>
      </c>
      <c r="O38" s="376">
        <f>IFERROR(VLOOKUP(C38,'تقرير المصروفات حسب الشهر'!$C$1397:$AD$1512,22,FALSE),0)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الشهر'!$C$10:$AD$119,22,FALSE),0)</f>
        <v>25000</v>
      </c>
      <c r="E39" s="362">
        <f>IFERROR(VLOOKUP(C39,'تقرير المصروفات حسب الشهر'!$C$135:$AD$244,22,FALSE),0)</f>
        <v>7499</v>
      </c>
      <c r="F39" s="362">
        <f>IFERROR(VLOOKUP(C39,'تقرير المصروفات حسب الشهر'!$C$261:$AD$368,22,FALSE),0)</f>
        <v>648</v>
      </c>
      <c r="G39" s="362">
        <f>IFERROR(VLOOKUP(C39,'تقرير المصروفات حسب الشهر'!$C$387:$AD$495,22,FALSE),0)</f>
        <v>30793</v>
      </c>
      <c r="H39" s="362">
        <f>IFERROR(VLOOKUP(C39,'تقرير المصروفات حسب الشهر'!$C$512:$AD$620,22,FALSE),0)</f>
        <v>0</v>
      </c>
      <c r="I39" s="362">
        <f>IFERROR(VLOOKUP(C39,'تقرير المصروفات حسب الشهر'!$C$637:$AD$746,22,FALSE),0)</f>
        <v>0</v>
      </c>
      <c r="J39" s="362">
        <f>IFERROR(VLOOKUP(C39,'تقرير المصروفات حسب الشهر'!$C$763:$AD$872,22,FALSE),0)</f>
        <v>31666</v>
      </c>
      <c r="K39" s="362">
        <f>IFERROR(VLOOKUP(C39,'تقرير المصروفات حسب الشهر'!$C$890:$AD$999,22,FALSE),0)</f>
        <v>0</v>
      </c>
      <c r="L39" s="362">
        <f>IFERROR(VLOOKUP(C39,'تقرير المصروفات حسب الشهر'!$C$1016:$AD$1126,22,FALSE),0)</f>
        <v>0</v>
      </c>
      <c r="M39" s="376">
        <f>IFERROR(VLOOKUP(C39,'تقرير المصروفات حسب الشهر'!$C$1143:$AD$1254,22,FALSE),0)</f>
        <v>25000</v>
      </c>
      <c r="N39" s="376">
        <f>IFERROR(VLOOKUP(C39,'تقرير المصروفات حسب الشهر'!$C$1270:$AD$1381,22,FALSE),0)</f>
        <v>506</v>
      </c>
      <c r="O39" s="376">
        <f>IFERROR(VLOOKUP(C39,'تقرير المصروفات حسب الشهر'!$C$1397:$AD$1512,22,FALSE),0)</f>
        <v>0</v>
      </c>
      <c r="P39" s="364">
        <f t="shared" si="5"/>
        <v>121112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الشهر'!$C$10:$AD$119,22,FALSE),0)</f>
        <v>0</v>
      </c>
      <c r="E40" s="362">
        <f>IFERROR(VLOOKUP(C40,'تقرير المصروفات حسب الشهر'!$C$135:$AD$244,22,FALSE),0)</f>
        <v>0</v>
      </c>
      <c r="F40" s="362">
        <f>IFERROR(VLOOKUP(C40,'تقرير المصروفات حسب الشهر'!$C$261:$AD$368,22,FALSE),0)</f>
        <v>0</v>
      </c>
      <c r="G40" s="362">
        <f>IFERROR(VLOOKUP(C40,'تقرير المصروفات حسب الشهر'!$C$387:$AD$495,22,FALSE),0)</f>
        <v>0</v>
      </c>
      <c r="H40" s="362">
        <f>IFERROR(VLOOKUP(C40,'تقرير المصروفات حسب الشهر'!$C$512:$AD$620,22,FALSE),0)</f>
        <v>0</v>
      </c>
      <c r="I40" s="362">
        <f>IFERROR(VLOOKUP(C40,'تقرير المصروفات حسب الشهر'!$C$637:$AD$746,22,FALSE),0)</f>
        <v>0</v>
      </c>
      <c r="J40" s="362">
        <f>IFERROR(VLOOKUP(C40,'تقرير المصروفات حسب الشهر'!$C$763:$AD$872,22,FALSE),0)</f>
        <v>0</v>
      </c>
      <c r="K40" s="362">
        <f>IFERROR(VLOOKUP(C40,'تقرير المصروفات حسب الشهر'!$C$890:$AD$999,22,FALSE),0)</f>
        <v>0</v>
      </c>
      <c r="L40" s="362">
        <f>IFERROR(VLOOKUP(C40,'تقرير المصروفات حسب الشهر'!$C$1016:$AD$1126,22,FALSE),0)</f>
        <v>0</v>
      </c>
      <c r="M40" s="376">
        <f>IFERROR(VLOOKUP(C40,'تقرير المصروفات حسب الشهر'!$C$1143:$AD$1254,22,FALSE),0)</f>
        <v>0</v>
      </c>
      <c r="N40" s="376">
        <f>IFERROR(VLOOKUP(C40,'تقرير المصروفات حسب الشهر'!$C$1270:$AD$1381,22,FALSE),0)</f>
        <v>0</v>
      </c>
      <c r="O40" s="376">
        <f>IFERROR(VLOOKUP(C40,'تقرير المصروفات حسب الشهر'!$C$1397:$AD$1512,22,FALSE),0)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الشهر'!$C$10:$AD$119,22,FALSE),0)</f>
        <v>0</v>
      </c>
      <c r="E41" s="362">
        <f>IFERROR(VLOOKUP(C41,'تقرير المصروفات حسب الشهر'!$C$135:$AD$244,22,FALSE),0)</f>
        <v>0</v>
      </c>
      <c r="F41" s="362">
        <f>IFERROR(VLOOKUP(C41,'تقرير المصروفات حسب الشهر'!$C$261:$AD$368,22,FALSE),0)</f>
        <v>0</v>
      </c>
      <c r="G41" s="362">
        <f>IFERROR(VLOOKUP(C41,'تقرير المصروفات حسب الشهر'!$C$387:$AD$495,22,FALSE),0)</f>
        <v>0</v>
      </c>
      <c r="H41" s="362">
        <f>IFERROR(VLOOKUP(C41,'تقرير المصروفات حسب الشهر'!$C$512:$AD$620,22,FALSE),0)</f>
        <v>0</v>
      </c>
      <c r="I41" s="362">
        <f>IFERROR(VLOOKUP(C41,'تقرير المصروفات حسب الشهر'!$C$637:$AD$746,22,FALSE),0)</f>
        <v>0</v>
      </c>
      <c r="J41" s="362">
        <f>IFERROR(VLOOKUP(C41,'تقرير المصروفات حسب الشهر'!$C$763:$AD$872,22,FALSE),0)</f>
        <v>0</v>
      </c>
      <c r="K41" s="362">
        <f>IFERROR(VLOOKUP(C41,'تقرير المصروفات حسب الشهر'!$C$890:$AD$999,22,FALSE),0)</f>
        <v>0</v>
      </c>
      <c r="L41" s="362">
        <f>IFERROR(VLOOKUP(C41,'تقرير المصروفات حسب الشهر'!$C$1016:$AD$1126,22,FALSE),0)</f>
        <v>0</v>
      </c>
      <c r="M41" s="376">
        <f>IFERROR(VLOOKUP(C41,'تقرير المصروفات حسب الشهر'!$C$1143:$AD$1254,22,FALSE),0)</f>
        <v>0</v>
      </c>
      <c r="N41" s="376">
        <f>IFERROR(VLOOKUP(C41,'تقرير المصروفات حسب الشهر'!$C$1270:$AD$1381,22,FALSE),0)</f>
        <v>0</v>
      </c>
      <c r="O41" s="376">
        <f>IFERROR(VLOOKUP(C41,'تقرير المصروفات حسب الشهر'!$C$1397:$AD$1512,22,FALSE),0)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الشهر'!$C$10:$AD$119,22,FALSE),0)</f>
        <v>0</v>
      </c>
      <c r="E42" s="362">
        <f>IFERROR(VLOOKUP(C42,'تقرير المصروفات حسب الشهر'!$C$135:$AD$244,22,FALSE),0)</f>
        <v>0</v>
      </c>
      <c r="F42" s="362">
        <f>IFERROR(VLOOKUP(C42,'تقرير المصروفات حسب الشهر'!$C$261:$AD$368,22,FALSE),0)</f>
        <v>0</v>
      </c>
      <c r="G42" s="362">
        <f>IFERROR(VLOOKUP(C42,'تقرير المصروفات حسب الشهر'!$C$387:$AD$495,22,FALSE),0)</f>
        <v>0</v>
      </c>
      <c r="H42" s="362">
        <f>IFERROR(VLOOKUP(C42,'تقرير المصروفات حسب الشهر'!$C$512:$AD$620,22,FALSE),0)</f>
        <v>0</v>
      </c>
      <c r="I42" s="362">
        <f>IFERROR(VLOOKUP(C42,'تقرير المصروفات حسب الشهر'!$C$637:$AD$746,22,FALSE),0)</f>
        <v>0</v>
      </c>
      <c r="J42" s="362">
        <f>IFERROR(VLOOKUP(C42,'تقرير المصروفات حسب الشهر'!$C$763:$AD$872,22,FALSE),0)</f>
        <v>0</v>
      </c>
      <c r="K42" s="362">
        <f>IFERROR(VLOOKUP(C42,'تقرير المصروفات حسب الشهر'!$C$890:$AD$999,22,FALSE),0)</f>
        <v>0</v>
      </c>
      <c r="L42" s="362">
        <f>IFERROR(VLOOKUP(C42,'تقرير المصروفات حسب الشهر'!$C$1016:$AD$1126,22,FALSE),0)</f>
        <v>0</v>
      </c>
      <c r="M42" s="376">
        <f>IFERROR(VLOOKUP(C42,'تقرير المصروفات حسب الشهر'!$C$1143:$AD$1254,22,FALSE),0)</f>
        <v>0</v>
      </c>
      <c r="N42" s="376">
        <f>IFERROR(VLOOKUP(C42,'تقرير المصروفات حسب الشهر'!$C$1270:$AD$1381,22,FALSE),0)</f>
        <v>0</v>
      </c>
      <c r="O42" s="376">
        <f>IFERROR(VLOOKUP(C42,'تقرير المصروفات حسب الشهر'!$C$1397:$AD$1512,22,FALSE),0)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الشهر'!$C$10:$AD$119,22,FALSE),0)</f>
        <v>0</v>
      </c>
      <c r="E43" s="362">
        <f>IFERROR(VLOOKUP(C43,'تقرير المصروفات حسب الشهر'!$C$135:$AD$244,22,FALSE),0)</f>
        <v>0</v>
      </c>
      <c r="F43" s="362">
        <f>IFERROR(VLOOKUP(C43,'تقرير المصروفات حسب الشهر'!$C$261:$AD$368,22,FALSE),0)</f>
        <v>0</v>
      </c>
      <c r="G43" s="362">
        <f>IFERROR(VLOOKUP(C43,'تقرير المصروفات حسب الشهر'!$C$387:$AD$495,22,FALSE),0)</f>
        <v>0</v>
      </c>
      <c r="H43" s="362">
        <f>IFERROR(VLOOKUP(C43,'تقرير المصروفات حسب الشهر'!$C$512:$AD$620,22,FALSE),0)</f>
        <v>0</v>
      </c>
      <c r="I43" s="362">
        <f>IFERROR(VLOOKUP(C43,'تقرير المصروفات حسب الشهر'!$C$637:$AD$746,22,FALSE),0)</f>
        <v>0</v>
      </c>
      <c r="J43" s="362">
        <f>IFERROR(VLOOKUP(C43,'تقرير المصروفات حسب الشهر'!$C$763:$AD$872,22,FALSE),0)</f>
        <v>0</v>
      </c>
      <c r="K43" s="362">
        <f>IFERROR(VLOOKUP(C43,'تقرير المصروفات حسب الشهر'!$C$890:$AD$999,22,FALSE),0)</f>
        <v>0</v>
      </c>
      <c r="L43" s="362">
        <f>IFERROR(VLOOKUP(C43,'تقرير المصروفات حسب الشهر'!$C$1016:$AD$1126,22,FALSE),0)</f>
        <v>0</v>
      </c>
      <c r="M43" s="376">
        <f>IFERROR(VLOOKUP(C43,'تقرير المصروفات حسب الشهر'!$C$1143:$AD$1254,22,FALSE),0)</f>
        <v>0</v>
      </c>
      <c r="N43" s="376">
        <f>IFERROR(VLOOKUP(C43,'تقرير المصروفات حسب الشهر'!$C$1270:$AD$1381,22,FALSE),0)</f>
        <v>0</v>
      </c>
      <c r="O43" s="376">
        <f>IFERROR(VLOOKUP(C43,'تقرير المصروفات حسب الشهر'!$C$1397:$AD$1512,22,FALSE),0)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الشهر'!$C$10:$AD$119,22,FALSE),0)</f>
        <v>0</v>
      </c>
      <c r="E44" s="362">
        <f>IFERROR(VLOOKUP(C44,'تقرير المصروفات حسب الشهر'!$C$135:$AD$244,22,FALSE),0)</f>
        <v>0</v>
      </c>
      <c r="F44" s="362">
        <f>IFERROR(VLOOKUP(C44,'تقرير المصروفات حسب الشهر'!$C$261:$AD$368,22,FALSE),0)</f>
        <v>0</v>
      </c>
      <c r="G44" s="362">
        <f>IFERROR(VLOOKUP(C44,'تقرير المصروفات حسب الشهر'!$C$387:$AD$495,22,FALSE),0)</f>
        <v>0</v>
      </c>
      <c r="H44" s="362">
        <f>IFERROR(VLOOKUP(C44,'تقرير المصروفات حسب الشهر'!$C$512:$AD$620,22,FALSE),0)</f>
        <v>0</v>
      </c>
      <c r="I44" s="362">
        <f>IFERROR(VLOOKUP(C44,'تقرير المصروفات حسب الشهر'!$C$637:$AD$746,22,FALSE),0)</f>
        <v>0</v>
      </c>
      <c r="J44" s="362">
        <f>IFERROR(VLOOKUP(C44,'تقرير المصروفات حسب الشهر'!$C$763:$AD$872,22,FALSE),0)</f>
        <v>0</v>
      </c>
      <c r="K44" s="362">
        <f>IFERROR(VLOOKUP(C44,'تقرير المصروفات حسب الشهر'!$C$890:$AD$999,22,FALSE),0)</f>
        <v>0</v>
      </c>
      <c r="L44" s="362">
        <f>IFERROR(VLOOKUP(C44,'تقرير المصروفات حسب الشهر'!$C$1016:$AD$1126,22,FALSE),0)</f>
        <v>0</v>
      </c>
      <c r="M44" s="376">
        <f>IFERROR(VLOOKUP(C44,'تقرير المصروفات حسب الشهر'!$C$1143:$AD$1254,22,FALSE),0)</f>
        <v>0</v>
      </c>
      <c r="N44" s="376">
        <f>IFERROR(VLOOKUP(C44,'تقرير المصروفات حسب الشهر'!$C$1270:$AD$1381,22,FALSE),0)</f>
        <v>0</v>
      </c>
      <c r="O44" s="376">
        <f>IFERROR(VLOOKUP(C44,'تقرير المصروفات حسب الشهر'!$C$1397:$AD$1512,22,FALSE),0)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الشهر'!$C$10:$AD$119,22,FALSE),0)</f>
        <v>0</v>
      </c>
      <c r="E45" s="362">
        <f>IFERROR(VLOOKUP(C45,'تقرير المصروفات حسب الشهر'!$C$135:$AD$244,22,FALSE),0)</f>
        <v>0</v>
      </c>
      <c r="F45" s="362">
        <f>IFERROR(VLOOKUP(C45,'تقرير المصروفات حسب الشهر'!$C$261:$AD$368,22,FALSE),0)</f>
        <v>0</v>
      </c>
      <c r="G45" s="362">
        <f>IFERROR(VLOOKUP(C45,'تقرير المصروفات حسب الشهر'!$C$387:$AD$495,22,FALSE),0)</f>
        <v>0</v>
      </c>
      <c r="H45" s="362">
        <f>IFERROR(VLOOKUP(C45,'تقرير المصروفات حسب الشهر'!$C$512:$AD$620,22,FALSE),0)</f>
        <v>0</v>
      </c>
      <c r="I45" s="362">
        <f>IFERROR(VLOOKUP(C45,'تقرير المصروفات حسب الشهر'!$C$637:$AD$746,22,FALSE),0)</f>
        <v>0</v>
      </c>
      <c r="J45" s="362">
        <f>IFERROR(VLOOKUP(C45,'تقرير المصروفات حسب الشهر'!$C$763:$AD$872,22,FALSE),0)</f>
        <v>0</v>
      </c>
      <c r="K45" s="362">
        <f>IFERROR(VLOOKUP(C45,'تقرير المصروفات حسب الشهر'!$C$890:$AD$999,22,FALSE),0)</f>
        <v>0</v>
      </c>
      <c r="L45" s="362">
        <f>IFERROR(VLOOKUP(C45,'تقرير المصروفات حسب الشهر'!$C$1016:$AD$1126,22,FALSE),0)</f>
        <v>0</v>
      </c>
      <c r="M45" s="376">
        <f>IFERROR(VLOOKUP(C45,'تقرير المصروفات حسب الشهر'!$C$1143:$AD$1254,22,FALSE),0)</f>
        <v>0</v>
      </c>
      <c r="N45" s="376">
        <f>IFERROR(VLOOKUP(C45,'تقرير المصروفات حسب الشهر'!$C$1270:$AD$1381,22,FALSE),0)</f>
        <v>0</v>
      </c>
      <c r="O45" s="376">
        <f>IFERROR(VLOOKUP(C45,'تقرير المصروفات حسب الشهر'!$C$1397:$AD$1512,22,FALSE),0)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الشهر'!$C$10:$AD$119,22,FALSE),0)</f>
        <v>0</v>
      </c>
      <c r="E46" s="362">
        <f>IFERROR(VLOOKUP(C46,'تقرير المصروفات حسب الشهر'!$C$135:$AD$244,22,FALSE),0)</f>
        <v>0</v>
      </c>
      <c r="F46" s="362">
        <f>IFERROR(VLOOKUP(C46,'تقرير المصروفات حسب الشهر'!$C$261:$AD$368,22,FALSE),0)</f>
        <v>0</v>
      </c>
      <c r="G46" s="362">
        <f>IFERROR(VLOOKUP(C46,'تقرير المصروفات حسب الشهر'!$C$387:$AD$495,22,FALSE),0)</f>
        <v>0</v>
      </c>
      <c r="H46" s="362">
        <f>IFERROR(VLOOKUP(C46,'تقرير المصروفات حسب الشهر'!$C$512:$AD$620,22,FALSE),0)</f>
        <v>0</v>
      </c>
      <c r="I46" s="362">
        <f>IFERROR(VLOOKUP(C46,'تقرير المصروفات حسب الشهر'!$C$637:$AD$746,22,FALSE),0)</f>
        <v>0</v>
      </c>
      <c r="J46" s="362">
        <f>IFERROR(VLOOKUP(C46,'تقرير المصروفات حسب الشهر'!$C$763:$AD$872,22,FALSE),0)</f>
        <v>0</v>
      </c>
      <c r="K46" s="362">
        <f>IFERROR(VLOOKUP(C46,'تقرير المصروفات حسب الشهر'!$C$890:$AD$999,22,FALSE),0)</f>
        <v>0</v>
      </c>
      <c r="L46" s="362">
        <f>IFERROR(VLOOKUP(C46,'تقرير المصروفات حسب الشهر'!$C$1016:$AD$1126,22,FALSE),0)</f>
        <v>0</v>
      </c>
      <c r="M46" s="376">
        <f>IFERROR(VLOOKUP(C46,'تقرير المصروفات حسب الشهر'!$C$1143:$AD$1254,22,FALSE),0)</f>
        <v>0</v>
      </c>
      <c r="N46" s="376">
        <f>IFERROR(VLOOKUP(C46,'تقرير المصروفات حسب الشهر'!$C$1270:$AD$1381,22,FALSE),0)</f>
        <v>0</v>
      </c>
      <c r="O46" s="376">
        <f>IFERROR(VLOOKUP(C46,'تقرير المصروفات حسب الشهر'!$C$1397:$AD$1512,22,FALSE),0)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الشهر'!$C$10:$AD$119,22,FALSE),0)</f>
        <v>0</v>
      </c>
      <c r="E47" s="362">
        <f>IFERROR(VLOOKUP(C47,'تقرير المصروفات حسب الشهر'!$C$135:$AD$244,22,FALSE),0)</f>
        <v>0</v>
      </c>
      <c r="F47" s="362">
        <f>IFERROR(VLOOKUP(C47,'تقرير المصروفات حسب الشهر'!$C$261:$AD$368,22,FALSE),0)</f>
        <v>0</v>
      </c>
      <c r="G47" s="362">
        <f>IFERROR(VLOOKUP(C47,'تقرير المصروفات حسب الشهر'!$C$387:$AD$495,22,FALSE),0)</f>
        <v>0</v>
      </c>
      <c r="H47" s="362">
        <f>IFERROR(VLOOKUP(C47,'تقرير المصروفات حسب الشهر'!$C$512:$AD$620,22,FALSE),0)</f>
        <v>0</v>
      </c>
      <c r="I47" s="362">
        <f>IFERROR(VLOOKUP(C47,'تقرير المصروفات حسب الشهر'!$C$637:$AD$746,22,FALSE),0)</f>
        <v>0</v>
      </c>
      <c r="J47" s="362">
        <f>IFERROR(VLOOKUP(C47,'تقرير المصروفات حسب الشهر'!$C$763:$AD$872,22,FALSE),0)</f>
        <v>0</v>
      </c>
      <c r="K47" s="362">
        <f>IFERROR(VLOOKUP(C47,'تقرير المصروفات حسب الشهر'!$C$890:$AD$999,22,FALSE),0)</f>
        <v>0</v>
      </c>
      <c r="L47" s="362">
        <f>IFERROR(VLOOKUP(C47,'تقرير المصروفات حسب الشهر'!$C$1016:$AD$1126,22,FALSE),0)</f>
        <v>0</v>
      </c>
      <c r="M47" s="376">
        <f>IFERROR(VLOOKUP(C47,'تقرير المصروفات حسب الشهر'!$C$1143:$AD$1254,22,FALSE),0)</f>
        <v>0</v>
      </c>
      <c r="N47" s="376">
        <f>IFERROR(VLOOKUP(C47,'تقرير المصروفات حسب الشهر'!$C$1270:$AD$1381,22,FALSE),0)</f>
        <v>0</v>
      </c>
      <c r="O47" s="376">
        <f>IFERROR(VLOOKUP(C47,'تقرير المصروفات حسب الشهر'!$C$1397:$AD$1512,22,FALSE),0)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الشهر'!$C$10:$AD$119,22,FALSE),0)</f>
        <v>0</v>
      </c>
      <c r="E48" s="362">
        <f>IFERROR(VLOOKUP(C48,'تقرير المصروفات حسب الشهر'!$C$135:$AD$244,22,FALSE),0)</f>
        <v>0</v>
      </c>
      <c r="F48" s="362">
        <f>IFERROR(VLOOKUP(C48,'تقرير المصروفات حسب الشهر'!$C$261:$AD$368,22,FALSE),0)</f>
        <v>0</v>
      </c>
      <c r="G48" s="362">
        <f>IFERROR(VLOOKUP(C48,'تقرير المصروفات حسب الشهر'!$C$387:$AD$495,22,FALSE),0)</f>
        <v>0</v>
      </c>
      <c r="H48" s="362">
        <f>IFERROR(VLOOKUP(C48,'تقرير المصروفات حسب الشهر'!$C$512:$AD$620,22,FALSE),0)</f>
        <v>0</v>
      </c>
      <c r="I48" s="362">
        <f>IFERROR(VLOOKUP(C48,'تقرير المصروفات حسب الشهر'!$C$637:$AD$746,22,FALSE),0)</f>
        <v>0</v>
      </c>
      <c r="J48" s="362">
        <f>IFERROR(VLOOKUP(C48,'تقرير المصروفات حسب الشهر'!$C$763:$AD$872,22,FALSE),0)</f>
        <v>0</v>
      </c>
      <c r="K48" s="362">
        <f>IFERROR(VLOOKUP(C48,'تقرير المصروفات حسب الشهر'!$C$890:$AD$999,22,FALSE),0)</f>
        <v>0</v>
      </c>
      <c r="L48" s="362">
        <f>IFERROR(VLOOKUP(C48,'تقرير المصروفات حسب الشهر'!$C$1016:$AD$1126,22,FALSE),0)</f>
        <v>0</v>
      </c>
      <c r="M48" s="376">
        <f>IFERROR(VLOOKUP(C48,'تقرير المصروفات حسب الشهر'!$C$1143:$AD$1254,22,FALSE),0)</f>
        <v>0</v>
      </c>
      <c r="N48" s="376">
        <f>IFERROR(VLOOKUP(C48,'تقرير المصروفات حسب الشهر'!$C$1270:$AD$1381,22,FALSE),0)</f>
        <v>0</v>
      </c>
      <c r="O48" s="376">
        <f>IFERROR(VLOOKUP(C48,'تقرير المصروفات حسب الشهر'!$C$1397:$AD$1512,22,FALSE),0)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الشهر'!$C$10:$AD$119,22,FALSE),0)</f>
        <v>0</v>
      </c>
      <c r="E49" s="362">
        <f>IFERROR(VLOOKUP(C49,'تقرير المصروفات حسب الشهر'!$C$135:$AD$244,22,FALSE),0)</f>
        <v>0</v>
      </c>
      <c r="F49" s="362">
        <f>IFERROR(VLOOKUP(C49,'تقرير المصروفات حسب الشهر'!$C$261:$AD$368,22,FALSE),0)</f>
        <v>0</v>
      </c>
      <c r="G49" s="362">
        <f>IFERROR(VLOOKUP(C49,'تقرير المصروفات حسب الشهر'!$C$387:$AD$495,22,FALSE),0)</f>
        <v>0</v>
      </c>
      <c r="H49" s="362">
        <f>IFERROR(VLOOKUP(C49,'تقرير المصروفات حسب الشهر'!$C$512:$AD$620,22,FALSE),0)</f>
        <v>0</v>
      </c>
      <c r="I49" s="362">
        <f>IFERROR(VLOOKUP(C49,'تقرير المصروفات حسب الشهر'!$C$637:$AD$746,22,FALSE),0)</f>
        <v>0</v>
      </c>
      <c r="J49" s="362">
        <f>IFERROR(VLOOKUP(C49,'تقرير المصروفات حسب الشهر'!$C$763:$AD$872,22,FALSE),0)</f>
        <v>0</v>
      </c>
      <c r="K49" s="362">
        <f>IFERROR(VLOOKUP(C49,'تقرير المصروفات حسب الشهر'!$C$890:$AD$999,22,FALSE),0)</f>
        <v>0</v>
      </c>
      <c r="L49" s="362">
        <f>IFERROR(VLOOKUP(C49,'تقرير المصروفات حسب الشهر'!$C$1016:$AD$1126,22,FALSE),0)</f>
        <v>0</v>
      </c>
      <c r="M49" s="376">
        <f>IFERROR(VLOOKUP(C49,'تقرير المصروفات حسب الشهر'!$C$1143:$AD$1254,22,FALSE),0)</f>
        <v>0</v>
      </c>
      <c r="N49" s="376">
        <f>IFERROR(VLOOKUP(C49,'تقرير المصروفات حسب الشهر'!$C$1270:$AD$1381,22,FALSE),0)</f>
        <v>0</v>
      </c>
      <c r="O49" s="376">
        <f>IFERROR(VLOOKUP(C49,'تقرير المصروفات حسب الشهر'!$C$1397:$AD$1512,22,FALSE),0)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الشهر'!$C$10:$AD$119,22,FALSE),0)</f>
        <v>0</v>
      </c>
      <c r="E50" s="362">
        <f>IFERROR(VLOOKUP(C50,'تقرير المصروفات حسب الشهر'!$C$135:$AD$244,22,FALSE),0)</f>
        <v>0</v>
      </c>
      <c r="F50" s="362">
        <f>IFERROR(VLOOKUP(C50,'تقرير المصروفات حسب الشهر'!$C$261:$AD$368,22,FALSE),0)</f>
        <v>0</v>
      </c>
      <c r="G50" s="362">
        <f>IFERROR(VLOOKUP(C50,'تقرير المصروفات حسب الشهر'!$C$387:$AD$495,22,FALSE),0)</f>
        <v>0</v>
      </c>
      <c r="H50" s="362">
        <f>IFERROR(VLOOKUP(C50,'تقرير المصروفات حسب الشهر'!$C$512:$AD$620,22,FALSE),0)</f>
        <v>0</v>
      </c>
      <c r="I50" s="362">
        <f>IFERROR(VLOOKUP(C50,'تقرير المصروفات حسب الشهر'!$C$637:$AD$746,22,FALSE),0)</f>
        <v>0</v>
      </c>
      <c r="J50" s="362">
        <f>IFERROR(VLOOKUP(C50,'تقرير المصروفات حسب الشهر'!$C$763:$AD$872,22,FALSE),0)</f>
        <v>0</v>
      </c>
      <c r="K50" s="362">
        <f>IFERROR(VLOOKUP(C50,'تقرير المصروفات حسب الشهر'!$C$890:$AD$999,22,FALSE),0)</f>
        <v>0</v>
      </c>
      <c r="L50" s="362">
        <f>IFERROR(VLOOKUP(C50,'تقرير المصروفات حسب الشهر'!$C$1016:$AD$1126,22,FALSE),0)</f>
        <v>0</v>
      </c>
      <c r="M50" s="376">
        <f>IFERROR(VLOOKUP(C50,'تقرير المصروفات حسب الشهر'!$C$1143:$AD$1254,22,FALSE),0)</f>
        <v>0</v>
      </c>
      <c r="N50" s="376">
        <f>IFERROR(VLOOKUP(C50,'تقرير المصروفات حسب الشهر'!$C$1270:$AD$1381,22,FALSE),0)</f>
        <v>0</v>
      </c>
      <c r="O50" s="376">
        <f>IFERROR(VLOOKUP(C50,'تقرير المصروفات حسب الشهر'!$C$1397:$AD$1512,22,FALSE),0)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الشهر'!$C$10:$AD$119,22,FALSE),0)</f>
        <v>0</v>
      </c>
      <c r="E51" s="362">
        <f>IFERROR(VLOOKUP(C51,'تقرير المصروفات حسب الشهر'!$C$135:$AD$244,22,FALSE),0)</f>
        <v>0</v>
      </c>
      <c r="F51" s="362">
        <f>IFERROR(VLOOKUP(C51,'تقرير المصروفات حسب الشهر'!$C$261:$AD$368,22,FALSE),0)</f>
        <v>0</v>
      </c>
      <c r="G51" s="362">
        <f>IFERROR(VLOOKUP(C51,'تقرير المصروفات حسب الشهر'!$C$387:$AD$495,22,FALSE),0)</f>
        <v>0</v>
      </c>
      <c r="H51" s="362">
        <f>IFERROR(VLOOKUP(C51,'تقرير المصروفات حسب الشهر'!$C$512:$AD$620,22,FALSE),0)</f>
        <v>0</v>
      </c>
      <c r="I51" s="362">
        <f>IFERROR(VLOOKUP(C51,'تقرير المصروفات حسب الشهر'!$C$637:$AD$746,22,FALSE),0)</f>
        <v>0</v>
      </c>
      <c r="J51" s="362">
        <f>IFERROR(VLOOKUP(C51,'تقرير المصروفات حسب الشهر'!$C$763:$AD$872,22,FALSE),0)</f>
        <v>0</v>
      </c>
      <c r="K51" s="362">
        <f>IFERROR(VLOOKUP(C51,'تقرير المصروفات حسب الشهر'!$C$890:$AD$999,22,FALSE),0)</f>
        <v>0</v>
      </c>
      <c r="L51" s="362">
        <f>IFERROR(VLOOKUP(C51,'تقرير المصروفات حسب الشهر'!$C$1016:$AD$1126,22,FALSE),0)</f>
        <v>0</v>
      </c>
      <c r="M51" s="376">
        <f>IFERROR(VLOOKUP(C51,'تقرير المصروفات حسب الشهر'!$C$1143:$AD$1254,22,FALSE),0)</f>
        <v>0</v>
      </c>
      <c r="N51" s="376">
        <f>IFERROR(VLOOKUP(C51,'تقرير المصروفات حسب الشهر'!$C$1270:$AD$1381,22,FALSE),0)</f>
        <v>0</v>
      </c>
      <c r="O51" s="376">
        <f>IFERROR(VLOOKUP(C51,'تقرير المصروفات حسب الشهر'!$C$1397:$AD$1512,22,FALSE),0)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الشهر'!$C$10:$AD$119,22,FALSE),0)</f>
        <v>3000</v>
      </c>
      <c r="E52" s="362">
        <f>IFERROR(VLOOKUP(C52,'تقرير المصروفات حسب الشهر'!$C$135:$AD$244,22,FALSE),0)</f>
        <v>0</v>
      </c>
      <c r="F52" s="362">
        <f>IFERROR(VLOOKUP(C52,'تقرير المصروفات حسب الشهر'!$C$261:$AD$368,22,FALSE),0)</f>
        <v>0</v>
      </c>
      <c r="G52" s="362">
        <f>IFERROR(VLOOKUP(C52,'تقرير المصروفات حسب الشهر'!$C$387:$AD$495,22,FALSE),0)</f>
        <v>0</v>
      </c>
      <c r="H52" s="362">
        <f>IFERROR(VLOOKUP(C52,'تقرير المصروفات حسب الشهر'!$C$512:$AD$620,22,FALSE),0)</f>
        <v>0</v>
      </c>
      <c r="I52" s="362">
        <f>IFERROR(VLOOKUP(C52,'تقرير المصروفات حسب الشهر'!$C$637:$AD$746,22,FALSE),0)</f>
        <v>0</v>
      </c>
      <c r="J52" s="362">
        <f>IFERROR(VLOOKUP(C52,'تقرير المصروفات حسب الشهر'!$C$763:$AD$872,22,FALSE),0)</f>
        <v>0</v>
      </c>
      <c r="K52" s="362">
        <f>IFERROR(VLOOKUP(C52,'تقرير المصروفات حسب الشهر'!$C$890:$AD$999,22,FALSE),0)</f>
        <v>0</v>
      </c>
      <c r="L52" s="362">
        <f>IFERROR(VLOOKUP(C52,'تقرير المصروفات حسب الشهر'!$C$1016:$AD$1126,22,FALSE),0)</f>
        <v>0</v>
      </c>
      <c r="M52" s="376">
        <f>IFERROR(VLOOKUP(C52,'تقرير المصروفات حسب الشهر'!$C$1143:$AD$1254,22,FALSE),0)</f>
        <v>0</v>
      </c>
      <c r="N52" s="376">
        <f>IFERROR(VLOOKUP(C52,'تقرير المصروفات حسب الشهر'!$C$1270:$AD$1381,22,FALSE),0)</f>
        <v>0</v>
      </c>
      <c r="O52" s="376">
        <f>IFERROR(VLOOKUP(C52,'تقرير المصروفات حسب الشهر'!$C$1397:$AD$1512,22,FALSE),0)</f>
        <v>0</v>
      </c>
      <c r="P52" s="364">
        <f t="shared" si="5"/>
        <v>3000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الشهر'!$C$10:$AD$119,22,FALSE),0)</f>
        <v>0</v>
      </c>
      <c r="E53" s="362">
        <f>IFERROR(VLOOKUP(C53,'تقرير المصروفات حسب الشهر'!$C$135:$AD$244,22,FALSE),0)</f>
        <v>0</v>
      </c>
      <c r="F53" s="362">
        <f>IFERROR(VLOOKUP(C53,'تقرير المصروفات حسب الشهر'!$C$261:$AD$368,22,FALSE),0)</f>
        <v>0</v>
      </c>
      <c r="G53" s="362">
        <f>IFERROR(VLOOKUP(C53,'تقرير المصروفات حسب الشهر'!$C$387:$AD$495,22,FALSE),0)</f>
        <v>0</v>
      </c>
      <c r="H53" s="362">
        <f>IFERROR(VLOOKUP(C53,'تقرير المصروفات حسب الشهر'!$C$512:$AD$620,22,FALSE),0)</f>
        <v>0</v>
      </c>
      <c r="I53" s="362">
        <f>IFERROR(VLOOKUP(C53,'تقرير المصروفات حسب الشهر'!$C$637:$AD$746,22,FALSE),0)</f>
        <v>0</v>
      </c>
      <c r="J53" s="362">
        <f>IFERROR(VLOOKUP(C53,'تقرير المصروفات حسب الشهر'!$C$763:$AD$872,22,FALSE),0)</f>
        <v>0</v>
      </c>
      <c r="K53" s="362">
        <f>IFERROR(VLOOKUP(C53,'تقرير المصروفات حسب الشهر'!$C$890:$AD$999,22,FALSE),0)</f>
        <v>0</v>
      </c>
      <c r="L53" s="362">
        <f>IFERROR(VLOOKUP(C53,'تقرير المصروفات حسب الشهر'!$C$1016:$AD$1126,22,FALSE),0)</f>
        <v>0</v>
      </c>
      <c r="M53" s="376">
        <f>IFERROR(VLOOKUP(C53,'تقرير المصروفات حسب الشهر'!$C$1143:$AD$1254,22,FALSE),0)</f>
        <v>0</v>
      </c>
      <c r="N53" s="376">
        <f>IFERROR(VLOOKUP(C53,'تقرير المصروفات حسب الشهر'!$C$1270:$AD$1381,22,FALSE),0)</f>
        <v>0</v>
      </c>
      <c r="O53" s="376">
        <f>IFERROR(VLOOKUP(C53,'تقرير المصروفات حسب الشهر'!$C$1397:$AD$1512,22,FALSE),0)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الشهر'!$C$10:$AD$119,22,FALSE),0)</f>
        <v>100</v>
      </c>
      <c r="E54" s="362">
        <f>IFERROR(VLOOKUP(C54,'تقرير المصروفات حسب الشهر'!$C$135:$AD$244,22,FALSE),0)</f>
        <v>0</v>
      </c>
      <c r="F54" s="362">
        <f>IFERROR(VLOOKUP(C54,'تقرير المصروفات حسب الشهر'!$C$261:$AD$368,22,FALSE),0)</f>
        <v>0</v>
      </c>
      <c r="G54" s="362">
        <f>IFERROR(VLOOKUP(C54,'تقرير المصروفات حسب الشهر'!$C$387:$AD$495,22,FALSE),0)</f>
        <v>100</v>
      </c>
      <c r="H54" s="362">
        <f>IFERROR(VLOOKUP(C54,'تقرير المصروفات حسب الشهر'!$C$512:$AD$620,22,FALSE),0)</f>
        <v>0</v>
      </c>
      <c r="I54" s="362">
        <f>IFERROR(VLOOKUP(C54,'تقرير المصروفات حسب الشهر'!$C$637:$AD$746,22,FALSE),0)</f>
        <v>0</v>
      </c>
      <c r="J54" s="362">
        <f>IFERROR(VLOOKUP(C54,'تقرير المصروفات حسب الشهر'!$C$763:$AD$872,22,FALSE),0)</f>
        <v>0</v>
      </c>
      <c r="K54" s="362">
        <f>IFERROR(VLOOKUP(C54,'تقرير المصروفات حسب الشهر'!$C$890:$AD$999,22,FALSE),0)</f>
        <v>0</v>
      </c>
      <c r="L54" s="362">
        <f>IFERROR(VLOOKUP(C54,'تقرير المصروفات حسب الشهر'!$C$1016:$AD$1126,22,FALSE),0)</f>
        <v>0</v>
      </c>
      <c r="M54" s="376">
        <f>IFERROR(VLOOKUP(C54,'تقرير المصروفات حسب الشهر'!$C$1143:$AD$1254,22,FALSE),0)</f>
        <v>300</v>
      </c>
      <c r="N54" s="376">
        <f>IFERROR(VLOOKUP(C54,'تقرير المصروفات حسب الشهر'!$C$1270:$AD$1381,22,FALSE),0)</f>
        <v>0</v>
      </c>
      <c r="O54" s="376">
        <f>IFERROR(VLOOKUP(C54,'تقرير المصروفات حسب الشهر'!$C$1397:$AD$1512,22,FALSE),0)</f>
        <v>0</v>
      </c>
      <c r="P54" s="364">
        <f t="shared" si="5"/>
        <v>500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الشهر'!$C$10:$AD$119,22,FALSE),0)</f>
        <v>0</v>
      </c>
      <c r="E55" s="362">
        <f>IFERROR(VLOOKUP(C55,'تقرير المصروفات حسب الشهر'!$C$135:$AD$244,22,FALSE),0)</f>
        <v>0</v>
      </c>
      <c r="F55" s="362">
        <f>IFERROR(VLOOKUP(C55,'تقرير المصروفات حسب الشهر'!$C$261:$AD$368,22,FALSE),0)</f>
        <v>0</v>
      </c>
      <c r="G55" s="362">
        <f>IFERROR(VLOOKUP(C55,'تقرير المصروفات حسب الشهر'!$C$387:$AD$495,22,FALSE),0)</f>
        <v>0</v>
      </c>
      <c r="H55" s="362">
        <f>IFERROR(VLOOKUP(C55,'تقرير المصروفات حسب الشهر'!$C$512:$AD$620,22,FALSE),0)</f>
        <v>0</v>
      </c>
      <c r="I55" s="362">
        <f>IFERROR(VLOOKUP(C55,'تقرير المصروفات حسب الشهر'!$C$637:$AD$746,22,FALSE),0)</f>
        <v>0</v>
      </c>
      <c r="J55" s="362">
        <f>IFERROR(VLOOKUP(C55,'تقرير المصروفات حسب الشهر'!$C$763:$AD$872,22,FALSE),0)</f>
        <v>0</v>
      </c>
      <c r="K55" s="362">
        <f>IFERROR(VLOOKUP(C55,'تقرير المصروفات حسب الشهر'!$C$890:$AD$999,22,FALSE),0)</f>
        <v>0</v>
      </c>
      <c r="L55" s="362">
        <f>IFERROR(VLOOKUP(C55,'تقرير المصروفات حسب الشهر'!$C$1016:$AD$1126,22,FALSE),0)</f>
        <v>0</v>
      </c>
      <c r="M55" s="376">
        <f>IFERROR(VLOOKUP(C55,'تقرير المصروفات حسب الشهر'!$C$1143:$AD$1254,22,FALSE),0)</f>
        <v>0</v>
      </c>
      <c r="N55" s="376">
        <f>IFERROR(VLOOKUP(C55,'تقرير المصروفات حسب الشهر'!$C$1270:$AD$1381,22,FALSE),0)</f>
        <v>0</v>
      </c>
      <c r="O55" s="376">
        <f>IFERROR(VLOOKUP(C55,'تقرير المصروفات حسب الشهر'!$C$1397:$AD$1512,22,FALSE),0)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الشهر'!$C$10:$AD$119,22,FALSE),0)</f>
        <v>0</v>
      </c>
      <c r="E56" s="362">
        <f>IFERROR(VLOOKUP(C56,'تقرير المصروفات حسب الشهر'!$C$135:$AD$244,22,FALSE),0)</f>
        <v>0</v>
      </c>
      <c r="F56" s="362">
        <f>IFERROR(VLOOKUP(C56,'تقرير المصروفات حسب الشهر'!$C$261:$AD$368,22,FALSE),0)</f>
        <v>0</v>
      </c>
      <c r="G56" s="362">
        <f>IFERROR(VLOOKUP(C56,'تقرير المصروفات حسب الشهر'!$C$387:$AD$495,22,FALSE),0)</f>
        <v>0</v>
      </c>
      <c r="H56" s="362">
        <f>IFERROR(VLOOKUP(C56,'تقرير المصروفات حسب الشهر'!$C$512:$AD$620,22,FALSE),0)</f>
        <v>0</v>
      </c>
      <c r="I56" s="362">
        <f>IFERROR(VLOOKUP(C56,'تقرير المصروفات حسب الشهر'!$C$637:$AD$746,22,FALSE),0)</f>
        <v>0</v>
      </c>
      <c r="J56" s="362">
        <f>IFERROR(VLOOKUP(C56,'تقرير المصروفات حسب الشهر'!$C$763:$AD$872,22,FALSE),0)</f>
        <v>0</v>
      </c>
      <c r="K56" s="362">
        <f>IFERROR(VLOOKUP(C56,'تقرير المصروفات حسب الشهر'!$C$890:$AD$999,22,FALSE),0)</f>
        <v>0</v>
      </c>
      <c r="L56" s="362">
        <f>IFERROR(VLOOKUP(C56,'تقرير المصروفات حسب الشهر'!$C$1016:$AD$1126,22,FALSE),0)</f>
        <v>0</v>
      </c>
      <c r="M56" s="376">
        <f>IFERROR(VLOOKUP(C56,'تقرير المصروفات حسب الشهر'!$C$1143:$AD$1254,22,FALSE),0)</f>
        <v>0</v>
      </c>
      <c r="N56" s="376">
        <f>IFERROR(VLOOKUP(C56,'تقرير المصروفات حسب الشهر'!$C$1270:$AD$1381,22,FALSE),0)</f>
        <v>0</v>
      </c>
      <c r="O56" s="376">
        <f>IFERROR(VLOOKUP(C56,'تقرير المصروفات حسب الشهر'!$C$1397:$AD$1512,22,FALSE),0)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الشهر'!$C$10:$AD$119,22,FALSE),0)</f>
        <v>0</v>
      </c>
      <c r="E57" s="362">
        <f>IFERROR(VLOOKUP(C57,'تقرير المصروفات حسب الشهر'!$C$135:$AD$244,22,FALSE),0)</f>
        <v>0</v>
      </c>
      <c r="F57" s="362">
        <f>IFERROR(VLOOKUP(C57,'تقرير المصروفات حسب الشهر'!$C$261:$AD$368,22,FALSE),0)</f>
        <v>0</v>
      </c>
      <c r="G57" s="362">
        <f>IFERROR(VLOOKUP(C57,'تقرير المصروفات حسب الشهر'!$C$387:$AD$495,22,FALSE),0)</f>
        <v>0</v>
      </c>
      <c r="H57" s="362">
        <f>IFERROR(VLOOKUP(C57,'تقرير المصروفات حسب الشهر'!$C$512:$AD$620,22,FALSE),0)</f>
        <v>0</v>
      </c>
      <c r="I57" s="362">
        <f>IFERROR(VLOOKUP(C57,'تقرير المصروفات حسب الشهر'!$C$637:$AD$746,22,FALSE),0)</f>
        <v>0</v>
      </c>
      <c r="J57" s="362">
        <f>IFERROR(VLOOKUP(C57,'تقرير المصروفات حسب الشهر'!$C$763:$AD$872,22,FALSE),0)</f>
        <v>0</v>
      </c>
      <c r="K57" s="362">
        <f>IFERROR(VLOOKUP(C57,'تقرير المصروفات حسب الشهر'!$C$890:$AD$999,22,FALSE),0)</f>
        <v>0</v>
      </c>
      <c r="L57" s="362">
        <f>IFERROR(VLOOKUP(C57,'تقرير المصروفات حسب الشهر'!$C$1016:$AD$1126,22,FALSE),0)</f>
        <v>0</v>
      </c>
      <c r="M57" s="376">
        <f>IFERROR(VLOOKUP(C57,'تقرير المصروفات حسب الشهر'!$C$1143:$AD$1254,22,FALSE),0)</f>
        <v>0</v>
      </c>
      <c r="N57" s="376">
        <f>IFERROR(VLOOKUP(C57,'تقرير المصروفات حسب الشهر'!$C$1270:$AD$1381,22,FALSE),0)</f>
        <v>0</v>
      </c>
      <c r="O57" s="376">
        <f>IFERROR(VLOOKUP(C57,'تقرير المصروفات حسب الشهر'!$C$1397:$AD$1512,22,FALSE),0)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الشهر'!$C$10:$AD$119,22,FALSE),0)</f>
        <v>0</v>
      </c>
      <c r="E58" s="362">
        <f>IFERROR(VLOOKUP(C58,'تقرير المصروفات حسب الشهر'!$C$135:$AD$244,22,FALSE),0)</f>
        <v>0</v>
      </c>
      <c r="F58" s="362">
        <f>IFERROR(VLOOKUP(C58,'تقرير المصروفات حسب الشهر'!$C$261:$AD$368,22,FALSE),0)</f>
        <v>0</v>
      </c>
      <c r="G58" s="362">
        <f>IFERROR(VLOOKUP(C58,'تقرير المصروفات حسب الشهر'!$C$387:$AD$495,22,FALSE),0)</f>
        <v>0</v>
      </c>
      <c r="H58" s="362">
        <f>IFERROR(VLOOKUP(C58,'تقرير المصروفات حسب الشهر'!$C$512:$AD$620,22,FALSE),0)</f>
        <v>0</v>
      </c>
      <c r="I58" s="362">
        <f>IFERROR(VLOOKUP(C58,'تقرير المصروفات حسب الشهر'!$C$637:$AD$746,22,FALSE),0)</f>
        <v>0</v>
      </c>
      <c r="J58" s="362">
        <f>IFERROR(VLOOKUP(C58,'تقرير المصروفات حسب الشهر'!$C$763:$AD$872,22,FALSE),0)</f>
        <v>0</v>
      </c>
      <c r="K58" s="362">
        <f>IFERROR(VLOOKUP(C58,'تقرير المصروفات حسب الشهر'!$C$890:$AD$999,22,FALSE),0)</f>
        <v>0</v>
      </c>
      <c r="L58" s="362">
        <f>IFERROR(VLOOKUP(C58,'تقرير المصروفات حسب الشهر'!$C$1016:$AD$1126,22,FALSE),0)</f>
        <v>0</v>
      </c>
      <c r="M58" s="376">
        <f>IFERROR(VLOOKUP(C58,'تقرير المصروفات حسب الشهر'!$C$1143:$AD$1254,22,FALSE),0)</f>
        <v>0</v>
      </c>
      <c r="N58" s="376">
        <f>IFERROR(VLOOKUP(C58,'تقرير المصروفات حسب الشهر'!$C$1270:$AD$1381,22,FALSE),0)</f>
        <v>0</v>
      </c>
      <c r="O58" s="376">
        <f>IFERROR(VLOOKUP(C58,'تقرير المصروفات حسب الشهر'!$C$1397:$AD$1512,22,FALSE),0)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الشهر'!$C$10:$AD$119,22,FALSE),0)</f>
        <v>0</v>
      </c>
      <c r="E59" s="362">
        <f>IFERROR(VLOOKUP(C59,'تقرير المصروفات حسب الشهر'!$C$135:$AD$244,22,FALSE),0)</f>
        <v>0</v>
      </c>
      <c r="F59" s="362">
        <f>IFERROR(VLOOKUP(C59,'تقرير المصروفات حسب الشهر'!$C$261:$AD$368,22,FALSE),0)</f>
        <v>0</v>
      </c>
      <c r="G59" s="362">
        <f>IFERROR(VLOOKUP(C59,'تقرير المصروفات حسب الشهر'!$C$387:$AD$495,22,FALSE),0)</f>
        <v>0</v>
      </c>
      <c r="H59" s="362">
        <f>IFERROR(VLOOKUP(C59,'تقرير المصروفات حسب الشهر'!$C$512:$AD$620,22,FALSE),0)</f>
        <v>0</v>
      </c>
      <c r="I59" s="362">
        <f>IFERROR(VLOOKUP(C59,'تقرير المصروفات حسب الشهر'!$C$637:$AD$746,22,FALSE),0)</f>
        <v>0</v>
      </c>
      <c r="J59" s="362">
        <f>IFERROR(VLOOKUP(C59,'تقرير المصروفات حسب الشهر'!$C$763:$AD$872,22,FALSE),0)</f>
        <v>0</v>
      </c>
      <c r="K59" s="362">
        <f>IFERROR(VLOOKUP(C59,'تقرير المصروفات حسب الشهر'!$C$890:$AD$999,22,FALSE),0)</f>
        <v>0</v>
      </c>
      <c r="L59" s="362">
        <f>IFERROR(VLOOKUP(C59,'تقرير المصروفات حسب الشهر'!$C$1016:$AD$1126,22,FALSE),0)</f>
        <v>0</v>
      </c>
      <c r="M59" s="376">
        <f>IFERROR(VLOOKUP(C59,'تقرير المصروفات حسب الشهر'!$C$1143:$AD$1254,22,FALSE),0)</f>
        <v>0</v>
      </c>
      <c r="N59" s="376">
        <f>IFERROR(VLOOKUP(C59,'تقرير المصروفات حسب الشهر'!$C$1270:$AD$1381,22,FALSE),0)</f>
        <v>0</v>
      </c>
      <c r="O59" s="376">
        <f>IFERROR(VLOOKUP(C59,'تقرير المصروفات حسب الشهر'!$C$1397:$AD$1512,22,FALSE),0)</f>
        <v>0</v>
      </c>
      <c r="P59" s="364">
        <f t="shared" si="5"/>
        <v>0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الشهر'!$C$10:$AD$119,22,FALSE),0)</f>
        <v>3640</v>
      </c>
      <c r="E60" s="362">
        <f>IFERROR(VLOOKUP(C60,'تقرير المصروفات حسب الشهر'!$C$135:$AD$244,22,FALSE),0)</f>
        <v>0</v>
      </c>
      <c r="F60" s="362">
        <f>IFERROR(VLOOKUP(C60,'تقرير المصروفات حسب الشهر'!$C$261:$AD$368,22,FALSE),0)</f>
        <v>0</v>
      </c>
      <c r="G60" s="362">
        <f>IFERROR(VLOOKUP(C60,'تقرير المصروفات حسب الشهر'!$C$387:$AD$495,22,FALSE),0)</f>
        <v>1550</v>
      </c>
      <c r="H60" s="362">
        <f>IFERROR(VLOOKUP(C60,'تقرير المصروفات حسب الشهر'!$C$512:$AD$620,22,FALSE),0)</f>
        <v>0</v>
      </c>
      <c r="I60" s="362">
        <f>IFERROR(VLOOKUP(C60,'تقرير المصروفات حسب الشهر'!$C$637:$AD$746,22,FALSE),0)</f>
        <v>0</v>
      </c>
      <c r="J60" s="362">
        <f>IFERROR(VLOOKUP(C60,'تقرير المصروفات حسب الشهر'!$C$763:$AD$872,22,FALSE),0)</f>
        <v>0</v>
      </c>
      <c r="K60" s="362">
        <f>IFERROR(VLOOKUP(C60,'تقرير المصروفات حسب الشهر'!$C$890:$AD$999,22,FALSE),0)</f>
        <v>0</v>
      </c>
      <c r="L60" s="362">
        <f>IFERROR(VLOOKUP(C60,'تقرير المصروفات حسب الشهر'!$C$1016:$AD$1126,22,FALSE),0)</f>
        <v>0</v>
      </c>
      <c r="M60" s="376">
        <f>IFERROR(VLOOKUP(C60,'تقرير المصروفات حسب الشهر'!$C$1143:$AD$1254,22,FALSE),0)</f>
        <v>1650</v>
      </c>
      <c r="N60" s="376">
        <f>IFERROR(VLOOKUP(C60,'تقرير المصروفات حسب الشهر'!$C$1270:$AD$1381,22,FALSE),0)</f>
        <v>0</v>
      </c>
      <c r="O60" s="376">
        <f>IFERROR(VLOOKUP(C60,'تقرير المصروفات حسب الشهر'!$C$1397:$AD$1512,22,FALSE),0)</f>
        <v>0</v>
      </c>
      <c r="P60" s="364">
        <f t="shared" si="5"/>
        <v>6840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الشهر'!$C$10:$AD$119,22,FALSE),0)</f>
        <v>0</v>
      </c>
      <c r="E61" s="362">
        <f>IFERROR(VLOOKUP(C61,'تقرير المصروفات حسب الشهر'!$C$135:$AD$244,22,FALSE),0)</f>
        <v>0</v>
      </c>
      <c r="F61" s="362">
        <f>IFERROR(VLOOKUP(C61,'تقرير المصروفات حسب الشهر'!$C$261:$AD$368,22,FALSE),0)</f>
        <v>0</v>
      </c>
      <c r="G61" s="362">
        <f>IFERROR(VLOOKUP(C61,'تقرير المصروفات حسب الشهر'!$C$387:$AD$495,22,FALSE),0)</f>
        <v>0</v>
      </c>
      <c r="H61" s="362">
        <f>IFERROR(VLOOKUP(C61,'تقرير المصروفات حسب الشهر'!$C$512:$AD$620,22,FALSE),0)</f>
        <v>0</v>
      </c>
      <c r="I61" s="362">
        <f>IFERROR(VLOOKUP(C61,'تقرير المصروفات حسب الشهر'!$C$637:$AD$746,22,FALSE),0)</f>
        <v>0</v>
      </c>
      <c r="J61" s="362">
        <f>IFERROR(VLOOKUP(C61,'تقرير المصروفات حسب الشهر'!$C$763:$AD$872,22,FALSE),0)</f>
        <v>0</v>
      </c>
      <c r="K61" s="362">
        <f>IFERROR(VLOOKUP(C61,'تقرير المصروفات حسب الشهر'!$C$890:$AD$999,22,FALSE),0)</f>
        <v>0</v>
      </c>
      <c r="L61" s="362">
        <f>IFERROR(VLOOKUP(C61,'تقرير المصروفات حسب الشهر'!$C$1016:$AD$1126,22,FALSE),0)</f>
        <v>350</v>
      </c>
      <c r="M61" s="376">
        <f>IFERROR(VLOOKUP(C61,'تقرير المصروفات حسب الشهر'!$C$1143:$AD$1254,22,FALSE),0)</f>
        <v>0</v>
      </c>
      <c r="N61" s="376">
        <f>IFERROR(VLOOKUP(C61,'تقرير المصروفات حسب الشهر'!$C$1270:$AD$1381,22,FALSE),0)</f>
        <v>0</v>
      </c>
      <c r="O61" s="376">
        <f>IFERROR(VLOOKUP(C61,'تقرير المصروفات حسب الشهر'!$C$1397:$AD$1512,22,FALSE),0)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الشهر'!$C$10:$AD$119,22,FALSE),0)</f>
        <v>0</v>
      </c>
      <c r="E62" s="362">
        <f>IFERROR(VLOOKUP(C62,'تقرير المصروفات حسب الشهر'!$C$135:$AD$244,22,FALSE),0)</f>
        <v>0</v>
      </c>
      <c r="F62" s="362">
        <f>IFERROR(VLOOKUP(C62,'تقرير المصروفات حسب الشهر'!$C$261:$AD$368,22,FALSE),0)</f>
        <v>0</v>
      </c>
      <c r="G62" s="362">
        <f>IFERROR(VLOOKUP(C62,'تقرير المصروفات حسب الشهر'!$C$387:$AD$495,22,FALSE),0)</f>
        <v>0</v>
      </c>
      <c r="H62" s="362">
        <f>IFERROR(VLOOKUP(C62,'تقرير المصروفات حسب الشهر'!$C$512:$AD$620,22,FALSE),0)</f>
        <v>0</v>
      </c>
      <c r="I62" s="362">
        <f>IFERROR(VLOOKUP(C62,'تقرير المصروفات حسب الشهر'!$C$637:$AD$746,22,FALSE),0)</f>
        <v>0</v>
      </c>
      <c r="J62" s="362">
        <f>IFERROR(VLOOKUP(C62,'تقرير المصروفات حسب الشهر'!$C$763:$AD$872,22,FALSE),0)</f>
        <v>0</v>
      </c>
      <c r="K62" s="362">
        <f>IFERROR(VLOOKUP(C62,'تقرير المصروفات حسب الشهر'!$C$890:$AD$999,22,FALSE),0)</f>
        <v>0</v>
      </c>
      <c r="L62" s="362">
        <f>IFERROR(VLOOKUP(C62,'تقرير المصروفات حسب الشهر'!$C$1016:$AD$1126,22,FALSE),0)</f>
        <v>0</v>
      </c>
      <c r="M62" s="376">
        <f>IFERROR(VLOOKUP(C62,'تقرير المصروفات حسب الشهر'!$C$1143:$AD$1254,22,FALSE),0)</f>
        <v>0</v>
      </c>
      <c r="N62" s="376">
        <f>IFERROR(VLOOKUP(C62,'تقرير المصروفات حسب الشهر'!$C$1270:$AD$1381,22,FALSE),0)</f>
        <v>0</v>
      </c>
      <c r="O62" s="376">
        <f>IFERROR(VLOOKUP(C62,'تقرير المصروفات حسب الشهر'!$C$1397:$AD$1512,22,FALSE),0)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الشهر'!$C$10:$AD$119,22,FALSE),0)</f>
        <v>0</v>
      </c>
      <c r="E63" s="362">
        <f>IFERROR(VLOOKUP(C63,'تقرير المصروفات حسب الشهر'!$C$135:$AD$244,22,FALSE),0)</f>
        <v>0</v>
      </c>
      <c r="F63" s="362">
        <f>IFERROR(VLOOKUP(C63,'تقرير المصروفات حسب الشهر'!$C$261:$AD$368,22,FALSE),0)</f>
        <v>0</v>
      </c>
      <c r="G63" s="362">
        <f>IFERROR(VLOOKUP(C63,'تقرير المصروفات حسب الشهر'!$C$387:$AD$495,22,FALSE),0)</f>
        <v>0</v>
      </c>
      <c r="H63" s="362">
        <f>IFERROR(VLOOKUP(C63,'تقرير المصروفات حسب الشهر'!$C$512:$AD$620,22,FALSE),0)</f>
        <v>0</v>
      </c>
      <c r="I63" s="362">
        <f>IFERROR(VLOOKUP(C63,'تقرير المصروفات حسب الشهر'!$C$637:$AD$746,22,FALSE),0)</f>
        <v>0</v>
      </c>
      <c r="J63" s="362">
        <f>IFERROR(VLOOKUP(C63,'تقرير المصروفات حسب الشهر'!$C$763:$AD$872,22,FALSE),0)</f>
        <v>0</v>
      </c>
      <c r="K63" s="362">
        <f>IFERROR(VLOOKUP(C63,'تقرير المصروفات حسب الشهر'!$C$890:$AD$999,22,FALSE),0)</f>
        <v>0</v>
      </c>
      <c r="L63" s="362">
        <f>IFERROR(VLOOKUP(C63,'تقرير المصروفات حسب الشهر'!$C$1016:$AD$1126,22,FALSE),0)</f>
        <v>0</v>
      </c>
      <c r="M63" s="376">
        <f>IFERROR(VLOOKUP(C63,'تقرير المصروفات حسب الشهر'!$C$1143:$AD$1254,22,FALSE),0)</f>
        <v>0</v>
      </c>
      <c r="N63" s="376">
        <f>IFERROR(VLOOKUP(C63,'تقرير المصروفات حسب الشهر'!$C$1270:$AD$1381,22,FALSE),0)</f>
        <v>0</v>
      </c>
      <c r="O63" s="376">
        <f>IFERROR(VLOOKUP(C63,'تقرير المصروفات حسب الشهر'!$C$1397:$AD$1512,22,FALSE),0)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الشهر'!$C$10:$AD$119,22,FALSE),0)</f>
        <v>0</v>
      </c>
      <c r="E64" s="362">
        <f>IFERROR(VLOOKUP(C64,'تقرير المصروفات حسب الشهر'!$C$135:$AD$244,22,FALSE),0)</f>
        <v>0</v>
      </c>
      <c r="F64" s="362">
        <f>IFERROR(VLOOKUP(C64,'تقرير المصروفات حسب الشهر'!$C$261:$AD$368,22,FALSE),0)</f>
        <v>1060</v>
      </c>
      <c r="G64" s="362">
        <f>IFERROR(VLOOKUP(C64,'تقرير المصروفات حسب الشهر'!$C$387:$AD$495,22,FALSE),0)</f>
        <v>0</v>
      </c>
      <c r="H64" s="362">
        <f>IFERROR(VLOOKUP(C64,'تقرير المصروفات حسب الشهر'!$C$512:$AD$620,22,FALSE),0)</f>
        <v>0</v>
      </c>
      <c r="I64" s="362">
        <f>IFERROR(VLOOKUP(C64,'تقرير المصروفات حسب الشهر'!$C$637:$AD$746,22,FALSE),0)</f>
        <v>0</v>
      </c>
      <c r="J64" s="362">
        <f>IFERROR(VLOOKUP(C64,'تقرير المصروفات حسب الشهر'!$C$763:$AD$872,22,FALSE),0)</f>
        <v>0</v>
      </c>
      <c r="K64" s="362">
        <f>IFERROR(VLOOKUP(C64,'تقرير المصروفات حسب الشهر'!$C$890:$AD$999,22,FALSE),0)</f>
        <v>0</v>
      </c>
      <c r="L64" s="362">
        <f>IFERROR(VLOOKUP(C64,'تقرير المصروفات حسب الشهر'!$C$1016:$AD$1126,22,FALSE),0)</f>
        <v>0</v>
      </c>
      <c r="M64" s="376">
        <f>IFERROR(VLOOKUP(C64,'تقرير المصروفات حسب الشهر'!$C$1143:$AD$1254,22,FALSE),0)</f>
        <v>0</v>
      </c>
      <c r="N64" s="376">
        <f>IFERROR(VLOOKUP(C64,'تقرير المصروفات حسب الشهر'!$C$1270:$AD$1381,22,FALSE),0)</f>
        <v>0</v>
      </c>
      <c r="O64" s="376">
        <f>IFERROR(VLOOKUP(C64,'تقرير المصروفات حسب الشهر'!$C$1397:$AD$1512,22,FALSE),0)</f>
        <v>0</v>
      </c>
      <c r="P64" s="364">
        <f t="shared" si="5"/>
        <v>1060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الشهر'!$C$10:$AD$119,22,FALSE),0)</f>
        <v>0</v>
      </c>
      <c r="E65" s="362">
        <f>IFERROR(VLOOKUP(C65,'تقرير المصروفات حسب الشهر'!$C$135:$AD$244,22,FALSE),0)</f>
        <v>0</v>
      </c>
      <c r="F65" s="362">
        <f>IFERROR(VLOOKUP(C65,'تقرير المصروفات حسب الشهر'!$C$261:$AD$368,22,FALSE),0)</f>
        <v>0</v>
      </c>
      <c r="G65" s="362">
        <f>IFERROR(VLOOKUP(C65,'تقرير المصروفات حسب الشهر'!$C$387:$AD$495,22,FALSE),0)</f>
        <v>0</v>
      </c>
      <c r="H65" s="362">
        <f>IFERROR(VLOOKUP(C65,'تقرير المصروفات حسب الشهر'!$C$512:$AD$620,22,FALSE),0)</f>
        <v>0</v>
      </c>
      <c r="I65" s="362">
        <f>IFERROR(VLOOKUP(C65,'تقرير المصروفات حسب الشهر'!$C$637:$AD$746,22,FALSE),0)</f>
        <v>0</v>
      </c>
      <c r="J65" s="362">
        <f>IFERROR(VLOOKUP(C65,'تقرير المصروفات حسب الشهر'!$C$763:$AD$872,22,FALSE),0)</f>
        <v>0</v>
      </c>
      <c r="K65" s="362">
        <f>IFERROR(VLOOKUP(C65,'تقرير المصروفات حسب الشهر'!$C$890:$AD$999,22,FALSE),0)</f>
        <v>0</v>
      </c>
      <c r="L65" s="362">
        <f>IFERROR(VLOOKUP(C65,'تقرير المصروفات حسب الشهر'!$C$1016:$AD$1126,22,FALSE),0)</f>
        <v>0</v>
      </c>
      <c r="M65" s="376">
        <f>IFERROR(VLOOKUP(C65,'تقرير المصروفات حسب الشهر'!$C$1143:$AD$1254,22,FALSE),0)</f>
        <v>0</v>
      </c>
      <c r="N65" s="376">
        <f>IFERROR(VLOOKUP(C65,'تقرير المصروفات حسب الشهر'!$C$1270:$AD$1381,22,FALSE),0)</f>
        <v>0</v>
      </c>
      <c r="O65" s="376">
        <f>IFERROR(VLOOKUP(C65,'تقرير المصروفات حسب الشهر'!$C$1397:$AD$1512,22,FALSE),0)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الشهر'!$C$10:$AD$119,22,FALSE),0)</f>
        <v>0</v>
      </c>
      <c r="E66" s="362">
        <f>IFERROR(VLOOKUP(C66,'تقرير المصروفات حسب الشهر'!$C$135:$AD$244,22,FALSE),0)</f>
        <v>0</v>
      </c>
      <c r="F66" s="362">
        <f>IFERROR(VLOOKUP(C66,'تقرير المصروفات حسب الشهر'!$C$261:$AD$368,22,FALSE),0)</f>
        <v>0</v>
      </c>
      <c r="G66" s="362">
        <f>IFERROR(VLOOKUP(C66,'تقرير المصروفات حسب الشهر'!$C$387:$AD$495,22,FALSE),0)</f>
        <v>0</v>
      </c>
      <c r="H66" s="362">
        <f>IFERROR(VLOOKUP(C66,'تقرير المصروفات حسب الشهر'!$C$512:$AD$620,22,FALSE),0)</f>
        <v>0</v>
      </c>
      <c r="I66" s="362">
        <f>IFERROR(VLOOKUP(C66,'تقرير المصروفات حسب الشهر'!$C$637:$AD$746,22,FALSE),0)</f>
        <v>0</v>
      </c>
      <c r="J66" s="362">
        <f>IFERROR(VLOOKUP(C66,'تقرير المصروفات حسب الشهر'!$C$763:$AD$872,22,FALSE),0)</f>
        <v>0</v>
      </c>
      <c r="K66" s="362">
        <f>IFERROR(VLOOKUP(C66,'تقرير المصروفات حسب الشهر'!$C$890:$AD$999,22,FALSE),0)</f>
        <v>0</v>
      </c>
      <c r="L66" s="362">
        <f>IFERROR(VLOOKUP(C66,'تقرير المصروفات حسب الشهر'!$C$1016:$AD$1126,22,FALSE),0)</f>
        <v>0</v>
      </c>
      <c r="M66" s="376">
        <f>IFERROR(VLOOKUP(C66,'تقرير المصروفات حسب الشهر'!$C$1143:$AD$1254,22,FALSE),0)</f>
        <v>0</v>
      </c>
      <c r="N66" s="376">
        <f>IFERROR(VLOOKUP(C66,'تقرير المصروفات حسب الشهر'!$C$1270:$AD$1381,22,FALSE),0)</f>
        <v>0</v>
      </c>
      <c r="O66" s="376">
        <f>IFERROR(VLOOKUP(C66,'تقرير المصروفات حسب الشهر'!$C$1397:$AD$1512,22,FALSE),0)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الشهر'!$C$10:$AD$119,22,FALSE),0)</f>
        <v>0</v>
      </c>
      <c r="E67" s="362">
        <f>IFERROR(VLOOKUP(C67,'تقرير المصروفات حسب الشهر'!$C$135:$AD$244,22,FALSE),0)</f>
        <v>0</v>
      </c>
      <c r="F67" s="362">
        <f>IFERROR(VLOOKUP(C67,'تقرير المصروفات حسب الشهر'!$C$261:$AD$368,22,FALSE),0)</f>
        <v>0</v>
      </c>
      <c r="G67" s="362">
        <f>IFERROR(VLOOKUP(C67,'تقرير المصروفات حسب الشهر'!$C$387:$AD$495,22,FALSE),0)</f>
        <v>0</v>
      </c>
      <c r="H67" s="362">
        <f>IFERROR(VLOOKUP(C67,'تقرير المصروفات حسب الشهر'!$C$512:$AD$620,22,FALSE),0)</f>
        <v>0</v>
      </c>
      <c r="I67" s="362">
        <f>IFERROR(VLOOKUP(C67,'تقرير المصروفات حسب الشهر'!$C$637:$AD$746,22,FALSE),0)</f>
        <v>0</v>
      </c>
      <c r="J67" s="362">
        <f>IFERROR(VLOOKUP(C67,'تقرير المصروفات حسب الشهر'!$C$763:$AD$872,22,FALSE),0)</f>
        <v>0</v>
      </c>
      <c r="K67" s="362">
        <f>IFERROR(VLOOKUP(C67,'تقرير المصروفات حسب الشهر'!$C$890:$AD$999,22,FALSE),0)</f>
        <v>0</v>
      </c>
      <c r="L67" s="362">
        <f>IFERROR(VLOOKUP(C67,'تقرير المصروفات حسب الشهر'!$C$1016:$AD$1126,22,FALSE),0)</f>
        <v>0</v>
      </c>
      <c r="M67" s="376">
        <f>IFERROR(VLOOKUP(C67,'تقرير المصروفات حسب الشهر'!$C$1143:$AD$1254,22,FALSE),0)</f>
        <v>0</v>
      </c>
      <c r="N67" s="376">
        <f>IFERROR(VLOOKUP(C67,'تقرير المصروفات حسب الشهر'!$C$1270:$AD$1381,22,FALSE),0)</f>
        <v>0</v>
      </c>
      <c r="O67" s="376">
        <f>IFERROR(VLOOKUP(C67,'تقرير المصروفات حسب الشهر'!$C$1397:$AD$1512,22,FALSE),0)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الشهر'!$C$10:$AD$119,22,FALSE),0)</f>
        <v>0</v>
      </c>
      <c r="E68" s="362">
        <f>IFERROR(VLOOKUP(C68,'تقرير المصروفات حسب الشهر'!$C$135:$AD$244,22,FALSE),0)</f>
        <v>0</v>
      </c>
      <c r="F68" s="362">
        <f>IFERROR(VLOOKUP(C68,'تقرير المصروفات حسب الشهر'!$C$261:$AD$368,22,FALSE),0)</f>
        <v>0</v>
      </c>
      <c r="G68" s="362">
        <f>IFERROR(VLOOKUP(C68,'تقرير المصروفات حسب الشهر'!$C$387:$AD$495,22,FALSE),0)</f>
        <v>0</v>
      </c>
      <c r="H68" s="362">
        <f>IFERROR(VLOOKUP(C68,'تقرير المصروفات حسب الشهر'!$C$512:$AD$620,22,FALSE),0)</f>
        <v>0</v>
      </c>
      <c r="I68" s="362">
        <f>IFERROR(VLOOKUP(C68,'تقرير المصروفات حسب الشهر'!$C$637:$AD$746,22,FALSE),0)</f>
        <v>0</v>
      </c>
      <c r="J68" s="362">
        <f>IFERROR(VLOOKUP(C68,'تقرير المصروفات حسب الشهر'!$C$763:$AD$872,22,FALSE),0)</f>
        <v>0</v>
      </c>
      <c r="K68" s="362">
        <f>IFERROR(VLOOKUP(C68,'تقرير المصروفات حسب الشهر'!$C$890:$AD$999,22,FALSE),0)</f>
        <v>0</v>
      </c>
      <c r="L68" s="362">
        <f>IFERROR(VLOOKUP(C68,'تقرير المصروفات حسب الشهر'!$C$1016:$AD$1126,22,FALSE),0)</f>
        <v>0</v>
      </c>
      <c r="M68" s="376">
        <f>IFERROR(VLOOKUP(C68,'تقرير المصروفات حسب الشهر'!$C$1143:$AD$1254,22,FALSE),0)</f>
        <v>0</v>
      </c>
      <c r="N68" s="376">
        <f>IFERROR(VLOOKUP(C68,'تقرير المصروفات حسب الشهر'!$C$1270:$AD$1381,22,FALSE),0)</f>
        <v>0</v>
      </c>
      <c r="O68" s="376">
        <f>IFERROR(VLOOKUP(C68,'تقرير المصروفات حسب الشهر'!$C$1397:$AD$1512,22,FALSE),0)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الشهر'!$C$10:$AD$119,22,FALSE),0)</f>
        <v>0</v>
      </c>
      <c r="E69" s="362">
        <f>IFERROR(VLOOKUP(C69,'تقرير المصروفات حسب الشهر'!$C$135:$AD$244,22,FALSE),0)</f>
        <v>0</v>
      </c>
      <c r="F69" s="362">
        <f>IFERROR(VLOOKUP(C69,'تقرير المصروفات حسب الشهر'!$C$261:$AD$368,22,FALSE),0)</f>
        <v>0</v>
      </c>
      <c r="G69" s="362">
        <f>IFERROR(VLOOKUP(C69,'تقرير المصروفات حسب الشهر'!$C$387:$AD$495,22,FALSE),0)</f>
        <v>0</v>
      </c>
      <c r="H69" s="362">
        <f>IFERROR(VLOOKUP(C69,'تقرير المصروفات حسب الشهر'!$C$512:$AD$620,22,FALSE),0)</f>
        <v>0</v>
      </c>
      <c r="I69" s="362">
        <f>IFERROR(VLOOKUP(C69,'تقرير المصروفات حسب الشهر'!$C$637:$AD$746,22,FALSE),0)</f>
        <v>0</v>
      </c>
      <c r="J69" s="362">
        <f>IFERROR(VLOOKUP(C69,'تقرير المصروفات حسب الشهر'!$C$763:$AD$872,22,FALSE),0)</f>
        <v>0</v>
      </c>
      <c r="K69" s="362">
        <f>IFERROR(VLOOKUP(C69,'تقرير المصروفات حسب الشهر'!$C$890:$AD$999,22,FALSE),0)</f>
        <v>0</v>
      </c>
      <c r="L69" s="362">
        <f>IFERROR(VLOOKUP(C69,'تقرير المصروفات حسب الشهر'!$C$1016:$AD$1126,22,FALSE),0)</f>
        <v>0</v>
      </c>
      <c r="M69" s="376">
        <f>IFERROR(VLOOKUP(C69,'تقرير المصروفات حسب الشهر'!$C$1143:$AD$1254,22,FALSE),0)</f>
        <v>0</v>
      </c>
      <c r="N69" s="376">
        <f>IFERROR(VLOOKUP(C69,'تقرير المصروفات حسب الشهر'!$C$1270:$AD$1381,22,FALSE),0)</f>
        <v>0</v>
      </c>
      <c r="O69" s="376">
        <f>IFERROR(VLOOKUP(C69,'تقرير المصروفات حسب الشهر'!$C$1397:$AD$1512,22,FALSE),0)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الشهر'!$C$10:$AD$119,22,FALSE),0)</f>
        <v>0</v>
      </c>
      <c r="E70" s="362">
        <f>IFERROR(VLOOKUP(C70,'تقرير المصروفات حسب الشهر'!$C$135:$AD$244,22,FALSE),0)</f>
        <v>0</v>
      </c>
      <c r="F70" s="362">
        <f>IFERROR(VLOOKUP(C70,'تقرير المصروفات حسب الشهر'!$C$261:$AD$368,22,FALSE),0)</f>
        <v>0</v>
      </c>
      <c r="G70" s="362">
        <f>IFERROR(VLOOKUP(C70,'تقرير المصروفات حسب الشهر'!$C$387:$AD$495,22,FALSE),0)</f>
        <v>0</v>
      </c>
      <c r="H70" s="362">
        <f>IFERROR(VLOOKUP(C70,'تقرير المصروفات حسب الشهر'!$C$512:$AD$620,22,FALSE),0)</f>
        <v>0</v>
      </c>
      <c r="I70" s="362">
        <f>IFERROR(VLOOKUP(C70,'تقرير المصروفات حسب الشهر'!$C$637:$AD$746,22,FALSE),0)</f>
        <v>0</v>
      </c>
      <c r="J70" s="362">
        <f>IFERROR(VLOOKUP(C70,'تقرير المصروفات حسب الشهر'!$C$763:$AD$872,22,FALSE),0)</f>
        <v>0</v>
      </c>
      <c r="K70" s="362">
        <f>IFERROR(VLOOKUP(C70,'تقرير المصروفات حسب الشهر'!$C$890:$AD$999,22,FALSE),0)</f>
        <v>0</v>
      </c>
      <c r="L70" s="362">
        <f>IFERROR(VLOOKUP(C70,'تقرير المصروفات حسب الشهر'!$C$1016:$AD$1126,22,FALSE),0)</f>
        <v>0</v>
      </c>
      <c r="M70" s="376">
        <f>IFERROR(VLOOKUP(C70,'تقرير المصروفات حسب الشهر'!$C$1143:$AD$1254,22,FALSE),0)</f>
        <v>0</v>
      </c>
      <c r="N70" s="376">
        <f>IFERROR(VLOOKUP(C70,'تقرير المصروفات حسب الشهر'!$C$1270:$AD$1381,22,FALSE),0)</f>
        <v>0</v>
      </c>
      <c r="O70" s="376">
        <f>IFERROR(VLOOKUP(C70,'تقرير المصروفات حسب الشهر'!$C$1397:$AD$1512,22,FALSE),0)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الشهر'!$C$10:$AD$119,22,FALSE),0)</f>
        <v>0</v>
      </c>
      <c r="E71" s="362">
        <f>IFERROR(VLOOKUP(C71,'تقرير المصروفات حسب الشهر'!$C$135:$AD$244,22,FALSE),0)</f>
        <v>0</v>
      </c>
      <c r="F71" s="362">
        <f>IFERROR(VLOOKUP(C71,'تقرير المصروفات حسب الشهر'!$C$261:$AD$368,22,FALSE),0)</f>
        <v>0</v>
      </c>
      <c r="G71" s="362">
        <f>IFERROR(VLOOKUP(C71,'تقرير المصروفات حسب الشهر'!$C$387:$AD$495,22,FALSE),0)</f>
        <v>0</v>
      </c>
      <c r="H71" s="362">
        <f>IFERROR(VLOOKUP(C71,'تقرير المصروفات حسب الشهر'!$C$512:$AD$620,22,FALSE),0)</f>
        <v>0</v>
      </c>
      <c r="I71" s="362">
        <f>IFERROR(VLOOKUP(C71,'تقرير المصروفات حسب الشهر'!$C$637:$AD$746,22,FALSE),0)</f>
        <v>0</v>
      </c>
      <c r="J71" s="362">
        <f>IFERROR(VLOOKUP(C71,'تقرير المصروفات حسب الشهر'!$C$763:$AD$872,22,FALSE),0)</f>
        <v>0</v>
      </c>
      <c r="K71" s="362">
        <f>IFERROR(VLOOKUP(C71,'تقرير المصروفات حسب الشهر'!$C$890:$AD$999,22,FALSE),0)</f>
        <v>0</v>
      </c>
      <c r="L71" s="362">
        <f>IFERROR(VLOOKUP(C71,'تقرير المصروفات حسب الشهر'!$C$1016:$AD$1126,22,FALSE),0)</f>
        <v>0</v>
      </c>
      <c r="M71" s="376">
        <f>IFERROR(VLOOKUP(C71,'تقرير المصروفات حسب الشهر'!$C$1143:$AD$1254,22,FALSE),0)</f>
        <v>0</v>
      </c>
      <c r="N71" s="376">
        <f>IFERROR(VLOOKUP(C71,'تقرير المصروفات حسب الشهر'!$C$1270:$AD$1381,22,FALSE),0)</f>
        <v>0</v>
      </c>
      <c r="O71" s="376">
        <f>IFERROR(VLOOKUP(C71,'تقرير المصروفات حسب الشهر'!$C$1397:$AD$1512,22,FALSE),0)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الشهر'!$C$10:$AD$119,22,FALSE),0)</f>
        <v>0</v>
      </c>
      <c r="E72" s="362">
        <f>IFERROR(VLOOKUP(C72,'تقرير المصروفات حسب الشهر'!$C$135:$AD$244,22,FALSE),0)</f>
        <v>0</v>
      </c>
      <c r="F72" s="362">
        <f>IFERROR(VLOOKUP(C72,'تقرير المصروفات حسب الشهر'!$C$261:$AD$368,22,FALSE),0)</f>
        <v>0</v>
      </c>
      <c r="G72" s="362">
        <f>IFERROR(VLOOKUP(C72,'تقرير المصروفات حسب الشهر'!$C$387:$AD$495,22,FALSE),0)</f>
        <v>0</v>
      </c>
      <c r="H72" s="362">
        <f>IFERROR(VLOOKUP(C72,'تقرير المصروفات حسب الشهر'!$C$512:$AD$620,22,FALSE),0)</f>
        <v>0</v>
      </c>
      <c r="I72" s="362">
        <f>IFERROR(VLOOKUP(C72,'تقرير المصروفات حسب الشهر'!$C$637:$AD$746,22,FALSE),0)</f>
        <v>0</v>
      </c>
      <c r="J72" s="362">
        <f>IFERROR(VLOOKUP(C72,'تقرير المصروفات حسب الشهر'!$C$763:$AD$872,22,FALSE),0)</f>
        <v>0</v>
      </c>
      <c r="K72" s="362">
        <f>IFERROR(VLOOKUP(C72,'تقرير المصروفات حسب الشهر'!$C$890:$AD$999,22,FALSE),0)</f>
        <v>0</v>
      </c>
      <c r="L72" s="362">
        <f>IFERROR(VLOOKUP(C72,'تقرير المصروفات حسب الشهر'!$C$1016:$AD$1126,22,FALSE),0)</f>
        <v>0</v>
      </c>
      <c r="M72" s="376">
        <f>IFERROR(VLOOKUP(C72,'تقرير المصروفات حسب الشهر'!$C$1143:$AD$1254,22,FALSE),0)</f>
        <v>0</v>
      </c>
      <c r="N72" s="376">
        <f>IFERROR(VLOOKUP(C72,'تقرير المصروفات حسب الشهر'!$C$1270:$AD$1381,22,FALSE),0)</f>
        <v>0</v>
      </c>
      <c r="O72" s="376">
        <f>IFERROR(VLOOKUP(C72,'تقرير المصروفات حسب الشهر'!$C$1397:$AD$1512,22,FALSE),0)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الشهر'!$C$10:$AD$119,22,FALSE),0)</f>
        <v>0</v>
      </c>
      <c r="E73" s="362">
        <f>IFERROR(VLOOKUP(C73,'تقرير المصروفات حسب الشهر'!$C$135:$AD$244,22,FALSE),0)</f>
        <v>0</v>
      </c>
      <c r="F73" s="362">
        <f>IFERROR(VLOOKUP(C73,'تقرير المصروفات حسب الشهر'!$C$261:$AD$368,22,FALSE),0)</f>
        <v>0</v>
      </c>
      <c r="G73" s="362">
        <f>IFERROR(VLOOKUP(C73,'تقرير المصروفات حسب الشهر'!$C$387:$AD$495,22,FALSE),0)</f>
        <v>0</v>
      </c>
      <c r="H73" s="362">
        <f>IFERROR(VLOOKUP(C73,'تقرير المصروفات حسب الشهر'!$C$512:$AD$620,22,FALSE),0)</f>
        <v>0</v>
      </c>
      <c r="I73" s="362">
        <f>IFERROR(VLOOKUP(C73,'تقرير المصروفات حسب الشهر'!$C$637:$AD$746,22,FALSE),0)</f>
        <v>0</v>
      </c>
      <c r="J73" s="362">
        <f>IFERROR(VLOOKUP(C73,'تقرير المصروفات حسب الشهر'!$C$763:$AD$872,22,FALSE),0)</f>
        <v>0</v>
      </c>
      <c r="K73" s="362">
        <f>IFERROR(VLOOKUP(C73,'تقرير المصروفات حسب الشهر'!$C$890:$AD$999,22,FALSE),0)</f>
        <v>0</v>
      </c>
      <c r="L73" s="362">
        <f>IFERROR(VLOOKUP(C73,'تقرير المصروفات حسب الشهر'!$C$1016:$AD$1126,22,FALSE),0)</f>
        <v>0</v>
      </c>
      <c r="M73" s="376">
        <f>IFERROR(VLOOKUP(C73,'تقرير المصروفات حسب الشهر'!$C$1143:$AD$1254,22,FALSE),0)</f>
        <v>0</v>
      </c>
      <c r="N73" s="376">
        <f>IFERROR(VLOOKUP(C73,'تقرير المصروفات حسب الشهر'!$C$1270:$AD$1381,22,FALSE),0)</f>
        <v>0</v>
      </c>
      <c r="O73" s="376">
        <f>IFERROR(VLOOKUP(C73,'تقرير المصروفات حسب الشهر'!$C$1397:$AD$1512,22,FALSE),0)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الشهر'!$C$10:$AD$119,22,FALSE),0)</f>
        <v>0</v>
      </c>
      <c r="E74" s="362">
        <f>IFERROR(VLOOKUP(C74,'تقرير المصروفات حسب الشهر'!$C$135:$AD$244,22,FALSE),0)</f>
        <v>0</v>
      </c>
      <c r="F74" s="362">
        <f>IFERROR(VLOOKUP(C74,'تقرير المصروفات حسب الشهر'!$C$261:$AD$368,22,FALSE),0)</f>
        <v>0</v>
      </c>
      <c r="G74" s="362">
        <f>IFERROR(VLOOKUP(C74,'تقرير المصروفات حسب الشهر'!$C$387:$AD$495,22,FALSE),0)</f>
        <v>0</v>
      </c>
      <c r="H74" s="362">
        <f>IFERROR(VLOOKUP(C74,'تقرير المصروفات حسب الشهر'!$C$512:$AD$620,22,FALSE),0)</f>
        <v>0</v>
      </c>
      <c r="I74" s="362">
        <f>IFERROR(VLOOKUP(C74,'تقرير المصروفات حسب الشهر'!$C$637:$AD$746,22,FALSE),0)</f>
        <v>0</v>
      </c>
      <c r="J74" s="362">
        <f>IFERROR(VLOOKUP(C74,'تقرير المصروفات حسب الشهر'!$C$763:$AD$872,22,FALSE),0)</f>
        <v>0</v>
      </c>
      <c r="K74" s="362">
        <f>IFERROR(VLOOKUP(C74,'تقرير المصروفات حسب الشهر'!$C$890:$AD$999,22,FALSE),0)</f>
        <v>0</v>
      </c>
      <c r="L74" s="362">
        <f>IFERROR(VLOOKUP(C74,'تقرير المصروفات حسب الشهر'!$C$1016:$AD$1126,22,FALSE),0)</f>
        <v>0</v>
      </c>
      <c r="M74" s="376">
        <f>IFERROR(VLOOKUP(C74,'تقرير المصروفات حسب الشهر'!$C$1143:$AD$1254,22,FALSE),0)</f>
        <v>0</v>
      </c>
      <c r="N74" s="376">
        <f>IFERROR(VLOOKUP(C74,'تقرير المصروفات حسب الشهر'!$C$1270:$AD$1381,22,FALSE),0)</f>
        <v>0</v>
      </c>
      <c r="O74" s="376">
        <f>IFERROR(VLOOKUP(C74,'تقرير المصروفات حسب الشهر'!$C$1397:$AD$1512,22,FALSE),0)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الشهر'!$C$10:$AD$119,22,FALSE),0)</f>
        <v>0</v>
      </c>
      <c r="E75" s="362">
        <f>IFERROR(VLOOKUP(C75,'تقرير المصروفات حسب الشهر'!$C$135:$AD$244,22,FALSE),0)</f>
        <v>0</v>
      </c>
      <c r="F75" s="362">
        <f>IFERROR(VLOOKUP(C75,'تقرير المصروفات حسب الشهر'!$C$261:$AD$368,22,FALSE),0)</f>
        <v>0</v>
      </c>
      <c r="G75" s="362">
        <f>IFERROR(VLOOKUP(C75,'تقرير المصروفات حسب الشهر'!$C$387:$AD$495,22,FALSE),0)</f>
        <v>0</v>
      </c>
      <c r="H75" s="362">
        <f>IFERROR(VLOOKUP(C75,'تقرير المصروفات حسب الشهر'!$C$512:$AD$620,22,FALSE),0)</f>
        <v>0</v>
      </c>
      <c r="I75" s="362">
        <f>IFERROR(VLOOKUP(C75,'تقرير المصروفات حسب الشهر'!$C$637:$AD$746,22,FALSE),0)</f>
        <v>0</v>
      </c>
      <c r="J75" s="362">
        <f>IFERROR(VLOOKUP(C75,'تقرير المصروفات حسب الشهر'!$C$763:$AD$872,22,FALSE),0)</f>
        <v>0</v>
      </c>
      <c r="K75" s="362">
        <f>IFERROR(VLOOKUP(C75,'تقرير المصروفات حسب الشهر'!$C$890:$AD$999,22,FALSE),0)</f>
        <v>0</v>
      </c>
      <c r="L75" s="362">
        <f>IFERROR(VLOOKUP(C75,'تقرير المصروفات حسب الشهر'!$C$1016:$AD$1126,22,FALSE),0)</f>
        <v>0</v>
      </c>
      <c r="M75" s="376">
        <f>IFERROR(VLOOKUP(C75,'تقرير المصروفات حسب الشهر'!$C$1143:$AD$1254,22,FALSE),0)</f>
        <v>0</v>
      </c>
      <c r="N75" s="376">
        <f>IFERROR(VLOOKUP(C75,'تقرير المصروفات حسب الشهر'!$C$1270:$AD$1381,22,FALSE),0)</f>
        <v>0</v>
      </c>
      <c r="O75" s="376">
        <f>IFERROR(VLOOKUP(C75,'تقرير المصروفات حسب الشهر'!$C$1397:$AD$1512,22,FALSE),0)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الشهر'!$C$10:$AD$119,22,FALSE),0)</f>
        <v>0</v>
      </c>
      <c r="E76" s="362">
        <f>IFERROR(VLOOKUP(C76,'تقرير المصروفات حسب الشهر'!$C$135:$AD$244,22,FALSE),0)</f>
        <v>0</v>
      </c>
      <c r="F76" s="362">
        <f>IFERROR(VLOOKUP(C76,'تقرير المصروفات حسب الشهر'!$C$261:$AD$368,22,FALSE),0)</f>
        <v>0</v>
      </c>
      <c r="G76" s="362">
        <f>IFERROR(VLOOKUP(C76,'تقرير المصروفات حسب الشهر'!$C$387:$AD$495,22,FALSE),0)</f>
        <v>0</v>
      </c>
      <c r="H76" s="362">
        <f>IFERROR(VLOOKUP(C76,'تقرير المصروفات حسب الشهر'!$C$512:$AD$620,22,FALSE),0)</f>
        <v>0</v>
      </c>
      <c r="I76" s="362">
        <f>IFERROR(VLOOKUP(C76,'تقرير المصروفات حسب الشهر'!$C$637:$AD$746,22,FALSE),0)</f>
        <v>0</v>
      </c>
      <c r="J76" s="362">
        <f>IFERROR(VLOOKUP(C76,'تقرير المصروفات حسب الشهر'!$C$763:$AD$872,22,FALSE),0)</f>
        <v>0</v>
      </c>
      <c r="K76" s="362">
        <f>IFERROR(VLOOKUP(C76,'تقرير المصروفات حسب الشهر'!$C$890:$AD$999,22,FALSE),0)</f>
        <v>0</v>
      </c>
      <c r="L76" s="362">
        <f>IFERROR(VLOOKUP(C76,'تقرير المصروفات حسب الشهر'!$C$1016:$AD$1126,22,FALSE),0)</f>
        <v>0</v>
      </c>
      <c r="M76" s="376">
        <f>IFERROR(VLOOKUP(C76,'تقرير المصروفات حسب الشهر'!$C$1143:$AD$1254,22,FALSE),0)</f>
        <v>0</v>
      </c>
      <c r="N76" s="376">
        <f>IFERROR(VLOOKUP(C76,'تقرير المصروفات حسب الشهر'!$C$1270:$AD$1381,22,FALSE),0)</f>
        <v>0</v>
      </c>
      <c r="O76" s="376">
        <f>IFERROR(VLOOKUP(C76,'تقرير المصروفات حسب الشهر'!$C$1397:$AD$1512,22,FALSE),0)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الشهر'!$C$10:$AD$119,22,FALSE),0)</f>
        <v>0</v>
      </c>
      <c r="E77" s="362">
        <f>IFERROR(VLOOKUP(C77,'تقرير المصروفات حسب الشهر'!$C$135:$AD$244,22,FALSE),0)</f>
        <v>0</v>
      </c>
      <c r="F77" s="362">
        <f>IFERROR(VLOOKUP(C77,'تقرير المصروفات حسب الشهر'!$C$261:$AD$368,22,FALSE),0)</f>
        <v>0</v>
      </c>
      <c r="G77" s="362">
        <f>IFERROR(VLOOKUP(C77,'تقرير المصروفات حسب الشهر'!$C$387:$AD$495,22,FALSE),0)</f>
        <v>0</v>
      </c>
      <c r="H77" s="362">
        <f>IFERROR(VLOOKUP(C77,'تقرير المصروفات حسب الشهر'!$C$512:$AD$620,22,FALSE),0)</f>
        <v>0</v>
      </c>
      <c r="I77" s="362">
        <f>IFERROR(VLOOKUP(C77,'تقرير المصروفات حسب الشهر'!$C$637:$AD$746,22,FALSE),0)</f>
        <v>0</v>
      </c>
      <c r="J77" s="362">
        <f>IFERROR(VLOOKUP(C77,'تقرير المصروفات حسب الشهر'!$C$763:$AD$872,22,FALSE),0)</f>
        <v>0</v>
      </c>
      <c r="K77" s="362">
        <f>IFERROR(VLOOKUP(C77,'تقرير المصروفات حسب الشهر'!$C$890:$AD$999,22,FALSE),0)</f>
        <v>0</v>
      </c>
      <c r="L77" s="362">
        <f>IFERROR(VLOOKUP(C77,'تقرير المصروفات حسب الشهر'!$C$1016:$AD$1126,22,FALSE),0)</f>
        <v>0</v>
      </c>
      <c r="M77" s="376">
        <f>IFERROR(VLOOKUP(C77,'تقرير المصروفات حسب الشهر'!$C$1143:$AD$1254,22,FALSE),0)</f>
        <v>0</v>
      </c>
      <c r="N77" s="376">
        <f>IFERROR(VLOOKUP(C77,'تقرير المصروفات حسب الشهر'!$C$1270:$AD$1381,22,FALSE),0)</f>
        <v>0</v>
      </c>
      <c r="O77" s="376">
        <f>IFERROR(VLOOKUP(C77,'تقرير المصروفات حسب الشهر'!$C$1397:$AD$1512,22,FALSE),0)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الشهر'!$C$10:$AD$119,22,FALSE),0)</f>
        <v>0</v>
      </c>
      <c r="E78" s="362">
        <f>IFERROR(VLOOKUP(C78,'تقرير المصروفات حسب الشهر'!$C$135:$AD$244,22,FALSE),0)</f>
        <v>0</v>
      </c>
      <c r="F78" s="362">
        <f>IFERROR(VLOOKUP(C78,'تقرير المصروفات حسب الشهر'!$C$261:$AD$368,22,FALSE),0)</f>
        <v>0</v>
      </c>
      <c r="G78" s="362">
        <f>IFERROR(VLOOKUP(C78,'تقرير المصروفات حسب الشهر'!$C$387:$AD$495,22,FALSE),0)</f>
        <v>0</v>
      </c>
      <c r="H78" s="362">
        <f>IFERROR(VLOOKUP(C78,'تقرير المصروفات حسب الشهر'!$C$512:$AD$620,22,FALSE),0)</f>
        <v>0</v>
      </c>
      <c r="I78" s="362">
        <f>IFERROR(VLOOKUP(C78,'تقرير المصروفات حسب الشهر'!$C$637:$AD$746,22,FALSE),0)</f>
        <v>0</v>
      </c>
      <c r="J78" s="362">
        <f>IFERROR(VLOOKUP(C78,'تقرير المصروفات حسب الشهر'!$C$763:$AD$872,22,FALSE),0)</f>
        <v>0</v>
      </c>
      <c r="K78" s="362">
        <f>IFERROR(VLOOKUP(C78,'تقرير المصروفات حسب الشهر'!$C$890:$AD$999,22,FALSE),0)</f>
        <v>0</v>
      </c>
      <c r="L78" s="362">
        <f>IFERROR(VLOOKUP(C78,'تقرير المصروفات حسب الشهر'!$C$1016:$AD$1126,22,FALSE),0)</f>
        <v>0</v>
      </c>
      <c r="M78" s="376">
        <f>IFERROR(VLOOKUP(C78,'تقرير المصروفات حسب الشهر'!$C$1143:$AD$1254,22,FALSE),0)</f>
        <v>0</v>
      </c>
      <c r="N78" s="376">
        <f>IFERROR(VLOOKUP(C78,'تقرير المصروفات حسب الشهر'!$C$1270:$AD$1381,22,FALSE),0)</f>
        <v>0</v>
      </c>
      <c r="O78" s="376">
        <f>IFERROR(VLOOKUP(C78,'تقرير المصروفات حسب الشهر'!$C$1397:$AD$1512,22,FALSE),0)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الشهر'!$C$10:$AD$119,22,FALSE),0)</f>
        <v>0</v>
      </c>
      <c r="E79" s="362">
        <f>IFERROR(VLOOKUP(C79,'تقرير المصروفات حسب الشهر'!$C$135:$AD$244,22,FALSE),0)</f>
        <v>0</v>
      </c>
      <c r="F79" s="362">
        <f>IFERROR(VLOOKUP(C79,'تقرير المصروفات حسب الشهر'!$C$261:$AD$368,22,FALSE),0)</f>
        <v>0</v>
      </c>
      <c r="G79" s="362">
        <f>IFERROR(VLOOKUP(C79,'تقرير المصروفات حسب الشهر'!$C$387:$AD$495,22,FALSE),0)</f>
        <v>0</v>
      </c>
      <c r="H79" s="362">
        <f>IFERROR(VLOOKUP(C79,'تقرير المصروفات حسب الشهر'!$C$512:$AD$620,22,FALSE),0)</f>
        <v>0</v>
      </c>
      <c r="I79" s="362">
        <f>IFERROR(VLOOKUP(C79,'تقرير المصروفات حسب الشهر'!$C$637:$AD$746,22,FALSE),0)</f>
        <v>0</v>
      </c>
      <c r="J79" s="362">
        <f>IFERROR(VLOOKUP(C79,'تقرير المصروفات حسب الشهر'!$C$763:$AD$872,22,FALSE),0)</f>
        <v>0</v>
      </c>
      <c r="K79" s="362">
        <f>IFERROR(VLOOKUP(C79,'تقرير المصروفات حسب الشهر'!$C$890:$AD$999,22,FALSE),0)</f>
        <v>0</v>
      </c>
      <c r="L79" s="362">
        <f>IFERROR(VLOOKUP(C79,'تقرير المصروفات حسب الشهر'!$C$1016:$AD$1126,22,FALSE),0)</f>
        <v>0</v>
      </c>
      <c r="M79" s="376">
        <f>IFERROR(VLOOKUP(C79,'تقرير المصروفات حسب الشهر'!$C$1143:$AD$1254,22,FALSE),0)</f>
        <v>0</v>
      </c>
      <c r="N79" s="376">
        <f>IFERROR(VLOOKUP(C79,'تقرير المصروفات حسب الشهر'!$C$1270:$AD$1381,22,FALSE),0)</f>
        <v>0</v>
      </c>
      <c r="O79" s="376">
        <f>IFERROR(VLOOKUP(C79,'تقرير المصروفات حسب الشهر'!$C$1397:$AD$1512,22,FALSE),0)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الشهر'!$C$10:$AD$119,22,FALSE),0)</f>
        <v>0</v>
      </c>
      <c r="E80" s="362">
        <f>IFERROR(VLOOKUP(C80,'تقرير المصروفات حسب الشهر'!$C$135:$AD$244,22,FALSE),0)</f>
        <v>0</v>
      </c>
      <c r="F80" s="362">
        <f>IFERROR(VLOOKUP(C80,'تقرير المصروفات حسب الشهر'!$C$261:$AD$368,22,FALSE),0)</f>
        <v>0</v>
      </c>
      <c r="G80" s="362">
        <f>IFERROR(VLOOKUP(C80,'تقرير المصروفات حسب الشهر'!$C$387:$AD$495,22,FALSE),0)</f>
        <v>0</v>
      </c>
      <c r="H80" s="362">
        <f>IFERROR(VLOOKUP(C80,'تقرير المصروفات حسب الشهر'!$C$512:$AD$620,22,FALSE),0)</f>
        <v>0</v>
      </c>
      <c r="I80" s="362">
        <f>IFERROR(VLOOKUP(C80,'تقرير المصروفات حسب الشهر'!$C$637:$AD$746,22,FALSE),0)</f>
        <v>0</v>
      </c>
      <c r="J80" s="362">
        <f>IFERROR(VLOOKUP(C80,'تقرير المصروفات حسب الشهر'!$C$763:$AD$872,22,FALSE),0)</f>
        <v>0</v>
      </c>
      <c r="K80" s="362">
        <f>IFERROR(VLOOKUP(C80,'تقرير المصروفات حسب الشهر'!$C$890:$AD$999,22,FALSE),0)</f>
        <v>0</v>
      </c>
      <c r="L80" s="362">
        <f>IFERROR(VLOOKUP(C80,'تقرير المصروفات حسب الشهر'!$C$1016:$AD$1126,22,FALSE),0)</f>
        <v>0</v>
      </c>
      <c r="M80" s="376">
        <f>IFERROR(VLOOKUP(C80,'تقرير المصروفات حسب الشهر'!$C$1143:$AD$1254,22,FALSE),0)</f>
        <v>0</v>
      </c>
      <c r="N80" s="376">
        <f>IFERROR(VLOOKUP(C80,'تقرير المصروفات حسب الشهر'!$C$1270:$AD$1381,22,FALSE),0)</f>
        <v>0</v>
      </c>
      <c r="O80" s="376">
        <f>IFERROR(VLOOKUP(C80,'تقرير المصروفات حسب الشهر'!$C$1397:$AD$1512,22,FALSE),0)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الشهر'!$C$10:$AD$119,22,FALSE),0)</f>
        <v>776</v>
      </c>
      <c r="E81" s="362">
        <f>IFERROR(VLOOKUP(C81,'تقرير المصروفات حسب الشهر'!$C$135:$AD$244,22,FALSE),0)</f>
        <v>9792</v>
      </c>
      <c r="F81" s="362">
        <f>IFERROR(VLOOKUP(C81,'تقرير المصروفات حسب الشهر'!$C$261:$AD$368,22,FALSE),0)</f>
        <v>3100</v>
      </c>
      <c r="G81" s="362">
        <f>IFERROR(VLOOKUP(C81,'تقرير المصروفات حسب الشهر'!$C$387:$AD$495,22,FALSE),0)</f>
        <v>5791</v>
      </c>
      <c r="H81" s="362">
        <f>IFERROR(VLOOKUP(C81,'تقرير المصروفات حسب الشهر'!$C$512:$AD$620,22,FALSE),0)</f>
        <v>100</v>
      </c>
      <c r="I81" s="362">
        <f>IFERROR(VLOOKUP(C81,'تقرير المصروفات حسب الشهر'!$C$637:$AD$746,22,FALSE),0)</f>
        <v>9292</v>
      </c>
      <c r="J81" s="362">
        <f>IFERROR(VLOOKUP(C81,'تقرير المصروفات حسب الشهر'!$C$763:$AD$872,22,FALSE),0)</f>
        <v>4000</v>
      </c>
      <c r="K81" s="362">
        <f>IFERROR(VLOOKUP(C81,'تقرير المصروفات حسب الشهر'!$C$890:$AD$999,22,FALSE),0)</f>
        <v>6185</v>
      </c>
      <c r="L81" s="362">
        <f>IFERROR(VLOOKUP(C81,'تقرير المصروفات حسب الشهر'!$C$1016:$AD$1126,22,FALSE),0)</f>
        <v>6085</v>
      </c>
      <c r="M81" s="376">
        <f>IFERROR(VLOOKUP(C81,'تقرير المصروفات حسب الشهر'!$C$1143:$AD$1254,22,FALSE),0)</f>
        <v>8085</v>
      </c>
      <c r="N81" s="376">
        <f>IFERROR(VLOOKUP(C81,'تقرير المصروفات حسب الشهر'!$C$1270:$AD$1381,22,FALSE),0)</f>
        <v>5085</v>
      </c>
      <c r="O81" s="376">
        <f>IFERROR(VLOOKUP(C81,'تقرير المصروفات حسب الشهر'!$C$1397:$AD$1512,22,FALSE),0)</f>
        <v>1984</v>
      </c>
      <c r="P81" s="364">
        <f t="shared" si="5"/>
        <v>60275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الشهر'!$C$10:$AD$119,22,FALSE),0)</f>
        <v>0</v>
      </c>
      <c r="E82" s="362">
        <f>IFERROR(VLOOKUP(C82,'تقرير المصروفات حسب الشهر'!$C$135:$AD$244,22,FALSE),0)</f>
        <v>0</v>
      </c>
      <c r="F82" s="362">
        <f>IFERROR(VLOOKUP(C82,'تقرير المصروفات حسب الشهر'!$C$261:$AD$368,22,FALSE),0)</f>
        <v>0</v>
      </c>
      <c r="G82" s="362">
        <f>IFERROR(VLOOKUP(C82,'تقرير المصروفات حسب الشهر'!$C$387:$AD$495,22,FALSE),0)</f>
        <v>0</v>
      </c>
      <c r="H82" s="362">
        <f>IFERROR(VLOOKUP(C82,'تقرير المصروفات حسب الشهر'!$C$512:$AD$620,22,FALSE),0)</f>
        <v>0</v>
      </c>
      <c r="I82" s="362">
        <f>IFERROR(VLOOKUP(C82,'تقرير المصروفات حسب الشهر'!$C$637:$AD$746,22,FALSE),0)</f>
        <v>0</v>
      </c>
      <c r="J82" s="362">
        <f>IFERROR(VLOOKUP(C82,'تقرير المصروفات حسب الشهر'!$C$763:$AD$872,22,FALSE),0)</f>
        <v>0</v>
      </c>
      <c r="K82" s="362">
        <f>IFERROR(VLOOKUP(C82,'تقرير المصروفات حسب الشهر'!$C$890:$AD$999,22,FALSE),0)</f>
        <v>0</v>
      </c>
      <c r="L82" s="362">
        <f>IFERROR(VLOOKUP(C82,'تقرير المصروفات حسب الشهر'!$C$1016:$AD$1126,22,FALSE),0)</f>
        <v>0</v>
      </c>
      <c r="M82" s="376">
        <f>IFERROR(VLOOKUP(C82,'تقرير المصروفات حسب الشهر'!$C$1143:$AD$1254,22,FALSE),0)</f>
        <v>0</v>
      </c>
      <c r="N82" s="376">
        <f>IFERROR(VLOOKUP(C82,'تقرير المصروفات حسب الشهر'!$C$1270:$AD$1381,22,FALSE),0)</f>
        <v>0</v>
      </c>
      <c r="O82" s="376">
        <f>IFERROR(VLOOKUP(C82,'تقرير المصروفات حسب الشهر'!$C$1397:$AD$1512,22,FALSE),0)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الشهر'!$C$10:$AD$119,22,FALSE),0)</f>
        <v>0</v>
      </c>
      <c r="E83" s="362">
        <f>IFERROR(VLOOKUP(C83,'تقرير المصروفات حسب الشهر'!$C$135:$AD$244,22,FALSE),0)</f>
        <v>0</v>
      </c>
      <c r="F83" s="362">
        <f>IFERROR(VLOOKUP(C83,'تقرير المصروفات حسب الشهر'!$C$261:$AD$368,22,FALSE),0)</f>
        <v>0</v>
      </c>
      <c r="G83" s="362">
        <f>IFERROR(VLOOKUP(C83,'تقرير المصروفات حسب الشهر'!$C$387:$AD$495,22,FALSE),0)</f>
        <v>0</v>
      </c>
      <c r="H83" s="362">
        <f>IFERROR(VLOOKUP(C83,'تقرير المصروفات حسب الشهر'!$C$512:$AD$620,22,FALSE),0)</f>
        <v>0</v>
      </c>
      <c r="I83" s="362">
        <f>IFERROR(VLOOKUP(C83,'تقرير المصروفات حسب الشهر'!$C$637:$AD$746,22,FALSE),0)</f>
        <v>0</v>
      </c>
      <c r="J83" s="362">
        <f>IFERROR(VLOOKUP(C83,'تقرير المصروفات حسب الشهر'!$C$763:$AD$872,22,FALSE),0)</f>
        <v>0</v>
      </c>
      <c r="K83" s="362">
        <f>IFERROR(VLOOKUP(C83,'تقرير المصروفات حسب الشهر'!$C$890:$AD$999,22,FALSE),0)</f>
        <v>0</v>
      </c>
      <c r="L83" s="362">
        <f>IFERROR(VLOOKUP(C83,'تقرير المصروفات حسب الشهر'!$C$1016:$AD$1126,22,FALSE),0)</f>
        <v>0</v>
      </c>
      <c r="M83" s="376">
        <f>IFERROR(VLOOKUP(C83,'تقرير المصروفات حسب الشهر'!$C$1143:$AD$1254,22,FALSE),0)</f>
        <v>0</v>
      </c>
      <c r="N83" s="376">
        <f>IFERROR(VLOOKUP(C83,'تقرير المصروفات حسب الشهر'!$C$1270:$AD$1381,22,FALSE),0)</f>
        <v>0</v>
      </c>
      <c r="O83" s="376">
        <f>IFERROR(VLOOKUP(C83,'تقرير المصروفات حسب الشهر'!$C$1397:$AD$1512,22,FALSE),0)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الشهر'!$C$10:$AD$119,22,FALSE),0)</f>
        <v>0</v>
      </c>
      <c r="E84" s="362">
        <f>IFERROR(VLOOKUP(C84,'تقرير المصروفات حسب الشهر'!$C$135:$AD$244,22,FALSE),0)</f>
        <v>0</v>
      </c>
      <c r="F84" s="362">
        <f>IFERROR(VLOOKUP(C84,'تقرير المصروفات حسب الشهر'!$C$261:$AD$368,22,FALSE),0)</f>
        <v>0</v>
      </c>
      <c r="G84" s="362">
        <f>IFERROR(VLOOKUP(C84,'تقرير المصروفات حسب الشهر'!$C$387:$AD$495,22,FALSE),0)</f>
        <v>0</v>
      </c>
      <c r="H84" s="362">
        <f>IFERROR(VLOOKUP(C84,'تقرير المصروفات حسب الشهر'!$C$512:$AD$620,22,FALSE),0)</f>
        <v>0</v>
      </c>
      <c r="I84" s="362">
        <f>IFERROR(VLOOKUP(C84,'تقرير المصروفات حسب الشهر'!$C$637:$AD$746,22,FALSE),0)</f>
        <v>0</v>
      </c>
      <c r="J84" s="362">
        <f>IFERROR(VLOOKUP(C84,'تقرير المصروفات حسب الشهر'!$C$763:$AD$872,22,FALSE),0)</f>
        <v>0</v>
      </c>
      <c r="K84" s="362">
        <f>IFERROR(VLOOKUP(C84,'تقرير المصروفات حسب الشهر'!$C$890:$AD$999,22,FALSE),0)</f>
        <v>0</v>
      </c>
      <c r="L84" s="362">
        <f>IFERROR(VLOOKUP(C84,'تقرير المصروفات حسب الشهر'!$C$1016:$AD$1126,22,FALSE),0)</f>
        <v>0</v>
      </c>
      <c r="M84" s="376">
        <f>IFERROR(VLOOKUP(C84,'تقرير المصروفات حسب الشهر'!$C$1143:$AD$1254,22,FALSE),0)</f>
        <v>0</v>
      </c>
      <c r="N84" s="376">
        <f>IFERROR(VLOOKUP(C84,'تقرير المصروفات حسب الشهر'!$C$1270:$AD$1381,22,FALSE),0)</f>
        <v>0</v>
      </c>
      <c r="O84" s="376">
        <f>IFERROR(VLOOKUP(C84,'تقرير المصروفات حسب الشهر'!$C$1397:$AD$1512,22,FALSE),0)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الشهر'!$C$10:$AD$119,22,FALSE),0)</f>
        <v>0</v>
      </c>
      <c r="E85" s="362">
        <f>IFERROR(VLOOKUP(C85,'تقرير المصروفات حسب الشهر'!$C$135:$AD$244,22,FALSE),0)</f>
        <v>0</v>
      </c>
      <c r="F85" s="362">
        <f>IFERROR(VLOOKUP(C85,'تقرير المصروفات حسب الشهر'!$C$261:$AD$368,22,FALSE),0)</f>
        <v>0</v>
      </c>
      <c r="G85" s="362">
        <f>IFERROR(VLOOKUP(C85,'تقرير المصروفات حسب الشهر'!$C$387:$AD$495,22,FALSE),0)</f>
        <v>0</v>
      </c>
      <c r="H85" s="362">
        <f>IFERROR(VLOOKUP(C85,'تقرير المصروفات حسب الشهر'!$C$512:$AD$620,22,FALSE),0)</f>
        <v>0</v>
      </c>
      <c r="I85" s="362">
        <f>IFERROR(VLOOKUP(C85,'تقرير المصروفات حسب الشهر'!$C$637:$AD$746,22,FALSE),0)</f>
        <v>0</v>
      </c>
      <c r="J85" s="362">
        <f>IFERROR(VLOOKUP(C85,'تقرير المصروفات حسب الشهر'!$C$763:$AD$872,22,FALSE),0)</f>
        <v>0</v>
      </c>
      <c r="K85" s="362">
        <f>IFERROR(VLOOKUP(C85,'تقرير المصروفات حسب الشهر'!$C$890:$AD$999,22,FALSE),0)</f>
        <v>0</v>
      </c>
      <c r="L85" s="362">
        <f>IFERROR(VLOOKUP(C85,'تقرير المصروفات حسب الشهر'!$C$1016:$AD$1126,22,FALSE),0)</f>
        <v>0</v>
      </c>
      <c r="M85" s="376">
        <f>IFERROR(VLOOKUP(C85,'تقرير المصروفات حسب الشهر'!$C$1143:$AD$1254,22,FALSE),0)</f>
        <v>0</v>
      </c>
      <c r="N85" s="376">
        <f>IFERROR(VLOOKUP(C85,'تقرير المصروفات حسب الشهر'!$C$1270:$AD$1381,22,FALSE),0)</f>
        <v>0</v>
      </c>
      <c r="O85" s="376">
        <f>IFERROR(VLOOKUP(C85,'تقرير المصروفات حسب الشهر'!$C$1397:$AD$1512,22,FALSE),0)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الشهر'!$C$10:$AD$119,22,FALSE),0)</f>
        <v>0</v>
      </c>
      <c r="E86" s="362">
        <f>IFERROR(VLOOKUP(C86,'تقرير المصروفات حسب الشهر'!$C$135:$AD$244,22,FALSE),0)</f>
        <v>1959.65</v>
      </c>
      <c r="F86" s="362">
        <f>IFERROR(VLOOKUP(C86,'تقرير المصروفات حسب الشهر'!$C$261:$AD$368,22,FALSE),0)</f>
        <v>0</v>
      </c>
      <c r="G86" s="362">
        <f>IFERROR(VLOOKUP(C86,'تقرير المصروفات حسب الشهر'!$C$387:$AD$495,22,FALSE),0)</f>
        <v>653</v>
      </c>
      <c r="H86" s="362">
        <f>IFERROR(VLOOKUP(C86,'تقرير المصروفات حسب الشهر'!$C$512:$AD$620,22,FALSE),0)</f>
        <v>1990</v>
      </c>
      <c r="I86" s="362">
        <f>IFERROR(VLOOKUP(C86,'تقرير المصروفات حسب الشهر'!$C$637:$AD$746,22,FALSE),0)</f>
        <v>0</v>
      </c>
      <c r="J86" s="362">
        <f>IFERROR(VLOOKUP(C86,'تقرير المصروفات حسب الشهر'!$C$763:$AD$872,22,FALSE),0)</f>
        <v>979</v>
      </c>
      <c r="K86" s="362">
        <f>IFERROR(VLOOKUP(C86,'تقرير المصروفات حسب الشهر'!$C$890:$AD$999,22,FALSE),0)</f>
        <v>0</v>
      </c>
      <c r="L86" s="362">
        <f>IFERROR(VLOOKUP(C86,'تقرير المصروفات حسب الشهر'!$C$1016:$AD$1126,22,FALSE),0)</f>
        <v>0</v>
      </c>
      <c r="M86" s="376">
        <f>IFERROR(VLOOKUP(C86,'تقرير المصروفات حسب الشهر'!$C$1143:$AD$1254,22,FALSE),0)</f>
        <v>0</v>
      </c>
      <c r="N86" s="376">
        <f>IFERROR(VLOOKUP(C86,'تقرير المصروفات حسب الشهر'!$C$1270:$AD$1381,22,FALSE),0)</f>
        <v>2574.8200000000002</v>
      </c>
      <c r="O86" s="376">
        <f>IFERROR(VLOOKUP(C86,'تقرير المصروفات حسب الشهر'!$C$1397:$AD$1512,22,FALSE),0)</f>
        <v>0</v>
      </c>
      <c r="P86" s="364">
        <f t="shared" si="5"/>
        <v>8156.4699999999993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الشهر'!$C$10:$AD$119,22,FALSE),0)</f>
        <v>0</v>
      </c>
      <c r="E87" s="362">
        <f>IFERROR(VLOOKUP(C87,'تقرير المصروفات حسب الشهر'!$C$135:$AD$244,22,FALSE),0)</f>
        <v>0</v>
      </c>
      <c r="F87" s="362">
        <f>IFERROR(VLOOKUP(C87,'تقرير المصروفات حسب الشهر'!$C$261:$AD$368,22,FALSE),0)</f>
        <v>0</v>
      </c>
      <c r="G87" s="362">
        <f>IFERROR(VLOOKUP(C87,'تقرير المصروفات حسب الشهر'!$C$387:$AD$495,22,FALSE),0)</f>
        <v>0</v>
      </c>
      <c r="H87" s="362">
        <f>IFERROR(VLOOKUP(C87,'تقرير المصروفات حسب الشهر'!$C$512:$AD$620,22,FALSE),0)</f>
        <v>0</v>
      </c>
      <c r="I87" s="362">
        <f>IFERROR(VLOOKUP(C87,'تقرير المصروفات حسب الشهر'!$C$637:$AD$746,22,FALSE),0)</f>
        <v>0</v>
      </c>
      <c r="J87" s="362">
        <f>IFERROR(VLOOKUP(C87,'تقرير المصروفات حسب الشهر'!$C$763:$AD$872,22,FALSE),0)</f>
        <v>0</v>
      </c>
      <c r="K87" s="362">
        <f>IFERROR(VLOOKUP(C87,'تقرير المصروفات حسب الشهر'!$C$890:$AD$999,22,FALSE),0)</f>
        <v>0</v>
      </c>
      <c r="L87" s="362">
        <f>IFERROR(VLOOKUP(C87,'تقرير المصروفات حسب الشهر'!$C$1016:$AD$1126,22,FALSE),0)</f>
        <v>0</v>
      </c>
      <c r="M87" s="376">
        <f>IFERROR(VLOOKUP(C87,'تقرير المصروفات حسب الشهر'!$C$1143:$AD$1254,22,FALSE),0)</f>
        <v>0</v>
      </c>
      <c r="N87" s="376">
        <f>IFERROR(VLOOKUP(C87,'تقرير المصروفات حسب الشهر'!$C$1270:$AD$1381,22,FALSE),0)</f>
        <v>0</v>
      </c>
      <c r="O87" s="376">
        <f>IFERROR(VLOOKUP(C87,'تقرير المصروفات حسب الشهر'!$C$1397:$AD$1512,22,FALSE),0)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الشهر'!$C$10:$AD$119,22,FALSE),0)</f>
        <v>0</v>
      </c>
      <c r="E88" s="362">
        <f>IFERROR(VLOOKUP(C88,'تقرير المصروفات حسب الشهر'!$C$135:$AD$244,22,FALSE),0)</f>
        <v>0</v>
      </c>
      <c r="F88" s="362">
        <f>IFERROR(VLOOKUP(C88,'تقرير المصروفات حسب الشهر'!$C$261:$AD$368,22,FALSE),0)</f>
        <v>0</v>
      </c>
      <c r="G88" s="362">
        <f>IFERROR(VLOOKUP(C88,'تقرير المصروفات حسب الشهر'!$C$387:$AD$495,22,FALSE),0)</f>
        <v>0</v>
      </c>
      <c r="H88" s="362">
        <f>IFERROR(VLOOKUP(C88,'تقرير المصروفات حسب الشهر'!$C$512:$AD$620,22,FALSE),0)</f>
        <v>333</v>
      </c>
      <c r="I88" s="362">
        <f>IFERROR(VLOOKUP(C88,'تقرير المصروفات حسب الشهر'!$C$637:$AD$746,22,FALSE),0)</f>
        <v>0</v>
      </c>
      <c r="J88" s="362">
        <f>IFERROR(VLOOKUP(C88,'تقرير المصروفات حسب الشهر'!$C$763:$AD$872,22,FALSE),0)</f>
        <v>0</v>
      </c>
      <c r="K88" s="362">
        <f>IFERROR(VLOOKUP(C88,'تقرير المصروفات حسب الشهر'!$C$890:$AD$999,22,FALSE),0)</f>
        <v>0</v>
      </c>
      <c r="L88" s="362">
        <f>IFERROR(VLOOKUP(C88,'تقرير المصروفات حسب الشهر'!$C$1016:$AD$1126,22,FALSE),0)</f>
        <v>0</v>
      </c>
      <c r="M88" s="376">
        <f>IFERROR(VLOOKUP(C88,'تقرير المصروفات حسب الشهر'!$C$1143:$AD$1254,22,FALSE),0)</f>
        <v>0</v>
      </c>
      <c r="N88" s="376">
        <f>IFERROR(VLOOKUP(C88,'تقرير المصروفات حسب الشهر'!$C$1270:$AD$1381,22,FALSE),0)</f>
        <v>0</v>
      </c>
      <c r="O88" s="376">
        <f>IFERROR(VLOOKUP(C88,'تقرير المصروفات حسب الشهر'!$C$1397:$AD$1512,22,FALSE),0)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الشهر'!$C$10:$AD$119,22,FALSE),0)</f>
        <v>0</v>
      </c>
      <c r="E89" s="362">
        <f>IFERROR(VLOOKUP(C89,'تقرير المصروفات حسب الشهر'!$C$135:$AD$244,22,FALSE),0)</f>
        <v>0</v>
      </c>
      <c r="F89" s="362">
        <f>IFERROR(VLOOKUP(C89,'تقرير المصروفات حسب الشهر'!$C$261:$AD$368,22,FALSE),0)</f>
        <v>0</v>
      </c>
      <c r="G89" s="362">
        <f>IFERROR(VLOOKUP(C89,'تقرير المصروفات حسب الشهر'!$C$387:$AD$495,22,FALSE),0)</f>
        <v>0</v>
      </c>
      <c r="H89" s="362">
        <f>IFERROR(VLOOKUP(C89,'تقرير المصروفات حسب الشهر'!$C$512:$AD$620,22,FALSE),0)</f>
        <v>0</v>
      </c>
      <c r="I89" s="362">
        <f>IFERROR(VLOOKUP(C89,'تقرير المصروفات حسب الشهر'!$C$637:$AD$746,22,FALSE),0)</f>
        <v>0</v>
      </c>
      <c r="J89" s="362">
        <f>IFERROR(VLOOKUP(C89,'تقرير المصروفات حسب الشهر'!$C$763:$AD$872,22,FALSE),0)</f>
        <v>0</v>
      </c>
      <c r="K89" s="362">
        <f>IFERROR(VLOOKUP(C89,'تقرير المصروفات حسب الشهر'!$C$890:$AD$999,22,FALSE),0)</f>
        <v>0</v>
      </c>
      <c r="L89" s="362">
        <f>IFERROR(VLOOKUP(C89,'تقرير المصروفات حسب الشهر'!$C$1016:$AD$1126,22,FALSE),0)</f>
        <v>0</v>
      </c>
      <c r="M89" s="376">
        <f>IFERROR(VLOOKUP(C89,'تقرير المصروفات حسب الشهر'!$C$1143:$AD$1254,22,FALSE),0)</f>
        <v>0</v>
      </c>
      <c r="N89" s="376">
        <f>IFERROR(VLOOKUP(C89,'تقرير المصروفات حسب الشهر'!$C$1270:$AD$1381,22,FALSE),0)</f>
        <v>0</v>
      </c>
      <c r="O89" s="376">
        <f>IFERROR(VLOOKUP(C89,'تقرير المصروفات حسب الشهر'!$C$1397:$AD$1512,22,FALSE),0)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الشهر'!$C$10:$AD$119,22,FALSE),0)</f>
        <v>0</v>
      </c>
      <c r="E90" s="362">
        <f>IFERROR(VLOOKUP(C90,'تقرير المصروفات حسب الشهر'!$C$135:$AD$244,22,FALSE),0)</f>
        <v>0</v>
      </c>
      <c r="F90" s="362">
        <f>IFERROR(VLOOKUP(C90,'تقرير المصروفات حسب الشهر'!$C$261:$AD$368,22,FALSE),0)</f>
        <v>0</v>
      </c>
      <c r="G90" s="362">
        <f>IFERROR(VLOOKUP(C90,'تقرير المصروفات حسب الشهر'!$C$387:$AD$495,22,FALSE),0)</f>
        <v>0</v>
      </c>
      <c r="H90" s="362">
        <f>IFERROR(VLOOKUP(C90,'تقرير المصروفات حسب الشهر'!$C$512:$AD$620,22,FALSE),0)</f>
        <v>0</v>
      </c>
      <c r="I90" s="362">
        <f>IFERROR(VLOOKUP(C90,'تقرير المصروفات حسب الشهر'!$C$637:$AD$746,22,FALSE),0)</f>
        <v>0</v>
      </c>
      <c r="J90" s="362">
        <f>IFERROR(VLOOKUP(C90,'تقرير المصروفات حسب الشهر'!$C$763:$AD$872,22,FALSE),0)</f>
        <v>0</v>
      </c>
      <c r="K90" s="362">
        <f>IFERROR(VLOOKUP(C90,'تقرير المصروفات حسب الشهر'!$C$890:$AD$999,22,FALSE),0)</f>
        <v>0</v>
      </c>
      <c r="L90" s="362">
        <f>IFERROR(VLOOKUP(C90,'تقرير المصروفات حسب الشهر'!$C$1016:$AD$1126,22,FALSE),0)</f>
        <v>0</v>
      </c>
      <c r="M90" s="376">
        <f>IFERROR(VLOOKUP(C90,'تقرير المصروفات حسب الشهر'!$C$1143:$AD$1254,22,FALSE),0)</f>
        <v>0</v>
      </c>
      <c r="N90" s="376">
        <f>IFERROR(VLOOKUP(C90,'تقرير المصروفات حسب الشهر'!$C$1270:$AD$1381,22,FALSE),0)</f>
        <v>0</v>
      </c>
      <c r="O90" s="376">
        <f>IFERROR(VLOOKUP(C90,'تقرير المصروفات حسب الشهر'!$C$1397:$AD$1512,22,FALSE),0)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الشهر'!$C$10:$AD$119,22,FALSE),0)</f>
        <v>450</v>
      </c>
      <c r="E91" s="362">
        <f>IFERROR(VLOOKUP(C91,'تقرير المصروفات حسب الشهر'!$C$135:$AD$244,22,FALSE),0)</f>
        <v>550</v>
      </c>
      <c r="F91" s="362">
        <f>IFERROR(VLOOKUP(C91,'تقرير المصروفات حسب الشهر'!$C$261:$AD$368,22,FALSE),0)</f>
        <v>450</v>
      </c>
      <c r="G91" s="362">
        <f>IFERROR(VLOOKUP(C91,'تقرير المصروفات حسب الشهر'!$C$387:$AD$495,22,FALSE),0)</f>
        <v>500</v>
      </c>
      <c r="H91" s="362">
        <f>IFERROR(VLOOKUP(C91,'تقرير المصروفات حسب الشهر'!$C$512:$AD$620,22,FALSE),0)</f>
        <v>0</v>
      </c>
      <c r="I91" s="362">
        <f>IFERROR(VLOOKUP(C91,'تقرير المصروفات حسب الشهر'!$C$637:$AD$746,22,FALSE),0)</f>
        <v>1320</v>
      </c>
      <c r="J91" s="362">
        <f>IFERROR(VLOOKUP(C91,'تقرير المصروفات حسب الشهر'!$C$763:$AD$872,22,FALSE),0)</f>
        <v>0</v>
      </c>
      <c r="K91" s="362">
        <f>IFERROR(VLOOKUP(C91,'تقرير المصروفات حسب الشهر'!$C$890:$AD$999,22,FALSE),0)</f>
        <v>650</v>
      </c>
      <c r="L91" s="362">
        <f>IFERROR(VLOOKUP(C91,'تقرير المصروفات حسب الشهر'!$C$1016:$AD$1126,22,FALSE),0)</f>
        <v>400</v>
      </c>
      <c r="M91" s="376">
        <f>IFERROR(VLOOKUP(C91,'تقرير المصروفات حسب الشهر'!$C$1143:$AD$1254,22,FALSE),0)</f>
        <v>450</v>
      </c>
      <c r="N91" s="376">
        <f>IFERROR(VLOOKUP(C91,'تقرير المصروفات حسب الشهر'!$C$1270:$AD$1381,22,FALSE),0)</f>
        <v>400</v>
      </c>
      <c r="O91" s="376">
        <f>IFERROR(VLOOKUP(C91,'تقرير المصروفات حسب الشهر'!$C$1397:$AD$1512,22,FALSE),0)</f>
        <v>400</v>
      </c>
      <c r="P91" s="364">
        <f t="shared" si="6"/>
        <v>5570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الشهر'!$C$10:$AD$119,22,FALSE),0)</f>
        <v>0</v>
      </c>
      <c r="E92" s="362">
        <f>IFERROR(VLOOKUP(C92,'تقرير المصروفات حسب الشهر'!$C$135:$AD$244,22,FALSE),0)</f>
        <v>0</v>
      </c>
      <c r="F92" s="362">
        <f>IFERROR(VLOOKUP(C92,'تقرير المصروفات حسب الشهر'!$C$261:$AD$368,22,FALSE),0)</f>
        <v>0</v>
      </c>
      <c r="G92" s="362">
        <f>IFERROR(VLOOKUP(C92,'تقرير المصروفات حسب الشهر'!$C$387:$AD$495,22,FALSE),0)</f>
        <v>0</v>
      </c>
      <c r="H92" s="362">
        <f>IFERROR(VLOOKUP(C92,'تقرير المصروفات حسب الشهر'!$C$512:$AD$620,22,FALSE),0)</f>
        <v>0</v>
      </c>
      <c r="I92" s="362">
        <f>IFERROR(VLOOKUP(C92,'تقرير المصروفات حسب الشهر'!$C$637:$AD$746,22,FALSE),0)</f>
        <v>0</v>
      </c>
      <c r="J92" s="362">
        <f>IFERROR(VLOOKUP(C92,'تقرير المصروفات حسب الشهر'!$C$763:$AD$872,22,FALSE),0)</f>
        <v>0</v>
      </c>
      <c r="K92" s="362">
        <f>IFERROR(VLOOKUP(C92,'تقرير المصروفات حسب الشهر'!$C$890:$AD$999,22,FALSE),0)</f>
        <v>0</v>
      </c>
      <c r="L92" s="362">
        <f>IFERROR(VLOOKUP(C92,'تقرير المصروفات حسب الشهر'!$C$1016:$AD$1126,22,FALSE),0)</f>
        <v>0</v>
      </c>
      <c r="M92" s="376">
        <f>IFERROR(VLOOKUP(C92,'تقرير المصروفات حسب الشهر'!$C$1143:$AD$1254,22,FALSE),0)</f>
        <v>0</v>
      </c>
      <c r="N92" s="376">
        <f>IFERROR(VLOOKUP(C92,'تقرير المصروفات حسب الشهر'!$C$1270:$AD$1381,22,FALSE),0)</f>
        <v>0</v>
      </c>
      <c r="O92" s="376">
        <f>IFERROR(VLOOKUP(C92,'تقرير المصروفات حسب الشهر'!$C$1397:$AD$1512,22,FALSE),0)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الشهر'!$C$10:$AD$119,22,FALSE),0)</f>
        <v>0</v>
      </c>
      <c r="E93" s="362">
        <f>IFERROR(VLOOKUP(C93,'تقرير المصروفات حسب الشهر'!$C$135:$AD$244,22,FALSE),0)</f>
        <v>0</v>
      </c>
      <c r="F93" s="362">
        <f>IFERROR(VLOOKUP(C93,'تقرير المصروفات حسب الشهر'!$C$261:$AD$368,22,FALSE),0)</f>
        <v>0</v>
      </c>
      <c r="G93" s="362">
        <f>IFERROR(VLOOKUP(C93,'تقرير المصروفات حسب الشهر'!$C$387:$AD$495,22,FALSE),0)</f>
        <v>621.5</v>
      </c>
      <c r="H93" s="362">
        <f>IFERROR(VLOOKUP(C93,'تقرير المصروفات حسب الشهر'!$C$512:$AD$620,22,FALSE),0)</f>
        <v>0</v>
      </c>
      <c r="I93" s="362">
        <f>IFERROR(VLOOKUP(C93,'تقرير المصروفات حسب الشهر'!$C$637:$AD$746,22,FALSE),0)</f>
        <v>0</v>
      </c>
      <c r="J93" s="362">
        <f>IFERROR(VLOOKUP(C93,'تقرير المصروفات حسب الشهر'!$C$763:$AD$872,22,FALSE),0)</f>
        <v>668</v>
      </c>
      <c r="K93" s="362">
        <f>IFERROR(VLOOKUP(C93,'تقرير المصروفات حسب الشهر'!$C$890:$AD$999,22,FALSE),0)</f>
        <v>0</v>
      </c>
      <c r="L93" s="362">
        <f>IFERROR(VLOOKUP(C93,'تقرير المصروفات حسب الشهر'!$C$1016:$AD$1126,22,FALSE),0)</f>
        <v>0</v>
      </c>
      <c r="M93" s="376">
        <f>IFERROR(VLOOKUP(C93,'تقرير المصروفات حسب الشهر'!$C$1143:$AD$1254,22,FALSE),0)</f>
        <v>0</v>
      </c>
      <c r="N93" s="376">
        <f>IFERROR(VLOOKUP(C93,'تقرير المصروفات حسب الشهر'!$C$1270:$AD$1381,22,FALSE),0)</f>
        <v>0</v>
      </c>
      <c r="O93" s="376">
        <f>IFERROR(VLOOKUP(C93,'تقرير المصروفات حسب الشهر'!$C$1397:$AD$1512,22,FALSE),0)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الشهر'!$C$10:$AD$119,22,FALSE),0)</f>
        <v>296.31</v>
      </c>
      <c r="E94" s="362">
        <f>IFERROR(VLOOKUP(C94,'تقرير المصروفات حسب الشهر'!$C$135:$AD$244,22,FALSE),0)</f>
        <v>296.31</v>
      </c>
      <c r="F94" s="362">
        <f>IFERROR(VLOOKUP(C94,'تقرير المصروفات حسب الشهر'!$C$261:$AD$368,22,FALSE),0)</f>
        <v>296.31</v>
      </c>
      <c r="G94" s="362">
        <f>IFERROR(VLOOKUP(C94,'تقرير المصروفات حسب الشهر'!$C$387:$AD$495,22,FALSE),0)</f>
        <v>296.31</v>
      </c>
      <c r="H94" s="362">
        <f>IFERROR(VLOOKUP(C94,'تقرير المصروفات حسب الشهر'!$C$512:$AD$620,22,FALSE),0)</f>
        <v>296.31</v>
      </c>
      <c r="I94" s="362">
        <f>IFERROR(VLOOKUP(C94,'تقرير المصروفات حسب الشهر'!$C$637:$AD$746,22,FALSE),0)</f>
        <v>296.3</v>
      </c>
      <c r="J94" s="362">
        <f>IFERROR(VLOOKUP(C94,'تقرير المصروفات حسب الشهر'!$C$763:$AD$872,22,FALSE),0)</f>
        <v>780.96</v>
      </c>
      <c r="K94" s="362">
        <f>IFERROR(VLOOKUP(C94,'تقرير المصروفات حسب الشهر'!$C$890:$AD$999,22,FALSE),0)</f>
        <v>709.96</v>
      </c>
      <c r="L94" s="362">
        <f>IFERROR(VLOOKUP(C94,'تقرير المصروفات حسب الشهر'!$C$1016:$AD$1126,22,FALSE),0)</f>
        <v>400.96</v>
      </c>
      <c r="M94" s="376">
        <f>IFERROR(VLOOKUP(C94,'تقرير المصروفات حسب الشهر'!$C$1143:$AD$1254,22,FALSE),0)</f>
        <v>1017.58</v>
      </c>
      <c r="N94" s="376">
        <f>IFERROR(VLOOKUP(C94,'تقرير المصروفات حسب الشهر'!$C$1270:$AD$1381,22,FALSE),0)</f>
        <v>709.96</v>
      </c>
      <c r="O94" s="376">
        <f>IFERROR(VLOOKUP(C94,'تقرير المصروفات حسب الشهر'!$C$1397:$AD$1512,22,FALSE),0)</f>
        <v>708.96</v>
      </c>
      <c r="P94" s="364">
        <f t="shared" si="6"/>
        <v>6106.2300000000005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الشهر'!$C$10:$AD$119,22,FALSE),0)</f>
        <v>0</v>
      </c>
      <c r="E95" s="362">
        <f>IFERROR(VLOOKUP(C95,'تقرير المصروفات حسب الشهر'!$C$135:$AD$244,22,FALSE),0)</f>
        <v>0</v>
      </c>
      <c r="F95" s="362">
        <f>IFERROR(VLOOKUP(C95,'تقرير المصروفات حسب الشهر'!$C$261:$AD$368,22,FALSE),0)</f>
        <v>0</v>
      </c>
      <c r="G95" s="362">
        <f>IFERROR(VLOOKUP(C95,'تقرير المصروفات حسب الشهر'!$C$387:$AD$495,22,FALSE),0)</f>
        <v>0</v>
      </c>
      <c r="H95" s="362">
        <f>IFERROR(VLOOKUP(C95,'تقرير المصروفات حسب الشهر'!$C$512:$AD$620,22,FALSE),0)</f>
        <v>0</v>
      </c>
      <c r="I95" s="362">
        <f>IFERROR(VLOOKUP(C95,'تقرير المصروفات حسب الشهر'!$C$637:$AD$746,22,FALSE),0)</f>
        <v>0</v>
      </c>
      <c r="J95" s="362">
        <f>IFERROR(VLOOKUP(C95,'تقرير المصروفات حسب الشهر'!$C$763:$AD$872,22,FALSE),0)</f>
        <v>0</v>
      </c>
      <c r="K95" s="362">
        <f>IFERROR(VLOOKUP(C95,'تقرير المصروفات حسب الشهر'!$C$890:$AD$999,22,FALSE),0)</f>
        <v>0</v>
      </c>
      <c r="L95" s="362">
        <f>IFERROR(VLOOKUP(C95,'تقرير المصروفات حسب الشهر'!$C$1016:$AD$1126,22,FALSE),0)</f>
        <v>2130</v>
      </c>
      <c r="M95" s="376">
        <f>IFERROR(VLOOKUP(C95,'تقرير المصروفات حسب الشهر'!$C$1143:$AD$1254,22,FALSE),0)</f>
        <v>1065</v>
      </c>
      <c r="N95" s="376">
        <f>IFERROR(VLOOKUP(C95,'تقرير المصروفات حسب الشهر'!$C$1270:$AD$1381,22,FALSE),0)</f>
        <v>1065</v>
      </c>
      <c r="O95" s="376">
        <f>IFERROR(VLOOKUP(C95,'تقرير المصروفات حسب الشهر'!$C$1397:$AD$1512,22,FALSE),0)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الشهر'!$C$10:$AD$119,22,FALSE),0)</f>
        <v>0</v>
      </c>
      <c r="E96" s="362">
        <f>IFERROR(VLOOKUP(C96,'تقرير المصروفات حسب الشهر'!$C$135:$AD$244,22,FALSE),0)</f>
        <v>0</v>
      </c>
      <c r="F96" s="362">
        <f>IFERROR(VLOOKUP(C96,'تقرير المصروفات حسب الشهر'!$C$261:$AD$368,22,FALSE),0)</f>
        <v>0</v>
      </c>
      <c r="G96" s="362">
        <f>IFERROR(VLOOKUP(C96,'تقرير المصروفات حسب الشهر'!$C$387:$AD$495,22,FALSE),0)</f>
        <v>0</v>
      </c>
      <c r="H96" s="362">
        <f>IFERROR(VLOOKUP(C96,'تقرير المصروفات حسب الشهر'!$C$512:$AD$620,22,FALSE),0)</f>
        <v>0</v>
      </c>
      <c r="I96" s="362">
        <f>IFERROR(VLOOKUP(C96,'تقرير المصروفات حسب الشهر'!$C$637:$AD$746,22,FALSE),0)</f>
        <v>0</v>
      </c>
      <c r="J96" s="362">
        <f>IFERROR(VLOOKUP(C96,'تقرير المصروفات حسب الشهر'!$C$763:$AD$872,22,FALSE),0)</f>
        <v>0</v>
      </c>
      <c r="K96" s="362">
        <f>IFERROR(VLOOKUP(C96,'تقرير المصروفات حسب الشهر'!$C$890:$AD$999,22,FALSE),0)</f>
        <v>0</v>
      </c>
      <c r="L96" s="362">
        <f>IFERROR(VLOOKUP(C96,'تقرير المصروفات حسب الشهر'!$C$1016:$AD$1126,22,FALSE),0)</f>
        <v>0</v>
      </c>
      <c r="M96" s="376">
        <f>IFERROR(VLOOKUP(C96,'تقرير المصروفات حسب الشهر'!$C$1143:$AD$1254,22,FALSE),0)</f>
        <v>0</v>
      </c>
      <c r="N96" s="376">
        <f>IFERROR(VLOOKUP(C96,'تقرير المصروفات حسب الشهر'!$C$1270:$AD$1381,22,FALSE),0)</f>
        <v>0</v>
      </c>
      <c r="O96" s="376">
        <f>IFERROR(VLOOKUP(C96,'تقرير المصروفات حسب الشهر'!$C$1397:$AD$1512,22,FALSE),0)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الشهر'!$C$10:$AD$119,22,FALSE),0)</f>
        <v>0</v>
      </c>
      <c r="E97" s="362">
        <f>IFERROR(VLOOKUP(C97,'تقرير المصروفات حسب الشهر'!$C$135:$AD$244,22,FALSE),0)</f>
        <v>0</v>
      </c>
      <c r="F97" s="362">
        <f>IFERROR(VLOOKUP(C97,'تقرير المصروفات حسب الشهر'!$C$261:$AD$368,22,FALSE),0)</f>
        <v>0</v>
      </c>
      <c r="G97" s="362">
        <f>IFERROR(VLOOKUP(C97,'تقرير المصروفات حسب الشهر'!$C$387:$AD$495,22,FALSE),0)</f>
        <v>0</v>
      </c>
      <c r="H97" s="362">
        <f>IFERROR(VLOOKUP(C97,'تقرير المصروفات حسب الشهر'!$C$512:$AD$620,22,FALSE),0)</f>
        <v>0</v>
      </c>
      <c r="I97" s="362">
        <f>IFERROR(VLOOKUP(C97,'تقرير المصروفات حسب الشهر'!$C$637:$AD$746,22,FALSE),0)</f>
        <v>0</v>
      </c>
      <c r="J97" s="362">
        <f>IFERROR(VLOOKUP(C97,'تقرير المصروفات حسب الشهر'!$C$763:$AD$872,22,FALSE),0)</f>
        <v>0</v>
      </c>
      <c r="K97" s="362">
        <f>IFERROR(VLOOKUP(C97,'تقرير المصروفات حسب الشهر'!$C$890:$AD$999,22,FALSE),0)</f>
        <v>0</v>
      </c>
      <c r="L97" s="362">
        <f>IFERROR(VLOOKUP(C97,'تقرير المصروفات حسب الشهر'!$C$1016:$AD$1126,22,FALSE),0)</f>
        <v>0</v>
      </c>
      <c r="M97" s="376">
        <f>IFERROR(VLOOKUP(C97,'تقرير المصروفات حسب الشهر'!$C$1143:$AD$1254,22,FALSE),0)</f>
        <v>0</v>
      </c>
      <c r="N97" s="376">
        <f>IFERROR(VLOOKUP(C97,'تقرير المصروفات حسب الشهر'!$C$1270:$AD$1381,22,FALSE),0)</f>
        <v>0</v>
      </c>
      <c r="O97" s="376">
        <f>IFERROR(VLOOKUP(C97,'تقرير المصروفات حسب الشهر'!$C$1397:$AD$1512,22,FALSE),0)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الشهر'!$C$10:$AD$119,22,FALSE),0)</f>
        <v>0</v>
      </c>
      <c r="E98" s="362">
        <f>IFERROR(VLOOKUP(C98,'تقرير المصروفات حسب الشهر'!$C$135:$AD$244,22,FALSE),0)</f>
        <v>0</v>
      </c>
      <c r="F98" s="362">
        <f>IFERROR(VLOOKUP(C98,'تقرير المصروفات حسب الشهر'!$C$261:$AD$368,22,FALSE),0)</f>
        <v>0</v>
      </c>
      <c r="G98" s="362">
        <f>IFERROR(VLOOKUP(C98,'تقرير المصروفات حسب الشهر'!$C$387:$AD$495,22,FALSE),0)</f>
        <v>0</v>
      </c>
      <c r="H98" s="362">
        <f>IFERROR(VLOOKUP(C98,'تقرير المصروفات حسب الشهر'!$C$512:$AD$620,22,FALSE),0)</f>
        <v>0</v>
      </c>
      <c r="I98" s="362">
        <f>IFERROR(VLOOKUP(C98,'تقرير المصروفات حسب الشهر'!$C$637:$AD$746,22,FALSE),0)</f>
        <v>0</v>
      </c>
      <c r="J98" s="362">
        <f>IFERROR(VLOOKUP(C98,'تقرير المصروفات حسب الشهر'!$C$763:$AD$872,22,FALSE),0)</f>
        <v>0</v>
      </c>
      <c r="K98" s="362">
        <f>IFERROR(VLOOKUP(C98,'تقرير المصروفات حسب الشهر'!$C$890:$AD$999,22,FALSE),0)</f>
        <v>0</v>
      </c>
      <c r="L98" s="362">
        <f>IFERROR(VLOOKUP(C98,'تقرير المصروفات حسب الشهر'!$C$1016:$AD$1126,22,FALSE),0)</f>
        <v>0</v>
      </c>
      <c r="M98" s="376">
        <f>IFERROR(VLOOKUP(C98,'تقرير المصروفات حسب الشهر'!$C$1143:$AD$1254,22,FALSE),0)</f>
        <v>0</v>
      </c>
      <c r="N98" s="376">
        <f>IFERROR(VLOOKUP(C98,'تقرير المصروفات حسب الشهر'!$C$1270:$AD$1381,22,FALSE),0)</f>
        <v>0</v>
      </c>
      <c r="O98" s="376">
        <f>IFERROR(VLOOKUP(C98,'تقرير المصروفات حسب الشهر'!$C$1397:$AD$1512,22,FALSE),0)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الشهر'!$C$10:$AD$119,22,FALSE),0)</f>
        <v>103.5</v>
      </c>
      <c r="E99" s="362">
        <f>IFERROR(VLOOKUP(C99,'تقرير المصروفات حسب الشهر'!$C$135:$AD$244,22,FALSE),0)</f>
        <v>103.5</v>
      </c>
      <c r="F99" s="362">
        <f>IFERROR(VLOOKUP(C99,'تقرير المصروفات حسب الشهر'!$C$261:$AD$368,22,FALSE),0)</f>
        <v>103.5</v>
      </c>
      <c r="G99" s="362">
        <f>IFERROR(VLOOKUP(C99,'تقرير المصروفات حسب الشهر'!$C$387:$AD$495,22,FALSE),0)</f>
        <v>103.5</v>
      </c>
      <c r="H99" s="362">
        <f>IFERROR(VLOOKUP(C99,'تقرير المصروفات حسب الشهر'!$C$512:$AD$620,22,FALSE),0)</f>
        <v>103.5</v>
      </c>
      <c r="I99" s="362">
        <f>IFERROR(VLOOKUP(C99,'تقرير المصروفات حسب الشهر'!$C$637:$AD$746,22,FALSE),0)</f>
        <v>103.5</v>
      </c>
      <c r="J99" s="362">
        <f>IFERROR(VLOOKUP(C99,'تقرير المصروفات حسب الشهر'!$C$763:$AD$872,22,FALSE),0)</f>
        <v>103.5</v>
      </c>
      <c r="K99" s="362">
        <f>IFERROR(VLOOKUP(C99,'تقرير المصروفات حسب الشهر'!$C$890:$AD$999,22,FALSE),0)</f>
        <v>103.5</v>
      </c>
      <c r="L99" s="362">
        <f>IFERROR(VLOOKUP(C99,'تقرير المصروفات حسب الشهر'!$C$1016:$AD$1126,22,FALSE),0)</f>
        <v>103.5</v>
      </c>
      <c r="M99" s="376">
        <f>IFERROR(VLOOKUP(C99,'تقرير المصروفات حسب الشهر'!$C$1143:$AD$1254,22,FALSE),0)</f>
        <v>103.5</v>
      </c>
      <c r="N99" s="376">
        <f>IFERROR(VLOOKUP(C99,'تقرير المصروفات حسب الشهر'!$C$1270:$AD$1381,22,FALSE),0)</f>
        <v>103.5</v>
      </c>
      <c r="O99" s="376">
        <f>IFERROR(VLOOKUP(C99,'تقرير المصروفات حسب الشهر'!$C$1397:$AD$1512,22,FALSE),0)</f>
        <v>0</v>
      </c>
      <c r="P99" s="364">
        <f t="shared" si="6"/>
        <v>1138.5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الشهر'!$C$10:$AD$119,22,FALSE),0)</f>
        <v>341.77</v>
      </c>
      <c r="E100" s="362">
        <f>IFERROR(VLOOKUP(C100,'تقرير المصروفات حسب الشهر'!$C$135:$AD$244,22,FALSE),0)</f>
        <v>336.73</v>
      </c>
      <c r="F100" s="362">
        <f>IFERROR(VLOOKUP(C100,'تقرير المصروفات حسب الشهر'!$C$261:$AD$368,22,FALSE),0)</f>
        <v>23.96</v>
      </c>
      <c r="G100" s="362">
        <f>IFERROR(VLOOKUP(C100,'تقرير المصروفات حسب الشهر'!$C$387:$AD$495,22,FALSE),0)</f>
        <v>23.96</v>
      </c>
      <c r="H100" s="362">
        <f>IFERROR(VLOOKUP(C100,'تقرير المصروفات حسب الشهر'!$C$512:$AD$620,22,FALSE),0)</f>
        <v>23.96</v>
      </c>
      <c r="I100" s="362">
        <f>IFERROR(VLOOKUP(C100,'تقرير المصروفات حسب الشهر'!$C$637:$AD$746,22,FALSE),0)</f>
        <v>23.96</v>
      </c>
      <c r="J100" s="362">
        <f>IFERROR(VLOOKUP(C100,'تقرير المصروفات حسب الشهر'!$C$763:$AD$872,22,FALSE),0)</f>
        <v>0.53</v>
      </c>
      <c r="K100" s="362">
        <f>IFERROR(VLOOKUP(C100,'تقرير المصروفات حسب الشهر'!$C$890:$AD$999,22,FALSE),0)</f>
        <v>0</v>
      </c>
      <c r="L100" s="362">
        <f>IFERROR(VLOOKUP(C100,'تقرير المصروفات حسب الشهر'!$C$1016:$AD$1126,22,FALSE),0)</f>
        <v>0</v>
      </c>
      <c r="M100" s="376">
        <f>IFERROR(VLOOKUP(C100,'تقرير المصروفات حسب الشهر'!$C$1143:$AD$1254,22,FALSE),0)</f>
        <v>0</v>
      </c>
      <c r="N100" s="376">
        <f>IFERROR(VLOOKUP(C100,'تقرير المصروفات حسب الشهر'!$C$1270:$AD$1381,22,FALSE),0)</f>
        <v>0</v>
      </c>
      <c r="O100" s="376">
        <f>IFERROR(VLOOKUP(C100,'تقرير المصروفات حسب الشهر'!$C$1397:$AD$1512,22,FALSE),0)</f>
        <v>0</v>
      </c>
      <c r="P100" s="364">
        <f t="shared" si="6"/>
        <v>774.87000000000012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الشهر'!$C$10:$AD$119,22,FALSE),0)</f>
        <v>388.02</v>
      </c>
      <c r="E101" s="362">
        <f>IFERROR(VLOOKUP(C101,'تقرير المصروفات حسب الشهر'!$C$135:$AD$244,22,FALSE),0)</f>
        <v>387.03</v>
      </c>
      <c r="F101" s="362">
        <f>IFERROR(VLOOKUP(C101,'تقرير المصروفات حسب الشهر'!$C$261:$AD$368,22,FALSE),0)</f>
        <v>53.44</v>
      </c>
      <c r="G101" s="362">
        <f>IFERROR(VLOOKUP(C101,'تقرير المصروفات حسب الشهر'!$C$387:$AD$495,22,FALSE),0)</f>
        <v>53.44</v>
      </c>
      <c r="H101" s="362">
        <f>IFERROR(VLOOKUP(C101,'تقرير المصروفات حسب الشهر'!$C$512:$AD$620,22,FALSE),0)</f>
        <v>53.44</v>
      </c>
      <c r="I101" s="362">
        <f>IFERROR(VLOOKUP(C101,'تقرير المصروفات حسب الشهر'!$C$637:$AD$746,22,FALSE),0)</f>
        <v>53.44</v>
      </c>
      <c r="J101" s="362">
        <f>IFERROR(VLOOKUP(C101,'تقرير المصروفات حسب الشهر'!$C$763:$AD$872,22,FALSE),0)</f>
        <v>53.44</v>
      </c>
      <c r="K101" s="362">
        <f>IFERROR(VLOOKUP(C101,'تقرير المصروفات حسب الشهر'!$C$890:$AD$999,22,FALSE),0)</f>
        <v>38.17</v>
      </c>
      <c r="L101" s="362">
        <f>IFERROR(VLOOKUP(C101,'تقرير المصروفات حسب الشهر'!$C$1016:$AD$1126,22,FALSE),0)</f>
        <v>0</v>
      </c>
      <c r="M101" s="376">
        <f>IFERROR(VLOOKUP(C101,'تقرير المصروفات حسب الشهر'!$C$1143:$AD$1254,22,FALSE),0)</f>
        <v>0</v>
      </c>
      <c r="N101" s="376">
        <f>IFERROR(VLOOKUP(C101,'تقرير المصروفات حسب الشهر'!$C$1270:$AD$1381,22,FALSE),0)</f>
        <v>0</v>
      </c>
      <c r="O101" s="376">
        <f>IFERROR(VLOOKUP(C101,'تقرير المصروفات حسب الشهر'!$C$1397:$AD$1512,22,FALSE),0)</f>
        <v>0</v>
      </c>
      <c r="P101" s="364">
        <f t="shared" si="6"/>
        <v>1080.4200000000003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الشهر'!$C$10:$AD$119,22,FALSE),0)</f>
        <v>134.79</v>
      </c>
      <c r="E102" s="362">
        <f>IFERROR(VLOOKUP(C102,'تقرير المصروفات حسب الشهر'!$C$135:$AD$244,22,FALSE),0)</f>
        <v>134.79</v>
      </c>
      <c r="F102" s="362">
        <f>IFERROR(VLOOKUP(C102,'تقرير المصروفات حسب الشهر'!$C$261:$AD$368,22,FALSE),0)</f>
        <v>97.88</v>
      </c>
      <c r="G102" s="362">
        <f>IFERROR(VLOOKUP(C102,'تقرير المصروفات حسب الشهر'!$C$387:$AD$495,22,FALSE),0)</f>
        <v>85.83</v>
      </c>
      <c r="H102" s="362">
        <f>IFERROR(VLOOKUP(C102,'تقرير المصروفات حسب الشهر'!$C$512:$AD$620,22,FALSE),0)</f>
        <v>85.83</v>
      </c>
      <c r="I102" s="362">
        <f>IFERROR(VLOOKUP(C102,'تقرير المصروفات حسب الشهر'!$C$637:$AD$746,22,FALSE),0)</f>
        <v>85.83</v>
      </c>
      <c r="J102" s="362">
        <f>IFERROR(VLOOKUP(C102,'تقرير المصروفات حسب الشهر'!$C$763:$AD$872,22,FALSE),0)</f>
        <v>85.83</v>
      </c>
      <c r="K102" s="362">
        <f>IFERROR(VLOOKUP(C102,'تقرير المصروفات حسب الشهر'!$C$890:$AD$999,22,FALSE),0)</f>
        <v>85.83</v>
      </c>
      <c r="L102" s="362">
        <f>IFERROR(VLOOKUP(C102,'تقرير المصروفات حسب الشهر'!$C$1016:$AD$1126,22,FALSE),0)</f>
        <v>85.83</v>
      </c>
      <c r="M102" s="376">
        <f>IFERROR(VLOOKUP(C102,'تقرير المصروفات حسب الشهر'!$C$1143:$AD$1254,22,FALSE),0)</f>
        <v>85.83</v>
      </c>
      <c r="N102" s="376">
        <f>IFERROR(VLOOKUP(C102,'تقرير المصروفات حسب الشهر'!$C$1270:$AD$1381,22,FALSE),0)</f>
        <v>85.83</v>
      </c>
      <c r="O102" s="376">
        <f>IFERROR(VLOOKUP(C102,'تقرير المصروفات حسب الشهر'!$C$1397:$AD$1512,22,FALSE),0)</f>
        <v>0.04</v>
      </c>
      <c r="P102" s="364">
        <f t="shared" si="6"/>
        <v>1054.1400000000001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الشهر'!$C$10:$AD$119,22,FALSE),0)</f>
        <v>14.67</v>
      </c>
      <c r="E103" s="362">
        <f>IFERROR(VLOOKUP(C103,'تقرير المصروفات حسب الشهر'!$C$135:$AD$244,22,FALSE),0)</f>
        <v>14.67</v>
      </c>
      <c r="F103" s="362">
        <f>IFERROR(VLOOKUP(C103,'تقرير المصروفات حسب الشهر'!$C$261:$AD$368,22,FALSE),0)</f>
        <v>14.67</v>
      </c>
      <c r="G103" s="362">
        <f>IFERROR(VLOOKUP(C103,'تقرير المصروفات حسب الشهر'!$C$387:$AD$495,22,FALSE),0)</f>
        <v>14.67</v>
      </c>
      <c r="H103" s="362">
        <f>IFERROR(VLOOKUP(C103,'تقرير المصروفات حسب الشهر'!$C$512:$AD$620,22,FALSE),0)</f>
        <v>14.67</v>
      </c>
      <c r="I103" s="362">
        <f>IFERROR(VLOOKUP(C103,'تقرير المصروفات حسب الشهر'!$C$637:$AD$746,22,FALSE),0)</f>
        <v>14.67</v>
      </c>
      <c r="J103" s="362">
        <f>IFERROR(VLOOKUP(C103,'تقرير المصروفات حسب الشهر'!$C$763:$AD$872,22,FALSE),0)</f>
        <v>14.67</v>
      </c>
      <c r="K103" s="362">
        <f>IFERROR(VLOOKUP(C103,'تقرير المصروفات حسب الشهر'!$C$890:$AD$999,22,FALSE),0)</f>
        <v>14.67</v>
      </c>
      <c r="L103" s="362">
        <f>IFERROR(VLOOKUP(C103,'تقرير المصروفات حسب الشهر'!$C$1016:$AD$1126,22,FALSE),0)</f>
        <v>14.67</v>
      </c>
      <c r="M103" s="376">
        <f>IFERROR(VLOOKUP(C103,'تقرير المصروفات حسب الشهر'!$C$1143:$AD$1254,22,FALSE),0)</f>
        <v>14.67</v>
      </c>
      <c r="N103" s="376">
        <f>IFERROR(VLOOKUP(C103,'تقرير المصروفات حسب الشهر'!$C$1270:$AD$1381,22,FALSE),0)</f>
        <v>14.63</v>
      </c>
      <c r="O103" s="376">
        <f>IFERROR(VLOOKUP(C103,'تقرير المصروفات حسب الشهر'!$C$1397:$AD$1512,22,FALSE),0)</f>
        <v>0</v>
      </c>
      <c r="P103" s="364">
        <f t="shared" si="6"/>
        <v>161.32999999999998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الشهر'!$C$10:$AD$119,22,FALSE),0)</f>
        <v>0</v>
      </c>
      <c r="E104" s="362">
        <f>IFERROR(VLOOKUP(C104,'تقرير المصروفات حسب الشهر'!$C$135:$AD$244,22,FALSE),0)</f>
        <v>0</v>
      </c>
      <c r="F104" s="362">
        <f>IFERROR(VLOOKUP(C104,'تقرير المصروفات حسب الشهر'!$C$261:$AD$368,22,FALSE),0)</f>
        <v>0</v>
      </c>
      <c r="G104" s="362">
        <f>IFERROR(VLOOKUP(C104,'تقرير المصروفات حسب الشهر'!$C$387:$AD$495,22,FALSE),0)</f>
        <v>0</v>
      </c>
      <c r="H104" s="362">
        <f>IFERROR(VLOOKUP(C104,'تقرير المصروفات حسب الشهر'!$C$512:$AD$620,22,FALSE),0)</f>
        <v>0</v>
      </c>
      <c r="I104" s="362">
        <f>IFERROR(VLOOKUP(C104,'تقرير المصروفات حسب الشهر'!$C$637:$AD$746,22,FALSE),0)</f>
        <v>0</v>
      </c>
      <c r="J104" s="362">
        <f>IFERROR(VLOOKUP(C104,'تقرير المصروفات حسب الشهر'!$C$763:$AD$872,22,FALSE),0)</f>
        <v>0</v>
      </c>
      <c r="K104" s="362">
        <f>IFERROR(VLOOKUP(C104,'تقرير المصروفات حسب الشهر'!$C$890:$AD$999,22,FALSE),0)</f>
        <v>0</v>
      </c>
      <c r="L104" s="362">
        <f>IFERROR(VLOOKUP(C104,'تقرير المصروفات حسب الشهر'!$C$1016:$AD$1126,22,FALSE),0)</f>
        <v>0</v>
      </c>
      <c r="M104" s="376">
        <f>IFERROR(VLOOKUP(C104,'تقرير المصروفات حسب الشهر'!$C$1143:$AD$1254,22,FALSE),0)</f>
        <v>0</v>
      </c>
      <c r="N104" s="376">
        <f>IFERROR(VLOOKUP(C104,'تقرير المصروفات حسب الشهر'!$C$1270:$AD$1381,22,FALSE),0)</f>
        <v>0</v>
      </c>
      <c r="O104" s="376">
        <f>IFERROR(VLOOKUP(C104,'تقرير المصروفات حسب الشهر'!$C$1397:$AD$1512,22,FALSE),0)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الشهر'!$C$10:$AD$119,22,FALSE),0)</f>
        <v>0</v>
      </c>
      <c r="E105" s="362">
        <f>IFERROR(VLOOKUP(C105,'تقرير المصروفات حسب الشهر'!$C$135:$AD$244,22,FALSE),0)</f>
        <v>0</v>
      </c>
      <c r="F105" s="362">
        <f>IFERROR(VLOOKUP(C105,'تقرير المصروفات حسب الشهر'!$C$261:$AD$368,22,FALSE),0)</f>
        <v>0</v>
      </c>
      <c r="G105" s="362">
        <f>IFERROR(VLOOKUP(C105,'تقرير المصروفات حسب الشهر'!$C$387:$AD$495,22,FALSE),0)</f>
        <v>0</v>
      </c>
      <c r="H105" s="362">
        <f>IFERROR(VLOOKUP(C105,'تقرير المصروفات حسب الشهر'!$C$512:$AD$620,22,FALSE),0)</f>
        <v>0</v>
      </c>
      <c r="I105" s="362">
        <f>IFERROR(VLOOKUP(C105,'تقرير المصروفات حسب الشهر'!$C$637:$AD$746,22,FALSE),0)</f>
        <v>0</v>
      </c>
      <c r="J105" s="362">
        <f>IFERROR(VLOOKUP(C105,'تقرير المصروفات حسب الشهر'!$C$763:$AD$872,22,FALSE),0)</f>
        <v>0</v>
      </c>
      <c r="K105" s="362">
        <f>IFERROR(VLOOKUP(C105,'تقرير المصروفات حسب الشهر'!$C$890:$AD$999,22,FALSE),0)</f>
        <v>0</v>
      </c>
      <c r="L105" s="362">
        <f>IFERROR(VLOOKUP(C105,'تقرير المصروفات حسب الشهر'!$C$1016:$AD$1126,22,FALSE),0)</f>
        <v>0</v>
      </c>
      <c r="M105" s="376">
        <f>IFERROR(VLOOKUP(C105,'تقرير المصروفات حسب الشهر'!$C$1143:$AD$1254,22,FALSE),0)</f>
        <v>0</v>
      </c>
      <c r="N105" s="376">
        <f>IFERROR(VLOOKUP(C105,'تقرير المصروفات حسب الشهر'!$C$1270:$AD$1381,22,FALSE),0)</f>
        <v>0</v>
      </c>
      <c r="O105" s="376">
        <f>IFERROR(VLOOKUP(C105,'تقرير المصروفات حسب الشهر'!$C$1397:$AD$1512,22,FALSE),0)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الشهر'!$C$10:$AD$119,22,FALSE),0)</f>
        <v>0</v>
      </c>
      <c r="E106" s="362">
        <f>IFERROR(VLOOKUP(C106,'تقرير المصروفات حسب الشهر'!$C$135:$AD$244,22,FALSE),0)</f>
        <v>0</v>
      </c>
      <c r="F106" s="362">
        <f>IFERROR(VLOOKUP(C106,'تقرير المصروفات حسب الشهر'!$C$261:$AD$368,22,FALSE),0)</f>
        <v>0</v>
      </c>
      <c r="G106" s="362">
        <f>IFERROR(VLOOKUP(C106,'تقرير المصروفات حسب الشهر'!$C$387:$AD$495,22,FALSE),0)</f>
        <v>0</v>
      </c>
      <c r="H106" s="362">
        <f>IFERROR(VLOOKUP(C106,'تقرير المصروفات حسب الشهر'!$C$512:$AD$620,22,FALSE),0)</f>
        <v>0</v>
      </c>
      <c r="I106" s="362">
        <f>IFERROR(VLOOKUP(C106,'تقرير المصروفات حسب الشهر'!$C$637:$AD$746,22,FALSE),0)</f>
        <v>0</v>
      </c>
      <c r="J106" s="362">
        <f>IFERROR(VLOOKUP(C106,'تقرير المصروفات حسب الشهر'!$C$763:$AD$872,22,FALSE),0)</f>
        <v>0</v>
      </c>
      <c r="K106" s="362">
        <f>IFERROR(VLOOKUP(C106,'تقرير المصروفات حسب الشهر'!$C$890:$AD$999,22,FALSE),0)</f>
        <v>0</v>
      </c>
      <c r="L106" s="362">
        <f>IFERROR(VLOOKUP(C106,'تقرير المصروفات حسب الشهر'!$C$1016:$AD$1126,22,FALSE),0)</f>
        <v>0</v>
      </c>
      <c r="M106" s="376">
        <f>IFERROR(VLOOKUP(C106,'تقرير المصروفات حسب الشهر'!$C$1143:$AD$1254,22,FALSE),0)</f>
        <v>0</v>
      </c>
      <c r="N106" s="376">
        <f>IFERROR(VLOOKUP(C106,'تقرير المصروفات حسب الشهر'!$C$1270:$AD$1381,22,FALSE),0)</f>
        <v>0</v>
      </c>
      <c r="O106" s="376">
        <f>IFERROR(VLOOKUP(C106,'تقرير المصروفات حسب الشهر'!$C$1397:$AD$1512,22,FALSE),0)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الشهر'!$C$10:$AD$119,22,FALSE),0)</f>
        <v>0</v>
      </c>
      <c r="E107" s="362">
        <f>IFERROR(VLOOKUP(C107,'تقرير المصروفات حسب الشهر'!$C$135:$AD$244,22,FALSE),0)</f>
        <v>0</v>
      </c>
      <c r="F107" s="362">
        <f>IFERROR(VLOOKUP(C107,'تقرير المصروفات حسب الشهر'!$C$261:$AD$368,22,FALSE),0)</f>
        <v>0</v>
      </c>
      <c r="G107" s="362">
        <f>IFERROR(VLOOKUP(C107,'تقرير المصروفات حسب الشهر'!$C$387:$AD$495,22,FALSE),0)</f>
        <v>0</v>
      </c>
      <c r="H107" s="362">
        <f>IFERROR(VLOOKUP(C107,'تقرير المصروفات حسب الشهر'!$C$512:$AD$620,22,FALSE),0)</f>
        <v>0</v>
      </c>
      <c r="I107" s="362">
        <f>IFERROR(VLOOKUP(C107,'تقرير المصروفات حسب الشهر'!$C$637:$AD$746,22,FALSE),0)</f>
        <v>0</v>
      </c>
      <c r="J107" s="362">
        <f>IFERROR(VLOOKUP(C107,'تقرير المصروفات حسب الشهر'!$C$763:$AD$872,22,FALSE),0)</f>
        <v>0</v>
      </c>
      <c r="K107" s="362">
        <f>IFERROR(VLOOKUP(C107,'تقرير المصروفات حسب الشهر'!$C$890:$AD$999,22,FALSE),0)</f>
        <v>0</v>
      </c>
      <c r="L107" s="362">
        <f>IFERROR(VLOOKUP(C107,'تقرير المصروفات حسب الشهر'!$C$1016:$AD$1126,22,FALSE),0)</f>
        <v>0</v>
      </c>
      <c r="M107" s="376">
        <f>IFERROR(VLOOKUP(C107,'تقرير المصروفات حسب الشهر'!$C$1143:$AD$1254,22,FALSE),0)</f>
        <v>0</v>
      </c>
      <c r="N107" s="376">
        <f>IFERROR(VLOOKUP(C107,'تقرير المصروفات حسب الشهر'!$C$1270:$AD$1381,22,FALSE),0)</f>
        <v>0</v>
      </c>
      <c r="O107" s="376">
        <f>IFERROR(VLOOKUP(C107,'تقرير المصروفات حسب الشهر'!$C$1397:$AD$1512,22,FALSE),0)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الشهر'!$C$10:$AD$119,22,FALSE),0)</f>
        <v>0</v>
      </c>
      <c r="E108" s="362">
        <f>IFERROR(VLOOKUP(C108,'تقرير المصروفات حسب الشهر'!$C$135:$AD$244,22,FALSE),0)</f>
        <v>0</v>
      </c>
      <c r="F108" s="362">
        <f>IFERROR(VLOOKUP(C108,'تقرير المصروفات حسب الشهر'!$C$261:$AD$368,22,FALSE),0)</f>
        <v>0</v>
      </c>
      <c r="G108" s="362">
        <f>IFERROR(VLOOKUP(C108,'تقرير المصروفات حسب الشهر'!$C$387:$AD$495,22,FALSE),0)</f>
        <v>0</v>
      </c>
      <c r="H108" s="362">
        <f>IFERROR(VLOOKUP(C108,'تقرير المصروفات حسب الشهر'!$C$512:$AD$620,22,FALSE),0)</f>
        <v>0</v>
      </c>
      <c r="I108" s="362">
        <f>IFERROR(VLOOKUP(C108,'تقرير المصروفات حسب الشهر'!$C$637:$AD$746,22,FALSE),0)</f>
        <v>0</v>
      </c>
      <c r="J108" s="362">
        <f>IFERROR(VLOOKUP(C108,'تقرير المصروفات حسب الشهر'!$C$763:$AD$872,22,FALSE),0)</f>
        <v>0</v>
      </c>
      <c r="K108" s="362">
        <f>IFERROR(VLOOKUP(C108,'تقرير المصروفات حسب الشهر'!$C$890:$AD$999,22,FALSE),0)</f>
        <v>0</v>
      </c>
      <c r="L108" s="362">
        <f>IFERROR(VLOOKUP(C108,'تقرير المصروفات حسب الشهر'!$C$1016:$AD$1126,22,FALSE),0)</f>
        <v>0</v>
      </c>
      <c r="M108" s="376">
        <f>IFERROR(VLOOKUP(C108,'تقرير المصروفات حسب الشهر'!$C$1143:$AD$1254,22,FALSE),0)</f>
        <v>0</v>
      </c>
      <c r="N108" s="376">
        <f>IFERROR(VLOOKUP(C108,'تقرير المصروفات حسب الشهر'!$C$1270:$AD$1381,22,FALSE),0)</f>
        <v>0</v>
      </c>
      <c r="O108" s="376">
        <f>IFERROR(VLOOKUP(C108,'تقرير المصروفات حسب الشهر'!$C$1397:$AD$1512,22,FALSE),0)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الشهر'!$C$10:$AD$119,22,FALSE),0)</f>
        <v>0</v>
      </c>
      <c r="E109" s="362">
        <f>IFERROR(VLOOKUP(C109,'تقرير المصروفات حسب الشهر'!$C$135:$AD$244,22,FALSE),0)</f>
        <v>0</v>
      </c>
      <c r="F109" s="362">
        <f>IFERROR(VLOOKUP(C109,'تقرير المصروفات حسب الشهر'!$C$261:$AD$368,22,FALSE),0)</f>
        <v>0</v>
      </c>
      <c r="G109" s="362">
        <f>IFERROR(VLOOKUP(C109,'تقرير المصروفات حسب الشهر'!$C$387:$AD$495,22,FALSE),0)</f>
        <v>0</v>
      </c>
      <c r="H109" s="362">
        <f>IFERROR(VLOOKUP(C109,'تقرير المصروفات حسب الشهر'!$C$512:$AD$620,22,FALSE),0)</f>
        <v>0</v>
      </c>
      <c r="I109" s="362">
        <f>IFERROR(VLOOKUP(C109,'تقرير المصروفات حسب الشهر'!$C$637:$AD$746,22,FALSE),0)</f>
        <v>0</v>
      </c>
      <c r="J109" s="362">
        <f>IFERROR(VLOOKUP(C109,'تقرير المصروفات حسب الشهر'!$C$763:$AD$872,22,FALSE),0)</f>
        <v>0</v>
      </c>
      <c r="K109" s="362">
        <f>IFERROR(VLOOKUP(C109,'تقرير المصروفات حسب الشهر'!$C$890:$AD$999,22,FALSE),0)</f>
        <v>0</v>
      </c>
      <c r="L109" s="362">
        <f>IFERROR(VLOOKUP(C109,'تقرير المصروفات حسب الشهر'!$C$1016:$AD$1126,22,FALSE),0)</f>
        <v>0</v>
      </c>
      <c r="M109" s="376">
        <f>IFERROR(VLOOKUP(C109,'تقرير المصروفات حسب الشهر'!$C$1143:$AD$1254,22,FALSE),0)</f>
        <v>0</v>
      </c>
      <c r="N109" s="376">
        <f>IFERROR(VLOOKUP(C109,'تقرير المصروفات حسب الشهر'!$C$1270:$AD$1381,22,FALSE),0)</f>
        <v>0</v>
      </c>
      <c r="O109" s="376">
        <f>IFERROR(VLOOKUP(C109,'تقرير المصروفات حسب الشهر'!$C$1397:$AD$1512,22,FALSE),0)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الشهر'!$C$10:$AD$119,22,FALSE),0)</f>
        <v>0</v>
      </c>
      <c r="E110" s="362">
        <f>IFERROR(VLOOKUP(C110,'تقرير المصروفات حسب الشهر'!$C$135:$AD$244,22,FALSE),0)</f>
        <v>0</v>
      </c>
      <c r="F110" s="362">
        <f>IFERROR(VLOOKUP(C110,'تقرير المصروفات حسب الشهر'!$C$261:$AD$368,22,FALSE),0)</f>
        <v>0</v>
      </c>
      <c r="G110" s="362">
        <f>IFERROR(VLOOKUP(C110,'تقرير المصروفات حسب الشهر'!$C$387:$AD$495,22,FALSE),0)</f>
        <v>0</v>
      </c>
      <c r="H110" s="362">
        <f>IFERROR(VLOOKUP(C110,'تقرير المصروفات حسب الشهر'!$C$512:$AD$620,22,FALSE),0)</f>
        <v>0</v>
      </c>
      <c r="I110" s="362">
        <f>IFERROR(VLOOKUP(C110,'تقرير المصروفات حسب الشهر'!$C$637:$AD$746,22,FALSE),0)</f>
        <v>0</v>
      </c>
      <c r="J110" s="362">
        <f>IFERROR(VLOOKUP(C110,'تقرير المصروفات حسب الشهر'!$C$763:$AD$872,22,FALSE),0)</f>
        <v>0</v>
      </c>
      <c r="K110" s="362">
        <f>IFERROR(VLOOKUP(C110,'تقرير المصروفات حسب الشهر'!$C$890:$AD$999,22,FALSE),0)</f>
        <v>0</v>
      </c>
      <c r="L110" s="362">
        <f>IFERROR(VLOOKUP(C110,'تقرير المصروفات حسب الشهر'!$C$1016:$AD$1126,22,FALSE),0)</f>
        <v>0</v>
      </c>
      <c r="M110" s="376">
        <f>IFERROR(VLOOKUP(C110,'تقرير المصروفات حسب الشهر'!$C$1143:$AD$1254,22,FALSE),0)</f>
        <v>0</v>
      </c>
      <c r="N110" s="376">
        <f>IFERROR(VLOOKUP(C110,'تقرير المصروفات حسب الشهر'!$C$1270:$AD$1381,22,FALSE),0)</f>
        <v>0</v>
      </c>
      <c r="O110" s="376">
        <f>IFERROR(VLOOKUP(C110,'تقرير المصروفات حسب الشهر'!$C$1397:$AD$1512,22,FALSE),0)</f>
        <v>0</v>
      </c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الشهر'!$C$10:$AD$119,22,FALSE),0)</f>
        <v>0</v>
      </c>
      <c r="E111" s="362">
        <f>IFERROR(VLOOKUP(C111,'تقرير المصروفات حسب الشهر'!$C$135:$AD$244,22,FALSE),0)</f>
        <v>0</v>
      </c>
      <c r="F111" s="362">
        <f>IFERROR(VLOOKUP(C111,'تقرير المصروفات حسب الشهر'!$C$261:$AD$368,22,FALSE),0)</f>
        <v>0</v>
      </c>
      <c r="G111" s="362">
        <f>IFERROR(VLOOKUP(C111,'تقرير المصروفات حسب الشهر'!$C$387:$AD$495,22,FALSE),0)</f>
        <v>0</v>
      </c>
      <c r="H111" s="362">
        <f>IFERROR(VLOOKUP(C111,'تقرير المصروفات حسب الشهر'!$C$512:$AD$620,22,FALSE),0)</f>
        <v>0</v>
      </c>
      <c r="I111" s="362">
        <f>IFERROR(VLOOKUP(C111,'تقرير المصروفات حسب الشهر'!$C$637:$AD$746,22,FALSE),0)</f>
        <v>0</v>
      </c>
      <c r="J111" s="362">
        <f>IFERROR(VLOOKUP(C111,'تقرير المصروفات حسب الشهر'!$C$763:$AD$872,22,FALSE),0)</f>
        <v>0</v>
      </c>
      <c r="K111" s="362">
        <f>IFERROR(VLOOKUP(C111,'تقرير المصروفات حسب الشهر'!$C$890:$AD$999,22,FALSE),0)</f>
        <v>0</v>
      </c>
      <c r="L111" s="362">
        <f>IFERROR(VLOOKUP(C111,'تقرير المصروفات حسب الشهر'!$C$1016:$AD$1126,22,FALSE),0)</f>
        <v>0</v>
      </c>
      <c r="M111" s="376">
        <f>IFERROR(VLOOKUP(C111,'تقرير المصروفات حسب الشهر'!$C$1143:$AD$1254,22,FALSE),0)</f>
        <v>0</v>
      </c>
      <c r="N111" s="376">
        <f>IFERROR(VLOOKUP(C111,'تقرير المصروفات حسب الشهر'!$C$1270:$AD$1381,22,FALSE),0)</f>
        <v>0</v>
      </c>
      <c r="O111" s="376">
        <f>IFERROR(VLOOKUP(C111,'تقرير المصروفات حسب الشهر'!$C$1397:$AD$1512,22,FALSE),0)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الشهر'!$C$10:$AD$119,22,FALSE),0)</f>
        <v>0</v>
      </c>
      <c r="E112" s="362">
        <f>IFERROR(VLOOKUP(C112,'تقرير المصروفات حسب الشهر'!$C$135:$AD$244,22,FALSE),0)</f>
        <v>0</v>
      </c>
      <c r="F112" s="362">
        <f>IFERROR(VLOOKUP(C112,'تقرير المصروفات حسب الشهر'!$C$261:$AD$368,22,FALSE),0)</f>
        <v>0</v>
      </c>
      <c r="G112" s="362">
        <f>IFERROR(VLOOKUP(C112,'تقرير المصروفات حسب الشهر'!$C$387:$AD$495,22,FALSE),0)</f>
        <v>0</v>
      </c>
      <c r="H112" s="362">
        <f>IFERROR(VLOOKUP(C112,'تقرير المصروفات حسب الشهر'!$C$512:$AD$620,22,FALSE),0)</f>
        <v>0</v>
      </c>
      <c r="I112" s="362">
        <f>IFERROR(VLOOKUP(C112,'تقرير المصروفات حسب الشهر'!$C$637:$AD$746,22,FALSE),0)</f>
        <v>0</v>
      </c>
      <c r="J112" s="362">
        <f>IFERROR(VLOOKUP(C112,'تقرير المصروفات حسب الشهر'!$C$763:$AD$872,22,FALSE),0)</f>
        <v>0</v>
      </c>
      <c r="K112" s="362">
        <f>IFERROR(VLOOKUP(C112,'تقرير المصروفات حسب الشهر'!$C$890:$AD$999,22,FALSE),0)</f>
        <v>0</v>
      </c>
      <c r="L112" s="362">
        <f>IFERROR(VLOOKUP(C112,'تقرير المصروفات حسب الشهر'!$C$1016:$AD$1126,22,FALSE),0)</f>
        <v>0</v>
      </c>
      <c r="M112" s="376">
        <f>IFERROR(VLOOKUP(C112,'تقرير المصروفات حسب الشهر'!$C$1143:$AD$1254,22,FALSE),0)</f>
        <v>0</v>
      </c>
      <c r="N112" s="376">
        <f>IFERROR(VLOOKUP(C112,'تقرير المصروفات حسب الشهر'!$C$1270:$AD$1381,22,FALSE),0)</f>
        <v>0</v>
      </c>
      <c r="O112" s="376">
        <f>IFERROR(VLOOKUP(C112,'تقرير المصروفات حسب الشهر'!$C$1397:$AD$1512,22,FALSE),0)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الشهر'!$C$10:$AD$119,22,FALSE),0)</f>
        <v>0</v>
      </c>
      <c r="E113" s="362">
        <f>IFERROR(VLOOKUP(C113,'تقرير المصروفات حسب الشهر'!$C$135:$AD$244,22,FALSE),0)</f>
        <v>0</v>
      </c>
      <c r="F113" s="362">
        <f>IFERROR(VLOOKUP(C113,'تقرير المصروفات حسب الشهر'!$C$261:$AD$368,22,FALSE),0)</f>
        <v>0</v>
      </c>
      <c r="G113" s="362">
        <f>IFERROR(VLOOKUP(C113,'تقرير المصروفات حسب الشهر'!$C$387:$AD$495,22,FALSE),0)</f>
        <v>0</v>
      </c>
      <c r="H113" s="362">
        <f>IFERROR(VLOOKUP(C113,'تقرير المصروفات حسب الشهر'!$C$512:$AD$620,22,FALSE),0)</f>
        <v>0</v>
      </c>
      <c r="I113" s="362">
        <f>IFERROR(VLOOKUP(C113,'تقرير المصروفات حسب الشهر'!$C$637:$AD$746,22,FALSE),0)</f>
        <v>0</v>
      </c>
      <c r="J113" s="362">
        <f>IFERROR(VLOOKUP(C113,'تقرير المصروفات حسب الشهر'!$C$763:$AD$872,22,FALSE),0)</f>
        <v>0</v>
      </c>
      <c r="K113" s="362">
        <f>IFERROR(VLOOKUP(C113,'تقرير المصروفات حسب الشهر'!$C$890:$AD$999,22,FALSE),0)</f>
        <v>0</v>
      </c>
      <c r="L113" s="362">
        <f>IFERROR(VLOOKUP(C113,'تقرير المصروفات حسب الشهر'!$C$1016:$AD$1126,22,FALSE),0)</f>
        <v>0</v>
      </c>
      <c r="M113" s="376">
        <f>IFERROR(VLOOKUP(C113,'تقرير المصروفات حسب الشهر'!$C$1143:$AD$1254,22,FALSE),0)</f>
        <v>0</v>
      </c>
      <c r="N113" s="376">
        <f>IFERROR(VLOOKUP(C113,'تقرير المصروفات حسب الشهر'!$C$1270:$AD$1381,22,FALSE),0)</f>
        <v>0</v>
      </c>
      <c r="O113" s="376">
        <f>IFERROR(VLOOKUP(C113,'تقرير المصروفات حسب الشهر'!$C$1397:$AD$1512,22,FALSE),0)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الشهر'!$C$10:$AD$119,22,FALSE),0)</f>
        <v>0</v>
      </c>
      <c r="E114" s="362">
        <f>IFERROR(VLOOKUP(C114,'تقرير المصروفات حسب الشهر'!$C$135:$AD$244,22,FALSE),0)</f>
        <v>0</v>
      </c>
      <c r="F114" s="362">
        <f>IFERROR(VLOOKUP(C114,'تقرير المصروفات حسب الشهر'!$C$261:$AD$368,22,FALSE),0)</f>
        <v>0</v>
      </c>
      <c r="G114" s="362">
        <f>IFERROR(VLOOKUP(C114,'تقرير المصروفات حسب الشهر'!$C$387:$AD$495,22,FALSE),0)</f>
        <v>0</v>
      </c>
      <c r="H114" s="362">
        <f>IFERROR(VLOOKUP(C114,'تقرير المصروفات حسب الشهر'!$C$512:$AD$620,22,FALSE),0)</f>
        <v>0</v>
      </c>
      <c r="I114" s="362">
        <f>IFERROR(VLOOKUP(C114,'تقرير المصروفات حسب الشهر'!$C$637:$AD$746,22,FALSE),0)</f>
        <v>0</v>
      </c>
      <c r="J114" s="362">
        <f>IFERROR(VLOOKUP(C114,'تقرير المصروفات حسب الشهر'!$C$763:$AD$872,22,FALSE),0)</f>
        <v>0</v>
      </c>
      <c r="K114" s="362">
        <f>IFERROR(VLOOKUP(C114,'تقرير المصروفات حسب الشهر'!$C$890:$AD$999,22,FALSE),0)</f>
        <v>0</v>
      </c>
      <c r="L114" s="362">
        <f>IFERROR(VLOOKUP(C114,'تقرير المصروفات حسب الشهر'!$C$1016:$AD$1126,22,FALSE),0)</f>
        <v>0</v>
      </c>
      <c r="M114" s="376">
        <f>IFERROR(VLOOKUP(C114,'تقرير المصروفات حسب الشهر'!$C$1143:$AD$1254,22,FALSE),0)</f>
        <v>0</v>
      </c>
      <c r="N114" s="376">
        <f>IFERROR(VLOOKUP(C114,'تقرير المصروفات حسب الشهر'!$C$1270:$AD$1381,22,FALSE),0)</f>
        <v>0</v>
      </c>
      <c r="O114" s="376">
        <f>IFERROR(VLOOKUP(C114,'تقرير المصروفات حسب الشهر'!$C$1397:$AD$1512,22,FALSE),0)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الشهر'!$C$10:$AD$119,22,FALSE),0)</f>
        <v>0</v>
      </c>
      <c r="E115" s="362">
        <f>IFERROR(VLOOKUP(C115,'تقرير المصروفات حسب الشهر'!$C$135:$AD$244,22,FALSE),0)</f>
        <v>0</v>
      </c>
      <c r="F115" s="362">
        <f>IFERROR(VLOOKUP(C115,'تقرير المصروفات حسب الشهر'!$C$261:$AD$368,22,FALSE),0)</f>
        <v>0</v>
      </c>
      <c r="G115" s="362">
        <f>IFERROR(VLOOKUP(C115,'تقرير المصروفات حسب الشهر'!$C$387:$AD$495,22,FALSE),0)</f>
        <v>0</v>
      </c>
      <c r="H115" s="362">
        <f>IFERROR(VLOOKUP(C115,'تقرير المصروفات حسب الشهر'!$C$512:$AD$620,22,FALSE),0)</f>
        <v>0</v>
      </c>
      <c r="I115" s="362">
        <f>IFERROR(VLOOKUP(C115,'تقرير المصروفات حسب الشهر'!$C$637:$AD$746,22,FALSE),0)</f>
        <v>0</v>
      </c>
      <c r="J115" s="362">
        <f>IFERROR(VLOOKUP(C115,'تقرير المصروفات حسب الشهر'!$C$763:$AD$872,22,FALSE),0)</f>
        <v>0</v>
      </c>
      <c r="K115" s="362">
        <f>IFERROR(VLOOKUP(C115,'تقرير المصروفات حسب الشهر'!$C$890:$AD$999,22,FALSE),0)</f>
        <v>0</v>
      </c>
      <c r="L115" s="362">
        <f>IFERROR(VLOOKUP(C115,'تقرير المصروفات حسب الشهر'!$C$1016:$AD$1126,22,FALSE),0)</f>
        <v>0</v>
      </c>
      <c r="M115" s="376">
        <f>IFERROR(VLOOKUP(C115,'تقرير المصروفات حسب الشهر'!$C$1143:$AD$1254,22,FALSE),0)</f>
        <v>0</v>
      </c>
      <c r="N115" s="376">
        <f>IFERROR(VLOOKUP(C115,'تقرير المصروفات حسب الشهر'!$C$1270:$AD$1381,22,FALSE),0)</f>
        <v>0</v>
      </c>
      <c r="O115" s="376">
        <f>IFERROR(VLOOKUP(C115,'تقرير المصروفات حسب الشهر'!$C$1397:$AD$1512,22,FALSE),0)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الشهر'!$C$10:$AD$119,22,FALSE),0)</f>
        <v>0</v>
      </c>
      <c r="E116" s="362">
        <f>IFERROR(VLOOKUP(C116,'تقرير المصروفات حسب الشهر'!$C$135:$AD$244,22,FALSE),0)</f>
        <v>0</v>
      </c>
      <c r="F116" s="362">
        <f>IFERROR(VLOOKUP(C116,'تقرير المصروفات حسب الشهر'!$C$261:$AD$368,22,FALSE),0)</f>
        <v>0</v>
      </c>
      <c r="G116" s="362">
        <f>IFERROR(VLOOKUP(C116,'تقرير المصروفات حسب الشهر'!$C$387:$AD$495,22,FALSE),0)</f>
        <v>0</v>
      </c>
      <c r="H116" s="362">
        <f>IFERROR(VLOOKUP(C116,'تقرير المصروفات حسب الشهر'!$C$512:$AD$620,22,FALSE),0)</f>
        <v>0</v>
      </c>
      <c r="I116" s="362">
        <f>IFERROR(VLOOKUP(C116,'تقرير المصروفات حسب الشهر'!$C$637:$AD$746,22,FALSE),0)</f>
        <v>0</v>
      </c>
      <c r="J116" s="362">
        <f>IFERROR(VLOOKUP(C116,'تقرير المصروفات حسب الشهر'!$C$763:$AD$872,22,FALSE),0)</f>
        <v>0</v>
      </c>
      <c r="K116" s="362">
        <f>IFERROR(VLOOKUP(C116,'تقرير المصروفات حسب الشهر'!$C$890:$AD$999,22,FALSE),0)</f>
        <v>0</v>
      </c>
      <c r="L116" s="362">
        <f>IFERROR(VLOOKUP(C116,'تقرير المصروفات حسب الشهر'!$C$1016:$AD$1126,22,FALSE),0)</f>
        <v>0</v>
      </c>
      <c r="M116" s="376">
        <f>IFERROR(VLOOKUP(C116,'تقرير المصروفات حسب الشهر'!$C$1143:$AD$1254,22,FALSE),0)</f>
        <v>0</v>
      </c>
      <c r="N116" s="376">
        <f>IFERROR(VLOOKUP(C116,'تقرير المصروفات حسب الشهر'!$C$1270:$AD$1381,22,FALSE),0)</f>
        <v>0</v>
      </c>
      <c r="O116" s="376">
        <f>IFERROR(VLOOKUP(C116,'تقرير المصروفات حسب الشهر'!$C$1397:$AD$1512,22,FALSE),0)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الشهر'!$C$10:$AD$119,22,FALSE),0)</f>
        <v>0</v>
      </c>
      <c r="E117" s="362">
        <f>IFERROR(VLOOKUP(C117,'تقرير المصروفات حسب الشهر'!$C$135:$AD$244,22,FALSE),0)</f>
        <v>0</v>
      </c>
      <c r="F117" s="362">
        <f>IFERROR(VLOOKUP(C117,'تقرير المصروفات حسب الشهر'!$C$261:$AD$368,22,FALSE),0)</f>
        <v>0</v>
      </c>
      <c r="G117" s="362">
        <f>IFERROR(VLOOKUP(C117,'تقرير المصروفات حسب الشهر'!$C$387:$AD$495,22,FALSE),0)</f>
        <v>0</v>
      </c>
      <c r="H117" s="362">
        <f>IFERROR(VLOOKUP(C117,'تقرير المصروفات حسب الشهر'!$C$512:$AD$620,22,FALSE),0)</f>
        <v>0</v>
      </c>
      <c r="I117" s="362">
        <f>IFERROR(VLOOKUP(C117,'تقرير المصروفات حسب الشهر'!$C$637:$AD$746,22,FALSE),0)</f>
        <v>0</v>
      </c>
      <c r="J117" s="362">
        <f>IFERROR(VLOOKUP(C117,'تقرير المصروفات حسب الشهر'!$C$763:$AD$872,22,FALSE),0)</f>
        <v>0</v>
      </c>
      <c r="K117" s="362">
        <f>IFERROR(VLOOKUP(C117,'تقرير المصروفات حسب الشهر'!$C$890:$AD$999,22,FALSE),0)</f>
        <v>0</v>
      </c>
      <c r="L117" s="362">
        <f>IFERROR(VLOOKUP(C117,'تقرير المصروفات حسب الشهر'!$C$1016:$AD$1126,22,FALSE),0)</f>
        <v>0</v>
      </c>
      <c r="M117" s="376">
        <f>IFERROR(VLOOKUP(C117,'تقرير المصروفات حسب الشهر'!$C$1143:$AD$1254,22,FALSE),0)</f>
        <v>0</v>
      </c>
      <c r="N117" s="376">
        <f>IFERROR(VLOOKUP(C117,'تقرير المصروفات حسب الشهر'!$C$1270:$AD$1381,22,FALSE),0)</f>
        <v>0</v>
      </c>
      <c r="O117" s="376">
        <f>IFERROR(VLOOKUP(C117,'تقرير المصروفات حسب الشهر'!$C$1397:$AD$1512,22,FALSE),0)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الشهر'!$C$10:$AD$119,22,FALSE),0)</f>
        <v>0</v>
      </c>
      <c r="E118" s="362">
        <f>IFERROR(VLOOKUP(C118,'تقرير المصروفات حسب الشهر'!$C$135:$AD$244,22,FALSE),0)</f>
        <v>0</v>
      </c>
      <c r="F118" s="362">
        <f>IFERROR(VLOOKUP(C118,'تقرير المصروفات حسب الشهر'!$C$261:$AD$368,22,FALSE),0)</f>
        <v>0</v>
      </c>
      <c r="G118" s="362">
        <f>IFERROR(VLOOKUP(C118,'تقرير المصروفات حسب الشهر'!$C$387:$AD$495,22,FALSE),0)</f>
        <v>0</v>
      </c>
      <c r="H118" s="362">
        <f>IFERROR(VLOOKUP(C118,'تقرير المصروفات حسب الشهر'!$C$512:$AD$620,22,FALSE),0)</f>
        <v>0</v>
      </c>
      <c r="I118" s="362">
        <f>IFERROR(VLOOKUP(C118,'تقرير المصروفات حسب الشهر'!$C$637:$AD$746,22,FALSE),0)</f>
        <v>0</v>
      </c>
      <c r="J118" s="362">
        <f>IFERROR(VLOOKUP(C118,'تقرير المصروفات حسب الشهر'!$C$763:$AD$872,22,FALSE),0)</f>
        <v>0</v>
      </c>
      <c r="K118" s="362">
        <f>IFERROR(VLOOKUP(C118,'تقرير المصروفات حسب الشهر'!$C$890:$AD$999,22,FALSE),0)</f>
        <v>0</v>
      </c>
      <c r="L118" s="362">
        <f>IFERROR(VLOOKUP(C118,'تقرير المصروفات حسب الشهر'!$C$1016:$AD$1126,22,FALSE),0)</f>
        <v>0</v>
      </c>
      <c r="M118" s="376">
        <f>IFERROR(VLOOKUP(C118,'تقرير المصروفات حسب الشهر'!$C$1143:$AD$1254,22,FALSE),0)</f>
        <v>0</v>
      </c>
      <c r="N118" s="376">
        <f>IFERROR(VLOOKUP(C118,'تقرير المصروفات حسب الشهر'!$C$1270:$AD$1381,22,FALSE),0)</f>
        <v>0</v>
      </c>
      <c r="O118" s="376">
        <f>IFERROR(VLOOKUP(C118,'تقرير المصروفات حسب الشهر'!$C$1397:$AD$1512,22,FALSE),0)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الشهر'!$C$10:$AD$119,22,FALSE),0)</f>
        <v>0</v>
      </c>
      <c r="E119" s="362">
        <f>IFERROR(VLOOKUP(C119,'تقرير المصروفات حسب الشهر'!$C$135:$AD$244,22,FALSE),0)</f>
        <v>0</v>
      </c>
      <c r="F119" s="362">
        <f>IFERROR(VLOOKUP(C119,'تقرير المصروفات حسب الشهر'!$C$261:$AD$368,22,FALSE),0)</f>
        <v>0</v>
      </c>
      <c r="G119" s="362">
        <f>IFERROR(VLOOKUP(C119,'تقرير المصروفات حسب الشهر'!$C$387:$AD$495,22,FALSE),0)</f>
        <v>0</v>
      </c>
      <c r="H119" s="362">
        <f>IFERROR(VLOOKUP(C119,'تقرير المصروفات حسب الشهر'!$C$512:$AD$620,22,FALSE),0)</f>
        <v>0</v>
      </c>
      <c r="I119" s="362">
        <f>IFERROR(VLOOKUP(C119,'تقرير المصروفات حسب الشهر'!$C$637:$AD$746,22,FALSE),0)</f>
        <v>0</v>
      </c>
      <c r="J119" s="362">
        <f>IFERROR(VLOOKUP(C119,'تقرير المصروفات حسب الشهر'!$C$763:$AD$872,22,FALSE),0)</f>
        <v>0</v>
      </c>
      <c r="K119" s="362">
        <f>IFERROR(VLOOKUP(C119,'تقرير المصروفات حسب الشهر'!$C$890:$AD$999,22,FALSE),0)</f>
        <v>0</v>
      </c>
      <c r="L119" s="362">
        <f>IFERROR(VLOOKUP(C119,'تقرير المصروفات حسب الشهر'!$C$1016:$AD$1126,22,FALSE),0)</f>
        <v>0</v>
      </c>
      <c r="M119" s="376">
        <f>IFERROR(VLOOKUP(C119,'تقرير المصروفات حسب الشهر'!$C$1143:$AD$1254,22,FALSE),0)</f>
        <v>0</v>
      </c>
      <c r="N119" s="376">
        <f>IFERROR(VLOOKUP(C119,'تقرير المصروفات حسب الشهر'!$C$1270:$AD$1381,22,FALSE),0)</f>
        <v>0</v>
      </c>
      <c r="O119" s="376">
        <f>IFERROR(VLOOKUP(C119,'تقرير المصروفات حسب الشهر'!$C$1397:$AD$1512,22,FALSE),0)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الشهر'!$C$10:$AD$119,22,FALSE),0)</f>
        <v>0</v>
      </c>
      <c r="E120" s="362">
        <f>IFERROR(VLOOKUP(C120,'تقرير المصروفات حسب الشهر'!$C$135:$AD$244,22,FALSE),0)</f>
        <v>0</v>
      </c>
      <c r="F120" s="362">
        <f>IFERROR(VLOOKUP(C120,'تقرير المصروفات حسب الشهر'!$C$261:$AD$368,22,FALSE),0)</f>
        <v>0</v>
      </c>
      <c r="G120" s="362">
        <f>IFERROR(VLOOKUP(C120,'تقرير المصروفات حسب الشهر'!$C$387:$AD$495,22,FALSE),0)</f>
        <v>0</v>
      </c>
      <c r="H120" s="362">
        <f>IFERROR(VLOOKUP(C120,'تقرير المصروفات حسب الشهر'!$C$512:$AD$620,22,FALSE),0)</f>
        <v>0</v>
      </c>
      <c r="I120" s="362">
        <f>IFERROR(VLOOKUP(C120,'تقرير المصروفات حسب الشهر'!$C$637:$AD$746,22,FALSE),0)</f>
        <v>0</v>
      </c>
      <c r="J120" s="362">
        <f>IFERROR(VLOOKUP(C120,'تقرير المصروفات حسب الشهر'!$C$763:$AD$872,22,FALSE),0)</f>
        <v>0</v>
      </c>
      <c r="K120" s="362">
        <f>IFERROR(VLOOKUP(C120,'تقرير المصروفات حسب الشهر'!$C$890:$AD$999,22,FALSE),0)</f>
        <v>0</v>
      </c>
      <c r="L120" s="362">
        <f>IFERROR(VLOOKUP(C120,'تقرير المصروفات حسب الشهر'!$C$1016:$AD$1126,22,FALSE),0)</f>
        <v>0</v>
      </c>
      <c r="M120" s="376">
        <f>IFERROR(VLOOKUP(C120,'تقرير المصروفات حسب الشهر'!$C$1143:$AD$1254,22,FALSE),0)</f>
        <v>0</v>
      </c>
      <c r="N120" s="376">
        <f>IFERROR(VLOOKUP(C120,'تقرير المصروفات حسب الشهر'!$C$1270:$AD$1381,22,FALSE),0)</f>
        <v>0</v>
      </c>
      <c r="O120" s="376">
        <f>IFERROR(VLOOKUP(C120,'تقرير المصروفات حسب الشهر'!$C$1397:$AD$1512,22,FALSE),0)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الشهر'!$C$10:$AD$119,22,FALSE),0)</f>
        <v>0</v>
      </c>
      <c r="E121" s="362">
        <f>IFERROR(VLOOKUP(C121,'تقرير المصروفات حسب الشهر'!$C$135:$AD$244,22,FALSE),0)</f>
        <v>0</v>
      </c>
      <c r="F121" s="362">
        <f>IFERROR(VLOOKUP(C121,'تقرير المصروفات حسب الشهر'!$C$261:$AD$368,22,FALSE),0)</f>
        <v>0</v>
      </c>
      <c r="G121" s="362">
        <f>IFERROR(VLOOKUP(C121,'تقرير المصروفات حسب الشهر'!$C$387:$AD$495,22,FALSE),0)</f>
        <v>0</v>
      </c>
      <c r="H121" s="362">
        <f>IFERROR(VLOOKUP(C121,'تقرير المصروفات حسب الشهر'!$C$512:$AD$620,22,FALSE),0)</f>
        <v>0</v>
      </c>
      <c r="I121" s="362">
        <f>IFERROR(VLOOKUP(C121,'تقرير المصروفات حسب الشهر'!$C$637:$AD$746,22,FALSE),0)</f>
        <v>0</v>
      </c>
      <c r="J121" s="362">
        <f>IFERROR(VLOOKUP(C121,'تقرير المصروفات حسب الشهر'!$C$763:$AD$872,22,FALSE),0)</f>
        <v>0</v>
      </c>
      <c r="K121" s="362">
        <f>IFERROR(VLOOKUP(C121,'تقرير المصروفات حسب الشهر'!$C$890:$AD$999,22,FALSE),0)</f>
        <v>0</v>
      </c>
      <c r="L121" s="362">
        <f>IFERROR(VLOOKUP(C121,'تقرير المصروفات حسب الشهر'!$C$1016:$AD$1126,22,FALSE),0)</f>
        <v>0</v>
      </c>
      <c r="M121" s="376">
        <f>IFERROR(VLOOKUP(C121,'تقرير المصروفات حسب الشهر'!$C$1143:$AD$1254,22,FALSE),0)</f>
        <v>0</v>
      </c>
      <c r="N121" s="376">
        <f>IFERROR(VLOOKUP(C121,'تقرير المصروفات حسب الشهر'!$C$1270:$AD$1381,22,FALSE),0)</f>
        <v>0</v>
      </c>
      <c r="O121" s="376">
        <f>IFERROR(VLOOKUP(C121,'تقرير المصروفات حسب الشهر'!$C$1397:$AD$1512,22,FALSE),0)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الشهر'!$C$10:$AD$119,22,FALSE),0)</f>
        <v>0</v>
      </c>
      <c r="E122" s="362">
        <f>IFERROR(VLOOKUP(C122,'تقرير المصروفات حسب الشهر'!$C$135:$AD$244,22,FALSE),0)</f>
        <v>0</v>
      </c>
      <c r="F122" s="362">
        <f>IFERROR(VLOOKUP(C122,'تقرير المصروفات حسب الشهر'!$C$261:$AD$368,22,FALSE),0)</f>
        <v>0</v>
      </c>
      <c r="G122" s="362">
        <f>IFERROR(VLOOKUP(C122,'تقرير المصروفات حسب الشهر'!$C$387:$AD$495,22,FALSE),0)</f>
        <v>0</v>
      </c>
      <c r="H122" s="362">
        <f>IFERROR(VLOOKUP(C122,'تقرير المصروفات حسب الشهر'!$C$512:$AD$620,22,FALSE),0)</f>
        <v>0</v>
      </c>
      <c r="I122" s="362">
        <f>IFERROR(VLOOKUP(C122,'تقرير المصروفات حسب الشهر'!$C$637:$AD$746,22,FALSE),0)</f>
        <v>0</v>
      </c>
      <c r="J122" s="362">
        <f>IFERROR(VLOOKUP(C122,'تقرير المصروفات حسب الشهر'!$C$763:$AD$872,22,FALSE),0)</f>
        <v>0</v>
      </c>
      <c r="K122" s="362">
        <f>IFERROR(VLOOKUP(C122,'تقرير المصروفات حسب الشهر'!$C$890:$AD$999,22,FALSE),0)</f>
        <v>0</v>
      </c>
      <c r="L122" s="362">
        <f>IFERROR(VLOOKUP(C122,'تقرير المصروفات حسب الشهر'!$C$1016:$AD$1126,22,FALSE),0)</f>
        <v>0</v>
      </c>
      <c r="M122" s="376">
        <f>IFERROR(VLOOKUP(C122,'تقرير المصروفات حسب الشهر'!$C$1143:$AD$1254,22,FALSE),0)</f>
        <v>0</v>
      </c>
      <c r="N122" s="376">
        <f>IFERROR(VLOOKUP(C122,'تقرير المصروفات حسب الشهر'!$C$1270:$AD$1381,22,FALSE),0)</f>
        <v>0</v>
      </c>
      <c r="O122" s="376">
        <f>IFERROR(VLOOKUP(C122,'تقرير المصروفات حسب الشهر'!$C$1397:$AD$1512,22,FALSE),0)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الشهر'!$C$10:$AD$119,22,FALSE),0)</f>
        <v>0</v>
      </c>
      <c r="E123" s="362">
        <f>IFERROR(VLOOKUP(C123,'تقرير المصروفات حسب الشهر'!$C$135:$AD$244,22,FALSE),0)</f>
        <v>0</v>
      </c>
      <c r="F123" s="362">
        <f>IFERROR(VLOOKUP(C123,'تقرير المصروفات حسب الشهر'!$C$261:$AD$368,22,FALSE),0)</f>
        <v>0</v>
      </c>
      <c r="G123" s="362">
        <f>IFERROR(VLOOKUP(C123,'تقرير المصروفات حسب الشهر'!$C$387:$AD$495,22,FALSE),0)</f>
        <v>0</v>
      </c>
      <c r="H123" s="362">
        <f>IFERROR(VLOOKUP(C123,'تقرير المصروفات حسب الشهر'!$C$512:$AD$620,22,FALSE),0)</f>
        <v>0</v>
      </c>
      <c r="I123" s="362">
        <f>IFERROR(VLOOKUP(C123,'تقرير المصروفات حسب الشهر'!$C$637:$AD$746,22,FALSE),0)</f>
        <v>0</v>
      </c>
      <c r="J123" s="362">
        <f>IFERROR(VLOOKUP(C123,'تقرير المصروفات حسب الشهر'!$C$763:$AD$872,22,FALSE),0)</f>
        <v>0</v>
      </c>
      <c r="K123" s="362">
        <f>IFERROR(VLOOKUP(C123,'تقرير المصروفات حسب الشهر'!$C$890:$AD$999,22,FALSE),0)</f>
        <v>0</v>
      </c>
      <c r="L123" s="362">
        <f>IFERROR(VLOOKUP(C123,'تقرير المصروفات حسب الشهر'!$C$1016:$AD$1126,22,FALSE),0)</f>
        <v>0</v>
      </c>
      <c r="M123" s="376">
        <f>IFERROR(VLOOKUP(C123,'تقرير المصروفات حسب الشهر'!$C$1143:$AD$1254,22,FALSE),0)</f>
        <v>0</v>
      </c>
      <c r="N123" s="376">
        <f>IFERROR(VLOOKUP(C123,'تقرير المصروفات حسب الشهر'!$C$1270:$AD$1381,22,FALSE),0)</f>
        <v>0</v>
      </c>
      <c r="O123" s="376">
        <f>IFERROR(VLOOKUP(C123,'تقرير المصروفات حسب الشهر'!$C$1397:$AD$1512,22,FALSE),0)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الشهر'!$C$10:$AD$119,22,FALSE),0)</f>
        <v>0</v>
      </c>
      <c r="E124" s="362">
        <f>IFERROR(VLOOKUP(C124,'تقرير المصروفات حسب الشهر'!$C$135:$AD$244,22,FALSE),0)</f>
        <v>0</v>
      </c>
      <c r="F124" s="362">
        <f>IFERROR(VLOOKUP(C124,'تقرير المصروفات حسب الشهر'!$C$261:$AD$368,22,FALSE),0)</f>
        <v>0</v>
      </c>
      <c r="G124" s="362">
        <f>IFERROR(VLOOKUP(C124,'تقرير المصروفات حسب الشهر'!$C$387:$AD$495,22,FALSE),0)</f>
        <v>0</v>
      </c>
      <c r="H124" s="362">
        <f>IFERROR(VLOOKUP(C124,'تقرير المصروفات حسب الشهر'!$C$512:$AD$620,22,FALSE),0)</f>
        <v>0</v>
      </c>
      <c r="I124" s="362">
        <f>IFERROR(VLOOKUP(C124,'تقرير المصروفات حسب الشهر'!$C$637:$AD$746,22,FALSE),0)</f>
        <v>0</v>
      </c>
      <c r="J124" s="362">
        <f>IFERROR(VLOOKUP(C124,'تقرير المصروفات حسب الشهر'!$C$763:$AD$872,22,FALSE),0)</f>
        <v>0</v>
      </c>
      <c r="K124" s="362">
        <f>IFERROR(VLOOKUP(C124,'تقرير المصروفات حسب الشهر'!$C$890:$AD$999,22,FALSE),0)</f>
        <v>0</v>
      </c>
      <c r="L124" s="362">
        <f>IFERROR(VLOOKUP(C124,'تقرير المصروفات حسب الشهر'!$C$1016:$AD$1126,22,FALSE),0)</f>
        <v>0</v>
      </c>
      <c r="M124" s="376">
        <f>IFERROR(VLOOKUP(C124,'تقرير المصروفات حسب الشهر'!$C$1143:$AD$1254,22,FALSE),0)</f>
        <v>0</v>
      </c>
      <c r="N124" s="376">
        <f>IFERROR(VLOOKUP(C124,'تقرير المصروفات حسب الشهر'!$C$1270:$AD$1381,22,FALSE),0)</f>
        <v>0</v>
      </c>
      <c r="O124" s="376">
        <f>IFERROR(VLOOKUP(C124,'تقرير المصروفات حسب الشهر'!$C$1397:$AD$1512,22,FALSE),0)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الشهر'!$C$10:$AD$119,22,FALSE),0)</f>
        <v>0</v>
      </c>
      <c r="E125" s="362">
        <f>IFERROR(VLOOKUP(C125,'تقرير المصروفات حسب الشهر'!$C$135:$AD$244,22,FALSE),0)</f>
        <v>0</v>
      </c>
      <c r="F125" s="362">
        <f>IFERROR(VLOOKUP(C125,'تقرير المصروفات حسب الشهر'!$C$261:$AD$368,22,FALSE),0)</f>
        <v>0</v>
      </c>
      <c r="G125" s="362">
        <f>IFERROR(VLOOKUP(C125,'تقرير المصروفات حسب الشهر'!$C$387:$AD$495,22,FALSE),0)</f>
        <v>0</v>
      </c>
      <c r="H125" s="362">
        <f>IFERROR(VLOOKUP(C125,'تقرير المصروفات حسب الشهر'!$C$512:$AD$620,22,FALSE),0)</f>
        <v>0</v>
      </c>
      <c r="I125" s="362">
        <f>IFERROR(VLOOKUP(C125,'تقرير المصروفات حسب الشهر'!$C$637:$AD$746,22,FALSE),0)</f>
        <v>0</v>
      </c>
      <c r="J125" s="362">
        <f>IFERROR(VLOOKUP(C125,'تقرير المصروفات حسب الشهر'!$C$763:$AD$872,22,FALSE),0)</f>
        <v>0</v>
      </c>
      <c r="K125" s="362">
        <f>IFERROR(VLOOKUP(C125,'تقرير المصروفات حسب الشهر'!$C$890:$AD$999,22,FALSE),0)</f>
        <v>0</v>
      </c>
      <c r="L125" s="362">
        <f>IFERROR(VLOOKUP(C125,'تقرير المصروفات حسب الشهر'!$C$1016:$AD$1126,22,FALSE),0)</f>
        <v>0</v>
      </c>
      <c r="M125" s="376">
        <f>IFERROR(VLOOKUP(C125,'تقرير المصروفات حسب الشهر'!$C$1143:$AD$1254,22,FALSE),0)</f>
        <v>0</v>
      </c>
      <c r="N125" s="376">
        <f>IFERROR(VLOOKUP(C125,'تقرير المصروفات حسب الشهر'!$C$1270:$AD$1381,22,FALSE),0)</f>
        <v>0</v>
      </c>
      <c r="O125" s="376">
        <f>IFERROR(VLOOKUP(C125,'تقرير المصروفات حسب الشهر'!$C$1397:$AD$1512,22,FALSE),0)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الشهر'!$C$10:$AD$119,22,FALSE),0)</f>
        <v>0</v>
      </c>
      <c r="E126" s="362">
        <f>IFERROR(VLOOKUP(C126,'تقرير المصروفات حسب الشهر'!$C$135:$AD$244,22,FALSE),0)</f>
        <v>0</v>
      </c>
      <c r="F126" s="362">
        <f>IFERROR(VLOOKUP(C126,'تقرير المصروفات حسب الشهر'!$C$261:$AD$368,22,FALSE),0)</f>
        <v>0</v>
      </c>
      <c r="G126" s="362">
        <f>IFERROR(VLOOKUP(C126,'تقرير المصروفات حسب الشهر'!$C$387:$AD$495,22,FALSE),0)</f>
        <v>0</v>
      </c>
      <c r="H126" s="362">
        <f>IFERROR(VLOOKUP(C126,'تقرير المصروفات حسب الشهر'!$C$512:$AD$620,22,FALSE),0)</f>
        <v>0</v>
      </c>
      <c r="I126" s="362">
        <f>IFERROR(VLOOKUP(C126,'تقرير المصروفات حسب الشهر'!$C$637:$AD$746,22,FALSE),0)</f>
        <v>0</v>
      </c>
      <c r="J126" s="362">
        <f>IFERROR(VLOOKUP(C126,'تقرير المصروفات حسب الشهر'!$C$763:$AD$872,22,FALSE),0)</f>
        <v>0</v>
      </c>
      <c r="K126" s="362">
        <f>IFERROR(VLOOKUP(C126,'تقرير المصروفات حسب الشهر'!$C$890:$AD$999,22,FALSE),0)</f>
        <v>0</v>
      </c>
      <c r="L126" s="362">
        <f>IFERROR(VLOOKUP(C126,'تقرير المصروفات حسب الشهر'!$C$1016:$AD$1126,22,FALSE),0)</f>
        <v>0</v>
      </c>
      <c r="M126" s="376">
        <f>IFERROR(VLOOKUP(C126,'تقرير المصروفات حسب الشهر'!$C$1143:$AD$1254,22,FALSE),0)</f>
        <v>0</v>
      </c>
      <c r="N126" s="376">
        <f>IFERROR(VLOOKUP(C126,'تقرير المصروفات حسب الشهر'!$C$1270:$AD$1381,22,FALSE),0)</f>
        <v>0</v>
      </c>
      <c r="O126" s="376">
        <f>IFERROR(VLOOKUP(C126,'تقرير المصروفات حسب الشهر'!$C$1397:$AD$1512,22,FALSE),0)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الشهر'!$C$10:$AD$119,22,FALSE),0)</f>
        <v>0</v>
      </c>
      <c r="E127" s="362">
        <f>IFERROR(VLOOKUP(C127,'تقرير المصروفات حسب الشهر'!$C$135:$AD$244,22,FALSE),0)</f>
        <v>0</v>
      </c>
      <c r="F127" s="362">
        <f>IFERROR(VLOOKUP(C127,'تقرير المصروفات حسب الشهر'!$C$261:$AD$368,22,FALSE),0)</f>
        <v>0</v>
      </c>
      <c r="G127" s="362">
        <f>IFERROR(VLOOKUP(C127,'تقرير المصروفات حسب الشهر'!$C$387:$AD$495,22,FALSE),0)</f>
        <v>0</v>
      </c>
      <c r="H127" s="362">
        <f>IFERROR(VLOOKUP(C127,'تقرير المصروفات حسب الشهر'!$C$512:$AD$620,22,FALSE),0)</f>
        <v>0</v>
      </c>
      <c r="I127" s="362">
        <f>IFERROR(VLOOKUP(C127,'تقرير المصروفات حسب الشهر'!$C$637:$AD$746,22,FALSE),0)</f>
        <v>0</v>
      </c>
      <c r="J127" s="362">
        <f>IFERROR(VLOOKUP(C127,'تقرير المصروفات حسب الشهر'!$C$763:$AD$872,22,FALSE),0)</f>
        <v>0</v>
      </c>
      <c r="K127" s="362">
        <f>IFERROR(VLOOKUP(C127,'تقرير المصروفات حسب الشهر'!$C$890:$AD$999,22,FALSE),0)</f>
        <v>0</v>
      </c>
      <c r="L127" s="362">
        <f>IFERROR(VLOOKUP(C127,'تقرير المصروفات حسب الشهر'!$C$1016:$AD$1126,22,FALSE),0)</f>
        <v>0</v>
      </c>
      <c r="M127" s="376">
        <f>IFERROR(VLOOKUP(C127,'تقرير المصروفات حسب الشهر'!$C$1143:$AD$1254,22,FALSE),0)</f>
        <v>0</v>
      </c>
      <c r="N127" s="376">
        <f>IFERROR(VLOOKUP(C127,'تقرير المصروفات حسب الشهر'!$C$1270:$AD$1381,22,FALSE),0)</f>
        <v>0</v>
      </c>
      <c r="O127" s="376">
        <f>IFERROR(VLOOKUP(C127,'تقرير المصروفات حسب الشهر'!$C$1397:$AD$1512,22,FALSE),0)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الشهر'!$C$10:$AD$119,22,FALSE),0)</f>
        <v>0</v>
      </c>
      <c r="E128" s="362">
        <f>IFERROR(VLOOKUP(C128,'تقرير المصروفات حسب الشهر'!$C$135:$AD$244,22,FALSE),0)</f>
        <v>0</v>
      </c>
      <c r="F128" s="362">
        <f>IFERROR(VLOOKUP(C128,'تقرير المصروفات حسب الشهر'!$C$261:$AD$368,22,FALSE),0)</f>
        <v>0</v>
      </c>
      <c r="G128" s="362">
        <f>IFERROR(VLOOKUP(C128,'تقرير المصروفات حسب الشهر'!$C$387:$AD$495,22,FALSE),0)</f>
        <v>0</v>
      </c>
      <c r="H128" s="362">
        <f>IFERROR(VLOOKUP(C128,'تقرير المصروفات حسب الشهر'!$C$512:$AD$620,22,FALSE),0)</f>
        <v>0</v>
      </c>
      <c r="I128" s="362">
        <f>IFERROR(VLOOKUP(C128,'تقرير المصروفات حسب الشهر'!$C$637:$AD$746,22,FALSE),0)</f>
        <v>0</v>
      </c>
      <c r="J128" s="362">
        <f>IFERROR(VLOOKUP(C128,'تقرير المصروفات حسب الشهر'!$C$763:$AD$872,22,FALSE),0)</f>
        <v>0</v>
      </c>
      <c r="K128" s="362">
        <f>IFERROR(VLOOKUP(C128,'تقرير المصروفات حسب الشهر'!$C$890:$AD$999,22,FALSE),0)</f>
        <v>0</v>
      </c>
      <c r="L128" s="362">
        <f>IFERROR(VLOOKUP(C128,'تقرير المصروفات حسب الشهر'!$C$1016:$AD$1126,22,FALSE),0)</f>
        <v>0</v>
      </c>
      <c r="M128" s="376">
        <f>IFERROR(VLOOKUP(C128,'تقرير المصروفات حسب الشهر'!$C$1143:$AD$1254,22,FALSE),0)</f>
        <v>0</v>
      </c>
      <c r="N128" s="376">
        <f>IFERROR(VLOOKUP(C128,'تقرير المصروفات حسب الشهر'!$C$1270:$AD$1381,22,FALSE),0)</f>
        <v>0</v>
      </c>
      <c r="O128" s="376">
        <f>IFERROR(VLOOKUP(C128,'تقرير المصروفات حسب الشهر'!$C$1397:$AD$1512,22,FALSE),0)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الشهر'!$C$10:$AD$119,22,FALSE),0)</f>
        <v>431.25</v>
      </c>
      <c r="E129" s="362">
        <f>IFERROR(VLOOKUP(C129,'تقرير المصروفات حسب الشهر'!$C$135:$AD$244,22,FALSE),0)</f>
        <v>431.25</v>
      </c>
      <c r="F129" s="362">
        <f>IFERROR(VLOOKUP(C129,'تقرير المصروفات حسب الشهر'!$C$261:$AD$368,22,FALSE),0)</f>
        <v>431.25</v>
      </c>
      <c r="G129" s="362">
        <f>IFERROR(VLOOKUP(C129,'تقرير المصروفات حسب الشهر'!$C$387:$AD$495,22,FALSE),0)</f>
        <v>431.25</v>
      </c>
      <c r="H129" s="362">
        <f>IFERROR(VLOOKUP(C129,'تقرير المصروفات حسب الشهر'!$C$512:$AD$620,22,FALSE),0)</f>
        <v>431.25</v>
      </c>
      <c r="I129" s="362">
        <f>IFERROR(VLOOKUP(C129,'تقرير المصروفات حسب الشهر'!$C$637:$AD$746,22,FALSE),0)</f>
        <v>431</v>
      </c>
      <c r="J129" s="362">
        <f>IFERROR(VLOOKUP(C129,'تقرير المصروفات حسب الشهر'!$C$763:$AD$872,22,FALSE),0)</f>
        <v>431.25</v>
      </c>
      <c r="K129" s="362">
        <f>IFERROR(VLOOKUP(C129,'تقرير المصروفات حسب الشهر'!$C$890:$AD$999,22,FALSE),0)</f>
        <v>431.25</v>
      </c>
      <c r="L129" s="362">
        <f>IFERROR(VLOOKUP(C129,'تقرير المصروفات حسب الشهر'!$C$1016:$AD$1126,22,FALSE),0)</f>
        <v>431.25</v>
      </c>
      <c r="M129" s="376">
        <f>IFERROR(VLOOKUP(C129,'تقرير المصروفات حسب الشهر'!$C$1143:$AD$1254,22,FALSE),0)</f>
        <v>431.25</v>
      </c>
      <c r="N129" s="376">
        <f>IFERROR(VLOOKUP(C129,'تقرير المصروفات حسب الشهر'!$C$1270:$AD$1381,22,FALSE),0)</f>
        <v>431.25</v>
      </c>
      <c r="O129" s="376">
        <f>IFERROR(VLOOKUP(C129,'تقرير المصروفات حسب الشهر'!$C$1397:$AD$1512,22,FALSE),0)</f>
        <v>431.25</v>
      </c>
      <c r="P129" s="364">
        <f t="shared" si="6"/>
        <v>5174.75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الشهر'!$C$10:$AD$119,22,FALSE),0)</f>
        <v>0</v>
      </c>
      <c r="E130" s="362">
        <f>IFERROR(VLOOKUP(C130,'تقرير المصروفات حسب الشهر'!$C$135:$AD$244,22,FALSE),0)</f>
        <v>0</v>
      </c>
      <c r="F130" s="362">
        <f>IFERROR(VLOOKUP(C130,'تقرير المصروفات حسب الشهر'!$C$261:$AD$368,22,FALSE),0)</f>
        <v>0</v>
      </c>
      <c r="G130" s="362">
        <f>IFERROR(VLOOKUP(C130,'تقرير المصروفات حسب الشهر'!$C$387:$AD$495,22,FALSE),0)</f>
        <v>0</v>
      </c>
      <c r="H130" s="362">
        <f>IFERROR(VLOOKUP(C130,'تقرير المصروفات حسب الشهر'!$C$512:$AD$620,22,FALSE),0)</f>
        <v>0</v>
      </c>
      <c r="I130" s="362">
        <f>IFERROR(VLOOKUP(C130,'تقرير المصروفات حسب الشهر'!$C$637:$AD$746,22,FALSE),0)</f>
        <v>0</v>
      </c>
      <c r="J130" s="362">
        <f>IFERROR(VLOOKUP(C130,'تقرير المصروفات حسب الشهر'!$C$763:$AD$872,22,FALSE),0)</f>
        <v>0</v>
      </c>
      <c r="K130" s="362">
        <f>IFERROR(VLOOKUP(C130,'تقرير المصروفات حسب الشهر'!$C$890:$AD$999,22,FALSE),0)</f>
        <v>0</v>
      </c>
      <c r="L130" s="362">
        <f>IFERROR(VLOOKUP(C130,'تقرير المصروفات حسب الشهر'!$C$1016:$AD$1126,22,FALSE),0)</f>
        <v>0</v>
      </c>
      <c r="M130" s="376">
        <f>IFERROR(VLOOKUP(C130,'تقرير المصروفات حسب الشهر'!$C$1143:$AD$1254,22,FALSE),0)</f>
        <v>0</v>
      </c>
      <c r="N130" s="376">
        <f>IFERROR(VLOOKUP(C130,'تقرير المصروفات حسب الشهر'!$C$1270:$AD$1381,22,FALSE),0)</f>
        <v>0</v>
      </c>
      <c r="O130" s="376">
        <f>IFERROR(VLOOKUP(C130,'تقرير المصروفات حسب الشهر'!$C$1397:$AD$1512,22,FALSE),0)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الشهر'!$C$10:$AD$119,22,FALSE),0)</f>
        <v>0</v>
      </c>
      <c r="E131" s="362">
        <f>IFERROR(VLOOKUP(C131,'تقرير المصروفات حسب الشهر'!$C$135:$AD$244,22,FALSE),0)</f>
        <v>0</v>
      </c>
      <c r="F131" s="362">
        <f>IFERROR(VLOOKUP(C131,'تقرير المصروفات حسب الشهر'!$C$261:$AD$368,22,FALSE),0)</f>
        <v>0</v>
      </c>
      <c r="G131" s="362">
        <f>IFERROR(VLOOKUP(C131,'تقرير المصروفات حسب الشهر'!$C$387:$AD$495,22,FALSE),0)</f>
        <v>0</v>
      </c>
      <c r="H131" s="362">
        <f>IFERROR(VLOOKUP(C131,'تقرير المصروفات حسب الشهر'!$C$512:$AD$620,22,FALSE),0)</f>
        <v>0</v>
      </c>
      <c r="I131" s="362">
        <f>IFERROR(VLOOKUP(C131,'تقرير المصروفات حسب الشهر'!$C$637:$AD$746,22,FALSE),0)</f>
        <v>0</v>
      </c>
      <c r="J131" s="362">
        <f>IFERROR(VLOOKUP(C131,'تقرير المصروفات حسب الشهر'!$C$763:$AD$872,22,FALSE),0)</f>
        <v>0</v>
      </c>
      <c r="K131" s="362">
        <f>IFERROR(VLOOKUP(C131,'تقرير المصروفات حسب الشهر'!$C$890:$AD$999,22,FALSE),0)</f>
        <v>0</v>
      </c>
      <c r="L131" s="362">
        <f>IFERROR(VLOOKUP(C131,'تقرير المصروفات حسب الشهر'!$C$1016:$AD$1126,22,FALSE),0)</f>
        <v>0</v>
      </c>
      <c r="M131" s="376">
        <f>IFERROR(VLOOKUP(C131,'تقرير المصروفات حسب الشهر'!$C$1143:$AD$1254,22,FALSE),0)</f>
        <v>0</v>
      </c>
      <c r="N131" s="376">
        <f>IFERROR(VLOOKUP(C131,'تقرير المصروفات حسب الشهر'!$C$1270:$AD$1381,22,FALSE),0)</f>
        <v>0</v>
      </c>
      <c r="O131" s="376">
        <f>IFERROR(VLOOKUP(C131,'تقرير المصروفات حسب الشهر'!$C$1397:$AD$1512,22,FALSE),0)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43990.37999999999</v>
      </c>
      <c r="E132" s="146">
        <f t="shared" si="7"/>
        <v>31265.800000000003</v>
      </c>
      <c r="F132" s="146">
        <f t="shared" si="7"/>
        <v>16571.400000000001</v>
      </c>
      <c r="G132" s="146">
        <f t="shared" si="7"/>
        <v>53553.93</v>
      </c>
      <c r="H132" s="146">
        <f t="shared" si="7"/>
        <v>14222.33</v>
      </c>
      <c r="I132" s="146">
        <f t="shared" si="7"/>
        <v>24205.53</v>
      </c>
      <c r="J132" s="146">
        <f t="shared" si="7"/>
        <v>49776.85</v>
      </c>
      <c r="K132" s="146">
        <f t="shared" si="7"/>
        <v>19046.669999999998</v>
      </c>
      <c r="L132" s="146">
        <f t="shared" si="7"/>
        <v>21630.760000000002</v>
      </c>
      <c r="M132" s="146">
        <f t="shared" si="7"/>
        <v>49798.630000000005</v>
      </c>
      <c r="N132" s="146">
        <f t="shared" si="7"/>
        <v>22288.860000000004</v>
      </c>
      <c r="O132" s="146">
        <f t="shared" si="7"/>
        <v>21592.23</v>
      </c>
      <c r="P132" s="388">
        <f t="shared" si="6"/>
        <v>367943.36999999994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96850.339999999938</v>
      </c>
      <c r="E134" s="392">
        <f t="shared" si="8"/>
        <v>62623.52999999997</v>
      </c>
      <c r="F134" s="392">
        <f t="shared" si="8"/>
        <v>133645.29999999999</v>
      </c>
      <c r="G134" s="392">
        <f t="shared" si="8"/>
        <v>115471.11000000004</v>
      </c>
      <c r="H134" s="392">
        <f t="shared" si="8"/>
        <v>105849.00999999998</v>
      </c>
      <c r="I134" s="392">
        <f t="shared" si="8"/>
        <v>139770.34000000003</v>
      </c>
      <c r="J134" s="392">
        <f t="shared" si="8"/>
        <v>161813.84999999989</v>
      </c>
      <c r="K134" s="392">
        <f t="shared" si="8"/>
        <v>140413.14999999997</v>
      </c>
      <c r="L134" s="392">
        <f t="shared" si="8"/>
        <v>178784.44999999995</v>
      </c>
      <c r="M134" s="392">
        <f t="shared" si="8"/>
        <v>144539.51</v>
      </c>
      <c r="N134" s="392">
        <f t="shared" si="8"/>
        <v>165799.19999999995</v>
      </c>
      <c r="O134" s="392">
        <f t="shared" si="8"/>
        <v>185605.62999999995</v>
      </c>
      <c r="P134" s="388">
        <f t="shared" si="6"/>
        <v>1631165.4199999995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52859.959999999948</v>
      </c>
      <c r="E137" s="383">
        <f t="shared" ref="E137:O137" si="9">E134-E132</f>
        <v>31357.729999999967</v>
      </c>
      <c r="F137" s="383">
        <f t="shared" si="9"/>
        <v>117073.9</v>
      </c>
      <c r="G137" s="383">
        <f t="shared" si="9"/>
        <v>61917.180000000044</v>
      </c>
      <c r="H137" s="383">
        <f t="shared" si="9"/>
        <v>91626.679999999978</v>
      </c>
      <c r="I137" s="383">
        <f t="shared" si="9"/>
        <v>115564.81000000003</v>
      </c>
      <c r="J137" s="383">
        <f t="shared" si="9"/>
        <v>112036.99999999988</v>
      </c>
      <c r="K137" s="383">
        <f t="shared" si="9"/>
        <v>121366.47999999997</v>
      </c>
      <c r="L137" s="383">
        <f t="shared" si="9"/>
        <v>157153.68999999994</v>
      </c>
      <c r="M137" s="383">
        <f t="shared" si="9"/>
        <v>94740.88</v>
      </c>
      <c r="N137" s="383">
        <f t="shared" si="9"/>
        <v>143510.33999999994</v>
      </c>
      <c r="O137" s="383">
        <f t="shared" si="9"/>
        <v>164013.39999999994</v>
      </c>
      <c r="P137" s="387">
        <f>SUM(D137:O137)</f>
        <v>1263222.0499999996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D141" s="113">
        <v>51877.21</v>
      </c>
    </row>
    <row r="142" spans="1:17">
      <c r="D142" s="415">
        <f>D137-D141</f>
        <v>982.74999999994907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52">
    <tabColor rgb="FFFFC000"/>
  </sheetPr>
  <dimension ref="A1:T140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339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181</v>
      </c>
      <c r="B8" s="390"/>
      <c r="C8" s="369" t="s">
        <v>114</v>
      </c>
      <c r="D8" s="364">
        <f>D9+D10+D11</f>
        <v>240603.71</v>
      </c>
      <c r="E8" s="364">
        <f t="shared" ref="E8:O8" si="0">E9+E10+E11</f>
        <v>304254.86</v>
      </c>
      <c r="F8" s="364">
        <f t="shared" si="0"/>
        <v>144816.65</v>
      </c>
      <c r="G8" s="364">
        <f t="shared" si="0"/>
        <v>170854.86</v>
      </c>
      <c r="H8" s="364">
        <f t="shared" si="0"/>
        <v>192981.57</v>
      </c>
      <c r="I8" s="364">
        <f t="shared" si="0"/>
        <v>254184.02999999997</v>
      </c>
      <c r="J8" s="364">
        <f t="shared" si="0"/>
        <v>341376.69</v>
      </c>
      <c r="K8" s="364">
        <f t="shared" si="0"/>
        <v>391326.20999999996</v>
      </c>
      <c r="L8" s="364">
        <f t="shared" si="0"/>
        <v>370683</v>
      </c>
      <c r="M8" s="364">
        <f t="shared" si="0"/>
        <v>350211.6</v>
      </c>
      <c r="N8" s="364">
        <f t="shared" si="0"/>
        <v>334121.45</v>
      </c>
      <c r="O8" s="364">
        <f t="shared" si="0"/>
        <v>257511.82</v>
      </c>
      <c r="P8" s="364">
        <f>SUM(D8:O8)</f>
        <v>3352926.45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10193.440000000004</v>
      </c>
      <c r="E9" s="365">
        <f>VLOOKUP($A$8,'تقرير إحصائية بحجم المبيعات'!$B$42:$G$73,2,FALSE)</f>
        <v>12631.849999999977</v>
      </c>
      <c r="F9" s="365">
        <f>VLOOKUP($A$8,'تقرير إحصائية بحجم المبيعات'!$B$78:$E$103,2,FALSE)</f>
        <v>14610.61</v>
      </c>
      <c r="G9" s="365">
        <f>VLOOKUP($A$8,'تقرير إحصائية بحجم المبيعات'!$B$112:$G$137,2,FALSE)</f>
        <v>12787.310000000001</v>
      </c>
      <c r="H9" s="365">
        <f>VLOOKUP($A$8,'تقرير إحصائية بحجم المبيعات'!$B$147:$G$177,2,FALSE)</f>
        <v>19926.73000000001</v>
      </c>
      <c r="I9" s="365">
        <f>VLOOKUP($A$8,'تقرير إحصائية بحجم المبيعات'!$B$182:$G$212,2,FALSE)</f>
        <v>22990.879999999976</v>
      </c>
      <c r="J9" s="365">
        <f>VLOOKUP($A$8,'تقرير إحصائية بحجم المبيعات'!$B$217:$L$243,2,FALSE)</f>
        <v>11495.330000000016</v>
      </c>
      <c r="K9" s="365">
        <f>VLOOKUP($A$8,'تقرير إحصائية بحجم المبيعات'!$B$252:$L$278,2,FALSE)</f>
        <v>22067.849999999977</v>
      </c>
      <c r="L9" s="365">
        <f>VLOOKUP($A$8,'تقرير إحصائية بحجم المبيعات'!$B$287:$L$313,2,FALSE)</f>
        <v>16001.650000000023</v>
      </c>
      <c r="M9" s="365">
        <f>VLOOKUP($A$8,'تقرير إحصائية بحجم المبيعات'!$B$322:$L$347,2,FALSE)</f>
        <v>53037.169999999984</v>
      </c>
      <c r="N9" s="365">
        <f>VLOOKUP($A$8,'تقرير إحصائية بحجم المبيعات'!$B$357:$L$383,2,FALSE)</f>
        <v>11015.650000000049</v>
      </c>
      <c r="O9" s="365">
        <f>VLOOKUP($A$8,'تقرير إحصائية بحجم المبيعات'!$B$391:$L$420,2,FALSE)</f>
        <v>1712.9400000000142</v>
      </c>
      <c r="P9" s="364">
        <f t="shared" ref="P9:P18" si="1">SUM(D9:O9)</f>
        <v>208471.41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230410.27</v>
      </c>
      <c r="E11" s="365">
        <f>VLOOKUP($A$8,'تقرير إحصائية بحجم المبيعات'!$B$42:$G$73,4,FALSE)</f>
        <v>291623.01</v>
      </c>
      <c r="F11" s="365">
        <f>VLOOKUP($A$8,'تقرير إحصائية بحجم المبيعات'!$B$78:$E$103,4,FALSE)</f>
        <v>130206.04</v>
      </c>
      <c r="G11" s="365">
        <f>VLOOKUP($A$8,'تقرير إحصائية بحجم المبيعات'!$B$112:$G$137,4,FALSE)</f>
        <v>158067.54999999999</v>
      </c>
      <c r="H11" s="365">
        <f>VLOOKUP($A$8,'تقرير إحصائية بحجم المبيعات'!$B$147:$G$177,4,FALSE)</f>
        <v>173054.84</v>
      </c>
      <c r="I11" s="365">
        <f>VLOOKUP($A$8,'تقرير إحصائية بحجم المبيعات'!$B$182:$G$212,4,FALSE)</f>
        <v>231193.15</v>
      </c>
      <c r="J11" s="365">
        <f>VLOOKUP($A$8,'تقرير إحصائية بحجم المبيعات'!$B$217:$L$243,4,FALSE)</f>
        <v>329881.36</v>
      </c>
      <c r="K11" s="365">
        <f>VLOOKUP($A$8,'تقرير إحصائية بحجم المبيعات'!$B$252:$L$278,4,FALSE)</f>
        <v>369258.36</v>
      </c>
      <c r="L11" s="365">
        <f>VLOOKUP($A$8,'تقرير إحصائية بحجم المبيعات'!$B$287:$L$313,4,FALSE)</f>
        <v>354681.35</v>
      </c>
      <c r="M11" s="365">
        <f>VLOOKUP($A$8,'تقرير إحصائية بحجم المبيعات'!$B$322:$L$347,4,FALSE)</f>
        <v>297174.43</v>
      </c>
      <c r="N11" s="365">
        <f>VLOOKUP($A$8,'تقرير إحصائية بحجم المبيعات'!$B$357:$L$383,4,FALSE)</f>
        <v>323105.8</v>
      </c>
      <c r="O11" s="365">
        <f>VLOOKUP($A$8,'تقرير إحصائية بحجم المبيعات'!$B$391:$L$420,4,FALSE)</f>
        <v>255798.88</v>
      </c>
      <c r="P11" s="364">
        <f t="shared" si="1"/>
        <v>3144455.04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205876.84</v>
      </c>
      <c r="E12" s="364">
        <f>VLOOKUP($A$8,'تقرير إحصائية بحجم المبيعات'!$B$42:$L$73,11,FALSE)</f>
        <v>265746.45</v>
      </c>
      <c r="F12" s="364">
        <f>VLOOKUP($A$8,'تقرير إحصائية بحجم المبيعات'!$B$78:$L$103,11,FALSE)</f>
        <v>126109.77</v>
      </c>
      <c r="G12" s="364">
        <f>VLOOKUP($A$8,'تقرير إحصائية بحجم المبيعات'!$B$112:$L$137,11,FALSE)</f>
        <v>147850.84</v>
      </c>
      <c r="H12" s="364">
        <f>VLOOKUP($A$8,'تقرير إحصائية بحجم المبيعات'!$B$147:$L$177,11,FALSE)</f>
        <v>166627.1</v>
      </c>
      <c r="I12" s="364">
        <f>VLOOKUP($A$8,'تقرير إحصائية بحجم المبيعات'!$B$182:$L$212,11,FALSE)</f>
        <v>219769.57</v>
      </c>
      <c r="J12" s="365">
        <f>VLOOKUP($A$8,'تقرير إحصائية بحجم المبيعات'!$B$217:$L$243,11,FALSE)</f>
        <v>300947.48</v>
      </c>
      <c r="K12" s="364">
        <f>VLOOKUP($A$8,'تقرير إحصائية بحجم المبيعات'!$B$252:$L$278,11,FALSE)</f>
        <v>341536.25</v>
      </c>
      <c r="L12" s="364">
        <f>VLOOKUP($A$8,'تقرير إحصائية بحجم المبيعات'!$B$287:$L$313,11,FALSE)</f>
        <v>319682.86</v>
      </c>
      <c r="M12" s="365">
        <f>VLOOKUP($A$8,'تقرير إحصائية بحجم المبيعات'!$B$322:$L$347,11,FALSE)</f>
        <v>299021.06</v>
      </c>
      <c r="N12" s="365">
        <f>VLOOKUP($A$8,'تقرير إحصائية بحجم المبيعات'!$B$357:$L$383,11,FALSE)</f>
        <v>286753.76</v>
      </c>
      <c r="O12" s="365">
        <f>VLOOKUP($A$8,'تقرير إحصائية بحجم المبيعات'!$B$391:$L$420,11,FALSE)</f>
        <v>227275.31</v>
      </c>
      <c r="P12" s="364">
        <f t="shared" si="1"/>
        <v>2907197.2900000005</v>
      </c>
    </row>
    <row r="13" spans="1:20" ht="18" customHeight="1">
      <c r="B13" s="124"/>
      <c r="C13" s="371" t="s">
        <v>14</v>
      </c>
      <c r="D13" s="366">
        <f t="shared" ref="D13:O13" si="2">D8-D12</f>
        <v>34726.869999999995</v>
      </c>
      <c r="E13" s="366">
        <f t="shared" si="2"/>
        <v>38508.409999999974</v>
      </c>
      <c r="F13" s="366">
        <f t="shared" si="2"/>
        <v>18706.87999999999</v>
      </c>
      <c r="G13" s="366">
        <f t="shared" si="2"/>
        <v>23004.01999999999</v>
      </c>
      <c r="H13" s="366">
        <f t="shared" si="2"/>
        <v>26354.47</v>
      </c>
      <c r="I13" s="366">
        <f t="shared" si="2"/>
        <v>34414.459999999963</v>
      </c>
      <c r="J13" s="366">
        <f t="shared" si="2"/>
        <v>40429.210000000021</v>
      </c>
      <c r="K13" s="366">
        <f t="shared" si="2"/>
        <v>49789.959999999963</v>
      </c>
      <c r="L13" s="366">
        <f t="shared" si="2"/>
        <v>51000.140000000014</v>
      </c>
      <c r="M13" s="366">
        <f t="shared" si="2"/>
        <v>51190.539999999979</v>
      </c>
      <c r="N13" s="366">
        <f t="shared" si="2"/>
        <v>47367.69</v>
      </c>
      <c r="O13" s="366">
        <f t="shared" si="2"/>
        <v>30236.510000000009</v>
      </c>
      <c r="P13" s="366">
        <f t="shared" si="1"/>
        <v>445729.15999999992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3611.25</v>
      </c>
      <c r="E16" s="367"/>
      <c r="F16" s="367"/>
      <c r="G16" s="367"/>
      <c r="H16" s="367">
        <v>4184.3499999999995</v>
      </c>
      <c r="I16" s="367"/>
      <c r="J16" s="367">
        <v>6286.96</v>
      </c>
      <c r="K16" s="367"/>
      <c r="L16" s="367"/>
      <c r="M16" s="367">
        <v>13756.189999999999</v>
      </c>
      <c r="N16" s="367">
        <v>24468.910000000003</v>
      </c>
      <c r="O16" s="367"/>
      <c r="P16" s="364">
        <f t="shared" si="1"/>
        <v>52307.66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3611.25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4184.3499999999995</v>
      </c>
      <c r="I18" s="363">
        <f t="shared" si="3"/>
        <v>0</v>
      </c>
      <c r="J18" s="363">
        <f t="shared" si="3"/>
        <v>6286.96</v>
      </c>
      <c r="K18" s="363">
        <f t="shared" si="3"/>
        <v>0</v>
      </c>
      <c r="L18" s="363">
        <f t="shared" si="3"/>
        <v>0</v>
      </c>
      <c r="M18" s="368">
        <f t="shared" si="3"/>
        <v>13756.189999999999</v>
      </c>
      <c r="N18" s="368">
        <f t="shared" si="3"/>
        <v>24468.910000000003</v>
      </c>
      <c r="O18" s="368">
        <f t="shared" si="3"/>
        <v>0</v>
      </c>
      <c r="P18" s="364">
        <f t="shared" si="1"/>
        <v>52307.66</v>
      </c>
    </row>
    <row r="19" spans="2:16" ht="18" customHeight="1">
      <c r="B19" s="124"/>
      <c r="C19" s="386" t="s">
        <v>14</v>
      </c>
      <c r="D19" s="374">
        <f t="shared" ref="D19:O19" si="4">D13+D18</f>
        <v>38338.119999999995</v>
      </c>
      <c r="E19" s="374">
        <f t="shared" si="4"/>
        <v>38508.409999999974</v>
      </c>
      <c r="F19" s="374">
        <f t="shared" si="4"/>
        <v>18706.87999999999</v>
      </c>
      <c r="G19" s="374">
        <f t="shared" si="4"/>
        <v>23004.01999999999</v>
      </c>
      <c r="H19" s="374">
        <f t="shared" si="4"/>
        <v>30538.82</v>
      </c>
      <c r="I19" s="374">
        <f t="shared" si="4"/>
        <v>34414.459999999963</v>
      </c>
      <c r="J19" s="374">
        <f t="shared" si="4"/>
        <v>46716.17000000002</v>
      </c>
      <c r="K19" s="374">
        <f t="shared" si="4"/>
        <v>49789.959999999963</v>
      </c>
      <c r="L19" s="374">
        <f t="shared" si="4"/>
        <v>51000.140000000014</v>
      </c>
      <c r="M19" s="374">
        <f t="shared" si="4"/>
        <v>64946.729999999981</v>
      </c>
      <c r="N19" s="374">
        <f t="shared" si="4"/>
        <v>71836.600000000006</v>
      </c>
      <c r="O19" s="374">
        <f t="shared" si="4"/>
        <v>30236.510000000009</v>
      </c>
      <c r="P19" s="382">
        <f>SUM(D19:O19)</f>
        <v>498036.81999999983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الشهر'!$C$10:$AD$119,23,FALSE),0)</f>
        <v>0</v>
      </c>
      <c r="E22" s="362">
        <f>IFERROR(VLOOKUP(C22,'تقرير المصروفات حسب الشهر'!$C$135:$AD$244,23,FALSE),0)</f>
        <v>0</v>
      </c>
      <c r="F22" s="362">
        <f>IFERROR(VLOOKUP(C22,'تقرير المصروفات حسب الشهر'!$C$261:$AD$368,23,FALSE),0)</f>
        <v>0</v>
      </c>
      <c r="G22" s="362">
        <f>IFERROR(VLOOKUP(C22,'تقرير المصروفات حسب الشهر'!$C$387:$AD$495,23,FALSE),0)</f>
        <v>0</v>
      </c>
      <c r="H22" s="362">
        <f>IFERROR(VLOOKUP(C22,'تقرير المصروفات حسب الشهر'!$C$512:$AD$620,23,FALSE),0)</f>
        <v>0</v>
      </c>
      <c r="I22" s="362">
        <f>IFERROR(VLOOKUP(C22,'تقرير المصروفات حسب الشهر'!$C$637:$AD$746,23,FALSE),0)</f>
        <v>0</v>
      </c>
      <c r="J22" s="362">
        <f>IFERROR(VLOOKUP(C22,'تقرير المصروفات حسب الشهر'!$C$763:$AD$872,23,FALSE),0)</f>
        <v>0</v>
      </c>
      <c r="K22" s="362">
        <f>IFERROR(VLOOKUP(C22,'تقرير المصروفات حسب الشهر'!$C$890:$AD$999,23,FALSE),0)</f>
        <v>0</v>
      </c>
      <c r="L22" s="362">
        <f>IFERROR(VLOOKUP(C22,'تقرير المصروفات حسب الشهر'!$C$1016:$AD$1126,23,FALSE),0)</f>
        <v>0</v>
      </c>
      <c r="M22" s="376">
        <f>IFERROR(VLOOKUP(C22,'تقرير المصروفات حسب الشهر'!$C$1143:$AD$1254,23,FALSE),0)</f>
        <v>0</v>
      </c>
      <c r="N22" s="376">
        <f>IFERROR(VLOOKUP(C22,'تقرير المصروفات حسب الشهر'!$C$1270:$AD$1381,23,FALSE),0)</f>
        <v>0</v>
      </c>
      <c r="O22" s="376">
        <f>IFERROR(VLOOKUP(C22,'تقرير المصروفات حسب الشهر'!$C$1397:$AI$1512,23,FALSE),0)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الشهر'!$C$10:$AD$119,23,FALSE),0)</f>
        <v>8817.16</v>
      </c>
      <c r="E23" s="362">
        <f>IFERROR(VLOOKUP(C23,'تقرير المصروفات حسب الشهر'!$C$135:$AD$244,23,FALSE),0)</f>
        <v>9115.74</v>
      </c>
      <c r="F23" s="362">
        <f>IFERROR(VLOOKUP(C23,'تقرير المصروفات حسب الشهر'!$C$261:$AD$368,23,FALSE),0)</f>
        <v>8921.24</v>
      </c>
      <c r="G23" s="362">
        <f>IFERROR(VLOOKUP(C23,'تقرير المصروفات حسب الشهر'!$C$387:$AD$495,23,FALSE),0)</f>
        <v>8934.17</v>
      </c>
      <c r="H23" s="362">
        <f>IFERROR(VLOOKUP(C23,'تقرير المصروفات حسب الشهر'!$C$512:$AD$620,23,FALSE),0)</f>
        <v>15842.94</v>
      </c>
      <c r="I23" s="362">
        <f>IFERROR(VLOOKUP(C23,'تقرير المصروفات حسب الشهر'!$C$637:$AD$746,23,FALSE),0)</f>
        <v>17655.939999999999</v>
      </c>
      <c r="J23" s="362">
        <f>IFERROR(VLOOKUP(C23,'تقرير المصروفات حسب الشهر'!$C$763:$AD$872,23,FALSE),0)</f>
        <v>10693.49</v>
      </c>
      <c r="K23" s="362">
        <f>IFERROR(VLOOKUP(C23,'تقرير المصروفات حسب الشهر'!$C$890:$AD$999,23,FALSE),0)</f>
        <v>10712.18</v>
      </c>
      <c r="L23" s="362">
        <f>IFERROR(VLOOKUP(C23,'تقرير المصروفات حسب الشهر'!$C$1016:$AD$1126,23,FALSE),0)</f>
        <v>10839.02</v>
      </c>
      <c r="M23" s="376">
        <f>IFERROR(VLOOKUP(C23,'تقرير المصروفات حسب الشهر'!$C$1143:$AD$1254,23,FALSE),0)</f>
        <v>9928.85</v>
      </c>
      <c r="N23" s="376">
        <f>IFERROR(VLOOKUP(C23,'تقرير المصروفات حسب الشهر'!$C$1270:$AD$1381,23,FALSE),0)</f>
        <v>10868.730000000001</v>
      </c>
      <c r="O23" s="376">
        <f>IFERROR(VLOOKUP(C23,'تقرير المصروفات حسب الشهر'!$C$1397:$AI$1512,23,FALSE),0)</f>
        <v>10623.34</v>
      </c>
      <c r="P23" s="364">
        <f t="shared" ref="P23:P86" si="5">SUM(D23:O23)</f>
        <v>132952.80000000002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الشهر'!$C$10:$AD$119,23,FALSE),0)</f>
        <v>0</v>
      </c>
      <c r="E24" s="362">
        <f>IFERROR(VLOOKUP(C24,'تقرير المصروفات حسب الشهر'!$C$135:$AD$244,23,FALSE),0)</f>
        <v>0</v>
      </c>
      <c r="F24" s="362">
        <f>IFERROR(VLOOKUP(C24,'تقرير المصروفات حسب الشهر'!$C$261:$AD$368,23,FALSE),0)</f>
        <v>0</v>
      </c>
      <c r="G24" s="362">
        <f>IFERROR(VLOOKUP(C24,'تقرير المصروفات حسب الشهر'!$C$387:$AD$495,23,FALSE),0)</f>
        <v>0</v>
      </c>
      <c r="H24" s="362">
        <f>IFERROR(VLOOKUP(C24,'تقرير المصروفات حسب الشهر'!$C$512:$AD$620,23,FALSE),0)</f>
        <v>0</v>
      </c>
      <c r="I24" s="362">
        <f>IFERROR(VLOOKUP(C24,'تقرير المصروفات حسب الشهر'!$C$637:$AD$746,23,FALSE),0)</f>
        <v>0</v>
      </c>
      <c r="J24" s="362">
        <f>IFERROR(VLOOKUP(C24,'تقرير المصروفات حسب الشهر'!$C$763:$AD$872,23,FALSE),0)</f>
        <v>0</v>
      </c>
      <c r="K24" s="362">
        <f>IFERROR(VLOOKUP(C24,'تقرير المصروفات حسب الشهر'!$C$890:$AD$999,23,FALSE),0)</f>
        <v>0</v>
      </c>
      <c r="L24" s="362">
        <f>IFERROR(VLOOKUP(C24,'تقرير المصروفات حسب الشهر'!$C$1016:$AD$1126,23,FALSE),0)</f>
        <v>0</v>
      </c>
      <c r="M24" s="376">
        <f>IFERROR(VLOOKUP(C24,'تقرير المصروفات حسب الشهر'!$C$1143:$AD$1254,23,FALSE),0)</f>
        <v>0</v>
      </c>
      <c r="N24" s="376">
        <f>IFERROR(VLOOKUP(C24,'تقرير المصروفات حسب الشهر'!$C$1270:$AD$1381,23,FALSE),0)</f>
        <v>0</v>
      </c>
      <c r="O24" s="376">
        <f>IFERROR(VLOOKUP(C24,'تقرير المصروفات حسب الشهر'!$C$1397:$AI$1512,23,FALSE),0)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الشهر'!$C$10:$AD$119,23,FALSE),0)</f>
        <v>0</v>
      </c>
      <c r="E25" s="362">
        <f>IFERROR(VLOOKUP(C25,'تقرير المصروفات حسب الشهر'!$C$135:$AD$244,23,FALSE),0)</f>
        <v>0</v>
      </c>
      <c r="F25" s="362">
        <f>IFERROR(VLOOKUP(C25,'تقرير المصروفات حسب الشهر'!$C$261:$AD$368,23,FALSE),0)</f>
        <v>0</v>
      </c>
      <c r="G25" s="362">
        <f>IFERROR(VLOOKUP(C25,'تقرير المصروفات حسب الشهر'!$C$387:$AD$495,23,FALSE),0)</f>
        <v>0</v>
      </c>
      <c r="H25" s="362">
        <f>IFERROR(VLOOKUP(C25,'تقرير المصروفات حسب الشهر'!$C$512:$AD$620,23,FALSE),0)</f>
        <v>0</v>
      </c>
      <c r="I25" s="362">
        <f>IFERROR(VLOOKUP(C25,'تقرير المصروفات حسب الشهر'!$C$637:$AD$746,23,FALSE),0)</f>
        <v>0</v>
      </c>
      <c r="J25" s="362">
        <f>IFERROR(VLOOKUP(C25,'تقرير المصروفات حسب الشهر'!$C$763:$AD$872,23,FALSE),0)</f>
        <v>0</v>
      </c>
      <c r="K25" s="362">
        <f>IFERROR(VLOOKUP(C25,'تقرير المصروفات حسب الشهر'!$C$890:$AD$999,23,FALSE),0)</f>
        <v>0</v>
      </c>
      <c r="L25" s="362">
        <f>IFERROR(VLOOKUP(C25,'تقرير المصروفات حسب الشهر'!$C$1016:$AD$1126,23,FALSE),0)</f>
        <v>0</v>
      </c>
      <c r="M25" s="376">
        <f>IFERROR(VLOOKUP(C25,'تقرير المصروفات حسب الشهر'!$C$1143:$AD$1254,23,FALSE),0)</f>
        <v>0</v>
      </c>
      <c r="N25" s="376">
        <f>IFERROR(VLOOKUP(C25,'تقرير المصروفات حسب الشهر'!$C$1270:$AD$1381,23,FALSE),0)</f>
        <v>0</v>
      </c>
      <c r="O25" s="376">
        <f>IFERROR(VLOOKUP(C25,'تقرير المصروفات حسب الشهر'!$C$1397:$AI$1512,23,FALSE),0)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الشهر'!$C$10:$AD$119,23,FALSE),0)</f>
        <v>0</v>
      </c>
      <c r="E26" s="362">
        <f>IFERROR(VLOOKUP(C26,'تقرير المصروفات حسب الشهر'!$C$135:$AD$244,23,FALSE),0)</f>
        <v>0</v>
      </c>
      <c r="F26" s="362">
        <f>IFERROR(VLOOKUP(C26,'تقرير المصروفات حسب الشهر'!$C$261:$AD$368,23,FALSE),0)</f>
        <v>0</v>
      </c>
      <c r="G26" s="362">
        <f>IFERROR(VLOOKUP(C26,'تقرير المصروفات حسب الشهر'!$C$387:$AD$495,23,FALSE),0)</f>
        <v>0</v>
      </c>
      <c r="H26" s="362">
        <f>IFERROR(VLOOKUP(C26,'تقرير المصروفات حسب الشهر'!$C$512:$AD$620,23,FALSE),0)</f>
        <v>0</v>
      </c>
      <c r="I26" s="362">
        <f>IFERROR(VLOOKUP(C26,'تقرير المصروفات حسب الشهر'!$C$637:$AD$746,23,FALSE),0)</f>
        <v>0</v>
      </c>
      <c r="J26" s="362">
        <f>IFERROR(VLOOKUP(C26,'تقرير المصروفات حسب الشهر'!$C$763:$AD$872,23,FALSE),0)</f>
        <v>0</v>
      </c>
      <c r="K26" s="362">
        <f>IFERROR(VLOOKUP(C26,'تقرير المصروفات حسب الشهر'!$C$890:$AD$999,23,FALSE),0)</f>
        <v>0</v>
      </c>
      <c r="L26" s="362">
        <f>IFERROR(VLOOKUP(C26,'تقرير المصروفات حسب الشهر'!$C$1016:$AD$1126,23,FALSE),0)</f>
        <v>0</v>
      </c>
      <c r="M26" s="376">
        <f>IFERROR(VLOOKUP(C26,'تقرير المصروفات حسب الشهر'!$C$1143:$AD$1254,23,FALSE),0)</f>
        <v>0</v>
      </c>
      <c r="N26" s="376">
        <f>IFERROR(VLOOKUP(C26,'تقرير المصروفات حسب الشهر'!$C$1270:$AD$1381,23,FALSE),0)</f>
        <v>0</v>
      </c>
      <c r="O26" s="376">
        <f>IFERROR(VLOOKUP(C26,'تقرير المصروفات حسب الشهر'!$C$1397:$AI$1512,23,FALSE),0)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الشهر'!$C$10:$AD$119,23,FALSE),0)</f>
        <v>0</v>
      </c>
      <c r="E27" s="362">
        <f>IFERROR(VLOOKUP(C27,'تقرير المصروفات حسب الشهر'!$C$135:$AD$244,23,FALSE),0)</f>
        <v>0</v>
      </c>
      <c r="F27" s="362">
        <f>IFERROR(VLOOKUP(C27,'تقرير المصروفات حسب الشهر'!$C$261:$AD$368,23,FALSE),0)</f>
        <v>0</v>
      </c>
      <c r="G27" s="362">
        <f>IFERROR(VLOOKUP(C27,'تقرير المصروفات حسب الشهر'!$C$387:$AD$495,23,FALSE),0)</f>
        <v>0</v>
      </c>
      <c r="H27" s="362">
        <f>IFERROR(VLOOKUP(C27,'تقرير المصروفات حسب الشهر'!$C$512:$AD$620,23,FALSE),0)</f>
        <v>0</v>
      </c>
      <c r="I27" s="362">
        <f>IFERROR(VLOOKUP(C27,'تقرير المصروفات حسب الشهر'!$C$637:$AD$746,23,FALSE),0)</f>
        <v>0</v>
      </c>
      <c r="J27" s="362">
        <f>IFERROR(VLOOKUP(C27,'تقرير المصروفات حسب الشهر'!$C$763:$AD$872,23,FALSE),0)</f>
        <v>0</v>
      </c>
      <c r="K27" s="362">
        <f>IFERROR(VLOOKUP(C27,'تقرير المصروفات حسب الشهر'!$C$890:$AD$999,23,FALSE),0)</f>
        <v>0</v>
      </c>
      <c r="L27" s="362">
        <f>IFERROR(VLOOKUP(C27,'تقرير المصروفات حسب الشهر'!$C$1016:$AD$1126,23,FALSE),0)</f>
        <v>0</v>
      </c>
      <c r="M27" s="376">
        <f>IFERROR(VLOOKUP(C27,'تقرير المصروفات حسب الشهر'!$C$1143:$AD$1254,23,FALSE),0)</f>
        <v>0</v>
      </c>
      <c r="N27" s="376">
        <f>IFERROR(VLOOKUP(C27,'تقرير المصروفات حسب الشهر'!$C$1270:$AD$1381,23,FALSE),0)</f>
        <v>0</v>
      </c>
      <c r="O27" s="376">
        <f>IFERROR(VLOOKUP(C27,'تقرير المصروفات حسب الشهر'!$C$1397:$AI$1512,23,FALSE),0)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الشهر'!$C$10:$AD$119,23,FALSE),0)</f>
        <v>0</v>
      </c>
      <c r="E28" s="362">
        <f>IFERROR(VLOOKUP(C28,'تقرير المصروفات حسب الشهر'!$C$135:$AD$244,23,FALSE),0)</f>
        <v>0</v>
      </c>
      <c r="F28" s="362">
        <f>IFERROR(VLOOKUP(C28,'تقرير المصروفات حسب الشهر'!$C$261:$AD$368,23,FALSE),0)</f>
        <v>0</v>
      </c>
      <c r="G28" s="362">
        <f>IFERROR(VLOOKUP(C28,'تقرير المصروفات حسب الشهر'!$C$387:$AD$495,23,FALSE),0)</f>
        <v>0</v>
      </c>
      <c r="H28" s="362">
        <f>IFERROR(VLOOKUP(C28,'تقرير المصروفات حسب الشهر'!$C$512:$AD$620,23,FALSE),0)</f>
        <v>0</v>
      </c>
      <c r="I28" s="362">
        <f>IFERROR(VLOOKUP(C28,'تقرير المصروفات حسب الشهر'!$C$637:$AD$746,23,FALSE),0)</f>
        <v>0</v>
      </c>
      <c r="J28" s="362">
        <f>IFERROR(VLOOKUP(C28,'تقرير المصروفات حسب الشهر'!$C$763:$AD$872,23,FALSE),0)</f>
        <v>0</v>
      </c>
      <c r="K28" s="362">
        <f>IFERROR(VLOOKUP(C28,'تقرير المصروفات حسب الشهر'!$C$890:$AD$999,23,FALSE),0)</f>
        <v>0</v>
      </c>
      <c r="L28" s="362">
        <f>IFERROR(VLOOKUP(C28,'تقرير المصروفات حسب الشهر'!$C$1016:$AD$1126,23,FALSE),0)</f>
        <v>0</v>
      </c>
      <c r="M28" s="376">
        <f>IFERROR(VLOOKUP(C28,'تقرير المصروفات حسب الشهر'!$C$1143:$AD$1254,23,FALSE),0)</f>
        <v>0</v>
      </c>
      <c r="N28" s="376">
        <f>IFERROR(VLOOKUP(C28,'تقرير المصروفات حسب الشهر'!$C$1270:$AD$1381,23,FALSE),0)</f>
        <v>0</v>
      </c>
      <c r="O28" s="376">
        <f>IFERROR(VLOOKUP(C28,'تقرير المصروفات حسب الشهر'!$C$1397:$AI$1512,23,FALSE),0)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الشهر'!$C$10:$AD$119,23,FALSE),0)</f>
        <v>0</v>
      </c>
      <c r="E29" s="362">
        <f>IFERROR(VLOOKUP(C29,'تقرير المصروفات حسب الشهر'!$C$135:$AD$244,23,FALSE),0)</f>
        <v>0</v>
      </c>
      <c r="F29" s="362">
        <f>IFERROR(VLOOKUP(C29,'تقرير المصروفات حسب الشهر'!$C$261:$AD$368,23,FALSE),0)</f>
        <v>0</v>
      </c>
      <c r="G29" s="362">
        <f>IFERROR(VLOOKUP(C29,'تقرير المصروفات حسب الشهر'!$C$387:$AD$495,23,FALSE),0)</f>
        <v>0</v>
      </c>
      <c r="H29" s="362">
        <f>IFERROR(VLOOKUP(C29,'تقرير المصروفات حسب الشهر'!$C$512:$AD$620,23,FALSE),0)</f>
        <v>0</v>
      </c>
      <c r="I29" s="362">
        <f>IFERROR(VLOOKUP(C29,'تقرير المصروفات حسب الشهر'!$C$637:$AD$746,23,FALSE),0)</f>
        <v>0</v>
      </c>
      <c r="J29" s="362">
        <f>IFERROR(VLOOKUP(C29,'تقرير المصروفات حسب الشهر'!$C$763:$AD$872,23,FALSE),0)</f>
        <v>0</v>
      </c>
      <c r="K29" s="362">
        <f>IFERROR(VLOOKUP(C29,'تقرير المصروفات حسب الشهر'!$C$890:$AD$999,23,FALSE),0)</f>
        <v>0</v>
      </c>
      <c r="L29" s="362">
        <f>IFERROR(VLOOKUP(C29,'تقرير المصروفات حسب الشهر'!$C$1016:$AD$1126,23,FALSE),0)</f>
        <v>0</v>
      </c>
      <c r="M29" s="376">
        <f>IFERROR(VLOOKUP(C29,'تقرير المصروفات حسب الشهر'!$C$1143:$AD$1254,23,FALSE),0)</f>
        <v>0</v>
      </c>
      <c r="N29" s="376">
        <f>IFERROR(VLOOKUP(C29,'تقرير المصروفات حسب الشهر'!$C$1270:$AD$1381,23,FALSE),0)</f>
        <v>0</v>
      </c>
      <c r="O29" s="376">
        <f>IFERROR(VLOOKUP(C29,'تقرير المصروفات حسب الشهر'!$C$1397:$AI$1512,23,FALSE),0)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الشهر'!$C$10:$AD$119,23,FALSE),0)</f>
        <v>0</v>
      </c>
      <c r="E30" s="362">
        <f>IFERROR(VLOOKUP(C30,'تقرير المصروفات حسب الشهر'!$C$135:$AD$244,23,FALSE),0)</f>
        <v>0</v>
      </c>
      <c r="F30" s="362">
        <f>IFERROR(VLOOKUP(C30,'تقرير المصروفات حسب الشهر'!$C$261:$AD$368,23,FALSE),0)</f>
        <v>0</v>
      </c>
      <c r="G30" s="362">
        <f>IFERROR(VLOOKUP(C30,'تقرير المصروفات حسب الشهر'!$C$387:$AD$495,23,FALSE),0)</f>
        <v>0</v>
      </c>
      <c r="H30" s="362">
        <f>IFERROR(VLOOKUP(C30,'تقرير المصروفات حسب الشهر'!$C$512:$AD$620,23,FALSE),0)</f>
        <v>0</v>
      </c>
      <c r="I30" s="362">
        <f>IFERROR(VLOOKUP(C30,'تقرير المصروفات حسب الشهر'!$C$637:$AD$746,23,FALSE),0)</f>
        <v>0</v>
      </c>
      <c r="J30" s="362">
        <f>IFERROR(VLOOKUP(C30,'تقرير المصروفات حسب الشهر'!$C$763:$AD$872,23,FALSE),0)</f>
        <v>0</v>
      </c>
      <c r="K30" s="362">
        <f>IFERROR(VLOOKUP(C30,'تقرير المصروفات حسب الشهر'!$C$890:$AD$999,23,FALSE),0)</f>
        <v>0</v>
      </c>
      <c r="L30" s="362">
        <f>IFERROR(VLOOKUP(C30,'تقرير المصروفات حسب الشهر'!$C$1016:$AD$1126,23,FALSE),0)</f>
        <v>0</v>
      </c>
      <c r="M30" s="376">
        <f>IFERROR(VLOOKUP(C30,'تقرير المصروفات حسب الشهر'!$C$1143:$AD$1254,23,FALSE),0)</f>
        <v>0</v>
      </c>
      <c r="N30" s="376">
        <f>IFERROR(VLOOKUP(C30,'تقرير المصروفات حسب الشهر'!$C$1270:$AD$1381,23,FALSE),0)</f>
        <v>0</v>
      </c>
      <c r="O30" s="376">
        <f>IFERROR(VLOOKUP(C30,'تقرير المصروفات حسب الشهر'!$C$1397:$AI$1512,23,FALSE),0)</f>
        <v>450</v>
      </c>
      <c r="P30" s="364">
        <f t="shared" si="5"/>
        <v>450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الشهر'!$C$10:$AD$119,23,FALSE),0)</f>
        <v>62.18</v>
      </c>
      <c r="E31" s="362">
        <f>IFERROR(VLOOKUP(C31,'تقرير المصروفات حسب الشهر'!$C$135:$AD$244,23,FALSE),0)</f>
        <v>62.18</v>
      </c>
      <c r="F31" s="362">
        <f>IFERROR(VLOOKUP(C31,'تقرير المصروفات حسب الشهر'!$C$261:$AD$368,23,FALSE),0)</f>
        <v>62.18</v>
      </c>
      <c r="G31" s="362">
        <f>IFERROR(VLOOKUP(C31,'تقرير المصروفات حسب الشهر'!$C$387:$AD$495,23,FALSE),0)</f>
        <v>62.18</v>
      </c>
      <c r="H31" s="362">
        <f>IFERROR(VLOOKUP(C31,'تقرير المصروفات حسب الشهر'!$C$512:$AD$620,23,FALSE),0)</f>
        <v>62.18</v>
      </c>
      <c r="I31" s="362">
        <f>IFERROR(VLOOKUP(C31,'تقرير المصروفات حسب الشهر'!$C$637:$AD$746,23,FALSE),0)</f>
        <v>62.18</v>
      </c>
      <c r="J31" s="362">
        <f>IFERROR(VLOOKUP(C31,'تقرير المصروفات حسب الشهر'!$C$763:$AD$872,23,FALSE),0)</f>
        <v>342.18</v>
      </c>
      <c r="K31" s="362">
        <f>IFERROR(VLOOKUP(C31,'تقرير المصروفات حسب الشهر'!$C$890:$AD$999,23,FALSE),0)</f>
        <v>62.18</v>
      </c>
      <c r="L31" s="362">
        <f>IFERROR(VLOOKUP(C31,'تقرير المصروفات حسب الشهر'!$C$1016:$AD$1126,23,FALSE),0)</f>
        <v>62.18</v>
      </c>
      <c r="M31" s="376">
        <f>IFERROR(VLOOKUP(C31,'تقرير المصروفات حسب الشهر'!$C$1143:$AD$1254,23,FALSE),0)</f>
        <v>62.18</v>
      </c>
      <c r="N31" s="376">
        <f>IFERROR(VLOOKUP(C31,'تقرير المصروفات حسب الشهر'!$C$1270:$AD$1381,23,FALSE),0)</f>
        <v>62.18</v>
      </c>
      <c r="O31" s="376">
        <f>IFERROR(VLOOKUP(C31,'تقرير المصروفات حسب الشهر'!$C$1397:$AI$1512,23,FALSE),0)</f>
        <v>62.18</v>
      </c>
      <c r="P31" s="364">
        <f t="shared" si="5"/>
        <v>1026.1599999999999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الشهر'!$C$10:$AD$119,23,FALSE),0)</f>
        <v>0</v>
      </c>
      <c r="E32" s="362">
        <f>IFERROR(VLOOKUP(C32,'تقرير المصروفات حسب الشهر'!$C$135:$AD$244,23,FALSE),0)</f>
        <v>0</v>
      </c>
      <c r="F32" s="362">
        <f>IFERROR(VLOOKUP(C32,'تقرير المصروفات حسب الشهر'!$C$261:$AD$368,23,FALSE),0)</f>
        <v>0</v>
      </c>
      <c r="G32" s="362">
        <f>IFERROR(VLOOKUP(C32,'تقرير المصروفات حسب الشهر'!$C$387:$AD$495,23,FALSE),0)</f>
        <v>0</v>
      </c>
      <c r="H32" s="362">
        <f>IFERROR(VLOOKUP(C32,'تقرير المصروفات حسب الشهر'!$C$512:$AD$620,23,FALSE),0)</f>
        <v>0</v>
      </c>
      <c r="I32" s="362">
        <f>IFERROR(VLOOKUP(C32,'تقرير المصروفات حسب الشهر'!$C$637:$AD$746,23,FALSE),0)</f>
        <v>0</v>
      </c>
      <c r="J32" s="362">
        <f>IFERROR(VLOOKUP(C32,'تقرير المصروفات حسب الشهر'!$C$763:$AD$872,23,FALSE),0)</f>
        <v>0</v>
      </c>
      <c r="K32" s="362">
        <f>IFERROR(VLOOKUP(C32,'تقرير المصروفات حسب الشهر'!$C$890:$AD$999,23,FALSE),0)</f>
        <v>0</v>
      </c>
      <c r="L32" s="362">
        <f>IFERROR(VLOOKUP(C32,'تقرير المصروفات حسب الشهر'!$C$1016:$AD$1126,23,FALSE),0)</f>
        <v>0</v>
      </c>
      <c r="M32" s="376">
        <f>IFERROR(VLOOKUP(C32,'تقرير المصروفات حسب الشهر'!$C$1143:$AD$1254,23,FALSE),0)</f>
        <v>0</v>
      </c>
      <c r="N32" s="376">
        <f>IFERROR(VLOOKUP(C32,'تقرير المصروفات حسب الشهر'!$C$1270:$AD$1381,23,FALSE),0)</f>
        <v>0</v>
      </c>
      <c r="O32" s="376">
        <f>IFERROR(VLOOKUP(C32,'تقرير المصروفات حسب الشهر'!$C$1397:$AI$1512,23,FALSE),0)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الشهر'!$C$10:$AD$119,23,FALSE),0)</f>
        <v>0</v>
      </c>
      <c r="E33" s="362">
        <f>IFERROR(VLOOKUP(C33,'تقرير المصروفات حسب الشهر'!$C$135:$AD$244,23,FALSE),0)</f>
        <v>0</v>
      </c>
      <c r="F33" s="362">
        <f>IFERROR(VLOOKUP(C33,'تقرير المصروفات حسب الشهر'!$C$261:$AD$368,23,FALSE),0)</f>
        <v>0</v>
      </c>
      <c r="G33" s="362">
        <f>IFERROR(VLOOKUP(C33,'تقرير المصروفات حسب الشهر'!$C$387:$AD$495,23,FALSE),0)</f>
        <v>0</v>
      </c>
      <c r="H33" s="362">
        <f>IFERROR(VLOOKUP(C33,'تقرير المصروفات حسب الشهر'!$C$512:$AD$620,23,FALSE),0)</f>
        <v>0</v>
      </c>
      <c r="I33" s="362">
        <f>IFERROR(VLOOKUP(C33,'تقرير المصروفات حسب الشهر'!$C$637:$AD$746,23,FALSE),0)</f>
        <v>0</v>
      </c>
      <c r="J33" s="362">
        <f>IFERROR(VLOOKUP(C33,'تقرير المصروفات حسب الشهر'!$C$763:$AD$872,23,FALSE),0)</f>
        <v>0</v>
      </c>
      <c r="K33" s="362">
        <f>IFERROR(VLOOKUP(C33,'تقرير المصروفات حسب الشهر'!$C$890:$AD$999,23,FALSE),0)</f>
        <v>0</v>
      </c>
      <c r="L33" s="362">
        <f>IFERROR(VLOOKUP(C33,'تقرير المصروفات حسب الشهر'!$C$1016:$AD$1126,23,FALSE),0)</f>
        <v>0</v>
      </c>
      <c r="M33" s="376">
        <f>IFERROR(VLOOKUP(C33,'تقرير المصروفات حسب الشهر'!$C$1143:$AD$1254,23,FALSE),0)</f>
        <v>0</v>
      </c>
      <c r="N33" s="376">
        <f>IFERROR(VLOOKUP(C33,'تقرير المصروفات حسب الشهر'!$C$1270:$AD$1381,23,FALSE),0)</f>
        <v>0</v>
      </c>
      <c r="O33" s="376">
        <f>IFERROR(VLOOKUP(C33,'تقرير المصروفات حسب الشهر'!$C$1397:$AI$1512,23,FALSE),0)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الشهر'!$C$10:$AD$119,23,FALSE),0)</f>
        <v>0</v>
      </c>
      <c r="E34" s="362">
        <f>IFERROR(VLOOKUP(C34,'تقرير المصروفات حسب الشهر'!$C$135:$AD$244,23,FALSE),0)</f>
        <v>0</v>
      </c>
      <c r="F34" s="362">
        <f>IFERROR(VLOOKUP(C34,'تقرير المصروفات حسب الشهر'!$C$261:$AD$368,23,FALSE),0)</f>
        <v>0</v>
      </c>
      <c r="G34" s="362">
        <f>IFERROR(VLOOKUP(C34,'تقرير المصروفات حسب الشهر'!$C$387:$AD$495,23,FALSE),0)</f>
        <v>0</v>
      </c>
      <c r="H34" s="362">
        <f>IFERROR(VLOOKUP(C34,'تقرير المصروفات حسب الشهر'!$C$512:$AD$620,23,FALSE),0)</f>
        <v>0</v>
      </c>
      <c r="I34" s="362">
        <f>IFERROR(VLOOKUP(C34,'تقرير المصروفات حسب الشهر'!$C$637:$AD$746,23,FALSE),0)</f>
        <v>0</v>
      </c>
      <c r="J34" s="362">
        <f>IFERROR(VLOOKUP(C34,'تقرير المصروفات حسب الشهر'!$C$763:$AD$872,23,FALSE),0)</f>
        <v>0</v>
      </c>
      <c r="K34" s="362">
        <f>IFERROR(VLOOKUP(C34,'تقرير المصروفات حسب الشهر'!$C$890:$AD$999,23,FALSE),0)</f>
        <v>0</v>
      </c>
      <c r="L34" s="362">
        <f>IFERROR(VLOOKUP(C34,'تقرير المصروفات حسب الشهر'!$C$1016:$AD$1126,23,FALSE),0)</f>
        <v>0</v>
      </c>
      <c r="M34" s="376">
        <f>IFERROR(VLOOKUP(C34,'تقرير المصروفات حسب الشهر'!$C$1143:$AD$1254,23,FALSE),0)</f>
        <v>0</v>
      </c>
      <c r="N34" s="376">
        <f>IFERROR(VLOOKUP(C34,'تقرير المصروفات حسب الشهر'!$C$1270:$AD$1381,23,FALSE),0)</f>
        <v>0</v>
      </c>
      <c r="O34" s="376">
        <f>IFERROR(VLOOKUP(C34,'تقرير المصروفات حسب الشهر'!$C$1397:$AI$1512,23,FALSE),0)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الشهر'!$C$10:$AD$119,23,FALSE),0)</f>
        <v>0</v>
      </c>
      <c r="E35" s="362">
        <f>IFERROR(VLOOKUP(C35,'تقرير المصروفات حسب الشهر'!$C$135:$AD$244,23,FALSE),0)</f>
        <v>0</v>
      </c>
      <c r="F35" s="362">
        <f>IFERROR(VLOOKUP(C35,'تقرير المصروفات حسب الشهر'!$C$261:$AD$368,23,FALSE),0)</f>
        <v>0</v>
      </c>
      <c r="G35" s="362">
        <f>IFERROR(VLOOKUP(C35,'تقرير المصروفات حسب الشهر'!$C$387:$AD$495,23,FALSE),0)</f>
        <v>0</v>
      </c>
      <c r="H35" s="362">
        <f>IFERROR(VLOOKUP(C35,'تقرير المصروفات حسب الشهر'!$C$512:$AD$620,23,FALSE),0)</f>
        <v>0</v>
      </c>
      <c r="I35" s="362">
        <f>IFERROR(VLOOKUP(C35,'تقرير المصروفات حسب الشهر'!$C$637:$AD$746,23,FALSE),0)</f>
        <v>0</v>
      </c>
      <c r="J35" s="362">
        <f>IFERROR(VLOOKUP(C35,'تقرير المصروفات حسب الشهر'!$C$763:$AD$872,23,FALSE),0)</f>
        <v>0</v>
      </c>
      <c r="K35" s="362">
        <f>IFERROR(VLOOKUP(C35,'تقرير المصروفات حسب الشهر'!$C$890:$AD$999,23,FALSE),0)</f>
        <v>0</v>
      </c>
      <c r="L35" s="362">
        <f>IFERROR(VLOOKUP(C35,'تقرير المصروفات حسب الشهر'!$C$1016:$AD$1126,23,FALSE),0)</f>
        <v>0</v>
      </c>
      <c r="M35" s="376">
        <f>IFERROR(VLOOKUP(C35,'تقرير المصروفات حسب الشهر'!$C$1143:$AD$1254,23,FALSE),0)</f>
        <v>0</v>
      </c>
      <c r="N35" s="376">
        <f>IFERROR(VLOOKUP(C35,'تقرير المصروفات حسب الشهر'!$C$1270:$AD$1381,23,FALSE),0)</f>
        <v>0</v>
      </c>
      <c r="O35" s="376">
        <f>IFERROR(VLOOKUP(C35,'تقرير المصروفات حسب الشهر'!$C$1397:$AI$1512,23,FALSE),0)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الشهر'!$C$10:$AD$119,23,FALSE),0)</f>
        <v>0</v>
      </c>
      <c r="E36" s="362">
        <f>IFERROR(VLOOKUP(C36,'تقرير المصروفات حسب الشهر'!$C$135:$AD$244,23,FALSE),0)</f>
        <v>0</v>
      </c>
      <c r="F36" s="362">
        <f>IFERROR(VLOOKUP(C36,'تقرير المصروفات حسب الشهر'!$C$261:$AD$368,23,FALSE),0)</f>
        <v>0</v>
      </c>
      <c r="G36" s="362">
        <f>IFERROR(VLOOKUP(C36,'تقرير المصروفات حسب الشهر'!$C$387:$AD$495,23,FALSE),0)</f>
        <v>0</v>
      </c>
      <c r="H36" s="362">
        <f>IFERROR(VLOOKUP(C36,'تقرير المصروفات حسب الشهر'!$C$512:$AD$620,23,FALSE),0)</f>
        <v>0</v>
      </c>
      <c r="I36" s="362">
        <f>IFERROR(VLOOKUP(C36,'تقرير المصروفات حسب الشهر'!$C$637:$AD$746,23,FALSE),0)</f>
        <v>0</v>
      </c>
      <c r="J36" s="362">
        <f>IFERROR(VLOOKUP(C36,'تقرير المصروفات حسب الشهر'!$C$763:$AD$872,23,FALSE),0)</f>
        <v>0</v>
      </c>
      <c r="K36" s="362">
        <f>IFERROR(VLOOKUP(C36,'تقرير المصروفات حسب الشهر'!$C$890:$AD$999,23,FALSE),0)</f>
        <v>770</v>
      </c>
      <c r="L36" s="362">
        <f>IFERROR(VLOOKUP(C36,'تقرير المصروفات حسب الشهر'!$C$1016:$AD$1126,23,FALSE),0)</f>
        <v>0</v>
      </c>
      <c r="M36" s="376">
        <f>IFERROR(VLOOKUP(C36,'تقرير المصروفات حسب الشهر'!$C$1143:$AD$1254,23,FALSE),0)</f>
        <v>0</v>
      </c>
      <c r="N36" s="376">
        <f>IFERROR(VLOOKUP(C36,'تقرير المصروفات حسب الشهر'!$C$1270:$AD$1381,23,FALSE),0)</f>
        <v>0</v>
      </c>
      <c r="O36" s="376">
        <f>IFERROR(VLOOKUP(C36,'تقرير المصروفات حسب الشهر'!$C$1397:$AI$1512,23,FALSE),0)</f>
        <v>770</v>
      </c>
      <c r="P36" s="364">
        <f t="shared" si="5"/>
        <v>1540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الشهر'!$C$10:$AD$119,23,FALSE),0)</f>
        <v>0</v>
      </c>
      <c r="E37" s="362">
        <f>IFERROR(VLOOKUP(C37,'تقرير المصروفات حسب الشهر'!$C$135:$AD$244,23,FALSE),0)</f>
        <v>0</v>
      </c>
      <c r="F37" s="362">
        <f>IFERROR(VLOOKUP(C37,'تقرير المصروفات حسب الشهر'!$C$261:$AD$368,23,FALSE),0)</f>
        <v>0</v>
      </c>
      <c r="G37" s="362">
        <f>IFERROR(VLOOKUP(C37,'تقرير المصروفات حسب الشهر'!$C$387:$AD$495,23,FALSE),0)</f>
        <v>0</v>
      </c>
      <c r="H37" s="362">
        <f>IFERROR(VLOOKUP(C37,'تقرير المصروفات حسب الشهر'!$C$512:$AD$620,23,FALSE),0)</f>
        <v>0</v>
      </c>
      <c r="I37" s="362">
        <f>IFERROR(VLOOKUP(C37,'تقرير المصروفات حسب الشهر'!$C$637:$AD$746,23,FALSE),0)</f>
        <v>0</v>
      </c>
      <c r="J37" s="362">
        <f>IFERROR(VLOOKUP(C37,'تقرير المصروفات حسب الشهر'!$C$763:$AD$872,23,FALSE),0)</f>
        <v>0</v>
      </c>
      <c r="K37" s="362">
        <f>IFERROR(VLOOKUP(C37,'تقرير المصروفات حسب الشهر'!$C$890:$AD$999,23,FALSE),0)</f>
        <v>0</v>
      </c>
      <c r="L37" s="362">
        <f>IFERROR(VLOOKUP(C37,'تقرير المصروفات حسب الشهر'!$C$1016:$AD$1126,23,FALSE),0)</f>
        <v>0</v>
      </c>
      <c r="M37" s="376">
        <f>IFERROR(VLOOKUP(C37,'تقرير المصروفات حسب الشهر'!$C$1143:$AD$1254,23,FALSE),0)</f>
        <v>0</v>
      </c>
      <c r="N37" s="376">
        <f>IFERROR(VLOOKUP(C37,'تقرير المصروفات حسب الشهر'!$C$1270:$AD$1381,23,FALSE),0)</f>
        <v>0</v>
      </c>
      <c r="O37" s="376">
        <f>IFERROR(VLOOKUP(C37,'تقرير المصروفات حسب الشهر'!$C$1397:$AI$1512,23,FALSE),0)</f>
        <v>0</v>
      </c>
      <c r="P37" s="364">
        <f t="shared" si="5"/>
        <v>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الشهر'!$C$10:$AD$119,23,FALSE),0)</f>
        <v>0</v>
      </c>
      <c r="E38" s="362">
        <f>IFERROR(VLOOKUP(C38,'تقرير المصروفات حسب الشهر'!$C$135:$AD$244,23,FALSE),0)</f>
        <v>0</v>
      </c>
      <c r="F38" s="362">
        <f>IFERROR(VLOOKUP(C38,'تقرير المصروفات حسب الشهر'!$C$261:$AD$368,23,FALSE),0)</f>
        <v>0</v>
      </c>
      <c r="G38" s="362">
        <f>IFERROR(VLOOKUP(C38,'تقرير المصروفات حسب الشهر'!$C$387:$AD$495,23,FALSE),0)</f>
        <v>0</v>
      </c>
      <c r="H38" s="362">
        <f>IFERROR(VLOOKUP(C38,'تقرير المصروفات حسب الشهر'!$C$512:$AD$620,23,FALSE),0)</f>
        <v>0</v>
      </c>
      <c r="I38" s="362">
        <f>IFERROR(VLOOKUP(C38,'تقرير المصروفات حسب الشهر'!$C$637:$AD$746,23,FALSE),0)</f>
        <v>0</v>
      </c>
      <c r="J38" s="362">
        <f>IFERROR(VLOOKUP(C38,'تقرير المصروفات حسب الشهر'!$C$763:$AD$872,23,FALSE),0)</f>
        <v>0</v>
      </c>
      <c r="K38" s="362">
        <f>IFERROR(VLOOKUP(C38,'تقرير المصروفات حسب الشهر'!$C$890:$AD$999,23,FALSE),0)</f>
        <v>0</v>
      </c>
      <c r="L38" s="362">
        <f>IFERROR(VLOOKUP(C38,'تقرير المصروفات حسب الشهر'!$C$1016:$AD$1126,23,FALSE),0)</f>
        <v>0</v>
      </c>
      <c r="M38" s="376">
        <f>IFERROR(VLOOKUP(C38,'تقرير المصروفات حسب الشهر'!$C$1143:$AD$1254,23,FALSE),0)</f>
        <v>0</v>
      </c>
      <c r="N38" s="376">
        <f>IFERROR(VLOOKUP(C38,'تقرير المصروفات حسب الشهر'!$C$1270:$AD$1381,23,FALSE),0)</f>
        <v>0</v>
      </c>
      <c r="O38" s="376">
        <f>IFERROR(VLOOKUP(C38,'تقرير المصروفات حسب الشهر'!$C$1397:$AI$1512,23,FALSE),0)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الشهر'!$C$10:$AD$119,23,FALSE),0)</f>
        <v>0</v>
      </c>
      <c r="E39" s="362">
        <f>IFERROR(VLOOKUP(C39,'تقرير المصروفات حسب الشهر'!$C$135:$AD$244,23,FALSE),0)</f>
        <v>833</v>
      </c>
      <c r="F39" s="362">
        <f>IFERROR(VLOOKUP(C39,'تقرير المصروفات حسب الشهر'!$C$261:$AD$368,23,FALSE),0)</f>
        <v>648</v>
      </c>
      <c r="G39" s="362">
        <f>IFERROR(VLOOKUP(C39,'تقرير المصروفات حسب الشهر'!$C$387:$AD$495,23,FALSE),0)</f>
        <v>793</v>
      </c>
      <c r="H39" s="362">
        <f>IFERROR(VLOOKUP(C39,'تقرير المصروفات حسب الشهر'!$C$512:$AD$620,23,FALSE),0)</f>
        <v>0</v>
      </c>
      <c r="I39" s="362">
        <f>IFERROR(VLOOKUP(C39,'تقرير المصروفات حسب الشهر'!$C$637:$AD$746,23,FALSE),0)</f>
        <v>0</v>
      </c>
      <c r="J39" s="362">
        <f>IFERROR(VLOOKUP(C39,'تقرير المصروفات حسب الشهر'!$C$763:$AD$872,23,FALSE),0)</f>
        <v>0</v>
      </c>
      <c r="K39" s="362">
        <f>IFERROR(VLOOKUP(C39,'تقرير المصروفات حسب الشهر'!$C$890:$AD$999,23,FALSE),0)</f>
        <v>0</v>
      </c>
      <c r="L39" s="362">
        <f>IFERROR(VLOOKUP(C39,'تقرير المصروفات حسب الشهر'!$C$1016:$AD$1126,23,FALSE),0)</f>
        <v>0</v>
      </c>
      <c r="M39" s="376">
        <f>IFERROR(VLOOKUP(C39,'تقرير المصروفات حسب الشهر'!$C$1143:$AD$1254,23,FALSE),0)</f>
        <v>0</v>
      </c>
      <c r="N39" s="376">
        <f>IFERROR(VLOOKUP(C39,'تقرير المصروفات حسب الشهر'!$C$1270:$AD$1381,23,FALSE),0)</f>
        <v>506</v>
      </c>
      <c r="O39" s="376">
        <f>IFERROR(VLOOKUP(C39,'تقرير المصروفات حسب الشهر'!$C$1397:$AI$1512,23,FALSE),0)</f>
        <v>0</v>
      </c>
      <c r="P39" s="364">
        <f t="shared" si="5"/>
        <v>2780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الشهر'!$C$10:$AD$119,23,FALSE),0)</f>
        <v>0</v>
      </c>
      <c r="E40" s="362">
        <f>IFERROR(VLOOKUP(C40,'تقرير المصروفات حسب الشهر'!$C$135:$AD$244,23,FALSE),0)</f>
        <v>0</v>
      </c>
      <c r="F40" s="362">
        <f>IFERROR(VLOOKUP(C40,'تقرير المصروفات حسب الشهر'!$C$261:$AD$368,23,FALSE),0)</f>
        <v>0</v>
      </c>
      <c r="G40" s="362">
        <f>IFERROR(VLOOKUP(C40,'تقرير المصروفات حسب الشهر'!$C$387:$AD$495,23,FALSE),0)</f>
        <v>0</v>
      </c>
      <c r="H40" s="362">
        <f>IFERROR(VLOOKUP(C40,'تقرير المصروفات حسب الشهر'!$C$512:$AD$620,23,FALSE),0)</f>
        <v>0</v>
      </c>
      <c r="I40" s="362">
        <f>IFERROR(VLOOKUP(C40,'تقرير المصروفات حسب الشهر'!$C$637:$AD$746,23,FALSE),0)</f>
        <v>0</v>
      </c>
      <c r="J40" s="362">
        <f>IFERROR(VLOOKUP(C40,'تقرير المصروفات حسب الشهر'!$C$763:$AD$872,23,FALSE),0)</f>
        <v>0</v>
      </c>
      <c r="K40" s="362">
        <f>IFERROR(VLOOKUP(C40,'تقرير المصروفات حسب الشهر'!$C$890:$AD$999,23,FALSE),0)</f>
        <v>0</v>
      </c>
      <c r="L40" s="362">
        <f>IFERROR(VLOOKUP(C40,'تقرير المصروفات حسب الشهر'!$C$1016:$AD$1126,23,FALSE),0)</f>
        <v>0</v>
      </c>
      <c r="M40" s="376">
        <f>IFERROR(VLOOKUP(C40,'تقرير المصروفات حسب الشهر'!$C$1143:$AD$1254,23,FALSE),0)</f>
        <v>0</v>
      </c>
      <c r="N40" s="376">
        <f>IFERROR(VLOOKUP(C40,'تقرير المصروفات حسب الشهر'!$C$1270:$AD$1381,23,FALSE),0)</f>
        <v>0</v>
      </c>
      <c r="O40" s="376">
        <f>IFERROR(VLOOKUP(C40,'تقرير المصروفات حسب الشهر'!$C$1397:$AI$1512,23,FALSE),0)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الشهر'!$C$10:$AD$119,23,FALSE),0)</f>
        <v>0</v>
      </c>
      <c r="E41" s="362">
        <f>IFERROR(VLOOKUP(C41,'تقرير المصروفات حسب الشهر'!$C$135:$AD$244,23,FALSE),0)</f>
        <v>0</v>
      </c>
      <c r="F41" s="362">
        <f>IFERROR(VLOOKUP(C41,'تقرير المصروفات حسب الشهر'!$C$261:$AD$368,23,FALSE),0)</f>
        <v>0</v>
      </c>
      <c r="G41" s="362">
        <f>IFERROR(VLOOKUP(C41,'تقرير المصروفات حسب الشهر'!$C$387:$AD$495,23,FALSE),0)</f>
        <v>0</v>
      </c>
      <c r="H41" s="362">
        <f>IFERROR(VLOOKUP(C41,'تقرير المصروفات حسب الشهر'!$C$512:$AD$620,23,FALSE),0)</f>
        <v>0</v>
      </c>
      <c r="I41" s="362">
        <f>IFERROR(VLOOKUP(C41,'تقرير المصروفات حسب الشهر'!$C$637:$AD$746,23,FALSE),0)</f>
        <v>0</v>
      </c>
      <c r="J41" s="362">
        <f>IFERROR(VLOOKUP(C41,'تقرير المصروفات حسب الشهر'!$C$763:$AD$872,23,FALSE),0)</f>
        <v>0</v>
      </c>
      <c r="K41" s="362">
        <f>IFERROR(VLOOKUP(C41,'تقرير المصروفات حسب الشهر'!$C$890:$AD$999,23,FALSE),0)</f>
        <v>0</v>
      </c>
      <c r="L41" s="362">
        <f>IFERROR(VLOOKUP(C41,'تقرير المصروفات حسب الشهر'!$C$1016:$AD$1126,23,FALSE),0)</f>
        <v>0</v>
      </c>
      <c r="M41" s="376">
        <f>IFERROR(VLOOKUP(C41,'تقرير المصروفات حسب الشهر'!$C$1143:$AD$1254,23,FALSE),0)</f>
        <v>0</v>
      </c>
      <c r="N41" s="376">
        <f>IFERROR(VLOOKUP(C41,'تقرير المصروفات حسب الشهر'!$C$1270:$AD$1381,23,FALSE),0)</f>
        <v>0</v>
      </c>
      <c r="O41" s="376">
        <f>IFERROR(VLOOKUP(C41,'تقرير المصروفات حسب الشهر'!$C$1397:$AI$1512,23,FALSE),0)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الشهر'!$C$10:$AD$119,23,FALSE),0)</f>
        <v>0</v>
      </c>
      <c r="E42" s="362">
        <f>IFERROR(VLOOKUP(C42,'تقرير المصروفات حسب الشهر'!$C$135:$AD$244,23,FALSE),0)</f>
        <v>0</v>
      </c>
      <c r="F42" s="362">
        <f>IFERROR(VLOOKUP(C42,'تقرير المصروفات حسب الشهر'!$C$261:$AD$368,23,FALSE),0)</f>
        <v>0</v>
      </c>
      <c r="G42" s="362">
        <f>IFERROR(VLOOKUP(C42,'تقرير المصروفات حسب الشهر'!$C$387:$AD$495,23,FALSE),0)</f>
        <v>0</v>
      </c>
      <c r="H42" s="362">
        <f>IFERROR(VLOOKUP(C42,'تقرير المصروفات حسب الشهر'!$C$512:$AD$620,23,FALSE),0)</f>
        <v>0</v>
      </c>
      <c r="I42" s="362">
        <f>IFERROR(VLOOKUP(C42,'تقرير المصروفات حسب الشهر'!$C$637:$AD$746,23,FALSE),0)</f>
        <v>0</v>
      </c>
      <c r="J42" s="362">
        <f>IFERROR(VLOOKUP(C42,'تقرير المصروفات حسب الشهر'!$C$763:$AD$872,23,FALSE),0)</f>
        <v>0</v>
      </c>
      <c r="K42" s="362">
        <f>IFERROR(VLOOKUP(C42,'تقرير المصروفات حسب الشهر'!$C$890:$AD$999,23,FALSE),0)</f>
        <v>0</v>
      </c>
      <c r="L42" s="362">
        <f>IFERROR(VLOOKUP(C42,'تقرير المصروفات حسب الشهر'!$C$1016:$AD$1126,23,FALSE),0)</f>
        <v>0</v>
      </c>
      <c r="M42" s="376">
        <f>IFERROR(VLOOKUP(C42,'تقرير المصروفات حسب الشهر'!$C$1143:$AD$1254,23,FALSE),0)</f>
        <v>0</v>
      </c>
      <c r="N42" s="376">
        <f>IFERROR(VLOOKUP(C42,'تقرير المصروفات حسب الشهر'!$C$1270:$AD$1381,23,FALSE),0)</f>
        <v>0</v>
      </c>
      <c r="O42" s="376">
        <f>IFERROR(VLOOKUP(C42,'تقرير المصروفات حسب الشهر'!$C$1397:$AI$1512,23,FALSE),0)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الشهر'!$C$10:$AD$119,23,FALSE),0)</f>
        <v>0</v>
      </c>
      <c r="E43" s="362">
        <f>IFERROR(VLOOKUP(C43,'تقرير المصروفات حسب الشهر'!$C$135:$AD$244,23,FALSE),0)</f>
        <v>0</v>
      </c>
      <c r="F43" s="362">
        <f>IFERROR(VLOOKUP(C43,'تقرير المصروفات حسب الشهر'!$C$261:$AD$368,23,FALSE),0)</f>
        <v>0</v>
      </c>
      <c r="G43" s="362">
        <f>IFERROR(VLOOKUP(C43,'تقرير المصروفات حسب الشهر'!$C$387:$AD$495,23,FALSE),0)</f>
        <v>0</v>
      </c>
      <c r="H43" s="362">
        <f>IFERROR(VLOOKUP(C43,'تقرير المصروفات حسب الشهر'!$C$512:$AD$620,23,FALSE),0)</f>
        <v>0</v>
      </c>
      <c r="I43" s="362">
        <f>IFERROR(VLOOKUP(C43,'تقرير المصروفات حسب الشهر'!$C$637:$AD$746,23,FALSE),0)</f>
        <v>0</v>
      </c>
      <c r="J43" s="362">
        <f>IFERROR(VLOOKUP(C43,'تقرير المصروفات حسب الشهر'!$C$763:$AD$872,23,FALSE),0)</f>
        <v>0</v>
      </c>
      <c r="K43" s="362">
        <f>IFERROR(VLOOKUP(C43,'تقرير المصروفات حسب الشهر'!$C$890:$AD$999,23,FALSE),0)</f>
        <v>0</v>
      </c>
      <c r="L43" s="362">
        <f>IFERROR(VLOOKUP(C43,'تقرير المصروفات حسب الشهر'!$C$1016:$AD$1126,23,FALSE),0)</f>
        <v>0</v>
      </c>
      <c r="M43" s="376">
        <f>IFERROR(VLOOKUP(C43,'تقرير المصروفات حسب الشهر'!$C$1143:$AD$1254,23,FALSE),0)</f>
        <v>0</v>
      </c>
      <c r="N43" s="376">
        <f>IFERROR(VLOOKUP(C43,'تقرير المصروفات حسب الشهر'!$C$1270:$AD$1381,23,FALSE),0)</f>
        <v>0</v>
      </c>
      <c r="O43" s="376">
        <f>IFERROR(VLOOKUP(C43,'تقرير المصروفات حسب الشهر'!$C$1397:$AI$1512,23,FALSE),0)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الشهر'!$C$10:$AD$119,23,FALSE),0)</f>
        <v>0</v>
      </c>
      <c r="E44" s="362">
        <f>IFERROR(VLOOKUP(C44,'تقرير المصروفات حسب الشهر'!$C$135:$AD$244,23,FALSE),0)</f>
        <v>0</v>
      </c>
      <c r="F44" s="362">
        <f>IFERROR(VLOOKUP(C44,'تقرير المصروفات حسب الشهر'!$C$261:$AD$368,23,FALSE),0)</f>
        <v>0</v>
      </c>
      <c r="G44" s="362">
        <f>IFERROR(VLOOKUP(C44,'تقرير المصروفات حسب الشهر'!$C$387:$AD$495,23,FALSE),0)</f>
        <v>0</v>
      </c>
      <c r="H44" s="362">
        <f>IFERROR(VLOOKUP(C44,'تقرير المصروفات حسب الشهر'!$C$512:$AD$620,23,FALSE),0)</f>
        <v>0</v>
      </c>
      <c r="I44" s="362">
        <f>IFERROR(VLOOKUP(C44,'تقرير المصروفات حسب الشهر'!$C$637:$AD$746,23,FALSE),0)</f>
        <v>0</v>
      </c>
      <c r="J44" s="362">
        <f>IFERROR(VLOOKUP(C44,'تقرير المصروفات حسب الشهر'!$C$763:$AD$872,23,FALSE),0)</f>
        <v>0</v>
      </c>
      <c r="K44" s="362">
        <f>IFERROR(VLOOKUP(C44,'تقرير المصروفات حسب الشهر'!$C$890:$AD$999,23,FALSE),0)</f>
        <v>0</v>
      </c>
      <c r="L44" s="362">
        <f>IFERROR(VLOOKUP(C44,'تقرير المصروفات حسب الشهر'!$C$1016:$AD$1126,23,FALSE),0)</f>
        <v>0</v>
      </c>
      <c r="M44" s="376">
        <f>IFERROR(VLOOKUP(C44,'تقرير المصروفات حسب الشهر'!$C$1143:$AD$1254,23,FALSE),0)</f>
        <v>0</v>
      </c>
      <c r="N44" s="376">
        <f>IFERROR(VLOOKUP(C44,'تقرير المصروفات حسب الشهر'!$C$1270:$AD$1381,23,FALSE),0)</f>
        <v>0</v>
      </c>
      <c r="O44" s="376">
        <f>IFERROR(VLOOKUP(C44,'تقرير المصروفات حسب الشهر'!$C$1397:$AI$1512,23,FALSE),0)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الشهر'!$C$10:$AD$119,23,FALSE),0)</f>
        <v>0</v>
      </c>
      <c r="E45" s="362">
        <f>IFERROR(VLOOKUP(C45,'تقرير المصروفات حسب الشهر'!$C$135:$AD$244,23,FALSE),0)</f>
        <v>0</v>
      </c>
      <c r="F45" s="362">
        <f>IFERROR(VLOOKUP(C45,'تقرير المصروفات حسب الشهر'!$C$261:$AD$368,23,FALSE),0)</f>
        <v>0</v>
      </c>
      <c r="G45" s="362">
        <f>IFERROR(VLOOKUP(C45,'تقرير المصروفات حسب الشهر'!$C$387:$AD$495,23,FALSE),0)</f>
        <v>0</v>
      </c>
      <c r="H45" s="362">
        <f>IFERROR(VLOOKUP(C45,'تقرير المصروفات حسب الشهر'!$C$512:$AD$620,23,FALSE),0)</f>
        <v>0</v>
      </c>
      <c r="I45" s="362">
        <f>IFERROR(VLOOKUP(C45,'تقرير المصروفات حسب الشهر'!$C$637:$AD$746,23,FALSE),0)</f>
        <v>0</v>
      </c>
      <c r="J45" s="362">
        <f>IFERROR(VLOOKUP(C45,'تقرير المصروفات حسب الشهر'!$C$763:$AD$872,23,FALSE),0)</f>
        <v>0</v>
      </c>
      <c r="K45" s="362">
        <f>IFERROR(VLOOKUP(C45,'تقرير المصروفات حسب الشهر'!$C$890:$AD$999,23,FALSE),0)</f>
        <v>0</v>
      </c>
      <c r="L45" s="362">
        <f>IFERROR(VLOOKUP(C45,'تقرير المصروفات حسب الشهر'!$C$1016:$AD$1126,23,FALSE),0)</f>
        <v>0</v>
      </c>
      <c r="M45" s="376">
        <f>IFERROR(VLOOKUP(C45,'تقرير المصروفات حسب الشهر'!$C$1143:$AD$1254,23,FALSE),0)</f>
        <v>0</v>
      </c>
      <c r="N45" s="376">
        <f>IFERROR(VLOOKUP(C45,'تقرير المصروفات حسب الشهر'!$C$1270:$AD$1381,23,FALSE),0)</f>
        <v>0</v>
      </c>
      <c r="O45" s="376">
        <f>IFERROR(VLOOKUP(C45,'تقرير المصروفات حسب الشهر'!$C$1397:$AI$1512,23,FALSE),0)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الشهر'!$C$10:$AD$119,23,FALSE),0)</f>
        <v>0</v>
      </c>
      <c r="E46" s="362">
        <f>IFERROR(VLOOKUP(C46,'تقرير المصروفات حسب الشهر'!$C$135:$AD$244,23,FALSE),0)</f>
        <v>0</v>
      </c>
      <c r="F46" s="362">
        <f>IFERROR(VLOOKUP(C46,'تقرير المصروفات حسب الشهر'!$C$261:$AD$368,23,FALSE),0)</f>
        <v>0</v>
      </c>
      <c r="G46" s="362">
        <f>IFERROR(VLOOKUP(C46,'تقرير المصروفات حسب الشهر'!$C$387:$AD$495,23,FALSE),0)</f>
        <v>0</v>
      </c>
      <c r="H46" s="362">
        <f>IFERROR(VLOOKUP(C46,'تقرير المصروفات حسب الشهر'!$C$512:$AD$620,23,FALSE),0)</f>
        <v>0</v>
      </c>
      <c r="I46" s="362">
        <f>IFERROR(VLOOKUP(C46,'تقرير المصروفات حسب الشهر'!$C$637:$AD$746,23,FALSE),0)</f>
        <v>0</v>
      </c>
      <c r="J46" s="362">
        <f>IFERROR(VLOOKUP(C46,'تقرير المصروفات حسب الشهر'!$C$763:$AD$872,23,FALSE),0)</f>
        <v>0</v>
      </c>
      <c r="K46" s="362">
        <f>IFERROR(VLOOKUP(C46,'تقرير المصروفات حسب الشهر'!$C$890:$AD$999,23,FALSE),0)</f>
        <v>0</v>
      </c>
      <c r="L46" s="362">
        <f>IFERROR(VLOOKUP(C46,'تقرير المصروفات حسب الشهر'!$C$1016:$AD$1126,23,FALSE),0)</f>
        <v>0</v>
      </c>
      <c r="M46" s="376">
        <f>IFERROR(VLOOKUP(C46,'تقرير المصروفات حسب الشهر'!$C$1143:$AD$1254,23,FALSE),0)</f>
        <v>0</v>
      </c>
      <c r="N46" s="376">
        <f>IFERROR(VLOOKUP(C46,'تقرير المصروفات حسب الشهر'!$C$1270:$AD$1381,23,FALSE),0)</f>
        <v>0</v>
      </c>
      <c r="O46" s="376">
        <f>IFERROR(VLOOKUP(C46,'تقرير المصروفات حسب الشهر'!$C$1397:$AI$1512,23,FALSE),0)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الشهر'!$C$10:$AD$119,23,FALSE),0)</f>
        <v>0</v>
      </c>
      <c r="E47" s="362">
        <f>IFERROR(VLOOKUP(C47,'تقرير المصروفات حسب الشهر'!$C$135:$AD$244,23,FALSE),0)</f>
        <v>0</v>
      </c>
      <c r="F47" s="362">
        <f>IFERROR(VLOOKUP(C47,'تقرير المصروفات حسب الشهر'!$C$261:$AD$368,23,FALSE),0)</f>
        <v>0</v>
      </c>
      <c r="G47" s="362">
        <f>IFERROR(VLOOKUP(C47,'تقرير المصروفات حسب الشهر'!$C$387:$AD$495,23,FALSE),0)</f>
        <v>0</v>
      </c>
      <c r="H47" s="362">
        <f>IFERROR(VLOOKUP(C47,'تقرير المصروفات حسب الشهر'!$C$512:$AD$620,23,FALSE),0)</f>
        <v>0</v>
      </c>
      <c r="I47" s="362">
        <f>IFERROR(VLOOKUP(C47,'تقرير المصروفات حسب الشهر'!$C$637:$AD$746,23,FALSE),0)</f>
        <v>0</v>
      </c>
      <c r="J47" s="362">
        <f>IFERROR(VLOOKUP(C47,'تقرير المصروفات حسب الشهر'!$C$763:$AD$872,23,FALSE),0)</f>
        <v>0</v>
      </c>
      <c r="K47" s="362">
        <f>IFERROR(VLOOKUP(C47,'تقرير المصروفات حسب الشهر'!$C$890:$AD$999,23,FALSE),0)</f>
        <v>0</v>
      </c>
      <c r="L47" s="362">
        <f>IFERROR(VLOOKUP(C47,'تقرير المصروفات حسب الشهر'!$C$1016:$AD$1126,23,FALSE),0)</f>
        <v>0</v>
      </c>
      <c r="M47" s="376">
        <f>IFERROR(VLOOKUP(C47,'تقرير المصروفات حسب الشهر'!$C$1143:$AD$1254,23,FALSE),0)</f>
        <v>0</v>
      </c>
      <c r="N47" s="376">
        <f>IFERROR(VLOOKUP(C47,'تقرير المصروفات حسب الشهر'!$C$1270:$AD$1381,23,FALSE),0)</f>
        <v>0</v>
      </c>
      <c r="O47" s="376">
        <f>IFERROR(VLOOKUP(C47,'تقرير المصروفات حسب الشهر'!$C$1397:$AI$1512,23,FALSE),0)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الشهر'!$C$10:$AD$119,23,FALSE),0)</f>
        <v>0</v>
      </c>
      <c r="E48" s="362">
        <f>IFERROR(VLOOKUP(C48,'تقرير المصروفات حسب الشهر'!$C$135:$AD$244,23,FALSE),0)</f>
        <v>0</v>
      </c>
      <c r="F48" s="362">
        <f>IFERROR(VLOOKUP(C48,'تقرير المصروفات حسب الشهر'!$C$261:$AD$368,23,FALSE),0)</f>
        <v>0</v>
      </c>
      <c r="G48" s="362">
        <f>IFERROR(VLOOKUP(C48,'تقرير المصروفات حسب الشهر'!$C$387:$AD$495,23,FALSE),0)</f>
        <v>0</v>
      </c>
      <c r="H48" s="362">
        <f>IFERROR(VLOOKUP(C48,'تقرير المصروفات حسب الشهر'!$C$512:$AD$620,23,FALSE),0)</f>
        <v>0</v>
      </c>
      <c r="I48" s="362">
        <f>IFERROR(VLOOKUP(C48,'تقرير المصروفات حسب الشهر'!$C$637:$AD$746,23,FALSE),0)</f>
        <v>0</v>
      </c>
      <c r="J48" s="362">
        <f>IFERROR(VLOOKUP(C48,'تقرير المصروفات حسب الشهر'!$C$763:$AD$872,23,FALSE),0)</f>
        <v>0</v>
      </c>
      <c r="K48" s="362">
        <f>IFERROR(VLOOKUP(C48,'تقرير المصروفات حسب الشهر'!$C$890:$AD$999,23,FALSE),0)</f>
        <v>0</v>
      </c>
      <c r="L48" s="362">
        <f>IFERROR(VLOOKUP(C48,'تقرير المصروفات حسب الشهر'!$C$1016:$AD$1126,23,FALSE),0)</f>
        <v>0</v>
      </c>
      <c r="M48" s="376">
        <f>IFERROR(VLOOKUP(C48,'تقرير المصروفات حسب الشهر'!$C$1143:$AD$1254,23,FALSE),0)</f>
        <v>0</v>
      </c>
      <c r="N48" s="376">
        <f>IFERROR(VLOOKUP(C48,'تقرير المصروفات حسب الشهر'!$C$1270:$AD$1381,23,FALSE),0)</f>
        <v>0</v>
      </c>
      <c r="O48" s="376">
        <f>IFERROR(VLOOKUP(C48,'تقرير المصروفات حسب الشهر'!$C$1397:$AI$1512,23,FALSE),0)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الشهر'!$C$10:$AD$119,23,FALSE),0)</f>
        <v>0</v>
      </c>
      <c r="E49" s="362">
        <f>IFERROR(VLOOKUP(C49,'تقرير المصروفات حسب الشهر'!$C$135:$AD$244,23,FALSE),0)</f>
        <v>0</v>
      </c>
      <c r="F49" s="362">
        <f>IFERROR(VLOOKUP(C49,'تقرير المصروفات حسب الشهر'!$C$261:$AD$368,23,FALSE),0)</f>
        <v>0</v>
      </c>
      <c r="G49" s="362">
        <f>IFERROR(VLOOKUP(C49,'تقرير المصروفات حسب الشهر'!$C$387:$AD$495,23,FALSE),0)</f>
        <v>0</v>
      </c>
      <c r="H49" s="362">
        <f>IFERROR(VLOOKUP(C49,'تقرير المصروفات حسب الشهر'!$C$512:$AD$620,23,FALSE),0)</f>
        <v>0</v>
      </c>
      <c r="I49" s="362">
        <f>IFERROR(VLOOKUP(C49,'تقرير المصروفات حسب الشهر'!$C$637:$AD$746,23,FALSE),0)</f>
        <v>0</v>
      </c>
      <c r="J49" s="362">
        <f>IFERROR(VLOOKUP(C49,'تقرير المصروفات حسب الشهر'!$C$763:$AD$872,23,FALSE),0)</f>
        <v>0</v>
      </c>
      <c r="K49" s="362">
        <f>IFERROR(VLOOKUP(C49,'تقرير المصروفات حسب الشهر'!$C$890:$AD$999,23,FALSE),0)</f>
        <v>0</v>
      </c>
      <c r="L49" s="362">
        <f>IFERROR(VLOOKUP(C49,'تقرير المصروفات حسب الشهر'!$C$1016:$AD$1126,23,FALSE),0)</f>
        <v>0</v>
      </c>
      <c r="M49" s="376">
        <f>IFERROR(VLOOKUP(C49,'تقرير المصروفات حسب الشهر'!$C$1143:$AD$1254,23,FALSE),0)</f>
        <v>0</v>
      </c>
      <c r="N49" s="376">
        <f>IFERROR(VLOOKUP(C49,'تقرير المصروفات حسب الشهر'!$C$1270:$AD$1381,23,FALSE),0)</f>
        <v>0</v>
      </c>
      <c r="O49" s="376">
        <f>IFERROR(VLOOKUP(C49,'تقرير المصروفات حسب الشهر'!$C$1397:$AI$1512,23,FALSE),0)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الشهر'!$C$10:$AD$119,23,FALSE),0)</f>
        <v>0</v>
      </c>
      <c r="E50" s="362">
        <f>IFERROR(VLOOKUP(C50,'تقرير المصروفات حسب الشهر'!$C$135:$AD$244,23,FALSE),0)</f>
        <v>0</v>
      </c>
      <c r="F50" s="362">
        <f>IFERROR(VLOOKUP(C50,'تقرير المصروفات حسب الشهر'!$C$261:$AD$368,23,FALSE),0)</f>
        <v>0</v>
      </c>
      <c r="G50" s="362">
        <f>IFERROR(VLOOKUP(C50,'تقرير المصروفات حسب الشهر'!$C$387:$AD$495,23,FALSE),0)</f>
        <v>0</v>
      </c>
      <c r="H50" s="362">
        <f>IFERROR(VLOOKUP(C50,'تقرير المصروفات حسب الشهر'!$C$512:$AD$620,23,FALSE),0)</f>
        <v>0</v>
      </c>
      <c r="I50" s="362">
        <f>IFERROR(VLOOKUP(C50,'تقرير المصروفات حسب الشهر'!$C$637:$AD$746,23,FALSE),0)</f>
        <v>0</v>
      </c>
      <c r="J50" s="362">
        <f>IFERROR(VLOOKUP(C50,'تقرير المصروفات حسب الشهر'!$C$763:$AD$872,23,FALSE),0)</f>
        <v>0</v>
      </c>
      <c r="K50" s="362">
        <f>IFERROR(VLOOKUP(C50,'تقرير المصروفات حسب الشهر'!$C$890:$AD$999,23,FALSE),0)</f>
        <v>0</v>
      </c>
      <c r="L50" s="362">
        <f>IFERROR(VLOOKUP(C50,'تقرير المصروفات حسب الشهر'!$C$1016:$AD$1126,23,FALSE),0)</f>
        <v>0</v>
      </c>
      <c r="M50" s="376">
        <f>IFERROR(VLOOKUP(C50,'تقرير المصروفات حسب الشهر'!$C$1143:$AD$1254,23,FALSE),0)</f>
        <v>0</v>
      </c>
      <c r="N50" s="376">
        <f>IFERROR(VLOOKUP(C50,'تقرير المصروفات حسب الشهر'!$C$1270:$AD$1381,23,FALSE),0)</f>
        <v>0</v>
      </c>
      <c r="O50" s="376">
        <f>IFERROR(VLOOKUP(C50,'تقرير المصروفات حسب الشهر'!$C$1397:$AI$1512,23,FALSE),0)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الشهر'!$C$10:$AD$119,23,FALSE),0)</f>
        <v>0</v>
      </c>
      <c r="E51" s="362">
        <f>IFERROR(VLOOKUP(C51,'تقرير المصروفات حسب الشهر'!$C$135:$AD$244,23,FALSE),0)</f>
        <v>0</v>
      </c>
      <c r="F51" s="362">
        <f>IFERROR(VLOOKUP(C51,'تقرير المصروفات حسب الشهر'!$C$261:$AD$368,23,FALSE),0)</f>
        <v>0</v>
      </c>
      <c r="G51" s="362">
        <f>IFERROR(VLOOKUP(C51,'تقرير المصروفات حسب الشهر'!$C$387:$AD$495,23,FALSE),0)</f>
        <v>0</v>
      </c>
      <c r="H51" s="362">
        <f>IFERROR(VLOOKUP(C51,'تقرير المصروفات حسب الشهر'!$C$512:$AD$620,23,FALSE),0)</f>
        <v>0</v>
      </c>
      <c r="I51" s="362">
        <f>IFERROR(VLOOKUP(C51,'تقرير المصروفات حسب الشهر'!$C$637:$AD$746,23,FALSE),0)</f>
        <v>0</v>
      </c>
      <c r="J51" s="362">
        <f>IFERROR(VLOOKUP(C51,'تقرير المصروفات حسب الشهر'!$C$763:$AD$872,23,FALSE),0)</f>
        <v>0</v>
      </c>
      <c r="K51" s="362">
        <f>IFERROR(VLOOKUP(C51,'تقرير المصروفات حسب الشهر'!$C$890:$AD$999,23,FALSE),0)</f>
        <v>0</v>
      </c>
      <c r="L51" s="362">
        <f>IFERROR(VLOOKUP(C51,'تقرير المصروفات حسب الشهر'!$C$1016:$AD$1126,23,FALSE),0)</f>
        <v>0</v>
      </c>
      <c r="M51" s="376">
        <f>IFERROR(VLOOKUP(C51,'تقرير المصروفات حسب الشهر'!$C$1143:$AD$1254,23,FALSE),0)</f>
        <v>0</v>
      </c>
      <c r="N51" s="376">
        <f>IFERROR(VLOOKUP(C51,'تقرير المصروفات حسب الشهر'!$C$1270:$AD$1381,23,FALSE),0)</f>
        <v>0</v>
      </c>
      <c r="O51" s="376">
        <f>IFERROR(VLOOKUP(C51,'تقرير المصروفات حسب الشهر'!$C$1397:$AI$1512,23,FALSE),0)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الشهر'!$C$10:$AD$119,23,FALSE),0)</f>
        <v>0</v>
      </c>
      <c r="E52" s="362">
        <f>IFERROR(VLOOKUP(C52,'تقرير المصروفات حسب الشهر'!$C$135:$AD$244,23,FALSE),0)</f>
        <v>0</v>
      </c>
      <c r="F52" s="362">
        <f>IFERROR(VLOOKUP(C52,'تقرير المصروفات حسب الشهر'!$C$261:$AD$368,23,FALSE),0)</f>
        <v>0</v>
      </c>
      <c r="G52" s="362">
        <f>IFERROR(VLOOKUP(C52,'تقرير المصروفات حسب الشهر'!$C$387:$AD$495,23,FALSE),0)</f>
        <v>0</v>
      </c>
      <c r="H52" s="362">
        <f>IFERROR(VLOOKUP(C52,'تقرير المصروفات حسب الشهر'!$C$512:$AD$620,23,FALSE),0)</f>
        <v>0</v>
      </c>
      <c r="I52" s="362">
        <f>IFERROR(VLOOKUP(C52,'تقرير المصروفات حسب الشهر'!$C$637:$AD$746,23,FALSE),0)</f>
        <v>0</v>
      </c>
      <c r="J52" s="362">
        <f>IFERROR(VLOOKUP(C52,'تقرير المصروفات حسب الشهر'!$C$763:$AD$872,23,FALSE),0)</f>
        <v>0</v>
      </c>
      <c r="K52" s="362">
        <f>IFERROR(VLOOKUP(C52,'تقرير المصروفات حسب الشهر'!$C$890:$AD$999,23,FALSE),0)</f>
        <v>0</v>
      </c>
      <c r="L52" s="362">
        <f>IFERROR(VLOOKUP(C52,'تقرير المصروفات حسب الشهر'!$C$1016:$AD$1126,23,FALSE),0)</f>
        <v>0</v>
      </c>
      <c r="M52" s="376">
        <f>IFERROR(VLOOKUP(C52,'تقرير المصروفات حسب الشهر'!$C$1143:$AD$1254,23,FALSE),0)</f>
        <v>0</v>
      </c>
      <c r="N52" s="376">
        <f>IFERROR(VLOOKUP(C52,'تقرير المصروفات حسب الشهر'!$C$1270:$AD$1381,23,FALSE),0)</f>
        <v>0</v>
      </c>
      <c r="O52" s="376">
        <f>IFERROR(VLOOKUP(C52,'تقرير المصروفات حسب الشهر'!$C$1397:$AI$1512,23,FALSE),0)</f>
        <v>0</v>
      </c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الشهر'!$C$10:$AD$119,23,FALSE),0)</f>
        <v>0</v>
      </c>
      <c r="E53" s="362">
        <f>IFERROR(VLOOKUP(C53,'تقرير المصروفات حسب الشهر'!$C$135:$AD$244,23,FALSE),0)</f>
        <v>0</v>
      </c>
      <c r="F53" s="362">
        <f>IFERROR(VLOOKUP(C53,'تقرير المصروفات حسب الشهر'!$C$261:$AD$368,23,FALSE),0)</f>
        <v>0</v>
      </c>
      <c r="G53" s="362">
        <f>IFERROR(VLOOKUP(C53,'تقرير المصروفات حسب الشهر'!$C$387:$AD$495,23,FALSE),0)</f>
        <v>0</v>
      </c>
      <c r="H53" s="362">
        <f>IFERROR(VLOOKUP(C53,'تقرير المصروفات حسب الشهر'!$C$512:$AD$620,23,FALSE),0)</f>
        <v>0</v>
      </c>
      <c r="I53" s="362">
        <f>IFERROR(VLOOKUP(C53,'تقرير المصروفات حسب الشهر'!$C$637:$AD$746,23,FALSE),0)</f>
        <v>0</v>
      </c>
      <c r="J53" s="362">
        <f>IFERROR(VLOOKUP(C53,'تقرير المصروفات حسب الشهر'!$C$763:$AD$872,23,FALSE),0)</f>
        <v>0</v>
      </c>
      <c r="K53" s="362">
        <f>IFERROR(VLOOKUP(C53,'تقرير المصروفات حسب الشهر'!$C$890:$AD$999,23,FALSE),0)</f>
        <v>0</v>
      </c>
      <c r="L53" s="362">
        <f>IFERROR(VLOOKUP(C53,'تقرير المصروفات حسب الشهر'!$C$1016:$AD$1126,23,FALSE),0)</f>
        <v>0</v>
      </c>
      <c r="M53" s="376">
        <f>IFERROR(VLOOKUP(C53,'تقرير المصروفات حسب الشهر'!$C$1143:$AD$1254,23,FALSE),0)</f>
        <v>0</v>
      </c>
      <c r="N53" s="376">
        <f>IFERROR(VLOOKUP(C53,'تقرير المصروفات حسب الشهر'!$C$1270:$AD$1381,23,FALSE),0)</f>
        <v>0</v>
      </c>
      <c r="O53" s="376">
        <f>IFERROR(VLOOKUP(C53,'تقرير المصروفات حسب الشهر'!$C$1397:$AI$1512,23,FALSE),0)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الشهر'!$C$10:$AD$119,23,FALSE),0)</f>
        <v>200</v>
      </c>
      <c r="E54" s="362">
        <f>IFERROR(VLOOKUP(C54,'تقرير المصروفات حسب الشهر'!$C$135:$AD$244,23,FALSE),0)</f>
        <v>0</v>
      </c>
      <c r="F54" s="362">
        <f>IFERROR(VLOOKUP(C54,'تقرير المصروفات حسب الشهر'!$C$261:$AD$368,23,FALSE),0)</f>
        <v>0</v>
      </c>
      <c r="G54" s="362">
        <f>IFERROR(VLOOKUP(C54,'تقرير المصروفات حسب الشهر'!$C$387:$AD$495,23,FALSE),0)</f>
        <v>100</v>
      </c>
      <c r="H54" s="362">
        <f>IFERROR(VLOOKUP(C54,'تقرير المصروفات حسب الشهر'!$C$512:$AD$620,23,FALSE),0)</f>
        <v>0</v>
      </c>
      <c r="I54" s="362">
        <f>IFERROR(VLOOKUP(C54,'تقرير المصروفات حسب الشهر'!$C$637:$AD$746,23,FALSE),0)</f>
        <v>0</v>
      </c>
      <c r="J54" s="362">
        <f>IFERROR(VLOOKUP(C54,'تقرير المصروفات حسب الشهر'!$C$763:$AD$872,23,FALSE),0)</f>
        <v>0</v>
      </c>
      <c r="K54" s="362">
        <f>IFERROR(VLOOKUP(C54,'تقرير المصروفات حسب الشهر'!$C$890:$AD$999,23,FALSE),0)</f>
        <v>200</v>
      </c>
      <c r="L54" s="362">
        <f>IFERROR(VLOOKUP(C54,'تقرير المصروفات حسب الشهر'!$C$1016:$AD$1126,23,FALSE),0)</f>
        <v>0</v>
      </c>
      <c r="M54" s="376">
        <f>IFERROR(VLOOKUP(C54,'تقرير المصروفات حسب الشهر'!$C$1143:$AD$1254,23,FALSE),0)</f>
        <v>200</v>
      </c>
      <c r="N54" s="376">
        <f>IFERROR(VLOOKUP(C54,'تقرير المصروفات حسب الشهر'!$C$1270:$AD$1381,23,FALSE),0)</f>
        <v>0</v>
      </c>
      <c r="O54" s="376">
        <f>IFERROR(VLOOKUP(C54,'تقرير المصروفات حسب الشهر'!$C$1397:$AI$1512,23,FALSE),0)</f>
        <v>0</v>
      </c>
      <c r="P54" s="364">
        <f t="shared" si="5"/>
        <v>700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الشهر'!$C$10:$AD$119,23,FALSE),0)</f>
        <v>0</v>
      </c>
      <c r="E55" s="362">
        <f>IFERROR(VLOOKUP(C55,'تقرير المصروفات حسب الشهر'!$C$135:$AD$244,23,FALSE),0)</f>
        <v>0</v>
      </c>
      <c r="F55" s="362">
        <f>IFERROR(VLOOKUP(C55,'تقرير المصروفات حسب الشهر'!$C$261:$AD$368,23,FALSE),0)</f>
        <v>0</v>
      </c>
      <c r="G55" s="362">
        <f>IFERROR(VLOOKUP(C55,'تقرير المصروفات حسب الشهر'!$C$387:$AD$495,23,FALSE),0)</f>
        <v>0</v>
      </c>
      <c r="H55" s="362">
        <f>IFERROR(VLOOKUP(C55,'تقرير المصروفات حسب الشهر'!$C$512:$AD$620,23,FALSE),0)</f>
        <v>0</v>
      </c>
      <c r="I55" s="362">
        <f>IFERROR(VLOOKUP(C55,'تقرير المصروفات حسب الشهر'!$C$637:$AD$746,23,FALSE),0)</f>
        <v>0</v>
      </c>
      <c r="J55" s="362">
        <f>IFERROR(VLOOKUP(C55,'تقرير المصروفات حسب الشهر'!$C$763:$AD$872,23,FALSE),0)</f>
        <v>0</v>
      </c>
      <c r="K55" s="362">
        <f>IFERROR(VLOOKUP(C55,'تقرير المصروفات حسب الشهر'!$C$890:$AD$999,23,FALSE),0)</f>
        <v>0</v>
      </c>
      <c r="L55" s="362">
        <f>IFERROR(VLOOKUP(C55,'تقرير المصروفات حسب الشهر'!$C$1016:$AD$1126,23,FALSE),0)</f>
        <v>0</v>
      </c>
      <c r="M55" s="376">
        <f>IFERROR(VLOOKUP(C55,'تقرير المصروفات حسب الشهر'!$C$1143:$AD$1254,23,FALSE),0)</f>
        <v>0</v>
      </c>
      <c r="N55" s="376">
        <f>IFERROR(VLOOKUP(C55,'تقرير المصروفات حسب الشهر'!$C$1270:$AD$1381,23,FALSE),0)</f>
        <v>0</v>
      </c>
      <c r="O55" s="376">
        <f>IFERROR(VLOOKUP(C55,'تقرير المصروفات حسب الشهر'!$C$1397:$AI$1512,23,FALSE),0)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الشهر'!$C$10:$AD$119,23,FALSE),0)</f>
        <v>0</v>
      </c>
      <c r="E56" s="362">
        <f>IFERROR(VLOOKUP(C56,'تقرير المصروفات حسب الشهر'!$C$135:$AD$244,23,FALSE),0)</f>
        <v>0</v>
      </c>
      <c r="F56" s="362">
        <f>IFERROR(VLOOKUP(C56,'تقرير المصروفات حسب الشهر'!$C$261:$AD$368,23,FALSE),0)</f>
        <v>0</v>
      </c>
      <c r="G56" s="362">
        <f>IFERROR(VLOOKUP(C56,'تقرير المصروفات حسب الشهر'!$C$387:$AD$495,23,FALSE),0)</f>
        <v>0</v>
      </c>
      <c r="H56" s="362">
        <f>IFERROR(VLOOKUP(C56,'تقرير المصروفات حسب الشهر'!$C$512:$AD$620,23,FALSE),0)</f>
        <v>0</v>
      </c>
      <c r="I56" s="362">
        <f>IFERROR(VLOOKUP(C56,'تقرير المصروفات حسب الشهر'!$C$637:$AD$746,23,FALSE),0)</f>
        <v>0</v>
      </c>
      <c r="J56" s="362">
        <f>IFERROR(VLOOKUP(C56,'تقرير المصروفات حسب الشهر'!$C$763:$AD$872,23,FALSE),0)</f>
        <v>0</v>
      </c>
      <c r="K56" s="362">
        <f>IFERROR(VLOOKUP(C56,'تقرير المصروفات حسب الشهر'!$C$890:$AD$999,23,FALSE),0)</f>
        <v>0</v>
      </c>
      <c r="L56" s="362">
        <f>IFERROR(VLOOKUP(C56,'تقرير المصروفات حسب الشهر'!$C$1016:$AD$1126,23,FALSE),0)</f>
        <v>0</v>
      </c>
      <c r="M56" s="376">
        <f>IFERROR(VLOOKUP(C56,'تقرير المصروفات حسب الشهر'!$C$1143:$AD$1254,23,FALSE),0)</f>
        <v>0</v>
      </c>
      <c r="N56" s="376">
        <f>IFERROR(VLOOKUP(C56,'تقرير المصروفات حسب الشهر'!$C$1270:$AD$1381,23,FALSE),0)</f>
        <v>0</v>
      </c>
      <c r="O56" s="376">
        <f>IFERROR(VLOOKUP(C56,'تقرير المصروفات حسب الشهر'!$C$1397:$AI$1512,23,FALSE),0)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الشهر'!$C$10:$AD$119,23,FALSE),0)</f>
        <v>0</v>
      </c>
      <c r="E57" s="362">
        <f>IFERROR(VLOOKUP(C57,'تقرير المصروفات حسب الشهر'!$C$135:$AD$244,23,FALSE),0)</f>
        <v>0</v>
      </c>
      <c r="F57" s="362">
        <f>IFERROR(VLOOKUP(C57,'تقرير المصروفات حسب الشهر'!$C$261:$AD$368,23,FALSE),0)</f>
        <v>0</v>
      </c>
      <c r="G57" s="362">
        <f>IFERROR(VLOOKUP(C57,'تقرير المصروفات حسب الشهر'!$C$387:$AD$495,23,FALSE),0)</f>
        <v>0</v>
      </c>
      <c r="H57" s="362">
        <f>IFERROR(VLOOKUP(C57,'تقرير المصروفات حسب الشهر'!$C$512:$AD$620,23,FALSE),0)</f>
        <v>0</v>
      </c>
      <c r="I57" s="362">
        <f>IFERROR(VLOOKUP(C57,'تقرير المصروفات حسب الشهر'!$C$637:$AD$746,23,FALSE),0)</f>
        <v>0</v>
      </c>
      <c r="J57" s="362">
        <f>IFERROR(VLOOKUP(C57,'تقرير المصروفات حسب الشهر'!$C$763:$AD$872,23,FALSE),0)</f>
        <v>0</v>
      </c>
      <c r="K57" s="362">
        <f>IFERROR(VLOOKUP(C57,'تقرير المصروفات حسب الشهر'!$C$890:$AD$999,23,FALSE),0)</f>
        <v>0</v>
      </c>
      <c r="L57" s="362">
        <f>IFERROR(VLOOKUP(C57,'تقرير المصروفات حسب الشهر'!$C$1016:$AD$1126,23,FALSE),0)</f>
        <v>0</v>
      </c>
      <c r="M57" s="376">
        <f>IFERROR(VLOOKUP(C57,'تقرير المصروفات حسب الشهر'!$C$1143:$AD$1254,23,FALSE),0)</f>
        <v>0</v>
      </c>
      <c r="N57" s="376">
        <f>IFERROR(VLOOKUP(C57,'تقرير المصروفات حسب الشهر'!$C$1270:$AD$1381,23,FALSE),0)</f>
        <v>0</v>
      </c>
      <c r="O57" s="376">
        <f>IFERROR(VLOOKUP(C57,'تقرير المصروفات حسب الشهر'!$C$1397:$AI$1512,23,FALSE),0)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الشهر'!$C$10:$AD$119,23,FALSE),0)</f>
        <v>0</v>
      </c>
      <c r="E58" s="362">
        <f>IFERROR(VLOOKUP(C58,'تقرير المصروفات حسب الشهر'!$C$135:$AD$244,23,FALSE),0)</f>
        <v>0</v>
      </c>
      <c r="F58" s="362">
        <f>IFERROR(VLOOKUP(C58,'تقرير المصروفات حسب الشهر'!$C$261:$AD$368,23,FALSE),0)</f>
        <v>0</v>
      </c>
      <c r="G58" s="362">
        <f>IFERROR(VLOOKUP(C58,'تقرير المصروفات حسب الشهر'!$C$387:$AD$495,23,FALSE),0)</f>
        <v>0</v>
      </c>
      <c r="H58" s="362">
        <f>IFERROR(VLOOKUP(C58,'تقرير المصروفات حسب الشهر'!$C$512:$AD$620,23,FALSE),0)</f>
        <v>0</v>
      </c>
      <c r="I58" s="362">
        <f>IFERROR(VLOOKUP(C58,'تقرير المصروفات حسب الشهر'!$C$637:$AD$746,23,FALSE),0)</f>
        <v>0</v>
      </c>
      <c r="J58" s="362">
        <f>IFERROR(VLOOKUP(C58,'تقرير المصروفات حسب الشهر'!$C$763:$AD$872,23,FALSE),0)</f>
        <v>0</v>
      </c>
      <c r="K58" s="362">
        <f>IFERROR(VLOOKUP(C58,'تقرير المصروفات حسب الشهر'!$C$890:$AD$999,23,FALSE),0)</f>
        <v>0</v>
      </c>
      <c r="L58" s="362">
        <f>IFERROR(VLOOKUP(C58,'تقرير المصروفات حسب الشهر'!$C$1016:$AD$1126,23,FALSE),0)</f>
        <v>0</v>
      </c>
      <c r="M58" s="376">
        <f>IFERROR(VLOOKUP(C58,'تقرير المصروفات حسب الشهر'!$C$1143:$AD$1254,23,FALSE),0)</f>
        <v>0</v>
      </c>
      <c r="N58" s="376">
        <f>IFERROR(VLOOKUP(C58,'تقرير المصروفات حسب الشهر'!$C$1270:$AD$1381,23,FALSE),0)</f>
        <v>0</v>
      </c>
      <c r="O58" s="376">
        <f>IFERROR(VLOOKUP(C58,'تقرير المصروفات حسب الشهر'!$C$1397:$AI$1512,23,FALSE),0)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الشهر'!$C$10:$AD$119,23,FALSE),0)</f>
        <v>0</v>
      </c>
      <c r="E59" s="362">
        <f>IFERROR(VLOOKUP(C59,'تقرير المصروفات حسب الشهر'!$C$135:$AD$244,23,FALSE),0)</f>
        <v>2200.25</v>
      </c>
      <c r="F59" s="362">
        <f>IFERROR(VLOOKUP(C59,'تقرير المصروفات حسب الشهر'!$C$261:$AD$368,23,FALSE),0)</f>
        <v>1252.52</v>
      </c>
      <c r="G59" s="362">
        <f>IFERROR(VLOOKUP(C59,'تقرير المصروفات حسب الشهر'!$C$387:$AD$495,23,FALSE),0)</f>
        <v>3778.5</v>
      </c>
      <c r="H59" s="362">
        <f>IFERROR(VLOOKUP(C59,'تقرير المصروفات حسب الشهر'!$C$512:$AD$620,23,FALSE),0)</f>
        <v>0</v>
      </c>
      <c r="I59" s="362">
        <f>IFERROR(VLOOKUP(C59,'تقرير المصروفات حسب الشهر'!$C$637:$AD$746,23,FALSE),0)</f>
        <v>1355.75</v>
      </c>
      <c r="J59" s="362">
        <f>IFERROR(VLOOKUP(C59,'تقرير المصروفات حسب الشهر'!$C$763:$AD$872,23,FALSE),0)</f>
        <v>1300.25</v>
      </c>
      <c r="K59" s="362">
        <f>IFERROR(VLOOKUP(C59,'تقرير المصروفات حسب الشهر'!$C$890:$AD$999,23,FALSE),0)</f>
        <v>0</v>
      </c>
      <c r="L59" s="362">
        <f>IFERROR(VLOOKUP(C59,'تقرير المصروفات حسب الشهر'!$C$1016:$AD$1126,23,FALSE),0)</f>
        <v>3900.25</v>
      </c>
      <c r="M59" s="376">
        <f>IFERROR(VLOOKUP(C59,'تقرير المصروفات حسب الشهر'!$C$1143:$AD$1254,23,FALSE),0)</f>
        <v>3222.25</v>
      </c>
      <c r="N59" s="376">
        <f>IFERROR(VLOOKUP(C59,'تقرير المصروفات حسب الشهر'!$C$1270:$AD$1381,23,FALSE),0)</f>
        <v>6888.5</v>
      </c>
      <c r="O59" s="376">
        <f>IFERROR(VLOOKUP(C59,'تقرير المصروفات حسب الشهر'!$C$1397:$AI$1512,23,FALSE),0)</f>
        <v>1200.25</v>
      </c>
      <c r="P59" s="364">
        <f t="shared" si="5"/>
        <v>25098.52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الشهر'!$C$10:$AD$119,23,FALSE),0)</f>
        <v>2600</v>
      </c>
      <c r="E60" s="362">
        <f>IFERROR(VLOOKUP(C60,'تقرير المصروفات حسب الشهر'!$C$135:$AD$244,23,FALSE),0)</f>
        <v>0</v>
      </c>
      <c r="F60" s="362">
        <f>IFERROR(VLOOKUP(C60,'تقرير المصروفات حسب الشهر'!$C$261:$AD$368,23,FALSE),0)</f>
        <v>0</v>
      </c>
      <c r="G60" s="362">
        <f>IFERROR(VLOOKUP(C60,'تقرير المصروفات حسب الشهر'!$C$387:$AD$495,23,FALSE),0)</f>
        <v>0</v>
      </c>
      <c r="H60" s="362">
        <f>IFERROR(VLOOKUP(C60,'تقرير المصروفات حسب الشهر'!$C$512:$AD$620,23,FALSE),0)</f>
        <v>0</v>
      </c>
      <c r="I60" s="362">
        <f>IFERROR(VLOOKUP(C60,'تقرير المصروفات حسب الشهر'!$C$637:$AD$746,23,FALSE),0)</f>
        <v>1550</v>
      </c>
      <c r="J60" s="362">
        <f>IFERROR(VLOOKUP(C60,'تقرير المصروفات حسب الشهر'!$C$763:$AD$872,23,FALSE),0)</f>
        <v>0</v>
      </c>
      <c r="K60" s="362">
        <f>IFERROR(VLOOKUP(C60,'تقرير المصروفات حسب الشهر'!$C$890:$AD$999,23,FALSE),0)</f>
        <v>1650</v>
      </c>
      <c r="L60" s="362">
        <f>IFERROR(VLOOKUP(C60,'تقرير المصروفات حسب الشهر'!$C$1016:$AD$1126,23,FALSE),0)</f>
        <v>0</v>
      </c>
      <c r="M60" s="376">
        <f>IFERROR(VLOOKUP(C60,'تقرير المصروفات حسب الشهر'!$C$1143:$AD$1254,23,FALSE),0)</f>
        <v>2640</v>
      </c>
      <c r="N60" s="376">
        <f>IFERROR(VLOOKUP(C60,'تقرير المصروفات حسب الشهر'!$C$1270:$AD$1381,23,FALSE),0)</f>
        <v>0</v>
      </c>
      <c r="O60" s="376">
        <f>IFERROR(VLOOKUP(C60,'تقرير المصروفات حسب الشهر'!$C$1397:$AI$1512,23,FALSE),0)</f>
        <v>0</v>
      </c>
      <c r="P60" s="364">
        <f t="shared" si="5"/>
        <v>8440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الشهر'!$C$10:$AD$119,23,FALSE),0)</f>
        <v>0</v>
      </c>
      <c r="E61" s="362">
        <f>IFERROR(VLOOKUP(C61,'تقرير المصروفات حسب الشهر'!$C$135:$AD$244,23,FALSE),0)</f>
        <v>0</v>
      </c>
      <c r="F61" s="362">
        <f>IFERROR(VLOOKUP(C61,'تقرير المصروفات حسب الشهر'!$C$261:$AD$368,23,FALSE),0)</f>
        <v>0</v>
      </c>
      <c r="G61" s="362">
        <f>IFERROR(VLOOKUP(C61,'تقرير المصروفات حسب الشهر'!$C$387:$AD$495,23,FALSE),0)</f>
        <v>0</v>
      </c>
      <c r="H61" s="362">
        <f>IFERROR(VLOOKUP(C61,'تقرير المصروفات حسب الشهر'!$C$512:$AD$620,23,FALSE),0)</f>
        <v>0</v>
      </c>
      <c r="I61" s="362">
        <f>IFERROR(VLOOKUP(C61,'تقرير المصروفات حسب الشهر'!$C$637:$AD$746,23,FALSE),0)</f>
        <v>0</v>
      </c>
      <c r="J61" s="362">
        <f>IFERROR(VLOOKUP(C61,'تقرير المصروفات حسب الشهر'!$C$763:$AD$872,23,FALSE),0)</f>
        <v>0</v>
      </c>
      <c r="K61" s="362">
        <f>IFERROR(VLOOKUP(C61,'تقرير المصروفات حسب الشهر'!$C$890:$AD$999,23,FALSE),0)</f>
        <v>0</v>
      </c>
      <c r="L61" s="362">
        <f>IFERROR(VLOOKUP(C61,'تقرير المصروفات حسب الشهر'!$C$1016:$AD$1126,23,FALSE),0)</f>
        <v>350</v>
      </c>
      <c r="M61" s="376">
        <f>IFERROR(VLOOKUP(C61,'تقرير المصروفات حسب الشهر'!$C$1143:$AD$1254,23,FALSE),0)</f>
        <v>0</v>
      </c>
      <c r="N61" s="376">
        <f>IFERROR(VLOOKUP(C61,'تقرير المصروفات حسب الشهر'!$C$1270:$AD$1381,23,FALSE),0)</f>
        <v>0</v>
      </c>
      <c r="O61" s="376">
        <f>IFERROR(VLOOKUP(C61,'تقرير المصروفات حسب الشهر'!$C$1397:$AI$1512,23,FALSE),0)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الشهر'!$C$10:$AD$119,23,FALSE),0)</f>
        <v>0</v>
      </c>
      <c r="E62" s="362">
        <f>IFERROR(VLOOKUP(C62,'تقرير المصروفات حسب الشهر'!$C$135:$AD$244,23,FALSE),0)</f>
        <v>0</v>
      </c>
      <c r="F62" s="362">
        <f>IFERROR(VLOOKUP(C62,'تقرير المصروفات حسب الشهر'!$C$261:$AD$368,23,FALSE),0)</f>
        <v>0</v>
      </c>
      <c r="G62" s="362">
        <f>IFERROR(VLOOKUP(C62,'تقرير المصروفات حسب الشهر'!$C$387:$AD$495,23,FALSE),0)</f>
        <v>0</v>
      </c>
      <c r="H62" s="362">
        <f>IFERROR(VLOOKUP(C62,'تقرير المصروفات حسب الشهر'!$C$512:$AD$620,23,FALSE),0)</f>
        <v>0</v>
      </c>
      <c r="I62" s="362">
        <f>IFERROR(VLOOKUP(C62,'تقرير المصروفات حسب الشهر'!$C$637:$AD$746,23,FALSE),0)</f>
        <v>0</v>
      </c>
      <c r="J62" s="362">
        <f>IFERROR(VLOOKUP(C62,'تقرير المصروفات حسب الشهر'!$C$763:$AD$872,23,FALSE),0)</f>
        <v>0</v>
      </c>
      <c r="K62" s="362">
        <f>IFERROR(VLOOKUP(C62,'تقرير المصروفات حسب الشهر'!$C$890:$AD$999,23,FALSE),0)</f>
        <v>0</v>
      </c>
      <c r="L62" s="362">
        <f>IFERROR(VLOOKUP(C62,'تقرير المصروفات حسب الشهر'!$C$1016:$AD$1126,23,FALSE),0)</f>
        <v>0</v>
      </c>
      <c r="M62" s="376">
        <f>IFERROR(VLOOKUP(C62,'تقرير المصروفات حسب الشهر'!$C$1143:$AD$1254,23,FALSE),0)</f>
        <v>0</v>
      </c>
      <c r="N62" s="376">
        <f>IFERROR(VLOOKUP(C62,'تقرير المصروفات حسب الشهر'!$C$1270:$AD$1381,23,FALSE),0)</f>
        <v>0</v>
      </c>
      <c r="O62" s="376">
        <f>IFERROR(VLOOKUP(C62,'تقرير المصروفات حسب الشهر'!$C$1397:$AI$1512,23,FALSE),0)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الشهر'!$C$10:$AD$119,23,FALSE),0)</f>
        <v>0</v>
      </c>
      <c r="E63" s="362">
        <f>IFERROR(VLOOKUP(C63,'تقرير المصروفات حسب الشهر'!$C$135:$AD$244,23,FALSE),0)</f>
        <v>0</v>
      </c>
      <c r="F63" s="362">
        <f>IFERROR(VLOOKUP(C63,'تقرير المصروفات حسب الشهر'!$C$261:$AD$368,23,FALSE),0)</f>
        <v>0</v>
      </c>
      <c r="G63" s="362">
        <f>IFERROR(VLOOKUP(C63,'تقرير المصروفات حسب الشهر'!$C$387:$AD$495,23,FALSE),0)</f>
        <v>0</v>
      </c>
      <c r="H63" s="362">
        <f>IFERROR(VLOOKUP(C63,'تقرير المصروفات حسب الشهر'!$C$512:$AD$620,23,FALSE),0)</f>
        <v>0</v>
      </c>
      <c r="I63" s="362">
        <f>IFERROR(VLOOKUP(C63,'تقرير المصروفات حسب الشهر'!$C$637:$AD$746,23,FALSE),0)</f>
        <v>0</v>
      </c>
      <c r="J63" s="362">
        <f>IFERROR(VLOOKUP(C63,'تقرير المصروفات حسب الشهر'!$C$763:$AD$872,23,FALSE),0)</f>
        <v>0</v>
      </c>
      <c r="K63" s="362">
        <f>IFERROR(VLOOKUP(C63,'تقرير المصروفات حسب الشهر'!$C$890:$AD$999,23,FALSE),0)</f>
        <v>0</v>
      </c>
      <c r="L63" s="362">
        <f>IFERROR(VLOOKUP(C63,'تقرير المصروفات حسب الشهر'!$C$1016:$AD$1126,23,FALSE),0)</f>
        <v>0</v>
      </c>
      <c r="M63" s="376">
        <f>IFERROR(VLOOKUP(C63,'تقرير المصروفات حسب الشهر'!$C$1143:$AD$1254,23,FALSE),0)</f>
        <v>0</v>
      </c>
      <c r="N63" s="376">
        <f>IFERROR(VLOOKUP(C63,'تقرير المصروفات حسب الشهر'!$C$1270:$AD$1381,23,FALSE),0)</f>
        <v>0</v>
      </c>
      <c r="O63" s="376">
        <f>IFERROR(VLOOKUP(C63,'تقرير المصروفات حسب الشهر'!$C$1397:$AI$1512,23,FALSE),0)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الشهر'!$C$10:$AD$119,23,FALSE),0)</f>
        <v>0</v>
      </c>
      <c r="E64" s="362">
        <f>IFERROR(VLOOKUP(C64,'تقرير المصروفات حسب الشهر'!$C$135:$AD$244,23,FALSE),0)</f>
        <v>0</v>
      </c>
      <c r="F64" s="362">
        <f>IFERROR(VLOOKUP(C64,'تقرير المصروفات حسب الشهر'!$C$261:$AD$368,23,FALSE),0)</f>
        <v>0</v>
      </c>
      <c r="G64" s="362">
        <f>IFERROR(VLOOKUP(C64,'تقرير المصروفات حسب الشهر'!$C$387:$AD$495,23,FALSE),0)</f>
        <v>0</v>
      </c>
      <c r="H64" s="362">
        <f>IFERROR(VLOOKUP(C64,'تقرير المصروفات حسب الشهر'!$C$512:$AD$620,23,FALSE),0)</f>
        <v>600</v>
      </c>
      <c r="I64" s="362">
        <f>IFERROR(VLOOKUP(C64,'تقرير المصروفات حسب الشهر'!$C$637:$AD$746,23,FALSE),0)</f>
        <v>0</v>
      </c>
      <c r="J64" s="362">
        <f>IFERROR(VLOOKUP(C64,'تقرير المصروفات حسب الشهر'!$C$763:$AD$872,23,FALSE),0)</f>
        <v>0</v>
      </c>
      <c r="K64" s="362">
        <f>IFERROR(VLOOKUP(C64,'تقرير المصروفات حسب الشهر'!$C$890:$AD$999,23,FALSE),0)</f>
        <v>0</v>
      </c>
      <c r="L64" s="362">
        <f>IFERROR(VLOOKUP(C64,'تقرير المصروفات حسب الشهر'!$C$1016:$AD$1126,23,FALSE),0)</f>
        <v>0</v>
      </c>
      <c r="M64" s="376">
        <f>IFERROR(VLOOKUP(C64,'تقرير المصروفات حسب الشهر'!$C$1143:$AD$1254,23,FALSE),0)</f>
        <v>0</v>
      </c>
      <c r="N64" s="376">
        <f>IFERROR(VLOOKUP(C64,'تقرير المصروفات حسب الشهر'!$C$1270:$AD$1381,23,FALSE),0)</f>
        <v>0</v>
      </c>
      <c r="O64" s="376">
        <f>IFERROR(VLOOKUP(C64,'تقرير المصروفات حسب الشهر'!$C$1397:$AI$1512,23,FALSE),0)</f>
        <v>0</v>
      </c>
      <c r="P64" s="364">
        <f t="shared" si="5"/>
        <v>600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الشهر'!$C$10:$AD$119,23,FALSE),0)</f>
        <v>0</v>
      </c>
      <c r="E65" s="362">
        <f>IFERROR(VLOOKUP(C65,'تقرير المصروفات حسب الشهر'!$C$135:$AD$244,23,FALSE),0)</f>
        <v>0</v>
      </c>
      <c r="F65" s="362">
        <f>IFERROR(VLOOKUP(C65,'تقرير المصروفات حسب الشهر'!$C$261:$AD$368,23,FALSE),0)</f>
        <v>0</v>
      </c>
      <c r="G65" s="362">
        <f>IFERROR(VLOOKUP(C65,'تقرير المصروفات حسب الشهر'!$C$387:$AD$495,23,FALSE),0)</f>
        <v>0</v>
      </c>
      <c r="H65" s="362">
        <f>IFERROR(VLOOKUP(C65,'تقرير المصروفات حسب الشهر'!$C$512:$AD$620,23,FALSE),0)</f>
        <v>0</v>
      </c>
      <c r="I65" s="362">
        <f>IFERROR(VLOOKUP(C65,'تقرير المصروفات حسب الشهر'!$C$637:$AD$746,23,FALSE),0)</f>
        <v>0</v>
      </c>
      <c r="J65" s="362">
        <f>IFERROR(VLOOKUP(C65,'تقرير المصروفات حسب الشهر'!$C$763:$AD$872,23,FALSE),0)</f>
        <v>0</v>
      </c>
      <c r="K65" s="362">
        <f>IFERROR(VLOOKUP(C65,'تقرير المصروفات حسب الشهر'!$C$890:$AD$999,23,FALSE),0)</f>
        <v>0</v>
      </c>
      <c r="L65" s="362">
        <f>IFERROR(VLOOKUP(C65,'تقرير المصروفات حسب الشهر'!$C$1016:$AD$1126,23,FALSE),0)</f>
        <v>0</v>
      </c>
      <c r="M65" s="376">
        <f>IFERROR(VLOOKUP(C65,'تقرير المصروفات حسب الشهر'!$C$1143:$AD$1254,23,FALSE),0)</f>
        <v>0</v>
      </c>
      <c r="N65" s="376">
        <f>IFERROR(VLOOKUP(C65,'تقرير المصروفات حسب الشهر'!$C$1270:$AD$1381,23,FALSE),0)</f>
        <v>0</v>
      </c>
      <c r="O65" s="376">
        <f>IFERROR(VLOOKUP(C65,'تقرير المصروفات حسب الشهر'!$C$1397:$AI$1512,23,FALSE),0)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الشهر'!$C$10:$AD$119,23,FALSE),0)</f>
        <v>0</v>
      </c>
      <c r="E66" s="362">
        <f>IFERROR(VLOOKUP(C66,'تقرير المصروفات حسب الشهر'!$C$135:$AD$244,23,FALSE),0)</f>
        <v>0</v>
      </c>
      <c r="F66" s="362">
        <f>IFERROR(VLOOKUP(C66,'تقرير المصروفات حسب الشهر'!$C$261:$AD$368,23,FALSE),0)</f>
        <v>0</v>
      </c>
      <c r="G66" s="362">
        <f>IFERROR(VLOOKUP(C66,'تقرير المصروفات حسب الشهر'!$C$387:$AD$495,23,FALSE),0)</f>
        <v>0</v>
      </c>
      <c r="H66" s="362">
        <f>IFERROR(VLOOKUP(C66,'تقرير المصروفات حسب الشهر'!$C$512:$AD$620,23,FALSE),0)</f>
        <v>0</v>
      </c>
      <c r="I66" s="362">
        <f>IFERROR(VLOOKUP(C66,'تقرير المصروفات حسب الشهر'!$C$637:$AD$746,23,FALSE),0)</f>
        <v>0</v>
      </c>
      <c r="J66" s="362">
        <f>IFERROR(VLOOKUP(C66,'تقرير المصروفات حسب الشهر'!$C$763:$AD$872,23,FALSE),0)</f>
        <v>0</v>
      </c>
      <c r="K66" s="362">
        <f>IFERROR(VLOOKUP(C66,'تقرير المصروفات حسب الشهر'!$C$890:$AD$999,23,FALSE),0)</f>
        <v>0</v>
      </c>
      <c r="L66" s="362">
        <f>IFERROR(VLOOKUP(C66,'تقرير المصروفات حسب الشهر'!$C$1016:$AD$1126,23,FALSE),0)</f>
        <v>0</v>
      </c>
      <c r="M66" s="376">
        <f>IFERROR(VLOOKUP(C66,'تقرير المصروفات حسب الشهر'!$C$1143:$AD$1254,23,FALSE),0)</f>
        <v>0</v>
      </c>
      <c r="N66" s="376">
        <f>IFERROR(VLOOKUP(C66,'تقرير المصروفات حسب الشهر'!$C$1270:$AD$1381,23,FALSE),0)</f>
        <v>0</v>
      </c>
      <c r="O66" s="376">
        <f>IFERROR(VLOOKUP(C66,'تقرير المصروفات حسب الشهر'!$C$1397:$AI$1512,23,FALSE),0)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الشهر'!$C$10:$AD$119,23,FALSE),0)</f>
        <v>0</v>
      </c>
      <c r="E67" s="362">
        <f>IFERROR(VLOOKUP(C67,'تقرير المصروفات حسب الشهر'!$C$135:$AD$244,23,FALSE),0)</f>
        <v>0</v>
      </c>
      <c r="F67" s="362">
        <f>IFERROR(VLOOKUP(C67,'تقرير المصروفات حسب الشهر'!$C$261:$AD$368,23,FALSE),0)</f>
        <v>0</v>
      </c>
      <c r="G67" s="362">
        <f>IFERROR(VLOOKUP(C67,'تقرير المصروفات حسب الشهر'!$C$387:$AD$495,23,FALSE),0)</f>
        <v>0</v>
      </c>
      <c r="H67" s="362">
        <f>IFERROR(VLOOKUP(C67,'تقرير المصروفات حسب الشهر'!$C$512:$AD$620,23,FALSE),0)</f>
        <v>0</v>
      </c>
      <c r="I67" s="362">
        <f>IFERROR(VLOOKUP(C67,'تقرير المصروفات حسب الشهر'!$C$637:$AD$746,23,FALSE),0)</f>
        <v>0</v>
      </c>
      <c r="J67" s="362">
        <f>IFERROR(VLOOKUP(C67,'تقرير المصروفات حسب الشهر'!$C$763:$AD$872,23,FALSE),0)</f>
        <v>0</v>
      </c>
      <c r="K67" s="362">
        <f>IFERROR(VLOOKUP(C67,'تقرير المصروفات حسب الشهر'!$C$890:$AD$999,23,FALSE),0)</f>
        <v>0</v>
      </c>
      <c r="L67" s="362">
        <f>IFERROR(VLOOKUP(C67,'تقرير المصروفات حسب الشهر'!$C$1016:$AD$1126,23,FALSE),0)</f>
        <v>0</v>
      </c>
      <c r="M67" s="376">
        <f>IFERROR(VLOOKUP(C67,'تقرير المصروفات حسب الشهر'!$C$1143:$AD$1254,23,FALSE),0)</f>
        <v>0</v>
      </c>
      <c r="N67" s="376">
        <f>IFERROR(VLOOKUP(C67,'تقرير المصروفات حسب الشهر'!$C$1270:$AD$1381,23,FALSE),0)</f>
        <v>0</v>
      </c>
      <c r="O67" s="376">
        <f>IFERROR(VLOOKUP(C67,'تقرير المصروفات حسب الشهر'!$C$1397:$AI$1512,23,FALSE),0)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الشهر'!$C$10:$AD$119,23,FALSE),0)</f>
        <v>0</v>
      </c>
      <c r="E68" s="362">
        <f>IFERROR(VLOOKUP(C68,'تقرير المصروفات حسب الشهر'!$C$135:$AD$244,23,FALSE),0)</f>
        <v>0</v>
      </c>
      <c r="F68" s="362">
        <f>IFERROR(VLOOKUP(C68,'تقرير المصروفات حسب الشهر'!$C$261:$AD$368,23,FALSE),0)</f>
        <v>0</v>
      </c>
      <c r="G68" s="362">
        <f>IFERROR(VLOOKUP(C68,'تقرير المصروفات حسب الشهر'!$C$387:$AD$495,23,FALSE),0)</f>
        <v>0</v>
      </c>
      <c r="H68" s="362">
        <f>IFERROR(VLOOKUP(C68,'تقرير المصروفات حسب الشهر'!$C$512:$AD$620,23,FALSE),0)</f>
        <v>0</v>
      </c>
      <c r="I68" s="362">
        <f>IFERROR(VLOOKUP(C68,'تقرير المصروفات حسب الشهر'!$C$637:$AD$746,23,FALSE),0)</f>
        <v>0</v>
      </c>
      <c r="J68" s="362">
        <f>IFERROR(VLOOKUP(C68,'تقرير المصروفات حسب الشهر'!$C$763:$AD$872,23,FALSE),0)</f>
        <v>0</v>
      </c>
      <c r="K68" s="362">
        <f>IFERROR(VLOOKUP(C68,'تقرير المصروفات حسب الشهر'!$C$890:$AD$999,23,FALSE),0)</f>
        <v>0</v>
      </c>
      <c r="L68" s="362">
        <f>IFERROR(VLOOKUP(C68,'تقرير المصروفات حسب الشهر'!$C$1016:$AD$1126,23,FALSE),0)</f>
        <v>0</v>
      </c>
      <c r="M68" s="376">
        <f>IFERROR(VLOOKUP(C68,'تقرير المصروفات حسب الشهر'!$C$1143:$AD$1254,23,FALSE),0)</f>
        <v>0</v>
      </c>
      <c r="N68" s="376">
        <f>IFERROR(VLOOKUP(C68,'تقرير المصروفات حسب الشهر'!$C$1270:$AD$1381,23,FALSE),0)</f>
        <v>0</v>
      </c>
      <c r="O68" s="376">
        <f>IFERROR(VLOOKUP(C68,'تقرير المصروفات حسب الشهر'!$C$1397:$AI$1512,23,FALSE),0)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الشهر'!$C$10:$AD$119,23,FALSE),0)</f>
        <v>0</v>
      </c>
      <c r="E69" s="362">
        <f>IFERROR(VLOOKUP(C69,'تقرير المصروفات حسب الشهر'!$C$135:$AD$244,23,FALSE),0)</f>
        <v>0</v>
      </c>
      <c r="F69" s="362">
        <f>IFERROR(VLOOKUP(C69,'تقرير المصروفات حسب الشهر'!$C$261:$AD$368,23,FALSE),0)</f>
        <v>0</v>
      </c>
      <c r="G69" s="362">
        <f>IFERROR(VLOOKUP(C69,'تقرير المصروفات حسب الشهر'!$C$387:$AD$495,23,FALSE),0)</f>
        <v>0</v>
      </c>
      <c r="H69" s="362">
        <f>IFERROR(VLOOKUP(C69,'تقرير المصروفات حسب الشهر'!$C$512:$AD$620,23,FALSE),0)</f>
        <v>0</v>
      </c>
      <c r="I69" s="362">
        <f>IFERROR(VLOOKUP(C69,'تقرير المصروفات حسب الشهر'!$C$637:$AD$746,23,FALSE),0)</f>
        <v>0</v>
      </c>
      <c r="J69" s="362">
        <f>IFERROR(VLOOKUP(C69,'تقرير المصروفات حسب الشهر'!$C$763:$AD$872,23,FALSE),0)</f>
        <v>0</v>
      </c>
      <c r="K69" s="362">
        <f>IFERROR(VLOOKUP(C69,'تقرير المصروفات حسب الشهر'!$C$890:$AD$999,23,FALSE),0)</f>
        <v>0</v>
      </c>
      <c r="L69" s="362">
        <f>IFERROR(VLOOKUP(C69,'تقرير المصروفات حسب الشهر'!$C$1016:$AD$1126,23,FALSE),0)</f>
        <v>0</v>
      </c>
      <c r="M69" s="376">
        <f>IFERROR(VLOOKUP(C69,'تقرير المصروفات حسب الشهر'!$C$1143:$AD$1254,23,FALSE),0)</f>
        <v>0</v>
      </c>
      <c r="N69" s="376">
        <f>IFERROR(VLOOKUP(C69,'تقرير المصروفات حسب الشهر'!$C$1270:$AD$1381,23,FALSE),0)</f>
        <v>0</v>
      </c>
      <c r="O69" s="376">
        <f>IFERROR(VLOOKUP(C69,'تقرير المصروفات حسب الشهر'!$C$1397:$AI$1512,23,FALSE),0)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الشهر'!$C$10:$AD$119,23,FALSE),0)</f>
        <v>0</v>
      </c>
      <c r="E70" s="362">
        <f>IFERROR(VLOOKUP(C70,'تقرير المصروفات حسب الشهر'!$C$135:$AD$244,23,FALSE),0)</f>
        <v>0</v>
      </c>
      <c r="F70" s="362">
        <f>IFERROR(VLOOKUP(C70,'تقرير المصروفات حسب الشهر'!$C$261:$AD$368,23,FALSE),0)</f>
        <v>0</v>
      </c>
      <c r="G70" s="362">
        <f>IFERROR(VLOOKUP(C70,'تقرير المصروفات حسب الشهر'!$C$387:$AD$495,23,FALSE),0)</f>
        <v>0</v>
      </c>
      <c r="H70" s="362">
        <f>IFERROR(VLOOKUP(C70,'تقرير المصروفات حسب الشهر'!$C$512:$AD$620,23,FALSE),0)</f>
        <v>0</v>
      </c>
      <c r="I70" s="362">
        <f>IFERROR(VLOOKUP(C70,'تقرير المصروفات حسب الشهر'!$C$637:$AD$746,23,FALSE),0)</f>
        <v>0</v>
      </c>
      <c r="J70" s="362">
        <f>IFERROR(VLOOKUP(C70,'تقرير المصروفات حسب الشهر'!$C$763:$AD$872,23,FALSE),0)</f>
        <v>0</v>
      </c>
      <c r="K70" s="362">
        <f>IFERROR(VLOOKUP(C70,'تقرير المصروفات حسب الشهر'!$C$890:$AD$999,23,FALSE),0)</f>
        <v>0</v>
      </c>
      <c r="L70" s="362">
        <f>IFERROR(VLOOKUP(C70,'تقرير المصروفات حسب الشهر'!$C$1016:$AD$1126,23,FALSE),0)</f>
        <v>0</v>
      </c>
      <c r="M70" s="376">
        <f>IFERROR(VLOOKUP(C70,'تقرير المصروفات حسب الشهر'!$C$1143:$AD$1254,23,FALSE),0)</f>
        <v>0</v>
      </c>
      <c r="N70" s="376">
        <f>IFERROR(VLOOKUP(C70,'تقرير المصروفات حسب الشهر'!$C$1270:$AD$1381,23,FALSE),0)</f>
        <v>0</v>
      </c>
      <c r="O70" s="376">
        <f>IFERROR(VLOOKUP(C70,'تقرير المصروفات حسب الشهر'!$C$1397:$AI$1512,23,FALSE),0)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الشهر'!$C$10:$AD$119,23,FALSE),0)</f>
        <v>0</v>
      </c>
      <c r="E71" s="362">
        <f>IFERROR(VLOOKUP(C71,'تقرير المصروفات حسب الشهر'!$C$135:$AD$244,23,FALSE),0)</f>
        <v>0</v>
      </c>
      <c r="F71" s="362">
        <f>IFERROR(VLOOKUP(C71,'تقرير المصروفات حسب الشهر'!$C$261:$AD$368,23,FALSE),0)</f>
        <v>0</v>
      </c>
      <c r="G71" s="362">
        <f>IFERROR(VLOOKUP(C71,'تقرير المصروفات حسب الشهر'!$C$387:$AD$495,23,FALSE),0)</f>
        <v>0</v>
      </c>
      <c r="H71" s="362">
        <f>IFERROR(VLOOKUP(C71,'تقرير المصروفات حسب الشهر'!$C$512:$AD$620,23,FALSE),0)</f>
        <v>0</v>
      </c>
      <c r="I71" s="362">
        <f>IFERROR(VLOOKUP(C71,'تقرير المصروفات حسب الشهر'!$C$637:$AD$746,23,FALSE),0)</f>
        <v>0</v>
      </c>
      <c r="J71" s="362">
        <f>IFERROR(VLOOKUP(C71,'تقرير المصروفات حسب الشهر'!$C$763:$AD$872,23,FALSE),0)</f>
        <v>0</v>
      </c>
      <c r="K71" s="362">
        <f>IFERROR(VLOOKUP(C71,'تقرير المصروفات حسب الشهر'!$C$890:$AD$999,23,FALSE),0)</f>
        <v>0</v>
      </c>
      <c r="L71" s="362">
        <f>IFERROR(VLOOKUP(C71,'تقرير المصروفات حسب الشهر'!$C$1016:$AD$1126,23,FALSE),0)</f>
        <v>0</v>
      </c>
      <c r="M71" s="376">
        <f>IFERROR(VLOOKUP(C71,'تقرير المصروفات حسب الشهر'!$C$1143:$AD$1254,23,FALSE),0)</f>
        <v>0</v>
      </c>
      <c r="N71" s="376">
        <f>IFERROR(VLOOKUP(C71,'تقرير المصروفات حسب الشهر'!$C$1270:$AD$1381,23,FALSE),0)</f>
        <v>0</v>
      </c>
      <c r="O71" s="376">
        <f>IFERROR(VLOOKUP(C71,'تقرير المصروفات حسب الشهر'!$C$1397:$AI$1512,23,FALSE),0)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الشهر'!$C$10:$AD$119,23,FALSE),0)</f>
        <v>0</v>
      </c>
      <c r="E72" s="362">
        <f>IFERROR(VLOOKUP(C72,'تقرير المصروفات حسب الشهر'!$C$135:$AD$244,23,FALSE),0)</f>
        <v>0</v>
      </c>
      <c r="F72" s="362">
        <f>IFERROR(VLOOKUP(C72,'تقرير المصروفات حسب الشهر'!$C$261:$AD$368,23,FALSE),0)</f>
        <v>0</v>
      </c>
      <c r="G72" s="362">
        <f>IFERROR(VLOOKUP(C72,'تقرير المصروفات حسب الشهر'!$C$387:$AD$495,23,FALSE),0)</f>
        <v>0</v>
      </c>
      <c r="H72" s="362">
        <f>IFERROR(VLOOKUP(C72,'تقرير المصروفات حسب الشهر'!$C$512:$AD$620,23,FALSE),0)</f>
        <v>0</v>
      </c>
      <c r="I72" s="362">
        <f>IFERROR(VLOOKUP(C72,'تقرير المصروفات حسب الشهر'!$C$637:$AD$746,23,FALSE),0)</f>
        <v>0</v>
      </c>
      <c r="J72" s="362">
        <f>IFERROR(VLOOKUP(C72,'تقرير المصروفات حسب الشهر'!$C$763:$AD$872,23,FALSE),0)</f>
        <v>0</v>
      </c>
      <c r="K72" s="362">
        <f>IFERROR(VLOOKUP(C72,'تقرير المصروفات حسب الشهر'!$C$890:$AD$999,23,FALSE),0)</f>
        <v>0</v>
      </c>
      <c r="L72" s="362">
        <f>IFERROR(VLOOKUP(C72,'تقرير المصروفات حسب الشهر'!$C$1016:$AD$1126,23,FALSE),0)</f>
        <v>0</v>
      </c>
      <c r="M72" s="376">
        <f>IFERROR(VLOOKUP(C72,'تقرير المصروفات حسب الشهر'!$C$1143:$AD$1254,23,FALSE),0)</f>
        <v>0</v>
      </c>
      <c r="N72" s="376">
        <f>IFERROR(VLOOKUP(C72,'تقرير المصروفات حسب الشهر'!$C$1270:$AD$1381,23,FALSE),0)</f>
        <v>0</v>
      </c>
      <c r="O72" s="376">
        <f>IFERROR(VLOOKUP(C72,'تقرير المصروفات حسب الشهر'!$C$1397:$AI$1512,23,FALSE),0)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الشهر'!$C$10:$AD$119,23,FALSE),0)</f>
        <v>0</v>
      </c>
      <c r="E73" s="362">
        <f>IFERROR(VLOOKUP(C73,'تقرير المصروفات حسب الشهر'!$C$135:$AD$244,23,FALSE),0)</f>
        <v>0</v>
      </c>
      <c r="F73" s="362">
        <f>IFERROR(VLOOKUP(C73,'تقرير المصروفات حسب الشهر'!$C$261:$AD$368,23,FALSE),0)</f>
        <v>0</v>
      </c>
      <c r="G73" s="362">
        <f>IFERROR(VLOOKUP(C73,'تقرير المصروفات حسب الشهر'!$C$387:$AD$495,23,FALSE),0)</f>
        <v>0</v>
      </c>
      <c r="H73" s="362">
        <f>IFERROR(VLOOKUP(C73,'تقرير المصروفات حسب الشهر'!$C$512:$AD$620,23,FALSE),0)</f>
        <v>0</v>
      </c>
      <c r="I73" s="362">
        <f>IFERROR(VLOOKUP(C73,'تقرير المصروفات حسب الشهر'!$C$637:$AD$746,23,FALSE),0)</f>
        <v>0</v>
      </c>
      <c r="J73" s="362">
        <f>IFERROR(VLOOKUP(C73,'تقرير المصروفات حسب الشهر'!$C$763:$AD$872,23,FALSE),0)</f>
        <v>0</v>
      </c>
      <c r="K73" s="362">
        <f>IFERROR(VLOOKUP(C73,'تقرير المصروفات حسب الشهر'!$C$890:$AD$999,23,FALSE),0)</f>
        <v>0</v>
      </c>
      <c r="L73" s="362">
        <f>IFERROR(VLOOKUP(C73,'تقرير المصروفات حسب الشهر'!$C$1016:$AD$1126,23,FALSE),0)</f>
        <v>0</v>
      </c>
      <c r="M73" s="376">
        <f>IFERROR(VLOOKUP(C73,'تقرير المصروفات حسب الشهر'!$C$1143:$AD$1254,23,FALSE),0)</f>
        <v>0</v>
      </c>
      <c r="N73" s="376">
        <f>IFERROR(VLOOKUP(C73,'تقرير المصروفات حسب الشهر'!$C$1270:$AD$1381,23,FALSE),0)</f>
        <v>0</v>
      </c>
      <c r="O73" s="376">
        <f>IFERROR(VLOOKUP(C73,'تقرير المصروفات حسب الشهر'!$C$1397:$AI$1512,23,FALSE),0)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الشهر'!$C$10:$AD$119,23,FALSE),0)</f>
        <v>0</v>
      </c>
      <c r="E74" s="362">
        <f>IFERROR(VLOOKUP(C74,'تقرير المصروفات حسب الشهر'!$C$135:$AD$244,23,FALSE),0)</f>
        <v>0</v>
      </c>
      <c r="F74" s="362">
        <f>IFERROR(VLOOKUP(C74,'تقرير المصروفات حسب الشهر'!$C$261:$AD$368,23,FALSE),0)</f>
        <v>0</v>
      </c>
      <c r="G74" s="362">
        <f>IFERROR(VLOOKUP(C74,'تقرير المصروفات حسب الشهر'!$C$387:$AD$495,23,FALSE),0)</f>
        <v>0</v>
      </c>
      <c r="H74" s="362">
        <f>IFERROR(VLOOKUP(C74,'تقرير المصروفات حسب الشهر'!$C$512:$AD$620,23,FALSE),0)</f>
        <v>0</v>
      </c>
      <c r="I74" s="362">
        <f>IFERROR(VLOOKUP(C74,'تقرير المصروفات حسب الشهر'!$C$637:$AD$746,23,FALSE),0)</f>
        <v>0</v>
      </c>
      <c r="J74" s="362">
        <f>IFERROR(VLOOKUP(C74,'تقرير المصروفات حسب الشهر'!$C$763:$AD$872,23,FALSE),0)</f>
        <v>0</v>
      </c>
      <c r="K74" s="362">
        <f>IFERROR(VLOOKUP(C74,'تقرير المصروفات حسب الشهر'!$C$890:$AD$999,23,FALSE),0)</f>
        <v>0</v>
      </c>
      <c r="L74" s="362">
        <f>IFERROR(VLOOKUP(C74,'تقرير المصروفات حسب الشهر'!$C$1016:$AD$1126,23,FALSE),0)</f>
        <v>0</v>
      </c>
      <c r="M74" s="376">
        <f>IFERROR(VLOOKUP(C74,'تقرير المصروفات حسب الشهر'!$C$1143:$AD$1254,23,FALSE),0)</f>
        <v>0</v>
      </c>
      <c r="N74" s="376">
        <f>IFERROR(VLOOKUP(C74,'تقرير المصروفات حسب الشهر'!$C$1270:$AD$1381,23,FALSE),0)</f>
        <v>0</v>
      </c>
      <c r="O74" s="376">
        <f>IFERROR(VLOOKUP(C74,'تقرير المصروفات حسب الشهر'!$C$1397:$AI$1512,23,FALSE),0)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الشهر'!$C$10:$AD$119,23,FALSE),0)</f>
        <v>0</v>
      </c>
      <c r="E75" s="362">
        <f>IFERROR(VLOOKUP(C75,'تقرير المصروفات حسب الشهر'!$C$135:$AD$244,23,FALSE),0)</f>
        <v>0</v>
      </c>
      <c r="F75" s="362">
        <f>IFERROR(VLOOKUP(C75,'تقرير المصروفات حسب الشهر'!$C$261:$AD$368,23,FALSE),0)</f>
        <v>0</v>
      </c>
      <c r="G75" s="362">
        <f>IFERROR(VLOOKUP(C75,'تقرير المصروفات حسب الشهر'!$C$387:$AD$495,23,FALSE),0)</f>
        <v>0</v>
      </c>
      <c r="H75" s="362">
        <f>IFERROR(VLOOKUP(C75,'تقرير المصروفات حسب الشهر'!$C$512:$AD$620,23,FALSE),0)</f>
        <v>0</v>
      </c>
      <c r="I75" s="362">
        <f>IFERROR(VLOOKUP(C75,'تقرير المصروفات حسب الشهر'!$C$637:$AD$746,23,FALSE),0)</f>
        <v>0</v>
      </c>
      <c r="J75" s="362">
        <f>IFERROR(VLOOKUP(C75,'تقرير المصروفات حسب الشهر'!$C$763:$AD$872,23,FALSE),0)</f>
        <v>0</v>
      </c>
      <c r="K75" s="362">
        <f>IFERROR(VLOOKUP(C75,'تقرير المصروفات حسب الشهر'!$C$890:$AD$999,23,FALSE),0)</f>
        <v>0</v>
      </c>
      <c r="L75" s="362">
        <f>IFERROR(VLOOKUP(C75,'تقرير المصروفات حسب الشهر'!$C$1016:$AD$1126,23,FALSE),0)</f>
        <v>0</v>
      </c>
      <c r="M75" s="376">
        <f>IFERROR(VLOOKUP(C75,'تقرير المصروفات حسب الشهر'!$C$1143:$AD$1254,23,FALSE),0)</f>
        <v>0</v>
      </c>
      <c r="N75" s="376">
        <f>IFERROR(VLOOKUP(C75,'تقرير المصروفات حسب الشهر'!$C$1270:$AD$1381,23,FALSE),0)</f>
        <v>0</v>
      </c>
      <c r="O75" s="376">
        <f>IFERROR(VLOOKUP(C75,'تقرير المصروفات حسب الشهر'!$C$1397:$AI$1512,23,FALSE),0)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الشهر'!$C$10:$AD$119,23,FALSE),0)</f>
        <v>0</v>
      </c>
      <c r="E76" s="362">
        <f>IFERROR(VLOOKUP(C76,'تقرير المصروفات حسب الشهر'!$C$135:$AD$244,23,FALSE),0)</f>
        <v>0</v>
      </c>
      <c r="F76" s="362">
        <f>IFERROR(VLOOKUP(C76,'تقرير المصروفات حسب الشهر'!$C$261:$AD$368,23,FALSE),0)</f>
        <v>0</v>
      </c>
      <c r="G76" s="362">
        <f>IFERROR(VLOOKUP(C76,'تقرير المصروفات حسب الشهر'!$C$387:$AD$495,23,FALSE),0)</f>
        <v>0</v>
      </c>
      <c r="H76" s="362">
        <f>IFERROR(VLOOKUP(C76,'تقرير المصروفات حسب الشهر'!$C$512:$AD$620,23,FALSE),0)</f>
        <v>0</v>
      </c>
      <c r="I76" s="362">
        <f>IFERROR(VLOOKUP(C76,'تقرير المصروفات حسب الشهر'!$C$637:$AD$746,23,FALSE),0)</f>
        <v>0</v>
      </c>
      <c r="J76" s="362">
        <f>IFERROR(VLOOKUP(C76,'تقرير المصروفات حسب الشهر'!$C$763:$AD$872,23,FALSE),0)</f>
        <v>0</v>
      </c>
      <c r="K76" s="362">
        <f>IFERROR(VLOOKUP(C76,'تقرير المصروفات حسب الشهر'!$C$890:$AD$999,23,FALSE),0)</f>
        <v>0</v>
      </c>
      <c r="L76" s="362">
        <f>IFERROR(VLOOKUP(C76,'تقرير المصروفات حسب الشهر'!$C$1016:$AD$1126,23,FALSE),0)</f>
        <v>0</v>
      </c>
      <c r="M76" s="376">
        <f>IFERROR(VLOOKUP(C76,'تقرير المصروفات حسب الشهر'!$C$1143:$AD$1254,23,FALSE),0)</f>
        <v>0</v>
      </c>
      <c r="N76" s="376">
        <f>IFERROR(VLOOKUP(C76,'تقرير المصروفات حسب الشهر'!$C$1270:$AD$1381,23,FALSE),0)</f>
        <v>0</v>
      </c>
      <c r="O76" s="376">
        <f>IFERROR(VLOOKUP(C76,'تقرير المصروفات حسب الشهر'!$C$1397:$AI$1512,23,FALSE),0)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الشهر'!$C$10:$AD$119,23,FALSE),0)</f>
        <v>0</v>
      </c>
      <c r="E77" s="362">
        <f>IFERROR(VLOOKUP(C77,'تقرير المصروفات حسب الشهر'!$C$135:$AD$244,23,FALSE),0)</f>
        <v>0</v>
      </c>
      <c r="F77" s="362">
        <f>IFERROR(VLOOKUP(C77,'تقرير المصروفات حسب الشهر'!$C$261:$AD$368,23,FALSE),0)</f>
        <v>0</v>
      </c>
      <c r="G77" s="362">
        <f>IFERROR(VLOOKUP(C77,'تقرير المصروفات حسب الشهر'!$C$387:$AD$495,23,FALSE),0)</f>
        <v>0</v>
      </c>
      <c r="H77" s="362">
        <f>IFERROR(VLOOKUP(C77,'تقرير المصروفات حسب الشهر'!$C$512:$AD$620,23,FALSE),0)</f>
        <v>0</v>
      </c>
      <c r="I77" s="362">
        <f>IFERROR(VLOOKUP(C77,'تقرير المصروفات حسب الشهر'!$C$637:$AD$746,23,FALSE),0)</f>
        <v>0</v>
      </c>
      <c r="J77" s="362">
        <f>IFERROR(VLOOKUP(C77,'تقرير المصروفات حسب الشهر'!$C$763:$AD$872,23,FALSE),0)</f>
        <v>0</v>
      </c>
      <c r="K77" s="362">
        <f>IFERROR(VLOOKUP(C77,'تقرير المصروفات حسب الشهر'!$C$890:$AD$999,23,FALSE),0)</f>
        <v>0</v>
      </c>
      <c r="L77" s="362">
        <f>IFERROR(VLOOKUP(C77,'تقرير المصروفات حسب الشهر'!$C$1016:$AD$1126,23,FALSE),0)</f>
        <v>0</v>
      </c>
      <c r="M77" s="376">
        <f>IFERROR(VLOOKUP(C77,'تقرير المصروفات حسب الشهر'!$C$1143:$AD$1254,23,FALSE),0)</f>
        <v>0</v>
      </c>
      <c r="N77" s="376">
        <f>IFERROR(VLOOKUP(C77,'تقرير المصروفات حسب الشهر'!$C$1270:$AD$1381,23,FALSE),0)</f>
        <v>0</v>
      </c>
      <c r="O77" s="376">
        <f>IFERROR(VLOOKUP(C77,'تقرير المصروفات حسب الشهر'!$C$1397:$AI$1512,23,FALSE),0)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الشهر'!$C$10:$AD$119,23,FALSE),0)</f>
        <v>0</v>
      </c>
      <c r="E78" s="362">
        <f>IFERROR(VLOOKUP(C78,'تقرير المصروفات حسب الشهر'!$C$135:$AD$244,23,FALSE),0)</f>
        <v>0</v>
      </c>
      <c r="F78" s="362">
        <f>IFERROR(VLOOKUP(C78,'تقرير المصروفات حسب الشهر'!$C$261:$AD$368,23,FALSE),0)</f>
        <v>0</v>
      </c>
      <c r="G78" s="362">
        <f>IFERROR(VLOOKUP(C78,'تقرير المصروفات حسب الشهر'!$C$387:$AD$495,23,FALSE),0)</f>
        <v>0</v>
      </c>
      <c r="H78" s="362">
        <f>IFERROR(VLOOKUP(C78,'تقرير المصروفات حسب الشهر'!$C$512:$AD$620,23,FALSE),0)</f>
        <v>0</v>
      </c>
      <c r="I78" s="362">
        <f>IFERROR(VLOOKUP(C78,'تقرير المصروفات حسب الشهر'!$C$637:$AD$746,23,FALSE),0)</f>
        <v>0</v>
      </c>
      <c r="J78" s="362">
        <f>IFERROR(VLOOKUP(C78,'تقرير المصروفات حسب الشهر'!$C$763:$AD$872,23,FALSE),0)</f>
        <v>0</v>
      </c>
      <c r="K78" s="362">
        <f>IFERROR(VLOOKUP(C78,'تقرير المصروفات حسب الشهر'!$C$890:$AD$999,23,FALSE),0)</f>
        <v>0</v>
      </c>
      <c r="L78" s="362">
        <f>IFERROR(VLOOKUP(C78,'تقرير المصروفات حسب الشهر'!$C$1016:$AD$1126,23,FALSE),0)</f>
        <v>0</v>
      </c>
      <c r="M78" s="376">
        <f>IFERROR(VLOOKUP(C78,'تقرير المصروفات حسب الشهر'!$C$1143:$AD$1254,23,FALSE),0)</f>
        <v>0</v>
      </c>
      <c r="N78" s="376">
        <f>IFERROR(VLOOKUP(C78,'تقرير المصروفات حسب الشهر'!$C$1270:$AD$1381,23,FALSE),0)</f>
        <v>0</v>
      </c>
      <c r="O78" s="376">
        <f>IFERROR(VLOOKUP(C78,'تقرير المصروفات حسب الشهر'!$C$1397:$AI$1512,23,FALSE),0)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الشهر'!$C$10:$AD$119,23,FALSE),0)</f>
        <v>0</v>
      </c>
      <c r="E79" s="362">
        <f>IFERROR(VLOOKUP(C79,'تقرير المصروفات حسب الشهر'!$C$135:$AD$244,23,FALSE),0)</f>
        <v>0</v>
      </c>
      <c r="F79" s="362">
        <f>IFERROR(VLOOKUP(C79,'تقرير المصروفات حسب الشهر'!$C$261:$AD$368,23,FALSE),0)</f>
        <v>0</v>
      </c>
      <c r="G79" s="362">
        <f>IFERROR(VLOOKUP(C79,'تقرير المصروفات حسب الشهر'!$C$387:$AD$495,23,FALSE),0)</f>
        <v>0</v>
      </c>
      <c r="H79" s="362">
        <f>IFERROR(VLOOKUP(C79,'تقرير المصروفات حسب الشهر'!$C$512:$AD$620,23,FALSE),0)</f>
        <v>0</v>
      </c>
      <c r="I79" s="362">
        <f>IFERROR(VLOOKUP(C79,'تقرير المصروفات حسب الشهر'!$C$637:$AD$746,23,FALSE),0)</f>
        <v>0</v>
      </c>
      <c r="J79" s="362">
        <f>IFERROR(VLOOKUP(C79,'تقرير المصروفات حسب الشهر'!$C$763:$AD$872,23,FALSE),0)</f>
        <v>0</v>
      </c>
      <c r="K79" s="362">
        <f>IFERROR(VLOOKUP(C79,'تقرير المصروفات حسب الشهر'!$C$890:$AD$999,23,FALSE),0)</f>
        <v>0</v>
      </c>
      <c r="L79" s="362">
        <f>IFERROR(VLOOKUP(C79,'تقرير المصروفات حسب الشهر'!$C$1016:$AD$1126,23,FALSE),0)</f>
        <v>0</v>
      </c>
      <c r="M79" s="376">
        <f>IFERROR(VLOOKUP(C79,'تقرير المصروفات حسب الشهر'!$C$1143:$AD$1254,23,FALSE),0)</f>
        <v>0</v>
      </c>
      <c r="N79" s="376">
        <f>IFERROR(VLOOKUP(C79,'تقرير المصروفات حسب الشهر'!$C$1270:$AD$1381,23,FALSE),0)</f>
        <v>0</v>
      </c>
      <c r="O79" s="376">
        <f>IFERROR(VLOOKUP(C79,'تقرير المصروفات حسب الشهر'!$C$1397:$AI$1512,23,FALSE),0)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الشهر'!$C$10:$AD$119,23,FALSE),0)</f>
        <v>0</v>
      </c>
      <c r="E80" s="362">
        <f>IFERROR(VLOOKUP(C80,'تقرير المصروفات حسب الشهر'!$C$135:$AD$244,23,FALSE),0)</f>
        <v>0</v>
      </c>
      <c r="F80" s="362">
        <f>IFERROR(VLOOKUP(C80,'تقرير المصروفات حسب الشهر'!$C$261:$AD$368,23,FALSE),0)</f>
        <v>0</v>
      </c>
      <c r="G80" s="362">
        <f>IFERROR(VLOOKUP(C80,'تقرير المصروفات حسب الشهر'!$C$387:$AD$495,23,FALSE),0)</f>
        <v>0</v>
      </c>
      <c r="H80" s="362">
        <f>IFERROR(VLOOKUP(C80,'تقرير المصروفات حسب الشهر'!$C$512:$AD$620,23,FALSE),0)</f>
        <v>0</v>
      </c>
      <c r="I80" s="362">
        <f>IFERROR(VLOOKUP(C80,'تقرير المصروفات حسب الشهر'!$C$637:$AD$746,23,FALSE),0)</f>
        <v>0</v>
      </c>
      <c r="J80" s="362">
        <f>IFERROR(VLOOKUP(C80,'تقرير المصروفات حسب الشهر'!$C$763:$AD$872,23,FALSE),0)</f>
        <v>0</v>
      </c>
      <c r="K80" s="362">
        <f>IFERROR(VLOOKUP(C80,'تقرير المصروفات حسب الشهر'!$C$890:$AD$999,23,FALSE),0)</f>
        <v>0</v>
      </c>
      <c r="L80" s="362">
        <f>IFERROR(VLOOKUP(C80,'تقرير المصروفات حسب الشهر'!$C$1016:$AD$1126,23,FALSE),0)</f>
        <v>0</v>
      </c>
      <c r="M80" s="376">
        <f>IFERROR(VLOOKUP(C80,'تقرير المصروفات حسب الشهر'!$C$1143:$AD$1254,23,FALSE),0)</f>
        <v>0</v>
      </c>
      <c r="N80" s="376">
        <f>IFERROR(VLOOKUP(C80,'تقرير المصروفات حسب الشهر'!$C$1270:$AD$1381,23,FALSE),0)</f>
        <v>0</v>
      </c>
      <c r="O80" s="376">
        <f>IFERROR(VLOOKUP(C80,'تقرير المصروفات حسب الشهر'!$C$1397:$AI$1512,23,FALSE),0)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الشهر'!$C$10:$AD$119,23,FALSE),0)</f>
        <v>316</v>
      </c>
      <c r="E81" s="362">
        <f>IFERROR(VLOOKUP(C81,'تقرير المصروفات حسب الشهر'!$C$135:$AD$244,23,FALSE),0)</f>
        <v>100</v>
      </c>
      <c r="F81" s="362">
        <f>IFERROR(VLOOKUP(C81,'تقرير المصروفات حسب الشهر'!$C$261:$AD$368,23,FALSE),0)</f>
        <v>100</v>
      </c>
      <c r="G81" s="362">
        <f>IFERROR(VLOOKUP(C81,'تقرير المصروفات حسب الشهر'!$C$387:$AD$495,23,FALSE),0)</f>
        <v>100</v>
      </c>
      <c r="H81" s="362">
        <f>IFERROR(VLOOKUP(C81,'تقرير المصروفات حسب الشهر'!$C$512:$AD$620,23,FALSE),0)</f>
        <v>100</v>
      </c>
      <c r="I81" s="362">
        <f>IFERROR(VLOOKUP(C81,'تقرير المصروفات حسب الشهر'!$C$637:$AD$746,23,FALSE),0)</f>
        <v>100</v>
      </c>
      <c r="J81" s="362">
        <f>IFERROR(VLOOKUP(C81,'تقرير المصروفات حسب الشهر'!$C$763:$AD$872,23,FALSE),0)</f>
        <v>0</v>
      </c>
      <c r="K81" s="362">
        <f>IFERROR(VLOOKUP(C81,'تقرير المصروفات حسب الشهر'!$C$890:$AD$999,23,FALSE),0)</f>
        <v>300</v>
      </c>
      <c r="L81" s="362">
        <f>IFERROR(VLOOKUP(C81,'تقرير المصروفات حسب الشهر'!$C$1016:$AD$1126,23,FALSE),0)</f>
        <v>200</v>
      </c>
      <c r="M81" s="376">
        <f>IFERROR(VLOOKUP(C81,'تقرير المصروفات حسب الشهر'!$C$1143:$AD$1254,23,FALSE),0)</f>
        <v>200</v>
      </c>
      <c r="N81" s="376">
        <f>IFERROR(VLOOKUP(C81,'تقرير المصروفات حسب الشهر'!$C$1270:$AD$1381,23,FALSE),0)</f>
        <v>200</v>
      </c>
      <c r="O81" s="376">
        <f>IFERROR(VLOOKUP(C81,'تقرير المصروفات حسب الشهر'!$C$1397:$AI$1512,23,FALSE),0)</f>
        <v>1150</v>
      </c>
      <c r="P81" s="364">
        <f t="shared" si="5"/>
        <v>2866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الشهر'!$C$10:$AD$119,23,FALSE),0)</f>
        <v>0</v>
      </c>
      <c r="E82" s="362">
        <f>IFERROR(VLOOKUP(C82,'تقرير المصروفات حسب الشهر'!$C$135:$AD$244,23,FALSE),0)</f>
        <v>0</v>
      </c>
      <c r="F82" s="362">
        <f>IFERROR(VLOOKUP(C82,'تقرير المصروفات حسب الشهر'!$C$261:$AD$368,23,FALSE),0)</f>
        <v>0</v>
      </c>
      <c r="G82" s="362">
        <f>IFERROR(VLOOKUP(C82,'تقرير المصروفات حسب الشهر'!$C$387:$AD$495,23,FALSE),0)</f>
        <v>0</v>
      </c>
      <c r="H82" s="362">
        <f>IFERROR(VLOOKUP(C82,'تقرير المصروفات حسب الشهر'!$C$512:$AD$620,23,FALSE),0)</f>
        <v>0</v>
      </c>
      <c r="I82" s="362">
        <f>IFERROR(VLOOKUP(C82,'تقرير المصروفات حسب الشهر'!$C$637:$AD$746,23,FALSE),0)</f>
        <v>0</v>
      </c>
      <c r="J82" s="362">
        <f>IFERROR(VLOOKUP(C82,'تقرير المصروفات حسب الشهر'!$C$763:$AD$872,23,FALSE),0)</f>
        <v>0</v>
      </c>
      <c r="K82" s="362">
        <f>IFERROR(VLOOKUP(C82,'تقرير المصروفات حسب الشهر'!$C$890:$AD$999,23,FALSE),0)</f>
        <v>0</v>
      </c>
      <c r="L82" s="362">
        <f>IFERROR(VLOOKUP(C82,'تقرير المصروفات حسب الشهر'!$C$1016:$AD$1126,23,FALSE),0)</f>
        <v>0</v>
      </c>
      <c r="M82" s="376">
        <f>IFERROR(VLOOKUP(C82,'تقرير المصروفات حسب الشهر'!$C$1143:$AD$1254,23,FALSE),0)</f>
        <v>0</v>
      </c>
      <c r="N82" s="376">
        <f>IFERROR(VLOOKUP(C82,'تقرير المصروفات حسب الشهر'!$C$1270:$AD$1381,23,FALSE),0)</f>
        <v>0</v>
      </c>
      <c r="O82" s="376">
        <f>IFERROR(VLOOKUP(C82,'تقرير المصروفات حسب الشهر'!$C$1397:$AI$1512,23,FALSE),0)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الشهر'!$C$10:$AD$119,23,FALSE),0)</f>
        <v>0</v>
      </c>
      <c r="E83" s="362">
        <f>IFERROR(VLOOKUP(C83,'تقرير المصروفات حسب الشهر'!$C$135:$AD$244,23,FALSE),0)</f>
        <v>0</v>
      </c>
      <c r="F83" s="362">
        <f>IFERROR(VLOOKUP(C83,'تقرير المصروفات حسب الشهر'!$C$261:$AD$368,23,FALSE),0)</f>
        <v>0</v>
      </c>
      <c r="G83" s="362">
        <f>IFERROR(VLOOKUP(C83,'تقرير المصروفات حسب الشهر'!$C$387:$AD$495,23,FALSE),0)</f>
        <v>0</v>
      </c>
      <c r="H83" s="362">
        <f>IFERROR(VLOOKUP(C83,'تقرير المصروفات حسب الشهر'!$C$512:$AD$620,23,FALSE),0)</f>
        <v>0</v>
      </c>
      <c r="I83" s="362">
        <f>IFERROR(VLOOKUP(C83,'تقرير المصروفات حسب الشهر'!$C$637:$AD$746,23,FALSE),0)</f>
        <v>0</v>
      </c>
      <c r="J83" s="362">
        <f>IFERROR(VLOOKUP(C83,'تقرير المصروفات حسب الشهر'!$C$763:$AD$872,23,FALSE),0)</f>
        <v>0</v>
      </c>
      <c r="K83" s="362">
        <f>IFERROR(VLOOKUP(C83,'تقرير المصروفات حسب الشهر'!$C$890:$AD$999,23,FALSE),0)</f>
        <v>0</v>
      </c>
      <c r="L83" s="362">
        <f>IFERROR(VLOOKUP(C83,'تقرير المصروفات حسب الشهر'!$C$1016:$AD$1126,23,FALSE),0)</f>
        <v>0</v>
      </c>
      <c r="M83" s="376">
        <f>IFERROR(VLOOKUP(C83,'تقرير المصروفات حسب الشهر'!$C$1143:$AD$1254,23,FALSE),0)</f>
        <v>0</v>
      </c>
      <c r="N83" s="376">
        <f>IFERROR(VLOOKUP(C83,'تقرير المصروفات حسب الشهر'!$C$1270:$AD$1381,23,FALSE),0)</f>
        <v>0</v>
      </c>
      <c r="O83" s="376">
        <f>IFERROR(VLOOKUP(C83,'تقرير المصروفات حسب الشهر'!$C$1397:$AI$1512,23,FALSE),0)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الشهر'!$C$10:$AD$119,23,FALSE),0)</f>
        <v>0</v>
      </c>
      <c r="E84" s="362">
        <f>IFERROR(VLOOKUP(C84,'تقرير المصروفات حسب الشهر'!$C$135:$AD$244,23,FALSE),0)</f>
        <v>0</v>
      </c>
      <c r="F84" s="362">
        <f>IFERROR(VLOOKUP(C84,'تقرير المصروفات حسب الشهر'!$C$261:$AD$368,23,FALSE),0)</f>
        <v>0</v>
      </c>
      <c r="G84" s="362">
        <f>IFERROR(VLOOKUP(C84,'تقرير المصروفات حسب الشهر'!$C$387:$AD$495,23,FALSE),0)</f>
        <v>0</v>
      </c>
      <c r="H84" s="362">
        <f>IFERROR(VLOOKUP(C84,'تقرير المصروفات حسب الشهر'!$C$512:$AD$620,23,FALSE),0)</f>
        <v>0</v>
      </c>
      <c r="I84" s="362">
        <f>IFERROR(VLOOKUP(C84,'تقرير المصروفات حسب الشهر'!$C$637:$AD$746,23,FALSE),0)</f>
        <v>0</v>
      </c>
      <c r="J84" s="362">
        <f>IFERROR(VLOOKUP(C84,'تقرير المصروفات حسب الشهر'!$C$763:$AD$872,23,FALSE),0)</f>
        <v>0</v>
      </c>
      <c r="K84" s="362">
        <f>IFERROR(VLOOKUP(C84,'تقرير المصروفات حسب الشهر'!$C$890:$AD$999,23,FALSE),0)</f>
        <v>0</v>
      </c>
      <c r="L84" s="362">
        <f>IFERROR(VLOOKUP(C84,'تقرير المصروفات حسب الشهر'!$C$1016:$AD$1126,23,FALSE),0)</f>
        <v>0</v>
      </c>
      <c r="M84" s="376">
        <f>IFERROR(VLOOKUP(C84,'تقرير المصروفات حسب الشهر'!$C$1143:$AD$1254,23,FALSE),0)</f>
        <v>0</v>
      </c>
      <c r="N84" s="376">
        <f>IFERROR(VLOOKUP(C84,'تقرير المصروفات حسب الشهر'!$C$1270:$AD$1381,23,FALSE),0)</f>
        <v>0</v>
      </c>
      <c r="O84" s="376">
        <f>IFERROR(VLOOKUP(C84,'تقرير المصروفات حسب الشهر'!$C$1397:$AI$1512,23,FALSE),0)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الشهر'!$C$10:$AD$119,23,FALSE),0)</f>
        <v>0</v>
      </c>
      <c r="E85" s="362">
        <f>IFERROR(VLOOKUP(C85,'تقرير المصروفات حسب الشهر'!$C$135:$AD$244,23,FALSE),0)</f>
        <v>0</v>
      </c>
      <c r="F85" s="362">
        <f>IFERROR(VLOOKUP(C85,'تقرير المصروفات حسب الشهر'!$C$261:$AD$368,23,FALSE),0)</f>
        <v>0</v>
      </c>
      <c r="G85" s="362">
        <f>IFERROR(VLOOKUP(C85,'تقرير المصروفات حسب الشهر'!$C$387:$AD$495,23,FALSE),0)</f>
        <v>0</v>
      </c>
      <c r="H85" s="362">
        <f>IFERROR(VLOOKUP(C85,'تقرير المصروفات حسب الشهر'!$C$512:$AD$620,23,FALSE),0)</f>
        <v>0</v>
      </c>
      <c r="I85" s="362">
        <f>IFERROR(VLOOKUP(C85,'تقرير المصروفات حسب الشهر'!$C$637:$AD$746,23,FALSE),0)</f>
        <v>0</v>
      </c>
      <c r="J85" s="362">
        <f>IFERROR(VLOOKUP(C85,'تقرير المصروفات حسب الشهر'!$C$763:$AD$872,23,FALSE),0)</f>
        <v>0</v>
      </c>
      <c r="K85" s="362">
        <f>IFERROR(VLOOKUP(C85,'تقرير المصروفات حسب الشهر'!$C$890:$AD$999,23,FALSE),0)</f>
        <v>0</v>
      </c>
      <c r="L85" s="362">
        <f>IFERROR(VLOOKUP(C85,'تقرير المصروفات حسب الشهر'!$C$1016:$AD$1126,23,FALSE),0)</f>
        <v>0</v>
      </c>
      <c r="M85" s="376">
        <f>IFERROR(VLOOKUP(C85,'تقرير المصروفات حسب الشهر'!$C$1143:$AD$1254,23,FALSE),0)</f>
        <v>0</v>
      </c>
      <c r="N85" s="376">
        <f>IFERROR(VLOOKUP(C85,'تقرير المصروفات حسب الشهر'!$C$1270:$AD$1381,23,FALSE),0)</f>
        <v>0</v>
      </c>
      <c r="O85" s="376">
        <f>IFERROR(VLOOKUP(C85,'تقرير المصروفات حسب الشهر'!$C$1397:$AI$1512,23,FALSE),0)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الشهر'!$C$10:$AD$119,23,FALSE),0)</f>
        <v>0</v>
      </c>
      <c r="E86" s="362">
        <f>IFERROR(VLOOKUP(C86,'تقرير المصروفات حسب الشهر'!$C$135:$AD$244,23,FALSE),0)</f>
        <v>1959.65</v>
      </c>
      <c r="F86" s="362">
        <f>IFERROR(VLOOKUP(C86,'تقرير المصروفات حسب الشهر'!$C$261:$AD$368,23,FALSE),0)</f>
        <v>0</v>
      </c>
      <c r="G86" s="362">
        <f>IFERROR(VLOOKUP(C86,'تقرير المصروفات حسب الشهر'!$C$387:$AD$495,23,FALSE),0)</f>
        <v>653</v>
      </c>
      <c r="H86" s="362">
        <f>IFERROR(VLOOKUP(C86,'تقرير المصروفات حسب الشهر'!$C$512:$AD$620,23,FALSE),0)</f>
        <v>1990</v>
      </c>
      <c r="I86" s="362">
        <f>IFERROR(VLOOKUP(C86,'تقرير المصروفات حسب الشهر'!$C$637:$AD$746,23,FALSE),0)</f>
        <v>0</v>
      </c>
      <c r="J86" s="362">
        <f>IFERROR(VLOOKUP(C86,'تقرير المصروفات حسب الشهر'!$C$763:$AD$872,23,FALSE),0)</f>
        <v>979</v>
      </c>
      <c r="K86" s="362">
        <f>IFERROR(VLOOKUP(C86,'تقرير المصروفات حسب الشهر'!$C$890:$AD$999,23,FALSE),0)</f>
        <v>0</v>
      </c>
      <c r="L86" s="362">
        <f>IFERROR(VLOOKUP(C86,'تقرير المصروفات حسب الشهر'!$C$1016:$AD$1126,23,FALSE),0)</f>
        <v>0</v>
      </c>
      <c r="M86" s="376">
        <f>IFERROR(VLOOKUP(C86,'تقرير المصروفات حسب الشهر'!$C$1143:$AD$1254,23,FALSE),0)</f>
        <v>1075.76</v>
      </c>
      <c r="N86" s="376">
        <f>IFERROR(VLOOKUP(C86,'تقرير المصروفات حسب الشهر'!$C$1270:$AD$1381,23,FALSE),0)</f>
        <v>2207.5700000000002</v>
      </c>
      <c r="O86" s="376">
        <f>IFERROR(VLOOKUP(C86,'تقرير المصروفات حسب الشهر'!$C$1397:$AI$1512,23,FALSE),0)</f>
        <v>0</v>
      </c>
      <c r="P86" s="364">
        <f t="shared" si="5"/>
        <v>8864.98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الشهر'!$C$10:$AD$119,23,FALSE),0)</f>
        <v>0</v>
      </c>
      <c r="E87" s="362">
        <f>IFERROR(VLOOKUP(C87,'تقرير المصروفات حسب الشهر'!$C$135:$AD$244,23,FALSE),0)</f>
        <v>0</v>
      </c>
      <c r="F87" s="362">
        <f>IFERROR(VLOOKUP(C87,'تقرير المصروفات حسب الشهر'!$C$261:$AD$368,23,FALSE),0)</f>
        <v>0</v>
      </c>
      <c r="G87" s="362">
        <f>IFERROR(VLOOKUP(C87,'تقرير المصروفات حسب الشهر'!$C$387:$AD$495,23,FALSE),0)</f>
        <v>0</v>
      </c>
      <c r="H87" s="362">
        <f>IFERROR(VLOOKUP(C87,'تقرير المصروفات حسب الشهر'!$C$512:$AD$620,23,FALSE),0)</f>
        <v>0</v>
      </c>
      <c r="I87" s="362">
        <f>IFERROR(VLOOKUP(C87,'تقرير المصروفات حسب الشهر'!$C$637:$AD$746,23,FALSE),0)</f>
        <v>0</v>
      </c>
      <c r="J87" s="362">
        <f>IFERROR(VLOOKUP(C87,'تقرير المصروفات حسب الشهر'!$C$763:$AD$872,23,FALSE),0)</f>
        <v>0</v>
      </c>
      <c r="K87" s="362">
        <f>IFERROR(VLOOKUP(C87,'تقرير المصروفات حسب الشهر'!$C$890:$AD$999,23,FALSE),0)</f>
        <v>0</v>
      </c>
      <c r="L87" s="362">
        <f>IFERROR(VLOOKUP(C87,'تقرير المصروفات حسب الشهر'!$C$1016:$AD$1126,23,FALSE),0)</f>
        <v>0</v>
      </c>
      <c r="M87" s="376">
        <f>IFERROR(VLOOKUP(C87,'تقرير المصروفات حسب الشهر'!$C$1143:$AD$1254,23,FALSE),0)</f>
        <v>0</v>
      </c>
      <c r="N87" s="376">
        <f>IFERROR(VLOOKUP(C87,'تقرير المصروفات حسب الشهر'!$C$1270:$AD$1381,23,FALSE),0)</f>
        <v>0</v>
      </c>
      <c r="O87" s="376">
        <f>IFERROR(VLOOKUP(C87,'تقرير المصروفات حسب الشهر'!$C$1397:$AI$1512,23,FALSE),0)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الشهر'!$C$10:$AD$119,23,FALSE),0)</f>
        <v>0</v>
      </c>
      <c r="E88" s="362">
        <f>IFERROR(VLOOKUP(C88,'تقرير المصروفات حسب الشهر'!$C$135:$AD$244,23,FALSE),0)</f>
        <v>0</v>
      </c>
      <c r="F88" s="362">
        <f>IFERROR(VLOOKUP(C88,'تقرير المصروفات حسب الشهر'!$C$261:$AD$368,23,FALSE),0)</f>
        <v>0</v>
      </c>
      <c r="G88" s="362">
        <f>IFERROR(VLOOKUP(C88,'تقرير المصروفات حسب الشهر'!$C$387:$AD$495,23,FALSE),0)</f>
        <v>0</v>
      </c>
      <c r="H88" s="362">
        <f>IFERROR(VLOOKUP(C88,'تقرير المصروفات حسب الشهر'!$C$512:$AD$620,23,FALSE),0)</f>
        <v>333</v>
      </c>
      <c r="I88" s="362">
        <f>IFERROR(VLOOKUP(C88,'تقرير المصروفات حسب الشهر'!$C$637:$AD$746,23,FALSE),0)</f>
        <v>0</v>
      </c>
      <c r="J88" s="362">
        <f>IFERROR(VLOOKUP(C88,'تقرير المصروفات حسب الشهر'!$C$763:$AD$872,23,FALSE),0)</f>
        <v>0</v>
      </c>
      <c r="K88" s="362">
        <f>IFERROR(VLOOKUP(C88,'تقرير المصروفات حسب الشهر'!$C$890:$AD$999,23,FALSE),0)</f>
        <v>0</v>
      </c>
      <c r="L88" s="362">
        <f>IFERROR(VLOOKUP(C88,'تقرير المصروفات حسب الشهر'!$C$1016:$AD$1126,23,FALSE),0)</f>
        <v>0</v>
      </c>
      <c r="M88" s="376">
        <f>IFERROR(VLOOKUP(C88,'تقرير المصروفات حسب الشهر'!$C$1143:$AD$1254,23,FALSE),0)</f>
        <v>0</v>
      </c>
      <c r="N88" s="376">
        <f>IFERROR(VLOOKUP(C88,'تقرير المصروفات حسب الشهر'!$C$1270:$AD$1381,23,FALSE),0)</f>
        <v>0</v>
      </c>
      <c r="O88" s="376">
        <f>IFERROR(VLOOKUP(C88,'تقرير المصروفات حسب الشهر'!$C$1397:$AI$1512,23,FALSE),0)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الشهر'!$C$10:$AD$119,23,FALSE),0)</f>
        <v>0</v>
      </c>
      <c r="E89" s="362">
        <f>IFERROR(VLOOKUP(C89,'تقرير المصروفات حسب الشهر'!$C$135:$AD$244,23,FALSE),0)</f>
        <v>0</v>
      </c>
      <c r="F89" s="362">
        <f>IFERROR(VLOOKUP(C89,'تقرير المصروفات حسب الشهر'!$C$261:$AD$368,23,FALSE),0)</f>
        <v>0</v>
      </c>
      <c r="G89" s="362">
        <f>IFERROR(VLOOKUP(C89,'تقرير المصروفات حسب الشهر'!$C$387:$AD$495,23,FALSE),0)</f>
        <v>0</v>
      </c>
      <c r="H89" s="362">
        <f>IFERROR(VLOOKUP(C89,'تقرير المصروفات حسب الشهر'!$C$512:$AD$620,23,FALSE),0)</f>
        <v>0</v>
      </c>
      <c r="I89" s="362">
        <f>IFERROR(VLOOKUP(C89,'تقرير المصروفات حسب الشهر'!$C$637:$AD$746,23,FALSE),0)</f>
        <v>0</v>
      </c>
      <c r="J89" s="362">
        <f>IFERROR(VLOOKUP(C89,'تقرير المصروفات حسب الشهر'!$C$763:$AD$872,23,FALSE),0)</f>
        <v>0</v>
      </c>
      <c r="K89" s="362">
        <f>IFERROR(VLOOKUP(C89,'تقرير المصروفات حسب الشهر'!$C$890:$AD$999,23,FALSE),0)</f>
        <v>0</v>
      </c>
      <c r="L89" s="362">
        <f>IFERROR(VLOOKUP(C89,'تقرير المصروفات حسب الشهر'!$C$1016:$AD$1126,23,FALSE),0)</f>
        <v>0</v>
      </c>
      <c r="M89" s="376">
        <f>IFERROR(VLOOKUP(C89,'تقرير المصروفات حسب الشهر'!$C$1143:$AD$1254,23,FALSE),0)</f>
        <v>0</v>
      </c>
      <c r="N89" s="376">
        <f>IFERROR(VLOOKUP(C89,'تقرير المصروفات حسب الشهر'!$C$1270:$AD$1381,23,FALSE),0)</f>
        <v>0</v>
      </c>
      <c r="O89" s="376">
        <f>IFERROR(VLOOKUP(C89,'تقرير المصروفات حسب الشهر'!$C$1397:$AI$1512,23,FALSE),0)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الشهر'!$C$10:$AD$119,23,FALSE),0)</f>
        <v>0</v>
      </c>
      <c r="E90" s="362">
        <f>IFERROR(VLOOKUP(C90,'تقرير المصروفات حسب الشهر'!$C$135:$AD$244,23,FALSE),0)</f>
        <v>0</v>
      </c>
      <c r="F90" s="362">
        <f>IFERROR(VLOOKUP(C90,'تقرير المصروفات حسب الشهر'!$C$261:$AD$368,23,FALSE),0)</f>
        <v>0</v>
      </c>
      <c r="G90" s="362">
        <f>IFERROR(VLOOKUP(C90,'تقرير المصروفات حسب الشهر'!$C$387:$AD$495,23,FALSE),0)</f>
        <v>0</v>
      </c>
      <c r="H90" s="362">
        <f>IFERROR(VLOOKUP(C90,'تقرير المصروفات حسب الشهر'!$C$512:$AD$620,23,FALSE),0)</f>
        <v>0</v>
      </c>
      <c r="I90" s="362">
        <f>IFERROR(VLOOKUP(C90,'تقرير المصروفات حسب الشهر'!$C$637:$AD$746,23,FALSE),0)</f>
        <v>0</v>
      </c>
      <c r="J90" s="362">
        <f>IFERROR(VLOOKUP(C90,'تقرير المصروفات حسب الشهر'!$C$763:$AD$872,23,FALSE),0)</f>
        <v>0</v>
      </c>
      <c r="K90" s="362">
        <f>IFERROR(VLOOKUP(C90,'تقرير المصروفات حسب الشهر'!$C$890:$AD$999,23,FALSE),0)</f>
        <v>0</v>
      </c>
      <c r="L90" s="362">
        <f>IFERROR(VLOOKUP(C90,'تقرير المصروفات حسب الشهر'!$C$1016:$AD$1126,23,FALSE),0)</f>
        <v>0</v>
      </c>
      <c r="M90" s="376">
        <f>IFERROR(VLOOKUP(C90,'تقرير المصروفات حسب الشهر'!$C$1143:$AD$1254,23,FALSE),0)</f>
        <v>0</v>
      </c>
      <c r="N90" s="376">
        <f>IFERROR(VLOOKUP(C90,'تقرير المصروفات حسب الشهر'!$C$1270:$AD$1381,23,FALSE),0)</f>
        <v>0</v>
      </c>
      <c r="O90" s="376">
        <f>IFERROR(VLOOKUP(C90,'تقرير المصروفات حسب الشهر'!$C$1397:$AI$1512,23,FALSE),0)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الشهر'!$C$10:$AD$119,23,FALSE),0)</f>
        <v>0</v>
      </c>
      <c r="E91" s="362">
        <f>IFERROR(VLOOKUP(C91,'تقرير المصروفات حسب الشهر'!$C$135:$AD$244,23,FALSE),0)</f>
        <v>0</v>
      </c>
      <c r="F91" s="362">
        <f>IFERROR(VLOOKUP(C91,'تقرير المصروفات حسب الشهر'!$C$261:$AD$368,23,FALSE),0)</f>
        <v>0</v>
      </c>
      <c r="G91" s="362">
        <f>IFERROR(VLOOKUP(C91,'تقرير المصروفات حسب الشهر'!$C$387:$AD$495,23,FALSE),0)</f>
        <v>0</v>
      </c>
      <c r="H91" s="362">
        <f>IFERROR(VLOOKUP(C91,'تقرير المصروفات حسب الشهر'!$C$512:$AD$620,23,FALSE),0)</f>
        <v>0</v>
      </c>
      <c r="I91" s="362">
        <f>IFERROR(VLOOKUP(C91,'تقرير المصروفات حسب الشهر'!$C$637:$AD$746,23,FALSE),0)</f>
        <v>0</v>
      </c>
      <c r="J91" s="362">
        <f>IFERROR(VLOOKUP(C91,'تقرير المصروفات حسب الشهر'!$C$763:$AD$872,23,FALSE),0)</f>
        <v>0</v>
      </c>
      <c r="K91" s="362">
        <f>IFERROR(VLOOKUP(C91,'تقرير المصروفات حسب الشهر'!$C$890:$AD$999,23,FALSE),0)</f>
        <v>0</v>
      </c>
      <c r="L91" s="362">
        <f>IFERROR(VLOOKUP(C91,'تقرير المصروفات حسب الشهر'!$C$1016:$AD$1126,23,FALSE),0)</f>
        <v>0</v>
      </c>
      <c r="M91" s="376">
        <f>IFERROR(VLOOKUP(C91,'تقرير المصروفات حسب الشهر'!$C$1143:$AD$1254,23,FALSE),0)</f>
        <v>0</v>
      </c>
      <c r="N91" s="376">
        <f>IFERROR(VLOOKUP(C91,'تقرير المصروفات حسب الشهر'!$C$1270:$AD$1381,23,FALSE),0)</f>
        <v>0</v>
      </c>
      <c r="O91" s="376">
        <f>IFERROR(VLOOKUP(C91,'تقرير المصروفات حسب الشهر'!$C$1397:$AI$1512,23,FALSE),0)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الشهر'!$C$10:$AD$119,23,FALSE),0)</f>
        <v>0</v>
      </c>
      <c r="E92" s="362">
        <f>IFERROR(VLOOKUP(C92,'تقرير المصروفات حسب الشهر'!$C$135:$AD$244,23,FALSE),0)</f>
        <v>0</v>
      </c>
      <c r="F92" s="362">
        <f>IFERROR(VLOOKUP(C92,'تقرير المصروفات حسب الشهر'!$C$261:$AD$368,23,FALSE),0)</f>
        <v>0</v>
      </c>
      <c r="G92" s="362">
        <f>IFERROR(VLOOKUP(C92,'تقرير المصروفات حسب الشهر'!$C$387:$AD$495,23,FALSE),0)</f>
        <v>0</v>
      </c>
      <c r="H92" s="362">
        <f>IFERROR(VLOOKUP(C92,'تقرير المصروفات حسب الشهر'!$C$512:$AD$620,23,FALSE),0)</f>
        <v>0</v>
      </c>
      <c r="I92" s="362">
        <f>IFERROR(VLOOKUP(C92,'تقرير المصروفات حسب الشهر'!$C$637:$AD$746,23,FALSE),0)</f>
        <v>0</v>
      </c>
      <c r="J92" s="362">
        <f>IFERROR(VLOOKUP(C92,'تقرير المصروفات حسب الشهر'!$C$763:$AD$872,23,FALSE),0)</f>
        <v>0</v>
      </c>
      <c r="K92" s="362">
        <f>IFERROR(VLOOKUP(C92,'تقرير المصروفات حسب الشهر'!$C$890:$AD$999,23,FALSE),0)</f>
        <v>0</v>
      </c>
      <c r="L92" s="362">
        <f>IFERROR(VLOOKUP(C92,'تقرير المصروفات حسب الشهر'!$C$1016:$AD$1126,23,FALSE),0)</f>
        <v>0</v>
      </c>
      <c r="M92" s="376">
        <f>IFERROR(VLOOKUP(C92,'تقرير المصروفات حسب الشهر'!$C$1143:$AD$1254,23,FALSE),0)</f>
        <v>0</v>
      </c>
      <c r="N92" s="376">
        <f>IFERROR(VLOOKUP(C92,'تقرير المصروفات حسب الشهر'!$C$1270:$AD$1381,23,FALSE),0)</f>
        <v>0</v>
      </c>
      <c r="O92" s="376">
        <f>IFERROR(VLOOKUP(C92,'تقرير المصروفات حسب الشهر'!$C$1397:$AI$1512,23,FALSE),0)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الشهر'!$C$10:$AD$119,23,FALSE),0)</f>
        <v>0</v>
      </c>
      <c r="E93" s="362">
        <f>IFERROR(VLOOKUP(C93,'تقرير المصروفات حسب الشهر'!$C$135:$AD$244,23,FALSE),0)</f>
        <v>0</v>
      </c>
      <c r="F93" s="362">
        <f>IFERROR(VLOOKUP(C93,'تقرير المصروفات حسب الشهر'!$C$261:$AD$368,23,FALSE),0)</f>
        <v>0</v>
      </c>
      <c r="G93" s="362">
        <f>IFERROR(VLOOKUP(C93,'تقرير المصروفات حسب الشهر'!$C$387:$AD$495,23,FALSE),0)</f>
        <v>621.5</v>
      </c>
      <c r="H93" s="362">
        <f>IFERROR(VLOOKUP(C93,'تقرير المصروفات حسب الشهر'!$C$512:$AD$620,23,FALSE),0)</f>
        <v>0</v>
      </c>
      <c r="I93" s="362">
        <f>IFERROR(VLOOKUP(C93,'تقرير المصروفات حسب الشهر'!$C$637:$AD$746,23,FALSE),0)</f>
        <v>0</v>
      </c>
      <c r="J93" s="362">
        <f>IFERROR(VLOOKUP(C93,'تقرير المصروفات حسب الشهر'!$C$763:$AD$872,23,FALSE),0)</f>
        <v>668</v>
      </c>
      <c r="K93" s="362">
        <f>IFERROR(VLOOKUP(C93,'تقرير المصروفات حسب الشهر'!$C$890:$AD$999,23,FALSE),0)</f>
        <v>0</v>
      </c>
      <c r="L93" s="362">
        <f>IFERROR(VLOOKUP(C93,'تقرير المصروفات حسب الشهر'!$C$1016:$AD$1126,23,FALSE),0)</f>
        <v>0</v>
      </c>
      <c r="M93" s="376">
        <f>IFERROR(VLOOKUP(C93,'تقرير المصروفات حسب الشهر'!$C$1143:$AD$1254,23,FALSE),0)</f>
        <v>0</v>
      </c>
      <c r="N93" s="376">
        <f>IFERROR(VLOOKUP(C93,'تقرير المصروفات حسب الشهر'!$C$1270:$AD$1381,23,FALSE),0)</f>
        <v>0</v>
      </c>
      <c r="O93" s="376">
        <f>IFERROR(VLOOKUP(C93,'تقرير المصروفات حسب الشهر'!$C$1397:$AI$1512,23,FALSE),0)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الشهر'!$C$10:$AD$119,23,FALSE),0)</f>
        <v>296.31</v>
      </c>
      <c r="E94" s="362">
        <f>IFERROR(VLOOKUP(C94,'تقرير المصروفات حسب الشهر'!$C$135:$AD$244,23,FALSE),0)</f>
        <v>296.31</v>
      </c>
      <c r="F94" s="362">
        <f>IFERROR(VLOOKUP(C94,'تقرير المصروفات حسب الشهر'!$C$261:$AD$368,23,FALSE),0)</f>
        <v>296.31</v>
      </c>
      <c r="G94" s="362">
        <f>IFERROR(VLOOKUP(C94,'تقرير المصروفات حسب الشهر'!$C$387:$AD$495,23,FALSE),0)</f>
        <v>296.31</v>
      </c>
      <c r="H94" s="362">
        <f>IFERROR(VLOOKUP(C94,'تقرير المصروفات حسب الشهر'!$C$512:$AD$620,23,FALSE),0)</f>
        <v>296.3</v>
      </c>
      <c r="I94" s="362">
        <f>IFERROR(VLOOKUP(C94,'تقرير المصروفات حسب الشهر'!$C$637:$AD$746,23,FALSE),0)</f>
        <v>296.3</v>
      </c>
      <c r="J94" s="362">
        <f>IFERROR(VLOOKUP(C94,'تقرير المصروفات حسب الشهر'!$C$763:$AD$872,23,FALSE),0)</f>
        <v>380</v>
      </c>
      <c r="K94" s="362">
        <f>IFERROR(VLOOKUP(C94,'تقرير المصروفات حسب الشهر'!$C$890:$AD$999,23,FALSE),0)</f>
        <v>275</v>
      </c>
      <c r="L94" s="362">
        <f>IFERROR(VLOOKUP(C94,'تقرير المصروفات حسب الشهر'!$C$1016:$AD$1126,23,FALSE),0)</f>
        <v>200</v>
      </c>
      <c r="M94" s="376">
        <f>IFERROR(VLOOKUP(C94,'تقرير المصروفات حسب الشهر'!$C$1143:$AD$1254,23,FALSE),0)</f>
        <v>816.62</v>
      </c>
      <c r="N94" s="376">
        <f>IFERROR(VLOOKUP(C94,'تقرير المصروفات حسب الشهر'!$C$1270:$AD$1381,23,FALSE),0)</f>
        <v>200</v>
      </c>
      <c r="O94" s="376">
        <f>IFERROR(VLOOKUP(C94,'تقرير المصروفات حسب الشهر'!$C$1397:$AI$1512,23,FALSE),0)</f>
        <v>286</v>
      </c>
      <c r="P94" s="364">
        <f t="shared" si="6"/>
        <v>3935.46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الشهر'!$C$10:$AD$119,23,FALSE),0)</f>
        <v>0</v>
      </c>
      <c r="E95" s="362">
        <f>IFERROR(VLOOKUP(C95,'تقرير المصروفات حسب الشهر'!$C$135:$AD$244,23,FALSE),0)</f>
        <v>0</v>
      </c>
      <c r="F95" s="362">
        <f>IFERROR(VLOOKUP(C95,'تقرير المصروفات حسب الشهر'!$C$261:$AD$368,23,FALSE),0)</f>
        <v>0</v>
      </c>
      <c r="G95" s="362">
        <f>IFERROR(VLOOKUP(C95,'تقرير المصروفات حسب الشهر'!$C$387:$AD$495,23,FALSE),0)</f>
        <v>0</v>
      </c>
      <c r="H95" s="362">
        <f>IFERROR(VLOOKUP(C95,'تقرير المصروفات حسب الشهر'!$C$512:$AD$620,23,FALSE),0)</f>
        <v>0</v>
      </c>
      <c r="I95" s="362">
        <f>IFERROR(VLOOKUP(C95,'تقرير المصروفات حسب الشهر'!$C$637:$AD$746,23,FALSE),0)</f>
        <v>0</v>
      </c>
      <c r="J95" s="362">
        <f>IFERROR(VLOOKUP(C95,'تقرير المصروفات حسب الشهر'!$C$763:$AD$872,23,FALSE),0)</f>
        <v>0</v>
      </c>
      <c r="K95" s="362">
        <f>IFERROR(VLOOKUP(C95,'تقرير المصروفات حسب الشهر'!$C$890:$AD$999,23,FALSE),0)</f>
        <v>0</v>
      </c>
      <c r="L95" s="362">
        <f>IFERROR(VLOOKUP(C95,'تقرير المصروفات حسب الشهر'!$C$1016:$AD$1126,23,FALSE),0)</f>
        <v>2130</v>
      </c>
      <c r="M95" s="376">
        <f>IFERROR(VLOOKUP(C95,'تقرير المصروفات حسب الشهر'!$C$1143:$AD$1254,23,FALSE),0)</f>
        <v>1065</v>
      </c>
      <c r="N95" s="376">
        <f>IFERROR(VLOOKUP(C95,'تقرير المصروفات حسب الشهر'!$C$1270:$AD$1381,23,FALSE),0)</f>
        <v>1065</v>
      </c>
      <c r="O95" s="376">
        <f>IFERROR(VLOOKUP(C95,'تقرير المصروفات حسب الشهر'!$C$1397:$AI$1512,23,FALSE),0)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الشهر'!$C$10:$AD$119,23,FALSE),0)</f>
        <v>0</v>
      </c>
      <c r="E96" s="362">
        <f>IFERROR(VLOOKUP(C96,'تقرير المصروفات حسب الشهر'!$C$135:$AD$244,23,FALSE),0)</f>
        <v>0</v>
      </c>
      <c r="F96" s="362">
        <f>IFERROR(VLOOKUP(C96,'تقرير المصروفات حسب الشهر'!$C$261:$AD$368,23,FALSE),0)</f>
        <v>0</v>
      </c>
      <c r="G96" s="362">
        <f>IFERROR(VLOOKUP(C96,'تقرير المصروفات حسب الشهر'!$C$387:$AD$495,23,FALSE),0)</f>
        <v>0</v>
      </c>
      <c r="H96" s="362">
        <f>IFERROR(VLOOKUP(C96,'تقرير المصروفات حسب الشهر'!$C$512:$AD$620,23,FALSE),0)</f>
        <v>0</v>
      </c>
      <c r="I96" s="362">
        <f>IFERROR(VLOOKUP(C96,'تقرير المصروفات حسب الشهر'!$C$637:$AD$746,23,FALSE),0)</f>
        <v>0</v>
      </c>
      <c r="J96" s="362">
        <f>IFERROR(VLOOKUP(C96,'تقرير المصروفات حسب الشهر'!$C$763:$AD$872,23,FALSE),0)</f>
        <v>0</v>
      </c>
      <c r="K96" s="362">
        <f>IFERROR(VLOOKUP(C96,'تقرير المصروفات حسب الشهر'!$C$890:$AD$999,23,FALSE),0)</f>
        <v>0</v>
      </c>
      <c r="L96" s="362">
        <f>IFERROR(VLOOKUP(C96,'تقرير المصروفات حسب الشهر'!$C$1016:$AD$1126,23,FALSE),0)</f>
        <v>0</v>
      </c>
      <c r="M96" s="376">
        <f>IFERROR(VLOOKUP(C96,'تقرير المصروفات حسب الشهر'!$C$1143:$AD$1254,23,FALSE),0)</f>
        <v>0</v>
      </c>
      <c r="N96" s="376">
        <f>IFERROR(VLOOKUP(C96,'تقرير المصروفات حسب الشهر'!$C$1270:$AD$1381,23,FALSE),0)</f>
        <v>0</v>
      </c>
      <c r="O96" s="376">
        <f>IFERROR(VLOOKUP(C96,'تقرير المصروفات حسب الشهر'!$C$1397:$AI$1512,23,FALSE),0)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الشهر'!$C$10:$AD$119,23,FALSE),0)</f>
        <v>0</v>
      </c>
      <c r="E97" s="362">
        <f>IFERROR(VLOOKUP(C97,'تقرير المصروفات حسب الشهر'!$C$135:$AD$244,23,FALSE),0)</f>
        <v>0</v>
      </c>
      <c r="F97" s="362">
        <f>IFERROR(VLOOKUP(C97,'تقرير المصروفات حسب الشهر'!$C$261:$AD$368,23,FALSE),0)</f>
        <v>0</v>
      </c>
      <c r="G97" s="362">
        <f>IFERROR(VLOOKUP(C97,'تقرير المصروفات حسب الشهر'!$C$387:$AD$495,23,FALSE),0)</f>
        <v>0</v>
      </c>
      <c r="H97" s="362">
        <f>IFERROR(VLOOKUP(C97,'تقرير المصروفات حسب الشهر'!$C$512:$AD$620,23,FALSE),0)</f>
        <v>0</v>
      </c>
      <c r="I97" s="362">
        <f>IFERROR(VLOOKUP(C97,'تقرير المصروفات حسب الشهر'!$C$637:$AD$746,23,FALSE),0)</f>
        <v>0</v>
      </c>
      <c r="J97" s="362">
        <f>IFERROR(VLOOKUP(C97,'تقرير المصروفات حسب الشهر'!$C$763:$AD$872,23,FALSE),0)</f>
        <v>0</v>
      </c>
      <c r="K97" s="362">
        <f>IFERROR(VLOOKUP(C97,'تقرير المصروفات حسب الشهر'!$C$890:$AD$999,23,FALSE),0)</f>
        <v>0</v>
      </c>
      <c r="L97" s="362">
        <f>IFERROR(VLOOKUP(C97,'تقرير المصروفات حسب الشهر'!$C$1016:$AD$1126,23,FALSE),0)</f>
        <v>0</v>
      </c>
      <c r="M97" s="376">
        <f>IFERROR(VLOOKUP(C97,'تقرير المصروفات حسب الشهر'!$C$1143:$AD$1254,23,FALSE),0)</f>
        <v>0</v>
      </c>
      <c r="N97" s="376">
        <f>IFERROR(VLOOKUP(C97,'تقرير المصروفات حسب الشهر'!$C$1270:$AD$1381,23,FALSE),0)</f>
        <v>0</v>
      </c>
      <c r="O97" s="376">
        <f>IFERROR(VLOOKUP(C97,'تقرير المصروفات حسب الشهر'!$C$1397:$AI$1512,23,FALSE),0)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الشهر'!$C$10:$AD$119,23,FALSE),0)</f>
        <v>0</v>
      </c>
      <c r="E98" s="362">
        <f>IFERROR(VLOOKUP(C98,'تقرير المصروفات حسب الشهر'!$C$135:$AD$244,23,FALSE),0)</f>
        <v>0</v>
      </c>
      <c r="F98" s="362">
        <f>IFERROR(VLOOKUP(C98,'تقرير المصروفات حسب الشهر'!$C$261:$AD$368,23,FALSE),0)</f>
        <v>0</v>
      </c>
      <c r="G98" s="362">
        <f>IFERROR(VLOOKUP(C98,'تقرير المصروفات حسب الشهر'!$C$387:$AD$495,23,FALSE),0)</f>
        <v>0</v>
      </c>
      <c r="H98" s="362">
        <f>IFERROR(VLOOKUP(C98,'تقرير المصروفات حسب الشهر'!$C$512:$AD$620,23,FALSE),0)</f>
        <v>0</v>
      </c>
      <c r="I98" s="362">
        <f>IFERROR(VLOOKUP(C98,'تقرير المصروفات حسب الشهر'!$C$637:$AD$746,23,FALSE),0)</f>
        <v>0</v>
      </c>
      <c r="J98" s="362">
        <f>IFERROR(VLOOKUP(C98,'تقرير المصروفات حسب الشهر'!$C$763:$AD$872,23,FALSE),0)</f>
        <v>0</v>
      </c>
      <c r="K98" s="362">
        <f>IFERROR(VLOOKUP(C98,'تقرير المصروفات حسب الشهر'!$C$890:$AD$999,23,FALSE),0)</f>
        <v>0</v>
      </c>
      <c r="L98" s="362">
        <f>IFERROR(VLOOKUP(C98,'تقرير المصروفات حسب الشهر'!$C$1016:$AD$1126,23,FALSE),0)</f>
        <v>0</v>
      </c>
      <c r="M98" s="376">
        <f>IFERROR(VLOOKUP(C98,'تقرير المصروفات حسب الشهر'!$C$1143:$AD$1254,23,FALSE),0)</f>
        <v>0</v>
      </c>
      <c r="N98" s="376">
        <f>IFERROR(VLOOKUP(C98,'تقرير المصروفات حسب الشهر'!$C$1270:$AD$1381,23,FALSE),0)</f>
        <v>0</v>
      </c>
      <c r="O98" s="376">
        <f>IFERROR(VLOOKUP(C98,'تقرير المصروفات حسب الشهر'!$C$1397:$AI$1512,23,FALSE),0)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الشهر'!$C$10:$AD$119,23,FALSE),0)</f>
        <v>0</v>
      </c>
      <c r="E99" s="362">
        <f>IFERROR(VLOOKUP(C99,'تقرير المصروفات حسب الشهر'!$C$135:$AD$244,23,FALSE),0)</f>
        <v>0</v>
      </c>
      <c r="F99" s="362">
        <f>IFERROR(VLOOKUP(C99,'تقرير المصروفات حسب الشهر'!$C$261:$AD$368,23,FALSE),0)</f>
        <v>0</v>
      </c>
      <c r="G99" s="362">
        <f>IFERROR(VLOOKUP(C99,'تقرير المصروفات حسب الشهر'!$C$387:$AD$495,23,FALSE),0)</f>
        <v>0</v>
      </c>
      <c r="H99" s="362">
        <f>IFERROR(VLOOKUP(C99,'تقرير المصروفات حسب الشهر'!$C$512:$AD$620,23,FALSE),0)</f>
        <v>0</v>
      </c>
      <c r="I99" s="362">
        <f>IFERROR(VLOOKUP(C99,'تقرير المصروفات حسب الشهر'!$C$637:$AD$746,23,FALSE),0)</f>
        <v>0</v>
      </c>
      <c r="J99" s="362">
        <f>IFERROR(VLOOKUP(C99,'تقرير المصروفات حسب الشهر'!$C$763:$AD$872,23,FALSE),0)</f>
        <v>0</v>
      </c>
      <c r="K99" s="362">
        <f>IFERROR(VLOOKUP(C99,'تقرير المصروفات حسب الشهر'!$C$890:$AD$999,23,FALSE),0)</f>
        <v>0</v>
      </c>
      <c r="L99" s="362">
        <f>IFERROR(VLOOKUP(C99,'تقرير المصروفات حسب الشهر'!$C$1016:$AD$1126,23,FALSE),0)</f>
        <v>0</v>
      </c>
      <c r="M99" s="376">
        <f>IFERROR(VLOOKUP(C99,'تقرير المصروفات حسب الشهر'!$C$1143:$AD$1254,23,FALSE),0)</f>
        <v>0</v>
      </c>
      <c r="N99" s="376">
        <f>IFERROR(VLOOKUP(C99,'تقرير المصروفات حسب الشهر'!$C$1270:$AD$1381,23,FALSE),0)</f>
        <v>0</v>
      </c>
      <c r="O99" s="376">
        <f>IFERROR(VLOOKUP(C99,'تقرير المصروفات حسب الشهر'!$C$1397:$AI$1512,23,FALSE),0)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الشهر'!$C$10:$AD$119,23,FALSE),0)</f>
        <v>371.58</v>
      </c>
      <c r="E100" s="362">
        <f>IFERROR(VLOOKUP(C100,'تقرير المصروفات حسب الشهر'!$C$135:$AD$244,23,FALSE),0)</f>
        <v>371.58</v>
      </c>
      <c r="F100" s="362">
        <f>IFERROR(VLOOKUP(C100,'تقرير المصروفات حسب الشهر'!$C$261:$AD$368,23,FALSE),0)</f>
        <v>371.58</v>
      </c>
      <c r="G100" s="362">
        <f>IFERROR(VLOOKUP(C100,'تقرير المصروفات حسب الشهر'!$C$387:$AD$495,23,FALSE),0)</f>
        <v>99.39</v>
      </c>
      <c r="H100" s="362">
        <f>IFERROR(VLOOKUP(C100,'تقرير المصروفات حسب الشهر'!$C$512:$AD$620,23,FALSE),0)</f>
        <v>75.75</v>
      </c>
      <c r="I100" s="362">
        <f>IFERROR(VLOOKUP(C100,'تقرير المصروفات حسب الشهر'!$C$637:$AD$746,23,FALSE),0)</f>
        <v>75.75</v>
      </c>
      <c r="J100" s="362">
        <f>IFERROR(VLOOKUP(C100,'تقرير المصروفات حسب الشهر'!$C$763:$AD$872,23,FALSE),0)</f>
        <v>52.32</v>
      </c>
      <c r="K100" s="362">
        <f>IFERROR(VLOOKUP(C100,'تقرير المصروفات حسب الشهر'!$C$890:$AD$999,23,FALSE),0)</f>
        <v>51.79</v>
      </c>
      <c r="L100" s="362">
        <f>IFERROR(VLOOKUP(C100,'تقرير المصروفات حسب الشهر'!$C$1016:$AD$1126,23,FALSE),0)</f>
        <v>51.79</v>
      </c>
      <c r="M100" s="376">
        <f>IFERROR(VLOOKUP(C100,'تقرير المصروفات حسب الشهر'!$C$1143:$AD$1254,23,FALSE),0)</f>
        <v>73.05</v>
      </c>
      <c r="N100" s="376">
        <f>IFERROR(VLOOKUP(C100,'تقرير المصروفات حسب الشهر'!$C$1270:$AD$1381,23,FALSE),0)</f>
        <v>134.19</v>
      </c>
      <c r="O100" s="376">
        <f>IFERROR(VLOOKUP(C100,'تقرير المصروفات حسب الشهر'!$C$1397:$AI$1512,23,FALSE),0)</f>
        <v>82.42</v>
      </c>
      <c r="P100" s="364">
        <f t="shared" si="6"/>
        <v>1811.19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الشهر'!$C$10:$AD$119,23,FALSE),0)</f>
        <v>388.02</v>
      </c>
      <c r="E101" s="362">
        <f>IFERROR(VLOOKUP(C101,'تقرير المصروفات حسب الشهر'!$C$135:$AD$244,23,FALSE),0)</f>
        <v>388.02</v>
      </c>
      <c r="F101" s="362">
        <f>IFERROR(VLOOKUP(C101,'تقرير المصروفات حسب الشهر'!$C$261:$AD$368,23,FALSE),0)</f>
        <v>388.02</v>
      </c>
      <c r="G101" s="362">
        <f>IFERROR(VLOOKUP(C101,'تقرير المصروفات حسب الشهر'!$C$387:$AD$495,23,FALSE),0)</f>
        <v>84.84</v>
      </c>
      <c r="H101" s="362">
        <f>IFERROR(VLOOKUP(C101,'تقرير المصروفات حسب الشهر'!$C$512:$AD$620,23,FALSE),0)</f>
        <v>53.44</v>
      </c>
      <c r="I101" s="362">
        <f>IFERROR(VLOOKUP(C101,'تقرير المصروفات حسب الشهر'!$C$637:$AD$746,23,FALSE),0)</f>
        <v>53.44</v>
      </c>
      <c r="J101" s="362">
        <f>IFERROR(VLOOKUP(C101,'تقرير المصروفات حسب الشهر'!$C$763:$AD$872,23,FALSE),0)</f>
        <v>53.44</v>
      </c>
      <c r="K101" s="362">
        <f>IFERROR(VLOOKUP(C101,'تقرير المصروفات حسب الشهر'!$C$890:$AD$999,23,FALSE),0)</f>
        <v>38.17</v>
      </c>
      <c r="L101" s="362">
        <f>IFERROR(VLOOKUP(C101,'تقرير المصروفات حسب الشهر'!$C$1016:$AD$1126,23,FALSE),0)</f>
        <v>0</v>
      </c>
      <c r="M101" s="376">
        <f>IFERROR(VLOOKUP(C101,'تقرير المصروفات حسب الشهر'!$C$1143:$AD$1254,23,FALSE),0)</f>
        <v>0</v>
      </c>
      <c r="N101" s="376">
        <f>IFERROR(VLOOKUP(C101,'تقرير المصروفات حسب الشهر'!$C$1270:$AD$1381,23,FALSE),0)</f>
        <v>0</v>
      </c>
      <c r="O101" s="376">
        <f>IFERROR(VLOOKUP(C101,'تقرير المصروفات حسب الشهر'!$C$1397:$AI$1512,23,FALSE),0)</f>
        <v>0</v>
      </c>
      <c r="P101" s="364">
        <f t="shared" si="6"/>
        <v>1447.39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الشهر'!$C$10:$AD$119,23,FALSE),0)</f>
        <v>101.88</v>
      </c>
      <c r="E102" s="362">
        <f>IFERROR(VLOOKUP(C102,'تقرير المصروفات حسب الشهر'!$C$135:$AD$244,23,FALSE),0)</f>
        <v>101.88</v>
      </c>
      <c r="F102" s="362">
        <f>IFERROR(VLOOKUP(C102,'تقرير المصروفات حسب الشهر'!$C$261:$AD$368,23,FALSE),0)</f>
        <v>101.88</v>
      </c>
      <c r="G102" s="362">
        <f>IFERROR(VLOOKUP(C102,'تقرير المصروفات حسب الشهر'!$C$387:$AD$495,23,FALSE),0)</f>
        <v>56.65</v>
      </c>
      <c r="H102" s="362">
        <f>IFERROR(VLOOKUP(C102,'تقرير المصروفات حسب الشهر'!$C$512:$AD$620,23,FALSE),0)</f>
        <v>52.92</v>
      </c>
      <c r="I102" s="362">
        <f>IFERROR(VLOOKUP(C102,'تقرير المصروفات حسب الشهر'!$C$637:$AD$746,23,FALSE),0)</f>
        <v>52.92</v>
      </c>
      <c r="J102" s="362">
        <f>IFERROR(VLOOKUP(C102,'تقرير المصروفات حسب الشهر'!$C$763:$AD$872,23,FALSE),0)</f>
        <v>52.92</v>
      </c>
      <c r="K102" s="362">
        <f>IFERROR(VLOOKUP(C102,'تقرير المصروفات حسب الشهر'!$C$890:$AD$999,23,FALSE),0)</f>
        <v>52.92</v>
      </c>
      <c r="L102" s="362">
        <f>IFERROR(VLOOKUP(C102,'تقرير المصروفات حسب الشهر'!$C$1016:$AD$1126,23,FALSE),0)</f>
        <v>52.92</v>
      </c>
      <c r="M102" s="376">
        <f>IFERROR(VLOOKUP(C102,'تقرير المصروفات حسب الشهر'!$C$1143:$AD$1254,23,FALSE),0)</f>
        <v>52.92</v>
      </c>
      <c r="N102" s="376">
        <f>IFERROR(VLOOKUP(C102,'تقرير المصروفات حسب الشهر'!$C$1270:$AD$1381,23,FALSE),0)</f>
        <v>52.88</v>
      </c>
      <c r="O102" s="376">
        <f>IFERROR(VLOOKUP(C102,'تقرير المصروفات حسب الشهر'!$C$1397:$AI$1512,23,FALSE),0)</f>
        <v>0</v>
      </c>
      <c r="P102" s="364">
        <f t="shared" si="6"/>
        <v>732.68999999999983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الشهر'!$C$10:$AD$119,23,FALSE),0)</f>
        <v>918.67</v>
      </c>
      <c r="E103" s="362">
        <f>IFERROR(VLOOKUP(C103,'تقرير المصروفات حسب الشهر'!$C$135:$AD$244,23,FALSE),0)</f>
        <v>918.67</v>
      </c>
      <c r="F103" s="362">
        <f>IFERROR(VLOOKUP(C103,'تقرير المصروفات حسب الشهر'!$C$261:$AD$368,23,FALSE),0)</f>
        <v>918.67</v>
      </c>
      <c r="G103" s="362">
        <f>IFERROR(VLOOKUP(C103,'تقرير المصروفات حسب الشهر'!$C$387:$AD$495,23,FALSE),0)</f>
        <v>918.67</v>
      </c>
      <c r="H103" s="362">
        <f>IFERROR(VLOOKUP(C103,'تقرير المصروفات حسب الشهر'!$C$512:$AD$620,23,FALSE),0)</f>
        <v>918.67</v>
      </c>
      <c r="I103" s="362">
        <f>IFERROR(VLOOKUP(C103,'تقرير المصروفات حسب الشهر'!$C$637:$AD$746,23,FALSE),0)</f>
        <v>918.67</v>
      </c>
      <c r="J103" s="362">
        <f>IFERROR(VLOOKUP(C103,'تقرير المصروفات حسب الشهر'!$C$763:$AD$872,23,FALSE),0)</f>
        <v>918.67</v>
      </c>
      <c r="K103" s="362">
        <f>IFERROR(VLOOKUP(C103,'تقرير المصروفات حسب الشهر'!$C$890:$AD$999,23,FALSE),0)</f>
        <v>918.67</v>
      </c>
      <c r="L103" s="362">
        <f>IFERROR(VLOOKUP(C103,'تقرير المصروفات حسب الشهر'!$C$1016:$AD$1126,23,FALSE),0)</f>
        <v>918.67</v>
      </c>
      <c r="M103" s="376">
        <f>IFERROR(VLOOKUP(C103,'تقرير المصروفات حسب الشهر'!$C$1143:$AD$1254,23,FALSE),0)</f>
        <v>918.67</v>
      </c>
      <c r="N103" s="376">
        <f>IFERROR(VLOOKUP(C103,'تقرير المصروفات حسب الشهر'!$C$1270:$AD$1381,23,FALSE),0)</f>
        <v>918.63</v>
      </c>
      <c r="O103" s="376">
        <f>IFERROR(VLOOKUP(C103,'تقرير المصروفات حسب الشهر'!$C$1397:$AI$1512,23,FALSE),0)</f>
        <v>0</v>
      </c>
      <c r="P103" s="364">
        <f t="shared" si="6"/>
        <v>10105.329999999998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الشهر'!$C$10:$AD$119,23,FALSE),0)</f>
        <v>0</v>
      </c>
      <c r="E104" s="362">
        <f>IFERROR(VLOOKUP(C104,'تقرير المصروفات حسب الشهر'!$C$135:$AD$244,23,FALSE),0)</f>
        <v>0</v>
      </c>
      <c r="F104" s="362">
        <f>IFERROR(VLOOKUP(C104,'تقرير المصروفات حسب الشهر'!$C$261:$AD$368,23,FALSE),0)</f>
        <v>0</v>
      </c>
      <c r="G104" s="362">
        <f>IFERROR(VLOOKUP(C104,'تقرير المصروفات حسب الشهر'!$C$387:$AD$495,23,FALSE),0)</f>
        <v>0</v>
      </c>
      <c r="H104" s="362">
        <f>IFERROR(VLOOKUP(C104,'تقرير المصروفات حسب الشهر'!$C$512:$AD$620,23,FALSE),0)</f>
        <v>0</v>
      </c>
      <c r="I104" s="362">
        <f>IFERROR(VLOOKUP(C104,'تقرير المصروفات حسب الشهر'!$C$637:$AD$746,23,FALSE),0)</f>
        <v>0</v>
      </c>
      <c r="J104" s="362">
        <f>IFERROR(VLOOKUP(C104,'تقرير المصروفات حسب الشهر'!$C$763:$AD$872,23,FALSE),0)</f>
        <v>0</v>
      </c>
      <c r="K104" s="362">
        <f>IFERROR(VLOOKUP(C104,'تقرير المصروفات حسب الشهر'!$C$890:$AD$999,23,FALSE),0)</f>
        <v>0</v>
      </c>
      <c r="L104" s="362">
        <f>IFERROR(VLOOKUP(C104,'تقرير المصروفات حسب الشهر'!$C$1016:$AD$1126,23,FALSE),0)</f>
        <v>0</v>
      </c>
      <c r="M104" s="376">
        <f>IFERROR(VLOOKUP(C104,'تقرير المصروفات حسب الشهر'!$C$1143:$AD$1254,23,FALSE),0)</f>
        <v>0</v>
      </c>
      <c r="N104" s="376">
        <f>IFERROR(VLOOKUP(C104,'تقرير المصروفات حسب الشهر'!$C$1270:$AD$1381,23,FALSE),0)</f>
        <v>0</v>
      </c>
      <c r="O104" s="376">
        <f>IFERROR(VLOOKUP(C104,'تقرير المصروفات حسب الشهر'!$C$1397:$AI$1512,23,FALSE),0)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الشهر'!$C$10:$AD$119,23,FALSE),0)</f>
        <v>0</v>
      </c>
      <c r="E105" s="362">
        <f>IFERROR(VLOOKUP(C105,'تقرير المصروفات حسب الشهر'!$C$135:$AD$244,23,FALSE),0)</f>
        <v>0</v>
      </c>
      <c r="F105" s="362">
        <f>IFERROR(VLOOKUP(C105,'تقرير المصروفات حسب الشهر'!$C$261:$AD$368,23,FALSE),0)</f>
        <v>0</v>
      </c>
      <c r="G105" s="362">
        <f>IFERROR(VLOOKUP(C105,'تقرير المصروفات حسب الشهر'!$C$387:$AD$495,23,FALSE),0)</f>
        <v>0</v>
      </c>
      <c r="H105" s="362">
        <f>IFERROR(VLOOKUP(C105,'تقرير المصروفات حسب الشهر'!$C$512:$AD$620,23,FALSE),0)</f>
        <v>0</v>
      </c>
      <c r="I105" s="362">
        <f>IFERROR(VLOOKUP(C105,'تقرير المصروفات حسب الشهر'!$C$637:$AD$746,23,FALSE),0)</f>
        <v>0</v>
      </c>
      <c r="J105" s="362">
        <f>IFERROR(VLOOKUP(C105,'تقرير المصروفات حسب الشهر'!$C$763:$AD$872,23,FALSE),0)</f>
        <v>0</v>
      </c>
      <c r="K105" s="362">
        <f>IFERROR(VLOOKUP(C105,'تقرير المصروفات حسب الشهر'!$C$890:$AD$999,23,FALSE),0)</f>
        <v>0</v>
      </c>
      <c r="L105" s="362">
        <f>IFERROR(VLOOKUP(C105,'تقرير المصروفات حسب الشهر'!$C$1016:$AD$1126,23,FALSE),0)</f>
        <v>0</v>
      </c>
      <c r="M105" s="376">
        <f>IFERROR(VLOOKUP(C105,'تقرير المصروفات حسب الشهر'!$C$1143:$AD$1254,23,FALSE),0)</f>
        <v>0</v>
      </c>
      <c r="N105" s="376">
        <f>IFERROR(VLOOKUP(C105,'تقرير المصروفات حسب الشهر'!$C$1270:$AD$1381,23,FALSE),0)</f>
        <v>0</v>
      </c>
      <c r="O105" s="376">
        <f>IFERROR(VLOOKUP(C105,'تقرير المصروفات حسب الشهر'!$C$1397:$AI$1512,23,FALSE),0)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الشهر'!$C$10:$AD$119,23,FALSE),0)</f>
        <v>0</v>
      </c>
      <c r="E106" s="362">
        <f>IFERROR(VLOOKUP(C106,'تقرير المصروفات حسب الشهر'!$C$135:$AD$244,23,FALSE),0)</f>
        <v>0</v>
      </c>
      <c r="F106" s="362">
        <f>IFERROR(VLOOKUP(C106,'تقرير المصروفات حسب الشهر'!$C$261:$AD$368,23,FALSE),0)</f>
        <v>0</v>
      </c>
      <c r="G106" s="362">
        <f>IFERROR(VLOOKUP(C106,'تقرير المصروفات حسب الشهر'!$C$387:$AD$495,23,FALSE),0)</f>
        <v>0</v>
      </c>
      <c r="H106" s="362">
        <f>IFERROR(VLOOKUP(C106,'تقرير المصروفات حسب الشهر'!$C$512:$AD$620,23,FALSE),0)</f>
        <v>0</v>
      </c>
      <c r="I106" s="362">
        <f>IFERROR(VLOOKUP(C106,'تقرير المصروفات حسب الشهر'!$C$637:$AD$746,23,FALSE),0)</f>
        <v>0</v>
      </c>
      <c r="J106" s="362">
        <f>IFERROR(VLOOKUP(C106,'تقرير المصروفات حسب الشهر'!$C$763:$AD$872,23,FALSE),0)</f>
        <v>0</v>
      </c>
      <c r="K106" s="362">
        <f>IFERROR(VLOOKUP(C106,'تقرير المصروفات حسب الشهر'!$C$890:$AD$999,23,FALSE),0)</f>
        <v>0</v>
      </c>
      <c r="L106" s="362">
        <f>IFERROR(VLOOKUP(C106,'تقرير المصروفات حسب الشهر'!$C$1016:$AD$1126,23,FALSE),0)</f>
        <v>0</v>
      </c>
      <c r="M106" s="376">
        <f>IFERROR(VLOOKUP(C106,'تقرير المصروفات حسب الشهر'!$C$1143:$AD$1254,23,FALSE),0)</f>
        <v>0</v>
      </c>
      <c r="N106" s="376">
        <f>IFERROR(VLOOKUP(C106,'تقرير المصروفات حسب الشهر'!$C$1270:$AD$1381,23,FALSE),0)</f>
        <v>0</v>
      </c>
      <c r="O106" s="376">
        <f>IFERROR(VLOOKUP(C106,'تقرير المصروفات حسب الشهر'!$C$1397:$AI$1512,23,FALSE),0)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الشهر'!$C$10:$AD$119,23,FALSE),0)</f>
        <v>0</v>
      </c>
      <c r="E107" s="362">
        <f>IFERROR(VLOOKUP(C107,'تقرير المصروفات حسب الشهر'!$C$135:$AD$244,23,FALSE),0)</f>
        <v>0</v>
      </c>
      <c r="F107" s="362">
        <f>IFERROR(VLOOKUP(C107,'تقرير المصروفات حسب الشهر'!$C$261:$AD$368,23,FALSE),0)</f>
        <v>0</v>
      </c>
      <c r="G107" s="362">
        <f>IFERROR(VLOOKUP(C107,'تقرير المصروفات حسب الشهر'!$C$387:$AD$495,23,FALSE),0)</f>
        <v>0</v>
      </c>
      <c r="H107" s="362">
        <f>IFERROR(VLOOKUP(C107,'تقرير المصروفات حسب الشهر'!$C$512:$AD$620,23,FALSE),0)</f>
        <v>0</v>
      </c>
      <c r="I107" s="362">
        <f>IFERROR(VLOOKUP(C107,'تقرير المصروفات حسب الشهر'!$C$637:$AD$746,23,FALSE),0)</f>
        <v>0</v>
      </c>
      <c r="J107" s="362">
        <f>IFERROR(VLOOKUP(C107,'تقرير المصروفات حسب الشهر'!$C$763:$AD$872,23,FALSE),0)</f>
        <v>0</v>
      </c>
      <c r="K107" s="362">
        <f>IFERROR(VLOOKUP(C107,'تقرير المصروفات حسب الشهر'!$C$890:$AD$999,23,FALSE),0)</f>
        <v>0</v>
      </c>
      <c r="L107" s="362">
        <f>IFERROR(VLOOKUP(C107,'تقرير المصروفات حسب الشهر'!$C$1016:$AD$1126,23,FALSE),0)</f>
        <v>0</v>
      </c>
      <c r="M107" s="376">
        <f>IFERROR(VLOOKUP(C107,'تقرير المصروفات حسب الشهر'!$C$1143:$AD$1254,23,FALSE),0)</f>
        <v>0</v>
      </c>
      <c r="N107" s="376">
        <f>IFERROR(VLOOKUP(C107,'تقرير المصروفات حسب الشهر'!$C$1270:$AD$1381,23,FALSE),0)</f>
        <v>0</v>
      </c>
      <c r="O107" s="376">
        <f>IFERROR(VLOOKUP(C107,'تقرير المصروفات حسب الشهر'!$C$1397:$AI$1512,23,FALSE),0)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الشهر'!$C$10:$AD$119,23,FALSE),0)</f>
        <v>0</v>
      </c>
      <c r="E108" s="362">
        <f>IFERROR(VLOOKUP(C108,'تقرير المصروفات حسب الشهر'!$C$135:$AD$244,23,FALSE),0)</f>
        <v>0</v>
      </c>
      <c r="F108" s="362">
        <f>IFERROR(VLOOKUP(C108,'تقرير المصروفات حسب الشهر'!$C$261:$AD$368,23,FALSE),0)</f>
        <v>0</v>
      </c>
      <c r="G108" s="362">
        <f>IFERROR(VLOOKUP(C108,'تقرير المصروفات حسب الشهر'!$C$387:$AD$495,23,FALSE),0)</f>
        <v>0</v>
      </c>
      <c r="H108" s="362">
        <f>IFERROR(VLOOKUP(C108,'تقرير المصروفات حسب الشهر'!$C$512:$AD$620,23,FALSE),0)</f>
        <v>0</v>
      </c>
      <c r="I108" s="362">
        <f>IFERROR(VLOOKUP(C108,'تقرير المصروفات حسب الشهر'!$C$637:$AD$746,23,FALSE),0)</f>
        <v>0</v>
      </c>
      <c r="J108" s="362">
        <f>IFERROR(VLOOKUP(C108,'تقرير المصروفات حسب الشهر'!$C$763:$AD$872,23,FALSE),0)</f>
        <v>0</v>
      </c>
      <c r="K108" s="362">
        <f>IFERROR(VLOOKUP(C108,'تقرير المصروفات حسب الشهر'!$C$890:$AD$999,23,FALSE),0)</f>
        <v>0</v>
      </c>
      <c r="L108" s="362">
        <f>IFERROR(VLOOKUP(C108,'تقرير المصروفات حسب الشهر'!$C$1016:$AD$1126,23,FALSE),0)</f>
        <v>0</v>
      </c>
      <c r="M108" s="376">
        <f>IFERROR(VLOOKUP(C108,'تقرير المصروفات حسب الشهر'!$C$1143:$AD$1254,23,FALSE),0)</f>
        <v>0</v>
      </c>
      <c r="N108" s="376">
        <f>IFERROR(VLOOKUP(C108,'تقرير المصروفات حسب الشهر'!$C$1270:$AD$1381,23,FALSE),0)</f>
        <v>0</v>
      </c>
      <c r="O108" s="376">
        <f>IFERROR(VLOOKUP(C108,'تقرير المصروفات حسب الشهر'!$C$1397:$AI$1512,23,FALSE),0)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الشهر'!$C$10:$AD$119,23,FALSE),0)</f>
        <v>0</v>
      </c>
      <c r="E109" s="362">
        <f>IFERROR(VLOOKUP(C109,'تقرير المصروفات حسب الشهر'!$C$135:$AD$244,23,FALSE),0)</f>
        <v>0</v>
      </c>
      <c r="F109" s="362">
        <f>IFERROR(VLOOKUP(C109,'تقرير المصروفات حسب الشهر'!$C$261:$AD$368,23,FALSE),0)</f>
        <v>0</v>
      </c>
      <c r="G109" s="362">
        <f>IFERROR(VLOOKUP(C109,'تقرير المصروفات حسب الشهر'!$C$387:$AD$495,23,FALSE),0)</f>
        <v>0</v>
      </c>
      <c r="H109" s="362">
        <f>IFERROR(VLOOKUP(C109,'تقرير المصروفات حسب الشهر'!$C$512:$AD$620,23,FALSE),0)</f>
        <v>0</v>
      </c>
      <c r="I109" s="362">
        <f>IFERROR(VLOOKUP(C109,'تقرير المصروفات حسب الشهر'!$C$637:$AD$746,23,FALSE),0)</f>
        <v>0</v>
      </c>
      <c r="J109" s="362">
        <f>IFERROR(VLOOKUP(C109,'تقرير المصروفات حسب الشهر'!$C$763:$AD$872,23,FALSE),0)</f>
        <v>0</v>
      </c>
      <c r="K109" s="362">
        <f>IFERROR(VLOOKUP(C109,'تقرير المصروفات حسب الشهر'!$C$890:$AD$999,23,FALSE),0)</f>
        <v>0</v>
      </c>
      <c r="L109" s="362">
        <f>IFERROR(VLOOKUP(C109,'تقرير المصروفات حسب الشهر'!$C$1016:$AD$1126,23,FALSE),0)</f>
        <v>0</v>
      </c>
      <c r="M109" s="376">
        <f>IFERROR(VLOOKUP(C109,'تقرير المصروفات حسب الشهر'!$C$1143:$AD$1254,23,FALSE),0)</f>
        <v>0</v>
      </c>
      <c r="N109" s="376">
        <f>IFERROR(VLOOKUP(C109,'تقرير المصروفات حسب الشهر'!$C$1270:$AD$1381,23,FALSE),0)</f>
        <v>0</v>
      </c>
      <c r="O109" s="376">
        <f>IFERROR(VLOOKUP(C109,'تقرير المصروفات حسب الشهر'!$C$1397:$AI$1512,23,FALSE),0)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الشهر'!$C$10:$AD$119,23,FALSE),0)</f>
        <v>0</v>
      </c>
      <c r="E110" s="362">
        <f>IFERROR(VLOOKUP(C110,'تقرير المصروفات حسب الشهر'!$C$135:$AD$244,23,FALSE),0)</f>
        <v>0</v>
      </c>
      <c r="F110" s="362">
        <f>IFERROR(VLOOKUP(C110,'تقرير المصروفات حسب الشهر'!$C$261:$AD$368,23,FALSE),0)</f>
        <v>0</v>
      </c>
      <c r="G110" s="362">
        <f>IFERROR(VLOOKUP(C110,'تقرير المصروفات حسب الشهر'!$C$387:$AD$495,23,FALSE),0)</f>
        <v>0</v>
      </c>
      <c r="H110" s="362">
        <f>IFERROR(VLOOKUP(C110,'تقرير المصروفات حسب الشهر'!$C$512:$AD$620,23,FALSE),0)</f>
        <v>0</v>
      </c>
      <c r="I110" s="362">
        <f>IFERROR(VLOOKUP(C110,'تقرير المصروفات حسب الشهر'!$C$637:$AD$746,23,FALSE),0)</f>
        <v>0</v>
      </c>
      <c r="J110" s="362">
        <f>IFERROR(VLOOKUP(C110,'تقرير المصروفات حسب الشهر'!$C$763:$AD$872,23,FALSE),0)</f>
        <v>0</v>
      </c>
      <c r="K110" s="362">
        <f>IFERROR(VLOOKUP(C110,'تقرير المصروفات حسب الشهر'!$C$890:$AD$999,23,FALSE),0)</f>
        <v>0</v>
      </c>
      <c r="L110" s="362">
        <f>IFERROR(VLOOKUP(C110,'تقرير المصروفات حسب الشهر'!$C$1016:$AD$1126,23,FALSE),0)</f>
        <v>0</v>
      </c>
      <c r="M110" s="376">
        <f>IFERROR(VLOOKUP(C110,'تقرير المصروفات حسب الشهر'!$C$1143:$AD$1254,23,FALSE),0)</f>
        <v>0</v>
      </c>
      <c r="N110" s="376">
        <f>IFERROR(VLOOKUP(C110,'تقرير المصروفات حسب الشهر'!$C$1270:$AD$1381,23,FALSE),0)</f>
        <v>0</v>
      </c>
      <c r="O110" s="376">
        <f>IFERROR(VLOOKUP(C110,'تقرير المصروفات حسب الشهر'!$C$1397:$AI$1512,23,FALSE),0)</f>
        <v>0</v>
      </c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الشهر'!$C$10:$AD$119,23,FALSE),0)</f>
        <v>0</v>
      </c>
      <c r="E111" s="362">
        <f>IFERROR(VLOOKUP(C111,'تقرير المصروفات حسب الشهر'!$C$135:$AD$244,23,FALSE),0)</f>
        <v>0</v>
      </c>
      <c r="F111" s="362">
        <f>IFERROR(VLOOKUP(C111,'تقرير المصروفات حسب الشهر'!$C$261:$AD$368,23,FALSE),0)</f>
        <v>0</v>
      </c>
      <c r="G111" s="362">
        <f>IFERROR(VLOOKUP(C111,'تقرير المصروفات حسب الشهر'!$C$387:$AD$495,23,FALSE),0)</f>
        <v>0</v>
      </c>
      <c r="H111" s="362">
        <f>IFERROR(VLOOKUP(C111,'تقرير المصروفات حسب الشهر'!$C$512:$AD$620,23,FALSE),0)</f>
        <v>0</v>
      </c>
      <c r="I111" s="362">
        <f>IFERROR(VLOOKUP(C111,'تقرير المصروفات حسب الشهر'!$C$637:$AD$746,23,FALSE),0)</f>
        <v>0</v>
      </c>
      <c r="J111" s="362">
        <f>IFERROR(VLOOKUP(C111,'تقرير المصروفات حسب الشهر'!$C$763:$AD$872,23,FALSE),0)</f>
        <v>0</v>
      </c>
      <c r="K111" s="362">
        <f>IFERROR(VLOOKUP(C111,'تقرير المصروفات حسب الشهر'!$C$890:$AD$999,23,FALSE),0)</f>
        <v>0</v>
      </c>
      <c r="L111" s="362">
        <f>IFERROR(VLOOKUP(C111,'تقرير المصروفات حسب الشهر'!$C$1016:$AD$1126,23,FALSE),0)</f>
        <v>0</v>
      </c>
      <c r="M111" s="376">
        <f>IFERROR(VLOOKUP(C111,'تقرير المصروفات حسب الشهر'!$C$1143:$AD$1254,23,FALSE),0)</f>
        <v>0</v>
      </c>
      <c r="N111" s="376">
        <f>IFERROR(VLOOKUP(C111,'تقرير المصروفات حسب الشهر'!$C$1270:$AD$1381,23,FALSE),0)</f>
        <v>0</v>
      </c>
      <c r="O111" s="376">
        <f>IFERROR(VLOOKUP(C111,'تقرير المصروفات حسب الشهر'!$C$1397:$AI$1512,23,FALSE),0)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الشهر'!$C$10:$AD$119,23,FALSE),0)</f>
        <v>0</v>
      </c>
      <c r="E112" s="362">
        <f>IFERROR(VLOOKUP(C112,'تقرير المصروفات حسب الشهر'!$C$135:$AD$244,23,FALSE),0)</f>
        <v>0</v>
      </c>
      <c r="F112" s="362">
        <f>IFERROR(VLOOKUP(C112,'تقرير المصروفات حسب الشهر'!$C$261:$AD$368,23,FALSE),0)</f>
        <v>0</v>
      </c>
      <c r="G112" s="362">
        <f>IFERROR(VLOOKUP(C112,'تقرير المصروفات حسب الشهر'!$C$387:$AD$495,23,FALSE),0)</f>
        <v>0</v>
      </c>
      <c r="H112" s="362">
        <f>IFERROR(VLOOKUP(C112,'تقرير المصروفات حسب الشهر'!$C$512:$AD$620,23,FALSE),0)</f>
        <v>0</v>
      </c>
      <c r="I112" s="362">
        <f>IFERROR(VLOOKUP(C112,'تقرير المصروفات حسب الشهر'!$C$637:$AD$746,23,FALSE),0)</f>
        <v>0</v>
      </c>
      <c r="J112" s="362">
        <f>IFERROR(VLOOKUP(C112,'تقرير المصروفات حسب الشهر'!$C$763:$AD$872,23,FALSE),0)</f>
        <v>0</v>
      </c>
      <c r="K112" s="362">
        <f>IFERROR(VLOOKUP(C112,'تقرير المصروفات حسب الشهر'!$C$890:$AD$999,23,FALSE),0)</f>
        <v>0</v>
      </c>
      <c r="L112" s="362">
        <f>IFERROR(VLOOKUP(C112,'تقرير المصروفات حسب الشهر'!$C$1016:$AD$1126,23,FALSE),0)</f>
        <v>0</v>
      </c>
      <c r="M112" s="376">
        <f>IFERROR(VLOOKUP(C112,'تقرير المصروفات حسب الشهر'!$C$1143:$AD$1254,23,FALSE),0)</f>
        <v>0</v>
      </c>
      <c r="N112" s="376">
        <f>IFERROR(VLOOKUP(C112,'تقرير المصروفات حسب الشهر'!$C$1270:$AD$1381,23,FALSE),0)</f>
        <v>0</v>
      </c>
      <c r="O112" s="376">
        <f>IFERROR(VLOOKUP(C112,'تقرير المصروفات حسب الشهر'!$C$1397:$AI$1512,23,FALSE),0)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الشهر'!$C$10:$AD$119,23,FALSE),0)</f>
        <v>0</v>
      </c>
      <c r="E113" s="362">
        <f>IFERROR(VLOOKUP(C113,'تقرير المصروفات حسب الشهر'!$C$135:$AD$244,23,FALSE),0)</f>
        <v>0</v>
      </c>
      <c r="F113" s="362">
        <f>IFERROR(VLOOKUP(C113,'تقرير المصروفات حسب الشهر'!$C$261:$AD$368,23,FALSE),0)</f>
        <v>0</v>
      </c>
      <c r="G113" s="362">
        <f>IFERROR(VLOOKUP(C113,'تقرير المصروفات حسب الشهر'!$C$387:$AD$495,23,FALSE),0)</f>
        <v>0</v>
      </c>
      <c r="H113" s="362">
        <f>IFERROR(VLOOKUP(C113,'تقرير المصروفات حسب الشهر'!$C$512:$AD$620,23,FALSE),0)</f>
        <v>0</v>
      </c>
      <c r="I113" s="362">
        <f>IFERROR(VLOOKUP(C113,'تقرير المصروفات حسب الشهر'!$C$637:$AD$746,23,FALSE),0)</f>
        <v>0</v>
      </c>
      <c r="J113" s="362">
        <f>IFERROR(VLOOKUP(C113,'تقرير المصروفات حسب الشهر'!$C$763:$AD$872,23,FALSE),0)</f>
        <v>0</v>
      </c>
      <c r="K113" s="362">
        <f>IFERROR(VLOOKUP(C113,'تقرير المصروفات حسب الشهر'!$C$890:$AD$999,23,FALSE),0)</f>
        <v>0</v>
      </c>
      <c r="L113" s="362">
        <f>IFERROR(VLOOKUP(C113,'تقرير المصروفات حسب الشهر'!$C$1016:$AD$1126,23,FALSE),0)</f>
        <v>0</v>
      </c>
      <c r="M113" s="376">
        <f>IFERROR(VLOOKUP(C113,'تقرير المصروفات حسب الشهر'!$C$1143:$AD$1254,23,FALSE),0)</f>
        <v>0</v>
      </c>
      <c r="N113" s="376">
        <f>IFERROR(VLOOKUP(C113,'تقرير المصروفات حسب الشهر'!$C$1270:$AD$1381,23,FALSE),0)</f>
        <v>0</v>
      </c>
      <c r="O113" s="376">
        <f>IFERROR(VLOOKUP(C113,'تقرير المصروفات حسب الشهر'!$C$1397:$AI$1512,23,FALSE),0)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الشهر'!$C$10:$AD$119,23,FALSE),0)</f>
        <v>0</v>
      </c>
      <c r="E114" s="362">
        <f>IFERROR(VLOOKUP(C114,'تقرير المصروفات حسب الشهر'!$C$135:$AD$244,23,FALSE),0)</f>
        <v>0</v>
      </c>
      <c r="F114" s="362">
        <f>IFERROR(VLOOKUP(C114,'تقرير المصروفات حسب الشهر'!$C$261:$AD$368,23,FALSE),0)</f>
        <v>0</v>
      </c>
      <c r="G114" s="362">
        <f>IFERROR(VLOOKUP(C114,'تقرير المصروفات حسب الشهر'!$C$387:$AD$495,23,FALSE),0)</f>
        <v>0</v>
      </c>
      <c r="H114" s="362">
        <f>IFERROR(VLOOKUP(C114,'تقرير المصروفات حسب الشهر'!$C$512:$AD$620,23,FALSE),0)</f>
        <v>0</v>
      </c>
      <c r="I114" s="362">
        <f>IFERROR(VLOOKUP(C114,'تقرير المصروفات حسب الشهر'!$C$637:$AD$746,23,FALSE),0)</f>
        <v>0</v>
      </c>
      <c r="J114" s="362">
        <f>IFERROR(VLOOKUP(C114,'تقرير المصروفات حسب الشهر'!$C$763:$AD$872,23,FALSE),0)</f>
        <v>0</v>
      </c>
      <c r="K114" s="362">
        <f>IFERROR(VLOOKUP(C114,'تقرير المصروفات حسب الشهر'!$C$890:$AD$999,23,FALSE),0)</f>
        <v>0</v>
      </c>
      <c r="L114" s="362">
        <f>IFERROR(VLOOKUP(C114,'تقرير المصروفات حسب الشهر'!$C$1016:$AD$1126,23,FALSE),0)</f>
        <v>0</v>
      </c>
      <c r="M114" s="376">
        <f>IFERROR(VLOOKUP(C114,'تقرير المصروفات حسب الشهر'!$C$1143:$AD$1254,23,FALSE),0)</f>
        <v>0</v>
      </c>
      <c r="N114" s="376">
        <f>IFERROR(VLOOKUP(C114,'تقرير المصروفات حسب الشهر'!$C$1270:$AD$1381,23,FALSE),0)</f>
        <v>0</v>
      </c>
      <c r="O114" s="376">
        <f>IFERROR(VLOOKUP(C114,'تقرير المصروفات حسب الشهر'!$C$1397:$AI$1512,23,FALSE),0)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الشهر'!$C$10:$AD$119,23,FALSE),0)</f>
        <v>0</v>
      </c>
      <c r="E115" s="362">
        <f>IFERROR(VLOOKUP(C115,'تقرير المصروفات حسب الشهر'!$C$135:$AD$244,23,FALSE),0)</f>
        <v>0</v>
      </c>
      <c r="F115" s="362">
        <f>IFERROR(VLOOKUP(C115,'تقرير المصروفات حسب الشهر'!$C$261:$AD$368,23,FALSE),0)</f>
        <v>0</v>
      </c>
      <c r="G115" s="362">
        <f>IFERROR(VLOOKUP(C115,'تقرير المصروفات حسب الشهر'!$C$387:$AD$495,23,FALSE),0)</f>
        <v>0</v>
      </c>
      <c r="H115" s="362">
        <f>IFERROR(VLOOKUP(C115,'تقرير المصروفات حسب الشهر'!$C$512:$AD$620,23,FALSE),0)</f>
        <v>0</v>
      </c>
      <c r="I115" s="362">
        <f>IFERROR(VLOOKUP(C115,'تقرير المصروفات حسب الشهر'!$C$637:$AD$746,23,FALSE),0)</f>
        <v>0</v>
      </c>
      <c r="J115" s="362">
        <f>IFERROR(VLOOKUP(C115,'تقرير المصروفات حسب الشهر'!$C$763:$AD$872,23,FALSE),0)</f>
        <v>0</v>
      </c>
      <c r="K115" s="362">
        <f>IFERROR(VLOOKUP(C115,'تقرير المصروفات حسب الشهر'!$C$890:$AD$999,23,FALSE),0)</f>
        <v>0</v>
      </c>
      <c r="L115" s="362">
        <f>IFERROR(VLOOKUP(C115,'تقرير المصروفات حسب الشهر'!$C$1016:$AD$1126,23,FALSE),0)</f>
        <v>0</v>
      </c>
      <c r="M115" s="376">
        <f>IFERROR(VLOOKUP(C115,'تقرير المصروفات حسب الشهر'!$C$1143:$AD$1254,23,FALSE),0)</f>
        <v>0</v>
      </c>
      <c r="N115" s="376">
        <f>IFERROR(VLOOKUP(C115,'تقرير المصروفات حسب الشهر'!$C$1270:$AD$1381,23,FALSE),0)</f>
        <v>0</v>
      </c>
      <c r="O115" s="376">
        <f>IFERROR(VLOOKUP(C115,'تقرير المصروفات حسب الشهر'!$C$1397:$AI$1512,23,FALSE),0)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الشهر'!$C$10:$AD$119,23,FALSE),0)</f>
        <v>0</v>
      </c>
      <c r="E116" s="362">
        <f>IFERROR(VLOOKUP(C116,'تقرير المصروفات حسب الشهر'!$C$135:$AD$244,23,FALSE),0)</f>
        <v>0</v>
      </c>
      <c r="F116" s="362">
        <f>IFERROR(VLOOKUP(C116,'تقرير المصروفات حسب الشهر'!$C$261:$AD$368,23,FALSE),0)</f>
        <v>0</v>
      </c>
      <c r="G116" s="362">
        <f>IFERROR(VLOOKUP(C116,'تقرير المصروفات حسب الشهر'!$C$387:$AD$495,23,FALSE),0)</f>
        <v>0</v>
      </c>
      <c r="H116" s="362">
        <f>IFERROR(VLOOKUP(C116,'تقرير المصروفات حسب الشهر'!$C$512:$AD$620,23,FALSE),0)</f>
        <v>0</v>
      </c>
      <c r="I116" s="362">
        <f>IFERROR(VLOOKUP(C116,'تقرير المصروفات حسب الشهر'!$C$637:$AD$746,23,FALSE),0)</f>
        <v>0</v>
      </c>
      <c r="J116" s="362">
        <f>IFERROR(VLOOKUP(C116,'تقرير المصروفات حسب الشهر'!$C$763:$AD$872,23,FALSE),0)</f>
        <v>0</v>
      </c>
      <c r="K116" s="362">
        <f>IFERROR(VLOOKUP(C116,'تقرير المصروفات حسب الشهر'!$C$890:$AD$999,23,FALSE),0)</f>
        <v>0</v>
      </c>
      <c r="L116" s="362">
        <f>IFERROR(VLOOKUP(C116,'تقرير المصروفات حسب الشهر'!$C$1016:$AD$1126,23,FALSE),0)</f>
        <v>0</v>
      </c>
      <c r="M116" s="376">
        <f>IFERROR(VLOOKUP(C116,'تقرير المصروفات حسب الشهر'!$C$1143:$AD$1254,23,FALSE),0)</f>
        <v>0</v>
      </c>
      <c r="N116" s="376">
        <f>IFERROR(VLOOKUP(C116,'تقرير المصروفات حسب الشهر'!$C$1270:$AD$1381,23,FALSE),0)</f>
        <v>0</v>
      </c>
      <c r="O116" s="376">
        <f>IFERROR(VLOOKUP(C116,'تقرير المصروفات حسب الشهر'!$C$1397:$AI$1512,23,FALSE),0)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الشهر'!$C$10:$AD$119,23,FALSE),0)</f>
        <v>0</v>
      </c>
      <c r="E117" s="362">
        <f>IFERROR(VLOOKUP(C117,'تقرير المصروفات حسب الشهر'!$C$135:$AD$244,23,FALSE),0)</f>
        <v>0</v>
      </c>
      <c r="F117" s="362">
        <f>IFERROR(VLOOKUP(C117,'تقرير المصروفات حسب الشهر'!$C$261:$AD$368,23,FALSE),0)</f>
        <v>0</v>
      </c>
      <c r="G117" s="362">
        <f>IFERROR(VLOOKUP(C117,'تقرير المصروفات حسب الشهر'!$C$387:$AD$495,23,FALSE),0)</f>
        <v>0</v>
      </c>
      <c r="H117" s="362">
        <f>IFERROR(VLOOKUP(C117,'تقرير المصروفات حسب الشهر'!$C$512:$AD$620,23,FALSE),0)</f>
        <v>0</v>
      </c>
      <c r="I117" s="362">
        <f>IFERROR(VLOOKUP(C117,'تقرير المصروفات حسب الشهر'!$C$637:$AD$746,23,FALSE),0)</f>
        <v>0</v>
      </c>
      <c r="J117" s="362">
        <f>IFERROR(VLOOKUP(C117,'تقرير المصروفات حسب الشهر'!$C$763:$AD$872,23,FALSE),0)</f>
        <v>0</v>
      </c>
      <c r="K117" s="362">
        <f>IFERROR(VLOOKUP(C117,'تقرير المصروفات حسب الشهر'!$C$890:$AD$999,23,FALSE),0)</f>
        <v>0</v>
      </c>
      <c r="L117" s="362">
        <f>IFERROR(VLOOKUP(C117,'تقرير المصروفات حسب الشهر'!$C$1016:$AD$1126,23,FALSE),0)</f>
        <v>0</v>
      </c>
      <c r="M117" s="376">
        <f>IFERROR(VLOOKUP(C117,'تقرير المصروفات حسب الشهر'!$C$1143:$AD$1254,23,FALSE),0)</f>
        <v>0</v>
      </c>
      <c r="N117" s="376">
        <f>IFERROR(VLOOKUP(C117,'تقرير المصروفات حسب الشهر'!$C$1270:$AD$1381,23,FALSE),0)</f>
        <v>0</v>
      </c>
      <c r="O117" s="376">
        <f>IFERROR(VLOOKUP(C117,'تقرير المصروفات حسب الشهر'!$C$1397:$AI$1512,23,FALSE),0)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الشهر'!$C$10:$AD$119,23,FALSE),0)</f>
        <v>0</v>
      </c>
      <c r="E118" s="362">
        <f>IFERROR(VLOOKUP(C118,'تقرير المصروفات حسب الشهر'!$C$135:$AD$244,23,FALSE),0)</f>
        <v>0</v>
      </c>
      <c r="F118" s="362">
        <f>IFERROR(VLOOKUP(C118,'تقرير المصروفات حسب الشهر'!$C$261:$AD$368,23,FALSE),0)</f>
        <v>0</v>
      </c>
      <c r="G118" s="362">
        <f>IFERROR(VLOOKUP(C118,'تقرير المصروفات حسب الشهر'!$C$387:$AD$495,23,FALSE),0)</f>
        <v>0</v>
      </c>
      <c r="H118" s="362">
        <f>IFERROR(VLOOKUP(C118,'تقرير المصروفات حسب الشهر'!$C$512:$AD$620,23,FALSE),0)</f>
        <v>0</v>
      </c>
      <c r="I118" s="362">
        <f>IFERROR(VLOOKUP(C118,'تقرير المصروفات حسب الشهر'!$C$637:$AD$746,23,FALSE),0)</f>
        <v>0</v>
      </c>
      <c r="J118" s="362">
        <f>IFERROR(VLOOKUP(C118,'تقرير المصروفات حسب الشهر'!$C$763:$AD$872,23,FALSE),0)</f>
        <v>0</v>
      </c>
      <c r="K118" s="362">
        <f>IFERROR(VLOOKUP(C118,'تقرير المصروفات حسب الشهر'!$C$890:$AD$999,23,FALSE),0)</f>
        <v>0</v>
      </c>
      <c r="L118" s="362">
        <f>IFERROR(VLOOKUP(C118,'تقرير المصروفات حسب الشهر'!$C$1016:$AD$1126,23,FALSE),0)</f>
        <v>0</v>
      </c>
      <c r="M118" s="376">
        <f>IFERROR(VLOOKUP(C118,'تقرير المصروفات حسب الشهر'!$C$1143:$AD$1254,23,FALSE),0)</f>
        <v>0</v>
      </c>
      <c r="N118" s="376">
        <f>IFERROR(VLOOKUP(C118,'تقرير المصروفات حسب الشهر'!$C$1270:$AD$1381,23,FALSE),0)</f>
        <v>0</v>
      </c>
      <c r="O118" s="376">
        <f>IFERROR(VLOOKUP(C118,'تقرير المصروفات حسب الشهر'!$C$1397:$AI$1512,23,FALSE),0)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الشهر'!$C$10:$AD$119,23,FALSE),0)</f>
        <v>0</v>
      </c>
      <c r="E119" s="362">
        <f>IFERROR(VLOOKUP(C119,'تقرير المصروفات حسب الشهر'!$C$135:$AD$244,23,FALSE),0)</f>
        <v>0</v>
      </c>
      <c r="F119" s="362">
        <f>IFERROR(VLOOKUP(C119,'تقرير المصروفات حسب الشهر'!$C$261:$AD$368,23,FALSE),0)</f>
        <v>0</v>
      </c>
      <c r="G119" s="362">
        <f>IFERROR(VLOOKUP(C119,'تقرير المصروفات حسب الشهر'!$C$387:$AD$495,23,FALSE),0)</f>
        <v>0</v>
      </c>
      <c r="H119" s="362">
        <f>IFERROR(VLOOKUP(C119,'تقرير المصروفات حسب الشهر'!$C$512:$AD$620,23,FALSE),0)</f>
        <v>0</v>
      </c>
      <c r="I119" s="362">
        <f>IFERROR(VLOOKUP(C119,'تقرير المصروفات حسب الشهر'!$C$637:$AD$746,23,FALSE),0)</f>
        <v>0</v>
      </c>
      <c r="J119" s="362">
        <f>IFERROR(VLOOKUP(C119,'تقرير المصروفات حسب الشهر'!$C$763:$AD$872,23,FALSE),0)</f>
        <v>0</v>
      </c>
      <c r="K119" s="362">
        <f>IFERROR(VLOOKUP(C119,'تقرير المصروفات حسب الشهر'!$C$890:$AD$999,23,FALSE),0)</f>
        <v>0</v>
      </c>
      <c r="L119" s="362">
        <f>IFERROR(VLOOKUP(C119,'تقرير المصروفات حسب الشهر'!$C$1016:$AD$1126,23,FALSE),0)</f>
        <v>0</v>
      </c>
      <c r="M119" s="376">
        <f>IFERROR(VLOOKUP(C119,'تقرير المصروفات حسب الشهر'!$C$1143:$AD$1254,23,FALSE),0)</f>
        <v>0</v>
      </c>
      <c r="N119" s="376">
        <f>IFERROR(VLOOKUP(C119,'تقرير المصروفات حسب الشهر'!$C$1270:$AD$1381,23,FALSE),0)</f>
        <v>0</v>
      </c>
      <c r="O119" s="376">
        <f>IFERROR(VLOOKUP(C119,'تقرير المصروفات حسب الشهر'!$C$1397:$AI$1512,23,FALSE),0)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الشهر'!$C$10:$AD$119,23,FALSE),0)</f>
        <v>0</v>
      </c>
      <c r="E120" s="362">
        <f>IFERROR(VLOOKUP(C120,'تقرير المصروفات حسب الشهر'!$C$135:$AD$244,23,FALSE),0)</f>
        <v>0</v>
      </c>
      <c r="F120" s="362">
        <f>IFERROR(VLOOKUP(C120,'تقرير المصروفات حسب الشهر'!$C$261:$AD$368,23,FALSE),0)</f>
        <v>0</v>
      </c>
      <c r="G120" s="362">
        <f>IFERROR(VLOOKUP(C120,'تقرير المصروفات حسب الشهر'!$C$387:$AD$495,23,FALSE),0)</f>
        <v>0</v>
      </c>
      <c r="H120" s="362">
        <f>IFERROR(VLOOKUP(C120,'تقرير المصروفات حسب الشهر'!$C$512:$AD$620,23,FALSE),0)</f>
        <v>0</v>
      </c>
      <c r="I120" s="362">
        <f>IFERROR(VLOOKUP(C120,'تقرير المصروفات حسب الشهر'!$C$637:$AD$746,23,FALSE),0)</f>
        <v>0</v>
      </c>
      <c r="J120" s="362">
        <f>IFERROR(VLOOKUP(C120,'تقرير المصروفات حسب الشهر'!$C$763:$AD$872,23,FALSE),0)</f>
        <v>0</v>
      </c>
      <c r="K120" s="362">
        <f>IFERROR(VLOOKUP(C120,'تقرير المصروفات حسب الشهر'!$C$890:$AD$999,23,FALSE),0)</f>
        <v>0</v>
      </c>
      <c r="L120" s="362">
        <f>IFERROR(VLOOKUP(C120,'تقرير المصروفات حسب الشهر'!$C$1016:$AD$1126,23,FALSE),0)</f>
        <v>0</v>
      </c>
      <c r="M120" s="376">
        <f>IFERROR(VLOOKUP(C120,'تقرير المصروفات حسب الشهر'!$C$1143:$AD$1254,23,FALSE),0)</f>
        <v>0</v>
      </c>
      <c r="N120" s="376">
        <f>IFERROR(VLOOKUP(C120,'تقرير المصروفات حسب الشهر'!$C$1270:$AD$1381,23,FALSE),0)</f>
        <v>0</v>
      </c>
      <c r="O120" s="376">
        <f>IFERROR(VLOOKUP(C120,'تقرير المصروفات حسب الشهر'!$C$1397:$AI$1512,23,FALSE),0)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الشهر'!$C$10:$AD$119,23,FALSE),0)</f>
        <v>0</v>
      </c>
      <c r="E121" s="362">
        <f>IFERROR(VLOOKUP(C121,'تقرير المصروفات حسب الشهر'!$C$135:$AD$244,23,FALSE),0)</f>
        <v>0</v>
      </c>
      <c r="F121" s="362">
        <f>IFERROR(VLOOKUP(C121,'تقرير المصروفات حسب الشهر'!$C$261:$AD$368,23,FALSE),0)</f>
        <v>0</v>
      </c>
      <c r="G121" s="362">
        <f>IFERROR(VLOOKUP(C121,'تقرير المصروفات حسب الشهر'!$C$387:$AD$495,23,FALSE),0)</f>
        <v>0</v>
      </c>
      <c r="H121" s="362">
        <f>IFERROR(VLOOKUP(C121,'تقرير المصروفات حسب الشهر'!$C$512:$AD$620,23,FALSE),0)</f>
        <v>0</v>
      </c>
      <c r="I121" s="362">
        <f>IFERROR(VLOOKUP(C121,'تقرير المصروفات حسب الشهر'!$C$637:$AD$746,23,FALSE),0)</f>
        <v>0</v>
      </c>
      <c r="J121" s="362">
        <f>IFERROR(VLOOKUP(C121,'تقرير المصروفات حسب الشهر'!$C$763:$AD$872,23,FALSE),0)</f>
        <v>0</v>
      </c>
      <c r="K121" s="362">
        <f>IFERROR(VLOOKUP(C121,'تقرير المصروفات حسب الشهر'!$C$890:$AD$999,23,FALSE),0)</f>
        <v>0</v>
      </c>
      <c r="L121" s="362">
        <f>IFERROR(VLOOKUP(C121,'تقرير المصروفات حسب الشهر'!$C$1016:$AD$1126,23,FALSE),0)</f>
        <v>0</v>
      </c>
      <c r="M121" s="376">
        <f>IFERROR(VLOOKUP(C121,'تقرير المصروفات حسب الشهر'!$C$1143:$AD$1254,23,FALSE),0)</f>
        <v>0</v>
      </c>
      <c r="N121" s="376">
        <f>IFERROR(VLOOKUP(C121,'تقرير المصروفات حسب الشهر'!$C$1270:$AD$1381,23,FALSE),0)</f>
        <v>0</v>
      </c>
      <c r="O121" s="376">
        <f>IFERROR(VLOOKUP(C121,'تقرير المصروفات حسب الشهر'!$C$1397:$AI$1512,23,FALSE),0)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الشهر'!$C$10:$AD$119,23,FALSE),0)</f>
        <v>0</v>
      </c>
      <c r="E122" s="362">
        <f>IFERROR(VLOOKUP(C122,'تقرير المصروفات حسب الشهر'!$C$135:$AD$244,23,FALSE),0)</f>
        <v>0</v>
      </c>
      <c r="F122" s="362">
        <f>IFERROR(VLOOKUP(C122,'تقرير المصروفات حسب الشهر'!$C$261:$AD$368,23,FALSE),0)</f>
        <v>0</v>
      </c>
      <c r="G122" s="362">
        <f>IFERROR(VLOOKUP(C122,'تقرير المصروفات حسب الشهر'!$C$387:$AD$495,23,FALSE),0)</f>
        <v>0</v>
      </c>
      <c r="H122" s="362">
        <f>IFERROR(VLOOKUP(C122,'تقرير المصروفات حسب الشهر'!$C$512:$AD$620,23,FALSE),0)</f>
        <v>0</v>
      </c>
      <c r="I122" s="362">
        <f>IFERROR(VLOOKUP(C122,'تقرير المصروفات حسب الشهر'!$C$637:$AD$746,23,FALSE),0)</f>
        <v>0</v>
      </c>
      <c r="J122" s="362">
        <f>IFERROR(VLOOKUP(C122,'تقرير المصروفات حسب الشهر'!$C$763:$AD$872,23,FALSE),0)</f>
        <v>0</v>
      </c>
      <c r="K122" s="362">
        <f>IFERROR(VLOOKUP(C122,'تقرير المصروفات حسب الشهر'!$C$890:$AD$999,23,FALSE),0)</f>
        <v>0</v>
      </c>
      <c r="L122" s="362">
        <f>IFERROR(VLOOKUP(C122,'تقرير المصروفات حسب الشهر'!$C$1016:$AD$1126,23,FALSE),0)</f>
        <v>0</v>
      </c>
      <c r="M122" s="376">
        <f>IFERROR(VLOOKUP(C122,'تقرير المصروفات حسب الشهر'!$C$1143:$AD$1254,23,FALSE),0)</f>
        <v>0</v>
      </c>
      <c r="N122" s="376">
        <f>IFERROR(VLOOKUP(C122,'تقرير المصروفات حسب الشهر'!$C$1270:$AD$1381,23,FALSE),0)</f>
        <v>0</v>
      </c>
      <c r="O122" s="376">
        <f>IFERROR(VLOOKUP(C122,'تقرير المصروفات حسب الشهر'!$C$1397:$AI$1512,23,FALSE),0)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الشهر'!$C$10:$AD$119,23,FALSE),0)</f>
        <v>0</v>
      </c>
      <c r="E123" s="362">
        <f>IFERROR(VLOOKUP(C123,'تقرير المصروفات حسب الشهر'!$C$135:$AD$244,23,FALSE),0)</f>
        <v>0</v>
      </c>
      <c r="F123" s="362">
        <f>IFERROR(VLOOKUP(C123,'تقرير المصروفات حسب الشهر'!$C$261:$AD$368,23,FALSE),0)</f>
        <v>0</v>
      </c>
      <c r="G123" s="362">
        <f>IFERROR(VLOOKUP(C123,'تقرير المصروفات حسب الشهر'!$C$387:$AD$495,23,FALSE),0)</f>
        <v>0</v>
      </c>
      <c r="H123" s="362">
        <f>IFERROR(VLOOKUP(C123,'تقرير المصروفات حسب الشهر'!$C$512:$AD$620,23,FALSE),0)</f>
        <v>0</v>
      </c>
      <c r="I123" s="362">
        <f>IFERROR(VLOOKUP(C123,'تقرير المصروفات حسب الشهر'!$C$637:$AD$746,23,FALSE),0)</f>
        <v>0</v>
      </c>
      <c r="J123" s="362">
        <f>IFERROR(VLOOKUP(C123,'تقرير المصروفات حسب الشهر'!$C$763:$AD$872,23,FALSE),0)</f>
        <v>0</v>
      </c>
      <c r="K123" s="362">
        <f>IFERROR(VLOOKUP(C123,'تقرير المصروفات حسب الشهر'!$C$890:$AD$999,23,FALSE),0)</f>
        <v>0</v>
      </c>
      <c r="L123" s="362">
        <f>IFERROR(VLOOKUP(C123,'تقرير المصروفات حسب الشهر'!$C$1016:$AD$1126,23,FALSE),0)</f>
        <v>0</v>
      </c>
      <c r="M123" s="376">
        <f>IFERROR(VLOOKUP(C123,'تقرير المصروفات حسب الشهر'!$C$1143:$AD$1254,23,FALSE),0)</f>
        <v>0</v>
      </c>
      <c r="N123" s="376">
        <f>IFERROR(VLOOKUP(C123,'تقرير المصروفات حسب الشهر'!$C$1270:$AD$1381,23,FALSE),0)</f>
        <v>0</v>
      </c>
      <c r="O123" s="376">
        <f>IFERROR(VLOOKUP(C123,'تقرير المصروفات حسب الشهر'!$C$1397:$AI$1512,23,FALSE),0)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الشهر'!$C$10:$AD$119,23,FALSE),0)</f>
        <v>0</v>
      </c>
      <c r="E124" s="362">
        <f>IFERROR(VLOOKUP(C124,'تقرير المصروفات حسب الشهر'!$C$135:$AD$244,23,FALSE),0)</f>
        <v>0</v>
      </c>
      <c r="F124" s="362">
        <f>IFERROR(VLOOKUP(C124,'تقرير المصروفات حسب الشهر'!$C$261:$AD$368,23,FALSE),0)</f>
        <v>0</v>
      </c>
      <c r="G124" s="362">
        <f>IFERROR(VLOOKUP(C124,'تقرير المصروفات حسب الشهر'!$C$387:$AD$495,23,FALSE),0)</f>
        <v>0</v>
      </c>
      <c r="H124" s="362">
        <f>IFERROR(VLOOKUP(C124,'تقرير المصروفات حسب الشهر'!$C$512:$AD$620,23,FALSE),0)</f>
        <v>0</v>
      </c>
      <c r="I124" s="362">
        <f>IFERROR(VLOOKUP(C124,'تقرير المصروفات حسب الشهر'!$C$637:$AD$746,23,FALSE),0)</f>
        <v>0</v>
      </c>
      <c r="J124" s="362">
        <f>IFERROR(VLOOKUP(C124,'تقرير المصروفات حسب الشهر'!$C$763:$AD$872,23,FALSE),0)</f>
        <v>0</v>
      </c>
      <c r="K124" s="362">
        <f>IFERROR(VLOOKUP(C124,'تقرير المصروفات حسب الشهر'!$C$890:$AD$999,23,FALSE),0)</f>
        <v>0</v>
      </c>
      <c r="L124" s="362">
        <f>IFERROR(VLOOKUP(C124,'تقرير المصروفات حسب الشهر'!$C$1016:$AD$1126,23,FALSE),0)</f>
        <v>0</v>
      </c>
      <c r="M124" s="376">
        <f>IFERROR(VLOOKUP(C124,'تقرير المصروفات حسب الشهر'!$C$1143:$AD$1254,23,FALSE),0)</f>
        <v>0</v>
      </c>
      <c r="N124" s="376">
        <f>IFERROR(VLOOKUP(C124,'تقرير المصروفات حسب الشهر'!$C$1270:$AD$1381,23,FALSE),0)</f>
        <v>0</v>
      </c>
      <c r="O124" s="376">
        <f>IFERROR(VLOOKUP(C124,'تقرير المصروفات حسب الشهر'!$C$1397:$AI$1512,23,FALSE),0)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الشهر'!$C$10:$AD$119,23,FALSE),0)</f>
        <v>0</v>
      </c>
      <c r="E125" s="362">
        <f>IFERROR(VLOOKUP(C125,'تقرير المصروفات حسب الشهر'!$C$135:$AD$244,23,FALSE),0)</f>
        <v>0</v>
      </c>
      <c r="F125" s="362">
        <f>IFERROR(VLOOKUP(C125,'تقرير المصروفات حسب الشهر'!$C$261:$AD$368,23,FALSE),0)</f>
        <v>0</v>
      </c>
      <c r="G125" s="362">
        <f>IFERROR(VLOOKUP(C125,'تقرير المصروفات حسب الشهر'!$C$387:$AD$495,23,FALSE),0)</f>
        <v>0</v>
      </c>
      <c r="H125" s="362">
        <f>IFERROR(VLOOKUP(C125,'تقرير المصروفات حسب الشهر'!$C$512:$AD$620,23,FALSE),0)</f>
        <v>0</v>
      </c>
      <c r="I125" s="362">
        <f>IFERROR(VLOOKUP(C125,'تقرير المصروفات حسب الشهر'!$C$637:$AD$746,23,FALSE),0)</f>
        <v>0</v>
      </c>
      <c r="J125" s="362">
        <f>IFERROR(VLOOKUP(C125,'تقرير المصروفات حسب الشهر'!$C$763:$AD$872,23,FALSE),0)</f>
        <v>0</v>
      </c>
      <c r="K125" s="362">
        <f>IFERROR(VLOOKUP(C125,'تقرير المصروفات حسب الشهر'!$C$890:$AD$999,23,FALSE),0)</f>
        <v>0</v>
      </c>
      <c r="L125" s="362">
        <f>IFERROR(VLOOKUP(C125,'تقرير المصروفات حسب الشهر'!$C$1016:$AD$1126,23,FALSE),0)</f>
        <v>0</v>
      </c>
      <c r="M125" s="376">
        <f>IFERROR(VLOOKUP(C125,'تقرير المصروفات حسب الشهر'!$C$1143:$AD$1254,23,FALSE),0)</f>
        <v>0</v>
      </c>
      <c r="N125" s="376">
        <f>IFERROR(VLOOKUP(C125,'تقرير المصروفات حسب الشهر'!$C$1270:$AD$1381,23,FALSE),0)</f>
        <v>0</v>
      </c>
      <c r="O125" s="376">
        <f>IFERROR(VLOOKUP(C125,'تقرير المصروفات حسب الشهر'!$C$1397:$AI$1512,23,FALSE),0)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الشهر'!$C$10:$AD$119,23,FALSE),0)</f>
        <v>0</v>
      </c>
      <c r="E126" s="362">
        <f>IFERROR(VLOOKUP(C126,'تقرير المصروفات حسب الشهر'!$C$135:$AD$244,23,FALSE),0)</f>
        <v>0</v>
      </c>
      <c r="F126" s="362">
        <f>IFERROR(VLOOKUP(C126,'تقرير المصروفات حسب الشهر'!$C$261:$AD$368,23,FALSE),0)</f>
        <v>0</v>
      </c>
      <c r="G126" s="362">
        <f>IFERROR(VLOOKUP(C126,'تقرير المصروفات حسب الشهر'!$C$387:$AD$495,23,FALSE),0)</f>
        <v>0</v>
      </c>
      <c r="H126" s="362">
        <f>IFERROR(VLOOKUP(C126,'تقرير المصروفات حسب الشهر'!$C$512:$AD$620,23,FALSE),0)</f>
        <v>0</v>
      </c>
      <c r="I126" s="362">
        <f>IFERROR(VLOOKUP(C126,'تقرير المصروفات حسب الشهر'!$C$637:$AD$746,23,FALSE),0)</f>
        <v>0</v>
      </c>
      <c r="J126" s="362">
        <f>IFERROR(VLOOKUP(C126,'تقرير المصروفات حسب الشهر'!$C$763:$AD$872,23,FALSE),0)</f>
        <v>0</v>
      </c>
      <c r="K126" s="362">
        <f>IFERROR(VLOOKUP(C126,'تقرير المصروفات حسب الشهر'!$C$890:$AD$999,23,FALSE),0)</f>
        <v>0</v>
      </c>
      <c r="L126" s="362">
        <f>IFERROR(VLOOKUP(C126,'تقرير المصروفات حسب الشهر'!$C$1016:$AD$1126,23,FALSE),0)</f>
        <v>0</v>
      </c>
      <c r="M126" s="376">
        <f>IFERROR(VLOOKUP(C126,'تقرير المصروفات حسب الشهر'!$C$1143:$AD$1254,23,FALSE),0)</f>
        <v>0</v>
      </c>
      <c r="N126" s="376">
        <f>IFERROR(VLOOKUP(C126,'تقرير المصروفات حسب الشهر'!$C$1270:$AD$1381,23,FALSE),0)</f>
        <v>0</v>
      </c>
      <c r="O126" s="376">
        <f>IFERROR(VLOOKUP(C126,'تقرير المصروفات حسب الشهر'!$C$1397:$AI$1512,23,FALSE),0)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الشهر'!$C$10:$AD$119,23,FALSE),0)</f>
        <v>0</v>
      </c>
      <c r="E127" s="362">
        <f>IFERROR(VLOOKUP(C127,'تقرير المصروفات حسب الشهر'!$C$135:$AD$244,23,FALSE),0)</f>
        <v>0</v>
      </c>
      <c r="F127" s="362">
        <f>IFERROR(VLOOKUP(C127,'تقرير المصروفات حسب الشهر'!$C$261:$AD$368,23,FALSE),0)</f>
        <v>0</v>
      </c>
      <c r="G127" s="362">
        <f>IFERROR(VLOOKUP(C127,'تقرير المصروفات حسب الشهر'!$C$387:$AD$495,23,FALSE),0)</f>
        <v>0</v>
      </c>
      <c r="H127" s="362">
        <f>IFERROR(VLOOKUP(C127,'تقرير المصروفات حسب الشهر'!$C$512:$AD$620,23,FALSE),0)</f>
        <v>0</v>
      </c>
      <c r="I127" s="362">
        <f>IFERROR(VLOOKUP(C127,'تقرير المصروفات حسب الشهر'!$C$637:$AD$746,23,FALSE),0)</f>
        <v>0</v>
      </c>
      <c r="J127" s="362">
        <f>IFERROR(VLOOKUP(C127,'تقرير المصروفات حسب الشهر'!$C$763:$AD$872,23,FALSE),0)</f>
        <v>0</v>
      </c>
      <c r="K127" s="362">
        <f>IFERROR(VLOOKUP(C127,'تقرير المصروفات حسب الشهر'!$C$890:$AD$999,23,FALSE),0)</f>
        <v>0</v>
      </c>
      <c r="L127" s="362">
        <f>IFERROR(VLOOKUP(C127,'تقرير المصروفات حسب الشهر'!$C$1016:$AD$1126,23,FALSE),0)</f>
        <v>0</v>
      </c>
      <c r="M127" s="376">
        <f>IFERROR(VLOOKUP(C127,'تقرير المصروفات حسب الشهر'!$C$1143:$AD$1254,23,FALSE),0)</f>
        <v>0</v>
      </c>
      <c r="N127" s="376">
        <f>IFERROR(VLOOKUP(C127,'تقرير المصروفات حسب الشهر'!$C$1270:$AD$1381,23,FALSE),0)</f>
        <v>0</v>
      </c>
      <c r="O127" s="376">
        <f>IFERROR(VLOOKUP(C127,'تقرير المصروفات حسب الشهر'!$C$1397:$AI$1512,23,FALSE),0)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الشهر'!$C$10:$AD$119,23,FALSE),0)</f>
        <v>0</v>
      </c>
      <c r="E128" s="362">
        <f>IFERROR(VLOOKUP(C128,'تقرير المصروفات حسب الشهر'!$C$135:$AD$244,23,FALSE),0)</f>
        <v>0</v>
      </c>
      <c r="F128" s="362">
        <f>IFERROR(VLOOKUP(C128,'تقرير المصروفات حسب الشهر'!$C$261:$AD$368,23,FALSE),0)</f>
        <v>0</v>
      </c>
      <c r="G128" s="362">
        <f>IFERROR(VLOOKUP(C128,'تقرير المصروفات حسب الشهر'!$C$387:$AD$495,23,FALSE),0)</f>
        <v>0</v>
      </c>
      <c r="H128" s="362">
        <f>IFERROR(VLOOKUP(C128,'تقرير المصروفات حسب الشهر'!$C$512:$AD$620,23,FALSE),0)</f>
        <v>0</v>
      </c>
      <c r="I128" s="362">
        <f>IFERROR(VLOOKUP(C128,'تقرير المصروفات حسب الشهر'!$C$637:$AD$746,23,FALSE),0)</f>
        <v>0</v>
      </c>
      <c r="J128" s="362">
        <f>IFERROR(VLOOKUP(C128,'تقرير المصروفات حسب الشهر'!$C$763:$AD$872,23,FALSE),0)</f>
        <v>0</v>
      </c>
      <c r="K128" s="362">
        <f>IFERROR(VLOOKUP(C128,'تقرير المصروفات حسب الشهر'!$C$890:$AD$999,23,FALSE),0)</f>
        <v>0</v>
      </c>
      <c r="L128" s="362">
        <f>IFERROR(VLOOKUP(C128,'تقرير المصروفات حسب الشهر'!$C$1016:$AD$1126,23,FALSE),0)</f>
        <v>0</v>
      </c>
      <c r="M128" s="376">
        <f>IFERROR(VLOOKUP(C128,'تقرير المصروفات حسب الشهر'!$C$1143:$AD$1254,23,FALSE),0)</f>
        <v>0</v>
      </c>
      <c r="N128" s="376">
        <f>IFERROR(VLOOKUP(C128,'تقرير المصروفات حسب الشهر'!$C$1270:$AD$1381,23,FALSE),0)</f>
        <v>0</v>
      </c>
      <c r="O128" s="376">
        <f>IFERROR(VLOOKUP(C128,'تقرير المصروفات حسب الشهر'!$C$1397:$AI$1512,23,FALSE),0)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الشهر'!$C$10:$AD$119,23,FALSE),0)</f>
        <v>431.25</v>
      </c>
      <c r="E129" s="362">
        <f>IFERROR(VLOOKUP(C129,'تقرير المصروفات حسب الشهر'!$C$135:$AD$244,23,FALSE),0)</f>
        <v>431.25</v>
      </c>
      <c r="F129" s="362">
        <f>IFERROR(VLOOKUP(C129,'تقرير المصروفات حسب الشهر'!$C$261:$AD$368,23,FALSE),0)</f>
        <v>431.25</v>
      </c>
      <c r="G129" s="362">
        <f>IFERROR(VLOOKUP(C129,'تقرير المصروفات حسب الشهر'!$C$387:$AD$495,23,FALSE),0)</f>
        <v>431.25</v>
      </c>
      <c r="H129" s="362">
        <f>IFERROR(VLOOKUP(C129,'تقرير المصروفات حسب الشهر'!$C$512:$AD$620,23,FALSE),0)</f>
        <v>862.5</v>
      </c>
      <c r="I129" s="362">
        <f>IFERROR(VLOOKUP(C129,'تقرير المصروفات حسب الشهر'!$C$637:$AD$746,23,FALSE),0)</f>
        <v>863</v>
      </c>
      <c r="J129" s="362">
        <f>IFERROR(VLOOKUP(C129,'تقرير المصروفات حسب الشهر'!$C$763:$AD$872,23,FALSE),0)</f>
        <v>431.25</v>
      </c>
      <c r="K129" s="362">
        <f>IFERROR(VLOOKUP(C129,'تقرير المصروفات حسب الشهر'!$C$890:$AD$999,23,FALSE),0)</f>
        <v>431.25</v>
      </c>
      <c r="L129" s="362">
        <f>IFERROR(VLOOKUP(C129,'تقرير المصروفات حسب الشهر'!$C$1016:$AD$1126,23,FALSE),0)</f>
        <v>431.25</v>
      </c>
      <c r="M129" s="376">
        <f>IFERROR(VLOOKUP(C129,'تقرير المصروفات حسب الشهر'!$C$1143:$AD$1254,23,FALSE),0)</f>
        <v>431.25</v>
      </c>
      <c r="N129" s="376">
        <f>IFERROR(VLOOKUP(C129,'تقرير المصروفات حسب الشهر'!$C$1270:$AD$1381,23,FALSE),0)</f>
        <v>431.25</v>
      </c>
      <c r="O129" s="376">
        <f>IFERROR(VLOOKUP(C129,'تقرير المصروفات حسب الشهر'!$C$1397:$AI$1512,23,FALSE),0)</f>
        <v>431.25</v>
      </c>
      <c r="P129" s="364">
        <f t="shared" si="6"/>
        <v>6038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الشهر'!$C$10:$AD$119,23,FALSE),0)</f>
        <v>0</v>
      </c>
      <c r="E130" s="362">
        <f>IFERROR(VLOOKUP(C130,'تقرير المصروفات حسب الشهر'!$C$135:$AD$244,23,FALSE),0)</f>
        <v>0</v>
      </c>
      <c r="F130" s="362">
        <f>IFERROR(VLOOKUP(C130,'تقرير المصروفات حسب الشهر'!$C$261:$AD$368,23,FALSE),0)</f>
        <v>0</v>
      </c>
      <c r="G130" s="362">
        <f>IFERROR(VLOOKUP(C130,'تقرير المصروفات حسب الشهر'!$C$387:$AD$495,23,FALSE),0)</f>
        <v>0</v>
      </c>
      <c r="H130" s="362">
        <f>IFERROR(VLOOKUP(C130,'تقرير المصروفات حسب الشهر'!$C$512:$AD$620,23,FALSE),0)</f>
        <v>0</v>
      </c>
      <c r="I130" s="362">
        <f>IFERROR(VLOOKUP(C130,'تقرير المصروفات حسب الشهر'!$C$637:$AD$746,23,FALSE),0)</f>
        <v>0</v>
      </c>
      <c r="J130" s="362">
        <f>IFERROR(VLOOKUP(C130,'تقرير المصروفات حسب الشهر'!$C$763:$AD$872,23,FALSE),0)</f>
        <v>0</v>
      </c>
      <c r="K130" s="362">
        <f>IFERROR(VLOOKUP(C130,'تقرير المصروفات حسب الشهر'!$C$890:$AD$999,23,FALSE),0)</f>
        <v>0</v>
      </c>
      <c r="L130" s="362">
        <f>IFERROR(VLOOKUP(C130,'تقرير المصروفات حسب الشهر'!$C$1016:$AD$1126,23,FALSE),0)</f>
        <v>0</v>
      </c>
      <c r="M130" s="376">
        <f>IFERROR(VLOOKUP(C130,'تقرير المصروفات حسب الشهر'!$C$1143:$AD$1254,23,FALSE),0)</f>
        <v>0</v>
      </c>
      <c r="N130" s="376">
        <f>IFERROR(VLOOKUP(C130,'تقرير المصروفات حسب الشهر'!$C$1270:$AD$1381,23,FALSE),0)</f>
        <v>0</v>
      </c>
      <c r="O130" s="376">
        <f>IFERROR(VLOOKUP(C130,'تقرير المصروفات حسب الشهر'!$C$1397:$AI$1512,23,FALSE),0)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الشهر'!$C$10:$AD$119,23,FALSE),0)</f>
        <v>0</v>
      </c>
      <c r="E131" s="362">
        <f>IFERROR(VLOOKUP(C131,'تقرير المصروفات حسب الشهر'!$C$135:$AD$244,23,FALSE),0)</f>
        <v>0</v>
      </c>
      <c r="F131" s="362">
        <f>IFERROR(VLOOKUP(C131,'تقرير المصروفات حسب الشهر'!$C$261:$AD$368,23,FALSE),0)</f>
        <v>0</v>
      </c>
      <c r="G131" s="362">
        <f>IFERROR(VLOOKUP(C131,'تقرير المصروفات حسب الشهر'!$C$387:$AD$495,23,FALSE),0)</f>
        <v>0</v>
      </c>
      <c r="H131" s="362">
        <f>IFERROR(VLOOKUP(C131,'تقرير المصروفات حسب الشهر'!$C$512:$AD$620,23,FALSE),0)</f>
        <v>0</v>
      </c>
      <c r="I131" s="362">
        <f>IFERROR(VLOOKUP(C131,'تقرير المصروفات حسب الشهر'!$C$637:$AD$746,23,FALSE),0)</f>
        <v>0</v>
      </c>
      <c r="J131" s="362">
        <f>IFERROR(VLOOKUP(C131,'تقرير المصروفات حسب الشهر'!$C$763:$AD$872,23,FALSE),0)</f>
        <v>0</v>
      </c>
      <c r="K131" s="362">
        <f>IFERROR(VLOOKUP(C131,'تقرير المصروفات حسب الشهر'!$C$890:$AD$999,23,FALSE),0)</f>
        <v>0</v>
      </c>
      <c r="L131" s="362">
        <f>IFERROR(VLOOKUP(C131,'تقرير المصروفات حسب الشهر'!$C$1016:$AD$1126,23,FALSE),0)</f>
        <v>0</v>
      </c>
      <c r="M131" s="376">
        <f>IFERROR(VLOOKUP(C131,'تقرير المصروفات حسب الشهر'!$C$1143:$AD$1254,23,FALSE),0)</f>
        <v>0</v>
      </c>
      <c r="N131" s="376">
        <f>IFERROR(VLOOKUP(C131,'تقرير المصروفات حسب الشهر'!$C$1270:$AD$1381,23,FALSE),0)</f>
        <v>0</v>
      </c>
      <c r="O131" s="376">
        <f>IFERROR(VLOOKUP(C131,'تقرير المصروفات حسب الشهر'!$C$1397:$AI$1512,23,FALSE),0)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14503.05</v>
      </c>
      <c r="E132" s="146">
        <f t="shared" si="7"/>
        <v>16778.53</v>
      </c>
      <c r="F132" s="146">
        <f t="shared" si="7"/>
        <v>13491.65</v>
      </c>
      <c r="G132" s="146">
        <f t="shared" si="7"/>
        <v>16929.46</v>
      </c>
      <c r="H132" s="146">
        <f t="shared" si="7"/>
        <v>21187.699999999997</v>
      </c>
      <c r="I132" s="146">
        <f t="shared" si="7"/>
        <v>22983.949999999993</v>
      </c>
      <c r="J132" s="146">
        <f t="shared" si="7"/>
        <v>15871.52</v>
      </c>
      <c r="K132" s="146">
        <f t="shared" si="7"/>
        <v>15462.160000000002</v>
      </c>
      <c r="L132" s="146">
        <f t="shared" si="7"/>
        <v>19136.079999999998</v>
      </c>
      <c r="M132" s="146">
        <f t="shared" si="7"/>
        <v>20686.549999999996</v>
      </c>
      <c r="N132" s="146">
        <f t="shared" si="7"/>
        <v>23534.930000000004</v>
      </c>
      <c r="O132" s="146">
        <f t="shared" si="7"/>
        <v>20492.439999999999</v>
      </c>
      <c r="P132" s="388">
        <f t="shared" si="6"/>
        <v>221058.01999999996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38338.119999999995</v>
      </c>
      <c r="E134" s="392">
        <f t="shared" si="8"/>
        <v>38508.409999999974</v>
      </c>
      <c r="F134" s="392">
        <f t="shared" si="8"/>
        <v>18706.87999999999</v>
      </c>
      <c r="G134" s="392">
        <f t="shared" si="8"/>
        <v>23004.01999999999</v>
      </c>
      <c r="H134" s="392">
        <f t="shared" si="8"/>
        <v>30538.82</v>
      </c>
      <c r="I134" s="392">
        <f t="shared" si="8"/>
        <v>34414.459999999963</v>
      </c>
      <c r="J134" s="392">
        <f t="shared" si="8"/>
        <v>46716.17000000002</v>
      </c>
      <c r="K134" s="392">
        <f t="shared" si="8"/>
        <v>49789.959999999963</v>
      </c>
      <c r="L134" s="392">
        <f t="shared" si="8"/>
        <v>51000.140000000014</v>
      </c>
      <c r="M134" s="392">
        <f t="shared" si="8"/>
        <v>64946.729999999981</v>
      </c>
      <c r="N134" s="392">
        <f t="shared" si="8"/>
        <v>71836.600000000006</v>
      </c>
      <c r="O134" s="392">
        <f t="shared" si="8"/>
        <v>30236.510000000009</v>
      </c>
      <c r="P134" s="388">
        <f t="shared" si="6"/>
        <v>498036.81999999983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23835.069999999996</v>
      </c>
      <c r="E137" s="383">
        <f t="shared" ref="E137:O137" si="9">E134-E132</f>
        <v>21729.879999999976</v>
      </c>
      <c r="F137" s="383">
        <f t="shared" si="9"/>
        <v>5215.2299999999905</v>
      </c>
      <c r="G137" s="383">
        <f t="shared" si="9"/>
        <v>6074.5599999999904</v>
      </c>
      <c r="H137" s="383">
        <f t="shared" si="9"/>
        <v>9351.1200000000026</v>
      </c>
      <c r="I137" s="383">
        <f t="shared" si="9"/>
        <v>11430.509999999969</v>
      </c>
      <c r="J137" s="383">
        <f t="shared" si="9"/>
        <v>30844.65000000002</v>
      </c>
      <c r="K137" s="383">
        <f t="shared" si="9"/>
        <v>34327.799999999959</v>
      </c>
      <c r="L137" s="383">
        <f t="shared" si="9"/>
        <v>31864.060000000016</v>
      </c>
      <c r="M137" s="383">
        <f t="shared" si="9"/>
        <v>44260.179999999986</v>
      </c>
      <c r="N137" s="383">
        <f t="shared" si="9"/>
        <v>48301.67</v>
      </c>
      <c r="O137" s="383">
        <f t="shared" si="9"/>
        <v>9744.0700000000106</v>
      </c>
      <c r="P137" s="387">
        <f>SUM(D137:O137)</f>
        <v>276978.79999999993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54">
    <tabColor rgb="FFFFC000"/>
  </sheetPr>
  <dimension ref="A1:T140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338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182</v>
      </c>
      <c r="B8" s="390"/>
      <c r="C8" s="369" t="s">
        <v>114</v>
      </c>
      <c r="D8" s="364">
        <f>D9+D10+D11</f>
        <v>136821.54</v>
      </c>
      <c r="E8" s="364">
        <f t="shared" ref="E8:O8" si="0">E9+E10+E11</f>
        <v>155415.42000000001</v>
      </c>
      <c r="F8" s="364">
        <f t="shared" si="0"/>
        <v>143521.57</v>
      </c>
      <c r="G8" s="364">
        <f t="shared" si="0"/>
        <v>130645.68</v>
      </c>
      <c r="H8" s="364">
        <f t="shared" si="0"/>
        <v>151090.77000000002</v>
      </c>
      <c r="I8" s="364">
        <f t="shared" si="0"/>
        <v>164390.07999999999</v>
      </c>
      <c r="J8" s="364">
        <f t="shared" si="0"/>
        <v>189320.38999999998</v>
      </c>
      <c r="K8" s="364">
        <f t="shared" si="0"/>
        <v>186000.99</v>
      </c>
      <c r="L8" s="364">
        <f t="shared" si="0"/>
        <v>172442.41999999998</v>
      </c>
      <c r="M8" s="364">
        <f t="shared" si="0"/>
        <v>248390.75</v>
      </c>
      <c r="N8" s="364">
        <f t="shared" si="0"/>
        <v>191809.47</v>
      </c>
      <c r="O8" s="364">
        <f t="shared" si="0"/>
        <v>49321.27</v>
      </c>
      <c r="P8" s="364">
        <f>SUM(D8:O8)</f>
        <v>1919170.3499999999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17428.849999999999</v>
      </c>
      <c r="E9" s="365">
        <f>VLOOKUP($A$8,'تقرير إحصائية بحجم المبيعات'!$B$42:$G$73,2,FALSE)</f>
        <v>42099.170000000013</v>
      </c>
      <c r="F9" s="365">
        <f>VLOOKUP($A$8,'تقرير إحصائية بحجم المبيعات'!$B$78:$E$103,2,FALSE)</f>
        <v>20229.040000000008</v>
      </c>
      <c r="G9" s="365">
        <f>VLOOKUP($A$8,'تقرير إحصائية بحجم المبيعات'!$B$112:$G$137,2,FALSE)</f>
        <v>25494.010000000002</v>
      </c>
      <c r="H9" s="365">
        <f>VLOOKUP($A$8,'تقرير إحصائية بحجم المبيعات'!$B$147:$G$177,2,FALSE)</f>
        <v>19647.910000000033</v>
      </c>
      <c r="I9" s="365">
        <f>VLOOKUP($A$8,'تقرير إحصائية بحجم المبيعات'!$B$182:$G$212,2,FALSE)</f>
        <v>25185.72</v>
      </c>
      <c r="J9" s="365">
        <f>VLOOKUP($A$8,'تقرير إحصائية بحجم المبيعات'!$B$217:$L$243,2,FALSE)</f>
        <v>33648.469999999972</v>
      </c>
      <c r="K9" s="365">
        <f>VLOOKUP($A$8,'تقرير إحصائية بحجم المبيعات'!$B$252:$L$278,2,FALSE)</f>
        <v>21541.359999999986</v>
      </c>
      <c r="L9" s="365">
        <f>VLOOKUP($A$8,'تقرير إحصائية بحجم المبيعات'!$B$287:$L$313,2,FALSE)</f>
        <v>34126.139999999992</v>
      </c>
      <c r="M9" s="365">
        <f>VLOOKUP($A$8,'تقرير إحصائية بحجم المبيعات'!$B$322:$L$347,2,FALSE)</f>
        <v>68887.070000000007</v>
      </c>
      <c r="N9" s="365">
        <f>VLOOKUP($A$8,'تقرير إحصائية بحجم المبيعات'!$B$357:$L$383,2,FALSE)</f>
        <v>28563.510000000009</v>
      </c>
      <c r="O9" s="365">
        <f>VLOOKUP($A$8,'تقرير إحصائية بحجم المبيعات'!$B$391:$L$420,2,FALSE)</f>
        <v>8552.4499999999989</v>
      </c>
      <c r="P9" s="364">
        <f t="shared" ref="P9:P18" si="1">SUM(D9:O9)</f>
        <v>345403.7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119392.69</v>
      </c>
      <c r="E11" s="365">
        <f>VLOOKUP($A$8,'تقرير إحصائية بحجم المبيعات'!$B$42:$G$73,4,FALSE)</f>
        <v>113316.25</v>
      </c>
      <c r="F11" s="365">
        <f>VLOOKUP($A$8,'تقرير إحصائية بحجم المبيعات'!$B$78:$E$103,4,FALSE)</f>
        <v>123292.53</v>
      </c>
      <c r="G11" s="365">
        <f>VLOOKUP($A$8,'تقرير إحصائية بحجم المبيعات'!$B$112:$G$137,4,FALSE)</f>
        <v>105151.67</v>
      </c>
      <c r="H11" s="365">
        <f>VLOOKUP($A$8,'تقرير إحصائية بحجم المبيعات'!$B$147:$G$177,4,FALSE)</f>
        <v>131442.85999999999</v>
      </c>
      <c r="I11" s="365">
        <f>VLOOKUP($A$8,'تقرير إحصائية بحجم المبيعات'!$B$182:$G$212,4,FALSE)</f>
        <v>139204.35999999999</v>
      </c>
      <c r="J11" s="365">
        <f>VLOOKUP($A$8,'تقرير إحصائية بحجم المبيعات'!$B$217:$L$243,4,FALSE)</f>
        <v>155671.92000000001</v>
      </c>
      <c r="K11" s="365">
        <f>VLOOKUP($A$8,'تقرير إحصائية بحجم المبيعات'!$B$252:$L$278,4,FALSE)</f>
        <v>164459.63</v>
      </c>
      <c r="L11" s="365">
        <f>VLOOKUP($A$8,'تقرير إحصائية بحجم المبيعات'!$B$287:$L$313,4,FALSE)</f>
        <v>138316.28</v>
      </c>
      <c r="M11" s="365">
        <f>VLOOKUP($A$8,'تقرير إحصائية بحجم المبيعات'!$B$322:$L$347,4,FALSE)</f>
        <v>179503.68</v>
      </c>
      <c r="N11" s="365">
        <f>VLOOKUP($A$8,'تقرير إحصائية بحجم المبيعات'!$B$357:$L$383,4,FALSE)</f>
        <v>163245.96</v>
      </c>
      <c r="O11" s="365">
        <f>VLOOKUP($A$8,'تقرير إحصائية بحجم المبيعات'!$B$391:$L$420,4,FALSE)</f>
        <v>40768.82</v>
      </c>
      <c r="P11" s="364">
        <f t="shared" si="1"/>
        <v>1573766.6500000001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115712.54</v>
      </c>
      <c r="E12" s="364">
        <f>VLOOKUP($A$8,'تقرير إحصائية بحجم المبيعات'!$B$42:$L$73,11,FALSE)</f>
        <v>133696.04999999999</v>
      </c>
      <c r="F12" s="364">
        <f>VLOOKUP($A$8,'تقرير إحصائية بحجم المبيعات'!$B$78:$L$103,11,FALSE)</f>
        <v>123168.96000000001</v>
      </c>
      <c r="G12" s="364">
        <f>VLOOKUP($A$8,'تقرير إحصائية بحجم المبيعات'!$B$112:$L$137,11,FALSE)</f>
        <v>111594.88</v>
      </c>
      <c r="H12" s="364">
        <f>VLOOKUP($A$8,'تقرير إحصائية بحجم المبيعات'!$B$147:$L$177,11,FALSE)</f>
        <v>130479.41</v>
      </c>
      <c r="I12" s="364">
        <f>VLOOKUP($A$8,'تقرير إحصائية بحجم المبيعات'!$B$182:$L$212,11,FALSE)</f>
        <v>138888.74</v>
      </c>
      <c r="J12" s="365">
        <f>VLOOKUP($A$8,'تقرير إحصائية بحجم المبيعات'!$B$217:$L$243,11,FALSE)</f>
        <v>160718.72</v>
      </c>
      <c r="K12" s="364">
        <f>VLOOKUP($A$8,'تقرير إحصائية بحجم المبيعات'!$B$252:$L$278,11,FALSE)</f>
        <v>161536.95999999999</v>
      </c>
      <c r="L12" s="364">
        <f>VLOOKUP($A$8,'تقرير إحصائية بحجم المبيعات'!$B$287:$L$313,11,FALSE)</f>
        <v>149196.42000000001</v>
      </c>
      <c r="M12" s="365">
        <f>VLOOKUP($A$8,'تقرير إحصائية بحجم المبيعات'!$B$322:$L$347,11,FALSE)</f>
        <v>217195.22</v>
      </c>
      <c r="N12" s="365">
        <f>VLOOKUP($A$8,'تقرير إحصائية بحجم المبيعات'!$B$357:$L$383,11,FALSE)</f>
        <v>165853.35999999999</v>
      </c>
      <c r="O12" s="365">
        <f>VLOOKUP($A$8,'تقرير إحصائية بحجم المبيعات'!$B$391:$L$420,11,FALSE)</f>
        <v>43452.91</v>
      </c>
      <c r="P12" s="364">
        <f t="shared" si="1"/>
        <v>1651494.1699999997</v>
      </c>
    </row>
    <row r="13" spans="1:20" ht="18" customHeight="1">
      <c r="B13" s="124"/>
      <c r="C13" s="371" t="s">
        <v>14</v>
      </c>
      <c r="D13" s="366">
        <f t="shared" ref="D13:O13" si="2">D8-D12</f>
        <v>21109.000000000015</v>
      </c>
      <c r="E13" s="366">
        <f t="shared" si="2"/>
        <v>21719.370000000024</v>
      </c>
      <c r="F13" s="366">
        <f t="shared" si="2"/>
        <v>20352.61</v>
      </c>
      <c r="G13" s="366">
        <f t="shared" si="2"/>
        <v>19050.799999999988</v>
      </c>
      <c r="H13" s="366">
        <f t="shared" si="2"/>
        <v>20611.360000000015</v>
      </c>
      <c r="I13" s="366">
        <f t="shared" si="2"/>
        <v>25501.339999999997</v>
      </c>
      <c r="J13" s="366">
        <f t="shared" si="2"/>
        <v>28601.669999999984</v>
      </c>
      <c r="K13" s="366">
        <f t="shared" si="2"/>
        <v>24464.03</v>
      </c>
      <c r="L13" s="366">
        <f t="shared" si="2"/>
        <v>23245.999999999971</v>
      </c>
      <c r="M13" s="366">
        <f t="shared" si="2"/>
        <v>31195.53</v>
      </c>
      <c r="N13" s="366">
        <f t="shared" si="2"/>
        <v>25956.110000000015</v>
      </c>
      <c r="O13" s="366">
        <f t="shared" si="2"/>
        <v>5868.3599999999933</v>
      </c>
      <c r="P13" s="366">
        <f t="shared" si="1"/>
        <v>267676.18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>
        <v>60.389999999999418</v>
      </c>
      <c r="I16" s="367"/>
      <c r="J16" s="367">
        <v>113.89999999999998</v>
      </c>
      <c r="K16" s="367">
        <v>0.01</v>
      </c>
      <c r="L16" s="367"/>
      <c r="M16" s="367"/>
      <c r="N16" s="367"/>
      <c r="O16" s="367"/>
      <c r="P16" s="364">
        <f t="shared" si="1"/>
        <v>174.29999999999939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>
        <v>5950</v>
      </c>
      <c r="L17" s="367"/>
      <c r="M17" s="367"/>
      <c r="N17" s="367"/>
      <c r="O17" s="367"/>
      <c r="P17" s="364">
        <f t="shared" si="1"/>
        <v>5950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60.389999999999418</v>
      </c>
      <c r="I18" s="363">
        <f t="shared" si="3"/>
        <v>0</v>
      </c>
      <c r="J18" s="363">
        <f t="shared" si="3"/>
        <v>113.89999999999998</v>
      </c>
      <c r="K18" s="363">
        <f t="shared" si="3"/>
        <v>5950.01</v>
      </c>
      <c r="L18" s="363">
        <f t="shared" si="3"/>
        <v>0</v>
      </c>
      <c r="M18" s="368">
        <f t="shared" si="3"/>
        <v>0</v>
      </c>
      <c r="N18" s="368">
        <f t="shared" si="3"/>
        <v>0</v>
      </c>
      <c r="O18" s="368">
        <f t="shared" si="3"/>
        <v>0</v>
      </c>
      <c r="P18" s="364">
        <f t="shared" si="1"/>
        <v>6124.2999999999993</v>
      </c>
    </row>
    <row r="19" spans="2:16" ht="18" customHeight="1">
      <c r="B19" s="124"/>
      <c r="C19" s="386" t="s">
        <v>14</v>
      </c>
      <c r="D19" s="374">
        <f t="shared" ref="D19:O19" si="4">D13+D18</f>
        <v>21109.000000000015</v>
      </c>
      <c r="E19" s="374">
        <f t="shared" si="4"/>
        <v>21719.370000000024</v>
      </c>
      <c r="F19" s="374">
        <f t="shared" si="4"/>
        <v>20352.61</v>
      </c>
      <c r="G19" s="374">
        <f t="shared" si="4"/>
        <v>19050.799999999988</v>
      </c>
      <c r="H19" s="374">
        <f t="shared" si="4"/>
        <v>20671.750000000015</v>
      </c>
      <c r="I19" s="374">
        <f t="shared" si="4"/>
        <v>25501.339999999997</v>
      </c>
      <c r="J19" s="374">
        <f t="shared" si="4"/>
        <v>28715.569999999985</v>
      </c>
      <c r="K19" s="374">
        <f t="shared" si="4"/>
        <v>30414.04</v>
      </c>
      <c r="L19" s="374">
        <f t="shared" si="4"/>
        <v>23245.999999999971</v>
      </c>
      <c r="M19" s="374">
        <f t="shared" si="4"/>
        <v>31195.53</v>
      </c>
      <c r="N19" s="374">
        <f t="shared" si="4"/>
        <v>25956.110000000015</v>
      </c>
      <c r="O19" s="374">
        <f t="shared" si="4"/>
        <v>5868.3599999999933</v>
      </c>
      <c r="P19" s="382">
        <f>SUM(D19:O19)</f>
        <v>273800.48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الشهر'!$C$10:$AD$119,24,FALSE),0)</f>
        <v>0</v>
      </c>
      <c r="E22" s="362">
        <f>IFERROR(VLOOKUP(C22,'تقرير المصروفات حسب الشهر'!$C$135:$AD$244,24,FALSE),0)</f>
        <v>0</v>
      </c>
      <c r="F22" s="362">
        <f>IFERROR(VLOOKUP(C22,'تقرير المصروفات حسب الشهر'!$C$261:$AD$368,24,FALSE),0)</f>
        <v>0</v>
      </c>
      <c r="G22" s="362">
        <f>IFERROR(VLOOKUP(C22,'تقرير المصروفات حسب الشهر'!$C$387:$AD$495,24,FALSE),0)</f>
        <v>0</v>
      </c>
      <c r="H22" s="362">
        <f>IFERROR(VLOOKUP(C22,'تقرير المصروفات حسب الشهر'!$C$512:$AD$620,24,FALSE),0)</f>
        <v>0</v>
      </c>
      <c r="I22" s="362">
        <f>IFERROR(VLOOKUP(C22,'تقرير المصروفات حسب الشهر'!$C$637:$AD$746,24,FALSE),0)</f>
        <v>0</v>
      </c>
      <c r="J22" s="362">
        <f>IFERROR(VLOOKUP(C22,'تقرير المصروفات حسب الشهر'!$C$763:$AD$872,24,FALSE),0)</f>
        <v>0</v>
      </c>
      <c r="K22" s="362">
        <f>IFERROR(VLOOKUP(C22,'تقرير المصروفات حسب الشهر'!$C$890:$AD$999,24,FALSE),0)</f>
        <v>0</v>
      </c>
      <c r="L22" s="362">
        <f>IFERROR(VLOOKUP(C22,'تقرير المصروفات حسب الشهر'!$C$1016:$AD$1126,24,FALSE),0)</f>
        <v>0</v>
      </c>
      <c r="M22" s="376">
        <f>IFERROR(VLOOKUP(C22,'تقرير المصروفات حسب الشهر'!$C$1143:$AD$1254,24,FALSE),0)</f>
        <v>0</v>
      </c>
      <c r="N22" s="376">
        <f>IFERROR(VLOOKUP(C22,'تقرير المصروفات حسب الشهر'!$C$1270:$AD$1381,24,FALSE),0)</f>
        <v>0</v>
      </c>
      <c r="O22" s="376">
        <f>IFERROR(VLOOKUP(C22,'تقرير المصروفات حسب الشهر'!$C$1397:$AI$1512,24,FALSE),0)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الشهر'!$C$10:$AD$119,24,FALSE),0)</f>
        <v>5723.49</v>
      </c>
      <c r="E23" s="362">
        <f>IFERROR(VLOOKUP(C23,'تقرير المصروفات حسب الشهر'!$C$135:$AD$244,24,FALSE),0)</f>
        <v>6644.0599999999995</v>
      </c>
      <c r="F23" s="362">
        <f>IFERROR(VLOOKUP(C23,'تقرير المصروفات حسب الشهر'!$C$261:$AD$368,24,FALSE),0)</f>
        <v>6666.01</v>
      </c>
      <c r="G23" s="362">
        <f>IFERROR(VLOOKUP(C23,'تقرير المصروفات حسب الشهر'!$C$387:$AD$495,24,FALSE),0)</f>
        <v>6828.13</v>
      </c>
      <c r="H23" s="362">
        <f>IFERROR(VLOOKUP(C23,'تقرير المصروفات حسب الشهر'!$C$512:$AD$620,24,FALSE),0)</f>
        <v>7489.55</v>
      </c>
      <c r="I23" s="362">
        <f>IFERROR(VLOOKUP(C23,'تقرير المصروفات حسب الشهر'!$C$637:$AD$746,24,FALSE),0)</f>
        <v>7004.29</v>
      </c>
      <c r="J23" s="362">
        <f>IFERROR(VLOOKUP(C23,'تقرير المصروفات حسب الشهر'!$C$763:$AD$872,24,FALSE),0)</f>
        <v>7014.8</v>
      </c>
      <c r="K23" s="362">
        <f>IFERROR(VLOOKUP(C23,'تقرير المصروفات حسب الشهر'!$C$890:$AD$999,24,FALSE),0)</f>
        <v>7014.8</v>
      </c>
      <c r="L23" s="362">
        <f>IFERROR(VLOOKUP(C23,'تقرير المصروفات حسب الشهر'!$C$1016:$AD$1126,24,FALSE),0)</f>
        <v>6886.1</v>
      </c>
      <c r="M23" s="376">
        <f>IFERROR(VLOOKUP(C23,'تقرير المصروفات حسب الشهر'!$C$1143:$AD$1254,24,FALSE),0)</f>
        <v>7136.1</v>
      </c>
      <c r="N23" s="376">
        <f>IFERROR(VLOOKUP(C23,'تقرير المصروفات حسب الشهر'!$C$1270:$AD$1381,24,FALSE),0)</f>
        <v>7825.3</v>
      </c>
      <c r="O23" s="376">
        <f>IFERROR(VLOOKUP(C23,'تقرير المصروفات حسب الشهر'!$C$1397:$AI$1512,24,FALSE),0)</f>
        <v>7042.34</v>
      </c>
      <c r="P23" s="364">
        <f t="shared" ref="P23:P86" si="5">SUM(D23:O23)</f>
        <v>83274.97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الشهر'!$C$10:$AD$119,24,FALSE),0)</f>
        <v>0</v>
      </c>
      <c r="E24" s="362">
        <f>IFERROR(VLOOKUP(C24,'تقرير المصروفات حسب الشهر'!$C$135:$AD$244,24,FALSE),0)</f>
        <v>0</v>
      </c>
      <c r="F24" s="362">
        <f>IFERROR(VLOOKUP(C24,'تقرير المصروفات حسب الشهر'!$C$261:$AD$368,24,FALSE),0)</f>
        <v>0</v>
      </c>
      <c r="G24" s="362">
        <f>IFERROR(VLOOKUP(C24,'تقرير المصروفات حسب الشهر'!$C$387:$AD$495,24,FALSE),0)</f>
        <v>0</v>
      </c>
      <c r="H24" s="362">
        <f>IFERROR(VLOOKUP(C24,'تقرير المصروفات حسب الشهر'!$C$512:$AD$620,24,FALSE),0)</f>
        <v>0</v>
      </c>
      <c r="I24" s="362">
        <f>IFERROR(VLOOKUP(C24,'تقرير المصروفات حسب الشهر'!$C$637:$AD$746,24,FALSE),0)</f>
        <v>0</v>
      </c>
      <c r="J24" s="362">
        <f>IFERROR(VLOOKUP(C24,'تقرير المصروفات حسب الشهر'!$C$763:$AD$872,24,FALSE),0)</f>
        <v>0</v>
      </c>
      <c r="K24" s="362">
        <f>IFERROR(VLOOKUP(C24,'تقرير المصروفات حسب الشهر'!$C$890:$AD$999,24,FALSE),0)</f>
        <v>0</v>
      </c>
      <c r="L24" s="362">
        <f>IFERROR(VLOOKUP(C24,'تقرير المصروفات حسب الشهر'!$C$1016:$AD$1126,24,FALSE),0)</f>
        <v>0</v>
      </c>
      <c r="M24" s="376">
        <f>IFERROR(VLOOKUP(C24,'تقرير المصروفات حسب الشهر'!$C$1143:$AD$1254,24,FALSE),0)</f>
        <v>0</v>
      </c>
      <c r="N24" s="376">
        <f>IFERROR(VLOOKUP(C24,'تقرير المصروفات حسب الشهر'!$C$1270:$AD$1381,24,FALSE),0)</f>
        <v>0</v>
      </c>
      <c r="O24" s="376">
        <f>IFERROR(VLOOKUP(C24,'تقرير المصروفات حسب الشهر'!$C$1397:$AI$1512,24,FALSE),0)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الشهر'!$C$10:$AD$119,24,FALSE),0)</f>
        <v>0</v>
      </c>
      <c r="E25" s="362">
        <f>IFERROR(VLOOKUP(C25,'تقرير المصروفات حسب الشهر'!$C$135:$AD$244,24,FALSE),0)</f>
        <v>0</v>
      </c>
      <c r="F25" s="362">
        <f>IFERROR(VLOOKUP(C25,'تقرير المصروفات حسب الشهر'!$C$261:$AD$368,24,FALSE),0)</f>
        <v>0</v>
      </c>
      <c r="G25" s="362">
        <f>IFERROR(VLOOKUP(C25,'تقرير المصروفات حسب الشهر'!$C$387:$AD$495,24,FALSE),0)</f>
        <v>0</v>
      </c>
      <c r="H25" s="362">
        <f>IFERROR(VLOOKUP(C25,'تقرير المصروفات حسب الشهر'!$C$512:$AD$620,24,FALSE),0)</f>
        <v>0</v>
      </c>
      <c r="I25" s="362">
        <f>IFERROR(VLOOKUP(C25,'تقرير المصروفات حسب الشهر'!$C$637:$AD$746,24,FALSE),0)</f>
        <v>0</v>
      </c>
      <c r="J25" s="362">
        <f>IFERROR(VLOOKUP(C25,'تقرير المصروفات حسب الشهر'!$C$763:$AD$872,24,FALSE),0)</f>
        <v>0</v>
      </c>
      <c r="K25" s="362">
        <f>IFERROR(VLOOKUP(C25,'تقرير المصروفات حسب الشهر'!$C$890:$AD$999,24,FALSE),0)</f>
        <v>0</v>
      </c>
      <c r="L25" s="362">
        <f>IFERROR(VLOOKUP(C25,'تقرير المصروفات حسب الشهر'!$C$1016:$AD$1126,24,FALSE),0)</f>
        <v>0</v>
      </c>
      <c r="M25" s="376">
        <f>IFERROR(VLOOKUP(C25,'تقرير المصروفات حسب الشهر'!$C$1143:$AD$1254,24,FALSE),0)</f>
        <v>0</v>
      </c>
      <c r="N25" s="376">
        <f>IFERROR(VLOOKUP(C25,'تقرير المصروفات حسب الشهر'!$C$1270:$AD$1381,24,FALSE),0)</f>
        <v>0</v>
      </c>
      <c r="O25" s="376">
        <f>IFERROR(VLOOKUP(C25,'تقرير المصروفات حسب الشهر'!$C$1397:$AI$1512,24,FALSE),0)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الشهر'!$C$10:$AD$119,24,FALSE),0)</f>
        <v>0</v>
      </c>
      <c r="E26" s="362">
        <f>IFERROR(VLOOKUP(C26,'تقرير المصروفات حسب الشهر'!$C$135:$AD$244,24,FALSE),0)</f>
        <v>0</v>
      </c>
      <c r="F26" s="362">
        <f>IFERROR(VLOOKUP(C26,'تقرير المصروفات حسب الشهر'!$C$261:$AD$368,24,FALSE),0)</f>
        <v>0</v>
      </c>
      <c r="G26" s="362">
        <f>IFERROR(VLOOKUP(C26,'تقرير المصروفات حسب الشهر'!$C$387:$AD$495,24,FALSE),0)</f>
        <v>0</v>
      </c>
      <c r="H26" s="362">
        <f>IFERROR(VLOOKUP(C26,'تقرير المصروفات حسب الشهر'!$C$512:$AD$620,24,FALSE),0)</f>
        <v>0</v>
      </c>
      <c r="I26" s="362">
        <f>IFERROR(VLOOKUP(C26,'تقرير المصروفات حسب الشهر'!$C$637:$AD$746,24,FALSE),0)</f>
        <v>0</v>
      </c>
      <c r="J26" s="362">
        <f>IFERROR(VLOOKUP(C26,'تقرير المصروفات حسب الشهر'!$C$763:$AD$872,24,FALSE),0)</f>
        <v>0</v>
      </c>
      <c r="K26" s="362">
        <f>IFERROR(VLOOKUP(C26,'تقرير المصروفات حسب الشهر'!$C$890:$AD$999,24,FALSE),0)</f>
        <v>0</v>
      </c>
      <c r="L26" s="362">
        <f>IFERROR(VLOOKUP(C26,'تقرير المصروفات حسب الشهر'!$C$1016:$AD$1126,24,FALSE),0)</f>
        <v>0</v>
      </c>
      <c r="M26" s="376">
        <f>IFERROR(VLOOKUP(C26,'تقرير المصروفات حسب الشهر'!$C$1143:$AD$1254,24,FALSE),0)</f>
        <v>0</v>
      </c>
      <c r="N26" s="376">
        <f>IFERROR(VLOOKUP(C26,'تقرير المصروفات حسب الشهر'!$C$1270:$AD$1381,24,FALSE),0)</f>
        <v>0</v>
      </c>
      <c r="O26" s="376">
        <f>IFERROR(VLOOKUP(C26,'تقرير المصروفات حسب الشهر'!$C$1397:$AI$1512,24,FALSE),0)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الشهر'!$C$10:$AD$119,24,FALSE),0)</f>
        <v>0</v>
      </c>
      <c r="E27" s="362">
        <f>IFERROR(VLOOKUP(C27,'تقرير المصروفات حسب الشهر'!$C$135:$AD$244,24,FALSE),0)</f>
        <v>0</v>
      </c>
      <c r="F27" s="362">
        <f>IFERROR(VLOOKUP(C27,'تقرير المصروفات حسب الشهر'!$C$261:$AD$368,24,FALSE),0)</f>
        <v>0</v>
      </c>
      <c r="G27" s="362">
        <f>IFERROR(VLOOKUP(C27,'تقرير المصروفات حسب الشهر'!$C$387:$AD$495,24,FALSE),0)</f>
        <v>0</v>
      </c>
      <c r="H27" s="362">
        <f>IFERROR(VLOOKUP(C27,'تقرير المصروفات حسب الشهر'!$C$512:$AD$620,24,FALSE),0)</f>
        <v>0</v>
      </c>
      <c r="I27" s="362">
        <f>IFERROR(VLOOKUP(C27,'تقرير المصروفات حسب الشهر'!$C$637:$AD$746,24,FALSE),0)</f>
        <v>0</v>
      </c>
      <c r="J27" s="362">
        <f>IFERROR(VLOOKUP(C27,'تقرير المصروفات حسب الشهر'!$C$763:$AD$872,24,FALSE),0)</f>
        <v>0</v>
      </c>
      <c r="K27" s="362">
        <f>IFERROR(VLOOKUP(C27,'تقرير المصروفات حسب الشهر'!$C$890:$AD$999,24,FALSE),0)</f>
        <v>0</v>
      </c>
      <c r="L27" s="362">
        <f>IFERROR(VLOOKUP(C27,'تقرير المصروفات حسب الشهر'!$C$1016:$AD$1126,24,FALSE),0)</f>
        <v>0</v>
      </c>
      <c r="M27" s="376">
        <f>IFERROR(VLOOKUP(C27,'تقرير المصروفات حسب الشهر'!$C$1143:$AD$1254,24,FALSE),0)</f>
        <v>0</v>
      </c>
      <c r="N27" s="376">
        <f>IFERROR(VLOOKUP(C27,'تقرير المصروفات حسب الشهر'!$C$1270:$AD$1381,24,FALSE),0)</f>
        <v>0</v>
      </c>
      <c r="O27" s="376">
        <f>IFERROR(VLOOKUP(C27,'تقرير المصروفات حسب الشهر'!$C$1397:$AI$1512,24,FALSE),0)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الشهر'!$C$10:$AD$119,24,FALSE),0)</f>
        <v>0</v>
      </c>
      <c r="E28" s="362">
        <f>IFERROR(VLOOKUP(C28,'تقرير المصروفات حسب الشهر'!$C$135:$AD$244,24,FALSE),0)</f>
        <v>0</v>
      </c>
      <c r="F28" s="362">
        <f>IFERROR(VLOOKUP(C28,'تقرير المصروفات حسب الشهر'!$C$261:$AD$368,24,FALSE),0)</f>
        <v>0</v>
      </c>
      <c r="G28" s="362">
        <f>IFERROR(VLOOKUP(C28,'تقرير المصروفات حسب الشهر'!$C$387:$AD$495,24,FALSE),0)</f>
        <v>0</v>
      </c>
      <c r="H28" s="362">
        <f>IFERROR(VLOOKUP(C28,'تقرير المصروفات حسب الشهر'!$C$512:$AD$620,24,FALSE),0)</f>
        <v>0</v>
      </c>
      <c r="I28" s="362">
        <f>IFERROR(VLOOKUP(C28,'تقرير المصروفات حسب الشهر'!$C$637:$AD$746,24,FALSE),0)</f>
        <v>0</v>
      </c>
      <c r="J28" s="362">
        <f>IFERROR(VLOOKUP(C28,'تقرير المصروفات حسب الشهر'!$C$763:$AD$872,24,FALSE),0)</f>
        <v>0</v>
      </c>
      <c r="K28" s="362">
        <f>IFERROR(VLOOKUP(C28,'تقرير المصروفات حسب الشهر'!$C$890:$AD$999,24,FALSE),0)</f>
        <v>0</v>
      </c>
      <c r="L28" s="362">
        <f>IFERROR(VLOOKUP(C28,'تقرير المصروفات حسب الشهر'!$C$1016:$AD$1126,24,FALSE),0)</f>
        <v>0</v>
      </c>
      <c r="M28" s="376">
        <f>IFERROR(VLOOKUP(C28,'تقرير المصروفات حسب الشهر'!$C$1143:$AD$1254,24,FALSE),0)</f>
        <v>0</v>
      </c>
      <c r="N28" s="376">
        <f>IFERROR(VLOOKUP(C28,'تقرير المصروفات حسب الشهر'!$C$1270:$AD$1381,24,FALSE),0)</f>
        <v>0</v>
      </c>
      <c r="O28" s="376">
        <f>IFERROR(VLOOKUP(C28,'تقرير المصروفات حسب الشهر'!$C$1397:$AI$1512,24,FALSE),0)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الشهر'!$C$10:$AD$119,24,FALSE),0)</f>
        <v>0</v>
      </c>
      <c r="E29" s="362">
        <f>IFERROR(VLOOKUP(C29,'تقرير المصروفات حسب الشهر'!$C$135:$AD$244,24,FALSE),0)</f>
        <v>0</v>
      </c>
      <c r="F29" s="362">
        <f>IFERROR(VLOOKUP(C29,'تقرير المصروفات حسب الشهر'!$C$261:$AD$368,24,FALSE),0)</f>
        <v>0</v>
      </c>
      <c r="G29" s="362">
        <f>IFERROR(VLOOKUP(C29,'تقرير المصروفات حسب الشهر'!$C$387:$AD$495,24,FALSE),0)</f>
        <v>0</v>
      </c>
      <c r="H29" s="362">
        <f>IFERROR(VLOOKUP(C29,'تقرير المصروفات حسب الشهر'!$C$512:$AD$620,24,FALSE),0)</f>
        <v>0</v>
      </c>
      <c r="I29" s="362">
        <f>IFERROR(VLOOKUP(C29,'تقرير المصروفات حسب الشهر'!$C$637:$AD$746,24,FALSE),0)</f>
        <v>0</v>
      </c>
      <c r="J29" s="362">
        <f>IFERROR(VLOOKUP(C29,'تقرير المصروفات حسب الشهر'!$C$763:$AD$872,24,FALSE),0)</f>
        <v>0</v>
      </c>
      <c r="K29" s="362">
        <f>IFERROR(VLOOKUP(C29,'تقرير المصروفات حسب الشهر'!$C$890:$AD$999,24,FALSE),0)</f>
        <v>0</v>
      </c>
      <c r="L29" s="362">
        <f>IFERROR(VLOOKUP(C29,'تقرير المصروفات حسب الشهر'!$C$1016:$AD$1126,24,FALSE),0)</f>
        <v>0</v>
      </c>
      <c r="M29" s="376">
        <f>IFERROR(VLOOKUP(C29,'تقرير المصروفات حسب الشهر'!$C$1143:$AD$1254,24,FALSE),0)</f>
        <v>0</v>
      </c>
      <c r="N29" s="376">
        <f>IFERROR(VLOOKUP(C29,'تقرير المصروفات حسب الشهر'!$C$1270:$AD$1381,24,FALSE),0)</f>
        <v>0</v>
      </c>
      <c r="O29" s="376">
        <f>IFERROR(VLOOKUP(C29,'تقرير المصروفات حسب الشهر'!$C$1397:$AI$1512,24,FALSE),0)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الشهر'!$C$10:$AD$119,24,FALSE),0)</f>
        <v>0</v>
      </c>
      <c r="E30" s="362">
        <f>IFERROR(VLOOKUP(C30,'تقرير المصروفات حسب الشهر'!$C$135:$AD$244,24,FALSE),0)</f>
        <v>0</v>
      </c>
      <c r="F30" s="362">
        <f>IFERROR(VLOOKUP(C30,'تقرير المصروفات حسب الشهر'!$C$261:$AD$368,24,FALSE),0)</f>
        <v>0</v>
      </c>
      <c r="G30" s="362">
        <f>IFERROR(VLOOKUP(C30,'تقرير المصروفات حسب الشهر'!$C$387:$AD$495,24,FALSE),0)</f>
        <v>0</v>
      </c>
      <c r="H30" s="362">
        <f>IFERROR(VLOOKUP(C30,'تقرير المصروفات حسب الشهر'!$C$512:$AD$620,24,FALSE),0)</f>
        <v>0</v>
      </c>
      <c r="I30" s="362">
        <f>IFERROR(VLOOKUP(C30,'تقرير المصروفات حسب الشهر'!$C$637:$AD$746,24,FALSE),0)</f>
        <v>0</v>
      </c>
      <c r="J30" s="362">
        <f>IFERROR(VLOOKUP(C30,'تقرير المصروفات حسب الشهر'!$C$763:$AD$872,24,FALSE),0)</f>
        <v>0</v>
      </c>
      <c r="K30" s="362">
        <f>IFERROR(VLOOKUP(C30,'تقرير المصروفات حسب الشهر'!$C$890:$AD$999,24,FALSE),0)</f>
        <v>0</v>
      </c>
      <c r="L30" s="362">
        <f>IFERROR(VLOOKUP(C30,'تقرير المصروفات حسب الشهر'!$C$1016:$AD$1126,24,FALSE),0)</f>
        <v>0</v>
      </c>
      <c r="M30" s="376">
        <f>IFERROR(VLOOKUP(C30,'تقرير المصروفات حسب الشهر'!$C$1143:$AD$1254,24,FALSE),0)</f>
        <v>0</v>
      </c>
      <c r="N30" s="376">
        <f>IFERROR(VLOOKUP(C30,'تقرير المصروفات حسب الشهر'!$C$1270:$AD$1381,24,FALSE),0)</f>
        <v>0</v>
      </c>
      <c r="O30" s="376">
        <f>IFERROR(VLOOKUP(C30,'تقرير المصروفات حسب الشهر'!$C$1397:$AI$1512,24,FALSE),0)</f>
        <v>0</v>
      </c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الشهر'!$C$10:$AD$119,24,FALSE),0)</f>
        <v>57.87</v>
      </c>
      <c r="E31" s="362">
        <f>IFERROR(VLOOKUP(C31,'تقرير المصروفات حسب الشهر'!$C$135:$AD$244,24,FALSE),0)</f>
        <v>57.87</v>
      </c>
      <c r="F31" s="362">
        <f>IFERROR(VLOOKUP(C31,'تقرير المصروفات حسب الشهر'!$C$261:$AD$368,24,FALSE),0)</f>
        <v>57.87</v>
      </c>
      <c r="G31" s="362">
        <f>IFERROR(VLOOKUP(C31,'تقرير المصروفات حسب الشهر'!$C$387:$AD$495,24,FALSE),0)</f>
        <v>57.87</v>
      </c>
      <c r="H31" s="362">
        <f>IFERROR(VLOOKUP(C31,'تقرير المصروفات حسب الشهر'!$C$512:$AD$620,24,FALSE),0)</f>
        <v>57.87</v>
      </c>
      <c r="I31" s="362">
        <f>IFERROR(VLOOKUP(C31,'تقرير المصروفات حسب الشهر'!$C$637:$AD$746,24,FALSE),0)</f>
        <v>57.87</v>
      </c>
      <c r="J31" s="362">
        <f>IFERROR(VLOOKUP(C31,'تقرير المصروفات حسب الشهر'!$C$763:$AD$872,24,FALSE),0)</f>
        <v>57.87</v>
      </c>
      <c r="K31" s="362">
        <f>IFERROR(VLOOKUP(C31,'تقرير المصروفات حسب الشهر'!$C$890:$AD$999,24,FALSE),0)</f>
        <v>57.87</v>
      </c>
      <c r="L31" s="362">
        <f>IFERROR(VLOOKUP(C31,'تقرير المصروفات حسب الشهر'!$C$1016:$AD$1126,24,FALSE),0)</f>
        <v>57.87</v>
      </c>
      <c r="M31" s="376">
        <f>IFERROR(VLOOKUP(C31,'تقرير المصروفات حسب الشهر'!$C$1143:$AD$1254,24,FALSE),0)</f>
        <v>57.87</v>
      </c>
      <c r="N31" s="376">
        <f>IFERROR(VLOOKUP(C31,'تقرير المصروفات حسب الشهر'!$C$1270:$AD$1381,24,FALSE),0)</f>
        <v>57.87</v>
      </c>
      <c r="O31" s="376">
        <f>IFERROR(VLOOKUP(C31,'تقرير المصروفات حسب الشهر'!$C$1397:$AI$1512,24,FALSE),0)</f>
        <v>57.87</v>
      </c>
      <c r="P31" s="364">
        <f t="shared" si="5"/>
        <v>694.43999999999994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الشهر'!$C$10:$AD$119,24,FALSE),0)</f>
        <v>0</v>
      </c>
      <c r="E32" s="362">
        <f>IFERROR(VLOOKUP(C32,'تقرير المصروفات حسب الشهر'!$C$135:$AD$244,24,FALSE),0)</f>
        <v>0</v>
      </c>
      <c r="F32" s="362">
        <f>IFERROR(VLOOKUP(C32,'تقرير المصروفات حسب الشهر'!$C$261:$AD$368,24,FALSE),0)</f>
        <v>0</v>
      </c>
      <c r="G32" s="362">
        <f>IFERROR(VLOOKUP(C32,'تقرير المصروفات حسب الشهر'!$C$387:$AD$495,24,FALSE),0)</f>
        <v>0</v>
      </c>
      <c r="H32" s="362">
        <f>IFERROR(VLOOKUP(C32,'تقرير المصروفات حسب الشهر'!$C$512:$AD$620,24,FALSE),0)</f>
        <v>0</v>
      </c>
      <c r="I32" s="362">
        <f>IFERROR(VLOOKUP(C32,'تقرير المصروفات حسب الشهر'!$C$637:$AD$746,24,FALSE),0)</f>
        <v>0</v>
      </c>
      <c r="J32" s="362">
        <f>IFERROR(VLOOKUP(C32,'تقرير المصروفات حسب الشهر'!$C$763:$AD$872,24,FALSE),0)</f>
        <v>0</v>
      </c>
      <c r="K32" s="362">
        <f>IFERROR(VLOOKUP(C32,'تقرير المصروفات حسب الشهر'!$C$890:$AD$999,24,FALSE),0)</f>
        <v>0</v>
      </c>
      <c r="L32" s="362">
        <f>IFERROR(VLOOKUP(C32,'تقرير المصروفات حسب الشهر'!$C$1016:$AD$1126,24,FALSE),0)</f>
        <v>0</v>
      </c>
      <c r="M32" s="376">
        <f>IFERROR(VLOOKUP(C32,'تقرير المصروفات حسب الشهر'!$C$1143:$AD$1254,24,FALSE),0)</f>
        <v>0</v>
      </c>
      <c r="N32" s="376">
        <f>IFERROR(VLOOKUP(C32,'تقرير المصروفات حسب الشهر'!$C$1270:$AD$1381,24,FALSE),0)</f>
        <v>0</v>
      </c>
      <c r="O32" s="376">
        <f>IFERROR(VLOOKUP(C32,'تقرير المصروفات حسب الشهر'!$C$1397:$AI$1512,24,FALSE),0)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الشهر'!$C$10:$AD$119,24,FALSE),0)</f>
        <v>0</v>
      </c>
      <c r="E33" s="362">
        <f>IFERROR(VLOOKUP(C33,'تقرير المصروفات حسب الشهر'!$C$135:$AD$244,24,FALSE),0)</f>
        <v>0</v>
      </c>
      <c r="F33" s="362">
        <f>IFERROR(VLOOKUP(C33,'تقرير المصروفات حسب الشهر'!$C$261:$AD$368,24,FALSE),0)</f>
        <v>0</v>
      </c>
      <c r="G33" s="362">
        <f>IFERROR(VLOOKUP(C33,'تقرير المصروفات حسب الشهر'!$C$387:$AD$495,24,FALSE),0)</f>
        <v>0</v>
      </c>
      <c r="H33" s="362">
        <f>IFERROR(VLOOKUP(C33,'تقرير المصروفات حسب الشهر'!$C$512:$AD$620,24,FALSE),0)</f>
        <v>0</v>
      </c>
      <c r="I33" s="362">
        <f>IFERROR(VLOOKUP(C33,'تقرير المصروفات حسب الشهر'!$C$637:$AD$746,24,FALSE),0)</f>
        <v>0</v>
      </c>
      <c r="J33" s="362">
        <f>IFERROR(VLOOKUP(C33,'تقرير المصروفات حسب الشهر'!$C$763:$AD$872,24,FALSE),0)</f>
        <v>0</v>
      </c>
      <c r="K33" s="362">
        <f>IFERROR(VLOOKUP(C33,'تقرير المصروفات حسب الشهر'!$C$890:$AD$999,24,FALSE),0)</f>
        <v>0</v>
      </c>
      <c r="L33" s="362">
        <f>IFERROR(VLOOKUP(C33,'تقرير المصروفات حسب الشهر'!$C$1016:$AD$1126,24,FALSE),0)</f>
        <v>0</v>
      </c>
      <c r="M33" s="376">
        <f>IFERROR(VLOOKUP(C33,'تقرير المصروفات حسب الشهر'!$C$1143:$AD$1254,24,FALSE),0)</f>
        <v>0</v>
      </c>
      <c r="N33" s="376">
        <f>IFERROR(VLOOKUP(C33,'تقرير المصروفات حسب الشهر'!$C$1270:$AD$1381,24,FALSE),0)</f>
        <v>0</v>
      </c>
      <c r="O33" s="376">
        <f>IFERROR(VLOOKUP(C33,'تقرير المصروفات حسب الشهر'!$C$1397:$AI$1512,24,FALSE),0)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الشهر'!$C$10:$AD$119,24,FALSE),0)</f>
        <v>0</v>
      </c>
      <c r="E34" s="362">
        <f>IFERROR(VLOOKUP(C34,'تقرير المصروفات حسب الشهر'!$C$135:$AD$244,24,FALSE),0)</f>
        <v>0</v>
      </c>
      <c r="F34" s="362">
        <f>IFERROR(VLOOKUP(C34,'تقرير المصروفات حسب الشهر'!$C$261:$AD$368,24,FALSE),0)</f>
        <v>0</v>
      </c>
      <c r="G34" s="362">
        <f>IFERROR(VLOOKUP(C34,'تقرير المصروفات حسب الشهر'!$C$387:$AD$495,24,FALSE),0)</f>
        <v>0</v>
      </c>
      <c r="H34" s="362">
        <f>IFERROR(VLOOKUP(C34,'تقرير المصروفات حسب الشهر'!$C$512:$AD$620,24,FALSE),0)</f>
        <v>0</v>
      </c>
      <c r="I34" s="362">
        <f>IFERROR(VLOOKUP(C34,'تقرير المصروفات حسب الشهر'!$C$637:$AD$746,24,FALSE),0)</f>
        <v>0</v>
      </c>
      <c r="J34" s="362">
        <f>IFERROR(VLOOKUP(C34,'تقرير المصروفات حسب الشهر'!$C$763:$AD$872,24,FALSE),0)</f>
        <v>0</v>
      </c>
      <c r="K34" s="362">
        <f>IFERROR(VLOOKUP(C34,'تقرير المصروفات حسب الشهر'!$C$890:$AD$999,24,FALSE),0)</f>
        <v>0</v>
      </c>
      <c r="L34" s="362">
        <f>IFERROR(VLOOKUP(C34,'تقرير المصروفات حسب الشهر'!$C$1016:$AD$1126,24,FALSE),0)</f>
        <v>0</v>
      </c>
      <c r="M34" s="376">
        <f>IFERROR(VLOOKUP(C34,'تقرير المصروفات حسب الشهر'!$C$1143:$AD$1254,24,FALSE),0)</f>
        <v>0</v>
      </c>
      <c r="N34" s="376">
        <f>IFERROR(VLOOKUP(C34,'تقرير المصروفات حسب الشهر'!$C$1270:$AD$1381,24,FALSE),0)</f>
        <v>0</v>
      </c>
      <c r="O34" s="376">
        <f>IFERROR(VLOOKUP(C34,'تقرير المصروفات حسب الشهر'!$C$1397:$AI$1512,24,FALSE),0)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الشهر'!$C$10:$AD$119,24,FALSE),0)</f>
        <v>0</v>
      </c>
      <c r="E35" s="362">
        <f>IFERROR(VLOOKUP(C35,'تقرير المصروفات حسب الشهر'!$C$135:$AD$244,24,FALSE),0)</f>
        <v>0</v>
      </c>
      <c r="F35" s="362">
        <f>IFERROR(VLOOKUP(C35,'تقرير المصروفات حسب الشهر'!$C$261:$AD$368,24,FALSE),0)</f>
        <v>0</v>
      </c>
      <c r="G35" s="362">
        <f>IFERROR(VLOOKUP(C35,'تقرير المصروفات حسب الشهر'!$C$387:$AD$495,24,FALSE),0)</f>
        <v>0</v>
      </c>
      <c r="H35" s="362">
        <f>IFERROR(VLOOKUP(C35,'تقرير المصروفات حسب الشهر'!$C$512:$AD$620,24,FALSE),0)</f>
        <v>0</v>
      </c>
      <c r="I35" s="362">
        <f>IFERROR(VLOOKUP(C35,'تقرير المصروفات حسب الشهر'!$C$637:$AD$746,24,FALSE),0)</f>
        <v>0</v>
      </c>
      <c r="J35" s="362">
        <f>IFERROR(VLOOKUP(C35,'تقرير المصروفات حسب الشهر'!$C$763:$AD$872,24,FALSE),0)</f>
        <v>0</v>
      </c>
      <c r="K35" s="362">
        <f>IFERROR(VLOOKUP(C35,'تقرير المصروفات حسب الشهر'!$C$890:$AD$999,24,FALSE),0)</f>
        <v>0</v>
      </c>
      <c r="L35" s="362">
        <f>IFERROR(VLOOKUP(C35,'تقرير المصروفات حسب الشهر'!$C$1016:$AD$1126,24,FALSE),0)</f>
        <v>0</v>
      </c>
      <c r="M35" s="376">
        <f>IFERROR(VLOOKUP(C35,'تقرير المصروفات حسب الشهر'!$C$1143:$AD$1254,24,FALSE),0)</f>
        <v>0</v>
      </c>
      <c r="N35" s="376">
        <f>IFERROR(VLOOKUP(C35,'تقرير المصروفات حسب الشهر'!$C$1270:$AD$1381,24,FALSE),0)</f>
        <v>0</v>
      </c>
      <c r="O35" s="376">
        <f>IFERROR(VLOOKUP(C35,'تقرير المصروفات حسب الشهر'!$C$1397:$AI$1512,24,FALSE),0)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الشهر'!$C$10:$AD$119,24,FALSE),0)</f>
        <v>750</v>
      </c>
      <c r="E36" s="362">
        <f>IFERROR(VLOOKUP(C36,'تقرير المصروفات حسب الشهر'!$C$135:$AD$244,24,FALSE),0)</f>
        <v>0</v>
      </c>
      <c r="F36" s="362">
        <f>IFERROR(VLOOKUP(C36,'تقرير المصروفات حسب الشهر'!$C$261:$AD$368,24,FALSE),0)</f>
        <v>0</v>
      </c>
      <c r="G36" s="362">
        <f>IFERROR(VLOOKUP(C36,'تقرير المصروفات حسب الشهر'!$C$387:$AD$495,24,FALSE),0)</f>
        <v>750</v>
      </c>
      <c r="H36" s="362">
        <f>IFERROR(VLOOKUP(C36,'تقرير المصروفات حسب الشهر'!$C$512:$AD$620,24,FALSE),0)</f>
        <v>0</v>
      </c>
      <c r="I36" s="362">
        <f>IFERROR(VLOOKUP(C36,'تقرير المصروفات حسب الشهر'!$C$637:$AD$746,24,FALSE),0)</f>
        <v>770</v>
      </c>
      <c r="J36" s="362">
        <f>IFERROR(VLOOKUP(C36,'تقرير المصروفات حسب الشهر'!$C$763:$AD$872,24,FALSE),0)</f>
        <v>0</v>
      </c>
      <c r="K36" s="362">
        <f>IFERROR(VLOOKUP(C36,'تقرير المصروفات حسب الشهر'!$C$890:$AD$999,24,FALSE),0)</f>
        <v>0</v>
      </c>
      <c r="L36" s="362">
        <f>IFERROR(VLOOKUP(C36,'تقرير المصروفات حسب الشهر'!$C$1016:$AD$1126,24,FALSE),0)</f>
        <v>0</v>
      </c>
      <c r="M36" s="376">
        <f>IFERROR(VLOOKUP(C36,'تقرير المصروفات حسب الشهر'!$C$1143:$AD$1254,24,FALSE),0)</f>
        <v>770</v>
      </c>
      <c r="N36" s="376">
        <f>IFERROR(VLOOKUP(C36,'تقرير المصروفات حسب الشهر'!$C$1270:$AD$1381,24,FALSE),0)</f>
        <v>0</v>
      </c>
      <c r="O36" s="376">
        <f>IFERROR(VLOOKUP(C36,'تقرير المصروفات حسب الشهر'!$C$1397:$AI$1512,24,FALSE),0)</f>
        <v>0</v>
      </c>
      <c r="P36" s="364">
        <f t="shared" si="5"/>
        <v>3040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الشهر'!$C$10:$AD$119,24,FALSE),0)</f>
        <v>0</v>
      </c>
      <c r="E37" s="362">
        <f>IFERROR(VLOOKUP(C37,'تقرير المصروفات حسب الشهر'!$C$135:$AD$244,24,FALSE),0)</f>
        <v>0</v>
      </c>
      <c r="F37" s="362">
        <f>IFERROR(VLOOKUP(C37,'تقرير المصروفات حسب الشهر'!$C$261:$AD$368,24,FALSE),0)</f>
        <v>0</v>
      </c>
      <c r="G37" s="362">
        <f>IFERROR(VLOOKUP(C37,'تقرير المصروفات حسب الشهر'!$C$387:$AD$495,24,FALSE),0)</f>
        <v>2250</v>
      </c>
      <c r="H37" s="362">
        <f>IFERROR(VLOOKUP(C37,'تقرير المصروفات حسب الشهر'!$C$512:$AD$620,24,FALSE),0)</f>
        <v>0</v>
      </c>
      <c r="I37" s="362">
        <f>IFERROR(VLOOKUP(C37,'تقرير المصروفات حسب الشهر'!$C$637:$AD$746,24,FALSE),0)</f>
        <v>0</v>
      </c>
      <c r="J37" s="362">
        <f>IFERROR(VLOOKUP(C37,'تقرير المصروفات حسب الشهر'!$C$763:$AD$872,24,FALSE),0)</f>
        <v>0</v>
      </c>
      <c r="K37" s="362">
        <f>IFERROR(VLOOKUP(C37,'تقرير المصروفات حسب الشهر'!$C$890:$AD$999,24,FALSE),0)</f>
        <v>0</v>
      </c>
      <c r="L37" s="362">
        <f>IFERROR(VLOOKUP(C37,'تقرير المصروفات حسب الشهر'!$C$1016:$AD$1126,24,FALSE),0)</f>
        <v>0</v>
      </c>
      <c r="M37" s="376">
        <f>IFERROR(VLOOKUP(C37,'تقرير المصروفات حسب الشهر'!$C$1143:$AD$1254,24,FALSE),0)</f>
        <v>0</v>
      </c>
      <c r="N37" s="376">
        <f>IFERROR(VLOOKUP(C37,'تقرير المصروفات حسب الشهر'!$C$1270:$AD$1381,24,FALSE),0)</f>
        <v>0</v>
      </c>
      <c r="O37" s="376">
        <f>IFERROR(VLOOKUP(C37,'تقرير المصروفات حسب الشهر'!$C$1397:$AI$1512,24,FALSE),0)</f>
        <v>0</v>
      </c>
      <c r="P37" s="364">
        <f t="shared" si="5"/>
        <v>2250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الشهر'!$C$10:$AD$119,24,FALSE),0)</f>
        <v>0</v>
      </c>
      <c r="E38" s="362">
        <f>IFERROR(VLOOKUP(C38,'تقرير المصروفات حسب الشهر'!$C$135:$AD$244,24,FALSE),0)</f>
        <v>0</v>
      </c>
      <c r="F38" s="362">
        <f>IFERROR(VLOOKUP(C38,'تقرير المصروفات حسب الشهر'!$C$261:$AD$368,24,FALSE),0)</f>
        <v>0</v>
      </c>
      <c r="G38" s="362">
        <f>IFERROR(VLOOKUP(C38,'تقرير المصروفات حسب الشهر'!$C$387:$AD$495,24,FALSE),0)</f>
        <v>0</v>
      </c>
      <c r="H38" s="362">
        <f>IFERROR(VLOOKUP(C38,'تقرير المصروفات حسب الشهر'!$C$512:$AD$620,24,FALSE),0)</f>
        <v>0</v>
      </c>
      <c r="I38" s="362">
        <f>IFERROR(VLOOKUP(C38,'تقرير المصروفات حسب الشهر'!$C$637:$AD$746,24,FALSE),0)</f>
        <v>0</v>
      </c>
      <c r="J38" s="362">
        <f>IFERROR(VLOOKUP(C38,'تقرير المصروفات حسب الشهر'!$C$763:$AD$872,24,FALSE),0)</f>
        <v>0</v>
      </c>
      <c r="K38" s="362">
        <f>IFERROR(VLOOKUP(C38,'تقرير المصروفات حسب الشهر'!$C$890:$AD$999,24,FALSE),0)</f>
        <v>0</v>
      </c>
      <c r="L38" s="362">
        <f>IFERROR(VLOOKUP(C38,'تقرير المصروفات حسب الشهر'!$C$1016:$AD$1126,24,FALSE),0)</f>
        <v>0</v>
      </c>
      <c r="M38" s="376">
        <f>IFERROR(VLOOKUP(C38,'تقرير المصروفات حسب الشهر'!$C$1143:$AD$1254,24,FALSE),0)</f>
        <v>0</v>
      </c>
      <c r="N38" s="376">
        <f>IFERROR(VLOOKUP(C38,'تقرير المصروفات حسب الشهر'!$C$1270:$AD$1381,24,FALSE),0)</f>
        <v>0</v>
      </c>
      <c r="O38" s="376">
        <f>IFERROR(VLOOKUP(C38,'تقرير المصروفات حسب الشهر'!$C$1397:$AI$1512,24,FALSE),0)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الشهر'!$C$10:$AD$119,24,FALSE),0)</f>
        <v>0</v>
      </c>
      <c r="E39" s="362">
        <f>IFERROR(VLOOKUP(C39,'تقرير المصروفات حسب الشهر'!$C$135:$AD$244,24,FALSE),0)</f>
        <v>833</v>
      </c>
      <c r="F39" s="362">
        <f>IFERROR(VLOOKUP(C39,'تقرير المصروفات حسب الشهر'!$C$261:$AD$368,24,FALSE),0)</f>
        <v>648</v>
      </c>
      <c r="G39" s="362">
        <f>IFERROR(VLOOKUP(C39,'تقرير المصروفات حسب الشهر'!$C$387:$AD$495,24,FALSE),0)</f>
        <v>793</v>
      </c>
      <c r="H39" s="362">
        <f>IFERROR(VLOOKUP(C39,'تقرير المصروفات حسب الشهر'!$C$512:$AD$620,24,FALSE),0)</f>
        <v>0</v>
      </c>
      <c r="I39" s="362">
        <f>IFERROR(VLOOKUP(C39,'تقرير المصروفات حسب الشهر'!$C$637:$AD$746,24,FALSE),0)</f>
        <v>0</v>
      </c>
      <c r="J39" s="362">
        <f>IFERROR(VLOOKUP(C39,'تقرير المصروفات حسب الشهر'!$C$763:$AD$872,24,FALSE),0)</f>
        <v>0</v>
      </c>
      <c r="K39" s="362">
        <f>IFERROR(VLOOKUP(C39,'تقرير المصروفات حسب الشهر'!$C$890:$AD$999,24,FALSE),0)</f>
        <v>0</v>
      </c>
      <c r="L39" s="362">
        <f>IFERROR(VLOOKUP(C39,'تقرير المصروفات حسب الشهر'!$C$1016:$AD$1126,24,FALSE),0)</f>
        <v>0</v>
      </c>
      <c r="M39" s="376">
        <f>IFERROR(VLOOKUP(C39,'تقرير المصروفات حسب الشهر'!$C$1143:$AD$1254,24,FALSE),0)</f>
        <v>0</v>
      </c>
      <c r="N39" s="376">
        <f>IFERROR(VLOOKUP(C39,'تقرير المصروفات حسب الشهر'!$C$1270:$AD$1381,24,FALSE),0)</f>
        <v>506</v>
      </c>
      <c r="O39" s="376">
        <f>IFERROR(VLOOKUP(C39,'تقرير المصروفات حسب الشهر'!$C$1397:$AI$1512,24,FALSE),0)</f>
        <v>0</v>
      </c>
      <c r="P39" s="364">
        <f t="shared" si="5"/>
        <v>2780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الشهر'!$C$10:$AD$119,24,FALSE),0)</f>
        <v>0</v>
      </c>
      <c r="E40" s="362">
        <f>IFERROR(VLOOKUP(C40,'تقرير المصروفات حسب الشهر'!$C$135:$AD$244,24,FALSE),0)</f>
        <v>0</v>
      </c>
      <c r="F40" s="362">
        <f>IFERROR(VLOOKUP(C40,'تقرير المصروفات حسب الشهر'!$C$261:$AD$368,24,FALSE),0)</f>
        <v>0</v>
      </c>
      <c r="G40" s="362">
        <f>IFERROR(VLOOKUP(C40,'تقرير المصروفات حسب الشهر'!$C$387:$AD$495,24,FALSE),0)</f>
        <v>0</v>
      </c>
      <c r="H40" s="362">
        <f>IFERROR(VLOOKUP(C40,'تقرير المصروفات حسب الشهر'!$C$512:$AD$620,24,FALSE),0)</f>
        <v>0</v>
      </c>
      <c r="I40" s="362">
        <f>IFERROR(VLOOKUP(C40,'تقرير المصروفات حسب الشهر'!$C$637:$AD$746,24,FALSE),0)</f>
        <v>0</v>
      </c>
      <c r="J40" s="362">
        <f>IFERROR(VLOOKUP(C40,'تقرير المصروفات حسب الشهر'!$C$763:$AD$872,24,FALSE),0)</f>
        <v>0</v>
      </c>
      <c r="K40" s="362">
        <f>IFERROR(VLOOKUP(C40,'تقرير المصروفات حسب الشهر'!$C$890:$AD$999,24,FALSE),0)</f>
        <v>0</v>
      </c>
      <c r="L40" s="362">
        <f>IFERROR(VLOOKUP(C40,'تقرير المصروفات حسب الشهر'!$C$1016:$AD$1126,24,FALSE),0)</f>
        <v>0</v>
      </c>
      <c r="M40" s="376">
        <f>IFERROR(VLOOKUP(C40,'تقرير المصروفات حسب الشهر'!$C$1143:$AD$1254,24,FALSE),0)</f>
        <v>0</v>
      </c>
      <c r="N40" s="376">
        <f>IFERROR(VLOOKUP(C40,'تقرير المصروفات حسب الشهر'!$C$1270:$AD$1381,24,FALSE),0)</f>
        <v>0</v>
      </c>
      <c r="O40" s="376">
        <f>IFERROR(VLOOKUP(C40,'تقرير المصروفات حسب الشهر'!$C$1397:$AI$1512,24,FALSE),0)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الشهر'!$C$10:$AD$119,24,FALSE),0)</f>
        <v>0</v>
      </c>
      <c r="E41" s="362">
        <f>IFERROR(VLOOKUP(C41,'تقرير المصروفات حسب الشهر'!$C$135:$AD$244,24,FALSE),0)</f>
        <v>0</v>
      </c>
      <c r="F41" s="362">
        <f>IFERROR(VLOOKUP(C41,'تقرير المصروفات حسب الشهر'!$C$261:$AD$368,24,FALSE),0)</f>
        <v>0</v>
      </c>
      <c r="G41" s="362">
        <f>IFERROR(VLOOKUP(C41,'تقرير المصروفات حسب الشهر'!$C$387:$AD$495,24,FALSE),0)</f>
        <v>0</v>
      </c>
      <c r="H41" s="362">
        <f>IFERROR(VLOOKUP(C41,'تقرير المصروفات حسب الشهر'!$C$512:$AD$620,24,FALSE),0)</f>
        <v>0</v>
      </c>
      <c r="I41" s="362">
        <f>IFERROR(VLOOKUP(C41,'تقرير المصروفات حسب الشهر'!$C$637:$AD$746,24,FALSE),0)</f>
        <v>0</v>
      </c>
      <c r="J41" s="362">
        <f>IFERROR(VLOOKUP(C41,'تقرير المصروفات حسب الشهر'!$C$763:$AD$872,24,FALSE),0)</f>
        <v>0</v>
      </c>
      <c r="K41" s="362">
        <f>IFERROR(VLOOKUP(C41,'تقرير المصروفات حسب الشهر'!$C$890:$AD$999,24,FALSE),0)</f>
        <v>0</v>
      </c>
      <c r="L41" s="362">
        <f>IFERROR(VLOOKUP(C41,'تقرير المصروفات حسب الشهر'!$C$1016:$AD$1126,24,FALSE),0)</f>
        <v>0</v>
      </c>
      <c r="M41" s="376">
        <f>IFERROR(VLOOKUP(C41,'تقرير المصروفات حسب الشهر'!$C$1143:$AD$1254,24,FALSE),0)</f>
        <v>0</v>
      </c>
      <c r="N41" s="376">
        <f>IFERROR(VLOOKUP(C41,'تقرير المصروفات حسب الشهر'!$C$1270:$AD$1381,24,FALSE),0)</f>
        <v>0</v>
      </c>
      <c r="O41" s="376">
        <f>IFERROR(VLOOKUP(C41,'تقرير المصروفات حسب الشهر'!$C$1397:$AI$1512,24,FALSE),0)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الشهر'!$C$10:$AD$119,24,FALSE),0)</f>
        <v>0</v>
      </c>
      <c r="E42" s="362">
        <f>IFERROR(VLOOKUP(C42,'تقرير المصروفات حسب الشهر'!$C$135:$AD$244,24,FALSE),0)</f>
        <v>0</v>
      </c>
      <c r="F42" s="362">
        <f>IFERROR(VLOOKUP(C42,'تقرير المصروفات حسب الشهر'!$C$261:$AD$368,24,FALSE),0)</f>
        <v>0</v>
      </c>
      <c r="G42" s="362">
        <f>IFERROR(VLOOKUP(C42,'تقرير المصروفات حسب الشهر'!$C$387:$AD$495,24,FALSE),0)</f>
        <v>0</v>
      </c>
      <c r="H42" s="362">
        <f>IFERROR(VLOOKUP(C42,'تقرير المصروفات حسب الشهر'!$C$512:$AD$620,24,FALSE),0)</f>
        <v>0</v>
      </c>
      <c r="I42" s="362">
        <f>IFERROR(VLOOKUP(C42,'تقرير المصروفات حسب الشهر'!$C$637:$AD$746,24,FALSE),0)</f>
        <v>0</v>
      </c>
      <c r="J42" s="362">
        <f>IFERROR(VLOOKUP(C42,'تقرير المصروفات حسب الشهر'!$C$763:$AD$872,24,FALSE),0)</f>
        <v>0</v>
      </c>
      <c r="K42" s="362">
        <f>IFERROR(VLOOKUP(C42,'تقرير المصروفات حسب الشهر'!$C$890:$AD$999,24,FALSE),0)</f>
        <v>0</v>
      </c>
      <c r="L42" s="362">
        <f>IFERROR(VLOOKUP(C42,'تقرير المصروفات حسب الشهر'!$C$1016:$AD$1126,24,FALSE),0)</f>
        <v>0</v>
      </c>
      <c r="M42" s="376">
        <f>IFERROR(VLOOKUP(C42,'تقرير المصروفات حسب الشهر'!$C$1143:$AD$1254,24,FALSE),0)</f>
        <v>0</v>
      </c>
      <c r="N42" s="376">
        <f>IFERROR(VLOOKUP(C42,'تقرير المصروفات حسب الشهر'!$C$1270:$AD$1381,24,FALSE),0)</f>
        <v>0</v>
      </c>
      <c r="O42" s="376">
        <f>IFERROR(VLOOKUP(C42,'تقرير المصروفات حسب الشهر'!$C$1397:$AI$1512,24,FALSE),0)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الشهر'!$C$10:$AD$119,24,FALSE),0)</f>
        <v>0</v>
      </c>
      <c r="E43" s="362">
        <f>IFERROR(VLOOKUP(C43,'تقرير المصروفات حسب الشهر'!$C$135:$AD$244,24,FALSE),0)</f>
        <v>0</v>
      </c>
      <c r="F43" s="362">
        <f>IFERROR(VLOOKUP(C43,'تقرير المصروفات حسب الشهر'!$C$261:$AD$368,24,FALSE),0)</f>
        <v>0</v>
      </c>
      <c r="G43" s="362">
        <f>IFERROR(VLOOKUP(C43,'تقرير المصروفات حسب الشهر'!$C$387:$AD$495,24,FALSE),0)</f>
        <v>0</v>
      </c>
      <c r="H43" s="362">
        <f>IFERROR(VLOOKUP(C43,'تقرير المصروفات حسب الشهر'!$C$512:$AD$620,24,FALSE),0)</f>
        <v>0</v>
      </c>
      <c r="I43" s="362">
        <f>IFERROR(VLOOKUP(C43,'تقرير المصروفات حسب الشهر'!$C$637:$AD$746,24,FALSE),0)</f>
        <v>0</v>
      </c>
      <c r="J43" s="362">
        <f>IFERROR(VLOOKUP(C43,'تقرير المصروفات حسب الشهر'!$C$763:$AD$872,24,FALSE),0)</f>
        <v>0</v>
      </c>
      <c r="K43" s="362">
        <f>IFERROR(VLOOKUP(C43,'تقرير المصروفات حسب الشهر'!$C$890:$AD$999,24,FALSE),0)</f>
        <v>0</v>
      </c>
      <c r="L43" s="362">
        <f>IFERROR(VLOOKUP(C43,'تقرير المصروفات حسب الشهر'!$C$1016:$AD$1126,24,FALSE),0)</f>
        <v>0</v>
      </c>
      <c r="M43" s="376">
        <f>IFERROR(VLOOKUP(C43,'تقرير المصروفات حسب الشهر'!$C$1143:$AD$1254,24,FALSE),0)</f>
        <v>0</v>
      </c>
      <c r="N43" s="376">
        <f>IFERROR(VLOOKUP(C43,'تقرير المصروفات حسب الشهر'!$C$1270:$AD$1381,24,FALSE),0)</f>
        <v>0</v>
      </c>
      <c r="O43" s="376">
        <f>IFERROR(VLOOKUP(C43,'تقرير المصروفات حسب الشهر'!$C$1397:$AI$1512,24,FALSE),0)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الشهر'!$C$10:$AD$119,24,FALSE),0)</f>
        <v>0</v>
      </c>
      <c r="E44" s="362">
        <f>IFERROR(VLOOKUP(C44,'تقرير المصروفات حسب الشهر'!$C$135:$AD$244,24,FALSE),0)</f>
        <v>0</v>
      </c>
      <c r="F44" s="362">
        <f>IFERROR(VLOOKUP(C44,'تقرير المصروفات حسب الشهر'!$C$261:$AD$368,24,FALSE),0)</f>
        <v>0</v>
      </c>
      <c r="G44" s="362">
        <f>IFERROR(VLOOKUP(C44,'تقرير المصروفات حسب الشهر'!$C$387:$AD$495,24,FALSE),0)</f>
        <v>0</v>
      </c>
      <c r="H44" s="362">
        <f>IFERROR(VLOOKUP(C44,'تقرير المصروفات حسب الشهر'!$C$512:$AD$620,24,FALSE),0)</f>
        <v>0</v>
      </c>
      <c r="I44" s="362">
        <f>IFERROR(VLOOKUP(C44,'تقرير المصروفات حسب الشهر'!$C$637:$AD$746,24,FALSE),0)</f>
        <v>0</v>
      </c>
      <c r="J44" s="362">
        <f>IFERROR(VLOOKUP(C44,'تقرير المصروفات حسب الشهر'!$C$763:$AD$872,24,FALSE),0)</f>
        <v>0</v>
      </c>
      <c r="K44" s="362">
        <f>IFERROR(VLOOKUP(C44,'تقرير المصروفات حسب الشهر'!$C$890:$AD$999,24,FALSE),0)</f>
        <v>0</v>
      </c>
      <c r="L44" s="362">
        <f>IFERROR(VLOOKUP(C44,'تقرير المصروفات حسب الشهر'!$C$1016:$AD$1126,24,FALSE),0)</f>
        <v>0</v>
      </c>
      <c r="M44" s="376">
        <f>IFERROR(VLOOKUP(C44,'تقرير المصروفات حسب الشهر'!$C$1143:$AD$1254,24,FALSE),0)</f>
        <v>0</v>
      </c>
      <c r="N44" s="376">
        <f>IFERROR(VLOOKUP(C44,'تقرير المصروفات حسب الشهر'!$C$1270:$AD$1381,24,FALSE),0)</f>
        <v>0</v>
      </c>
      <c r="O44" s="376">
        <f>IFERROR(VLOOKUP(C44,'تقرير المصروفات حسب الشهر'!$C$1397:$AI$1512,24,FALSE),0)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الشهر'!$C$10:$AD$119,24,FALSE),0)</f>
        <v>0</v>
      </c>
      <c r="E45" s="362">
        <f>IFERROR(VLOOKUP(C45,'تقرير المصروفات حسب الشهر'!$C$135:$AD$244,24,FALSE),0)</f>
        <v>0</v>
      </c>
      <c r="F45" s="362">
        <f>IFERROR(VLOOKUP(C45,'تقرير المصروفات حسب الشهر'!$C$261:$AD$368,24,FALSE),0)</f>
        <v>0</v>
      </c>
      <c r="G45" s="362">
        <f>IFERROR(VLOOKUP(C45,'تقرير المصروفات حسب الشهر'!$C$387:$AD$495,24,FALSE),0)</f>
        <v>0</v>
      </c>
      <c r="H45" s="362">
        <f>IFERROR(VLOOKUP(C45,'تقرير المصروفات حسب الشهر'!$C$512:$AD$620,24,FALSE),0)</f>
        <v>0</v>
      </c>
      <c r="I45" s="362">
        <f>IFERROR(VLOOKUP(C45,'تقرير المصروفات حسب الشهر'!$C$637:$AD$746,24,FALSE),0)</f>
        <v>0</v>
      </c>
      <c r="J45" s="362">
        <f>IFERROR(VLOOKUP(C45,'تقرير المصروفات حسب الشهر'!$C$763:$AD$872,24,FALSE),0)</f>
        <v>0</v>
      </c>
      <c r="K45" s="362">
        <f>IFERROR(VLOOKUP(C45,'تقرير المصروفات حسب الشهر'!$C$890:$AD$999,24,FALSE),0)</f>
        <v>0</v>
      </c>
      <c r="L45" s="362">
        <f>IFERROR(VLOOKUP(C45,'تقرير المصروفات حسب الشهر'!$C$1016:$AD$1126,24,FALSE),0)</f>
        <v>0</v>
      </c>
      <c r="M45" s="376">
        <f>IFERROR(VLOOKUP(C45,'تقرير المصروفات حسب الشهر'!$C$1143:$AD$1254,24,FALSE),0)</f>
        <v>0</v>
      </c>
      <c r="N45" s="376">
        <f>IFERROR(VLOOKUP(C45,'تقرير المصروفات حسب الشهر'!$C$1270:$AD$1381,24,FALSE),0)</f>
        <v>0</v>
      </c>
      <c r="O45" s="376">
        <f>IFERROR(VLOOKUP(C45,'تقرير المصروفات حسب الشهر'!$C$1397:$AI$1512,24,FALSE),0)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الشهر'!$C$10:$AD$119,24,FALSE),0)</f>
        <v>0</v>
      </c>
      <c r="E46" s="362">
        <f>IFERROR(VLOOKUP(C46,'تقرير المصروفات حسب الشهر'!$C$135:$AD$244,24,FALSE),0)</f>
        <v>0</v>
      </c>
      <c r="F46" s="362">
        <f>IFERROR(VLOOKUP(C46,'تقرير المصروفات حسب الشهر'!$C$261:$AD$368,24,FALSE),0)</f>
        <v>0</v>
      </c>
      <c r="G46" s="362">
        <f>IFERROR(VLOOKUP(C46,'تقرير المصروفات حسب الشهر'!$C$387:$AD$495,24,FALSE),0)</f>
        <v>0</v>
      </c>
      <c r="H46" s="362">
        <f>IFERROR(VLOOKUP(C46,'تقرير المصروفات حسب الشهر'!$C$512:$AD$620,24,FALSE),0)</f>
        <v>0</v>
      </c>
      <c r="I46" s="362">
        <f>IFERROR(VLOOKUP(C46,'تقرير المصروفات حسب الشهر'!$C$637:$AD$746,24,FALSE),0)</f>
        <v>0</v>
      </c>
      <c r="J46" s="362">
        <f>IFERROR(VLOOKUP(C46,'تقرير المصروفات حسب الشهر'!$C$763:$AD$872,24,FALSE),0)</f>
        <v>0</v>
      </c>
      <c r="K46" s="362">
        <f>IFERROR(VLOOKUP(C46,'تقرير المصروفات حسب الشهر'!$C$890:$AD$999,24,FALSE),0)</f>
        <v>0</v>
      </c>
      <c r="L46" s="362">
        <f>IFERROR(VLOOKUP(C46,'تقرير المصروفات حسب الشهر'!$C$1016:$AD$1126,24,FALSE),0)</f>
        <v>0</v>
      </c>
      <c r="M46" s="376">
        <f>IFERROR(VLOOKUP(C46,'تقرير المصروفات حسب الشهر'!$C$1143:$AD$1254,24,FALSE),0)</f>
        <v>0</v>
      </c>
      <c r="N46" s="376">
        <f>IFERROR(VLOOKUP(C46,'تقرير المصروفات حسب الشهر'!$C$1270:$AD$1381,24,FALSE),0)</f>
        <v>0</v>
      </c>
      <c r="O46" s="376">
        <f>IFERROR(VLOOKUP(C46,'تقرير المصروفات حسب الشهر'!$C$1397:$AI$1512,24,FALSE),0)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الشهر'!$C$10:$AD$119,24,FALSE),0)</f>
        <v>0</v>
      </c>
      <c r="E47" s="362">
        <f>IFERROR(VLOOKUP(C47,'تقرير المصروفات حسب الشهر'!$C$135:$AD$244,24,FALSE),0)</f>
        <v>0</v>
      </c>
      <c r="F47" s="362">
        <f>IFERROR(VLOOKUP(C47,'تقرير المصروفات حسب الشهر'!$C$261:$AD$368,24,FALSE),0)</f>
        <v>0</v>
      </c>
      <c r="G47" s="362">
        <f>IFERROR(VLOOKUP(C47,'تقرير المصروفات حسب الشهر'!$C$387:$AD$495,24,FALSE),0)</f>
        <v>0</v>
      </c>
      <c r="H47" s="362">
        <f>IFERROR(VLOOKUP(C47,'تقرير المصروفات حسب الشهر'!$C$512:$AD$620,24,FALSE),0)</f>
        <v>0</v>
      </c>
      <c r="I47" s="362">
        <f>IFERROR(VLOOKUP(C47,'تقرير المصروفات حسب الشهر'!$C$637:$AD$746,24,FALSE),0)</f>
        <v>0</v>
      </c>
      <c r="J47" s="362">
        <f>IFERROR(VLOOKUP(C47,'تقرير المصروفات حسب الشهر'!$C$763:$AD$872,24,FALSE),0)</f>
        <v>0</v>
      </c>
      <c r="K47" s="362">
        <f>IFERROR(VLOOKUP(C47,'تقرير المصروفات حسب الشهر'!$C$890:$AD$999,24,FALSE),0)</f>
        <v>0</v>
      </c>
      <c r="L47" s="362">
        <f>IFERROR(VLOOKUP(C47,'تقرير المصروفات حسب الشهر'!$C$1016:$AD$1126,24,FALSE),0)</f>
        <v>0</v>
      </c>
      <c r="M47" s="376">
        <f>IFERROR(VLOOKUP(C47,'تقرير المصروفات حسب الشهر'!$C$1143:$AD$1254,24,FALSE),0)</f>
        <v>0</v>
      </c>
      <c r="N47" s="376">
        <f>IFERROR(VLOOKUP(C47,'تقرير المصروفات حسب الشهر'!$C$1270:$AD$1381,24,FALSE),0)</f>
        <v>0</v>
      </c>
      <c r="O47" s="376">
        <f>IFERROR(VLOOKUP(C47,'تقرير المصروفات حسب الشهر'!$C$1397:$AI$1512,24,FALSE),0)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الشهر'!$C$10:$AD$119,24,FALSE),0)</f>
        <v>0</v>
      </c>
      <c r="E48" s="362">
        <f>IFERROR(VLOOKUP(C48,'تقرير المصروفات حسب الشهر'!$C$135:$AD$244,24,FALSE),0)</f>
        <v>0</v>
      </c>
      <c r="F48" s="362">
        <f>IFERROR(VLOOKUP(C48,'تقرير المصروفات حسب الشهر'!$C$261:$AD$368,24,FALSE),0)</f>
        <v>0</v>
      </c>
      <c r="G48" s="362">
        <f>IFERROR(VLOOKUP(C48,'تقرير المصروفات حسب الشهر'!$C$387:$AD$495,24,FALSE),0)</f>
        <v>0</v>
      </c>
      <c r="H48" s="362">
        <f>IFERROR(VLOOKUP(C48,'تقرير المصروفات حسب الشهر'!$C$512:$AD$620,24,FALSE),0)</f>
        <v>0</v>
      </c>
      <c r="I48" s="362">
        <f>IFERROR(VLOOKUP(C48,'تقرير المصروفات حسب الشهر'!$C$637:$AD$746,24,FALSE),0)</f>
        <v>0</v>
      </c>
      <c r="J48" s="362">
        <f>IFERROR(VLOOKUP(C48,'تقرير المصروفات حسب الشهر'!$C$763:$AD$872,24,FALSE),0)</f>
        <v>0</v>
      </c>
      <c r="K48" s="362">
        <f>IFERROR(VLOOKUP(C48,'تقرير المصروفات حسب الشهر'!$C$890:$AD$999,24,FALSE),0)</f>
        <v>0</v>
      </c>
      <c r="L48" s="362">
        <f>IFERROR(VLOOKUP(C48,'تقرير المصروفات حسب الشهر'!$C$1016:$AD$1126,24,FALSE),0)</f>
        <v>0</v>
      </c>
      <c r="M48" s="376">
        <f>IFERROR(VLOOKUP(C48,'تقرير المصروفات حسب الشهر'!$C$1143:$AD$1254,24,FALSE),0)</f>
        <v>0</v>
      </c>
      <c r="N48" s="376">
        <f>IFERROR(VLOOKUP(C48,'تقرير المصروفات حسب الشهر'!$C$1270:$AD$1381,24,FALSE),0)</f>
        <v>0</v>
      </c>
      <c r="O48" s="376">
        <f>IFERROR(VLOOKUP(C48,'تقرير المصروفات حسب الشهر'!$C$1397:$AI$1512,24,FALSE),0)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الشهر'!$C$10:$AD$119,24,FALSE),0)</f>
        <v>0</v>
      </c>
      <c r="E49" s="362">
        <f>IFERROR(VLOOKUP(C49,'تقرير المصروفات حسب الشهر'!$C$135:$AD$244,24,FALSE),0)</f>
        <v>0</v>
      </c>
      <c r="F49" s="362">
        <f>IFERROR(VLOOKUP(C49,'تقرير المصروفات حسب الشهر'!$C$261:$AD$368,24,FALSE),0)</f>
        <v>0</v>
      </c>
      <c r="G49" s="362">
        <f>IFERROR(VLOOKUP(C49,'تقرير المصروفات حسب الشهر'!$C$387:$AD$495,24,FALSE),0)</f>
        <v>0</v>
      </c>
      <c r="H49" s="362">
        <f>IFERROR(VLOOKUP(C49,'تقرير المصروفات حسب الشهر'!$C$512:$AD$620,24,FALSE),0)</f>
        <v>0</v>
      </c>
      <c r="I49" s="362">
        <f>IFERROR(VLOOKUP(C49,'تقرير المصروفات حسب الشهر'!$C$637:$AD$746,24,FALSE),0)</f>
        <v>0</v>
      </c>
      <c r="J49" s="362">
        <f>IFERROR(VLOOKUP(C49,'تقرير المصروفات حسب الشهر'!$C$763:$AD$872,24,FALSE),0)</f>
        <v>0</v>
      </c>
      <c r="K49" s="362">
        <f>IFERROR(VLOOKUP(C49,'تقرير المصروفات حسب الشهر'!$C$890:$AD$999,24,FALSE),0)</f>
        <v>0</v>
      </c>
      <c r="L49" s="362">
        <f>IFERROR(VLOOKUP(C49,'تقرير المصروفات حسب الشهر'!$C$1016:$AD$1126,24,FALSE),0)</f>
        <v>0</v>
      </c>
      <c r="M49" s="376">
        <f>IFERROR(VLOOKUP(C49,'تقرير المصروفات حسب الشهر'!$C$1143:$AD$1254,24,FALSE),0)</f>
        <v>0</v>
      </c>
      <c r="N49" s="376">
        <f>IFERROR(VLOOKUP(C49,'تقرير المصروفات حسب الشهر'!$C$1270:$AD$1381,24,FALSE),0)</f>
        <v>0</v>
      </c>
      <c r="O49" s="376">
        <f>IFERROR(VLOOKUP(C49,'تقرير المصروفات حسب الشهر'!$C$1397:$AI$1512,24,FALSE),0)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الشهر'!$C$10:$AD$119,24,FALSE),0)</f>
        <v>0</v>
      </c>
      <c r="E50" s="362">
        <f>IFERROR(VLOOKUP(C50,'تقرير المصروفات حسب الشهر'!$C$135:$AD$244,24,FALSE),0)</f>
        <v>0</v>
      </c>
      <c r="F50" s="362">
        <f>IFERROR(VLOOKUP(C50,'تقرير المصروفات حسب الشهر'!$C$261:$AD$368,24,FALSE),0)</f>
        <v>0</v>
      </c>
      <c r="G50" s="362">
        <f>IFERROR(VLOOKUP(C50,'تقرير المصروفات حسب الشهر'!$C$387:$AD$495,24,FALSE),0)</f>
        <v>0</v>
      </c>
      <c r="H50" s="362">
        <f>IFERROR(VLOOKUP(C50,'تقرير المصروفات حسب الشهر'!$C$512:$AD$620,24,FALSE),0)</f>
        <v>0</v>
      </c>
      <c r="I50" s="362">
        <f>IFERROR(VLOOKUP(C50,'تقرير المصروفات حسب الشهر'!$C$637:$AD$746,24,FALSE),0)</f>
        <v>0</v>
      </c>
      <c r="J50" s="362">
        <f>IFERROR(VLOOKUP(C50,'تقرير المصروفات حسب الشهر'!$C$763:$AD$872,24,FALSE),0)</f>
        <v>0</v>
      </c>
      <c r="K50" s="362">
        <f>IFERROR(VLOOKUP(C50,'تقرير المصروفات حسب الشهر'!$C$890:$AD$999,24,FALSE),0)</f>
        <v>0</v>
      </c>
      <c r="L50" s="362">
        <f>IFERROR(VLOOKUP(C50,'تقرير المصروفات حسب الشهر'!$C$1016:$AD$1126,24,FALSE),0)</f>
        <v>0</v>
      </c>
      <c r="M50" s="376">
        <f>IFERROR(VLOOKUP(C50,'تقرير المصروفات حسب الشهر'!$C$1143:$AD$1254,24,FALSE),0)</f>
        <v>0</v>
      </c>
      <c r="N50" s="376">
        <f>IFERROR(VLOOKUP(C50,'تقرير المصروفات حسب الشهر'!$C$1270:$AD$1381,24,FALSE),0)</f>
        <v>0</v>
      </c>
      <c r="O50" s="376">
        <f>IFERROR(VLOOKUP(C50,'تقرير المصروفات حسب الشهر'!$C$1397:$AI$1512,24,FALSE),0)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الشهر'!$C$10:$AD$119,24,FALSE),0)</f>
        <v>0</v>
      </c>
      <c r="E51" s="362">
        <f>IFERROR(VLOOKUP(C51,'تقرير المصروفات حسب الشهر'!$C$135:$AD$244,24,FALSE),0)</f>
        <v>0</v>
      </c>
      <c r="F51" s="362">
        <f>IFERROR(VLOOKUP(C51,'تقرير المصروفات حسب الشهر'!$C$261:$AD$368,24,FALSE),0)</f>
        <v>0</v>
      </c>
      <c r="G51" s="362">
        <f>IFERROR(VLOOKUP(C51,'تقرير المصروفات حسب الشهر'!$C$387:$AD$495,24,FALSE),0)</f>
        <v>0</v>
      </c>
      <c r="H51" s="362">
        <f>IFERROR(VLOOKUP(C51,'تقرير المصروفات حسب الشهر'!$C$512:$AD$620,24,FALSE),0)</f>
        <v>0</v>
      </c>
      <c r="I51" s="362">
        <f>IFERROR(VLOOKUP(C51,'تقرير المصروفات حسب الشهر'!$C$637:$AD$746,24,FALSE),0)</f>
        <v>0</v>
      </c>
      <c r="J51" s="362">
        <f>IFERROR(VLOOKUP(C51,'تقرير المصروفات حسب الشهر'!$C$763:$AD$872,24,FALSE),0)</f>
        <v>0</v>
      </c>
      <c r="K51" s="362">
        <f>IFERROR(VLOOKUP(C51,'تقرير المصروفات حسب الشهر'!$C$890:$AD$999,24,FALSE),0)</f>
        <v>0</v>
      </c>
      <c r="L51" s="362">
        <f>IFERROR(VLOOKUP(C51,'تقرير المصروفات حسب الشهر'!$C$1016:$AD$1126,24,FALSE),0)</f>
        <v>0</v>
      </c>
      <c r="M51" s="376">
        <f>IFERROR(VLOOKUP(C51,'تقرير المصروفات حسب الشهر'!$C$1143:$AD$1254,24,FALSE),0)</f>
        <v>0</v>
      </c>
      <c r="N51" s="376">
        <f>IFERROR(VLOOKUP(C51,'تقرير المصروفات حسب الشهر'!$C$1270:$AD$1381,24,FALSE),0)</f>
        <v>0</v>
      </c>
      <c r="O51" s="376">
        <f>IFERROR(VLOOKUP(C51,'تقرير المصروفات حسب الشهر'!$C$1397:$AI$1512,24,FALSE),0)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الشهر'!$C$10:$AD$119,24,FALSE),0)</f>
        <v>0</v>
      </c>
      <c r="E52" s="362">
        <f>IFERROR(VLOOKUP(C52,'تقرير المصروفات حسب الشهر'!$C$135:$AD$244,24,FALSE),0)</f>
        <v>0</v>
      </c>
      <c r="F52" s="362">
        <f>IFERROR(VLOOKUP(C52,'تقرير المصروفات حسب الشهر'!$C$261:$AD$368,24,FALSE),0)</f>
        <v>0</v>
      </c>
      <c r="G52" s="362">
        <f>IFERROR(VLOOKUP(C52,'تقرير المصروفات حسب الشهر'!$C$387:$AD$495,24,FALSE),0)</f>
        <v>0</v>
      </c>
      <c r="H52" s="362">
        <f>IFERROR(VLOOKUP(C52,'تقرير المصروفات حسب الشهر'!$C$512:$AD$620,24,FALSE),0)</f>
        <v>0</v>
      </c>
      <c r="I52" s="362">
        <f>IFERROR(VLOOKUP(C52,'تقرير المصروفات حسب الشهر'!$C$637:$AD$746,24,FALSE),0)</f>
        <v>0</v>
      </c>
      <c r="J52" s="362">
        <f>IFERROR(VLOOKUP(C52,'تقرير المصروفات حسب الشهر'!$C$763:$AD$872,24,FALSE),0)</f>
        <v>0</v>
      </c>
      <c r="K52" s="362">
        <f>IFERROR(VLOOKUP(C52,'تقرير المصروفات حسب الشهر'!$C$890:$AD$999,24,FALSE),0)</f>
        <v>0</v>
      </c>
      <c r="L52" s="362">
        <f>IFERROR(VLOOKUP(C52,'تقرير المصروفات حسب الشهر'!$C$1016:$AD$1126,24,FALSE),0)</f>
        <v>0</v>
      </c>
      <c r="M52" s="376">
        <f>IFERROR(VLOOKUP(C52,'تقرير المصروفات حسب الشهر'!$C$1143:$AD$1254,24,FALSE),0)</f>
        <v>0</v>
      </c>
      <c r="N52" s="376">
        <f>IFERROR(VLOOKUP(C52,'تقرير المصروفات حسب الشهر'!$C$1270:$AD$1381,24,FALSE),0)</f>
        <v>0</v>
      </c>
      <c r="O52" s="376">
        <f>IFERROR(VLOOKUP(C52,'تقرير المصروفات حسب الشهر'!$C$1397:$AI$1512,24,FALSE),0)</f>
        <v>0</v>
      </c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الشهر'!$C$10:$AD$119,24,FALSE),0)</f>
        <v>0</v>
      </c>
      <c r="E53" s="362">
        <f>IFERROR(VLOOKUP(C53,'تقرير المصروفات حسب الشهر'!$C$135:$AD$244,24,FALSE),0)</f>
        <v>0</v>
      </c>
      <c r="F53" s="362">
        <f>IFERROR(VLOOKUP(C53,'تقرير المصروفات حسب الشهر'!$C$261:$AD$368,24,FALSE),0)</f>
        <v>0</v>
      </c>
      <c r="G53" s="362">
        <f>IFERROR(VLOOKUP(C53,'تقرير المصروفات حسب الشهر'!$C$387:$AD$495,24,FALSE),0)</f>
        <v>0</v>
      </c>
      <c r="H53" s="362">
        <f>IFERROR(VLOOKUP(C53,'تقرير المصروفات حسب الشهر'!$C$512:$AD$620,24,FALSE),0)</f>
        <v>0</v>
      </c>
      <c r="I53" s="362">
        <f>IFERROR(VLOOKUP(C53,'تقرير المصروفات حسب الشهر'!$C$637:$AD$746,24,FALSE),0)</f>
        <v>0</v>
      </c>
      <c r="J53" s="362">
        <f>IFERROR(VLOOKUP(C53,'تقرير المصروفات حسب الشهر'!$C$763:$AD$872,24,FALSE),0)</f>
        <v>0</v>
      </c>
      <c r="K53" s="362">
        <f>IFERROR(VLOOKUP(C53,'تقرير المصروفات حسب الشهر'!$C$890:$AD$999,24,FALSE),0)</f>
        <v>0</v>
      </c>
      <c r="L53" s="362">
        <f>IFERROR(VLOOKUP(C53,'تقرير المصروفات حسب الشهر'!$C$1016:$AD$1126,24,FALSE),0)</f>
        <v>0</v>
      </c>
      <c r="M53" s="376">
        <f>IFERROR(VLOOKUP(C53,'تقرير المصروفات حسب الشهر'!$C$1143:$AD$1254,24,FALSE),0)</f>
        <v>0</v>
      </c>
      <c r="N53" s="376">
        <f>IFERROR(VLOOKUP(C53,'تقرير المصروفات حسب الشهر'!$C$1270:$AD$1381,24,FALSE),0)</f>
        <v>0</v>
      </c>
      <c r="O53" s="376">
        <f>IFERROR(VLOOKUP(C53,'تقرير المصروفات حسب الشهر'!$C$1397:$AI$1512,24,FALSE),0)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الشهر'!$C$10:$AD$119,24,FALSE),0)</f>
        <v>200</v>
      </c>
      <c r="E54" s="362">
        <f>IFERROR(VLOOKUP(C54,'تقرير المصروفات حسب الشهر'!$C$135:$AD$244,24,FALSE),0)</f>
        <v>0</v>
      </c>
      <c r="F54" s="362">
        <f>IFERROR(VLOOKUP(C54,'تقرير المصروفات حسب الشهر'!$C$261:$AD$368,24,FALSE),0)</f>
        <v>0</v>
      </c>
      <c r="G54" s="362">
        <f>IFERROR(VLOOKUP(C54,'تقرير المصروفات حسب الشهر'!$C$387:$AD$495,24,FALSE),0)</f>
        <v>100</v>
      </c>
      <c r="H54" s="362">
        <f>IFERROR(VLOOKUP(C54,'تقرير المصروفات حسب الشهر'!$C$512:$AD$620,24,FALSE),0)</f>
        <v>0</v>
      </c>
      <c r="I54" s="362">
        <f>IFERROR(VLOOKUP(C54,'تقرير المصروفات حسب الشهر'!$C$637:$AD$746,24,FALSE),0)</f>
        <v>0</v>
      </c>
      <c r="J54" s="362">
        <f>IFERROR(VLOOKUP(C54,'تقرير المصروفات حسب الشهر'!$C$763:$AD$872,24,FALSE),0)</f>
        <v>5950</v>
      </c>
      <c r="K54" s="362">
        <f>IFERROR(VLOOKUP(C54,'تقرير المصروفات حسب الشهر'!$C$890:$AD$999,24,FALSE),0)</f>
        <v>0</v>
      </c>
      <c r="L54" s="362">
        <f>IFERROR(VLOOKUP(C54,'تقرير المصروفات حسب الشهر'!$C$1016:$AD$1126,24,FALSE),0)</f>
        <v>0</v>
      </c>
      <c r="M54" s="376">
        <f>IFERROR(VLOOKUP(C54,'تقرير المصروفات حسب الشهر'!$C$1143:$AD$1254,24,FALSE),0)</f>
        <v>200</v>
      </c>
      <c r="N54" s="376">
        <f>IFERROR(VLOOKUP(C54,'تقرير المصروفات حسب الشهر'!$C$1270:$AD$1381,24,FALSE),0)</f>
        <v>0</v>
      </c>
      <c r="O54" s="376">
        <f>IFERROR(VLOOKUP(C54,'تقرير المصروفات حسب الشهر'!$C$1397:$AI$1512,24,FALSE),0)</f>
        <v>0</v>
      </c>
      <c r="P54" s="364">
        <f t="shared" si="5"/>
        <v>6450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الشهر'!$C$10:$AD$119,24,FALSE),0)</f>
        <v>0</v>
      </c>
      <c r="E55" s="362">
        <f>IFERROR(VLOOKUP(C55,'تقرير المصروفات حسب الشهر'!$C$135:$AD$244,24,FALSE),0)</f>
        <v>0</v>
      </c>
      <c r="F55" s="362">
        <f>IFERROR(VLOOKUP(C55,'تقرير المصروفات حسب الشهر'!$C$261:$AD$368,24,FALSE),0)</f>
        <v>0</v>
      </c>
      <c r="G55" s="362">
        <f>IFERROR(VLOOKUP(C55,'تقرير المصروفات حسب الشهر'!$C$387:$AD$495,24,FALSE),0)</f>
        <v>0</v>
      </c>
      <c r="H55" s="362">
        <f>IFERROR(VLOOKUP(C55,'تقرير المصروفات حسب الشهر'!$C$512:$AD$620,24,FALSE),0)</f>
        <v>0</v>
      </c>
      <c r="I55" s="362">
        <f>IFERROR(VLOOKUP(C55,'تقرير المصروفات حسب الشهر'!$C$637:$AD$746,24,FALSE),0)</f>
        <v>0</v>
      </c>
      <c r="J55" s="362">
        <f>IFERROR(VLOOKUP(C55,'تقرير المصروفات حسب الشهر'!$C$763:$AD$872,24,FALSE),0)</f>
        <v>0</v>
      </c>
      <c r="K55" s="362">
        <f>IFERROR(VLOOKUP(C55,'تقرير المصروفات حسب الشهر'!$C$890:$AD$999,24,FALSE),0)</f>
        <v>0</v>
      </c>
      <c r="L55" s="362">
        <f>IFERROR(VLOOKUP(C55,'تقرير المصروفات حسب الشهر'!$C$1016:$AD$1126,24,FALSE),0)</f>
        <v>0</v>
      </c>
      <c r="M55" s="376">
        <f>IFERROR(VLOOKUP(C55,'تقرير المصروفات حسب الشهر'!$C$1143:$AD$1254,24,FALSE),0)</f>
        <v>0</v>
      </c>
      <c r="N55" s="376">
        <f>IFERROR(VLOOKUP(C55,'تقرير المصروفات حسب الشهر'!$C$1270:$AD$1381,24,FALSE),0)</f>
        <v>0</v>
      </c>
      <c r="O55" s="376">
        <f>IFERROR(VLOOKUP(C55,'تقرير المصروفات حسب الشهر'!$C$1397:$AI$1512,24,FALSE),0)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الشهر'!$C$10:$AD$119,24,FALSE),0)</f>
        <v>0</v>
      </c>
      <c r="E56" s="362">
        <f>IFERROR(VLOOKUP(C56,'تقرير المصروفات حسب الشهر'!$C$135:$AD$244,24,FALSE),0)</f>
        <v>0</v>
      </c>
      <c r="F56" s="362">
        <f>IFERROR(VLOOKUP(C56,'تقرير المصروفات حسب الشهر'!$C$261:$AD$368,24,FALSE),0)</f>
        <v>0</v>
      </c>
      <c r="G56" s="362">
        <f>IFERROR(VLOOKUP(C56,'تقرير المصروفات حسب الشهر'!$C$387:$AD$495,24,FALSE),0)</f>
        <v>0</v>
      </c>
      <c r="H56" s="362">
        <f>IFERROR(VLOOKUP(C56,'تقرير المصروفات حسب الشهر'!$C$512:$AD$620,24,FALSE),0)</f>
        <v>0</v>
      </c>
      <c r="I56" s="362">
        <f>IFERROR(VLOOKUP(C56,'تقرير المصروفات حسب الشهر'!$C$637:$AD$746,24,FALSE),0)</f>
        <v>0</v>
      </c>
      <c r="J56" s="362">
        <f>IFERROR(VLOOKUP(C56,'تقرير المصروفات حسب الشهر'!$C$763:$AD$872,24,FALSE),0)</f>
        <v>0</v>
      </c>
      <c r="K56" s="362">
        <f>IFERROR(VLOOKUP(C56,'تقرير المصروفات حسب الشهر'!$C$890:$AD$999,24,FALSE),0)</f>
        <v>0</v>
      </c>
      <c r="L56" s="362">
        <f>IFERROR(VLOOKUP(C56,'تقرير المصروفات حسب الشهر'!$C$1016:$AD$1126,24,FALSE),0)</f>
        <v>0</v>
      </c>
      <c r="M56" s="376">
        <f>IFERROR(VLOOKUP(C56,'تقرير المصروفات حسب الشهر'!$C$1143:$AD$1254,24,FALSE),0)</f>
        <v>0</v>
      </c>
      <c r="N56" s="376">
        <f>IFERROR(VLOOKUP(C56,'تقرير المصروفات حسب الشهر'!$C$1270:$AD$1381,24,FALSE),0)</f>
        <v>0</v>
      </c>
      <c r="O56" s="376">
        <f>IFERROR(VLOOKUP(C56,'تقرير المصروفات حسب الشهر'!$C$1397:$AI$1512,24,FALSE),0)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الشهر'!$C$10:$AD$119,24,FALSE),0)</f>
        <v>0</v>
      </c>
      <c r="E57" s="362">
        <f>IFERROR(VLOOKUP(C57,'تقرير المصروفات حسب الشهر'!$C$135:$AD$244,24,FALSE),0)</f>
        <v>0</v>
      </c>
      <c r="F57" s="362">
        <f>IFERROR(VLOOKUP(C57,'تقرير المصروفات حسب الشهر'!$C$261:$AD$368,24,FALSE),0)</f>
        <v>0</v>
      </c>
      <c r="G57" s="362">
        <f>IFERROR(VLOOKUP(C57,'تقرير المصروفات حسب الشهر'!$C$387:$AD$495,24,FALSE),0)</f>
        <v>0</v>
      </c>
      <c r="H57" s="362">
        <f>IFERROR(VLOOKUP(C57,'تقرير المصروفات حسب الشهر'!$C$512:$AD$620,24,FALSE),0)</f>
        <v>0</v>
      </c>
      <c r="I57" s="362">
        <f>IFERROR(VLOOKUP(C57,'تقرير المصروفات حسب الشهر'!$C$637:$AD$746,24,FALSE),0)</f>
        <v>0</v>
      </c>
      <c r="J57" s="362">
        <f>IFERROR(VLOOKUP(C57,'تقرير المصروفات حسب الشهر'!$C$763:$AD$872,24,FALSE),0)</f>
        <v>0</v>
      </c>
      <c r="K57" s="362">
        <f>IFERROR(VLOOKUP(C57,'تقرير المصروفات حسب الشهر'!$C$890:$AD$999,24,FALSE),0)</f>
        <v>0</v>
      </c>
      <c r="L57" s="362">
        <f>IFERROR(VLOOKUP(C57,'تقرير المصروفات حسب الشهر'!$C$1016:$AD$1126,24,FALSE),0)</f>
        <v>0</v>
      </c>
      <c r="M57" s="376">
        <f>IFERROR(VLOOKUP(C57,'تقرير المصروفات حسب الشهر'!$C$1143:$AD$1254,24,FALSE),0)</f>
        <v>0</v>
      </c>
      <c r="N57" s="376">
        <f>IFERROR(VLOOKUP(C57,'تقرير المصروفات حسب الشهر'!$C$1270:$AD$1381,24,FALSE),0)</f>
        <v>0</v>
      </c>
      <c r="O57" s="376">
        <f>IFERROR(VLOOKUP(C57,'تقرير المصروفات حسب الشهر'!$C$1397:$AI$1512,24,FALSE),0)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الشهر'!$C$10:$AD$119,24,FALSE),0)</f>
        <v>0</v>
      </c>
      <c r="E58" s="362">
        <f>IFERROR(VLOOKUP(C58,'تقرير المصروفات حسب الشهر'!$C$135:$AD$244,24,FALSE),0)</f>
        <v>0</v>
      </c>
      <c r="F58" s="362">
        <f>IFERROR(VLOOKUP(C58,'تقرير المصروفات حسب الشهر'!$C$261:$AD$368,24,FALSE),0)</f>
        <v>0</v>
      </c>
      <c r="G58" s="362">
        <f>IFERROR(VLOOKUP(C58,'تقرير المصروفات حسب الشهر'!$C$387:$AD$495,24,FALSE),0)</f>
        <v>0</v>
      </c>
      <c r="H58" s="362">
        <f>IFERROR(VLOOKUP(C58,'تقرير المصروفات حسب الشهر'!$C$512:$AD$620,24,FALSE),0)</f>
        <v>0</v>
      </c>
      <c r="I58" s="362">
        <f>IFERROR(VLOOKUP(C58,'تقرير المصروفات حسب الشهر'!$C$637:$AD$746,24,FALSE),0)</f>
        <v>0</v>
      </c>
      <c r="J58" s="362">
        <f>IFERROR(VLOOKUP(C58,'تقرير المصروفات حسب الشهر'!$C$763:$AD$872,24,FALSE),0)</f>
        <v>0</v>
      </c>
      <c r="K58" s="362">
        <f>IFERROR(VLOOKUP(C58,'تقرير المصروفات حسب الشهر'!$C$890:$AD$999,24,FALSE),0)</f>
        <v>0</v>
      </c>
      <c r="L58" s="362">
        <f>IFERROR(VLOOKUP(C58,'تقرير المصروفات حسب الشهر'!$C$1016:$AD$1126,24,FALSE),0)</f>
        <v>0</v>
      </c>
      <c r="M58" s="376">
        <f>IFERROR(VLOOKUP(C58,'تقرير المصروفات حسب الشهر'!$C$1143:$AD$1254,24,FALSE),0)</f>
        <v>0</v>
      </c>
      <c r="N58" s="376">
        <f>IFERROR(VLOOKUP(C58,'تقرير المصروفات حسب الشهر'!$C$1270:$AD$1381,24,FALSE),0)</f>
        <v>0</v>
      </c>
      <c r="O58" s="376">
        <f>IFERROR(VLOOKUP(C58,'تقرير المصروفات حسب الشهر'!$C$1397:$AI$1512,24,FALSE),0)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الشهر'!$C$10:$AD$119,24,FALSE),0)</f>
        <v>0</v>
      </c>
      <c r="E59" s="362">
        <f>IFERROR(VLOOKUP(C59,'تقرير المصروفات حسب الشهر'!$C$135:$AD$244,24,FALSE),0)</f>
        <v>1700.5</v>
      </c>
      <c r="F59" s="362">
        <f>IFERROR(VLOOKUP(C59,'تقرير المصروفات حسب الشهر'!$C$261:$AD$368,24,FALSE),0)</f>
        <v>1200.25</v>
      </c>
      <c r="G59" s="362">
        <f>IFERROR(VLOOKUP(C59,'تقرير المصروفات حسب الشهر'!$C$387:$AD$495,24,FALSE),0)</f>
        <v>2225.25</v>
      </c>
      <c r="H59" s="362">
        <f>IFERROR(VLOOKUP(C59,'تقرير المصروفات حسب الشهر'!$C$512:$AD$620,24,FALSE),0)</f>
        <v>0</v>
      </c>
      <c r="I59" s="362">
        <f>IFERROR(VLOOKUP(C59,'تقرير المصروفات حسب الشهر'!$C$637:$AD$746,24,FALSE),0)</f>
        <v>1100.25</v>
      </c>
      <c r="J59" s="362">
        <f>IFERROR(VLOOKUP(C59,'تقرير المصروفات حسب الشهر'!$C$763:$AD$872,24,FALSE),0)</f>
        <v>1900.25</v>
      </c>
      <c r="K59" s="362">
        <f>IFERROR(VLOOKUP(C59,'تقرير المصروفات حسب الشهر'!$C$890:$AD$999,24,FALSE),0)</f>
        <v>0</v>
      </c>
      <c r="L59" s="362">
        <f>IFERROR(VLOOKUP(C59,'تقرير المصروفات حسب الشهر'!$C$1016:$AD$1126,24,FALSE),0)</f>
        <v>4999.25</v>
      </c>
      <c r="M59" s="376">
        <f>IFERROR(VLOOKUP(C59,'تقرير المصروفات حسب الشهر'!$C$1143:$AD$1254,24,FALSE),0)</f>
        <v>1300</v>
      </c>
      <c r="N59" s="376">
        <f>IFERROR(VLOOKUP(C59,'تقرير المصروفات حسب الشهر'!$C$1270:$AD$1381,24,FALSE),0)</f>
        <v>7888.25</v>
      </c>
      <c r="O59" s="376">
        <f>IFERROR(VLOOKUP(C59,'تقرير المصروفات حسب الشهر'!$C$1397:$AI$1512,24,FALSE),0)</f>
        <v>0</v>
      </c>
      <c r="P59" s="364">
        <f t="shared" si="5"/>
        <v>22314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الشهر'!$C$10:$AD$119,24,FALSE),0)</f>
        <v>2600</v>
      </c>
      <c r="E60" s="362">
        <f>IFERROR(VLOOKUP(C60,'تقرير المصروفات حسب الشهر'!$C$135:$AD$244,24,FALSE),0)</f>
        <v>0</v>
      </c>
      <c r="F60" s="362">
        <f>IFERROR(VLOOKUP(C60,'تقرير المصروفات حسب الشهر'!$C$261:$AD$368,24,FALSE),0)</f>
        <v>0</v>
      </c>
      <c r="G60" s="362">
        <f>IFERROR(VLOOKUP(C60,'تقرير المصروفات حسب الشهر'!$C$387:$AD$495,24,FALSE),0)</f>
        <v>1860</v>
      </c>
      <c r="H60" s="362">
        <f>IFERROR(VLOOKUP(C60,'تقرير المصروفات حسب الشهر'!$C$512:$AD$620,24,FALSE),0)</f>
        <v>0</v>
      </c>
      <c r="I60" s="362">
        <f>IFERROR(VLOOKUP(C60,'تقرير المصروفات حسب الشهر'!$C$637:$AD$746,24,FALSE),0)</f>
        <v>0</v>
      </c>
      <c r="J60" s="362">
        <f>IFERROR(VLOOKUP(C60,'تقرير المصروفات حسب الشهر'!$C$763:$AD$872,24,FALSE),0)</f>
        <v>0</v>
      </c>
      <c r="K60" s="362">
        <f>IFERROR(VLOOKUP(C60,'تقرير المصروفات حسب الشهر'!$C$890:$AD$999,24,FALSE),0)</f>
        <v>0</v>
      </c>
      <c r="L60" s="362">
        <f>IFERROR(VLOOKUP(C60,'تقرير المصروفات حسب الشهر'!$C$1016:$AD$1126,24,FALSE),0)</f>
        <v>0</v>
      </c>
      <c r="M60" s="376">
        <f>IFERROR(VLOOKUP(C60,'تقرير المصروفات حسب الشهر'!$C$1143:$AD$1254,24,FALSE),0)</f>
        <v>1320</v>
      </c>
      <c r="N60" s="376">
        <f>IFERROR(VLOOKUP(C60,'تقرير المصروفات حسب الشهر'!$C$1270:$AD$1381,24,FALSE),0)</f>
        <v>0</v>
      </c>
      <c r="O60" s="376">
        <f>IFERROR(VLOOKUP(C60,'تقرير المصروفات حسب الشهر'!$C$1397:$AI$1512,24,FALSE),0)</f>
        <v>0</v>
      </c>
      <c r="P60" s="364">
        <f t="shared" si="5"/>
        <v>5780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الشهر'!$C$10:$AD$119,24,FALSE),0)</f>
        <v>0</v>
      </c>
      <c r="E61" s="362">
        <f>IFERROR(VLOOKUP(C61,'تقرير المصروفات حسب الشهر'!$C$135:$AD$244,24,FALSE),0)</f>
        <v>0</v>
      </c>
      <c r="F61" s="362">
        <f>IFERROR(VLOOKUP(C61,'تقرير المصروفات حسب الشهر'!$C$261:$AD$368,24,FALSE),0)</f>
        <v>0</v>
      </c>
      <c r="G61" s="362">
        <f>IFERROR(VLOOKUP(C61,'تقرير المصروفات حسب الشهر'!$C$387:$AD$495,24,FALSE),0)</f>
        <v>0</v>
      </c>
      <c r="H61" s="362">
        <f>IFERROR(VLOOKUP(C61,'تقرير المصروفات حسب الشهر'!$C$512:$AD$620,24,FALSE),0)</f>
        <v>0</v>
      </c>
      <c r="I61" s="362">
        <f>IFERROR(VLOOKUP(C61,'تقرير المصروفات حسب الشهر'!$C$637:$AD$746,24,FALSE),0)</f>
        <v>0</v>
      </c>
      <c r="J61" s="362">
        <f>IFERROR(VLOOKUP(C61,'تقرير المصروفات حسب الشهر'!$C$763:$AD$872,24,FALSE),0)</f>
        <v>0</v>
      </c>
      <c r="K61" s="362">
        <f>IFERROR(VLOOKUP(C61,'تقرير المصروفات حسب الشهر'!$C$890:$AD$999,24,FALSE),0)</f>
        <v>0</v>
      </c>
      <c r="L61" s="362">
        <f>IFERROR(VLOOKUP(C61,'تقرير المصروفات حسب الشهر'!$C$1016:$AD$1126,24,FALSE),0)</f>
        <v>350</v>
      </c>
      <c r="M61" s="376">
        <f>IFERROR(VLOOKUP(C61,'تقرير المصروفات حسب الشهر'!$C$1143:$AD$1254,24,FALSE),0)</f>
        <v>0</v>
      </c>
      <c r="N61" s="376">
        <f>IFERROR(VLOOKUP(C61,'تقرير المصروفات حسب الشهر'!$C$1270:$AD$1381,24,FALSE),0)</f>
        <v>0</v>
      </c>
      <c r="O61" s="376">
        <f>IFERROR(VLOOKUP(C61,'تقرير المصروفات حسب الشهر'!$C$1397:$AI$1512,24,FALSE),0)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الشهر'!$C$10:$AD$119,24,FALSE),0)</f>
        <v>0</v>
      </c>
      <c r="E62" s="362">
        <f>IFERROR(VLOOKUP(C62,'تقرير المصروفات حسب الشهر'!$C$135:$AD$244,24,FALSE),0)</f>
        <v>0</v>
      </c>
      <c r="F62" s="362">
        <f>IFERROR(VLOOKUP(C62,'تقرير المصروفات حسب الشهر'!$C$261:$AD$368,24,FALSE),0)</f>
        <v>0</v>
      </c>
      <c r="G62" s="362">
        <f>IFERROR(VLOOKUP(C62,'تقرير المصروفات حسب الشهر'!$C$387:$AD$495,24,FALSE),0)</f>
        <v>0</v>
      </c>
      <c r="H62" s="362">
        <f>IFERROR(VLOOKUP(C62,'تقرير المصروفات حسب الشهر'!$C$512:$AD$620,24,FALSE),0)</f>
        <v>0</v>
      </c>
      <c r="I62" s="362">
        <f>IFERROR(VLOOKUP(C62,'تقرير المصروفات حسب الشهر'!$C$637:$AD$746,24,FALSE),0)</f>
        <v>0</v>
      </c>
      <c r="J62" s="362">
        <f>IFERROR(VLOOKUP(C62,'تقرير المصروفات حسب الشهر'!$C$763:$AD$872,24,FALSE),0)</f>
        <v>0</v>
      </c>
      <c r="K62" s="362">
        <f>IFERROR(VLOOKUP(C62,'تقرير المصروفات حسب الشهر'!$C$890:$AD$999,24,FALSE),0)</f>
        <v>0</v>
      </c>
      <c r="L62" s="362">
        <f>IFERROR(VLOOKUP(C62,'تقرير المصروفات حسب الشهر'!$C$1016:$AD$1126,24,FALSE),0)</f>
        <v>0</v>
      </c>
      <c r="M62" s="376">
        <f>IFERROR(VLOOKUP(C62,'تقرير المصروفات حسب الشهر'!$C$1143:$AD$1254,24,FALSE),0)</f>
        <v>0</v>
      </c>
      <c r="N62" s="376">
        <f>IFERROR(VLOOKUP(C62,'تقرير المصروفات حسب الشهر'!$C$1270:$AD$1381,24,FALSE),0)</f>
        <v>0</v>
      </c>
      <c r="O62" s="376">
        <f>IFERROR(VLOOKUP(C62,'تقرير المصروفات حسب الشهر'!$C$1397:$AI$1512,24,FALSE),0)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الشهر'!$C$10:$AD$119,24,FALSE),0)</f>
        <v>0</v>
      </c>
      <c r="E63" s="362">
        <f>IFERROR(VLOOKUP(C63,'تقرير المصروفات حسب الشهر'!$C$135:$AD$244,24,FALSE),0)</f>
        <v>0</v>
      </c>
      <c r="F63" s="362">
        <f>IFERROR(VLOOKUP(C63,'تقرير المصروفات حسب الشهر'!$C$261:$AD$368,24,FALSE),0)</f>
        <v>0</v>
      </c>
      <c r="G63" s="362">
        <f>IFERROR(VLOOKUP(C63,'تقرير المصروفات حسب الشهر'!$C$387:$AD$495,24,FALSE),0)</f>
        <v>0</v>
      </c>
      <c r="H63" s="362">
        <f>IFERROR(VLOOKUP(C63,'تقرير المصروفات حسب الشهر'!$C$512:$AD$620,24,FALSE),0)</f>
        <v>0</v>
      </c>
      <c r="I63" s="362">
        <f>IFERROR(VLOOKUP(C63,'تقرير المصروفات حسب الشهر'!$C$637:$AD$746,24,FALSE),0)</f>
        <v>0</v>
      </c>
      <c r="J63" s="362">
        <f>IFERROR(VLOOKUP(C63,'تقرير المصروفات حسب الشهر'!$C$763:$AD$872,24,FALSE),0)</f>
        <v>0</v>
      </c>
      <c r="K63" s="362">
        <f>IFERROR(VLOOKUP(C63,'تقرير المصروفات حسب الشهر'!$C$890:$AD$999,24,FALSE),0)</f>
        <v>0</v>
      </c>
      <c r="L63" s="362">
        <f>IFERROR(VLOOKUP(C63,'تقرير المصروفات حسب الشهر'!$C$1016:$AD$1126,24,FALSE),0)</f>
        <v>0</v>
      </c>
      <c r="M63" s="376">
        <f>IFERROR(VLOOKUP(C63,'تقرير المصروفات حسب الشهر'!$C$1143:$AD$1254,24,FALSE),0)</f>
        <v>0</v>
      </c>
      <c r="N63" s="376">
        <f>IFERROR(VLOOKUP(C63,'تقرير المصروفات حسب الشهر'!$C$1270:$AD$1381,24,FALSE),0)</f>
        <v>0</v>
      </c>
      <c r="O63" s="376">
        <f>IFERROR(VLOOKUP(C63,'تقرير المصروفات حسب الشهر'!$C$1397:$AI$1512,24,FALSE),0)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الشهر'!$C$10:$AD$119,24,FALSE),0)</f>
        <v>0</v>
      </c>
      <c r="E64" s="362">
        <f>IFERROR(VLOOKUP(C64,'تقرير المصروفات حسب الشهر'!$C$135:$AD$244,24,FALSE),0)</f>
        <v>0</v>
      </c>
      <c r="F64" s="362">
        <f>IFERROR(VLOOKUP(C64,'تقرير المصروفات حسب الشهر'!$C$261:$AD$368,24,FALSE),0)</f>
        <v>0</v>
      </c>
      <c r="G64" s="362">
        <f>IFERROR(VLOOKUP(C64,'تقرير المصروفات حسب الشهر'!$C$387:$AD$495,24,FALSE),0)</f>
        <v>0</v>
      </c>
      <c r="H64" s="362">
        <f>IFERROR(VLOOKUP(C64,'تقرير المصروفات حسب الشهر'!$C$512:$AD$620,24,FALSE),0)</f>
        <v>0</v>
      </c>
      <c r="I64" s="362">
        <f>IFERROR(VLOOKUP(C64,'تقرير المصروفات حسب الشهر'!$C$637:$AD$746,24,FALSE),0)</f>
        <v>0</v>
      </c>
      <c r="J64" s="362">
        <f>IFERROR(VLOOKUP(C64,'تقرير المصروفات حسب الشهر'!$C$763:$AD$872,24,FALSE),0)</f>
        <v>0</v>
      </c>
      <c r="K64" s="362">
        <f>IFERROR(VLOOKUP(C64,'تقرير المصروفات حسب الشهر'!$C$890:$AD$999,24,FALSE),0)</f>
        <v>0</v>
      </c>
      <c r="L64" s="362">
        <f>IFERROR(VLOOKUP(C64,'تقرير المصروفات حسب الشهر'!$C$1016:$AD$1126,24,FALSE),0)</f>
        <v>0</v>
      </c>
      <c r="M64" s="376">
        <f>IFERROR(VLOOKUP(C64,'تقرير المصروفات حسب الشهر'!$C$1143:$AD$1254,24,FALSE),0)</f>
        <v>0</v>
      </c>
      <c r="N64" s="376">
        <f>IFERROR(VLOOKUP(C64,'تقرير المصروفات حسب الشهر'!$C$1270:$AD$1381,24,FALSE),0)</f>
        <v>0</v>
      </c>
      <c r="O64" s="376">
        <f>IFERROR(VLOOKUP(C64,'تقرير المصروفات حسب الشهر'!$C$1397:$AI$1512,24,FALSE),0)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الشهر'!$C$10:$AD$119,24,FALSE),0)</f>
        <v>0</v>
      </c>
      <c r="E65" s="362">
        <f>IFERROR(VLOOKUP(C65,'تقرير المصروفات حسب الشهر'!$C$135:$AD$244,24,FALSE),0)</f>
        <v>0</v>
      </c>
      <c r="F65" s="362">
        <f>IFERROR(VLOOKUP(C65,'تقرير المصروفات حسب الشهر'!$C$261:$AD$368,24,FALSE),0)</f>
        <v>0</v>
      </c>
      <c r="G65" s="362">
        <f>IFERROR(VLOOKUP(C65,'تقرير المصروفات حسب الشهر'!$C$387:$AD$495,24,FALSE),0)</f>
        <v>0</v>
      </c>
      <c r="H65" s="362">
        <f>IFERROR(VLOOKUP(C65,'تقرير المصروفات حسب الشهر'!$C$512:$AD$620,24,FALSE),0)</f>
        <v>0</v>
      </c>
      <c r="I65" s="362">
        <f>IFERROR(VLOOKUP(C65,'تقرير المصروفات حسب الشهر'!$C$637:$AD$746,24,FALSE),0)</f>
        <v>0</v>
      </c>
      <c r="J65" s="362">
        <f>IFERROR(VLOOKUP(C65,'تقرير المصروفات حسب الشهر'!$C$763:$AD$872,24,FALSE),0)</f>
        <v>0</v>
      </c>
      <c r="K65" s="362">
        <f>IFERROR(VLOOKUP(C65,'تقرير المصروفات حسب الشهر'!$C$890:$AD$999,24,FALSE),0)</f>
        <v>0</v>
      </c>
      <c r="L65" s="362">
        <f>IFERROR(VLOOKUP(C65,'تقرير المصروفات حسب الشهر'!$C$1016:$AD$1126,24,FALSE),0)</f>
        <v>0</v>
      </c>
      <c r="M65" s="376">
        <f>IFERROR(VLOOKUP(C65,'تقرير المصروفات حسب الشهر'!$C$1143:$AD$1254,24,FALSE),0)</f>
        <v>0</v>
      </c>
      <c r="N65" s="376">
        <f>IFERROR(VLOOKUP(C65,'تقرير المصروفات حسب الشهر'!$C$1270:$AD$1381,24,FALSE),0)</f>
        <v>0</v>
      </c>
      <c r="O65" s="376">
        <f>IFERROR(VLOOKUP(C65,'تقرير المصروفات حسب الشهر'!$C$1397:$AI$1512,24,FALSE),0)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الشهر'!$C$10:$AD$119,24,FALSE),0)</f>
        <v>0</v>
      </c>
      <c r="E66" s="362">
        <f>IFERROR(VLOOKUP(C66,'تقرير المصروفات حسب الشهر'!$C$135:$AD$244,24,FALSE),0)</f>
        <v>0</v>
      </c>
      <c r="F66" s="362">
        <f>IFERROR(VLOOKUP(C66,'تقرير المصروفات حسب الشهر'!$C$261:$AD$368,24,FALSE),0)</f>
        <v>0</v>
      </c>
      <c r="G66" s="362">
        <f>IFERROR(VLOOKUP(C66,'تقرير المصروفات حسب الشهر'!$C$387:$AD$495,24,FALSE),0)</f>
        <v>0</v>
      </c>
      <c r="H66" s="362">
        <f>IFERROR(VLOOKUP(C66,'تقرير المصروفات حسب الشهر'!$C$512:$AD$620,24,FALSE),0)</f>
        <v>0</v>
      </c>
      <c r="I66" s="362">
        <f>IFERROR(VLOOKUP(C66,'تقرير المصروفات حسب الشهر'!$C$637:$AD$746,24,FALSE),0)</f>
        <v>0</v>
      </c>
      <c r="J66" s="362">
        <f>IFERROR(VLOOKUP(C66,'تقرير المصروفات حسب الشهر'!$C$763:$AD$872,24,FALSE),0)</f>
        <v>0</v>
      </c>
      <c r="K66" s="362">
        <f>IFERROR(VLOOKUP(C66,'تقرير المصروفات حسب الشهر'!$C$890:$AD$999,24,FALSE),0)</f>
        <v>0</v>
      </c>
      <c r="L66" s="362">
        <f>IFERROR(VLOOKUP(C66,'تقرير المصروفات حسب الشهر'!$C$1016:$AD$1126,24,FALSE),0)</f>
        <v>0</v>
      </c>
      <c r="M66" s="376">
        <f>IFERROR(VLOOKUP(C66,'تقرير المصروفات حسب الشهر'!$C$1143:$AD$1254,24,FALSE),0)</f>
        <v>0</v>
      </c>
      <c r="N66" s="376">
        <f>IFERROR(VLOOKUP(C66,'تقرير المصروفات حسب الشهر'!$C$1270:$AD$1381,24,FALSE),0)</f>
        <v>0</v>
      </c>
      <c r="O66" s="376">
        <f>IFERROR(VLOOKUP(C66,'تقرير المصروفات حسب الشهر'!$C$1397:$AI$1512,24,FALSE),0)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الشهر'!$C$10:$AD$119,24,FALSE),0)</f>
        <v>0</v>
      </c>
      <c r="E67" s="362">
        <f>IFERROR(VLOOKUP(C67,'تقرير المصروفات حسب الشهر'!$C$135:$AD$244,24,FALSE),0)</f>
        <v>0</v>
      </c>
      <c r="F67" s="362">
        <f>IFERROR(VLOOKUP(C67,'تقرير المصروفات حسب الشهر'!$C$261:$AD$368,24,FALSE),0)</f>
        <v>0</v>
      </c>
      <c r="G67" s="362">
        <f>IFERROR(VLOOKUP(C67,'تقرير المصروفات حسب الشهر'!$C$387:$AD$495,24,FALSE),0)</f>
        <v>0</v>
      </c>
      <c r="H67" s="362">
        <f>IFERROR(VLOOKUP(C67,'تقرير المصروفات حسب الشهر'!$C$512:$AD$620,24,FALSE),0)</f>
        <v>0</v>
      </c>
      <c r="I67" s="362">
        <f>IFERROR(VLOOKUP(C67,'تقرير المصروفات حسب الشهر'!$C$637:$AD$746,24,FALSE),0)</f>
        <v>0</v>
      </c>
      <c r="J67" s="362">
        <f>IFERROR(VLOOKUP(C67,'تقرير المصروفات حسب الشهر'!$C$763:$AD$872,24,FALSE),0)</f>
        <v>0</v>
      </c>
      <c r="K67" s="362">
        <f>IFERROR(VLOOKUP(C67,'تقرير المصروفات حسب الشهر'!$C$890:$AD$999,24,FALSE),0)</f>
        <v>0</v>
      </c>
      <c r="L67" s="362">
        <f>IFERROR(VLOOKUP(C67,'تقرير المصروفات حسب الشهر'!$C$1016:$AD$1126,24,FALSE),0)</f>
        <v>0</v>
      </c>
      <c r="M67" s="376">
        <f>IFERROR(VLOOKUP(C67,'تقرير المصروفات حسب الشهر'!$C$1143:$AD$1254,24,FALSE),0)</f>
        <v>0</v>
      </c>
      <c r="N67" s="376">
        <f>IFERROR(VLOOKUP(C67,'تقرير المصروفات حسب الشهر'!$C$1270:$AD$1381,24,FALSE),0)</f>
        <v>0</v>
      </c>
      <c r="O67" s="376">
        <f>IFERROR(VLOOKUP(C67,'تقرير المصروفات حسب الشهر'!$C$1397:$AI$1512,24,FALSE),0)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الشهر'!$C$10:$AD$119,24,FALSE),0)</f>
        <v>0</v>
      </c>
      <c r="E68" s="362">
        <f>IFERROR(VLOOKUP(C68,'تقرير المصروفات حسب الشهر'!$C$135:$AD$244,24,FALSE),0)</f>
        <v>0</v>
      </c>
      <c r="F68" s="362">
        <f>IFERROR(VLOOKUP(C68,'تقرير المصروفات حسب الشهر'!$C$261:$AD$368,24,FALSE),0)</f>
        <v>0</v>
      </c>
      <c r="G68" s="362">
        <f>IFERROR(VLOOKUP(C68,'تقرير المصروفات حسب الشهر'!$C$387:$AD$495,24,FALSE),0)</f>
        <v>0</v>
      </c>
      <c r="H68" s="362">
        <f>IFERROR(VLOOKUP(C68,'تقرير المصروفات حسب الشهر'!$C$512:$AD$620,24,FALSE),0)</f>
        <v>0</v>
      </c>
      <c r="I68" s="362">
        <f>IFERROR(VLOOKUP(C68,'تقرير المصروفات حسب الشهر'!$C$637:$AD$746,24,FALSE),0)</f>
        <v>0</v>
      </c>
      <c r="J68" s="362">
        <f>IFERROR(VLOOKUP(C68,'تقرير المصروفات حسب الشهر'!$C$763:$AD$872,24,FALSE),0)</f>
        <v>0</v>
      </c>
      <c r="K68" s="362">
        <f>IFERROR(VLOOKUP(C68,'تقرير المصروفات حسب الشهر'!$C$890:$AD$999,24,FALSE),0)</f>
        <v>0</v>
      </c>
      <c r="L68" s="362">
        <f>IFERROR(VLOOKUP(C68,'تقرير المصروفات حسب الشهر'!$C$1016:$AD$1126,24,FALSE),0)</f>
        <v>0</v>
      </c>
      <c r="M68" s="376">
        <f>IFERROR(VLOOKUP(C68,'تقرير المصروفات حسب الشهر'!$C$1143:$AD$1254,24,FALSE),0)</f>
        <v>0</v>
      </c>
      <c r="N68" s="376">
        <f>IFERROR(VLOOKUP(C68,'تقرير المصروفات حسب الشهر'!$C$1270:$AD$1381,24,FALSE),0)</f>
        <v>0</v>
      </c>
      <c r="O68" s="376">
        <f>IFERROR(VLOOKUP(C68,'تقرير المصروفات حسب الشهر'!$C$1397:$AI$1512,24,FALSE),0)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الشهر'!$C$10:$AD$119,24,FALSE),0)</f>
        <v>0</v>
      </c>
      <c r="E69" s="362">
        <f>IFERROR(VLOOKUP(C69,'تقرير المصروفات حسب الشهر'!$C$135:$AD$244,24,FALSE),0)</f>
        <v>0</v>
      </c>
      <c r="F69" s="362">
        <f>IFERROR(VLOOKUP(C69,'تقرير المصروفات حسب الشهر'!$C$261:$AD$368,24,FALSE),0)</f>
        <v>0</v>
      </c>
      <c r="G69" s="362">
        <f>IFERROR(VLOOKUP(C69,'تقرير المصروفات حسب الشهر'!$C$387:$AD$495,24,FALSE),0)</f>
        <v>0</v>
      </c>
      <c r="H69" s="362">
        <f>IFERROR(VLOOKUP(C69,'تقرير المصروفات حسب الشهر'!$C$512:$AD$620,24,FALSE),0)</f>
        <v>0</v>
      </c>
      <c r="I69" s="362">
        <f>IFERROR(VLOOKUP(C69,'تقرير المصروفات حسب الشهر'!$C$637:$AD$746,24,FALSE),0)</f>
        <v>0</v>
      </c>
      <c r="J69" s="362">
        <f>IFERROR(VLOOKUP(C69,'تقرير المصروفات حسب الشهر'!$C$763:$AD$872,24,FALSE),0)</f>
        <v>0</v>
      </c>
      <c r="K69" s="362">
        <f>IFERROR(VLOOKUP(C69,'تقرير المصروفات حسب الشهر'!$C$890:$AD$999,24,FALSE),0)</f>
        <v>0</v>
      </c>
      <c r="L69" s="362">
        <f>IFERROR(VLOOKUP(C69,'تقرير المصروفات حسب الشهر'!$C$1016:$AD$1126,24,FALSE),0)</f>
        <v>0</v>
      </c>
      <c r="M69" s="376">
        <f>IFERROR(VLOOKUP(C69,'تقرير المصروفات حسب الشهر'!$C$1143:$AD$1254,24,FALSE),0)</f>
        <v>0</v>
      </c>
      <c r="N69" s="376">
        <f>IFERROR(VLOOKUP(C69,'تقرير المصروفات حسب الشهر'!$C$1270:$AD$1381,24,FALSE),0)</f>
        <v>0</v>
      </c>
      <c r="O69" s="376">
        <f>IFERROR(VLOOKUP(C69,'تقرير المصروفات حسب الشهر'!$C$1397:$AI$1512,24,FALSE),0)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الشهر'!$C$10:$AD$119,24,FALSE),0)</f>
        <v>0</v>
      </c>
      <c r="E70" s="362">
        <f>IFERROR(VLOOKUP(C70,'تقرير المصروفات حسب الشهر'!$C$135:$AD$244,24,FALSE),0)</f>
        <v>0</v>
      </c>
      <c r="F70" s="362">
        <f>IFERROR(VLOOKUP(C70,'تقرير المصروفات حسب الشهر'!$C$261:$AD$368,24,FALSE),0)</f>
        <v>0</v>
      </c>
      <c r="G70" s="362">
        <f>IFERROR(VLOOKUP(C70,'تقرير المصروفات حسب الشهر'!$C$387:$AD$495,24,FALSE),0)</f>
        <v>0</v>
      </c>
      <c r="H70" s="362">
        <f>IFERROR(VLOOKUP(C70,'تقرير المصروفات حسب الشهر'!$C$512:$AD$620,24,FALSE),0)</f>
        <v>0</v>
      </c>
      <c r="I70" s="362">
        <f>IFERROR(VLOOKUP(C70,'تقرير المصروفات حسب الشهر'!$C$637:$AD$746,24,FALSE),0)</f>
        <v>0</v>
      </c>
      <c r="J70" s="362">
        <f>IFERROR(VLOOKUP(C70,'تقرير المصروفات حسب الشهر'!$C$763:$AD$872,24,FALSE),0)</f>
        <v>0</v>
      </c>
      <c r="K70" s="362">
        <f>IFERROR(VLOOKUP(C70,'تقرير المصروفات حسب الشهر'!$C$890:$AD$999,24,FALSE),0)</f>
        <v>0</v>
      </c>
      <c r="L70" s="362">
        <f>IFERROR(VLOOKUP(C70,'تقرير المصروفات حسب الشهر'!$C$1016:$AD$1126,24,FALSE),0)</f>
        <v>0</v>
      </c>
      <c r="M70" s="376">
        <f>IFERROR(VLOOKUP(C70,'تقرير المصروفات حسب الشهر'!$C$1143:$AD$1254,24,FALSE),0)</f>
        <v>0</v>
      </c>
      <c r="N70" s="376">
        <f>IFERROR(VLOOKUP(C70,'تقرير المصروفات حسب الشهر'!$C$1270:$AD$1381,24,FALSE),0)</f>
        <v>0</v>
      </c>
      <c r="O70" s="376">
        <f>IFERROR(VLOOKUP(C70,'تقرير المصروفات حسب الشهر'!$C$1397:$AI$1512,24,FALSE),0)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الشهر'!$C$10:$AD$119,24,FALSE),0)</f>
        <v>0</v>
      </c>
      <c r="E71" s="362">
        <f>IFERROR(VLOOKUP(C71,'تقرير المصروفات حسب الشهر'!$C$135:$AD$244,24,FALSE),0)</f>
        <v>0</v>
      </c>
      <c r="F71" s="362">
        <f>IFERROR(VLOOKUP(C71,'تقرير المصروفات حسب الشهر'!$C$261:$AD$368,24,FALSE),0)</f>
        <v>0</v>
      </c>
      <c r="G71" s="362">
        <f>IFERROR(VLOOKUP(C71,'تقرير المصروفات حسب الشهر'!$C$387:$AD$495,24,FALSE),0)</f>
        <v>0</v>
      </c>
      <c r="H71" s="362">
        <f>IFERROR(VLOOKUP(C71,'تقرير المصروفات حسب الشهر'!$C$512:$AD$620,24,FALSE),0)</f>
        <v>0</v>
      </c>
      <c r="I71" s="362">
        <f>IFERROR(VLOOKUP(C71,'تقرير المصروفات حسب الشهر'!$C$637:$AD$746,24,FALSE),0)</f>
        <v>0</v>
      </c>
      <c r="J71" s="362">
        <f>IFERROR(VLOOKUP(C71,'تقرير المصروفات حسب الشهر'!$C$763:$AD$872,24,FALSE),0)</f>
        <v>0</v>
      </c>
      <c r="K71" s="362">
        <f>IFERROR(VLOOKUP(C71,'تقرير المصروفات حسب الشهر'!$C$890:$AD$999,24,FALSE),0)</f>
        <v>0</v>
      </c>
      <c r="L71" s="362">
        <f>IFERROR(VLOOKUP(C71,'تقرير المصروفات حسب الشهر'!$C$1016:$AD$1126,24,FALSE),0)</f>
        <v>0</v>
      </c>
      <c r="M71" s="376">
        <f>IFERROR(VLOOKUP(C71,'تقرير المصروفات حسب الشهر'!$C$1143:$AD$1254,24,FALSE),0)</f>
        <v>0</v>
      </c>
      <c r="N71" s="376">
        <f>IFERROR(VLOOKUP(C71,'تقرير المصروفات حسب الشهر'!$C$1270:$AD$1381,24,FALSE),0)</f>
        <v>0</v>
      </c>
      <c r="O71" s="376">
        <f>IFERROR(VLOOKUP(C71,'تقرير المصروفات حسب الشهر'!$C$1397:$AI$1512,24,FALSE),0)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الشهر'!$C$10:$AD$119,24,FALSE),0)</f>
        <v>0</v>
      </c>
      <c r="E72" s="362">
        <f>IFERROR(VLOOKUP(C72,'تقرير المصروفات حسب الشهر'!$C$135:$AD$244,24,FALSE),0)</f>
        <v>0</v>
      </c>
      <c r="F72" s="362">
        <f>IFERROR(VLOOKUP(C72,'تقرير المصروفات حسب الشهر'!$C$261:$AD$368,24,FALSE),0)</f>
        <v>0</v>
      </c>
      <c r="G72" s="362">
        <f>IFERROR(VLOOKUP(C72,'تقرير المصروفات حسب الشهر'!$C$387:$AD$495,24,FALSE),0)</f>
        <v>0</v>
      </c>
      <c r="H72" s="362">
        <f>IFERROR(VLOOKUP(C72,'تقرير المصروفات حسب الشهر'!$C$512:$AD$620,24,FALSE),0)</f>
        <v>0</v>
      </c>
      <c r="I72" s="362">
        <f>IFERROR(VLOOKUP(C72,'تقرير المصروفات حسب الشهر'!$C$637:$AD$746,24,FALSE),0)</f>
        <v>0</v>
      </c>
      <c r="J72" s="362">
        <f>IFERROR(VLOOKUP(C72,'تقرير المصروفات حسب الشهر'!$C$763:$AD$872,24,FALSE),0)</f>
        <v>0</v>
      </c>
      <c r="K72" s="362">
        <f>IFERROR(VLOOKUP(C72,'تقرير المصروفات حسب الشهر'!$C$890:$AD$999,24,FALSE),0)</f>
        <v>0</v>
      </c>
      <c r="L72" s="362">
        <f>IFERROR(VLOOKUP(C72,'تقرير المصروفات حسب الشهر'!$C$1016:$AD$1126,24,FALSE),0)</f>
        <v>0</v>
      </c>
      <c r="M72" s="376">
        <f>IFERROR(VLOOKUP(C72,'تقرير المصروفات حسب الشهر'!$C$1143:$AD$1254,24,FALSE),0)</f>
        <v>0</v>
      </c>
      <c r="N72" s="376">
        <f>IFERROR(VLOOKUP(C72,'تقرير المصروفات حسب الشهر'!$C$1270:$AD$1381,24,FALSE),0)</f>
        <v>0</v>
      </c>
      <c r="O72" s="376">
        <f>IFERROR(VLOOKUP(C72,'تقرير المصروفات حسب الشهر'!$C$1397:$AI$1512,24,FALSE),0)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الشهر'!$C$10:$AD$119,24,FALSE),0)</f>
        <v>0</v>
      </c>
      <c r="E73" s="362">
        <f>IFERROR(VLOOKUP(C73,'تقرير المصروفات حسب الشهر'!$C$135:$AD$244,24,FALSE),0)</f>
        <v>0</v>
      </c>
      <c r="F73" s="362">
        <f>IFERROR(VLOOKUP(C73,'تقرير المصروفات حسب الشهر'!$C$261:$AD$368,24,FALSE),0)</f>
        <v>0</v>
      </c>
      <c r="G73" s="362">
        <f>IFERROR(VLOOKUP(C73,'تقرير المصروفات حسب الشهر'!$C$387:$AD$495,24,FALSE),0)</f>
        <v>0</v>
      </c>
      <c r="H73" s="362">
        <f>IFERROR(VLOOKUP(C73,'تقرير المصروفات حسب الشهر'!$C$512:$AD$620,24,FALSE),0)</f>
        <v>0</v>
      </c>
      <c r="I73" s="362">
        <f>IFERROR(VLOOKUP(C73,'تقرير المصروفات حسب الشهر'!$C$637:$AD$746,24,FALSE),0)</f>
        <v>0</v>
      </c>
      <c r="J73" s="362">
        <f>IFERROR(VLOOKUP(C73,'تقرير المصروفات حسب الشهر'!$C$763:$AD$872,24,FALSE),0)</f>
        <v>0</v>
      </c>
      <c r="K73" s="362">
        <f>IFERROR(VLOOKUP(C73,'تقرير المصروفات حسب الشهر'!$C$890:$AD$999,24,FALSE),0)</f>
        <v>0</v>
      </c>
      <c r="L73" s="362">
        <f>IFERROR(VLOOKUP(C73,'تقرير المصروفات حسب الشهر'!$C$1016:$AD$1126,24,FALSE),0)</f>
        <v>0</v>
      </c>
      <c r="M73" s="376">
        <f>IFERROR(VLOOKUP(C73,'تقرير المصروفات حسب الشهر'!$C$1143:$AD$1254,24,FALSE),0)</f>
        <v>0</v>
      </c>
      <c r="N73" s="376">
        <f>IFERROR(VLOOKUP(C73,'تقرير المصروفات حسب الشهر'!$C$1270:$AD$1381,24,FALSE),0)</f>
        <v>0</v>
      </c>
      <c r="O73" s="376">
        <f>IFERROR(VLOOKUP(C73,'تقرير المصروفات حسب الشهر'!$C$1397:$AI$1512,24,FALSE),0)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الشهر'!$C$10:$AD$119,24,FALSE),0)</f>
        <v>0</v>
      </c>
      <c r="E74" s="362">
        <f>IFERROR(VLOOKUP(C74,'تقرير المصروفات حسب الشهر'!$C$135:$AD$244,24,FALSE),0)</f>
        <v>0</v>
      </c>
      <c r="F74" s="362">
        <f>IFERROR(VLOOKUP(C74,'تقرير المصروفات حسب الشهر'!$C$261:$AD$368,24,FALSE),0)</f>
        <v>0</v>
      </c>
      <c r="G74" s="362">
        <f>IFERROR(VLOOKUP(C74,'تقرير المصروفات حسب الشهر'!$C$387:$AD$495,24,FALSE),0)</f>
        <v>0</v>
      </c>
      <c r="H74" s="362">
        <f>IFERROR(VLOOKUP(C74,'تقرير المصروفات حسب الشهر'!$C$512:$AD$620,24,FALSE),0)</f>
        <v>0</v>
      </c>
      <c r="I74" s="362">
        <f>IFERROR(VLOOKUP(C74,'تقرير المصروفات حسب الشهر'!$C$637:$AD$746,24,FALSE),0)</f>
        <v>0</v>
      </c>
      <c r="J74" s="362">
        <f>IFERROR(VLOOKUP(C74,'تقرير المصروفات حسب الشهر'!$C$763:$AD$872,24,FALSE),0)</f>
        <v>0</v>
      </c>
      <c r="K74" s="362">
        <f>IFERROR(VLOOKUP(C74,'تقرير المصروفات حسب الشهر'!$C$890:$AD$999,24,FALSE),0)</f>
        <v>0</v>
      </c>
      <c r="L74" s="362">
        <f>IFERROR(VLOOKUP(C74,'تقرير المصروفات حسب الشهر'!$C$1016:$AD$1126,24,FALSE),0)</f>
        <v>0</v>
      </c>
      <c r="M74" s="376">
        <f>IFERROR(VLOOKUP(C74,'تقرير المصروفات حسب الشهر'!$C$1143:$AD$1254,24,FALSE),0)</f>
        <v>0</v>
      </c>
      <c r="N74" s="376">
        <f>IFERROR(VLOOKUP(C74,'تقرير المصروفات حسب الشهر'!$C$1270:$AD$1381,24,FALSE),0)</f>
        <v>0</v>
      </c>
      <c r="O74" s="376">
        <f>IFERROR(VLOOKUP(C74,'تقرير المصروفات حسب الشهر'!$C$1397:$AI$1512,24,FALSE),0)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الشهر'!$C$10:$AD$119,24,FALSE),0)</f>
        <v>0</v>
      </c>
      <c r="E75" s="362">
        <f>IFERROR(VLOOKUP(C75,'تقرير المصروفات حسب الشهر'!$C$135:$AD$244,24,FALSE),0)</f>
        <v>0</v>
      </c>
      <c r="F75" s="362">
        <f>IFERROR(VLOOKUP(C75,'تقرير المصروفات حسب الشهر'!$C$261:$AD$368,24,FALSE),0)</f>
        <v>0</v>
      </c>
      <c r="G75" s="362">
        <f>IFERROR(VLOOKUP(C75,'تقرير المصروفات حسب الشهر'!$C$387:$AD$495,24,FALSE),0)</f>
        <v>0</v>
      </c>
      <c r="H75" s="362">
        <f>IFERROR(VLOOKUP(C75,'تقرير المصروفات حسب الشهر'!$C$512:$AD$620,24,FALSE),0)</f>
        <v>0</v>
      </c>
      <c r="I75" s="362">
        <f>IFERROR(VLOOKUP(C75,'تقرير المصروفات حسب الشهر'!$C$637:$AD$746,24,FALSE),0)</f>
        <v>0</v>
      </c>
      <c r="J75" s="362">
        <f>IFERROR(VLOOKUP(C75,'تقرير المصروفات حسب الشهر'!$C$763:$AD$872,24,FALSE),0)</f>
        <v>0</v>
      </c>
      <c r="K75" s="362">
        <f>IFERROR(VLOOKUP(C75,'تقرير المصروفات حسب الشهر'!$C$890:$AD$999,24,FALSE),0)</f>
        <v>0</v>
      </c>
      <c r="L75" s="362">
        <f>IFERROR(VLOOKUP(C75,'تقرير المصروفات حسب الشهر'!$C$1016:$AD$1126,24,FALSE),0)</f>
        <v>0</v>
      </c>
      <c r="M75" s="376">
        <f>IFERROR(VLOOKUP(C75,'تقرير المصروفات حسب الشهر'!$C$1143:$AD$1254,24,FALSE),0)</f>
        <v>0</v>
      </c>
      <c r="N75" s="376">
        <f>IFERROR(VLOOKUP(C75,'تقرير المصروفات حسب الشهر'!$C$1270:$AD$1381,24,FALSE),0)</f>
        <v>0</v>
      </c>
      <c r="O75" s="376">
        <f>IFERROR(VLOOKUP(C75,'تقرير المصروفات حسب الشهر'!$C$1397:$AI$1512,24,FALSE),0)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الشهر'!$C$10:$AD$119,24,FALSE),0)</f>
        <v>0</v>
      </c>
      <c r="E76" s="362">
        <f>IFERROR(VLOOKUP(C76,'تقرير المصروفات حسب الشهر'!$C$135:$AD$244,24,FALSE),0)</f>
        <v>0</v>
      </c>
      <c r="F76" s="362">
        <f>IFERROR(VLOOKUP(C76,'تقرير المصروفات حسب الشهر'!$C$261:$AD$368,24,FALSE),0)</f>
        <v>0</v>
      </c>
      <c r="G76" s="362">
        <f>IFERROR(VLOOKUP(C76,'تقرير المصروفات حسب الشهر'!$C$387:$AD$495,24,FALSE),0)</f>
        <v>0</v>
      </c>
      <c r="H76" s="362">
        <f>IFERROR(VLOOKUP(C76,'تقرير المصروفات حسب الشهر'!$C$512:$AD$620,24,FALSE),0)</f>
        <v>0</v>
      </c>
      <c r="I76" s="362">
        <f>IFERROR(VLOOKUP(C76,'تقرير المصروفات حسب الشهر'!$C$637:$AD$746,24,FALSE),0)</f>
        <v>0</v>
      </c>
      <c r="J76" s="362">
        <f>IFERROR(VLOOKUP(C76,'تقرير المصروفات حسب الشهر'!$C$763:$AD$872,24,FALSE),0)</f>
        <v>0</v>
      </c>
      <c r="K76" s="362">
        <f>IFERROR(VLOOKUP(C76,'تقرير المصروفات حسب الشهر'!$C$890:$AD$999,24,FALSE),0)</f>
        <v>0</v>
      </c>
      <c r="L76" s="362">
        <f>IFERROR(VLOOKUP(C76,'تقرير المصروفات حسب الشهر'!$C$1016:$AD$1126,24,FALSE),0)</f>
        <v>0</v>
      </c>
      <c r="M76" s="376">
        <f>IFERROR(VLOOKUP(C76,'تقرير المصروفات حسب الشهر'!$C$1143:$AD$1254,24,FALSE),0)</f>
        <v>0</v>
      </c>
      <c r="N76" s="376">
        <f>IFERROR(VLOOKUP(C76,'تقرير المصروفات حسب الشهر'!$C$1270:$AD$1381,24,FALSE),0)</f>
        <v>0</v>
      </c>
      <c r="O76" s="376">
        <f>IFERROR(VLOOKUP(C76,'تقرير المصروفات حسب الشهر'!$C$1397:$AI$1512,24,FALSE),0)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الشهر'!$C$10:$AD$119,24,FALSE),0)</f>
        <v>0</v>
      </c>
      <c r="E77" s="362">
        <f>IFERROR(VLOOKUP(C77,'تقرير المصروفات حسب الشهر'!$C$135:$AD$244,24,FALSE),0)</f>
        <v>0</v>
      </c>
      <c r="F77" s="362">
        <f>IFERROR(VLOOKUP(C77,'تقرير المصروفات حسب الشهر'!$C$261:$AD$368,24,FALSE),0)</f>
        <v>0</v>
      </c>
      <c r="G77" s="362">
        <f>IFERROR(VLOOKUP(C77,'تقرير المصروفات حسب الشهر'!$C$387:$AD$495,24,FALSE),0)</f>
        <v>0</v>
      </c>
      <c r="H77" s="362">
        <f>IFERROR(VLOOKUP(C77,'تقرير المصروفات حسب الشهر'!$C$512:$AD$620,24,FALSE),0)</f>
        <v>0</v>
      </c>
      <c r="I77" s="362">
        <f>IFERROR(VLOOKUP(C77,'تقرير المصروفات حسب الشهر'!$C$637:$AD$746,24,FALSE),0)</f>
        <v>0</v>
      </c>
      <c r="J77" s="362">
        <f>IFERROR(VLOOKUP(C77,'تقرير المصروفات حسب الشهر'!$C$763:$AD$872,24,FALSE),0)</f>
        <v>0</v>
      </c>
      <c r="K77" s="362">
        <f>IFERROR(VLOOKUP(C77,'تقرير المصروفات حسب الشهر'!$C$890:$AD$999,24,FALSE),0)</f>
        <v>0</v>
      </c>
      <c r="L77" s="362">
        <f>IFERROR(VLOOKUP(C77,'تقرير المصروفات حسب الشهر'!$C$1016:$AD$1126,24,FALSE),0)</f>
        <v>0</v>
      </c>
      <c r="M77" s="376">
        <f>IFERROR(VLOOKUP(C77,'تقرير المصروفات حسب الشهر'!$C$1143:$AD$1254,24,FALSE),0)</f>
        <v>0</v>
      </c>
      <c r="N77" s="376">
        <f>IFERROR(VLOOKUP(C77,'تقرير المصروفات حسب الشهر'!$C$1270:$AD$1381,24,FALSE),0)</f>
        <v>0</v>
      </c>
      <c r="O77" s="376">
        <f>IFERROR(VLOOKUP(C77,'تقرير المصروفات حسب الشهر'!$C$1397:$AI$1512,24,FALSE),0)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الشهر'!$C$10:$AD$119,24,FALSE),0)</f>
        <v>0</v>
      </c>
      <c r="E78" s="362">
        <f>IFERROR(VLOOKUP(C78,'تقرير المصروفات حسب الشهر'!$C$135:$AD$244,24,FALSE),0)</f>
        <v>0</v>
      </c>
      <c r="F78" s="362">
        <f>IFERROR(VLOOKUP(C78,'تقرير المصروفات حسب الشهر'!$C$261:$AD$368,24,FALSE),0)</f>
        <v>0</v>
      </c>
      <c r="G78" s="362">
        <f>IFERROR(VLOOKUP(C78,'تقرير المصروفات حسب الشهر'!$C$387:$AD$495,24,FALSE),0)</f>
        <v>0</v>
      </c>
      <c r="H78" s="362">
        <f>IFERROR(VLOOKUP(C78,'تقرير المصروفات حسب الشهر'!$C$512:$AD$620,24,FALSE),0)</f>
        <v>0</v>
      </c>
      <c r="I78" s="362">
        <f>IFERROR(VLOOKUP(C78,'تقرير المصروفات حسب الشهر'!$C$637:$AD$746,24,FALSE),0)</f>
        <v>0</v>
      </c>
      <c r="J78" s="362">
        <f>IFERROR(VLOOKUP(C78,'تقرير المصروفات حسب الشهر'!$C$763:$AD$872,24,FALSE),0)</f>
        <v>0</v>
      </c>
      <c r="K78" s="362">
        <f>IFERROR(VLOOKUP(C78,'تقرير المصروفات حسب الشهر'!$C$890:$AD$999,24,FALSE),0)</f>
        <v>0</v>
      </c>
      <c r="L78" s="362">
        <f>IFERROR(VLOOKUP(C78,'تقرير المصروفات حسب الشهر'!$C$1016:$AD$1126,24,FALSE),0)</f>
        <v>0</v>
      </c>
      <c r="M78" s="376">
        <f>IFERROR(VLOOKUP(C78,'تقرير المصروفات حسب الشهر'!$C$1143:$AD$1254,24,FALSE),0)</f>
        <v>0</v>
      </c>
      <c r="N78" s="376">
        <f>IFERROR(VLOOKUP(C78,'تقرير المصروفات حسب الشهر'!$C$1270:$AD$1381,24,FALSE),0)</f>
        <v>0</v>
      </c>
      <c r="O78" s="376">
        <f>IFERROR(VLOOKUP(C78,'تقرير المصروفات حسب الشهر'!$C$1397:$AI$1512,24,FALSE),0)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الشهر'!$C$10:$AD$119,24,FALSE),0)</f>
        <v>0</v>
      </c>
      <c r="E79" s="362">
        <f>IFERROR(VLOOKUP(C79,'تقرير المصروفات حسب الشهر'!$C$135:$AD$244,24,FALSE),0)</f>
        <v>0</v>
      </c>
      <c r="F79" s="362">
        <f>IFERROR(VLOOKUP(C79,'تقرير المصروفات حسب الشهر'!$C$261:$AD$368,24,FALSE),0)</f>
        <v>0</v>
      </c>
      <c r="G79" s="362">
        <f>IFERROR(VLOOKUP(C79,'تقرير المصروفات حسب الشهر'!$C$387:$AD$495,24,FALSE),0)</f>
        <v>0</v>
      </c>
      <c r="H79" s="362">
        <f>IFERROR(VLOOKUP(C79,'تقرير المصروفات حسب الشهر'!$C$512:$AD$620,24,FALSE),0)</f>
        <v>0</v>
      </c>
      <c r="I79" s="362">
        <f>IFERROR(VLOOKUP(C79,'تقرير المصروفات حسب الشهر'!$C$637:$AD$746,24,FALSE),0)</f>
        <v>0</v>
      </c>
      <c r="J79" s="362">
        <f>IFERROR(VLOOKUP(C79,'تقرير المصروفات حسب الشهر'!$C$763:$AD$872,24,FALSE),0)</f>
        <v>0</v>
      </c>
      <c r="K79" s="362">
        <f>IFERROR(VLOOKUP(C79,'تقرير المصروفات حسب الشهر'!$C$890:$AD$999,24,FALSE),0)</f>
        <v>0</v>
      </c>
      <c r="L79" s="362">
        <f>IFERROR(VLOOKUP(C79,'تقرير المصروفات حسب الشهر'!$C$1016:$AD$1126,24,FALSE),0)</f>
        <v>0</v>
      </c>
      <c r="M79" s="376">
        <f>IFERROR(VLOOKUP(C79,'تقرير المصروفات حسب الشهر'!$C$1143:$AD$1254,24,FALSE),0)</f>
        <v>0</v>
      </c>
      <c r="N79" s="376">
        <f>IFERROR(VLOOKUP(C79,'تقرير المصروفات حسب الشهر'!$C$1270:$AD$1381,24,FALSE),0)</f>
        <v>0</v>
      </c>
      <c r="O79" s="376">
        <f>IFERROR(VLOOKUP(C79,'تقرير المصروفات حسب الشهر'!$C$1397:$AI$1512,24,FALSE),0)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الشهر'!$C$10:$AD$119,24,FALSE),0)</f>
        <v>0</v>
      </c>
      <c r="E80" s="362">
        <f>IFERROR(VLOOKUP(C80,'تقرير المصروفات حسب الشهر'!$C$135:$AD$244,24,FALSE),0)</f>
        <v>0</v>
      </c>
      <c r="F80" s="362">
        <f>IFERROR(VLOOKUP(C80,'تقرير المصروفات حسب الشهر'!$C$261:$AD$368,24,FALSE),0)</f>
        <v>0</v>
      </c>
      <c r="G80" s="362">
        <f>IFERROR(VLOOKUP(C80,'تقرير المصروفات حسب الشهر'!$C$387:$AD$495,24,FALSE),0)</f>
        <v>0</v>
      </c>
      <c r="H80" s="362">
        <f>IFERROR(VLOOKUP(C80,'تقرير المصروفات حسب الشهر'!$C$512:$AD$620,24,FALSE),0)</f>
        <v>0</v>
      </c>
      <c r="I80" s="362">
        <f>IFERROR(VLOOKUP(C80,'تقرير المصروفات حسب الشهر'!$C$637:$AD$746,24,FALSE),0)</f>
        <v>0</v>
      </c>
      <c r="J80" s="362">
        <f>IFERROR(VLOOKUP(C80,'تقرير المصروفات حسب الشهر'!$C$763:$AD$872,24,FALSE),0)</f>
        <v>0</v>
      </c>
      <c r="K80" s="362">
        <f>IFERROR(VLOOKUP(C80,'تقرير المصروفات حسب الشهر'!$C$890:$AD$999,24,FALSE),0)</f>
        <v>0</v>
      </c>
      <c r="L80" s="362">
        <f>IFERROR(VLOOKUP(C80,'تقرير المصروفات حسب الشهر'!$C$1016:$AD$1126,24,FALSE),0)</f>
        <v>0</v>
      </c>
      <c r="M80" s="376">
        <f>IFERROR(VLOOKUP(C80,'تقرير المصروفات حسب الشهر'!$C$1143:$AD$1254,24,FALSE),0)</f>
        <v>0</v>
      </c>
      <c r="N80" s="376">
        <f>IFERROR(VLOOKUP(C80,'تقرير المصروفات حسب الشهر'!$C$1270:$AD$1381,24,FALSE),0)</f>
        <v>0</v>
      </c>
      <c r="O80" s="376">
        <f>IFERROR(VLOOKUP(C80,'تقرير المصروفات حسب الشهر'!$C$1397:$AI$1512,24,FALSE),0)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الشهر'!$C$10:$AD$119,24,FALSE),0)</f>
        <v>316</v>
      </c>
      <c r="E81" s="362">
        <f>IFERROR(VLOOKUP(C81,'تقرير المصروفات حسب الشهر'!$C$135:$AD$244,24,FALSE),0)</f>
        <v>100</v>
      </c>
      <c r="F81" s="362">
        <f>IFERROR(VLOOKUP(C81,'تقرير المصروفات حسب الشهر'!$C$261:$AD$368,24,FALSE),0)</f>
        <v>100</v>
      </c>
      <c r="G81" s="362">
        <f>IFERROR(VLOOKUP(C81,'تقرير المصروفات حسب الشهر'!$C$387:$AD$495,24,FALSE),0)</f>
        <v>100</v>
      </c>
      <c r="H81" s="362">
        <f>IFERROR(VLOOKUP(C81,'تقرير المصروفات حسب الشهر'!$C$512:$AD$620,24,FALSE),0)</f>
        <v>100</v>
      </c>
      <c r="I81" s="362">
        <f>IFERROR(VLOOKUP(C81,'تقرير المصروفات حسب الشهر'!$C$637:$AD$746,24,FALSE),0)</f>
        <v>100</v>
      </c>
      <c r="J81" s="362">
        <f>IFERROR(VLOOKUP(C81,'تقرير المصروفات حسب الشهر'!$C$763:$AD$872,24,FALSE),0)</f>
        <v>0</v>
      </c>
      <c r="K81" s="362">
        <f>IFERROR(VLOOKUP(C81,'تقرير المصروفات حسب الشهر'!$C$890:$AD$999,24,FALSE),0)</f>
        <v>300</v>
      </c>
      <c r="L81" s="362">
        <f>IFERROR(VLOOKUP(C81,'تقرير المصروفات حسب الشهر'!$C$1016:$AD$1126,24,FALSE),0)</f>
        <v>200</v>
      </c>
      <c r="M81" s="376">
        <f>IFERROR(VLOOKUP(C81,'تقرير المصروفات حسب الشهر'!$C$1143:$AD$1254,24,FALSE),0)</f>
        <v>200</v>
      </c>
      <c r="N81" s="376">
        <f>IFERROR(VLOOKUP(C81,'تقرير المصروفات حسب الشهر'!$C$1270:$AD$1381,24,FALSE),0)</f>
        <v>200</v>
      </c>
      <c r="O81" s="376">
        <f>IFERROR(VLOOKUP(C81,'تقرير المصروفات حسب الشهر'!$C$1397:$AI$1512,24,FALSE),0)</f>
        <v>0</v>
      </c>
      <c r="P81" s="364">
        <f t="shared" si="5"/>
        <v>1716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الشهر'!$C$10:$AD$119,24,FALSE),0)</f>
        <v>0</v>
      </c>
      <c r="E82" s="362">
        <f>IFERROR(VLOOKUP(C82,'تقرير المصروفات حسب الشهر'!$C$135:$AD$244,24,FALSE),0)</f>
        <v>0</v>
      </c>
      <c r="F82" s="362">
        <f>IFERROR(VLOOKUP(C82,'تقرير المصروفات حسب الشهر'!$C$261:$AD$368,24,FALSE),0)</f>
        <v>0</v>
      </c>
      <c r="G82" s="362">
        <f>IFERROR(VLOOKUP(C82,'تقرير المصروفات حسب الشهر'!$C$387:$AD$495,24,FALSE),0)</f>
        <v>0</v>
      </c>
      <c r="H82" s="362">
        <f>IFERROR(VLOOKUP(C82,'تقرير المصروفات حسب الشهر'!$C$512:$AD$620,24,FALSE),0)</f>
        <v>0</v>
      </c>
      <c r="I82" s="362">
        <f>IFERROR(VLOOKUP(C82,'تقرير المصروفات حسب الشهر'!$C$637:$AD$746,24,FALSE),0)</f>
        <v>0</v>
      </c>
      <c r="J82" s="362">
        <f>IFERROR(VLOOKUP(C82,'تقرير المصروفات حسب الشهر'!$C$763:$AD$872,24,FALSE),0)</f>
        <v>0</v>
      </c>
      <c r="K82" s="362">
        <f>IFERROR(VLOOKUP(C82,'تقرير المصروفات حسب الشهر'!$C$890:$AD$999,24,FALSE),0)</f>
        <v>0</v>
      </c>
      <c r="L82" s="362">
        <f>IFERROR(VLOOKUP(C82,'تقرير المصروفات حسب الشهر'!$C$1016:$AD$1126,24,FALSE),0)</f>
        <v>0</v>
      </c>
      <c r="M82" s="376">
        <f>IFERROR(VLOOKUP(C82,'تقرير المصروفات حسب الشهر'!$C$1143:$AD$1254,24,FALSE),0)</f>
        <v>0</v>
      </c>
      <c r="N82" s="376">
        <f>IFERROR(VLOOKUP(C82,'تقرير المصروفات حسب الشهر'!$C$1270:$AD$1381,24,FALSE),0)</f>
        <v>0</v>
      </c>
      <c r="O82" s="376">
        <f>IFERROR(VLOOKUP(C82,'تقرير المصروفات حسب الشهر'!$C$1397:$AI$1512,24,FALSE),0)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الشهر'!$C$10:$AD$119,24,FALSE),0)</f>
        <v>0</v>
      </c>
      <c r="E83" s="362">
        <f>IFERROR(VLOOKUP(C83,'تقرير المصروفات حسب الشهر'!$C$135:$AD$244,24,FALSE),0)</f>
        <v>0</v>
      </c>
      <c r="F83" s="362">
        <f>IFERROR(VLOOKUP(C83,'تقرير المصروفات حسب الشهر'!$C$261:$AD$368,24,FALSE),0)</f>
        <v>0</v>
      </c>
      <c r="G83" s="362">
        <f>IFERROR(VLOOKUP(C83,'تقرير المصروفات حسب الشهر'!$C$387:$AD$495,24,FALSE),0)</f>
        <v>0</v>
      </c>
      <c r="H83" s="362">
        <f>IFERROR(VLOOKUP(C83,'تقرير المصروفات حسب الشهر'!$C$512:$AD$620,24,FALSE),0)</f>
        <v>0</v>
      </c>
      <c r="I83" s="362">
        <f>IFERROR(VLOOKUP(C83,'تقرير المصروفات حسب الشهر'!$C$637:$AD$746,24,FALSE),0)</f>
        <v>0</v>
      </c>
      <c r="J83" s="362">
        <f>IFERROR(VLOOKUP(C83,'تقرير المصروفات حسب الشهر'!$C$763:$AD$872,24,FALSE),0)</f>
        <v>0</v>
      </c>
      <c r="K83" s="362">
        <f>IFERROR(VLOOKUP(C83,'تقرير المصروفات حسب الشهر'!$C$890:$AD$999,24,FALSE),0)</f>
        <v>0</v>
      </c>
      <c r="L83" s="362">
        <f>IFERROR(VLOOKUP(C83,'تقرير المصروفات حسب الشهر'!$C$1016:$AD$1126,24,FALSE),0)</f>
        <v>0</v>
      </c>
      <c r="M83" s="376">
        <f>IFERROR(VLOOKUP(C83,'تقرير المصروفات حسب الشهر'!$C$1143:$AD$1254,24,FALSE),0)</f>
        <v>0</v>
      </c>
      <c r="N83" s="376">
        <f>IFERROR(VLOOKUP(C83,'تقرير المصروفات حسب الشهر'!$C$1270:$AD$1381,24,FALSE),0)</f>
        <v>0</v>
      </c>
      <c r="O83" s="376">
        <f>IFERROR(VLOOKUP(C83,'تقرير المصروفات حسب الشهر'!$C$1397:$AI$1512,24,FALSE),0)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الشهر'!$C$10:$AD$119,24,FALSE),0)</f>
        <v>0</v>
      </c>
      <c r="E84" s="362">
        <f>IFERROR(VLOOKUP(C84,'تقرير المصروفات حسب الشهر'!$C$135:$AD$244,24,FALSE),0)</f>
        <v>0</v>
      </c>
      <c r="F84" s="362">
        <f>IFERROR(VLOOKUP(C84,'تقرير المصروفات حسب الشهر'!$C$261:$AD$368,24,FALSE),0)</f>
        <v>0</v>
      </c>
      <c r="G84" s="362">
        <f>IFERROR(VLOOKUP(C84,'تقرير المصروفات حسب الشهر'!$C$387:$AD$495,24,FALSE),0)</f>
        <v>0</v>
      </c>
      <c r="H84" s="362">
        <f>IFERROR(VLOOKUP(C84,'تقرير المصروفات حسب الشهر'!$C$512:$AD$620,24,FALSE),0)</f>
        <v>0</v>
      </c>
      <c r="I84" s="362">
        <f>IFERROR(VLOOKUP(C84,'تقرير المصروفات حسب الشهر'!$C$637:$AD$746,24,FALSE),0)</f>
        <v>0</v>
      </c>
      <c r="J84" s="362">
        <f>IFERROR(VLOOKUP(C84,'تقرير المصروفات حسب الشهر'!$C$763:$AD$872,24,FALSE),0)</f>
        <v>0</v>
      </c>
      <c r="K84" s="362">
        <f>IFERROR(VLOOKUP(C84,'تقرير المصروفات حسب الشهر'!$C$890:$AD$999,24,FALSE),0)</f>
        <v>0</v>
      </c>
      <c r="L84" s="362">
        <f>IFERROR(VLOOKUP(C84,'تقرير المصروفات حسب الشهر'!$C$1016:$AD$1126,24,FALSE),0)</f>
        <v>0</v>
      </c>
      <c r="M84" s="376">
        <f>IFERROR(VLOOKUP(C84,'تقرير المصروفات حسب الشهر'!$C$1143:$AD$1254,24,FALSE),0)</f>
        <v>0</v>
      </c>
      <c r="N84" s="376">
        <f>IFERROR(VLOOKUP(C84,'تقرير المصروفات حسب الشهر'!$C$1270:$AD$1381,24,FALSE),0)</f>
        <v>0</v>
      </c>
      <c r="O84" s="376">
        <f>IFERROR(VLOOKUP(C84,'تقرير المصروفات حسب الشهر'!$C$1397:$AI$1512,24,FALSE),0)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الشهر'!$C$10:$AD$119,24,FALSE),0)</f>
        <v>0</v>
      </c>
      <c r="E85" s="362">
        <f>IFERROR(VLOOKUP(C85,'تقرير المصروفات حسب الشهر'!$C$135:$AD$244,24,FALSE),0)</f>
        <v>0</v>
      </c>
      <c r="F85" s="362">
        <f>IFERROR(VLOOKUP(C85,'تقرير المصروفات حسب الشهر'!$C$261:$AD$368,24,FALSE),0)</f>
        <v>0</v>
      </c>
      <c r="G85" s="362">
        <f>IFERROR(VLOOKUP(C85,'تقرير المصروفات حسب الشهر'!$C$387:$AD$495,24,FALSE),0)</f>
        <v>0</v>
      </c>
      <c r="H85" s="362">
        <f>IFERROR(VLOOKUP(C85,'تقرير المصروفات حسب الشهر'!$C$512:$AD$620,24,FALSE),0)</f>
        <v>0</v>
      </c>
      <c r="I85" s="362">
        <f>IFERROR(VLOOKUP(C85,'تقرير المصروفات حسب الشهر'!$C$637:$AD$746,24,FALSE),0)</f>
        <v>0</v>
      </c>
      <c r="J85" s="362">
        <f>IFERROR(VLOOKUP(C85,'تقرير المصروفات حسب الشهر'!$C$763:$AD$872,24,FALSE),0)</f>
        <v>0</v>
      </c>
      <c r="K85" s="362">
        <f>IFERROR(VLOOKUP(C85,'تقرير المصروفات حسب الشهر'!$C$890:$AD$999,24,FALSE),0)</f>
        <v>0</v>
      </c>
      <c r="L85" s="362">
        <f>IFERROR(VLOOKUP(C85,'تقرير المصروفات حسب الشهر'!$C$1016:$AD$1126,24,FALSE),0)</f>
        <v>0</v>
      </c>
      <c r="M85" s="376">
        <f>IFERROR(VLOOKUP(C85,'تقرير المصروفات حسب الشهر'!$C$1143:$AD$1254,24,FALSE),0)</f>
        <v>0</v>
      </c>
      <c r="N85" s="376">
        <f>IFERROR(VLOOKUP(C85,'تقرير المصروفات حسب الشهر'!$C$1270:$AD$1381,24,FALSE),0)</f>
        <v>0</v>
      </c>
      <c r="O85" s="376">
        <f>IFERROR(VLOOKUP(C85,'تقرير المصروفات حسب الشهر'!$C$1397:$AI$1512,24,FALSE),0)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الشهر'!$C$10:$AD$119,24,FALSE),0)</f>
        <v>0</v>
      </c>
      <c r="E86" s="362">
        <f>IFERROR(VLOOKUP(C86,'تقرير المصروفات حسب الشهر'!$C$135:$AD$244,24,FALSE),0)</f>
        <v>1959.65</v>
      </c>
      <c r="F86" s="362">
        <f>IFERROR(VLOOKUP(C86,'تقرير المصروفات حسب الشهر'!$C$261:$AD$368,24,FALSE),0)</f>
        <v>0</v>
      </c>
      <c r="G86" s="362">
        <f>IFERROR(VLOOKUP(C86,'تقرير المصروفات حسب الشهر'!$C$387:$AD$495,24,FALSE),0)</f>
        <v>653</v>
      </c>
      <c r="H86" s="362">
        <f>IFERROR(VLOOKUP(C86,'تقرير المصروفات حسب الشهر'!$C$512:$AD$620,24,FALSE),0)</f>
        <v>0</v>
      </c>
      <c r="I86" s="362">
        <f>IFERROR(VLOOKUP(C86,'تقرير المصروفات حسب الشهر'!$C$637:$AD$746,24,FALSE),0)</f>
        <v>0</v>
      </c>
      <c r="J86" s="362">
        <f>IFERROR(VLOOKUP(C86,'تقرير المصروفات حسب الشهر'!$C$763:$AD$872,24,FALSE),0)</f>
        <v>979</v>
      </c>
      <c r="K86" s="362">
        <f>IFERROR(VLOOKUP(C86,'تقرير المصروفات حسب الشهر'!$C$890:$AD$999,24,FALSE),0)</f>
        <v>0</v>
      </c>
      <c r="L86" s="362">
        <f>IFERROR(VLOOKUP(C86,'تقرير المصروفات حسب الشهر'!$C$1016:$AD$1126,24,FALSE),0)</f>
        <v>0</v>
      </c>
      <c r="M86" s="376">
        <f>IFERROR(VLOOKUP(C86,'تقرير المصروفات حسب الشهر'!$C$1143:$AD$1254,24,FALSE),0)</f>
        <v>1075.76</v>
      </c>
      <c r="N86" s="376">
        <f>IFERROR(VLOOKUP(C86,'تقرير المصروفات حسب الشهر'!$C$1270:$AD$1381,24,FALSE),0)</f>
        <v>1105.82</v>
      </c>
      <c r="O86" s="376">
        <f>IFERROR(VLOOKUP(C86,'تقرير المصروفات حسب الشهر'!$C$1397:$AI$1512,24,FALSE),0)</f>
        <v>0</v>
      </c>
      <c r="P86" s="364">
        <f t="shared" si="5"/>
        <v>5773.23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الشهر'!$C$10:$AD$119,24,FALSE),0)</f>
        <v>0</v>
      </c>
      <c r="E87" s="362">
        <f>IFERROR(VLOOKUP(C87,'تقرير المصروفات حسب الشهر'!$C$135:$AD$244,24,FALSE),0)</f>
        <v>0</v>
      </c>
      <c r="F87" s="362">
        <f>IFERROR(VLOOKUP(C87,'تقرير المصروفات حسب الشهر'!$C$261:$AD$368,24,FALSE),0)</f>
        <v>0</v>
      </c>
      <c r="G87" s="362">
        <f>IFERROR(VLOOKUP(C87,'تقرير المصروفات حسب الشهر'!$C$387:$AD$495,24,FALSE),0)</f>
        <v>0</v>
      </c>
      <c r="H87" s="362">
        <f>IFERROR(VLOOKUP(C87,'تقرير المصروفات حسب الشهر'!$C$512:$AD$620,24,FALSE),0)</f>
        <v>0</v>
      </c>
      <c r="I87" s="362">
        <f>IFERROR(VLOOKUP(C87,'تقرير المصروفات حسب الشهر'!$C$637:$AD$746,24,FALSE),0)</f>
        <v>0</v>
      </c>
      <c r="J87" s="362">
        <f>IFERROR(VLOOKUP(C87,'تقرير المصروفات حسب الشهر'!$C$763:$AD$872,24,FALSE),0)</f>
        <v>0</v>
      </c>
      <c r="K87" s="362">
        <f>IFERROR(VLOOKUP(C87,'تقرير المصروفات حسب الشهر'!$C$890:$AD$999,24,FALSE),0)</f>
        <v>0</v>
      </c>
      <c r="L87" s="362">
        <f>IFERROR(VLOOKUP(C87,'تقرير المصروفات حسب الشهر'!$C$1016:$AD$1126,24,FALSE),0)</f>
        <v>0</v>
      </c>
      <c r="M87" s="376">
        <f>IFERROR(VLOOKUP(C87,'تقرير المصروفات حسب الشهر'!$C$1143:$AD$1254,24,FALSE),0)</f>
        <v>0</v>
      </c>
      <c r="N87" s="376">
        <f>IFERROR(VLOOKUP(C87,'تقرير المصروفات حسب الشهر'!$C$1270:$AD$1381,24,FALSE),0)</f>
        <v>0</v>
      </c>
      <c r="O87" s="376">
        <f>IFERROR(VLOOKUP(C87,'تقرير المصروفات حسب الشهر'!$C$1397:$AI$1512,24,FALSE),0)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الشهر'!$C$10:$AD$119,24,FALSE),0)</f>
        <v>0</v>
      </c>
      <c r="E88" s="362">
        <f>IFERROR(VLOOKUP(C88,'تقرير المصروفات حسب الشهر'!$C$135:$AD$244,24,FALSE),0)</f>
        <v>0</v>
      </c>
      <c r="F88" s="362">
        <f>IFERROR(VLOOKUP(C88,'تقرير المصروفات حسب الشهر'!$C$261:$AD$368,24,FALSE),0)</f>
        <v>0</v>
      </c>
      <c r="G88" s="362">
        <f>IFERROR(VLOOKUP(C88,'تقرير المصروفات حسب الشهر'!$C$387:$AD$495,24,FALSE),0)</f>
        <v>0</v>
      </c>
      <c r="H88" s="362">
        <f>IFERROR(VLOOKUP(C88,'تقرير المصروفات حسب الشهر'!$C$512:$AD$620,24,FALSE),0)</f>
        <v>333</v>
      </c>
      <c r="I88" s="362">
        <f>IFERROR(VLOOKUP(C88,'تقرير المصروفات حسب الشهر'!$C$637:$AD$746,24,FALSE),0)</f>
        <v>0</v>
      </c>
      <c r="J88" s="362">
        <f>IFERROR(VLOOKUP(C88,'تقرير المصروفات حسب الشهر'!$C$763:$AD$872,24,FALSE),0)</f>
        <v>0</v>
      </c>
      <c r="K88" s="362">
        <f>IFERROR(VLOOKUP(C88,'تقرير المصروفات حسب الشهر'!$C$890:$AD$999,24,FALSE),0)</f>
        <v>0</v>
      </c>
      <c r="L88" s="362">
        <f>IFERROR(VLOOKUP(C88,'تقرير المصروفات حسب الشهر'!$C$1016:$AD$1126,24,FALSE),0)</f>
        <v>0</v>
      </c>
      <c r="M88" s="376">
        <f>IFERROR(VLOOKUP(C88,'تقرير المصروفات حسب الشهر'!$C$1143:$AD$1254,24,FALSE),0)</f>
        <v>0</v>
      </c>
      <c r="N88" s="376">
        <f>IFERROR(VLOOKUP(C88,'تقرير المصروفات حسب الشهر'!$C$1270:$AD$1381,24,FALSE),0)</f>
        <v>0</v>
      </c>
      <c r="O88" s="376">
        <f>IFERROR(VLOOKUP(C88,'تقرير المصروفات حسب الشهر'!$C$1397:$AI$1512,24,FALSE),0)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الشهر'!$C$10:$AD$119,24,FALSE),0)</f>
        <v>0</v>
      </c>
      <c r="E89" s="362">
        <f>IFERROR(VLOOKUP(C89,'تقرير المصروفات حسب الشهر'!$C$135:$AD$244,24,FALSE),0)</f>
        <v>0</v>
      </c>
      <c r="F89" s="362">
        <f>IFERROR(VLOOKUP(C89,'تقرير المصروفات حسب الشهر'!$C$261:$AD$368,24,FALSE),0)</f>
        <v>0</v>
      </c>
      <c r="G89" s="362">
        <f>IFERROR(VLOOKUP(C89,'تقرير المصروفات حسب الشهر'!$C$387:$AD$495,24,FALSE),0)</f>
        <v>0</v>
      </c>
      <c r="H89" s="362">
        <f>IFERROR(VLOOKUP(C89,'تقرير المصروفات حسب الشهر'!$C$512:$AD$620,24,FALSE),0)</f>
        <v>0</v>
      </c>
      <c r="I89" s="362">
        <f>IFERROR(VLOOKUP(C89,'تقرير المصروفات حسب الشهر'!$C$637:$AD$746,24,FALSE),0)</f>
        <v>0</v>
      </c>
      <c r="J89" s="362">
        <f>IFERROR(VLOOKUP(C89,'تقرير المصروفات حسب الشهر'!$C$763:$AD$872,24,FALSE),0)</f>
        <v>0</v>
      </c>
      <c r="K89" s="362">
        <f>IFERROR(VLOOKUP(C89,'تقرير المصروفات حسب الشهر'!$C$890:$AD$999,24,FALSE),0)</f>
        <v>0</v>
      </c>
      <c r="L89" s="362">
        <f>IFERROR(VLOOKUP(C89,'تقرير المصروفات حسب الشهر'!$C$1016:$AD$1126,24,FALSE),0)</f>
        <v>0</v>
      </c>
      <c r="M89" s="376">
        <f>IFERROR(VLOOKUP(C89,'تقرير المصروفات حسب الشهر'!$C$1143:$AD$1254,24,FALSE),0)</f>
        <v>0</v>
      </c>
      <c r="N89" s="376">
        <f>IFERROR(VLOOKUP(C89,'تقرير المصروفات حسب الشهر'!$C$1270:$AD$1381,24,FALSE),0)</f>
        <v>0</v>
      </c>
      <c r="O89" s="376">
        <f>IFERROR(VLOOKUP(C89,'تقرير المصروفات حسب الشهر'!$C$1397:$AI$1512,24,FALSE),0)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الشهر'!$C$10:$AD$119,24,FALSE),0)</f>
        <v>0</v>
      </c>
      <c r="E90" s="362">
        <f>IFERROR(VLOOKUP(C90,'تقرير المصروفات حسب الشهر'!$C$135:$AD$244,24,FALSE),0)</f>
        <v>0</v>
      </c>
      <c r="F90" s="362">
        <f>IFERROR(VLOOKUP(C90,'تقرير المصروفات حسب الشهر'!$C$261:$AD$368,24,FALSE),0)</f>
        <v>0</v>
      </c>
      <c r="G90" s="362">
        <f>IFERROR(VLOOKUP(C90,'تقرير المصروفات حسب الشهر'!$C$387:$AD$495,24,FALSE),0)</f>
        <v>0</v>
      </c>
      <c r="H90" s="362">
        <f>IFERROR(VLOOKUP(C90,'تقرير المصروفات حسب الشهر'!$C$512:$AD$620,24,FALSE),0)</f>
        <v>0</v>
      </c>
      <c r="I90" s="362">
        <f>IFERROR(VLOOKUP(C90,'تقرير المصروفات حسب الشهر'!$C$637:$AD$746,24,FALSE),0)</f>
        <v>0</v>
      </c>
      <c r="J90" s="362">
        <f>IFERROR(VLOOKUP(C90,'تقرير المصروفات حسب الشهر'!$C$763:$AD$872,24,FALSE),0)</f>
        <v>0</v>
      </c>
      <c r="K90" s="362">
        <f>IFERROR(VLOOKUP(C90,'تقرير المصروفات حسب الشهر'!$C$890:$AD$999,24,FALSE),0)</f>
        <v>0</v>
      </c>
      <c r="L90" s="362">
        <f>IFERROR(VLOOKUP(C90,'تقرير المصروفات حسب الشهر'!$C$1016:$AD$1126,24,FALSE),0)</f>
        <v>0</v>
      </c>
      <c r="M90" s="376">
        <f>IFERROR(VLOOKUP(C90,'تقرير المصروفات حسب الشهر'!$C$1143:$AD$1254,24,FALSE),0)</f>
        <v>0</v>
      </c>
      <c r="N90" s="376">
        <f>IFERROR(VLOOKUP(C90,'تقرير المصروفات حسب الشهر'!$C$1270:$AD$1381,24,FALSE),0)</f>
        <v>0</v>
      </c>
      <c r="O90" s="376">
        <f>IFERROR(VLOOKUP(C90,'تقرير المصروفات حسب الشهر'!$C$1397:$AI$1512,24,FALSE),0)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الشهر'!$C$10:$AD$119,24,FALSE),0)</f>
        <v>0</v>
      </c>
      <c r="E91" s="362">
        <f>IFERROR(VLOOKUP(C91,'تقرير المصروفات حسب الشهر'!$C$135:$AD$244,24,FALSE),0)</f>
        <v>0</v>
      </c>
      <c r="F91" s="362">
        <f>IFERROR(VLOOKUP(C91,'تقرير المصروفات حسب الشهر'!$C$261:$AD$368,24,FALSE),0)</f>
        <v>0</v>
      </c>
      <c r="G91" s="362">
        <f>IFERROR(VLOOKUP(C91,'تقرير المصروفات حسب الشهر'!$C$387:$AD$495,24,FALSE),0)</f>
        <v>0</v>
      </c>
      <c r="H91" s="362">
        <f>IFERROR(VLOOKUP(C91,'تقرير المصروفات حسب الشهر'!$C$512:$AD$620,24,FALSE),0)</f>
        <v>0</v>
      </c>
      <c r="I91" s="362">
        <f>IFERROR(VLOOKUP(C91,'تقرير المصروفات حسب الشهر'!$C$637:$AD$746,24,FALSE),0)</f>
        <v>0</v>
      </c>
      <c r="J91" s="362">
        <f>IFERROR(VLOOKUP(C91,'تقرير المصروفات حسب الشهر'!$C$763:$AD$872,24,FALSE),0)</f>
        <v>0</v>
      </c>
      <c r="K91" s="362">
        <f>IFERROR(VLOOKUP(C91,'تقرير المصروفات حسب الشهر'!$C$890:$AD$999,24,FALSE),0)</f>
        <v>0</v>
      </c>
      <c r="L91" s="362">
        <f>IFERROR(VLOOKUP(C91,'تقرير المصروفات حسب الشهر'!$C$1016:$AD$1126,24,FALSE),0)</f>
        <v>0</v>
      </c>
      <c r="M91" s="376">
        <f>IFERROR(VLOOKUP(C91,'تقرير المصروفات حسب الشهر'!$C$1143:$AD$1254,24,FALSE),0)</f>
        <v>0</v>
      </c>
      <c r="N91" s="376">
        <f>IFERROR(VLOOKUP(C91,'تقرير المصروفات حسب الشهر'!$C$1270:$AD$1381,24,FALSE),0)</f>
        <v>0</v>
      </c>
      <c r="O91" s="376">
        <f>IFERROR(VLOOKUP(C91,'تقرير المصروفات حسب الشهر'!$C$1397:$AI$1512,24,FALSE),0)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الشهر'!$C$10:$AD$119,24,FALSE),0)</f>
        <v>0</v>
      </c>
      <c r="E92" s="362">
        <f>IFERROR(VLOOKUP(C92,'تقرير المصروفات حسب الشهر'!$C$135:$AD$244,24,FALSE),0)</f>
        <v>0</v>
      </c>
      <c r="F92" s="362">
        <f>IFERROR(VLOOKUP(C92,'تقرير المصروفات حسب الشهر'!$C$261:$AD$368,24,FALSE),0)</f>
        <v>0</v>
      </c>
      <c r="G92" s="362">
        <f>IFERROR(VLOOKUP(C92,'تقرير المصروفات حسب الشهر'!$C$387:$AD$495,24,FALSE),0)</f>
        <v>0</v>
      </c>
      <c r="H92" s="362">
        <f>IFERROR(VLOOKUP(C92,'تقرير المصروفات حسب الشهر'!$C$512:$AD$620,24,FALSE),0)</f>
        <v>0</v>
      </c>
      <c r="I92" s="362">
        <f>IFERROR(VLOOKUP(C92,'تقرير المصروفات حسب الشهر'!$C$637:$AD$746,24,FALSE),0)</f>
        <v>0</v>
      </c>
      <c r="J92" s="362">
        <f>IFERROR(VLOOKUP(C92,'تقرير المصروفات حسب الشهر'!$C$763:$AD$872,24,FALSE),0)</f>
        <v>0</v>
      </c>
      <c r="K92" s="362">
        <f>IFERROR(VLOOKUP(C92,'تقرير المصروفات حسب الشهر'!$C$890:$AD$999,24,FALSE),0)</f>
        <v>0</v>
      </c>
      <c r="L92" s="362">
        <f>IFERROR(VLOOKUP(C92,'تقرير المصروفات حسب الشهر'!$C$1016:$AD$1126,24,FALSE),0)</f>
        <v>0</v>
      </c>
      <c r="M92" s="376">
        <f>IFERROR(VLOOKUP(C92,'تقرير المصروفات حسب الشهر'!$C$1143:$AD$1254,24,FALSE),0)</f>
        <v>0</v>
      </c>
      <c r="N92" s="376">
        <f>IFERROR(VLOOKUP(C92,'تقرير المصروفات حسب الشهر'!$C$1270:$AD$1381,24,FALSE),0)</f>
        <v>0</v>
      </c>
      <c r="O92" s="376">
        <f>IFERROR(VLOOKUP(C92,'تقرير المصروفات حسب الشهر'!$C$1397:$AI$1512,24,FALSE),0)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الشهر'!$C$10:$AD$119,24,FALSE),0)</f>
        <v>0</v>
      </c>
      <c r="E93" s="362">
        <f>IFERROR(VLOOKUP(C93,'تقرير المصروفات حسب الشهر'!$C$135:$AD$244,24,FALSE),0)</f>
        <v>0</v>
      </c>
      <c r="F93" s="362">
        <f>IFERROR(VLOOKUP(C93,'تقرير المصروفات حسب الشهر'!$C$261:$AD$368,24,FALSE),0)</f>
        <v>0</v>
      </c>
      <c r="G93" s="362">
        <f>IFERROR(VLOOKUP(C93,'تقرير المصروفات حسب الشهر'!$C$387:$AD$495,24,FALSE),0)</f>
        <v>1243</v>
      </c>
      <c r="H93" s="362">
        <f>IFERROR(VLOOKUP(C93,'تقرير المصروفات حسب الشهر'!$C$512:$AD$620,24,FALSE),0)</f>
        <v>0</v>
      </c>
      <c r="I93" s="362">
        <f>IFERROR(VLOOKUP(C93,'تقرير المصروفات حسب الشهر'!$C$637:$AD$746,24,FALSE),0)</f>
        <v>0</v>
      </c>
      <c r="J93" s="362">
        <f>IFERROR(VLOOKUP(C93,'تقرير المصروفات حسب الشهر'!$C$763:$AD$872,24,FALSE),0)</f>
        <v>668</v>
      </c>
      <c r="K93" s="362">
        <f>IFERROR(VLOOKUP(C93,'تقرير المصروفات حسب الشهر'!$C$890:$AD$999,24,FALSE),0)</f>
        <v>0</v>
      </c>
      <c r="L93" s="362">
        <f>IFERROR(VLOOKUP(C93,'تقرير المصروفات حسب الشهر'!$C$1016:$AD$1126,24,FALSE),0)</f>
        <v>0</v>
      </c>
      <c r="M93" s="376">
        <f>IFERROR(VLOOKUP(C93,'تقرير المصروفات حسب الشهر'!$C$1143:$AD$1254,24,FALSE),0)</f>
        <v>0</v>
      </c>
      <c r="N93" s="376">
        <f>IFERROR(VLOOKUP(C93,'تقرير المصروفات حسب الشهر'!$C$1270:$AD$1381,24,FALSE),0)</f>
        <v>0</v>
      </c>
      <c r="O93" s="376">
        <f>IFERROR(VLOOKUP(C93,'تقرير المصروفات حسب الشهر'!$C$1397:$AI$1512,24,FALSE),0)</f>
        <v>0</v>
      </c>
      <c r="P93" s="364">
        <f t="shared" si="6"/>
        <v>1911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الشهر'!$C$10:$AD$119,24,FALSE),0)</f>
        <v>722</v>
      </c>
      <c r="E94" s="362">
        <f>IFERROR(VLOOKUP(C94,'تقرير المصروفات حسب الشهر'!$C$135:$AD$244,24,FALSE),0)</f>
        <v>375</v>
      </c>
      <c r="F94" s="362">
        <f>IFERROR(VLOOKUP(C94,'تقرير المصروفات حسب الشهر'!$C$261:$AD$368,24,FALSE),0)</f>
        <v>375</v>
      </c>
      <c r="G94" s="362">
        <f>IFERROR(VLOOKUP(C94,'تقرير المصروفات حسب الشهر'!$C$387:$AD$495,24,FALSE),0)</f>
        <v>370</v>
      </c>
      <c r="H94" s="362">
        <f>IFERROR(VLOOKUP(C94,'تقرير المصروفات حسب الشهر'!$C$512:$AD$620,24,FALSE),0)</f>
        <v>309</v>
      </c>
      <c r="I94" s="362">
        <f>IFERROR(VLOOKUP(C94,'تقرير المصروفات حسب الشهر'!$C$637:$AD$746,24,FALSE),0)</f>
        <v>290</v>
      </c>
      <c r="J94" s="362">
        <f>IFERROR(VLOOKUP(C94,'تقرير المصروفات حسب الشهر'!$C$763:$AD$872,24,FALSE),0)</f>
        <v>310</v>
      </c>
      <c r="K94" s="362">
        <f>IFERROR(VLOOKUP(C94,'تقرير المصروفات حسب الشهر'!$C$890:$AD$999,24,FALSE),0)</f>
        <v>309</v>
      </c>
      <c r="L94" s="362">
        <f>IFERROR(VLOOKUP(C94,'تقرير المصروفات حسب الشهر'!$C$1016:$AD$1126,24,FALSE),0)</f>
        <v>0</v>
      </c>
      <c r="M94" s="376">
        <f>IFERROR(VLOOKUP(C94,'تقرير المصروفات حسب الشهر'!$C$1143:$AD$1254,24,FALSE),0)</f>
        <v>617.24</v>
      </c>
      <c r="N94" s="376">
        <f>IFERROR(VLOOKUP(C94,'تقرير المصروفات حسب الشهر'!$C$1270:$AD$1381,24,FALSE),0)</f>
        <v>309</v>
      </c>
      <c r="O94" s="376">
        <f>IFERROR(VLOOKUP(C94,'تقرير المصروفات حسب الشهر'!$C$1397:$AI$1512,24,FALSE),0)</f>
        <v>308</v>
      </c>
      <c r="P94" s="364">
        <f t="shared" si="6"/>
        <v>4294.24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الشهر'!$C$10:$AD$119,24,FALSE),0)</f>
        <v>0</v>
      </c>
      <c r="E95" s="362">
        <f>IFERROR(VLOOKUP(C95,'تقرير المصروفات حسب الشهر'!$C$135:$AD$244,24,FALSE),0)</f>
        <v>0</v>
      </c>
      <c r="F95" s="362">
        <f>IFERROR(VLOOKUP(C95,'تقرير المصروفات حسب الشهر'!$C$261:$AD$368,24,FALSE),0)</f>
        <v>0</v>
      </c>
      <c r="G95" s="362">
        <f>IFERROR(VLOOKUP(C95,'تقرير المصروفات حسب الشهر'!$C$387:$AD$495,24,FALSE),0)</f>
        <v>0</v>
      </c>
      <c r="H95" s="362">
        <f>IFERROR(VLOOKUP(C95,'تقرير المصروفات حسب الشهر'!$C$512:$AD$620,24,FALSE),0)</f>
        <v>0</v>
      </c>
      <c r="I95" s="362">
        <f>IFERROR(VLOOKUP(C95,'تقرير المصروفات حسب الشهر'!$C$637:$AD$746,24,FALSE),0)</f>
        <v>0</v>
      </c>
      <c r="J95" s="362">
        <f>IFERROR(VLOOKUP(C95,'تقرير المصروفات حسب الشهر'!$C$763:$AD$872,24,FALSE),0)</f>
        <v>0</v>
      </c>
      <c r="K95" s="362">
        <f>IFERROR(VLOOKUP(C95,'تقرير المصروفات حسب الشهر'!$C$890:$AD$999,24,FALSE),0)</f>
        <v>0</v>
      </c>
      <c r="L95" s="362">
        <f>IFERROR(VLOOKUP(C95,'تقرير المصروفات حسب الشهر'!$C$1016:$AD$1126,24,FALSE),0)</f>
        <v>2130</v>
      </c>
      <c r="M95" s="376">
        <f>IFERROR(VLOOKUP(C95,'تقرير المصروفات حسب الشهر'!$C$1143:$AD$1254,24,FALSE),0)</f>
        <v>1065</v>
      </c>
      <c r="N95" s="376">
        <f>IFERROR(VLOOKUP(C95,'تقرير المصروفات حسب الشهر'!$C$1270:$AD$1381,24,FALSE),0)</f>
        <v>1065</v>
      </c>
      <c r="O95" s="376">
        <f>IFERROR(VLOOKUP(C95,'تقرير المصروفات حسب الشهر'!$C$1397:$AI$1512,24,FALSE),0)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الشهر'!$C$10:$AD$119,24,FALSE),0)</f>
        <v>0</v>
      </c>
      <c r="E96" s="362">
        <f>IFERROR(VLOOKUP(C96,'تقرير المصروفات حسب الشهر'!$C$135:$AD$244,24,FALSE),0)</f>
        <v>0</v>
      </c>
      <c r="F96" s="362">
        <f>IFERROR(VLOOKUP(C96,'تقرير المصروفات حسب الشهر'!$C$261:$AD$368,24,FALSE),0)</f>
        <v>0</v>
      </c>
      <c r="G96" s="362">
        <f>IFERROR(VLOOKUP(C96,'تقرير المصروفات حسب الشهر'!$C$387:$AD$495,24,FALSE),0)</f>
        <v>0</v>
      </c>
      <c r="H96" s="362">
        <f>IFERROR(VLOOKUP(C96,'تقرير المصروفات حسب الشهر'!$C$512:$AD$620,24,FALSE),0)</f>
        <v>0</v>
      </c>
      <c r="I96" s="362">
        <f>IFERROR(VLOOKUP(C96,'تقرير المصروفات حسب الشهر'!$C$637:$AD$746,24,FALSE),0)</f>
        <v>0</v>
      </c>
      <c r="J96" s="362">
        <f>IFERROR(VLOOKUP(C96,'تقرير المصروفات حسب الشهر'!$C$763:$AD$872,24,FALSE),0)</f>
        <v>0</v>
      </c>
      <c r="K96" s="362">
        <f>IFERROR(VLOOKUP(C96,'تقرير المصروفات حسب الشهر'!$C$890:$AD$999,24,FALSE),0)</f>
        <v>0</v>
      </c>
      <c r="L96" s="362">
        <f>IFERROR(VLOOKUP(C96,'تقرير المصروفات حسب الشهر'!$C$1016:$AD$1126,24,FALSE),0)</f>
        <v>0</v>
      </c>
      <c r="M96" s="376">
        <f>IFERROR(VLOOKUP(C96,'تقرير المصروفات حسب الشهر'!$C$1143:$AD$1254,24,FALSE),0)</f>
        <v>0</v>
      </c>
      <c r="N96" s="376">
        <f>IFERROR(VLOOKUP(C96,'تقرير المصروفات حسب الشهر'!$C$1270:$AD$1381,24,FALSE),0)</f>
        <v>0</v>
      </c>
      <c r="O96" s="376">
        <f>IFERROR(VLOOKUP(C96,'تقرير المصروفات حسب الشهر'!$C$1397:$AI$1512,24,FALSE),0)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الشهر'!$C$10:$AD$119,24,FALSE),0)</f>
        <v>0</v>
      </c>
      <c r="E97" s="362">
        <f>IFERROR(VLOOKUP(C97,'تقرير المصروفات حسب الشهر'!$C$135:$AD$244,24,FALSE),0)</f>
        <v>0</v>
      </c>
      <c r="F97" s="362">
        <f>IFERROR(VLOOKUP(C97,'تقرير المصروفات حسب الشهر'!$C$261:$AD$368,24,FALSE),0)</f>
        <v>0</v>
      </c>
      <c r="G97" s="362">
        <f>IFERROR(VLOOKUP(C97,'تقرير المصروفات حسب الشهر'!$C$387:$AD$495,24,FALSE),0)</f>
        <v>0</v>
      </c>
      <c r="H97" s="362">
        <f>IFERROR(VLOOKUP(C97,'تقرير المصروفات حسب الشهر'!$C$512:$AD$620,24,FALSE),0)</f>
        <v>0</v>
      </c>
      <c r="I97" s="362">
        <f>IFERROR(VLOOKUP(C97,'تقرير المصروفات حسب الشهر'!$C$637:$AD$746,24,FALSE),0)</f>
        <v>0</v>
      </c>
      <c r="J97" s="362">
        <f>IFERROR(VLOOKUP(C97,'تقرير المصروفات حسب الشهر'!$C$763:$AD$872,24,FALSE),0)</f>
        <v>0</v>
      </c>
      <c r="K97" s="362">
        <f>IFERROR(VLOOKUP(C97,'تقرير المصروفات حسب الشهر'!$C$890:$AD$999,24,FALSE),0)</f>
        <v>0</v>
      </c>
      <c r="L97" s="362">
        <f>IFERROR(VLOOKUP(C97,'تقرير المصروفات حسب الشهر'!$C$1016:$AD$1126,24,FALSE),0)</f>
        <v>0</v>
      </c>
      <c r="M97" s="376">
        <f>IFERROR(VLOOKUP(C97,'تقرير المصروفات حسب الشهر'!$C$1143:$AD$1254,24,FALSE),0)</f>
        <v>0</v>
      </c>
      <c r="N97" s="376">
        <f>IFERROR(VLOOKUP(C97,'تقرير المصروفات حسب الشهر'!$C$1270:$AD$1381,24,FALSE),0)</f>
        <v>0</v>
      </c>
      <c r="O97" s="376">
        <f>IFERROR(VLOOKUP(C97,'تقرير المصروفات حسب الشهر'!$C$1397:$AI$1512,24,FALSE),0)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الشهر'!$C$10:$AD$119,24,FALSE),0)</f>
        <v>168.33</v>
      </c>
      <c r="E98" s="362">
        <f>IFERROR(VLOOKUP(C98,'تقرير المصروفات حسب الشهر'!$C$135:$AD$244,24,FALSE),0)</f>
        <v>168.33</v>
      </c>
      <c r="F98" s="362">
        <f>IFERROR(VLOOKUP(C98,'تقرير المصروفات حسب الشهر'!$C$261:$AD$368,24,FALSE),0)</f>
        <v>168.33</v>
      </c>
      <c r="G98" s="362">
        <f>IFERROR(VLOOKUP(C98,'تقرير المصروفات حسب الشهر'!$C$387:$AD$495,24,FALSE),0)</f>
        <v>168.33</v>
      </c>
      <c r="H98" s="362">
        <f>IFERROR(VLOOKUP(C98,'تقرير المصروفات حسب الشهر'!$C$512:$AD$620,24,FALSE),0)</f>
        <v>168.33</v>
      </c>
      <c r="I98" s="362">
        <f>IFERROR(VLOOKUP(C98,'تقرير المصروفات حسب الشهر'!$C$637:$AD$746,24,FALSE),0)</f>
        <v>168.33</v>
      </c>
      <c r="J98" s="362">
        <f>IFERROR(VLOOKUP(C98,'تقرير المصروفات حسب الشهر'!$C$763:$AD$872,24,FALSE),0)</f>
        <v>168.33</v>
      </c>
      <c r="K98" s="362">
        <f>IFERROR(VLOOKUP(C98,'تقرير المصروفات حسب الشهر'!$C$890:$AD$999,24,FALSE),0)</f>
        <v>168.33</v>
      </c>
      <c r="L98" s="362">
        <f>IFERROR(VLOOKUP(C98,'تقرير المصروفات حسب الشهر'!$C$1016:$AD$1126,24,FALSE),0)</f>
        <v>168.33</v>
      </c>
      <c r="M98" s="376">
        <f>IFERROR(VLOOKUP(C98,'تقرير المصروفات حسب الشهر'!$C$1143:$AD$1254,24,FALSE),0)</f>
        <v>168.33</v>
      </c>
      <c r="N98" s="376">
        <f>IFERROR(VLOOKUP(C98,'تقرير المصروفات حسب الشهر'!$C$1270:$AD$1381,24,FALSE),0)</f>
        <v>168.33</v>
      </c>
      <c r="O98" s="376">
        <f>IFERROR(VLOOKUP(C98,'تقرير المصروفات حسب الشهر'!$C$1397:$AI$1512,24,FALSE),0)</f>
        <v>0.04</v>
      </c>
      <c r="P98" s="364">
        <f t="shared" si="6"/>
        <v>1851.6699999999998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الشهر'!$C$10:$AD$119,24,FALSE),0)</f>
        <v>0</v>
      </c>
      <c r="E99" s="362">
        <f>IFERROR(VLOOKUP(C99,'تقرير المصروفات حسب الشهر'!$C$135:$AD$244,24,FALSE),0)</f>
        <v>0</v>
      </c>
      <c r="F99" s="362">
        <f>IFERROR(VLOOKUP(C99,'تقرير المصروفات حسب الشهر'!$C$261:$AD$368,24,FALSE),0)</f>
        <v>0</v>
      </c>
      <c r="G99" s="362">
        <f>IFERROR(VLOOKUP(C99,'تقرير المصروفات حسب الشهر'!$C$387:$AD$495,24,FALSE),0)</f>
        <v>0</v>
      </c>
      <c r="H99" s="362">
        <f>IFERROR(VLOOKUP(C99,'تقرير المصروفات حسب الشهر'!$C$512:$AD$620,24,FALSE),0)</f>
        <v>0</v>
      </c>
      <c r="I99" s="362">
        <f>IFERROR(VLOOKUP(C99,'تقرير المصروفات حسب الشهر'!$C$637:$AD$746,24,FALSE),0)</f>
        <v>0</v>
      </c>
      <c r="J99" s="362">
        <f>IFERROR(VLOOKUP(C99,'تقرير المصروفات حسب الشهر'!$C$763:$AD$872,24,FALSE),0)</f>
        <v>0</v>
      </c>
      <c r="K99" s="362">
        <f>IFERROR(VLOOKUP(C99,'تقرير المصروفات حسب الشهر'!$C$890:$AD$999,24,FALSE),0)</f>
        <v>0</v>
      </c>
      <c r="L99" s="362">
        <f>IFERROR(VLOOKUP(C99,'تقرير المصروفات حسب الشهر'!$C$1016:$AD$1126,24,FALSE),0)</f>
        <v>0</v>
      </c>
      <c r="M99" s="376">
        <f>IFERROR(VLOOKUP(C99,'تقرير المصروفات حسب الشهر'!$C$1143:$AD$1254,24,FALSE),0)</f>
        <v>0</v>
      </c>
      <c r="N99" s="376">
        <f>IFERROR(VLOOKUP(C99,'تقرير المصروفات حسب الشهر'!$C$1270:$AD$1381,24,FALSE),0)</f>
        <v>0</v>
      </c>
      <c r="O99" s="376">
        <f>IFERROR(VLOOKUP(C99,'تقرير المصروفات حسب الشهر'!$C$1397:$AI$1512,24,FALSE),0)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الشهر'!$C$10:$AD$119,24,FALSE),0)</f>
        <v>325.01</v>
      </c>
      <c r="E100" s="362">
        <f>IFERROR(VLOOKUP(C100,'تقرير المصروفات حسب الشهر'!$C$135:$AD$244,24,FALSE),0)</f>
        <v>349.19</v>
      </c>
      <c r="F100" s="362">
        <f>IFERROR(VLOOKUP(C100,'تقرير المصروفات حسب الشهر'!$C$261:$AD$368,24,FALSE),0)</f>
        <v>362.68</v>
      </c>
      <c r="G100" s="362">
        <f>IFERROR(VLOOKUP(C100,'تقرير المصروفات حسب الشهر'!$C$387:$AD$495,24,FALSE),0)</f>
        <v>362.68</v>
      </c>
      <c r="H100" s="362">
        <f>IFERROR(VLOOKUP(C100,'تقرير المصروفات حسب الشهر'!$C$512:$AD$620,24,FALSE),0)</f>
        <v>362.68</v>
      </c>
      <c r="I100" s="362">
        <f>IFERROR(VLOOKUP(C100,'تقرير المصروفات حسب الشهر'!$C$637:$AD$746,24,FALSE),0)</f>
        <v>192.53</v>
      </c>
      <c r="J100" s="362">
        <f>IFERROR(VLOOKUP(C100,'تقرير المصروفات حسب الشهر'!$C$763:$AD$872,24,FALSE),0)</f>
        <v>39.75</v>
      </c>
      <c r="K100" s="362">
        <f>IFERROR(VLOOKUP(C100,'تقرير المصروفات حسب الشهر'!$C$890:$AD$999,24,FALSE),0)</f>
        <v>37.67</v>
      </c>
      <c r="L100" s="362">
        <f>IFERROR(VLOOKUP(C100,'تقرير المصروفات حسب الشهر'!$C$1016:$AD$1126,24,FALSE),0)</f>
        <v>37.67</v>
      </c>
      <c r="M100" s="376">
        <f>IFERROR(VLOOKUP(C100,'تقرير المصروفات حسب الشهر'!$C$1143:$AD$1254,24,FALSE),0)</f>
        <v>37.67</v>
      </c>
      <c r="N100" s="376">
        <f>IFERROR(VLOOKUP(C100,'تقرير المصروفات حسب الشهر'!$C$1270:$AD$1381,24,FALSE),0)</f>
        <v>87.1</v>
      </c>
      <c r="O100" s="376">
        <f>IFERROR(VLOOKUP(C100,'تقرير المصروفات حسب الشهر'!$C$1397:$AI$1512,24,FALSE),0)</f>
        <v>120.07</v>
      </c>
      <c r="P100" s="364">
        <f t="shared" si="6"/>
        <v>2314.7000000000003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الشهر'!$C$10:$AD$119,24,FALSE),0)</f>
        <v>539.9</v>
      </c>
      <c r="E101" s="362">
        <f>IFERROR(VLOOKUP(C101,'تقرير المصروفات حسب الشهر'!$C$135:$AD$244,24,FALSE),0)</f>
        <v>539.9</v>
      </c>
      <c r="F101" s="362">
        <f>IFERROR(VLOOKUP(C101,'تقرير المصروفات حسب الشهر'!$C$261:$AD$368,24,FALSE),0)</f>
        <v>539.9</v>
      </c>
      <c r="G101" s="362">
        <f>IFERROR(VLOOKUP(C101,'تقرير المصروفات حسب الشهر'!$C$387:$AD$495,24,FALSE),0)</f>
        <v>539.9</v>
      </c>
      <c r="H101" s="362">
        <f>IFERROR(VLOOKUP(C101,'تقرير المصروفات حسب الشهر'!$C$512:$AD$620,24,FALSE),0)</f>
        <v>539.9</v>
      </c>
      <c r="I101" s="362">
        <f>IFERROR(VLOOKUP(C101,'تقرير المصروفات حسب الشهر'!$C$637:$AD$746,24,FALSE),0)</f>
        <v>539.9</v>
      </c>
      <c r="J101" s="362">
        <f>IFERROR(VLOOKUP(C101,'تقرير المصروفات حسب الشهر'!$C$763:$AD$872,24,FALSE),0)</f>
        <v>115.18</v>
      </c>
      <c r="K101" s="362">
        <f>IFERROR(VLOOKUP(C101,'تقرير المصروفات حسب الشهر'!$C$890:$AD$999,24,FALSE),0)</f>
        <v>38.17</v>
      </c>
      <c r="L101" s="362">
        <f>IFERROR(VLOOKUP(C101,'تقرير المصروفات حسب الشهر'!$C$1016:$AD$1126,24,FALSE),0)</f>
        <v>0</v>
      </c>
      <c r="M101" s="376">
        <f>IFERROR(VLOOKUP(C101,'تقرير المصروفات حسب الشهر'!$C$1143:$AD$1254,24,FALSE),0)</f>
        <v>0</v>
      </c>
      <c r="N101" s="376">
        <f>IFERROR(VLOOKUP(C101,'تقرير المصروفات حسب الشهر'!$C$1270:$AD$1381,24,FALSE),0)</f>
        <v>0</v>
      </c>
      <c r="O101" s="376">
        <f>IFERROR(VLOOKUP(C101,'تقرير المصروفات حسب الشهر'!$C$1397:$AI$1512,24,FALSE),0)</f>
        <v>0</v>
      </c>
      <c r="P101" s="364">
        <f t="shared" si="6"/>
        <v>3392.75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الشهر'!$C$10:$AD$119,24,FALSE),0)</f>
        <v>101.05</v>
      </c>
      <c r="E102" s="362">
        <f>IFERROR(VLOOKUP(C102,'تقرير المصروفات حسب الشهر'!$C$135:$AD$244,24,FALSE),0)</f>
        <v>101.05</v>
      </c>
      <c r="F102" s="362">
        <f>IFERROR(VLOOKUP(C102,'تقرير المصروفات حسب الشهر'!$C$261:$AD$368,24,FALSE),0)</f>
        <v>101.05</v>
      </c>
      <c r="G102" s="362">
        <f>IFERROR(VLOOKUP(C102,'تقرير المصروفات حسب الشهر'!$C$387:$AD$495,24,FALSE),0)</f>
        <v>101.05</v>
      </c>
      <c r="H102" s="362">
        <f>IFERROR(VLOOKUP(C102,'تقرير المصروفات حسب الشهر'!$C$512:$AD$620,24,FALSE),0)</f>
        <v>101.05</v>
      </c>
      <c r="I102" s="362">
        <f>IFERROR(VLOOKUP(C102,'تقرير المصروفات حسب الشهر'!$C$637:$AD$746,24,FALSE),0)</f>
        <v>101.05</v>
      </c>
      <c r="J102" s="362">
        <f>IFERROR(VLOOKUP(C102,'تقرير المصروفات حسب الشهر'!$C$763:$AD$872,24,FALSE),0)</f>
        <v>59.18</v>
      </c>
      <c r="K102" s="362">
        <f>IFERROR(VLOOKUP(C102,'تقرير المصروفات حسب الشهر'!$C$890:$AD$999,24,FALSE),0)</f>
        <v>54.17</v>
      </c>
      <c r="L102" s="362">
        <f>IFERROR(VLOOKUP(C102,'تقرير المصروفات حسب الشهر'!$C$1016:$AD$1126,24,FALSE),0)</f>
        <v>54.17</v>
      </c>
      <c r="M102" s="376">
        <f>IFERROR(VLOOKUP(C102,'تقرير المصروفات حسب الشهر'!$C$1143:$AD$1254,24,FALSE),0)</f>
        <v>54.17</v>
      </c>
      <c r="N102" s="376">
        <f>IFERROR(VLOOKUP(C102,'تقرير المصروفات حسب الشهر'!$C$1270:$AD$1381,24,FALSE),0)</f>
        <v>54.13</v>
      </c>
      <c r="O102" s="376">
        <f>IFERROR(VLOOKUP(C102,'تقرير المصروفات حسب الشهر'!$C$1397:$AI$1512,24,FALSE),0)</f>
        <v>0</v>
      </c>
      <c r="P102" s="364">
        <f t="shared" si="6"/>
        <v>882.11999999999978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الشهر'!$C$10:$AD$119,24,FALSE),0)</f>
        <v>15</v>
      </c>
      <c r="E103" s="362">
        <f>IFERROR(VLOOKUP(C103,'تقرير المصروفات حسب الشهر'!$C$135:$AD$244,24,FALSE),0)</f>
        <v>15</v>
      </c>
      <c r="F103" s="362">
        <f>IFERROR(VLOOKUP(C103,'تقرير المصروفات حسب الشهر'!$C$261:$AD$368,24,FALSE),0)</f>
        <v>15</v>
      </c>
      <c r="G103" s="362">
        <f>IFERROR(VLOOKUP(C103,'تقرير المصروفات حسب الشهر'!$C$387:$AD$495,24,FALSE),0)</f>
        <v>15</v>
      </c>
      <c r="H103" s="362">
        <f>IFERROR(VLOOKUP(C103,'تقرير المصروفات حسب الشهر'!$C$512:$AD$620,24,FALSE),0)</f>
        <v>15</v>
      </c>
      <c r="I103" s="362">
        <f>IFERROR(VLOOKUP(C103,'تقرير المصروفات حسب الشهر'!$C$637:$AD$746,24,FALSE),0)</f>
        <v>15</v>
      </c>
      <c r="J103" s="362">
        <f>IFERROR(VLOOKUP(C103,'تقرير المصروفات حسب الشهر'!$C$763:$AD$872,24,FALSE),0)</f>
        <v>15</v>
      </c>
      <c r="K103" s="362">
        <f>IFERROR(VLOOKUP(C103,'تقرير المصروفات حسب الشهر'!$C$890:$AD$999,24,FALSE),0)</f>
        <v>15</v>
      </c>
      <c r="L103" s="362">
        <f>IFERROR(VLOOKUP(C103,'تقرير المصروفات حسب الشهر'!$C$1016:$AD$1126,24,FALSE),0)</f>
        <v>15</v>
      </c>
      <c r="M103" s="376">
        <f>IFERROR(VLOOKUP(C103,'تقرير المصروفات حسب الشهر'!$C$1143:$AD$1254,24,FALSE),0)</f>
        <v>15</v>
      </c>
      <c r="N103" s="376">
        <f>IFERROR(VLOOKUP(C103,'تقرير المصروفات حسب الشهر'!$C$1270:$AD$1381,24,FALSE),0)</f>
        <v>15</v>
      </c>
      <c r="O103" s="376">
        <f>IFERROR(VLOOKUP(C103,'تقرير المصروفات حسب الشهر'!$C$1397:$AI$1512,24,FALSE),0)</f>
        <v>0</v>
      </c>
      <c r="P103" s="364">
        <f t="shared" si="6"/>
        <v>165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الشهر'!$C$10:$AD$119,24,FALSE),0)</f>
        <v>0</v>
      </c>
      <c r="E104" s="362">
        <f>IFERROR(VLOOKUP(C104,'تقرير المصروفات حسب الشهر'!$C$135:$AD$244,24,FALSE),0)</f>
        <v>0</v>
      </c>
      <c r="F104" s="362">
        <f>IFERROR(VLOOKUP(C104,'تقرير المصروفات حسب الشهر'!$C$261:$AD$368,24,FALSE),0)</f>
        <v>0</v>
      </c>
      <c r="G104" s="362">
        <f>IFERROR(VLOOKUP(C104,'تقرير المصروفات حسب الشهر'!$C$387:$AD$495,24,FALSE),0)</f>
        <v>0</v>
      </c>
      <c r="H104" s="362">
        <f>IFERROR(VLOOKUP(C104,'تقرير المصروفات حسب الشهر'!$C$512:$AD$620,24,FALSE),0)</f>
        <v>0</v>
      </c>
      <c r="I104" s="362">
        <f>IFERROR(VLOOKUP(C104,'تقرير المصروفات حسب الشهر'!$C$637:$AD$746,24,FALSE),0)</f>
        <v>0</v>
      </c>
      <c r="J104" s="362">
        <f>IFERROR(VLOOKUP(C104,'تقرير المصروفات حسب الشهر'!$C$763:$AD$872,24,FALSE),0)</f>
        <v>0</v>
      </c>
      <c r="K104" s="362">
        <f>IFERROR(VLOOKUP(C104,'تقرير المصروفات حسب الشهر'!$C$890:$AD$999,24,FALSE),0)</f>
        <v>0</v>
      </c>
      <c r="L104" s="362">
        <f>IFERROR(VLOOKUP(C104,'تقرير المصروفات حسب الشهر'!$C$1016:$AD$1126,24,FALSE),0)</f>
        <v>0</v>
      </c>
      <c r="M104" s="376">
        <f>IFERROR(VLOOKUP(C104,'تقرير المصروفات حسب الشهر'!$C$1143:$AD$1254,24,FALSE),0)</f>
        <v>0</v>
      </c>
      <c r="N104" s="376">
        <f>IFERROR(VLOOKUP(C104,'تقرير المصروفات حسب الشهر'!$C$1270:$AD$1381,24,FALSE),0)</f>
        <v>0</v>
      </c>
      <c r="O104" s="376">
        <f>IFERROR(VLOOKUP(C104,'تقرير المصروفات حسب الشهر'!$C$1397:$AI$1512,24,FALSE),0)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الشهر'!$C$10:$AD$119,24,FALSE),0)</f>
        <v>0</v>
      </c>
      <c r="E105" s="362">
        <f>IFERROR(VLOOKUP(C105,'تقرير المصروفات حسب الشهر'!$C$135:$AD$244,24,FALSE),0)</f>
        <v>0</v>
      </c>
      <c r="F105" s="362">
        <f>IFERROR(VLOOKUP(C105,'تقرير المصروفات حسب الشهر'!$C$261:$AD$368,24,FALSE),0)</f>
        <v>0</v>
      </c>
      <c r="G105" s="362">
        <f>IFERROR(VLOOKUP(C105,'تقرير المصروفات حسب الشهر'!$C$387:$AD$495,24,FALSE),0)</f>
        <v>0</v>
      </c>
      <c r="H105" s="362">
        <f>IFERROR(VLOOKUP(C105,'تقرير المصروفات حسب الشهر'!$C$512:$AD$620,24,FALSE),0)</f>
        <v>0</v>
      </c>
      <c r="I105" s="362">
        <f>IFERROR(VLOOKUP(C105,'تقرير المصروفات حسب الشهر'!$C$637:$AD$746,24,FALSE),0)</f>
        <v>0</v>
      </c>
      <c r="J105" s="362">
        <f>IFERROR(VLOOKUP(C105,'تقرير المصروفات حسب الشهر'!$C$763:$AD$872,24,FALSE),0)</f>
        <v>0</v>
      </c>
      <c r="K105" s="362">
        <f>IFERROR(VLOOKUP(C105,'تقرير المصروفات حسب الشهر'!$C$890:$AD$999,24,FALSE),0)</f>
        <v>0</v>
      </c>
      <c r="L105" s="362">
        <f>IFERROR(VLOOKUP(C105,'تقرير المصروفات حسب الشهر'!$C$1016:$AD$1126,24,FALSE),0)</f>
        <v>0</v>
      </c>
      <c r="M105" s="376">
        <f>IFERROR(VLOOKUP(C105,'تقرير المصروفات حسب الشهر'!$C$1143:$AD$1254,24,FALSE),0)</f>
        <v>0</v>
      </c>
      <c r="N105" s="376">
        <f>IFERROR(VLOOKUP(C105,'تقرير المصروفات حسب الشهر'!$C$1270:$AD$1381,24,FALSE),0)</f>
        <v>0</v>
      </c>
      <c r="O105" s="376">
        <f>IFERROR(VLOOKUP(C105,'تقرير المصروفات حسب الشهر'!$C$1397:$AI$1512,24,FALSE),0)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الشهر'!$C$10:$AD$119,24,FALSE),0)</f>
        <v>0</v>
      </c>
      <c r="E106" s="362">
        <f>IFERROR(VLOOKUP(C106,'تقرير المصروفات حسب الشهر'!$C$135:$AD$244,24,FALSE),0)</f>
        <v>0</v>
      </c>
      <c r="F106" s="362">
        <f>IFERROR(VLOOKUP(C106,'تقرير المصروفات حسب الشهر'!$C$261:$AD$368,24,FALSE),0)</f>
        <v>0</v>
      </c>
      <c r="G106" s="362">
        <f>IFERROR(VLOOKUP(C106,'تقرير المصروفات حسب الشهر'!$C$387:$AD$495,24,FALSE),0)</f>
        <v>0</v>
      </c>
      <c r="H106" s="362">
        <f>IFERROR(VLOOKUP(C106,'تقرير المصروفات حسب الشهر'!$C$512:$AD$620,24,FALSE),0)</f>
        <v>0</v>
      </c>
      <c r="I106" s="362">
        <f>IFERROR(VLOOKUP(C106,'تقرير المصروفات حسب الشهر'!$C$637:$AD$746,24,FALSE),0)</f>
        <v>0</v>
      </c>
      <c r="J106" s="362">
        <f>IFERROR(VLOOKUP(C106,'تقرير المصروفات حسب الشهر'!$C$763:$AD$872,24,FALSE),0)</f>
        <v>0</v>
      </c>
      <c r="K106" s="362">
        <f>IFERROR(VLOOKUP(C106,'تقرير المصروفات حسب الشهر'!$C$890:$AD$999,24,FALSE),0)</f>
        <v>0</v>
      </c>
      <c r="L106" s="362">
        <f>IFERROR(VLOOKUP(C106,'تقرير المصروفات حسب الشهر'!$C$1016:$AD$1126,24,FALSE),0)</f>
        <v>0</v>
      </c>
      <c r="M106" s="376">
        <f>IFERROR(VLOOKUP(C106,'تقرير المصروفات حسب الشهر'!$C$1143:$AD$1254,24,FALSE),0)</f>
        <v>0</v>
      </c>
      <c r="N106" s="376">
        <f>IFERROR(VLOOKUP(C106,'تقرير المصروفات حسب الشهر'!$C$1270:$AD$1381,24,FALSE),0)</f>
        <v>0</v>
      </c>
      <c r="O106" s="376">
        <f>IFERROR(VLOOKUP(C106,'تقرير المصروفات حسب الشهر'!$C$1397:$AI$1512,24,FALSE),0)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الشهر'!$C$10:$AD$119,24,FALSE),0)</f>
        <v>0</v>
      </c>
      <c r="E107" s="362">
        <f>IFERROR(VLOOKUP(C107,'تقرير المصروفات حسب الشهر'!$C$135:$AD$244,24,FALSE),0)</f>
        <v>0</v>
      </c>
      <c r="F107" s="362">
        <f>IFERROR(VLOOKUP(C107,'تقرير المصروفات حسب الشهر'!$C$261:$AD$368,24,FALSE),0)</f>
        <v>0</v>
      </c>
      <c r="G107" s="362">
        <f>IFERROR(VLOOKUP(C107,'تقرير المصروفات حسب الشهر'!$C$387:$AD$495,24,FALSE),0)</f>
        <v>0</v>
      </c>
      <c r="H107" s="362">
        <f>IFERROR(VLOOKUP(C107,'تقرير المصروفات حسب الشهر'!$C$512:$AD$620,24,FALSE),0)</f>
        <v>0</v>
      </c>
      <c r="I107" s="362">
        <f>IFERROR(VLOOKUP(C107,'تقرير المصروفات حسب الشهر'!$C$637:$AD$746,24,FALSE),0)</f>
        <v>0</v>
      </c>
      <c r="J107" s="362">
        <f>IFERROR(VLOOKUP(C107,'تقرير المصروفات حسب الشهر'!$C$763:$AD$872,24,FALSE),0)</f>
        <v>0</v>
      </c>
      <c r="K107" s="362">
        <f>IFERROR(VLOOKUP(C107,'تقرير المصروفات حسب الشهر'!$C$890:$AD$999,24,FALSE),0)</f>
        <v>0</v>
      </c>
      <c r="L107" s="362">
        <f>IFERROR(VLOOKUP(C107,'تقرير المصروفات حسب الشهر'!$C$1016:$AD$1126,24,FALSE),0)</f>
        <v>0</v>
      </c>
      <c r="M107" s="376">
        <f>IFERROR(VLOOKUP(C107,'تقرير المصروفات حسب الشهر'!$C$1143:$AD$1254,24,FALSE),0)</f>
        <v>0</v>
      </c>
      <c r="N107" s="376">
        <f>IFERROR(VLOOKUP(C107,'تقرير المصروفات حسب الشهر'!$C$1270:$AD$1381,24,FALSE),0)</f>
        <v>0</v>
      </c>
      <c r="O107" s="376">
        <f>IFERROR(VLOOKUP(C107,'تقرير المصروفات حسب الشهر'!$C$1397:$AI$1512,24,FALSE),0)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الشهر'!$C$10:$AD$119,24,FALSE),0)</f>
        <v>0</v>
      </c>
      <c r="E108" s="362">
        <f>IFERROR(VLOOKUP(C108,'تقرير المصروفات حسب الشهر'!$C$135:$AD$244,24,FALSE),0)</f>
        <v>0</v>
      </c>
      <c r="F108" s="362">
        <f>IFERROR(VLOOKUP(C108,'تقرير المصروفات حسب الشهر'!$C$261:$AD$368,24,FALSE),0)</f>
        <v>0</v>
      </c>
      <c r="G108" s="362">
        <f>IFERROR(VLOOKUP(C108,'تقرير المصروفات حسب الشهر'!$C$387:$AD$495,24,FALSE),0)</f>
        <v>0</v>
      </c>
      <c r="H108" s="362">
        <f>IFERROR(VLOOKUP(C108,'تقرير المصروفات حسب الشهر'!$C$512:$AD$620,24,FALSE),0)</f>
        <v>0</v>
      </c>
      <c r="I108" s="362">
        <f>IFERROR(VLOOKUP(C108,'تقرير المصروفات حسب الشهر'!$C$637:$AD$746,24,FALSE),0)</f>
        <v>0</v>
      </c>
      <c r="J108" s="362">
        <f>IFERROR(VLOOKUP(C108,'تقرير المصروفات حسب الشهر'!$C$763:$AD$872,24,FALSE),0)</f>
        <v>0</v>
      </c>
      <c r="K108" s="362">
        <f>IFERROR(VLOOKUP(C108,'تقرير المصروفات حسب الشهر'!$C$890:$AD$999,24,FALSE),0)</f>
        <v>0</v>
      </c>
      <c r="L108" s="362">
        <f>IFERROR(VLOOKUP(C108,'تقرير المصروفات حسب الشهر'!$C$1016:$AD$1126,24,FALSE),0)</f>
        <v>0</v>
      </c>
      <c r="M108" s="376">
        <f>IFERROR(VLOOKUP(C108,'تقرير المصروفات حسب الشهر'!$C$1143:$AD$1254,24,FALSE),0)</f>
        <v>0</v>
      </c>
      <c r="N108" s="376">
        <f>IFERROR(VLOOKUP(C108,'تقرير المصروفات حسب الشهر'!$C$1270:$AD$1381,24,FALSE),0)</f>
        <v>0</v>
      </c>
      <c r="O108" s="376">
        <f>IFERROR(VLOOKUP(C108,'تقرير المصروفات حسب الشهر'!$C$1397:$AI$1512,24,FALSE),0)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الشهر'!$C$10:$AD$119,24,FALSE),0)</f>
        <v>1721.15</v>
      </c>
      <c r="E109" s="362">
        <f>IFERROR(VLOOKUP(C109,'تقرير المصروفات حسب الشهر'!$C$135:$AD$244,24,FALSE),0)</f>
        <v>0</v>
      </c>
      <c r="F109" s="362">
        <f>IFERROR(VLOOKUP(C109,'تقرير المصروفات حسب الشهر'!$C$261:$AD$368,24,FALSE),0)</f>
        <v>0</v>
      </c>
      <c r="G109" s="362">
        <f>IFERROR(VLOOKUP(C109,'تقرير المصروفات حسب الشهر'!$C$387:$AD$495,24,FALSE),0)</f>
        <v>0</v>
      </c>
      <c r="H109" s="362">
        <f>IFERROR(VLOOKUP(C109,'تقرير المصروفات حسب الشهر'!$C$512:$AD$620,24,FALSE),0)</f>
        <v>0</v>
      </c>
      <c r="I109" s="362">
        <f>IFERROR(VLOOKUP(C109,'تقرير المصروفات حسب الشهر'!$C$637:$AD$746,24,FALSE),0)</f>
        <v>0</v>
      </c>
      <c r="J109" s="362">
        <f>IFERROR(VLOOKUP(C109,'تقرير المصروفات حسب الشهر'!$C$763:$AD$872,24,FALSE),0)</f>
        <v>0</v>
      </c>
      <c r="K109" s="362">
        <f>IFERROR(VLOOKUP(C109,'تقرير المصروفات حسب الشهر'!$C$890:$AD$999,24,FALSE),0)</f>
        <v>0</v>
      </c>
      <c r="L109" s="362">
        <f>IFERROR(VLOOKUP(C109,'تقرير المصروفات حسب الشهر'!$C$1016:$AD$1126,24,FALSE),0)</f>
        <v>0</v>
      </c>
      <c r="M109" s="376">
        <f>IFERROR(VLOOKUP(C109,'تقرير المصروفات حسب الشهر'!$C$1143:$AD$1254,24,FALSE),0)</f>
        <v>0</v>
      </c>
      <c r="N109" s="376">
        <f>IFERROR(VLOOKUP(C109,'تقرير المصروفات حسب الشهر'!$C$1270:$AD$1381,24,FALSE),0)</f>
        <v>463.26</v>
      </c>
      <c r="O109" s="376">
        <f>IFERROR(VLOOKUP(C109,'تقرير المصروفات حسب الشهر'!$C$1397:$AI$1512,24,FALSE),0)</f>
        <v>0</v>
      </c>
      <c r="P109" s="364">
        <f t="shared" si="6"/>
        <v>2184.41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الشهر'!$C$10:$AD$119,24,FALSE),0)</f>
        <v>0</v>
      </c>
      <c r="E110" s="362">
        <f>IFERROR(VLOOKUP(C110,'تقرير المصروفات حسب الشهر'!$C$135:$AD$244,24,FALSE),0)</f>
        <v>0</v>
      </c>
      <c r="F110" s="362">
        <f>IFERROR(VLOOKUP(C110,'تقرير المصروفات حسب الشهر'!$C$261:$AD$368,24,FALSE),0)</f>
        <v>0</v>
      </c>
      <c r="G110" s="362">
        <f>IFERROR(VLOOKUP(C110,'تقرير المصروفات حسب الشهر'!$C$387:$AD$495,24,FALSE),0)</f>
        <v>0</v>
      </c>
      <c r="H110" s="362">
        <f>IFERROR(VLOOKUP(C110,'تقرير المصروفات حسب الشهر'!$C$512:$AD$620,24,FALSE),0)</f>
        <v>0</v>
      </c>
      <c r="I110" s="362">
        <f>IFERROR(VLOOKUP(C110,'تقرير المصروفات حسب الشهر'!$C$637:$AD$746,24,FALSE),0)</f>
        <v>0</v>
      </c>
      <c r="J110" s="362">
        <f>IFERROR(VLOOKUP(C110,'تقرير المصروفات حسب الشهر'!$C$763:$AD$872,24,FALSE),0)</f>
        <v>0</v>
      </c>
      <c r="K110" s="362">
        <f>IFERROR(VLOOKUP(C110,'تقرير المصروفات حسب الشهر'!$C$890:$AD$999,24,FALSE),0)</f>
        <v>0</v>
      </c>
      <c r="L110" s="362">
        <f>IFERROR(VLOOKUP(C110,'تقرير المصروفات حسب الشهر'!$C$1016:$AD$1126,24,FALSE),0)</f>
        <v>0</v>
      </c>
      <c r="M110" s="376">
        <f>IFERROR(VLOOKUP(C110,'تقرير المصروفات حسب الشهر'!$C$1143:$AD$1254,24,FALSE),0)</f>
        <v>15.61</v>
      </c>
      <c r="N110" s="376">
        <f>IFERROR(VLOOKUP(C110,'تقرير المصروفات حسب الشهر'!$C$1270:$AD$1381,24,FALSE),0)</f>
        <v>0</v>
      </c>
      <c r="O110" s="376">
        <f>IFERROR(VLOOKUP(C110,'تقرير المصروفات حسب الشهر'!$C$1397:$AI$1512,24,FALSE),0)</f>
        <v>0</v>
      </c>
      <c r="P110" s="364">
        <f t="shared" si="6"/>
        <v>15.61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الشهر'!$C$10:$AD$119,24,FALSE),0)</f>
        <v>0</v>
      </c>
      <c r="E111" s="362">
        <f>IFERROR(VLOOKUP(C111,'تقرير المصروفات حسب الشهر'!$C$135:$AD$244,24,FALSE),0)</f>
        <v>0</v>
      </c>
      <c r="F111" s="362">
        <f>IFERROR(VLOOKUP(C111,'تقرير المصروفات حسب الشهر'!$C$261:$AD$368,24,FALSE),0)</f>
        <v>0</v>
      </c>
      <c r="G111" s="362">
        <f>IFERROR(VLOOKUP(C111,'تقرير المصروفات حسب الشهر'!$C$387:$AD$495,24,FALSE),0)</f>
        <v>0</v>
      </c>
      <c r="H111" s="362">
        <f>IFERROR(VLOOKUP(C111,'تقرير المصروفات حسب الشهر'!$C$512:$AD$620,24,FALSE),0)</f>
        <v>0</v>
      </c>
      <c r="I111" s="362">
        <f>IFERROR(VLOOKUP(C111,'تقرير المصروفات حسب الشهر'!$C$637:$AD$746,24,FALSE),0)</f>
        <v>0</v>
      </c>
      <c r="J111" s="362">
        <f>IFERROR(VLOOKUP(C111,'تقرير المصروفات حسب الشهر'!$C$763:$AD$872,24,FALSE),0)</f>
        <v>0</v>
      </c>
      <c r="K111" s="362">
        <f>IFERROR(VLOOKUP(C111,'تقرير المصروفات حسب الشهر'!$C$890:$AD$999,24,FALSE),0)</f>
        <v>0</v>
      </c>
      <c r="L111" s="362">
        <f>IFERROR(VLOOKUP(C111,'تقرير المصروفات حسب الشهر'!$C$1016:$AD$1126,24,FALSE),0)</f>
        <v>0</v>
      </c>
      <c r="M111" s="376">
        <f>IFERROR(VLOOKUP(C111,'تقرير المصروفات حسب الشهر'!$C$1143:$AD$1254,24,FALSE),0)</f>
        <v>0</v>
      </c>
      <c r="N111" s="376">
        <f>IFERROR(VLOOKUP(C111,'تقرير المصروفات حسب الشهر'!$C$1270:$AD$1381,24,FALSE),0)</f>
        <v>0</v>
      </c>
      <c r="O111" s="376">
        <f>IFERROR(VLOOKUP(C111,'تقرير المصروفات حسب الشهر'!$C$1397:$AI$1512,24,FALSE),0)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الشهر'!$C$10:$AD$119,24,FALSE),0)</f>
        <v>0</v>
      </c>
      <c r="E112" s="362">
        <f>IFERROR(VLOOKUP(C112,'تقرير المصروفات حسب الشهر'!$C$135:$AD$244,24,FALSE),0)</f>
        <v>0</v>
      </c>
      <c r="F112" s="362">
        <f>IFERROR(VLOOKUP(C112,'تقرير المصروفات حسب الشهر'!$C$261:$AD$368,24,FALSE),0)</f>
        <v>0</v>
      </c>
      <c r="G112" s="362">
        <f>IFERROR(VLOOKUP(C112,'تقرير المصروفات حسب الشهر'!$C$387:$AD$495,24,FALSE),0)</f>
        <v>0</v>
      </c>
      <c r="H112" s="362">
        <f>IFERROR(VLOOKUP(C112,'تقرير المصروفات حسب الشهر'!$C$512:$AD$620,24,FALSE),0)</f>
        <v>0</v>
      </c>
      <c r="I112" s="362">
        <f>IFERROR(VLOOKUP(C112,'تقرير المصروفات حسب الشهر'!$C$637:$AD$746,24,FALSE),0)</f>
        <v>0</v>
      </c>
      <c r="J112" s="362">
        <f>IFERROR(VLOOKUP(C112,'تقرير المصروفات حسب الشهر'!$C$763:$AD$872,24,FALSE),0)</f>
        <v>0</v>
      </c>
      <c r="K112" s="362">
        <f>IFERROR(VLOOKUP(C112,'تقرير المصروفات حسب الشهر'!$C$890:$AD$999,24,FALSE),0)</f>
        <v>0</v>
      </c>
      <c r="L112" s="362">
        <f>IFERROR(VLOOKUP(C112,'تقرير المصروفات حسب الشهر'!$C$1016:$AD$1126,24,FALSE),0)</f>
        <v>0</v>
      </c>
      <c r="M112" s="376">
        <f>IFERROR(VLOOKUP(C112,'تقرير المصروفات حسب الشهر'!$C$1143:$AD$1254,24,FALSE),0)</f>
        <v>0</v>
      </c>
      <c r="N112" s="376">
        <f>IFERROR(VLOOKUP(C112,'تقرير المصروفات حسب الشهر'!$C$1270:$AD$1381,24,FALSE),0)</f>
        <v>0</v>
      </c>
      <c r="O112" s="376">
        <f>IFERROR(VLOOKUP(C112,'تقرير المصروفات حسب الشهر'!$C$1397:$AI$1512,24,FALSE),0)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الشهر'!$C$10:$AD$119,24,FALSE),0)</f>
        <v>0</v>
      </c>
      <c r="E113" s="362">
        <f>IFERROR(VLOOKUP(C113,'تقرير المصروفات حسب الشهر'!$C$135:$AD$244,24,FALSE),0)</f>
        <v>0</v>
      </c>
      <c r="F113" s="362">
        <f>IFERROR(VLOOKUP(C113,'تقرير المصروفات حسب الشهر'!$C$261:$AD$368,24,FALSE),0)</f>
        <v>0</v>
      </c>
      <c r="G113" s="362">
        <f>IFERROR(VLOOKUP(C113,'تقرير المصروفات حسب الشهر'!$C$387:$AD$495,24,FALSE),0)</f>
        <v>0</v>
      </c>
      <c r="H113" s="362">
        <f>IFERROR(VLOOKUP(C113,'تقرير المصروفات حسب الشهر'!$C$512:$AD$620,24,FALSE),0)</f>
        <v>0</v>
      </c>
      <c r="I113" s="362">
        <f>IFERROR(VLOOKUP(C113,'تقرير المصروفات حسب الشهر'!$C$637:$AD$746,24,FALSE),0)</f>
        <v>0</v>
      </c>
      <c r="J113" s="362">
        <f>IFERROR(VLOOKUP(C113,'تقرير المصروفات حسب الشهر'!$C$763:$AD$872,24,FALSE),0)</f>
        <v>0</v>
      </c>
      <c r="K113" s="362">
        <f>IFERROR(VLOOKUP(C113,'تقرير المصروفات حسب الشهر'!$C$890:$AD$999,24,FALSE),0)</f>
        <v>0</v>
      </c>
      <c r="L113" s="362">
        <f>IFERROR(VLOOKUP(C113,'تقرير المصروفات حسب الشهر'!$C$1016:$AD$1126,24,FALSE),0)</f>
        <v>0</v>
      </c>
      <c r="M113" s="376">
        <f>IFERROR(VLOOKUP(C113,'تقرير المصروفات حسب الشهر'!$C$1143:$AD$1254,24,FALSE),0)</f>
        <v>0</v>
      </c>
      <c r="N113" s="376">
        <f>IFERROR(VLOOKUP(C113,'تقرير المصروفات حسب الشهر'!$C$1270:$AD$1381,24,FALSE),0)</f>
        <v>0</v>
      </c>
      <c r="O113" s="376">
        <f>IFERROR(VLOOKUP(C113,'تقرير المصروفات حسب الشهر'!$C$1397:$AI$1512,24,FALSE),0)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الشهر'!$C$10:$AD$119,24,FALSE),0)</f>
        <v>0</v>
      </c>
      <c r="E114" s="362">
        <f>IFERROR(VLOOKUP(C114,'تقرير المصروفات حسب الشهر'!$C$135:$AD$244,24,FALSE),0)</f>
        <v>0</v>
      </c>
      <c r="F114" s="362">
        <f>IFERROR(VLOOKUP(C114,'تقرير المصروفات حسب الشهر'!$C$261:$AD$368,24,FALSE),0)</f>
        <v>0</v>
      </c>
      <c r="G114" s="362">
        <f>IFERROR(VLOOKUP(C114,'تقرير المصروفات حسب الشهر'!$C$387:$AD$495,24,FALSE),0)</f>
        <v>0</v>
      </c>
      <c r="H114" s="362">
        <f>IFERROR(VLOOKUP(C114,'تقرير المصروفات حسب الشهر'!$C$512:$AD$620,24,FALSE),0)</f>
        <v>0</v>
      </c>
      <c r="I114" s="362">
        <f>IFERROR(VLOOKUP(C114,'تقرير المصروفات حسب الشهر'!$C$637:$AD$746,24,FALSE),0)</f>
        <v>0</v>
      </c>
      <c r="J114" s="362">
        <f>IFERROR(VLOOKUP(C114,'تقرير المصروفات حسب الشهر'!$C$763:$AD$872,24,FALSE),0)</f>
        <v>0</v>
      </c>
      <c r="K114" s="362">
        <f>IFERROR(VLOOKUP(C114,'تقرير المصروفات حسب الشهر'!$C$890:$AD$999,24,FALSE),0)</f>
        <v>0</v>
      </c>
      <c r="L114" s="362">
        <f>IFERROR(VLOOKUP(C114,'تقرير المصروفات حسب الشهر'!$C$1016:$AD$1126,24,FALSE),0)</f>
        <v>0</v>
      </c>
      <c r="M114" s="376">
        <f>IFERROR(VLOOKUP(C114,'تقرير المصروفات حسب الشهر'!$C$1143:$AD$1254,24,FALSE),0)</f>
        <v>0</v>
      </c>
      <c r="N114" s="376">
        <f>IFERROR(VLOOKUP(C114,'تقرير المصروفات حسب الشهر'!$C$1270:$AD$1381,24,FALSE),0)</f>
        <v>0</v>
      </c>
      <c r="O114" s="376">
        <f>IFERROR(VLOOKUP(C114,'تقرير المصروفات حسب الشهر'!$C$1397:$AI$1512,24,FALSE),0)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الشهر'!$C$10:$AD$119,24,FALSE),0)</f>
        <v>0</v>
      </c>
      <c r="E115" s="362">
        <f>IFERROR(VLOOKUP(C115,'تقرير المصروفات حسب الشهر'!$C$135:$AD$244,24,FALSE),0)</f>
        <v>0</v>
      </c>
      <c r="F115" s="362">
        <f>IFERROR(VLOOKUP(C115,'تقرير المصروفات حسب الشهر'!$C$261:$AD$368,24,FALSE),0)</f>
        <v>0</v>
      </c>
      <c r="G115" s="362">
        <f>IFERROR(VLOOKUP(C115,'تقرير المصروفات حسب الشهر'!$C$387:$AD$495,24,FALSE),0)</f>
        <v>0</v>
      </c>
      <c r="H115" s="362">
        <f>IFERROR(VLOOKUP(C115,'تقرير المصروفات حسب الشهر'!$C$512:$AD$620,24,FALSE),0)</f>
        <v>0</v>
      </c>
      <c r="I115" s="362">
        <f>IFERROR(VLOOKUP(C115,'تقرير المصروفات حسب الشهر'!$C$637:$AD$746,24,FALSE),0)</f>
        <v>0</v>
      </c>
      <c r="J115" s="362">
        <f>IFERROR(VLOOKUP(C115,'تقرير المصروفات حسب الشهر'!$C$763:$AD$872,24,FALSE),0)</f>
        <v>0</v>
      </c>
      <c r="K115" s="362">
        <f>IFERROR(VLOOKUP(C115,'تقرير المصروفات حسب الشهر'!$C$890:$AD$999,24,FALSE),0)</f>
        <v>0</v>
      </c>
      <c r="L115" s="362">
        <f>IFERROR(VLOOKUP(C115,'تقرير المصروفات حسب الشهر'!$C$1016:$AD$1126,24,FALSE),0)</f>
        <v>0</v>
      </c>
      <c r="M115" s="376">
        <f>IFERROR(VLOOKUP(C115,'تقرير المصروفات حسب الشهر'!$C$1143:$AD$1254,24,FALSE),0)</f>
        <v>0</v>
      </c>
      <c r="N115" s="376">
        <f>IFERROR(VLOOKUP(C115,'تقرير المصروفات حسب الشهر'!$C$1270:$AD$1381,24,FALSE),0)</f>
        <v>0</v>
      </c>
      <c r="O115" s="376">
        <f>IFERROR(VLOOKUP(C115,'تقرير المصروفات حسب الشهر'!$C$1397:$AI$1512,24,FALSE),0)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الشهر'!$C$10:$AD$119,24,FALSE),0)</f>
        <v>0</v>
      </c>
      <c r="E116" s="362">
        <f>IFERROR(VLOOKUP(C116,'تقرير المصروفات حسب الشهر'!$C$135:$AD$244,24,FALSE),0)</f>
        <v>0</v>
      </c>
      <c r="F116" s="362">
        <f>IFERROR(VLOOKUP(C116,'تقرير المصروفات حسب الشهر'!$C$261:$AD$368,24,FALSE),0)</f>
        <v>0</v>
      </c>
      <c r="G116" s="362">
        <f>IFERROR(VLOOKUP(C116,'تقرير المصروفات حسب الشهر'!$C$387:$AD$495,24,FALSE),0)</f>
        <v>0</v>
      </c>
      <c r="H116" s="362">
        <f>IFERROR(VLOOKUP(C116,'تقرير المصروفات حسب الشهر'!$C$512:$AD$620,24,FALSE),0)</f>
        <v>0</v>
      </c>
      <c r="I116" s="362">
        <f>IFERROR(VLOOKUP(C116,'تقرير المصروفات حسب الشهر'!$C$637:$AD$746,24,FALSE),0)</f>
        <v>0</v>
      </c>
      <c r="J116" s="362">
        <f>IFERROR(VLOOKUP(C116,'تقرير المصروفات حسب الشهر'!$C$763:$AD$872,24,FALSE),0)</f>
        <v>0</v>
      </c>
      <c r="K116" s="362">
        <f>IFERROR(VLOOKUP(C116,'تقرير المصروفات حسب الشهر'!$C$890:$AD$999,24,FALSE),0)</f>
        <v>0</v>
      </c>
      <c r="L116" s="362">
        <f>IFERROR(VLOOKUP(C116,'تقرير المصروفات حسب الشهر'!$C$1016:$AD$1126,24,FALSE),0)</f>
        <v>0</v>
      </c>
      <c r="M116" s="376">
        <f>IFERROR(VLOOKUP(C116,'تقرير المصروفات حسب الشهر'!$C$1143:$AD$1254,24,FALSE),0)</f>
        <v>0</v>
      </c>
      <c r="N116" s="376">
        <f>IFERROR(VLOOKUP(C116,'تقرير المصروفات حسب الشهر'!$C$1270:$AD$1381,24,FALSE),0)</f>
        <v>0</v>
      </c>
      <c r="O116" s="376">
        <f>IFERROR(VLOOKUP(C116,'تقرير المصروفات حسب الشهر'!$C$1397:$AI$1512,24,FALSE),0)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الشهر'!$C$10:$AD$119,24,FALSE),0)</f>
        <v>0</v>
      </c>
      <c r="E117" s="362">
        <f>IFERROR(VLOOKUP(C117,'تقرير المصروفات حسب الشهر'!$C$135:$AD$244,24,FALSE),0)</f>
        <v>0</v>
      </c>
      <c r="F117" s="362">
        <f>IFERROR(VLOOKUP(C117,'تقرير المصروفات حسب الشهر'!$C$261:$AD$368,24,FALSE),0)</f>
        <v>0</v>
      </c>
      <c r="G117" s="362">
        <f>IFERROR(VLOOKUP(C117,'تقرير المصروفات حسب الشهر'!$C$387:$AD$495,24,FALSE),0)</f>
        <v>0</v>
      </c>
      <c r="H117" s="362">
        <f>IFERROR(VLOOKUP(C117,'تقرير المصروفات حسب الشهر'!$C$512:$AD$620,24,FALSE),0)</f>
        <v>0</v>
      </c>
      <c r="I117" s="362">
        <f>IFERROR(VLOOKUP(C117,'تقرير المصروفات حسب الشهر'!$C$637:$AD$746,24,FALSE),0)</f>
        <v>0</v>
      </c>
      <c r="J117" s="362">
        <f>IFERROR(VLOOKUP(C117,'تقرير المصروفات حسب الشهر'!$C$763:$AD$872,24,FALSE),0)</f>
        <v>0</v>
      </c>
      <c r="K117" s="362">
        <f>IFERROR(VLOOKUP(C117,'تقرير المصروفات حسب الشهر'!$C$890:$AD$999,24,FALSE),0)</f>
        <v>0</v>
      </c>
      <c r="L117" s="362">
        <f>IFERROR(VLOOKUP(C117,'تقرير المصروفات حسب الشهر'!$C$1016:$AD$1126,24,FALSE),0)</f>
        <v>0</v>
      </c>
      <c r="M117" s="376">
        <f>IFERROR(VLOOKUP(C117,'تقرير المصروفات حسب الشهر'!$C$1143:$AD$1254,24,FALSE),0)</f>
        <v>0</v>
      </c>
      <c r="N117" s="376">
        <f>IFERROR(VLOOKUP(C117,'تقرير المصروفات حسب الشهر'!$C$1270:$AD$1381,24,FALSE),0)</f>
        <v>0</v>
      </c>
      <c r="O117" s="376">
        <f>IFERROR(VLOOKUP(C117,'تقرير المصروفات حسب الشهر'!$C$1397:$AI$1512,24,FALSE),0)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الشهر'!$C$10:$AD$119,24,FALSE),0)</f>
        <v>0</v>
      </c>
      <c r="E118" s="362">
        <f>IFERROR(VLOOKUP(C118,'تقرير المصروفات حسب الشهر'!$C$135:$AD$244,24,FALSE),0)</f>
        <v>0</v>
      </c>
      <c r="F118" s="362">
        <f>IFERROR(VLOOKUP(C118,'تقرير المصروفات حسب الشهر'!$C$261:$AD$368,24,FALSE),0)</f>
        <v>0</v>
      </c>
      <c r="G118" s="362">
        <f>IFERROR(VLOOKUP(C118,'تقرير المصروفات حسب الشهر'!$C$387:$AD$495,24,FALSE),0)</f>
        <v>0</v>
      </c>
      <c r="H118" s="362">
        <f>IFERROR(VLOOKUP(C118,'تقرير المصروفات حسب الشهر'!$C$512:$AD$620,24,FALSE),0)</f>
        <v>0</v>
      </c>
      <c r="I118" s="362">
        <f>IFERROR(VLOOKUP(C118,'تقرير المصروفات حسب الشهر'!$C$637:$AD$746,24,FALSE),0)</f>
        <v>0</v>
      </c>
      <c r="J118" s="362">
        <f>IFERROR(VLOOKUP(C118,'تقرير المصروفات حسب الشهر'!$C$763:$AD$872,24,FALSE),0)</f>
        <v>0</v>
      </c>
      <c r="K118" s="362">
        <f>IFERROR(VLOOKUP(C118,'تقرير المصروفات حسب الشهر'!$C$890:$AD$999,24,FALSE),0)</f>
        <v>0</v>
      </c>
      <c r="L118" s="362">
        <f>IFERROR(VLOOKUP(C118,'تقرير المصروفات حسب الشهر'!$C$1016:$AD$1126,24,FALSE),0)</f>
        <v>0</v>
      </c>
      <c r="M118" s="376">
        <f>IFERROR(VLOOKUP(C118,'تقرير المصروفات حسب الشهر'!$C$1143:$AD$1254,24,FALSE),0)</f>
        <v>0</v>
      </c>
      <c r="N118" s="376">
        <f>IFERROR(VLOOKUP(C118,'تقرير المصروفات حسب الشهر'!$C$1270:$AD$1381,24,FALSE),0)</f>
        <v>0</v>
      </c>
      <c r="O118" s="376">
        <f>IFERROR(VLOOKUP(C118,'تقرير المصروفات حسب الشهر'!$C$1397:$AI$1512,24,FALSE),0)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الشهر'!$C$10:$AD$119,24,FALSE),0)</f>
        <v>0</v>
      </c>
      <c r="E119" s="362">
        <f>IFERROR(VLOOKUP(C119,'تقرير المصروفات حسب الشهر'!$C$135:$AD$244,24,FALSE),0)</f>
        <v>0</v>
      </c>
      <c r="F119" s="362">
        <f>IFERROR(VLOOKUP(C119,'تقرير المصروفات حسب الشهر'!$C$261:$AD$368,24,FALSE),0)</f>
        <v>0</v>
      </c>
      <c r="G119" s="362">
        <f>IFERROR(VLOOKUP(C119,'تقرير المصروفات حسب الشهر'!$C$387:$AD$495,24,FALSE),0)</f>
        <v>0</v>
      </c>
      <c r="H119" s="362">
        <f>IFERROR(VLOOKUP(C119,'تقرير المصروفات حسب الشهر'!$C$512:$AD$620,24,FALSE),0)</f>
        <v>0</v>
      </c>
      <c r="I119" s="362">
        <f>IFERROR(VLOOKUP(C119,'تقرير المصروفات حسب الشهر'!$C$637:$AD$746,24,FALSE),0)</f>
        <v>0</v>
      </c>
      <c r="J119" s="362">
        <f>IFERROR(VLOOKUP(C119,'تقرير المصروفات حسب الشهر'!$C$763:$AD$872,24,FALSE),0)</f>
        <v>0</v>
      </c>
      <c r="K119" s="362">
        <f>IFERROR(VLOOKUP(C119,'تقرير المصروفات حسب الشهر'!$C$890:$AD$999,24,FALSE),0)</f>
        <v>0</v>
      </c>
      <c r="L119" s="362">
        <f>IFERROR(VLOOKUP(C119,'تقرير المصروفات حسب الشهر'!$C$1016:$AD$1126,24,FALSE),0)</f>
        <v>0</v>
      </c>
      <c r="M119" s="376">
        <f>IFERROR(VLOOKUP(C119,'تقرير المصروفات حسب الشهر'!$C$1143:$AD$1254,24,FALSE),0)</f>
        <v>0</v>
      </c>
      <c r="N119" s="376">
        <f>IFERROR(VLOOKUP(C119,'تقرير المصروفات حسب الشهر'!$C$1270:$AD$1381,24,FALSE),0)</f>
        <v>0</v>
      </c>
      <c r="O119" s="376">
        <f>IFERROR(VLOOKUP(C119,'تقرير المصروفات حسب الشهر'!$C$1397:$AI$1512,24,FALSE),0)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الشهر'!$C$10:$AD$119,24,FALSE),0)</f>
        <v>0</v>
      </c>
      <c r="E120" s="362">
        <f>IFERROR(VLOOKUP(C120,'تقرير المصروفات حسب الشهر'!$C$135:$AD$244,24,FALSE),0)</f>
        <v>0</v>
      </c>
      <c r="F120" s="362">
        <f>IFERROR(VLOOKUP(C120,'تقرير المصروفات حسب الشهر'!$C$261:$AD$368,24,FALSE),0)</f>
        <v>0</v>
      </c>
      <c r="G120" s="362">
        <f>IFERROR(VLOOKUP(C120,'تقرير المصروفات حسب الشهر'!$C$387:$AD$495,24,FALSE),0)</f>
        <v>0</v>
      </c>
      <c r="H120" s="362">
        <f>IFERROR(VLOOKUP(C120,'تقرير المصروفات حسب الشهر'!$C$512:$AD$620,24,FALSE),0)</f>
        <v>0</v>
      </c>
      <c r="I120" s="362">
        <f>IFERROR(VLOOKUP(C120,'تقرير المصروفات حسب الشهر'!$C$637:$AD$746,24,FALSE),0)</f>
        <v>0</v>
      </c>
      <c r="J120" s="362">
        <f>IFERROR(VLOOKUP(C120,'تقرير المصروفات حسب الشهر'!$C$763:$AD$872,24,FALSE),0)</f>
        <v>0</v>
      </c>
      <c r="K120" s="362">
        <f>IFERROR(VLOOKUP(C120,'تقرير المصروفات حسب الشهر'!$C$890:$AD$999,24,FALSE),0)</f>
        <v>0</v>
      </c>
      <c r="L120" s="362">
        <f>IFERROR(VLOOKUP(C120,'تقرير المصروفات حسب الشهر'!$C$1016:$AD$1126,24,FALSE),0)</f>
        <v>0</v>
      </c>
      <c r="M120" s="376">
        <f>IFERROR(VLOOKUP(C120,'تقرير المصروفات حسب الشهر'!$C$1143:$AD$1254,24,FALSE),0)</f>
        <v>0</v>
      </c>
      <c r="N120" s="376">
        <f>IFERROR(VLOOKUP(C120,'تقرير المصروفات حسب الشهر'!$C$1270:$AD$1381,24,FALSE),0)</f>
        <v>0</v>
      </c>
      <c r="O120" s="376">
        <f>IFERROR(VLOOKUP(C120,'تقرير المصروفات حسب الشهر'!$C$1397:$AI$1512,24,FALSE),0)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الشهر'!$C$10:$AD$119,24,FALSE),0)</f>
        <v>0</v>
      </c>
      <c r="E121" s="362">
        <f>IFERROR(VLOOKUP(C121,'تقرير المصروفات حسب الشهر'!$C$135:$AD$244,24,FALSE),0)</f>
        <v>0</v>
      </c>
      <c r="F121" s="362">
        <f>IFERROR(VLOOKUP(C121,'تقرير المصروفات حسب الشهر'!$C$261:$AD$368,24,FALSE),0)</f>
        <v>0</v>
      </c>
      <c r="G121" s="362">
        <f>IFERROR(VLOOKUP(C121,'تقرير المصروفات حسب الشهر'!$C$387:$AD$495,24,FALSE),0)</f>
        <v>0</v>
      </c>
      <c r="H121" s="362">
        <f>IFERROR(VLOOKUP(C121,'تقرير المصروفات حسب الشهر'!$C$512:$AD$620,24,FALSE),0)</f>
        <v>0</v>
      </c>
      <c r="I121" s="362">
        <f>IFERROR(VLOOKUP(C121,'تقرير المصروفات حسب الشهر'!$C$637:$AD$746,24,FALSE),0)</f>
        <v>0</v>
      </c>
      <c r="J121" s="362">
        <f>IFERROR(VLOOKUP(C121,'تقرير المصروفات حسب الشهر'!$C$763:$AD$872,24,FALSE),0)</f>
        <v>0</v>
      </c>
      <c r="K121" s="362">
        <f>IFERROR(VLOOKUP(C121,'تقرير المصروفات حسب الشهر'!$C$890:$AD$999,24,FALSE),0)</f>
        <v>0</v>
      </c>
      <c r="L121" s="362">
        <f>IFERROR(VLOOKUP(C121,'تقرير المصروفات حسب الشهر'!$C$1016:$AD$1126,24,FALSE),0)</f>
        <v>0</v>
      </c>
      <c r="M121" s="376">
        <f>IFERROR(VLOOKUP(C121,'تقرير المصروفات حسب الشهر'!$C$1143:$AD$1254,24,FALSE),0)</f>
        <v>0</v>
      </c>
      <c r="N121" s="376">
        <f>IFERROR(VLOOKUP(C121,'تقرير المصروفات حسب الشهر'!$C$1270:$AD$1381,24,FALSE),0)</f>
        <v>0</v>
      </c>
      <c r="O121" s="376">
        <f>IFERROR(VLOOKUP(C121,'تقرير المصروفات حسب الشهر'!$C$1397:$AI$1512,24,FALSE),0)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الشهر'!$C$10:$AD$119,24,FALSE),0)</f>
        <v>0</v>
      </c>
      <c r="E122" s="362">
        <f>IFERROR(VLOOKUP(C122,'تقرير المصروفات حسب الشهر'!$C$135:$AD$244,24,FALSE),0)</f>
        <v>0</v>
      </c>
      <c r="F122" s="362">
        <f>IFERROR(VLOOKUP(C122,'تقرير المصروفات حسب الشهر'!$C$261:$AD$368,24,FALSE),0)</f>
        <v>0</v>
      </c>
      <c r="G122" s="362">
        <f>IFERROR(VLOOKUP(C122,'تقرير المصروفات حسب الشهر'!$C$387:$AD$495,24,FALSE),0)</f>
        <v>0</v>
      </c>
      <c r="H122" s="362">
        <f>IFERROR(VLOOKUP(C122,'تقرير المصروفات حسب الشهر'!$C$512:$AD$620,24,FALSE),0)</f>
        <v>0</v>
      </c>
      <c r="I122" s="362">
        <f>IFERROR(VLOOKUP(C122,'تقرير المصروفات حسب الشهر'!$C$637:$AD$746,24,FALSE),0)</f>
        <v>0</v>
      </c>
      <c r="J122" s="362">
        <f>IFERROR(VLOOKUP(C122,'تقرير المصروفات حسب الشهر'!$C$763:$AD$872,24,FALSE),0)</f>
        <v>0</v>
      </c>
      <c r="K122" s="362">
        <f>IFERROR(VLOOKUP(C122,'تقرير المصروفات حسب الشهر'!$C$890:$AD$999,24,FALSE),0)</f>
        <v>0</v>
      </c>
      <c r="L122" s="362">
        <f>IFERROR(VLOOKUP(C122,'تقرير المصروفات حسب الشهر'!$C$1016:$AD$1126,24,FALSE),0)</f>
        <v>0</v>
      </c>
      <c r="M122" s="376">
        <f>IFERROR(VLOOKUP(C122,'تقرير المصروفات حسب الشهر'!$C$1143:$AD$1254,24,FALSE),0)</f>
        <v>0</v>
      </c>
      <c r="N122" s="376">
        <f>IFERROR(VLOOKUP(C122,'تقرير المصروفات حسب الشهر'!$C$1270:$AD$1381,24,FALSE),0)</f>
        <v>0</v>
      </c>
      <c r="O122" s="376">
        <f>IFERROR(VLOOKUP(C122,'تقرير المصروفات حسب الشهر'!$C$1397:$AI$1512,24,FALSE),0)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الشهر'!$C$10:$AD$119,24,FALSE),0)</f>
        <v>0</v>
      </c>
      <c r="E123" s="362">
        <f>IFERROR(VLOOKUP(C123,'تقرير المصروفات حسب الشهر'!$C$135:$AD$244,24,FALSE),0)</f>
        <v>0</v>
      </c>
      <c r="F123" s="362">
        <f>IFERROR(VLOOKUP(C123,'تقرير المصروفات حسب الشهر'!$C$261:$AD$368,24,FALSE),0)</f>
        <v>0</v>
      </c>
      <c r="G123" s="362">
        <f>IFERROR(VLOOKUP(C123,'تقرير المصروفات حسب الشهر'!$C$387:$AD$495,24,FALSE),0)</f>
        <v>0</v>
      </c>
      <c r="H123" s="362">
        <f>IFERROR(VLOOKUP(C123,'تقرير المصروفات حسب الشهر'!$C$512:$AD$620,24,FALSE),0)</f>
        <v>0</v>
      </c>
      <c r="I123" s="362">
        <f>IFERROR(VLOOKUP(C123,'تقرير المصروفات حسب الشهر'!$C$637:$AD$746,24,FALSE),0)</f>
        <v>0</v>
      </c>
      <c r="J123" s="362">
        <f>IFERROR(VLOOKUP(C123,'تقرير المصروفات حسب الشهر'!$C$763:$AD$872,24,FALSE),0)</f>
        <v>0</v>
      </c>
      <c r="K123" s="362">
        <f>IFERROR(VLOOKUP(C123,'تقرير المصروفات حسب الشهر'!$C$890:$AD$999,24,FALSE),0)</f>
        <v>0</v>
      </c>
      <c r="L123" s="362">
        <f>IFERROR(VLOOKUP(C123,'تقرير المصروفات حسب الشهر'!$C$1016:$AD$1126,24,FALSE),0)</f>
        <v>0</v>
      </c>
      <c r="M123" s="376">
        <f>IFERROR(VLOOKUP(C123,'تقرير المصروفات حسب الشهر'!$C$1143:$AD$1254,24,FALSE),0)</f>
        <v>0</v>
      </c>
      <c r="N123" s="376">
        <f>IFERROR(VLOOKUP(C123,'تقرير المصروفات حسب الشهر'!$C$1270:$AD$1381,24,FALSE),0)</f>
        <v>0</v>
      </c>
      <c r="O123" s="376">
        <f>IFERROR(VLOOKUP(C123,'تقرير المصروفات حسب الشهر'!$C$1397:$AI$1512,24,FALSE),0)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الشهر'!$C$10:$AD$119,24,FALSE),0)</f>
        <v>0</v>
      </c>
      <c r="E124" s="362">
        <f>IFERROR(VLOOKUP(C124,'تقرير المصروفات حسب الشهر'!$C$135:$AD$244,24,FALSE),0)</f>
        <v>0</v>
      </c>
      <c r="F124" s="362">
        <f>IFERROR(VLOOKUP(C124,'تقرير المصروفات حسب الشهر'!$C$261:$AD$368,24,FALSE),0)</f>
        <v>0</v>
      </c>
      <c r="G124" s="362">
        <f>IFERROR(VLOOKUP(C124,'تقرير المصروفات حسب الشهر'!$C$387:$AD$495,24,FALSE),0)</f>
        <v>0</v>
      </c>
      <c r="H124" s="362">
        <f>IFERROR(VLOOKUP(C124,'تقرير المصروفات حسب الشهر'!$C$512:$AD$620,24,FALSE),0)</f>
        <v>0</v>
      </c>
      <c r="I124" s="362">
        <f>IFERROR(VLOOKUP(C124,'تقرير المصروفات حسب الشهر'!$C$637:$AD$746,24,FALSE),0)</f>
        <v>0</v>
      </c>
      <c r="J124" s="362">
        <f>IFERROR(VLOOKUP(C124,'تقرير المصروفات حسب الشهر'!$C$763:$AD$872,24,FALSE),0)</f>
        <v>0</v>
      </c>
      <c r="K124" s="362">
        <f>IFERROR(VLOOKUP(C124,'تقرير المصروفات حسب الشهر'!$C$890:$AD$999,24,FALSE),0)</f>
        <v>0</v>
      </c>
      <c r="L124" s="362">
        <f>IFERROR(VLOOKUP(C124,'تقرير المصروفات حسب الشهر'!$C$1016:$AD$1126,24,FALSE),0)</f>
        <v>0</v>
      </c>
      <c r="M124" s="376">
        <f>IFERROR(VLOOKUP(C124,'تقرير المصروفات حسب الشهر'!$C$1143:$AD$1254,24,FALSE),0)</f>
        <v>0</v>
      </c>
      <c r="N124" s="376">
        <f>IFERROR(VLOOKUP(C124,'تقرير المصروفات حسب الشهر'!$C$1270:$AD$1381,24,FALSE),0)</f>
        <v>0</v>
      </c>
      <c r="O124" s="376">
        <f>IFERROR(VLOOKUP(C124,'تقرير المصروفات حسب الشهر'!$C$1397:$AI$1512,24,FALSE),0)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الشهر'!$C$10:$AD$119,24,FALSE),0)</f>
        <v>0</v>
      </c>
      <c r="E125" s="362">
        <f>IFERROR(VLOOKUP(C125,'تقرير المصروفات حسب الشهر'!$C$135:$AD$244,24,FALSE),0)</f>
        <v>0</v>
      </c>
      <c r="F125" s="362">
        <f>IFERROR(VLOOKUP(C125,'تقرير المصروفات حسب الشهر'!$C$261:$AD$368,24,FALSE),0)</f>
        <v>0</v>
      </c>
      <c r="G125" s="362">
        <f>IFERROR(VLOOKUP(C125,'تقرير المصروفات حسب الشهر'!$C$387:$AD$495,24,FALSE),0)</f>
        <v>0</v>
      </c>
      <c r="H125" s="362">
        <f>IFERROR(VLOOKUP(C125,'تقرير المصروفات حسب الشهر'!$C$512:$AD$620,24,FALSE),0)</f>
        <v>0</v>
      </c>
      <c r="I125" s="362">
        <f>IFERROR(VLOOKUP(C125,'تقرير المصروفات حسب الشهر'!$C$637:$AD$746,24,FALSE),0)</f>
        <v>0</v>
      </c>
      <c r="J125" s="362">
        <f>IFERROR(VLOOKUP(C125,'تقرير المصروفات حسب الشهر'!$C$763:$AD$872,24,FALSE),0)</f>
        <v>0</v>
      </c>
      <c r="K125" s="362">
        <f>IFERROR(VLOOKUP(C125,'تقرير المصروفات حسب الشهر'!$C$890:$AD$999,24,FALSE),0)</f>
        <v>0</v>
      </c>
      <c r="L125" s="362">
        <f>IFERROR(VLOOKUP(C125,'تقرير المصروفات حسب الشهر'!$C$1016:$AD$1126,24,FALSE),0)</f>
        <v>0</v>
      </c>
      <c r="M125" s="376">
        <f>IFERROR(VLOOKUP(C125,'تقرير المصروفات حسب الشهر'!$C$1143:$AD$1254,24,FALSE),0)</f>
        <v>0</v>
      </c>
      <c r="N125" s="376">
        <f>IFERROR(VLOOKUP(C125,'تقرير المصروفات حسب الشهر'!$C$1270:$AD$1381,24,FALSE),0)</f>
        <v>0</v>
      </c>
      <c r="O125" s="376">
        <f>IFERROR(VLOOKUP(C125,'تقرير المصروفات حسب الشهر'!$C$1397:$AI$1512,24,FALSE),0)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الشهر'!$C$10:$AD$119,24,FALSE),0)</f>
        <v>0</v>
      </c>
      <c r="E126" s="362">
        <f>IFERROR(VLOOKUP(C126,'تقرير المصروفات حسب الشهر'!$C$135:$AD$244,24,FALSE),0)</f>
        <v>0</v>
      </c>
      <c r="F126" s="362">
        <f>IFERROR(VLOOKUP(C126,'تقرير المصروفات حسب الشهر'!$C$261:$AD$368,24,FALSE),0)</f>
        <v>0</v>
      </c>
      <c r="G126" s="362">
        <f>IFERROR(VLOOKUP(C126,'تقرير المصروفات حسب الشهر'!$C$387:$AD$495,24,FALSE),0)</f>
        <v>0</v>
      </c>
      <c r="H126" s="362">
        <f>IFERROR(VLOOKUP(C126,'تقرير المصروفات حسب الشهر'!$C$512:$AD$620,24,FALSE),0)</f>
        <v>0</v>
      </c>
      <c r="I126" s="362">
        <f>IFERROR(VLOOKUP(C126,'تقرير المصروفات حسب الشهر'!$C$637:$AD$746,24,FALSE),0)</f>
        <v>0</v>
      </c>
      <c r="J126" s="362">
        <f>IFERROR(VLOOKUP(C126,'تقرير المصروفات حسب الشهر'!$C$763:$AD$872,24,FALSE),0)</f>
        <v>0</v>
      </c>
      <c r="K126" s="362">
        <f>IFERROR(VLOOKUP(C126,'تقرير المصروفات حسب الشهر'!$C$890:$AD$999,24,FALSE),0)</f>
        <v>0</v>
      </c>
      <c r="L126" s="362">
        <f>IFERROR(VLOOKUP(C126,'تقرير المصروفات حسب الشهر'!$C$1016:$AD$1126,24,FALSE),0)</f>
        <v>0</v>
      </c>
      <c r="M126" s="376">
        <f>IFERROR(VLOOKUP(C126,'تقرير المصروفات حسب الشهر'!$C$1143:$AD$1254,24,FALSE),0)</f>
        <v>0</v>
      </c>
      <c r="N126" s="376">
        <f>IFERROR(VLOOKUP(C126,'تقرير المصروفات حسب الشهر'!$C$1270:$AD$1381,24,FALSE),0)</f>
        <v>0</v>
      </c>
      <c r="O126" s="376">
        <f>IFERROR(VLOOKUP(C126,'تقرير المصروفات حسب الشهر'!$C$1397:$AI$1512,24,FALSE),0)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الشهر'!$C$10:$AD$119,24,FALSE),0)</f>
        <v>0</v>
      </c>
      <c r="E127" s="362">
        <f>IFERROR(VLOOKUP(C127,'تقرير المصروفات حسب الشهر'!$C$135:$AD$244,24,FALSE),0)</f>
        <v>0</v>
      </c>
      <c r="F127" s="362">
        <f>IFERROR(VLOOKUP(C127,'تقرير المصروفات حسب الشهر'!$C$261:$AD$368,24,FALSE),0)</f>
        <v>0</v>
      </c>
      <c r="G127" s="362">
        <f>IFERROR(VLOOKUP(C127,'تقرير المصروفات حسب الشهر'!$C$387:$AD$495,24,FALSE),0)</f>
        <v>0</v>
      </c>
      <c r="H127" s="362">
        <f>IFERROR(VLOOKUP(C127,'تقرير المصروفات حسب الشهر'!$C$512:$AD$620,24,FALSE),0)</f>
        <v>0</v>
      </c>
      <c r="I127" s="362">
        <f>IFERROR(VLOOKUP(C127,'تقرير المصروفات حسب الشهر'!$C$637:$AD$746,24,FALSE),0)</f>
        <v>0</v>
      </c>
      <c r="J127" s="362">
        <f>IFERROR(VLOOKUP(C127,'تقرير المصروفات حسب الشهر'!$C$763:$AD$872,24,FALSE),0)</f>
        <v>0</v>
      </c>
      <c r="K127" s="362">
        <f>IFERROR(VLOOKUP(C127,'تقرير المصروفات حسب الشهر'!$C$890:$AD$999,24,FALSE),0)</f>
        <v>0</v>
      </c>
      <c r="L127" s="362">
        <f>IFERROR(VLOOKUP(C127,'تقرير المصروفات حسب الشهر'!$C$1016:$AD$1126,24,FALSE),0)</f>
        <v>0</v>
      </c>
      <c r="M127" s="376">
        <f>IFERROR(VLOOKUP(C127,'تقرير المصروفات حسب الشهر'!$C$1143:$AD$1254,24,FALSE),0)</f>
        <v>0</v>
      </c>
      <c r="N127" s="376">
        <f>IFERROR(VLOOKUP(C127,'تقرير المصروفات حسب الشهر'!$C$1270:$AD$1381,24,FALSE),0)</f>
        <v>0</v>
      </c>
      <c r="O127" s="376">
        <f>IFERROR(VLOOKUP(C127,'تقرير المصروفات حسب الشهر'!$C$1397:$AI$1512,24,FALSE),0)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الشهر'!$C$10:$AD$119,24,FALSE),0)</f>
        <v>0</v>
      </c>
      <c r="E128" s="362">
        <f>IFERROR(VLOOKUP(C128,'تقرير المصروفات حسب الشهر'!$C$135:$AD$244,24,FALSE),0)</f>
        <v>0</v>
      </c>
      <c r="F128" s="362">
        <f>IFERROR(VLOOKUP(C128,'تقرير المصروفات حسب الشهر'!$C$261:$AD$368,24,FALSE),0)</f>
        <v>0</v>
      </c>
      <c r="G128" s="362">
        <f>IFERROR(VLOOKUP(C128,'تقرير المصروفات حسب الشهر'!$C$387:$AD$495,24,FALSE),0)</f>
        <v>0</v>
      </c>
      <c r="H128" s="362">
        <f>IFERROR(VLOOKUP(C128,'تقرير المصروفات حسب الشهر'!$C$512:$AD$620,24,FALSE),0)</f>
        <v>0</v>
      </c>
      <c r="I128" s="362">
        <f>IFERROR(VLOOKUP(C128,'تقرير المصروفات حسب الشهر'!$C$637:$AD$746,24,FALSE),0)</f>
        <v>0</v>
      </c>
      <c r="J128" s="362">
        <f>IFERROR(VLOOKUP(C128,'تقرير المصروفات حسب الشهر'!$C$763:$AD$872,24,FALSE),0)</f>
        <v>0</v>
      </c>
      <c r="K128" s="362">
        <f>IFERROR(VLOOKUP(C128,'تقرير المصروفات حسب الشهر'!$C$890:$AD$999,24,FALSE),0)</f>
        <v>0</v>
      </c>
      <c r="L128" s="362">
        <f>IFERROR(VLOOKUP(C128,'تقرير المصروفات حسب الشهر'!$C$1016:$AD$1126,24,FALSE),0)</f>
        <v>0</v>
      </c>
      <c r="M128" s="376">
        <f>IFERROR(VLOOKUP(C128,'تقرير المصروفات حسب الشهر'!$C$1143:$AD$1254,24,FALSE),0)</f>
        <v>0</v>
      </c>
      <c r="N128" s="376">
        <f>IFERROR(VLOOKUP(C128,'تقرير المصروفات حسب الشهر'!$C$1270:$AD$1381,24,FALSE),0)</f>
        <v>0</v>
      </c>
      <c r="O128" s="376">
        <f>IFERROR(VLOOKUP(C128,'تقرير المصروفات حسب الشهر'!$C$1397:$AI$1512,24,FALSE),0)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الشهر'!$C$10:$AD$119,24,FALSE),0)</f>
        <v>0</v>
      </c>
      <c r="E129" s="362">
        <f>IFERROR(VLOOKUP(C129,'تقرير المصروفات حسب الشهر'!$C$135:$AD$244,24,FALSE),0)</f>
        <v>0</v>
      </c>
      <c r="F129" s="362">
        <f>IFERROR(VLOOKUP(C129,'تقرير المصروفات حسب الشهر'!$C$261:$AD$368,24,FALSE),0)</f>
        <v>0</v>
      </c>
      <c r="G129" s="362">
        <f>IFERROR(VLOOKUP(C129,'تقرير المصروفات حسب الشهر'!$C$387:$AD$495,24,FALSE),0)</f>
        <v>0</v>
      </c>
      <c r="H129" s="362">
        <f>IFERROR(VLOOKUP(C129,'تقرير المصروفات حسب الشهر'!$C$512:$AD$620,24,FALSE),0)</f>
        <v>0</v>
      </c>
      <c r="I129" s="362">
        <f>IFERROR(VLOOKUP(C129,'تقرير المصروفات حسب الشهر'!$C$637:$AD$746,24,FALSE),0)</f>
        <v>0</v>
      </c>
      <c r="J129" s="362">
        <f>IFERROR(VLOOKUP(C129,'تقرير المصروفات حسب الشهر'!$C$763:$AD$872,24,FALSE),0)</f>
        <v>0</v>
      </c>
      <c r="K129" s="362">
        <f>IFERROR(VLOOKUP(C129,'تقرير المصروفات حسب الشهر'!$C$890:$AD$999,24,FALSE),0)</f>
        <v>0</v>
      </c>
      <c r="L129" s="362">
        <f>IFERROR(VLOOKUP(C129,'تقرير المصروفات حسب الشهر'!$C$1016:$AD$1126,24,FALSE),0)</f>
        <v>0</v>
      </c>
      <c r="M129" s="376">
        <f>IFERROR(VLOOKUP(C129,'تقرير المصروفات حسب الشهر'!$C$1143:$AD$1254,24,FALSE),0)</f>
        <v>0</v>
      </c>
      <c r="N129" s="376">
        <f>IFERROR(VLOOKUP(C129,'تقرير المصروفات حسب الشهر'!$C$1270:$AD$1381,24,FALSE),0)</f>
        <v>0</v>
      </c>
      <c r="O129" s="376">
        <f>IFERROR(VLOOKUP(C129,'تقرير المصروفات حسب الشهر'!$C$1397:$AI$1512,24,FALSE),0)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الشهر'!$C$10:$AD$119,24,FALSE),0)</f>
        <v>0</v>
      </c>
      <c r="E130" s="362">
        <f>IFERROR(VLOOKUP(C130,'تقرير المصروفات حسب الشهر'!$C$135:$AD$244,24,FALSE),0)</f>
        <v>0</v>
      </c>
      <c r="F130" s="362">
        <f>IFERROR(VLOOKUP(C130,'تقرير المصروفات حسب الشهر'!$C$261:$AD$368,24,FALSE),0)</f>
        <v>0</v>
      </c>
      <c r="G130" s="362">
        <f>IFERROR(VLOOKUP(C130,'تقرير المصروفات حسب الشهر'!$C$387:$AD$495,24,FALSE),0)</f>
        <v>0</v>
      </c>
      <c r="H130" s="362">
        <f>IFERROR(VLOOKUP(C130,'تقرير المصروفات حسب الشهر'!$C$512:$AD$620,24,FALSE),0)</f>
        <v>0</v>
      </c>
      <c r="I130" s="362">
        <f>IFERROR(VLOOKUP(C130,'تقرير المصروفات حسب الشهر'!$C$637:$AD$746,24,FALSE),0)</f>
        <v>0</v>
      </c>
      <c r="J130" s="362">
        <f>IFERROR(VLOOKUP(C130,'تقرير المصروفات حسب الشهر'!$C$763:$AD$872,24,FALSE),0)</f>
        <v>0</v>
      </c>
      <c r="K130" s="362">
        <f>IFERROR(VLOOKUP(C130,'تقرير المصروفات حسب الشهر'!$C$890:$AD$999,24,FALSE),0)</f>
        <v>0</v>
      </c>
      <c r="L130" s="362">
        <f>IFERROR(VLOOKUP(C130,'تقرير المصروفات حسب الشهر'!$C$1016:$AD$1126,24,FALSE),0)</f>
        <v>0</v>
      </c>
      <c r="M130" s="376">
        <f>IFERROR(VLOOKUP(C130,'تقرير المصروفات حسب الشهر'!$C$1143:$AD$1254,24,FALSE),0)</f>
        <v>0</v>
      </c>
      <c r="N130" s="376">
        <f>IFERROR(VLOOKUP(C130,'تقرير المصروفات حسب الشهر'!$C$1270:$AD$1381,24,FALSE),0)</f>
        <v>0</v>
      </c>
      <c r="O130" s="376">
        <f>IFERROR(VLOOKUP(C130,'تقرير المصروفات حسب الشهر'!$C$1397:$AI$1512,24,FALSE),0)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الشهر'!$C$10:$AD$119,24,FALSE),0)</f>
        <v>0</v>
      </c>
      <c r="E131" s="362">
        <f>IFERROR(VLOOKUP(C131,'تقرير المصروفات حسب الشهر'!$C$135:$AD$244,24,FALSE),0)</f>
        <v>0</v>
      </c>
      <c r="F131" s="362">
        <f>IFERROR(VLOOKUP(C131,'تقرير المصروفات حسب الشهر'!$C$261:$AD$368,24,FALSE),0)</f>
        <v>0</v>
      </c>
      <c r="G131" s="362">
        <f>IFERROR(VLOOKUP(C131,'تقرير المصروفات حسب الشهر'!$C$387:$AD$495,24,FALSE),0)</f>
        <v>0</v>
      </c>
      <c r="H131" s="362">
        <f>IFERROR(VLOOKUP(C131,'تقرير المصروفات حسب الشهر'!$C$512:$AD$620,24,FALSE),0)</f>
        <v>0</v>
      </c>
      <c r="I131" s="362">
        <f>IFERROR(VLOOKUP(C131,'تقرير المصروفات حسب الشهر'!$C$637:$AD$746,24,FALSE),0)</f>
        <v>0</v>
      </c>
      <c r="J131" s="362">
        <f>IFERROR(VLOOKUP(C131,'تقرير المصروفات حسب الشهر'!$C$763:$AD$872,24,FALSE),0)</f>
        <v>0</v>
      </c>
      <c r="K131" s="362">
        <f>IFERROR(VLOOKUP(C131,'تقرير المصروفات حسب الشهر'!$C$890:$AD$999,24,FALSE),0)</f>
        <v>0</v>
      </c>
      <c r="L131" s="362">
        <f>IFERROR(VLOOKUP(C131,'تقرير المصروفات حسب الشهر'!$C$1016:$AD$1126,24,FALSE),0)</f>
        <v>0</v>
      </c>
      <c r="M131" s="376">
        <f>IFERROR(VLOOKUP(C131,'تقرير المصروفات حسب الشهر'!$C$1143:$AD$1254,24,FALSE),0)</f>
        <v>0</v>
      </c>
      <c r="N131" s="376">
        <f>IFERROR(VLOOKUP(C131,'تقرير المصروفات حسب الشهر'!$C$1270:$AD$1381,24,FALSE),0)</f>
        <v>0</v>
      </c>
      <c r="O131" s="376">
        <f>IFERROR(VLOOKUP(C131,'تقرير المصروفات حسب الشهر'!$C$1397:$AI$1512,24,FALSE),0)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13239.8</v>
      </c>
      <c r="E132" s="146">
        <f t="shared" si="7"/>
        <v>12843.55</v>
      </c>
      <c r="F132" s="146">
        <f t="shared" si="7"/>
        <v>10234.09</v>
      </c>
      <c r="G132" s="146">
        <f t="shared" si="7"/>
        <v>18417.210000000003</v>
      </c>
      <c r="H132" s="146">
        <f t="shared" si="7"/>
        <v>9476.3799999999992</v>
      </c>
      <c r="I132" s="146">
        <f t="shared" si="7"/>
        <v>10339.219999999999</v>
      </c>
      <c r="J132" s="146">
        <f t="shared" si="7"/>
        <v>17277.36</v>
      </c>
      <c r="K132" s="146">
        <f t="shared" si="7"/>
        <v>7995.01</v>
      </c>
      <c r="L132" s="146">
        <f t="shared" si="7"/>
        <v>14898.390000000001</v>
      </c>
      <c r="M132" s="146">
        <f t="shared" si="7"/>
        <v>14032.750000000002</v>
      </c>
      <c r="N132" s="146">
        <f t="shared" si="7"/>
        <v>19745.059999999998</v>
      </c>
      <c r="O132" s="146">
        <f t="shared" si="7"/>
        <v>12965.32</v>
      </c>
      <c r="P132" s="388">
        <f t="shared" si="6"/>
        <v>161464.14000000001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21109.000000000015</v>
      </c>
      <c r="E134" s="392">
        <f t="shared" si="8"/>
        <v>21719.370000000024</v>
      </c>
      <c r="F134" s="392">
        <f t="shared" si="8"/>
        <v>20352.61</v>
      </c>
      <c r="G134" s="392">
        <f t="shared" si="8"/>
        <v>19050.799999999988</v>
      </c>
      <c r="H134" s="392">
        <f t="shared" si="8"/>
        <v>20671.750000000015</v>
      </c>
      <c r="I134" s="392">
        <f t="shared" si="8"/>
        <v>25501.339999999997</v>
      </c>
      <c r="J134" s="392">
        <f t="shared" si="8"/>
        <v>28715.569999999985</v>
      </c>
      <c r="K134" s="392">
        <f t="shared" si="8"/>
        <v>30414.04</v>
      </c>
      <c r="L134" s="392">
        <f t="shared" si="8"/>
        <v>23245.999999999971</v>
      </c>
      <c r="M134" s="392">
        <f t="shared" si="8"/>
        <v>31195.53</v>
      </c>
      <c r="N134" s="392">
        <f t="shared" si="8"/>
        <v>25956.110000000015</v>
      </c>
      <c r="O134" s="392">
        <f t="shared" si="8"/>
        <v>5868.3599999999933</v>
      </c>
      <c r="P134" s="388">
        <f t="shared" si="6"/>
        <v>273800.48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7869.2000000000153</v>
      </c>
      <c r="E137" s="383">
        <f t="shared" ref="E137:O137" si="9">E134-E132</f>
        <v>8875.8200000000252</v>
      </c>
      <c r="F137" s="383">
        <f t="shared" si="9"/>
        <v>10118.52</v>
      </c>
      <c r="G137" s="383">
        <f t="shared" si="9"/>
        <v>633.58999999998559</v>
      </c>
      <c r="H137" s="383">
        <f t="shared" si="9"/>
        <v>11195.370000000015</v>
      </c>
      <c r="I137" s="383">
        <f t="shared" si="9"/>
        <v>15162.119999999997</v>
      </c>
      <c r="J137" s="383">
        <f t="shared" si="9"/>
        <v>11438.209999999985</v>
      </c>
      <c r="K137" s="383">
        <f t="shared" si="9"/>
        <v>22419.03</v>
      </c>
      <c r="L137" s="383">
        <f t="shared" si="9"/>
        <v>8347.6099999999697</v>
      </c>
      <c r="M137" s="383">
        <f t="shared" si="9"/>
        <v>17162.78</v>
      </c>
      <c r="N137" s="383">
        <f t="shared" si="9"/>
        <v>6211.0500000000175</v>
      </c>
      <c r="O137" s="383">
        <f t="shared" si="9"/>
        <v>-7096.9600000000064</v>
      </c>
      <c r="P137" s="387">
        <f>SUM(D137:O137)</f>
        <v>112336.34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56">
    <tabColor rgb="FFFFC000"/>
  </sheetPr>
  <dimension ref="A1:T143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337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187</v>
      </c>
      <c r="B8" s="390"/>
      <c r="C8" s="369" t="s">
        <v>114</v>
      </c>
      <c r="D8" s="364">
        <f>D9+D10+D11</f>
        <v>290609.54000000004</v>
      </c>
      <c r="E8" s="364">
        <f t="shared" ref="E8:O8" si="0">E9+E10+E11</f>
        <v>272926.48</v>
      </c>
      <c r="F8" s="364">
        <f t="shared" si="0"/>
        <v>267903.21000000002</v>
      </c>
      <c r="G8" s="364">
        <f t="shared" si="0"/>
        <v>277051.93</v>
      </c>
      <c r="H8" s="364">
        <f t="shared" si="0"/>
        <v>293246.18</v>
      </c>
      <c r="I8" s="364">
        <f t="shared" si="0"/>
        <v>261426.30000000002</v>
      </c>
      <c r="J8" s="364">
        <f t="shared" si="0"/>
        <v>276325.59999999998</v>
      </c>
      <c r="K8" s="364">
        <f t="shared" si="0"/>
        <v>288505.07</v>
      </c>
      <c r="L8" s="364">
        <f t="shared" si="0"/>
        <v>275156.04999999993</v>
      </c>
      <c r="M8" s="364">
        <f t="shared" si="0"/>
        <v>302060.63</v>
      </c>
      <c r="N8" s="364">
        <f t="shared" si="0"/>
        <v>299734</v>
      </c>
      <c r="O8" s="364">
        <f t="shared" si="0"/>
        <v>298733.38999999996</v>
      </c>
      <c r="P8" s="364">
        <f>SUM(D8:O8)</f>
        <v>3403678.3799999994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74853.75</v>
      </c>
      <c r="E9" s="365">
        <f>VLOOKUP($A$8,'تقرير إحصائية بحجم المبيعات'!$B$42:$G$73,2,FALSE)</f>
        <v>73260.149999999994</v>
      </c>
      <c r="F9" s="365">
        <f>VLOOKUP($A$8,'تقرير إحصائية بحجم المبيعات'!$B$78:$E$103,2,FALSE)</f>
        <v>73189.840000000026</v>
      </c>
      <c r="G9" s="365">
        <f>VLOOKUP($A$8,'تقرير إحصائية بحجم المبيعات'!$B$112:$G$137,2,FALSE)</f>
        <v>72947.320000000007</v>
      </c>
      <c r="H9" s="365">
        <f>VLOOKUP($A$8,'تقرير إحصائية بحجم المبيعات'!$B$147:$G$177,2,FALSE)</f>
        <v>71253.799999999988</v>
      </c>
      <c r="I9" s="365">
        <f>VLOOKUP($A$8,'تقرير إحصائية بحجم المبيعات'!$B$182:$G$212,2,FALSE)</f>
        <v>69222.800000000017</v>
      </c>
      <c r="J9" s="365">
        <f>VLOOKUP($A$8,'تقرير إحصائية بحجم المبيعات'!$B$217:$L$243,2,FALSE)</f>
        <v>67573.749999999971</v>
      </c>
      <c r="K9" s="365">
        <f>VLOOKUP($A$8,'تقرير إحصائية بحجم المبيعات'!$B$252:$L$278,2,FALSE)</f>
        <v>65514.050000000017</v>
      </c>
      <c r="L9" s="365">
        <f>VLOOKUP($A$8,'تقرير إحصائية بحجم المبيعات'!$B$287:$L$313,2,FALSE)</f>
        <v>65604.28999999995</v>
      </c>
      <c r="M9" s="365">
        <f>VLOOKUP($A$8,'تقرير إحصائية بحجم المبيعات'!$B$322:$L$347,2,FALSE)</f>
        <v>65469.670000000013</v>
      </c>
      <c r="N9" s="365">
        <f>VLOOKUP($A$8,'تقرير إحصائية بحجم المبيعات'!$B$357:$L$383,2,FALSE)</f>
        <v>70499.570000000007</v>
      </c>
      <c r="O9" s="365">
        <f>VLOOKUP($A$8,'تقرير إحصائية بحجم المبيعات'!$B$391:$L$420,2,FALSE)</f>
        <v>70434.499999999942</v>
      </c>
      <c r="P9" s="364">
        <f t="shared" ref="P9:P18" si="1">SUM(D9:O9)</f>
        <v>839823.49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215755.79</v>
      </c>
      <c r="E11" s="365">
        <f>VLOOKUP($A$8,'تقرير إحصائية بحجم المبيعات'!$B$42:$G$73,4,FALSE)</f>
        <v>199666.33</v>
      </c>
      <c r="F11" s="365">
        <f>VLOOKUP($A$8,'تقرير إحصائية بحجم المبيعات'!$B$78:$E$103,4,FALSE)</f>
        <v>194713.37</v>
      </c>
      <c r="G11" s="365">
        <f>VLOOKUP($A$8,'تقرير إحصائية بحجم المبيعات'!$B$112:$G$137,4,FALSE)</f>
        <v>204104.61</v>
      </c>
      <c r="H11" s="365">
        <f>VLOOKUP($A$8,'تقرير إحصائية بحجم المبيعات'!$B$147:$G$177,4,FALSE)</f>
        <v>221992.38</v>
      </c>
      <c r="I11" s="365">
        <f>VLOOKUP($A$8,'تقرير إحصائية بحجم المبيعات'!$B$182:$G$212,4,FALSE)</f>
        <v>192203.5</v>
      </c>
      <c r="J11" s="365">
        <f>VLOOKUP($A$8,'تقرير إحصائية بحجم المبيعات'!$B$217:$L$243,4,FALSE)</f>
        <v>208751.85</v>
      </c>
      <c r="K11" s="365">
        <f>VLOOKUP($A$8,'تقرير إحصائية بحجم المبيعات'!$B$252:$L$278,4,FALSE)</f>
        <v>222991.02</v>
      </c>
      <c r="L11" s="365">
        <f>VLOOKUP($A$8,'تقرير إحصائية بحجم المبيعات'!$B$287:$L$313,4,FALSE)</f>
        <v>209551.76</v>
      </c>
      <c r="M11" s="365">
        <f>VLOOKUP($A$8,'تقرير إحصائية بحجم المبيعات'!$B$322:$L$347,4,FALSE)</f>
        <v>236590.96</v>
      </c>
      <c r="N11" s="365">
        <f>VLOOKUP($A$8,'تقرير إحصائية بحجم المبيعات'!$B$357:$L$383,4,FALSE)</f>
        <v>229234.43</v>
      </c>
      <c r="O11" s="365">
        <f>VLOOKUP($A$8,'تقرير إحصائية بحجم المبيعات'!$B$391:$L$420,4,FALSE)</f>
        <v>228298.89</v>
      </c>
      <c r="P11" s="364">
        <f t="shared" si="1"/>
        <v>2563854.8900000006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249994.36</v>
      </c>
      <c r="E12" s="364">
        <f>VLOOKUP($A$8,'تقرير إحصائية بحجم المبيعات'!$B$42:$L$73,11,FALSE)</f>
        <v>228616.11</v>
      </c>
      <c r="F12" s="364">
        <f>VLOOKUP($A$8,'تقرير إحصائية بحجم المبيعات'!$B$78:$L$103,11,FALSE)</f>
        <v>225520.82</v>
      </c>
      <c r="G12" s="364">
        <f>VLOOKUP($A$8,'تقرير إحصائية بحجم المبيعات'!$B$112:$L$137,11,FALSE)</f>
        <v>234425.1</v>
      </c>
      <c r="H12" s="364">
        <f>VLOOKUP($A$8,'تقرير إحصائية بحجم المبيعات'!$B$147:$L$177,11,FALSE)</f>
        <v>247872.98</v>
      </c>
      <c r="I12" s="364">
        <f>VLOOKUP($A$8,'تقرير إحصائية بحجم المبيعات'!$B$182:$L$212,11,FALSE)</f>
        <v>214048.77</v>
      </c>
      <c r="J12" s="365">
        <f>VLOOKUP($A$8,'تقرير إحصائية بحجم المبيعات'!$B$217:$L$243,11,FALSE)</f>
        <v>223690.31</v>
      </c>
      <c r="K12" s="364">
        <f>VLOOKUP($A$8,'تقرير إحصائية بحجم المبيعات'!$B$252:$L$278,11,FALSE)</f>
        <v>231585.07</v>
      </c>
      <c r="L12" s="364">
        <f>VLOOKUP($A$8,'تقرير إحصائية بحجم المبيعات'!$B$287:$L$313,11,FALSE)</f>
        <v>220973.85</v>
      </c>
      <c r="M12" s="365">
        <f>VLOOKUP($A$8,'تقرير إحصائية بحجم المبيعات'!$B$322:$L$347,11,FALSE)</f>
        <v>245868.14</v>
      </c>
      <c r="N12" s="365">
        <f>VLOOKUP($A$8,'تقرير إحصائية بحجم المبيعات'!$B$357:$L$383,11,FALSE)</f>
        <v>239054.5</v>
      </c>
      <c r="O12" s="365">
        <f>VLOOKUP($A$8,'تقرير إحصائية بحجم المبيعات'!$B$391:$L$420,11,FALSE)</f>
        <v>242354.79</v>
      </c>
      <c r="P12" s="364">
        <f t="shared" si="1"/>
        <v>2804004.8000000003</v>
      </c>
    </row>
    <row r="13" spans="1:20" ht="18" customHeight="1">
      <c r="B13" s="124"/>
      <c r="C13" s="371" t="s">
        <v>14</v>
      </c>
      <c r="D13" s="366">
        <f t="shared" ref="D13:O13" si="2">D8-D12</f>
        <v>40615.180000000051</v>
      </c>
      <c r="E13" s="366">
        <f t="shared" si="2"/>
        <v>44310.369999999995</v>
      </c>
      <c r="F13" s="366">
        <f t="shared" si="2"/>
        <v>42382.390000000014</v>
      </c>
      <c r="G13" s="366">
        <f t="shared" si="2"/>
        <v>42626.829999999987</v>
      </c>
      <c r="H13" s="366">
        <f t="shared" si="2"/>
        <v>45373.199999999983</v>
      </c>
      <c r="I13" s="366">
        <f t="shared" si="2"/>
        <v>47377.530000000028</v>
      </c>
      <c r="J13" s="366">
        <f t="shared" si="2"/>
        <v>52635.289999999979</v>
      </c>
      <c r="K13" s="366">
        <f t="shared" si="2"/>
        <v>56920</v>
      </c>
      <c r="L13" s="366">
        <f t="shared" si="2"/>
        <v>54182.199999999924</v>
      </c>
      <c r="M13" s="366">
        <f t="shared" si="2"/>
        <v>56192.489999999991</v>
      </c>
      <c r="N13" s="366">
        <f t="shared" si="2"/>
        <v>60679.5</v>
      </c>
      <c r="O13" s="366">
        <f t="shared" si="2"/>
        <v>56378.599999999948</v>
      </c>
      <c r="P13" s="366">
        <f t="shared" si="1"/>
        <v>599673.57999999996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>
        <v>47403.14</v>
      </c>
      <c r="I16" s="367"/>
      <c r="J16" s="367"/>
      <c r="K16" s="367"/>
      <c r="L16" s="367"/>
      <c r="M16" s="367">
        <v>83065.58</v>
      </c>
      <c r="N16" s="367"/>
      <c r="O16" s="367"/>
      <c r="P16" s="364">
        <f t="shared" si="1"/>
        <v>130468.72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47403.14</v>
      </c>
      <c r="I18" s="363">
        <f t="shared" si="3"/>
        <v>0</v>
      </c>
      <c r="J18" s="363">
        <f t="shared" si="3"/>
        <v>0</v>
      </c>
      <c r="K18" s="363">
        <f t="shared" si="3"/>
        <v>0</v>
      </c>
      <c r="L18" s="363">
        <f t="shared" si="3"/>
        <v>0</v>
      </c>
      <c r="M18" s="368">
        <f t="shared" si="3"/>
        <v>83065.58</v>
      </c>
      <c r="N18" s="368">
        <f t="shared" si="3"/>
        <v>0</v>
      </c>
      <c r="O18" s="368">
        <f t="shared" si="3"/>
        <v>0</v>
      </c>
      <c r="P18" s="364">
        <f t="shared" si="1"/>
        <v>130468.72</v>
      </c>
    </row>
    <row r="19" spans="2:16" ht="18" customHeight="1">
      <c r="B19" s="124"/>
      <c r="C19" s="386" t="s">
        <v>14</v>
      </c>
      <c r="D19" s="374">
        <f t="shared" ref="D19:O19" si="4">D13+D18</f>
        <v>40615.180000000051</v>
      </c>
      <c r="E19" s="374">
        <f t="shared" si="4"/>
        <v>44310.369999999995</v>
      </c>
      <c r="F19" s="374">
        <f t="shared" si="4"/>
        <v>42382.390000000014</v>
      </c>
      <c r="G19" s="374">
        <f t="shared" si="4"/>
        <v>42626.829999999987</v>
      </c>
      <c r="H19" s="374">
        <f t="shared" si="4"/>
        <v>92776.339999999982</v>
      </c>
      <c r="I19" s="374">
        <f t="shared" si="4"/>
        <v>47377.530000000028</v>
      </c>
      <c r="J19" s="374">
        <f t="shared" si="4"/>
        <v>52635.289999999979</v>
      </c>
      <c r="K19" s="374">
        <f t="shared" si="4"/>
        <v>56920</v>
      </c>
      <c r="L19" s="374">
        <f t="shared" si="4"/>
        <v>54182.199999999924</v>
      </c>
      <c r="M19" s="374">
        <f t="shared" si="4"/>
        <v>139258.07</v>
      </c>
      <c r="N19" s="374">
        <f t="shared" si="4"/>
        <v>60679.5</v>
      </c>
      <c r="O19" s="374">
        <f t="shared" si="4"/>
        <v>56378.599999999948</v>
      </c>
      <c r="P19" s="382">
        <f>SUM(D19:O19)</f>
        <v>730142.29999999993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الشهر'!$C$10:$AD$119,25,FALSE),0)</f>
        <v>0</v>
      </c>
      <c r="E22" s="362">
        <f>IFERROR(VLOOKUP(C22,'تقرير المصروفات حسب الشهر'!$C$135:$AD$244,25,FALSE),0)</f>
        <v>0</v>
      </c>
      <c r="F22" s="362">
        <f>IFERROR(VLOOKUP(C22,'تقرير المصروفات حسب الشهر'!$C$261:$AD$368,25,FALSE),0)</f>
        <v>0</v>
      </c>
      <c r="G22" s="362">
        <f>IFERROR(VLOOKUP(C22,'تقرير المصروفات حسب الشهر'!$C$387:$AD$495,25,FALSE),0)</f>
        <v>0</v>
      </c>
      <c r="H22" s="362">
        <f>IFERROR(VLOOKUP(C22,'تقرير المصروفات حسب الشهر'!$C$512:$AD$620,25,FALSE),0)</f>
        <v>0</v>
      </c>
      <c r="I22" s="362">
        <f>IFERROR(VLOOKUP(C22,'تقرير المصروفات حسب الشهر'!$C$637:$AD$746,25,FALSE),0)</f>
        <v>0</v>
      </c>
      <c r="J22" s="362">
        <f>IFERROR(VLOOKUP(C22,'تقرير المصروفات حسب الشهر'!$C$763:$AD$872,25,FALSE),0)</f>
        <v>0</v>
      </c>
      <c r="K22" s="362">
        <f>IFERROR(VLOOKUP(C22,'تقرير المصروفات حسب الشهر'!$C$890:$AD$999,25,FALSE),0)</f>
        <v>0</v>
      </c>
      <c r="L22" s="362">
        <f>IFERROR(VLOOKUP(C22,'تقرير المصروفات حسب الشهر'!$C$1016:$AD$1126,25,FALSE),0)</f>
        <v>0</v>
      </c>
      <c r="M22" s="376">
        <f>IFERROR(VLOOKUP(C22,'تقرير المصروفات حسب الشهر'!$C$1143:$AD$1254,25,FALSE),0)</f>
        <v>0</v>
      </c>
      <c r="N22" s="376">
        <f>IFERROR(VLOOKUP(C22,'تقرير المصروفات حسب الشهر'!$C$1270:$AD$1381,25,FALSE),0)</f>
        <v>0</v>
      </c>
      <c r="O22" s="376">
        <f>IFERROR(VLOOKUP(C22,'تقرير المصروفات حسب الشهر'!$C$1397:$AI$1512,25,FALSE),0)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الشهر'!$C$10:$AD$119,25,FALSE),0)</f>
        <v>8398.2000000000007</v>
      </c>
      <c r="E23" s="362">
        <f>IFERROR(VLOOKUP(C23,'تقرير المصروفات حسب الشهر'!$C$135:$AD$244,25,FALSE),0)</f>
        <v>8786.130000000001</v>
      </c>
      <c r="F23" s="362">
        <f>IFERROR(VLOOKUP(C23,'تقرير المصروفات حسب الشهر'!$C$261:$AD$368,25,FALSE),0)</f>
        <v>8655.7999999999993</v>
      </c>
      <c r="G23" s="362">
        <f>IFERROR(VLOOKUP(C23,'تقرير المصروفات حسب الشهر'!$C$387:$AD$495,25,FALSE),0)</f>
        <v>8655.7999999999993</v>
      </c>
      <c r="H23" s="362">
        <f>IFERROR(VLOOKUP(C23,'تقرير المصروفات حسب الشهر'!$C$512:$AD$620,25,FALSE),0)</f>
        <v>9692.32</v>
      </c>
      <c r="I23" s="362">
        <f>IFERROR(VLOOKUP(C23,'تقرير المصروفات حسب الشهر'!$C$637:$AD$746,25,FALSE),0)</f>
        <v>9804.24</v>
      </c>
      <c r="J23" s="362">
        <f>IFERROR(VLOOKUP(C23,'تقرير المصروفات حسب الشهر'!$C$763:$AD$872,25,FALSE),0)</f>
        <v>8900</v>
      </c>
      <c r="K23" s="362">
        <f>IFERROR(VLOOKUP(C23,'تقرير المصروفات حسب الشهر'!$C$890:$AD$999,25,FALSE),0)</f>
        <v>9294.23</v>
      </c>
      <c r="L23" s="362">
        <f>IFERROR(VLOOKUP(C23,'تقرير المصروفات حسب الشهر'!$C$1016:$AD$1126,25,FALSE),0)</f>
        <v>8900</v>
      </c>
      <c r="M23" s="376">
        <f>IFERROR(VLOOKUP(C23,'تقرير المصروفات حسب الشهر'!$C$1143:$AD$1254,25,FALSE),0)</f>
        <v>9768.2899999999991</v>
      </c>
      <c r="N23" s="376">
        <f>IFERROR(VLOOKUP(C23,'تقرير المصروفات حسب الشهر'!$C$1270:$AD$1381,25,FALSE),0)</f>
        <v>10330.76</v>
      </c>
      <c r="O23" s="376">
        <f>IFERROR(VLOOKUP(C23,'تقرير المصروفات حسب الشهر'!$C$1397:$AI$1512,25,FALSE),0)</f>
        <v>9046.15</v>
      </c>
      <c r="P23" s="364">
        <f t="shared" ref="P23:P86" si="5">SUM(D23:O23)</f>
        <v>110231.91999999998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الشهر'!$C$10:$AD$119,25,FALSE),0)</f>
        <v>0</v>
      </c>
      <c r="E24" s="362">
        <f>IFERROR(VLOOKUP(C24,'تقرير المصروفات حسب الشهر'!$C$135:$AD$244,25,FALSE),0)</f>
        <v>0</v>
      </c>
      <c r="F24" s="362">
        <f>IFERROR(VLOOKUP(C24,'تقرير المصروفات حسب الشهر'!$C$261:$AD$368,25,FALSE),0)</f>
        <v>0</v>
      </c>
      <c r="G24" s="362">
        <f>IFERROR(VLOOKUP(C24,'تقرير المصروفات حسب الشهر'!$C$387:$AD$495,25,FALSE),0)</f>
        <v>0</v>
      </c>
      <c r="H24" s="362">
        <f>IFERROR(VLOOKUP(C24,'تقرير المصروفات حسب الشهر'!$C$512:$AD$620,25,FALSE),0)</f>
        <v>0</v>
      </c>
      <c r="I24" s="362">
        <f>IFERROR(VLOOKUP(C24,'تقرير المصروفات حسب الشهر'!$C$637:$AD$746,25,FALSE),0)</f>
        <v>0</v>
      </c>
      <c r="J24" s="362">
        <f>IFERROR(VLOOKUP(C24,'تقرير المصروفات حسب الشهر'!$C$763:$AD$872,25,FALSE),0)</f>
        <v>0</v>
      </c>
      <c r="K24" s="362">
        <f>IFERROR(VLOOKUP(C24,'تقرير المصروفات حسب الشهر'!$C$890:$AD$999,25,FALSE),0)</f>
        <v>0</v>
      </c>
      <c r="L24" s="362">
        <f>IFERROR(VLOOKUP(C24,'تقرير المصروفات حسب الشهر'!$C$1016:$AD$1126,25,FALSE),0)</f>
        <v>0</v>
      </c>
      <c r="M24" s="376">
        <f>IFERROR(VLOOKUP(C24,'تقرير المصروفات حسب الشهر'!$C$1143:$AD$1254,25,FALSE),0)</f>
        <v>0</v>
      </c>
      <c r="N24" s="376">
        <f>IFERROR(VLOOKUP(C24,'تقرير المصروفات حسب الشهر'!$C$1270:$AD$1381,25,FALSE),0)</f>
        <v>0</v>
      </c>
      <c r="O24" s="376">
        <f>IFERROR(VLOOKUP(C24,'تقرير المصروفات حسب الشهر'!$C$1397:$AI$1512,25,FALSE),0)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الشهر'!$C$10:$AD$119,25,FALSE),0)</f>
        <v>0</v>
      </c>
      <c r="E25" s="362">
        <f>IFERROR(VLOOKUP(C25,'تقرير المصروفات حسب الشهر'!$C$135:$AD$244,25,FALSE),0)</f>
        <v>0</v>
      </c>
      <c r="F25" s="362">
        <f>IFERROR(VLOOKUP(C25,'تقرير المصروفات حسب الشهر'!$C$261:$AD$368,25,FALSE),0)</f>
        <v>0</v>
      </c>
      <c r="G25" s="362">
        <f>IFERROR(VLOOKUP(C25,'تقرير المصروفات حسب الشهر'!$C$387:$AD$495,25,FALSE),0)</f>
        <v>0</v>
      </c>
      <c r="H25" s="362">
        <f>IFERROR(VLOOKUP(C25,'تقرير المصروفات حسب الشهر'!$C$512:$AD$620,25,FALSE),0)</f>
        <v>0</v>
      </c>
      <c r="I25" s="362">
        <f>IFERROR(VLOOKUP(C25,'تقرير المصروفات حسب الشهر'!$C$637:$AD$746,25,FALSE),0)</f>
        <v>0</v>
      </c>
      <c r="J25" s="362">
        <f>IFERROR(VLOOKUP(C25,'تقرير المصروفات حسب الشهر'!$C$763:$AD$872,25,FALSE),0)</f>
        <v>0</v>
      </c>
      <c r="K25" s="362">
        <f>IFERROR(VLOOKUP(C25,'تقرير المصروفات حسب الشهر'!$C$890:$AD$999,25,FALSE),0)</f>
        <v>0</v>
      </c>
      <c r="L25" s="362">
        <f>IFERROR(VLOOKUP(C25,'تقرير المصروفات حسب الشهر'!$C$1016:$AD$1126,25,FALSE),0)</f>
        <v>0</v>
      </c>
      <c r="M25" s="376">
        <f>IFERROR(VLOOKUP(C25,'تقرير المصروفات حسب الشهر'!$C$1143:$AD$1254,25,FALSE),0)</f>
        <v>0</v>
      </c>
      <c r="N25" s="376">
        <f>IFERROR(VLOOKUP(C25,'تقرير المصروفات حسب الشهر'!$C$1270:$AD$1381,25,FALSE),0)</f>
        <v>0</v>
      </c>
      <c r="O25" s="376">
        <f>IFERROR(VLOOKUP(C25,'تقرير المصروفات حسب الشهر'!$C$1397:$AI$1512,25,FALSE),0)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الشهر'!$C$10:$AD$119,25,FALSE),0)</f>
        <v>0</v>
      </c>
      <c r="E26" s="362">
        <f>IFERROR(VLOOKUP(C26,'تقرير المصروفات حسب الشهر'!$C$135:$AD$244,25,FALSE),0)</f>
        <v>0</v>
      </c>
      <c r="F26" s="362">
        <f>IFERROR(VLOOKUP(C26,'تقرير المصروفات حسب الشهر'!$C$261:$AD$368,25,FALSE),0)</f>
        <v>0</v>
      </c>
      <c r="G26" s="362">
        <f>IFERROR(VLOOKUP(C26,'تقرير المصروفات حسب الشهر'!$C$387:$AD$495,25,FALSE),0)</f>
        <v>0</v>
      </c>
      <c r="H26" s="362">
        <f>IFERROR(VLOOKUP(C26,'تقرير المصروفات حسب الشهر'!$C$512:$AD$620,25,FALSE),0)</f>
        <v>0</v>
      </c>
      <c r="I26" s="362">
        <f>IFERROR(VLOOKUP(C26,'تقرير المصروفات حسب الشهر'!$C$637:$AD$746,25,FALSE),0)</f>
        <v>0</v>
      </c>
      <c r="J26" s="362">
        <f>IFERROR(VLOOKUP(C26,'تقرير المصروفات حسب الشهر'!$C$763:$AD$872,25,FALSE),0)</f>
        <v>0</v>
      </c>
      <c r="K26" s="362">
        <f>IFERROR(VLOOKUP(C26,'تقرير المصروفات حسب الشهر'!$C$890:$AD$999,25,FALSE),0)</f>
        <v>0</v>
      </c>
      <c r="L26" s="362">
        <f>IFERROR(VLOOKUP(C26,'تقرير المصروفات حسب الشهر'!$C$1016:$AD$1126,25,FALSE),0)</f>
        <v>0</v>
      </c>
      <c r="M26" s="376">
        <f>IFERROR(VLOOKUP(C26,'تقرير المصروفات حسب الشهر'!$C$1143:$AD$1254,25,FALSE),0)</f>
        <v>0</v>
      </c>
      <c r="N26" s="376">
        <f>IFERROR(VLOOKUP(C26,'تقرير المصروفات حسب الشهر'!$C$1270:$AD$1381,25,FALSE),0)</f>
        <v>0</v>
      </c>
      <c r="O26" s="376">
        <f>IFERROR(VLOOKUP(C26,'تقرير المصروفات حسب الشهر'!$C$1397:$AI$1512,25,FALSE),0)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الشهر'!$C$10:$AD$119,25,FALSE),0)</f>
        <v>0</v>
      </c>
      <c r="E27" s="362">
        <f>IFERROR(VLOOKUP(C27,'تقرير المصروفات حسب الشهر'!$C$135:$AD$244,25,FALSE),0)</f>
        <v>0</v>
      </c>
      <c r="F27" s="362">
        <f>IFERROR(VLOOKUP(C27,'تقرير المصروفات حسب الشهر'!$C$261:$AD$368,25,FALSE),0)</f>
        <v>0</v>
      </c>
      <c r="G27" s="362">
        <f>IFERROR(VLOOKUP(C27,'تقرير المصروفات حسب الشهر'!$C$387:$AD$495,25,FALSE),0)</f>
        <v>0</v>
      </c>
      <c r="H27" s="362">
        <f>IFERROR(VLOOKUP(C27,'تقرير المصروفات حسب الشهر'!$C$512:$AD$620,25,FALSE),0)</f>
        <v>0</v>
      </c>
      <c r="I27" s="362">
        <f>IFERROR(VLOOKUP(C27,'تقرير المصروفات حسب الشهر'!$C$637:$AD$746,25,FALSE),0)</f>
        <v>0</v>
      </c>
      <c r="J27" s="362">
        <f>IFERROR(VLOOKUP(C27,'تقرير المصروفات حسب الشهر'!$C$763:$AD$872,25,FALSE),0)</f>
        <v>0</v>
      </c>
      <c r="K27" s="362">
        <f>IFERROR(VLOOKUP(C27,'تقرير المصروفات حسب الشهر'!$C$890:$AD$999,25,FALSE),0)</f>
        <v>0</v>
      </c>
      <c r="L27" s="362">
        <f>IFERROR(VLOOKUP(C27,'تقرير المصروفات حسب الشهر'!$C$1016:$AD$1126,25,FALSE),0)</f>
        <v>0</v>
      </c>
      <c r="M27" s="376">
        <f>IFERROR(VLOOKUP(C27,'تقرير المصروفات حسب الشهر'!$C$1143:$AD$1254,25,FALSE),0)</f>
        <v>0</v>
      </c>
      <c r="N27" s="376">
        <f>IFERROR(VLOOKUP(C27,'تقرير المصروفات حسب الشهر'!$C$1270:$AD$1381,25,FALSE),0)</f>
        <v>0</v>
      </c>
      <c r="O27" s="376">
        <f>IFERROR(VLOOKUP(C27,'تقرير المصروفات حسب الشهر'!$C$1397:$AI$1512,25,FALSE),0)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الشهر'!$C$10:$AD$119,25,FALSE),0)</f>
        <v>0</v>
      </c>
      <c r="E28" s="362">
        <f>IFERROR(VLOOKUP(C28,'تقرير المصروفات حسب الشهر'!$C$135:$AD$244,25,FALSE),0)</f>
        <v>0</v>
      </c>
      <c r="F28" s="362">
        <f>IFERROR(VLOOKUP(C28,'تقرير المصروفات حسب الشهر'!$C$261:$AD$368,25,FALSE),0)</f>
        <v>0</v>
      </c>
      <c r="G28" s="362">
        <f>IFERROR(VLOOKUP(C28,'تقرير المصروفات حسب الشهر'!$C$387:$AD$495,25,FALSE),0)</f>
        <v>0</v>
      </c>
      <c r="H28" s="362">
        <f>IFERROR(VLOOKUP(C28,'تقرير المصروفات حسب الشهر'!$C$512:$AD$620,25,FALSE),0)</f>
        <v>0</v>
      </c>
      <c r="I28" s="362">
        <f>IFERROR(VLOOKUP(C28,'تقرير المصروفات حسب الشهر'!$C$637:$AD$746,25,FALSE),0)</f>
        <v>0</v>
      </c>
      <c r="J28" s="362">
        <f>IFERROR(VLOOKUP(C28,'تقرير المصروفات حسب الشهر'!$C$763:$AD$872,25,FALSE),0)</f>
        <v>0</v>
      </c>
      <c r="K28" s="362">
        <f>IFERROR(VLOOKUP(C28,'تقرير المصروفات حسب الشهر'!$C$890:$AD$999,25,FALSE),0)</f>
        <v>0</v>
      </c>
      <c r="L28" s="362">
        <f>IFERROR(VLOOKUP(C28,'تقرير المصروفات حسب الشهر'!$C$1016:$AD$1126,25,FALSE),0)</f>
        <v>0</v>
      </c>
      <c r="M28" s="376">
        <f>IFERROR(VLOOKUP(C28,'تقرير المصروفات حسب الشهر'!$C$1143:$AD$1254,25,FALSE),0)</f>
        <v>0</v>
      </c>
      <c r="N28" s="376">
        <f>IFERROR(VLOOKUP(C28,'تقرير المصروفات حسب الشهر'!$C$1270:$AD$1381,25,FALSE),0)</f>
        <v>0</v>
      </c>
      <c r="O28" s="376">
        <f>IFERROR(VLOOKUP(C28,'تقرير المصروفات حسب الشهر'!$C$1397:$AI$1512,25,FALSE),0)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الشهر'!$C$10:$AD$119,25,FALSE),0)</f>
        <v>0</v>
      </c>
      <c r="E29" s="362">
        <f>IFERROR(VLOOKUP(C29,'تقرير المصروفات حسب الشهر'!$C$135:$AD$244,25,FALSE),0)</f>
        <v>0</v>
      </c>
      <c r="F29" s="362">
        <f>IFERROR(VLOOKUP(C29,'تقرير المصروفات حسب الشهر'!$C$261:$AD$368,25,FALSE),0)</f>
        <v>0</v>
      </c>
      <c r="G29" s="362">
        <f>IFERROR(VLOOKUP(C29,'تقرير المصروفات حسب الشهر'!$C$387:$AD$495,25,FALSE),0)</f>
        <v>0</v>
      </c>
      <c r="H29" s="362">
        <f>IFERROR(VLOOKUP(C29,'تقرير المصروفات حسب الشهر'!$C$512:$AD$620,25,FALSE),0)</f>
        <v>0</v>
      </c>
      <c r="I29" s="362">
        <f>IFERROR(VLOOKUP(C29,'تقرير المصروفات حسب الشهر'!$C$637:$AD$746,25,FALSE),0)</f>
        <v>0</v>
      </c>
      <c r="J29" s="362">
        <f>IFERROR(VLOOKUP(C29,'تقرير المصروفات حسب الشهر'!$C$763:$AD$872,25,FALSE),0)</f>
        <v>0</v>
      </c>
      <c r="K29" s="362">
        <f>IFERROR(VLOOKUP(C29,'تقرير المصروفات حسب الشهر'!$C$890:$AD$999,25,FALSE),0)</f>
        <v>0</v>
      </c>
      <c r="L29" s="362">
        <f>IFERROR(VLOOKUP(C29,'تقرير المصروفات حسب الشهر'!$C$1016:$AD$1126,25,FALSE),0)</f>
        <v>0</v>
      </c>
      <c r="M29" s="376">
        <f>IFERROR(VLOOKUP(C29,'تقرير المصروفات حسب الشهر'!$C$1143:$AD$1254,25,FALSE),0)</f>
        <v>0</v>
      </c>
      <c r="N29" s="376">
        <f>IFERROR(VLOOKUP(C29,'تقرير المصروفات حسب الشهر'!$C$1270:$AD$1381,25,FALSE),0)</f>
        <v>0</v>
      </c>
      <c r="O29" s="376">
        <f>IFERROR(VLOOKUP(C29,'تقرير المصروفات حسب الشهر'!$C$1397:$AI$1512,25,FALSE),0)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الشهر'!$C$10:$AD$119,25,FALSE),0)</f>
        <v>0</v>
      </c>
      <c r="E30" s="362">
        <f>IFERROR(VLOOKUP(C30,'تقرير المصروفات حسب الشهر'!$C$135:$AD$244,25,FALSE),0)</f>
        <v>0</v>
      </c>
      <c r="F30" s="362">
        <f>IFERROR(VLOOKUP(C30,'تقرير المصروفات حسب الشهر'!$C$261:$AD$368,25,FALSE),0)</f>
        <v>0</v>
      </c>
      <c r="G30" s="362">
        <f>IFERROR(VLOOKUP(C30,'تقرير المصروفات حسب الشهر'!$C$387:$AD$495,25,FALSE),0)</f>
        <v>0</v>
      </c>
      <c r="H30" s="362">
        <f>IFERROR(VLOOKUP(C30,'تقرير المصروفات حسب الشهر'!$C$512:$AD$620,25,FALSE),0)</f>
        <v>0</v>
      </c>
      <c r="I30" s="362">
        <f>IFERROR(VLOOKUP(C30,'تقرير المصروفات حسب الشهر'!$C$637:$AD$746,25,FALSE),0)</f>
        <v>0</v>
      </c>
      <c r="J30" s="362">
        <f>IFERROR(VLOOKUP(C30,'تقرير المصروفات حسب الشهر'!$C$763:$AD$872,25,FALSE),0)</f>
        <v>0</v>
      </c>
      <c r="K30" s="362">
        <f>IFERROR(VLOOKUP(C30,'تقرير المصروفات حسب الشهر'!$C$890:$AD$999,25,FALSE),0)</f>
        <v>0</v>
      </c>
      <c r="L30" s="362">
        <f>IFERROR(VLOOKUP(C30,'تقرير المصروفات حسب الشهر'!$C$1016:$AD$1126,25,FALSE),0)</f>
        <v>0</v>
      </c>
      <c r="M30" s="376">
        <f>IFERROR(VLOOKUP(C30,'تقرير المصروفات حسب الشهر'!$C$1143:$AD$1254,25,FALSE),0)</f>
        <v>0</v>
      </c>
      <c r="N30" s="376">
        <f>IFERROR(VLOOKUP(C30,'تقرير المصروفات حسب الشهر'!$C$1270:$AD$1381,25,FALSE),0)</f>
        <v>0</v>
      </c>
      <c r="O30" s="376">
        <f>IFERROR(VLOOKUP(C30,'تقرير المصروفات حسب الشهر'!$C$1397:$AI$1512,25,FALSE),0)</f>
        <v>350</v>
      </c>
      <c r="P30" s="364">
        <f t="shared" si="5"/>
        <v>350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الشهر'!$C$10:$AD$119,25,FALSE),0)</f>
        <v>65.87</v>
      </c>
      <c r="E31" s="362">
        <f>IFERROR(VLOOKUP(C31,'تقرير المصروفات حسب الشهر'!$C$135:$AD$244,25,FALSE),0)</f>
        <v>65.87</v>
      </c>
      <c r="F31" s="362">
        <f>IFERROR(VLOOKUP(C31,'تقرير المصروفات حسب الشهر'!$C$261:$AD$368,25,FALSE),0)</f>
        <v>65.87</v>
      </c>
      <c r="G31" s="362">
        <f>IFERROR(VLOOKUP(C31,'تقرير المصروفات حسب الشهر'!$C$387:$AD$495,25,FALSE),0)</f>
        <v>65.87</v>
      </c>
      <c r="H31" s="362">
        <f>IFERROR(VLOOKUP(C31,'تقرير المصروفات حسب الشهر'!$C$512:$AD$620,25,FALSE),0)</f>
        <v>65.87</v>
      </c>
      <c r="I31" s="362">
        <f>IFERROR(VLOOKUP(C31,'تقرير المصروفات حسب الشهر'!$C$637:$AD$746,25,FALSE),0)</f>
        <v>65.87</v>
      </c>
      <c r="J31" s="362">
        <f>IFERROR(VLOOKUP(C31,'تقرير المصروفات حسب الشهر'!$C$763:$AD$872,25,FALSE),0)</f>
        <v>65.87</v>
      </c>
      <c r="K31" s="362">
        <f>IFERROR(VLOOKUP(C31,'تقرير المصروفات حسب الشهر'!$C$890:$AD$999,25,FALSE),0)</f>
        <v>65.87</v>
      </c>
      <c r="L31" s="362">
        <f>IFERROR(VLOOKUP(C31,'تقرير المصروفات حسب الشهر'!$C$1016:$AD$1126,25,FALSE),0)</f>
        <v>65.87</v>
      </c>
      <c r="M31" s="376">
        <f>IFERROR(VLOOKUP(C31,'تقرير المصروفات حسب الشهر'!$C$1143:$AD$1254,25,FALSE),0)</f>
        <v>65.87</v>
      </c>
      <c r="N31" s="376">
        <f>IFERROR(VLOOKUP(C31,'تقرير المصروفات حسب الشهر'!$C$1270:$AD$1381,25,FALSE),0)</f>
        <v>65.87</v>
      </c>
      <c r="O31" s="376">
        <f>IFERROR(VLOOKUP(C31,'تقرير المصروفات حسب الشهر'!$C$1397:$AI$1512,25,FALSE),0)</f>
        <v>65.87</v>
      </c>
      <c r="P31" s="364">
        <f t="shared" si="5"/>
        <v>790.44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الشهر'!$C$10:$AD$119,25,FALSE),0)</f>
        <v>0</v>
      </c>
      <c r="E32" s="362">
        <f>IFERROR(VLOOKUP(C32,'تقرير المصروفات حسب الشهر'!$C$135:$AD$244,25,FALSE),0)</f>
        <v>0</v>
      </c>
      <c r="F32" s="362">
        <f>IFERROR(VLOOKUP(C32,'تقرير المصروفات حسب الشهر'!$C$261:$AD$368,25,FALSE),0)</f>
        <v>0</v>
      </c>
      <c r="G32" s="362">
        <f>IFERROR(VLOOKUP(C32,'تقرير المصروفات حسب الشهر'!$C$387:$AD$495,25,FALSE),0)</f>
        <v>0</v>
      </c>
      <c r="H32" s="362">
        <f>IFERROR(VLOOKUP(C32,'تقرير المصروفات حسب الشهر'!$C$512:$AD$620,25,FALSE),0)</f>
        <v>0</v>
      </c>
      <c r="I32" s="362">
        <f>IFERROR(VLOOKUP(C32,'تقرير المصروفات حسب الشهر'!$C$637:$AD$746,25,FALSE),0)</f>
        <v>0</v>
      </c>
      <c r="J32" s="362">
        <f>IFERROR(VLOOKUP(C32,'تقرير المصروفات حسب الشهر'!$C$763:$AD$872,25,FALSE),0)</f>
        <v>0</v>
      </c>
      <c r="K32" s="362">
        <f>IFERROR(VLOOKUP(C32,'تقرير المصروفات حسب الشهر'!$C$890:$AD$999,25,FALSE),0)</f>
        <v>0</v>
      </c>
      <c r="L32" s="362">
        <f>IFERROR(VLOOKUP(C32,'تقرير المصروفات حسب الشهر'!$C$1016:$AD$1126,25,FALSE),0)</f>
        <v>0</v>
      </c>
      <c r="M32" s="376">
        <f>IFERROR(VLOOKUP(C32,'تقرير المصروفات حسب الشهر'!$C$1143:$AD$1254,25,FALSE),0)</f>
        <v>0</v>
      </c>
      <c r="N32" s="376">
        <f>IFERROR(VLOOKUP(C32,'تقرير المصروفات حسب الشهر'!$C$1270:$AD$1381,25,FALSE),0)</f>
        <v>0</v>
      </c>
      <c r="O32" s="376">
        <f>IFERROR(VLOOKUP(C32,'تقرير المصروفات حسب الشهر'!$C$1397:$AI$1512,25,FALSE),0)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الشهر'!$C$10:$AD$119,25,FALSE),0)</f>
        <v>0</v>
      </c>
      <c r="E33" s="362">
        <f>IFERROR(VLOOKUP(C33,'تقرير المصروفات حسب الشهر'!$C$135:$AD$244,25,FALSE),0)</f>
        <v>0</v>
      </c>
      <c r="F33" s="362">
        <f>IFERROR(VLOOKUP(C33,'تقرير المصروفات حسب الشهر'!$C$261:$AD$368,25,FALSE),0)</f>
        <v>0</v>
      </c>
      <c r="G33" s="362">
        <f>IFERROR(VLOOKUP(C33,'تقرير المصروفات حسب الشهر'!$C$387:$AD$495,25,FALSE),0)</f>
        <v>0</v>
      </c>
      <c r="H33" s="362">
        <f>IFERROR(VLOOKUP(C33,'تقرير المصروفات حسب الشهر'!$C$512:$AD$620,25,FALSE),0)</f>
        <v>0</v>
      </c>
      <c r="I33" s="362">
        <f>IFERROR(VLOOKUP(C33,'تقرير المصروفات حسب الشهر'!$C$637:$AD$746,25,FALSE),0)</f>
        <v>0</v>
      </c>
      <c r="J33" s="362">
        <f>IFERROR(VLOOKUP(C33,'تقرير المصروفات حسب الشهر'!$C$763:$AD$872,25,FALSE),0)</f>
        <v>0</v>
      </c>
      <c r="K33" s="362">
        <f>IFERROR(VLOOKUP(C33,'تقرير المصروفات حسب الشهر'!$C$890:$AD$999,25,FALSE),0)</f>
        <v>0</v>
      </c>
      <c r="L33" s="362">
        <f>IFERROR(VLOOKUP(C33,'تقرير المصروفات حسب الشهر'!$C$1016:$AD$1126,25,FALSE),0)</f>
        <v>0</v>
      </c>
      <c r="M33" s="376">
        <f>IFERROR(VLOOKUP(C33,'تقرير المصروفات حسب الشهر'!$C$1143:$AD$1254,25,FALSE),0)</f>
        <v>0</v>
      </c>
      <c r="N33" s="376">
        <f>IFERROR(VLOOKUP(C33,'تقرير المصروفات حسب الشهر'!$C$1270:$AD$1381,25,FALSE),0)</f>
        <v>0</v>
      </c>
      <c r="O33" s="376">
        <f>IFERROR(VLOOKUP(C33,'تقرير المصروفات حسب الشهر'!$C$1397:$AI$1512,25,FALSE),0)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الشهر'!$C$10:$AD$119,25,FALSE),0)</f>
        <v>0</v>
      </c>
      <c r="E34" s="362">
        <f>IFERROR(VLOOKUP(C34,'تقرير المصروفات حسب الشهر'!$C$135:$AD$244,25,FALSE),0)</f>
        <v>0</v>
      </c>
      <c r="F34" s="362">
        <f>IFERROR(VLOOKUP(C34,'تقرير المصروفات حسب الشهر'!$C$261:$AD$368,25,FALSE),0)</f>
        <v>0</v>
      </c>
      <c r="G34" s="362">
        <f>IFERROR(VLOOKUP(C34,'تقرير المصروفات حسب الشهر'!$C$387:$AD$495,25,FALSE),0)</f>
        <v>0</v>
      </c>
      <c r="H34" s="362">
        <f>IFERROR(VLOOKUP(C34,'تقرير المصروفات حسب الشهر'!$C$512:$AD$620,25,FALSE),0)</f>
        <v>0</v>
      </c>
      <c r="I34" s="362">
        <f>IFERROR(VLOOKUP(C34,'تقرير المصروفات حسب الشهر'!$C$637:$AD$746,25,FALSE),0)</f>
        <v>0</v>
      </c>
      <c r="J34" s="362">
        <f>IFERROR(VLOOKUP(C34,'تقرير المصروفات حسب الشهر'!$C$763:$AD$872,25,FALSE),0)</f>
        <v>0</v>
      </c>
      <c r="K34" s="362">
        <f>IFERROR(VLOOKUP(C34,'تقرير المصروفات حسب الشهر'!$C$890:$AD$999,25,FALSE),0)</f>
        <v>0</v>
      </c>
      <c r="L34" s="362">
        <f>IFERROR(VLOOKUP(C34,'تقرير المصروفات حسب الشهر'!$C$1016:$AD$1126,25,FALSE),0)</f>
        <v>0</v>
      </c>
      <c r="M34" s="376">
        <f>IFERROR(VLOOKUP(C34,'تقرير المصروفات حسب الشهر'!$C$1143:$AD$1254,25,FALSE),0)</f>
        <v>0</v>
      </c>
      <c r="N34" s="376">
        <f>IFERROR(VLOOKUP(C34,'تقرير المصروفات حسب الشهر'!$C$1270:$AD$1381,25,FALSE),0)</f>
        <v>0</v>
      </c>
      <c r="O34" s="376">
        <f>IFERROR(VLOOKUP(C34,'تقرير المصروفات حسب الشهر'!$C$1397:$AI$1512,25,FALSE),0)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الشهر'!$C$10:$AD$119,25,FALSE),0)</f>
        <v>0</v>
      </c>
      <c r="E35" s="362">
        <f>IFERROR(VLOOKUP(C35,'تقرير المصروفات حسب الشهر'!$C$135:$AD$244,25,FALSE),0)</f>
        <v>0</v>
      </c>
      <c r="F35" s="362">
        <f>IFERROR(VLOOKUP(C35,'تقرير المصروفات حسب الشهر'!$C$261:$AD$368,25,FALSE),0)</f>
        <v>0</v>
      </c>
      <c r="G35" s="362">
        <f>IFERROR(VLOOKUP(C35,'تقرير المصروفات حسب الشهر'!$C$387:$AD$495,25,FALSE),0)</f>
        <v>0</v>
      </c>
      <c r="H35" s="362">
        <f>IFERROR(VLOOKUP(C35,'تقرير المصروفات حسب الشهر'!$C$512:$AD$620,25,FALSE),0)</f>
        <v>0</v>
      </c>
      <c r="I35" s="362">
        <f>IFERROR(VLOOKUP(C35,'تقرير المصروفات حسب الشهر'!$C$637:$AD$746,25,FALSE),0)</f>
        <v>0</v>
      </c>
      <c r="J35" s="362">
        <f>IFERROR(VLOOKUP(C35,'تقرير المصروفات حسب الشهر'!$C$763:$AD$872,25,FALSE),0)</f>
        <v>0</v>
      </c>
      <c r="K35" s="362">
        <f>IFERROR(VLOOKUP(C35,'تقرير المصروفات حسب الشهر'!$C$890:$AD$999,25,FALSE),0)</f>
        <v>0</v>
      </c>
      <c r="L35" s="362">
        <f>IFERROR(VLOOKUP(C35,'تقرير المصروفات حسب الشهر'!$C$1016:$AD$1126,25,FALSE),0)</f>
        <v>0</v>
      </c>
      <c r="M35" s="376">
        <f>IFERROR(VLOOKUP(C35,'تقرير المصروفات حسب الشهر'!$C$1143:$AD$1254,25,FALSE),0)</f>
        <v>0</v>
      </c>
      <c r="N35" s="376">
        <f>IFERROR(VLOOKUP(C35,'تقرير المصروفات حسب الشهر'!$C$1270:$AD$1381,25,FALSE),0)</f>
        <v>0</v>
      </c>
      <c r="O35" s="376">
        <f>IFERROR(VLOOKUP(C35,'تقرير المصروفات حسب الشهر'!$C$1397:$AI$1512,25,FALSE),0)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الشهر'!$C$10:$AD$119,25,FALSE),0)</f>
        <v>0</v>
      </c>
      <c r="E36" s="362">
        <f>IFERROR(VLOOKUP(C36,'تقرير المصروفات حسب الشهر'!$C$135:$AD$244,25,FALSE),0)</f>
        <v>0</v>
      </c>
      <c r="F36" s="362">
        <f>IFERROR(VLOOKUP(C36,'تقرير المصروفات حسب الشهر'!$C$261:$AD$368,25,FALSE),0)</f>
        <v>0</v>
      </c>
      <c r="G36" s="362">
        <f>IFERROR(VLOOKUP(C36,'تقرير المصروفات حسب الشهر'!$C$387:$AD$495,25,FALSE),0)</f>
        <v>750</v>
      </c>
      <c r="H36" s="362">
        <f>IFERROR(VLOOKUP(C36,'تقرير المصروفات حسب الشهر'!$C$512:$AD$620,25,FALSE),0)</f>
        <v>0</v>
      </c>
      <c r="I36" s="362">
        <f>IFERROR(VLOOKUP(C36,'تقرير المصروفات حسب الشهر'!$C$637:$AD$746,25,FALSE),0)</f>
        <v>0</v>
      </c>
      <c r="J36" s="362">
        <f>IFERROR(VLOOKUP(C36,'تقرير المصروفات حسب الشهر'!$C$763:$AD$872,25,FALSE),0)</f>
        <v>0</v>
      </c>
      <c r="K36" s="362">
        <f>IFERROR(VLOOKUP(C36,'تقرير المصروفات حسب الشهر'!$C$890:$AD$999,25,FALSE),0)</f>
        <v>770</v>
      </c>
      <c r="L36" s="362">
        <f>IFERROR(VLOOKUP(C36,'تقرير المصروفات حسب الشهر'!$C$1016:$AD$1126,25,FALSE),0)</f>
        <v>0</v>
      </c>
      <c r="M36" s="376">
        <f>IFERROR(VLOOKUP(C36,'تقرير المصروفات حسب الشهر'!$C$1143:$AD$1254,25,FALSE),0)</f>
        <v>0</v>
      </c>
      <c r="N36" s="376">
        <f>IFERROR(VLOOKUP(C36,'تقرير المصروفات حسب الشهر'!$C$1270:$AD$1381,25,FALSE),0)</f>
        <v>0</v>
      </c>
      <c r="O36" s="376">
        <f>IFERROR(VLOOKUP(C36,'تقرير المصروفات حسب الشهر'!$C$1397:$AI$1512,25,FALSE),0)</f>
        <v>770</v>
      </c>
      <c r="P36" s="364">
        <f t="shared" si="5"/>
        <v>2290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الشهر'!$C$10:$AD$119,25,FALSE),0)</f>
        <v>0</v>
      </c>
      <c r="E37" s="362">
        <f>IFERROR(VLOOKUP(C37,'تقرير المصروفات حسب الشهر'!$C$135:$AD$244,25,FALSE),0)</f>
        <v>0</v>
      </c>
      <c r="F37" s="362">
        <f>IFERROR(VLOOKUP(C37,'تقرير المصروفات حسب الشهر'!$C$261:$AD$368,25,FALSE),0)</f>
        <v>0</v>
      </c>
      <c r="G37" s="362">
        <f>IFERROR(VLOOKUP(C37,'تقرير المصروفات حسب الشهر'!$C$387:$AD$495,25,FALSE),0)</f>
        <v>0</v>
      </c>
      <c r="H37" s="362">
        <f>IFERROR(VLOOKUP(C37,'تقرير المصروفات حسب الشهر'!$C$512:$AD$620,25,FALSE),0)</f>
        <v>0</v>
      </c>
      <c r="I37" s="362">
        <f>IFERROR(VLOOKUP(C37,'تقرير المصروفات حسب الشهر'!$C$637:$AD$746,25,FALSE),0)</f>
        <v>0</v>
      </c>
      <c r="J37" s="362">
        <f>IFERROR(VLOOKUP(C37,'تقرير المصروفات حسب الشهر'!$C$763:$AD$872,25,FALSE),0)</f>
        <v>0</v>
      </c>
      <c r="K37" s="362">
        <f>IFERROR(VLOOKUP(C37,'تقرير المصروفات حسب الشهر'!$C$890:$AD$999,25,FALSE),0)</f>
        <v>0</v>
      </c>
      <c r="L37" s="362">
        <f>IFERROR(VLOOKUP(C37,'تقرير المصروفات حسب الشهر'!$C$1016:$AD$1126,25,FALSE),0)</f>
        <v>0</v>
      </c>
      <c r="M37" s="376">
        <f>IFERROR(VLOOKUP(C37,'تقرير المصروفات حسب الشهر'!$C$1143:$AD$1254,25,FALSE),0)</f>
        <v>0</v>
      </c>
      <c r="N37" s="376">
        <f>IFERROR(VLOOKUP(C37,'تقرير المصروفات حسب الشهر'!$C$1270:$AD$1381,25,FALSE),0)</f>
        <v>0</v>
      </c>
      <c r="O37" s="376">
        <f>IFERROR(VLOOKUP(C37,'تقرير المصروفات حسب الشهر'!$C$1397:$AI$1512,25,FALSE),0)</f>
        <v>0</v>
      </c>
      <c r="P37" s="364">
        <f t="shared" si="5"/>
        <v>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الشهر'!$C$10:$AD$119,25,FALSE),0)</f>
        <v>0</v>
      </c>
      <c r="E38" s="362">
        <f>IFERROR(VLOOKUP(C38,'تقرير المصروفات حسب الشهر'!$C$135:$AD$244,25,FALSE),0)</f>
        <v>0</v>
      </c>
      <c r="F38" s="362">
        <f>IFERROR(VLOOKUP(C38,'تقرير المصروفات حسب الشهر'!$C$261:$AD$368,25,FALSE),0)</f>
        <v>0</v>
      </c>
      <c r="G38" s="362">
        <f>IFERROR(VLOOKUP(C38,'تقرير المصروفات حسب الشهر'!$C$387:$AD$495,25,FALSE),0)</f>
        <v>0</v>
      </c>
      <c r="H38" s="362">
        <f>IFERROR(VLOOKUP(C38,'تقرير المصروفات حسب الشهر'!$C$512:$AD$620,25,FALSE),0)</f>
        <v>0</v>
      </c>
      <c r="I38" s="362">
        <f>IFERROR(VLOOKUP(C38,'تقرير المصروفات حسب الشهر'!$C$637:$AD$746,25,FALSE),0)</f>
        <v>0</v>
      </c>
      <c r="J38" s="362">
        <f>IFERROR(VLOOKUP(C38,'تقرير المصروفات حسب الشهر'!$C$763:$AD$872,25,FALSE),0)</f>
        <v>0</v>
      </c>
      <c r="K38" s="362">
        <f>IFERROR(VLOOKUP(C38,'تقرير المصروفات حسب الشهر'!$C$890:$AD$999,25,FALSE),0)</f>
        <v>0</v>
      </c>
      <c r="L38" s="362">
        <f>IFERROR(VLOOKUP(C38,'تقرير المصروفات حسب الشهر'!$C$1016:$AD$1126,25,FALSE),0)</f>
        <v>0</v>
      </c>
      <c r="M38" s="376">
        <f>IFERROR(VLOOKUP(C38,'تقرير المصروفات حسب الشهر'!$C$1143:$AD$1254,25,FALSE),0)</f>
        <v>0</v>
      </c>
      <c r="N38" s="376">
        <f>IFERROR(VLOOKUP(C38,'تقرير المصروفات حسب الشهر'!$C$1270:$AD$1381,25,FALSE),0)</f>
        <v>0</v>
      </c>
      <c r="O38" s="376">
        <f>IFERROR(VLOOKUP(C38,'تقرير المصروفات حسب الشهر'!$C$1397:$AI$1512,25,FALSE),0)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الشهر'!$C$10:$AD$119,25,FALSE),0)</f>
        <v>25000</v>
      </c>
      <c r="E39" s="362">
        <f>IFERROR(VLOOKUP(C39,'تقرير المصروفات حسب الشهر'!$C$135:$AD$244,25,FALSE),0)</f>
        <v>7499</v>
      </c>
      <c r="F39" s="362">
        <f>IFERROR(VLOOKUP(C39,'تقرير المصروفات حسب الشهر'!$C$261:$AD$368,25,FALSE),0)</f>
        <v>648</v>
      </c>
      <c r="G39" s="362">
        <f>IFERROR(VLOOKUP(C39,'تقرير المصروفات حسب الشهر'!$C$387:$AD$495,25,FALSE),0)</f>
        <v>30793</v>
      </c>
      <c r="H39" s="362">
        <f>IFERROR(VLOOKUP(C39,'تقرير المصروفات حسب الشهر'!$C$512:$AD$620,25,FALSE),0)</f>
        <v>0</v>
      </c>
      <c r="I39" s="362">
        <f>IFERROR(VLOOKUP(C39,'تقرير المصروفات حسب الشهر'!$C$637:$AD$746,25,FALSE),0)</f>
        <v>0</v>
      </c>
      <c r="J39" s="362">
        <f>IFERROR(VLOOKUP(C39,'تقرير المصروفات حسب الشهر'!$C$763:$AD$872,25,FALSE),0)</f>
        <v>31666</v>
      </c>
      <c r="K39" s="362">
        <f>IFERROR(VLOOKUP(C39,'تقرير المصروفات حسب الشهر'!$C$890:$AD$999,25,FALSE),0)</f>
        <v>0</v>
      </c>
      <c r="L39" s="362">
        <f>IFERROR(VLOOKUP(C39,'تقرير المصروفات حسب الشهر'!$C$1016:$AD$1126,25,FALSE),0)</f>
        <v>0</v>
      </c>
      <c r="M39" s="376">
        <f>IFERROR(VLOOKUP(C39,'تقرير المصروفات حسب الشهر'!$C$1143:$AD$1254,25,FALSE),0)</f>
        <v>20000</v>
      </c>
      <c r="N39" s="376">
        <f>IFERROR(VLOOKUP(C39,'تقرير المصروفات حسب الشهر'!$C$1270:$AD$1381,25,FALSE),0)</f>
        <v>506</v>
      </c>
      <c r="O39" s="376">
        <f>IFERROR(VLOOKUP(C39,'تقرير المصروفات حسب الشهر'!$C$1397:$AI$1512,25,FALSE),0)</f>
        <v>0</v>
      </c>
      <c r="P39" s="364">
        <f t="shared" si="5"/>
        <v>116112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الشهر'!$C$10:$AD$119,25,FALSE),0)</f>
        <v>0</v>
      </c>
      <c r="E40" s="362">
        <f>IFERROR(VLOOKUP(C40,'تقرير المصروفات حسب الشهر'!$C$135:$AD$244,25,FALSE),0)</f>
        <v>0</v>
      </c>
      <c r="F40" s="362">
        <f>IFERROR(VLOOKUP(C40,'تقرير المصروفات حسب الشهر'!$C$261:$AD$368,25,FALSE),0)</f>
        <v>0</v>
      </c>
      <c r="G40" s="362">
        <f>IFERROR(VLOOKUP(C40,'تقرير المصروفات حسب الشهر'!$C$387:$AD$495,25,FALSE),0)</f>
        <v>0</v>
      </c>
      <c r="H40" s="362">
        <f>IFERROR(VLOOKUP(C40,'تقرير المصروفات حسب الشهر'!$C$512:$AD$620,25,FALSE),0)</f>
        <v>0</v>
      </c>
      <c r="I40" s="362">
        <f>IFERROR(VLOOKUP(C40,'تقرير المصروفات حسب الشهر'!$C$637:$AD$746,25,FALSE),0)</f>
        <v>0</v>
      </c>
      <c r="J40" s="362">
        <f>IFERROR(VLOOKUP(C40,'تقرير المصروفات حسب الشهر'!$C$763:$AD$872,25,FALSE),0)</f>
        <v>0</v>
      </c>
      <c r="K40" s="362">
        <f>IFERROR(VLOOKUP(C40,'تقرير المصروفات حسب الشهر'!$C$890:$AD$999,25,FALSE),0)</f>
        <v>0</v>
      </c>
      <c r="L40" s="362">
        <f>IFERROR(VLOOKUP(C40,'تقرير المصروفات حسب الشهر'!$C$1016:$AD$1126,25,FALSE),0)</f>
        <v>0</v>
      </c>
      <c r="M40" s="376">
        <f>IFERROR(VLOOKUP(C40,'تقرير المصروفات حسب الشهر'!$C$1143:$AD$1254,25,FALSE),0)</f>
        <v>0</v>
      </c>
      <c r="N40" s="376">
        <f>IFERROR(VLOOKUP(C40,'تقرير المصروفات حسب الشهر'!$C$1270:$AD$1381,25,FALSE),0)</f>
        <v>0</v>
      </c>
      <c r="O40" s="376">
        <f>IFERROR(VLOOKUP(C40,'تقرير المصروفات حسب الشهر'!$C$1397:$AI$1512,25,FALSE),0)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الشهر'!$C$10:$AD$119,25,FALSE),0)</f>
        <v>0</v>
      </c>
      <c r="E41" s="362">
        <f>IFERROR(VLOOKUP(C41,'تقرير المصروفات حسب الشهر'!$C$135:$AD$244,25,FALSE),0)</f>
        <v>0</v>
      </c>
      <c r="F41" s="362">
        <f>IFERROR(VLOOKUP(C41,'تقرير المصروفات حسب الشهر'!$C$261:$AD$368,25,FALSE),0)</f>
        <v>0</v>
      </c>
      <c r="G41" s="362">
        <f>IFERROR(VLOOKUP(C41,'تقرير المصروفات حسب الشهر'!$C$387:$AD$495,25,FALSE),0)</f>
        <v>0</v>
      </c>
      <c r="H41" s="362">
        <f>IFERROR(VLOOKUP(C41,'تقرير المصروفات حسب الشهر'!$C$512:$AD$620,25,FALSE),0)</f>
        <v>0</v>
      </c>
      <c r="I41" s="362">
        <f>IFERROR(VLOOKUP(C41,'تقرير المصروفات حسب الشهر'!$C$637:$AD$746,25,FALSE),0)</f>
        <v>0</v>
      </c>
      <c r="J41" s="362">
        <f>IFERROR(VLOOKUP(C41,'تقرير المصروفات حسب الشهر'!$C$763:$AD$872,25,FALSE),0)</f>
        <v>0</v>
      </c>
      <c r="K41" s="362">
        <f>IFERROR(VLOOKUP(C41,'تقرير المصروفات حسب الشهر'!$C$890:$AD$999,25,FALSE),0)</f>
        <v>0</v>
      </c>
      <c r="L41" s="362">
        <f>IFERROR(VLOOKUP(C41,'تقرير المصروفات حسب الشهر'!$C$1016:$AD$1126,25,FALSE),0)</f>
        <v>0</v>
      </c>
      <c r="M41" s="376">
        <f>IFERROR(VLOOKUP(C41,'تقرير المصروفات حسب الشهر'!$C$1143:$AD$1254,25,FALSE),0)</f>
        <v>0</v>
      </c>
      <c r="N41" s="376">
        <f>IFERROR(VLOOKUP(C41,'تقرير المصروفات حسب الشهر'!$C$1270:$AD$1381,25,FALSE),0)</f>
        <v>0</v>
      </c>
      <c r="O41" s="376">
        <f>IFERROR(VLOOKUP(C41,'تقرير المصروفات حسب الشهر'!$C$1397:$AI$1512,25,FALSE),0)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الشهر'!$C$10:$AD$119,25,FALSE),0)</f>
        <v>0</v>
      </c>
      <c r="E42" s="362">
        <f>IFERROR(VLOOKUP(C42,'تقرير المصروفات حسب الشهر'!$C$135:$AD$244,25,FALSE),0)</f>
        <v>0</v>
      </c>
      <c r="F42" s="362">
        <f>IFERROR(VLOOKUP(C42,'تقرير المصروفات حسب الشهر'!$C$261:$AD$368,25,FALSE),0)</f>
        <v>0</v>
      </c>
      <c r="G42" s="362">
        <f>IFERROR(VLOOKUP(C42,'تقرير المصروفات حسب الشهر'!$C$387:$AD$495,25,FALSE),0)</f>
        <v>0</v>
      </c>
      <c r="H42" s="362">
        <f>IFERROR(VLOOKUP(C42,'تقرير المصروفات حسب الشهر'!$C$512:$AD$620,25,FALSE),0)</f>
        <v>0</v>
      </c>
      <c r="I42" s="362">
        <f>IFERROR(VLOOKUP(C42,'تقرير المصروفات حسب الشهر'!$C$637:$AD$746,25,FALSE),0)</f>
        <v>0</v>
      </c>
      <c r="J42" s="362">
        <f>IFERROR(VLOOKUP(C42,'تقرير المصروفات حسب الشهر'!$C$763:$AD$872,25,FALSE),0)</f>
        <v>0</v>
      </c>
      <c r="K42" s="362">
        <f>IFERROR(VLOOKUP(C42,'تقرير المصروفات حسب الشهر'!$C$890:$AD$999,25,FALSE),0)</f>
        <v>0</v>
      </c>
      <c r="L42" s="362">
        <f>IFERROR(VLOOKUP(C42,'تقرير المصروفات حسب الشهر'!$C$1016:$AD$1126,25,FALSE),0)</f>
        <v>0</v>
      </c>
      <c r="M42" s="376">
        <f>IFERROR(VLOOKUP(C42,'تقرير المصروفات حسب الشهر'!$C$1143:$AD$1254,25,FALSE),0)</f>
        <v>0</v>
      </c>
      <c r="N42" s="376">
        <f>IFERROR(VLOOKUP(C42,'تقرير المصروفات حسب الشهر'!$C$1270:$AD$1381,25,FALSE),0)</f>
        <v>0</v>
      </c>
      <c r="O42" s="376">
        <f>IFERROR(VLOOKUP(C42,'تقرير المصروفات حسب الشهر'!$C$1397:$AI$1512,25,FALSE),0)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الشهر'!$C$10:$AD$119,25,FALSE),0)</f>
        <v>0</v>
      </c>
      <c r="E43" s="362">
        <f>IFERROR(VLOOKUP(C43,'تقرير المصروفات حسب الشهر'!$C$135:$AD$244,25,FALSE),0)</f>
        <v>0</v>
      </c>
      <c r="F43" s="362">
        <f>IFERROR(VLOOKUP(C43,'تقرير المصروفات حسب الشهر'!$C$261:$AD$368,25,FALSE),0)</f>
        <v>0</v>
      </c>
      <c r="G43" s="362">
        <f>IFERROR(VLOOKUP(C43,'تقرير المصروفات حسب الشهر'!$C$387:$AD$495,25,FALSE),0)</f>
        <v>0</v>
      </c>
      <c r="H43" s="362">
        <f>IFERROR(VLOOKUP(C43,'تقرير المصروفات حسب الشهر'!$C$512:$AD$620,25,FALSE),0)</f>
        <v>0</v>
      </c>
      <c r="I43" s="362">
        <f>IFERROR(VLOOKUP(C43,'تقرير المصروفات حسب الشهر'!$C$637:$AD$746,25,FALSE),0)</f>
        <v>0</v>
      </c>
      <c r="J43" s="362">
        <f>IFERROR(VLOOKUP(C43,'تقرير المصروفات حسب الشهر'!$C$763:$AD$872,25,FALSE),0)</f>
        <v>0</v>
      </c>
      <c r="K43" s="362">
        <f>IFERROR(VLOOKUP(C43,'تقرير المصروفات حسب الشهر'!$C$890:$AD$999,25,FALSE),0)</f>
        <v>0</v>
      </c>
      <c r="L43" s="362">
        <f>IFERROR(VLOOKUP(C43,'تقرير المصروفات حسب الشهر'!$C$1016:$AD$1126,25,FALSE),0)</f>
        <v>0</v>
      </c>
      <c r="M43" s="376">
        <f>IFERROR(VLOOKUP(C43,'تقرير المصروفات حسب الشهر'!$C$1143:$AD$1254,25,FALSE),0)</f>
        <v>0</v>
      </c>
      <c r="N43" s="376">
        <f>IFERROR(VLOOKUP(C43,'تقرير المصروفات حسب الشهر'!$C$1270:$AD$1381,25,FALSE),0)</f>
        <v>0</v>
      </c>
      <c r="O43" s="376">
        <f>IFERROR(VLOOKUP(C43,'تقرير المصروفات حسب الشهر'!$C$1397:$AI$1512,25,FALSE),0)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الشهر'!$C$10:$AD$119,25,FALSE),0)</f>
        <v>0</v>
      </c>
      <c r="E44" s="362">
        <f>IFERROR(VLOOKUP(C44,'تقرير المصروفات حسب الشهر'!$C$135:$AD$244,25,FALSE),0)</f>
        <v>0</v>
      </c>
      <c r="F44" s="362">
        <f>IFERROR(VLOOKUP(C44,'تقرير المصروفات حسب الشهر'!$C$261:$AD$368,25,FALSE),0)</f>
        <v>0</v>
      </c>
      <c r="G44" s="362">
        <f>IFERROR(VLOOKUP(C44,'تقرير المصروفات حسب الشهر'!$C$387:$AD$495,25,FALSE),0)</f>
        <v>0</v>
      </c>
      <c r="H44" s="362">
        <f>IFERROR(VLOOKUP(C44,'تقرير المصروفات حسب الشهر'!$C$512:$AD$620,25,FALSE),0)</f>
        <v>0</v>
      </c>
      <c r="I44" s="362">
        <f>IFERROR(VLOOKUP(C44,'تقرير المصروفات حسب الشهر'!$C$637:$AD$746,25,FALSE),0)</f>
        <v>0</v>
      </c>
      <c r="J44" s="362">
        <f>IFERROR(VLOOKUP(C44,'تقرير المصروفات حسب الشهر'!$C$763:$AD$872,25,FALSE),0)</f>
        <v>0</v>
      </c>
      <c r="K44" s="362">
        <f>IFERROR(VLOOKUP(C44,'تقرير المصروفات حسب الشهر'!$C$890:$AD$999,25,FALSE),0)</f>
        <v>0</v>
      </c>
      <c r="L44" s="362">
        <f>IFERROR(VLOOKUP(C44,'تقرير المصروفات حسب الشهر'!$C$1016:$AD$1126,25,FALSE),0)</f>
        <v>0</v>
      </c>
      <c r="M44" s="376">
        <f>IFERROR(VLOOKUP(C44,'تقرير المصروفات حسب الشهر'!$C$1143:$AD$1254,25,FALSE),0)</f>
        <v>0</v>
      </c>
      <c r="N44" s="376">
        <f>IFERROR(VLOOKUP(C44,'تقرير المصروفات حسب الشهر'!$C$1270:$AD$1381,25,FALSE),0)</f>
        <v>0</v>
      </c>
      <c r="O44" s="376">
        <f>IFERROR(VLOOKUP(C44,'تقرير المصروفات حسب الشهر'!$C$1397:$AI$1512,25,FALSE),0)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الشهر'!$C$10:$AD$119,25,FALSE),0)</f>
        <v>0</v>
      </c>
      <c r="E45" s="362">
        <f>IFERROR(VLOOKUP(C45,'تقرير المصروفات حسب الشهر'!$C$135:$AD$244,25,FALSE),0)</f>
        <v>0</v>
      </c>
      <c r="F45" s="362">
        <f>IFERROR(VLOOKUP(C45,'تقرير المصروفات حسب الشهر'!$C$261:$AD$368,25,FALSE),0)</f>
        <v>0</v>
      </c>
      <c r="G45" s="362">
        <f>IFERROR(VLOOKUP(C45,'تقرير المصروفات حسب الشهر'!$C$387:$AD$495,25,FALSE),0)</f>
        <v>0</v>
      </c>
      <c r="H45" s="362">
        <f>IFERROR(VLOOKUP(C45,'تقرير المصروفات حسب الشهر'!$C$512:$AD$620,25,FALSE),0)</f>
        <v>0</v>
      </c>
      <c r="I45" s="362">
        <f>IFERROR(VLOOKUP(C45,'تقرير المصروفات حسب الشهر'!$C$637:$AD$746,25,FALSE),0)</f>
        <v>0</v>
      </c>
      <c r="J45" s="362">
        <f>IFERROR(VLOOKUP(C45,'تقرير المصروفات حسب الشهر'!$C$763:$AD$872,25,FALSE),0)</f>
        <v>0</v>
      </c>
      <c r="K45" s="362">
        <f>IFERROR(VLOOKUP(C45,'تقرير المصروفات حسب الشهر'!$C$890:$AD$999,25,FALSE),0)</f>
        <v>0</v>
      </c>
      <c r="L45" s="362">
        <f>IFERROR(VLOOKUP(C45,'تقرير المصروفات حسب الشهر'!$C$1016:$AD$1126,25,FALSE),0)</f>
        <v>0</v>
      </c>
      <c r="M45" s="376">
        <f>IFERROR(VLOOKUP(C45,'تقرير المصروفات حسب الشهر'!$C$1143:$AD$1254,25,FALSE),0)</f>
        <v>0</v>
      </c>
      <c r="N45" s="376">
        <f>IFERROR(VLOOKUP(C45,'تقرير المصروفات حسب الشهر'!$C$1270:$AD$1381,25,FALSE),0)</f>
        <v>0</v>
      </c>
      <c r="O45" s="376">
        <f>IFERROR(VLOOKUP(C45,'تقرير المصروفات حسب الشهر'!$C$1397:$AI$1512,25,FALSE),0)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الشهر'!$C$10:$AD$119,25,FALSE),0)</f>
        <v>0</v>
      </c>
      <c r="E46" s="362">
        <f>IFERROR(VLOOKUP(C46,'تقرير المصروفات حسب الشهر'!$C$135:$AD$244,25,FALSE),0)</f>
        <v>0</v>
      </c>
      <c r="F46" s="362">
        <f>IFERROR(VLOOKUP(C46,'تقرير المصروفات حسب الشهر'!$C$261:$AD$368,25,FALSE),0)</f>
        <v>0</v>
      </c>
      <c r="G46" s="362">
        <f>IFERROR(VLOOKUP(C46,'تقرير المصروفات حسب الشهر'!$C$387:$AD$495,25,FALSE),0)</f>
        <v>0</v>
      </c>
      <c r="H46" s="362">
        <f>IFERROR(VLOOKUP(C46,'تقرير المصروفات حسب الشهر'!$C$512:$AD$620,25,FALSE),0)</f>
        <v>0</v>
      </c>
      <c r="I46" s="362">
        <f>IFERROR(VLOOKUP(C46,'تقرير المصروفات حسب الشهر'!$C$637:$AD$746,25,FALSE),0)</f>
        <v>0</v>
      </c>
      <c r="J46" s="362">
        <f>IFERROR(VLOOKUP(C46,'تقرير المصروفات حسب الشهر'!$C$763:$AD$872,25,FALSE),0)</f>
        <v>0</v>
      </c>
      <c r="K46" s="362">
        <f>IFERROR(VLOOKUP(C46,'تقرير المصروفات حسب الشهر'!$C$890:$AD$999,25,FALSE),0)</f>
        <v>0</v>
      </c>
      <c r="L46" s="362">
        <f>IFERROR(VLOOKUP(C46,'تقرير المصروفات حسب الشهر'!$C$1016:$AD$1126,25,FALSE),0)</f>
        <v>0</v>
      </c>
      <c r="M46" s="376">
        <f>IFERROR(VLOOKUP(C46,'تقرير المصروفات حسب الشهر'!$C$1143:$AD$1254,25,FALSE),0)</f>
        <v>0</v>
      </c>
      <c r="N46" s="376">
        <f>IFERROR(VLOOKUP(C46,'تقرير المصروفات حسب الشهر'!$C$1270:$AD$1381,25,FALSE),0)</f>
        <v>0</v>
      </c>
      <c r="O46" s="376">
        <f>IFERROR(VLOOKUP(C46,'تقرير المصروفات حسب الشهر'!$C$1397:$AI$1512,25,FALSE),0)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الشهر'!$C$10:$AD$119,25,FALSE),0)</f>
        <v>0</v>
      </c>
      <c r="E47" s="362">
        <f>IFERROR(VLOOKUP(C47,'تقرير المصروفات حسب الشهر'!$C$135:$AD$244,25,FALSE),0)</f>
        <v>0</v>
      </c>
      <c r="F47" s="362">
        <f>IFERROR(VLOOKUP(C47,'تقرير المصروفات حسب الشهر'!$C$261:$AD$368,25,FALSE),0)</f>
        <v>0</v>
      </c>
      <c r="G47" s="362">
        <f>IFERROR(VLOOKUP(C47,'تقرير المصروفات حسب الشهر'!$C$387:$AD$495,25,FALSE),0)</f>
        <v>0</v>
      </c>
      <c r="H47" s="362">
        <f>IFERROR(VLOOKUP(C47,'تقرير المصروفات حسب الشهر'!$C$512:$AD$620,25,FALSE),0)</f>
        <v>0</v>
      </c>
      <c r="I47" s="362">
        <f>IFERROR(VLOOKUP(C47,'تقرير المصروفات حسب الشهر'!$C$637:$AD$746,25,FALSE),0)</f>
        <v>0</v>
      </c>
      <c r="J47" s="362">
        <f>IFERROR(VLOOKUP(C47,'تقرير المصروفات حسب الشهر'!$C$763:$AD$872,25,FALSE),0)</f>
        <v>0</v>
      </c>
      <c r="K47" s="362">
        <f>IFERROR(VLOOKUP(C47,'تقرير المصروفات حسب الشهر'!$C$890:$AD$999,25,FALSE),0)</f>
        <v>0</v>
      </c>
      <c r="L47" s="362">
        <f>IFERROR(VLOOKUP(C47,'تقرير المصروفات حسب الشهر'!$C$1016:$AD$1126,25,FALSE),0)</f>
        <v>0</v>
      </c>
      <c r="M47" s="376">
        <f>IFERROR(VLOOKUP(C47,'تقرير المصروفات حسب الشهر'!$C$1143:$AD$1254,25,FALSE),0)</f>
        <v>0</v>
      </c>
      <c r="N47" s="376">
        <f>IFERROR(VLOOKUP(C47,'تقرير المصروفات حسب الشهر'!$C$1270:$AD$1381,25,FALSE),0)</f>
        <v>0</v>
      </c>
      <c r="O47" s="376">
        <f>IFERROR(VLOOKUP(C47,'تقرير المصروفات حسب الشهر'!$C$1397:$AI$1512,25,FALSE),0)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الشهر'!$C$10:$AD$119,25,FALSE),0)</f>
        <v>0</v>
      </c>
      <c r="E48" s="362">
        <f>IFERROR(VLOOKUP(C48,'تقرير المصروفات حسب الشهر'!$C$135:$AD$244,25,FALSE),0)</f>
        <v>0</v>
      </c>
      <c r="F48" s="362">
        <f>IFERROR(VLOOKUP(C48,'تقرير المصروفات حسب الشهر'!$C$261:$AD$368,25,FALSE),0)</f>
        <v>0</v>
      </c>
      <c r="G48" s="362">
        <f>IFERROR(VLOOKUP(C48,'تقرير المصروفات حسب الشهر'!$C$387:$AD$495,25,FALSE),0)</f>
        <v>0</v>
      </c>
      <c r="H48" s="362">
        <f>IFERROR(VLOOKUP(C48,'تقرير المصروفات حسب الشهر'!$C$512:$AD$620,25,FALSE),0)</f>
        <v>0</v>
      </c>
      <c r="I48" s="362">
        <f>IFERROR(VLOOKUP(C48,'تقرير المصروفات حسب الشهر'!$C$637:$AD$746,25,FALSE),0)</f>
        <v>0</v>
      </c>
      <c r="J48" s="362">
        <f>IFERROR(VLOOKUP(C48,'تقرير المصروفات حسب الشهر'!$C$763:$AD$872,25,FALSE),0)</f>
        <v>0</v>
      </c>
      <c r="K48" s="362">
        <f>IFERROR(VLOOKUP(C48,'تقرير المصروفات حسب الشهر'!$C$890:$AD$999,25,FALSE),0)</f>
        <v>0</v>
      </c>
      <c r="L48" s="362">
        <f>IFERROR(VLOOKUP(C48,'تقرير المصروفات حسب الشهر'!$C$1016:$AD$1126,25,FALSE),0)</f>
        <v>0</v>
      </c>
      <c r="M48" s="376">
        <f>IFERROR(VLOOKUP(C48,'تقرير المصروفات حسب الشهر'!$C$1143:$AD$1254,25,FALSE),0)</f>
        <v>0</v>
      </c>
      <c r="N48" s="376">
        <f>IFERROR(VLOOKUP(C48,'تقرير المصروفات حسب الشهر'!$C$1270:$AD$1381,25,FALSE),0)</f>
        <v>0</v>
      </c>
      <c r="O48" s="376">
        <f>IFERROR(VLOOKUP(C48,'تقرير المصروفات حسب الشهر'!$C$1397:$AI$1512,25,FALSE),0)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الشهر'!$C$10:$AD$119,25,FALSE),0)</f>
        <v>0</v>
      </c>
      <c r="E49" s="362">
        <f>IFERROR(VLOOKUP(C49,'تقرير المصروفات حسب الشهر'!$C$135:$AD$244,25,FALSE),0)</f>
        <v>0</v>
      </c>
      <c r="F49" s="362">
        <f>IFERROR(VLOOKUP(C49,'تقرير المصروفات حسب الشهر'!$C$261:$AD$368,25,FALSE),0)</f>
        <v>0</v>
      </c>
      <c r="G49" s="362">
        <f>IFERROR(VLOOKUP(C49,'تقرير المصروفات حسب الشهر'!$C$387:$AD$495,25,FALSE),0)</f>
        <v>0</v>
      </c>
      <c r="H49" s="362">
        <f>IFERROR(VLOOKUP(C49,'تقرير المصروفات حسب الشهر'!$C$512:$AD$620,25,FALSE),0)</f>
        <v>0</v>
      </c>
      <c r="I49" s="362">
        <f>IFERROR(VLOOKUP(C49,'تقرير المصروفات حسب الشهر'!$C$637:$AD$746,25,FALSE),0)</f>
        <v>0</v>
      </c>
      <c r="J49" s="362">
        <f>IFERROR(VLOOKUP(C49,'تقرير المصروفات حسب الشهر'!$C$763:$AD$872,25,FALSE),0)</f>
        <v>0</v>
      </c>
      <c r="K49" s="362">
        <f>IFERROR(VLOOKUP(C49,'تقرير المصروفات حسب الشهر'!$C$890:$AD$999,25,FALSE),0)</f>
        <v>0</v>
      </c>
      <c r="L49" s="362">
        <f>IFERROR(VLOOKUP(C49,'تقرير المصروفات حسب الشهر'!$C$1016:$AD$1126,25,FALSE),0)</f>
        <v>0</v>
      </c>
      <c r="M49" s="376">
        <f>IFERROR(VLOOKUP(C49,'تقرير المصروفات حسب الشهر'!$C$1143:$AD$1254,25,FALSE),0)</f>
        <v>0</v>
      </c>
      <c r="N49" s="376">
        <f>IFERROR(VLOOKUP(C49,'تقرير المصروفات حسب الشهر'!$C$1270:$AD$1381,25,FALSE),0)</f>
        <v>0</v>
      </c>
      <c r="O49" s="376">
        <f>IFERROR(VLOOKUP(C49,'تقرير المصروفات حسب الشهر'!$C$1397:$AI$1512,25,FALSE),0)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الشهر'!$C$10:$AD$119,25,FALSE),0)</f>
        <v>0</v>
      </c>
      <c r="E50" s="362">
        <f>IFERROR(VLOOKUP(C50,'تقرير المصروفات حسب الشهر'!$C$135:$AD$244,25,FALSE),0)</f>
        <v>0</v>
      </c>
      <c r="F50" s="362">
        <f>IFERROR(VLOOKUP(C50,'تقرير المصروفات حسب الشهر'!$C$261:$AD$368,25,FALSE),0)</f>
        <v>0</v>
      </c>
      <c r="G50" s="362">
        <f>IFERROR(VLOOKUP(C50,'تقرير المصروفات حسب الشهر'!$C$387:$AD$495,25,FALSE),0)</f>
        <v>0</v>
      </c>
      <c r="H50" s="362">
        <f>IFERROR(VLOOKUP(C50,'تقرير المصروفات حسب الشهر'!$C$512:$AD$620,25,FALSE),0)</f>
        <v>0</v>
      </c>
      <c r="I50" s="362">
        <f>IFERROR(VLOOKUP(C50,'تقرير المصروفات حسب الشهر'!$C$637:$AD$746,25,FALSE),0)</f>
        <v>0</v>
      </c>
      <c r="J50" s="362">
        <f>IFERROR(VLOOKUP(C50,'تقرير المصروفات حسب الشهر'!$C$763:$AD$872,25,FALSE),0)</f>
        <v>0</v>
      </c>
      <c r="K50" s="362">
        <f>IFERROR(VLOOKUP(C50,'تقرير المصروفات حسب الشهر'!$C$890:$AD$999,25,FALSE),0)</f>
        <v>0</v>
      </c>
      <c r="L50" s="362">
        <f>IFERROR(VLOOKUP(C50,'تقرير المصروفات حسب الشهر'!$C$1016:$AD$1126,25,FALSE),0)</f>
        <v>0</v>
      </c>
      <c r="M50" s="376">
        <f>IFERROR(VLOOKUP(C50,'تقرير المصروفات حسب الشهر'!$C$1143:$AD$1254,25,FALSE),0)</f>
        <v>0</v>
      </c>
      <c r="N50" s="376">
        <f>IFERROR(VLOOKUP(C50,'تقرير المصروفات حسب الشهر'!$C$1270:$AD$1381,25,FALSE),0)</f>
        <v>0</v>
      </c>
      <c r="O50" s="376">
        <f>IFERROR(VLOOKUP(C50,'تقرير المصروفات حسب الشهر'!$C$1397:$AI$1512,25,FALSE),0)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الشهر'!$C$10:$AD$119,25,FALSE),0)</f>
        <v>0</v>
      </c>
      <c r="E51" s="362">
        <f>IFERROR(VLOOKUP(C51,'تقرير المصروفات حسب الشهر'!$C$135:$AD$244,25,FALSE),0)</f>
        <v>0</v>
      </c>
      <c r="F51" s="362">
        <f>IFERROR(VLOOKUP(C51,'تقرير المصروفات حسب الشهر'!$C$261:$AD$368,25,FALSE),0)</f>
        <v>0</v>
      </c>
      <c r="G51" s="362">
        <f>IFERROR(VLOOKUP(C51,'تقرير المصروفات حسب الشهر'!$C$387:$AD$495,25,FALSE),0)</f>
        <v>0</v>
      </c>
      <c r="H51" s="362">
        <f>IFERROR(VLOOKUP(C51,'تقرير المصروفات حسب الشهر'!$C$512:$AD$620,25,FALSE),0)</f>
        <v>0</v>
      </c>
      <c r="I51" s="362">
        <f>IFERROR(VLOOKUP(C51,'تقرير المصروفات حسب الشهر'!$C$637:$AD$746,25,FALSE),0)</f>
        <v>0</v>
      </c>
      <c r="J51" s="362">
        <f>IFERROR(VLOOKUP(C51,'تقرير المصروفات حسب الشهر'!$C$763:$AD$872,25,FALSE),0)</f>
        <v>0</v>
      </c>
      <c r="K51" s="362">
        <f>IFERROR(VLOOKUP(C51,'تقرير المصروفات حسب الشهر'!$C$890:$AD$999,25,FALSE),0)</f>
        <v>0</v>
      </c>
      <c r="L51" s="362">
        <f>IFERROR(VLOOKUP(C51,'تقرير المصروفات حسب الشهر'!$C$1016:$AD$1126,25,FALSE),0)</f>
        <v>0</v>
      </c>
      <c r="M51" s="376">
        <f>IFERROR(VLOOKUP(C51,'تقرير المصروفات حسب الشهر'!$C$1143:$AD$1254,25,FALSE),0)</f>
        <v>0</v>
      </c>
      <c r="N51" s="376">
        <f>IFERROR(VLOOKUP(C51,'تقرير المصروفات حسب الشهر'!$C$1270:$AD$1381,25,FALSE),0)</f>
        <v>0</v>
      </c>
      <c r="O51" s="376">
        <f>IFERROR(VLOOKUP(C51,'تقرير المصروفات حسب الشهر'!$C$1397:$AI$1512,25,FALSE),0)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الشهر'!$C$10:$AD$119,25,FALSE),0)</f>
        <v>5000</v>
      </c>
      <c r="E52" s="362">
        <f>IFERROR(VLOOKUP(C52,'تقرير المصروفات حسب الشهر'!$C$135:$AD$244,25,FALSE),0)</f>
        <v>0</v>
      </c>
      <c r="F52" s="362">
        <f>IFERROR(VLOOKUP(C52,'تقرير المصروفات حسب الشهر'!$C$261:$AD$368,25,FALSE),0)</f>
        <v>0</v>
      </c>
      <c r="G52" s="362">
        <f>IFERROR(VLOOKUP(C52,'تقرير المصروفات حسب الشهر'!$C$387:$AD$495,25,FALSE),0)</f>
        <v>0</v>
      </c>
      <c r="H52" s="362">
        <f>IFERROR(VLOOKUP(C52,'تقرير المصروفات حسب الشهر'!$C$512:$AD$620,25,FALSE),0)</f>
        <v>0</v>
      </c>
      <c r="I52" s="362">
        <f>IFERROR(VLOOKUP(C52,'تقرير المصروفات حسب الشهر'!$C$637:$AD$746,25,FALSE),0)</f>
        <v>0</v>
      </c>
      <c r="J52" s="362">
        <f>IFERROR(VLOOKUP(C52,'تقرير المصروفات حسب الشهر'!$C$763:$AD$872,25,FALSE),0)</f>
        <v>0</v>
      </c>
      <c r="K52" s="362">
        <f>IFERROR(VLOOKUP(C52,'تقرير المصروفات حسب الشهر'!$C$890:$AD$999,25,FALSE),0)</f>
        <v>0</v>
      </c>
      <c r="L52" s="362">
        <f>IFERROR(VLOOKUP(C52,'تقرير المصروفات حسب الشهر'!$C$1016:$AD$1126,25,FALSE),0)</f>
        <v>0</v>
      </c>
      <c r="M52" s="376">
        <f>IFERROR(VLOOKUP(C52,'تقرير المصروفات حسب الشهر'!$C$1143:$AD$1254,25,FALSE),0)</f>
        <v>0</v>
      </c>
      <c r="N52" s="376">
        <f>IFERROR(VLOOKUP(C52,'تقرير المصروفات حسب الشهر'!$C$1270:$AD$1381,25,FALSE),0)</f>
        <v>0</v>
      </c>
      <c r="O52" s="376">
        <f>IFERROR(VLOOKUP(C52,'تقرير المصروفات حسب الشهر'!$C$1397:$AI$1512,25,FALSE),0)</f>
        <v>0</v>
      </c>
      <c r="P52" s="364">
        <f t="shared" si="5"/>
        <v>5000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الشهر'!$C$10:$AD$119,25,FALSE),0)</f>
        <v>0</v>
      </c>
      <c r="E53" s="362">
        <f>IFERROR(VLOOKUP(C53,'تقرير المصروفات حسب الشهر'!$C$135:$AD$244,25,FALSE),0)</f>
        <v>0</v>
      </c>
      <c r="F53" s="362">
        <f>IFERROR(VLOOKUP(C53,'تقرير المصروفات حسب الشهر'!$C$261:$AD$368,25,FALSE),0)</f>
        <v>0</v>
      </c>
      <c r="G53" s="362">
        <f>IFERROR(VLOOKUP(C53,'تقرير المصروفات حسب الشهر'!$C$387:$AD$495,25,FALSE),0)</f>
        <v>0</v>
      </c>
      <c r="H53" s="362">
        <f>IFERROR(VLOOKUP(C53,'تقرير المصروفات حسب الشهر'!$C$512:$AD$620,25,FALSE),0)</f>
        <v>0</v>
      </c>
      <c r="I53" s="362">
        <f>IFERROR(VLOOKUP(C53,'تقرير المصروفات حسب الشهر'!$C$637:$AD$746,25,FALSE),0)</f>
        <v>0</v>
      </c>
      <c r="J53" s="362">
        <f>IFERROR(VLOOKUP(C53,'تقرير المصروفات حسب الشهر'!$C$763:$AD$872,25,FALSE),0)</f>
        <v>0</v>
      </c>
      <c r="K53" s="362">
        <f>IFERROR(VLOOKUP(C53,'تقرير المصروفات حسب الشهر'!$C$890:$AD$999,25,FALSE),0)</f>
        <v>0</v>
      </c>
      <c r="L53" s="362">
        <f>IFERROR(VLOOKUP(C53,'تقرير المصروفات حسب الشهر'!$C$1016:$AD$1126,25,FALSE),0)</f>
        <v>0</v>
      </c>
      <c r="M53" s="376">
        <f>IFERROR(VLOOKUP(C53,'تقرير المصروفات حسب الشهر'!$C$1143:$AD$1254,25,FALSE),0)</f>
        <v>0</v>
      </c>
      <c r="N53" s="376">
        <f>IFERROR(VLOOKUP(C53,'تقرير المصروفات حسب الشهر'!$C$1270:$AD$1381,25,FALSE),0)</f>
        <v>0</v>
      </c>
      <c r="O53" s="376">
        <f>IFERROR(VLOOKUP(C53,'تقرير المصروفات حسب الشهر'!$C$1397:$AI$1512,25,FALSE),0)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الشهر'!$C$10:$AD$119,25,FALSE),0)</f>
        <v>200</v>
      </c>
      <c r="E54" s="362">
        <f>IFERROR(VLOOKUP(C54,'تقرير المصروفات حسب الشهر'!$C$135:$AD$244,25,FALSE),0)</f>
        <v>0</v>
      </c>
      <c r="F54" s="362">
        <f>IFERROR(VLOOKUP(C54,'تقرير المصروفات حسب الشهر'!$C$261:$AD$368,25,FALSE),0)</f>
        <v>0</v>
      </c>
      <c r="G54" s="362">
        <f>IFERROR(VLOOKUP(C54,'تقرير المصروفات حسب الشهر'!$C$387:$AD$495,25,FALSE),0)</f>
        <v>100</v>
      </c>
      <c r="H54" s="362">
        <f>IFERROR(VLOOKUP(C54,'تقرير المصروفات حسب الشهر'!$C$512:$AD$620,25,FALSE),0)</f>
        <v>0</v>
      </c>
      <c r="I54" s="362">
        <f>IFERROR(VLOOKUP(C54,'تقرير المصروفات حسب الشهر'!$C$637:$AD$746,25,FALSE),0)</f>
        <v>0</v>
      </c>
      <c r="J54" s="362">
        <f>IFERROR(VLOOKUP(C54,'تقرير المصروفات حسب الشهر'!$C$763:$AD$872,25,FALSE),0)</f>
        <v>0</v>
      </c>
      <c r="K54" s="362">
        <f>IFERROR(VLOOKUP(C54,'تقرير المصروفات حسب الشهر'!$C$890:$AD$999,25,FALSE),0)</f>
        <v>200</v>
      </c>
      <c r="L54" s="362">
        <f>IFERROR(VLOOKUP(C54,'تقرير المصروفات حسب الشهر'!$C$1016:$AD$1126,25,FALSE),0)</f>
        <v>0</v>
      </c>
      <c r="M54" s="376">
        <f>IFERROR(VLOOKUP(C54,'تقرير المصروفات حسب الشهر'!$C$1143:$AD$1254,25,FALSE),0)</f>
        <v>0</v>
      </c>
      <c r="N54" s="376">
        <f>IFERROR(VLOOKUP(C54,'تقرير المصروفات حسب الشهر'!$C$1270:$AD$1381,25,FALSE),0)</f>
        <v>200</v>
      </c>
      <c r="O54" s="376">
        <f>IFERROR(VLOOKUP(C54,'تقرير المصروفات حسب الشهر'!$C$1397:$AI$1512,25,FALSE),0)</f>
        <v>0</v>
      </c>
      <c r="P54" s="364">
        <f t="shared" si="5"/>
        <v>700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الشهر'!$C$10:$AD$119,25,FALSE),0)</f>
        <v>0</v>
      </c>
      <c r="E55" s="362">
        <f>IFERROR(VLOOKUP(C55,'تقرير المصروفات حسب الشهر'!$C$135:$AD$244,25,FALSE),0)</f>
        <v>0</v>
      </c>
      <c r="F55" s="362">
        <f>IFERROR(VLOOKUP(C55,'تقرير المصروفات حسب الشهر'!$C$261:$AD$368,25,FALSE),0)</f>
        <v>0</v>
      </c>
      <c r="G55" s="362">
        <f>IFERROR(VLOOKUP(C55,'تقرير المصروفات حسب الشهر'!$C$387:$AD$495,25,FALSE),0)</f>
        <v>0</v>
      </c>
      <c r="H55" s="362">
        <f>IFERROR(VLOOKUP(C55,'تقرير المصروفات حسب الشهر'!$C$512:$AD$620,25,FALSE),0)</f>
        <v>0</v>
      </c>
      <c r="I55" s="362">
        <f>IFERROR(VLOOKUP(C55,'تقرير المصروفات حسب الشهر'!$C$637:$AD$746,25,FALSE),0)</f>
        <v>0</v>
      </c>
      <c r="J55" s="362">
        <f>IFERROR(VLOOKUP(C55,'تقرير المصروفات حسب الشهر'!$C$763:$AD$872,25,FALSE),0)</f>
        <v>0</v>
      </c>
      <c r="K55" s="362">
        <f>IFERROR(VLOOKUP(C55,'تقرير المصروفات حسب الشهر'!$C$890:$AD$999,25,FALSE),0)</f>
        <v>0</v>
      </c>
      <c r="L55" s="362">
        <f>IFERROR(VLOOKUP(C55,'تقرير المصروفات حسب الشهر'!$C$1016:$AD$1126,25,FALSE),0)</f>
        <v>0</v>
      </c>
      <c r="M55" s="376">
        <f>IFERROR(VLOOKUP(C55,'تقرير المصروفات حسب الشهر'!$C$1143:$AD$1254,25,FALSE),0)</f>
        <v>0</v>
      </c>
      <c r="N55" s="376">
        <f>IFERROR(VLOOKUP(C55,'تقرير المصروفات حسب الشهر'!$C$1270:$AD$1381,25,FALSE),0)</f>
        <v>0</v>
      </c>
      <c r="O55" s="376">
        <f>IFERROR(VLOOKUP(C55,'تقرير المصروفات حسب الشهر'!$C$1397:$AI$1512,25,FALSE),0)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الشهر'!$C$10:$AD$119,25,FALSE),0)</f>
        <v>0</v>
      </c>
      <c r="E56" s="362">
        <f>IFERROR(VLOOKUP(C56,'تقرير المصروفات حسب الشهر'!$C$135:$AD$244,25,FALSE),0)</f>
        <v>0</v>
      </c>
      <c r="F56" s="362">
        <f>IFERROR(VLOOKUP(C56,'تقرير المصروفات حسب الشهر'!$C$261:$AD$368,25,FALSE),0)</f>
        <v>0</v>
      </c>
      <c r="G56" s="362">
        <f>IFERROR(VLOOKUP(C56,'تقرير المصروفات حسب الشهر'!$C$387:$AD$495,25,FALSE),0)</f>
        <v>0</v>
      </c>
      <c r="H56" s="362">
        <f>IFERROR(VLOOKUP(C56,'تقرير المصروفات حسب الشهر'!$C$512:$AD$620,25,FALSE),0)</f>
        <v>0</v>
      </c>
      <c r="I56" s="362">
        <f>IFERROR(VLOOKUP(C56,'تقرير المصروفات حسب الشهر'!$C$637:$AD$746,25,FALSE),0)</f>
        <v>0</v>
      </c>
      <c r="J56" s="362">
        <f>IFERROR(VLOOKUP(C56,'تقرير المصروفات حسب الشهر'!$C$763:$AD$872,25,FALSE),0)</f>
        <v>0</v>
      </c>
      <c r="K56" s="362">
        <f>IFERROR(VLOOKUP(C56,'تقرير المصروفات حسب الشهر'!$C$890:$AD$999,25,FALSE),0)</f>
        <v>0</v>
      </c>
      <c r="L56" s="362">
        <f>IFERROR(VLOOKUP(C56,'تقرير المصروفات حسب الشهر'!$C$1016:$AD$1126,25,FALSE),0)</f>
        <v>0</v>
      </c>
      <c r="M56" s="376">
        <f>IFERROR(VLOOKUP(C56,'تقرير المصروفات حسب الشهر'!$C$1143:$AD$1254,25,FALSE),0)</f>
        <v>0</v>
      </c>
      <c r="N56" s="376">
        <f>IFERROR(VLOOKUP(C56,'تقرير المصروفات حسب الشهر'!$C$1270:$AD$1381,25,FALSE),0)</f>
        <v>0</v>
      </c>
      <c r="O56" s="376">
        <f>IFERROR(VLOOKUP(C56,'تقرير المصروفات حسب الشهر'!$C$1397:$AI$1512,25,FALSE),0)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الشهر'!$C$10:$AD$119,25,FALSE),0)</f>
        <v>0</v>
      </c>
      <c r="E57" s="362">
        <f>IFERROR(VLOOKUP(C57,'تقرير المصروفات حسب الشهر'!$C$135:$AD$244,25,FALSE),0)</f>
        <v>0</v>
      </c>
      <c r="F57" s="362">
        <f>IFERROR(VLOOKUP(C57,'تقرير المصروفات حسب الشهر'!$C$261:$AD$368,25,FALSE),0)</f>
        <v>0</v>
      </c>
      <c r="G57" s="362">
        <f>IFERROR(VLOOKUP(C57,'تقرير المصروفات حسب الشهر'!$C$387:$AD$495,25,FALSE),0)</f>
        <v>0</v>
      </c>
      <c r="H57" s="362">
        <f>IFERROR(VLOOKUP(C57,'تقرير المصروفات حسب الشهر'!$C$512:$AD$620,25,FALSE),0)</f>
        <v>0</v>
      </c>
      <c r="I57" s="362">
        <f>IFERROR(VLOOKUP(C57,'تقرير المصروفات حسب الشهر'!$C$637:$AD$746,25,FALSE),0)</f>
        <v>0</v>
      </c>
      <c r="J57" s="362">
        <f>IFERROR(VLOOKUP(C57,'تقرير المصروفات حسب الشهر'!$C$763:$AD$872,25,FALSE),0)</f>
        <v>0</v>
      </c>
      <c r="K57" s="362">
        <f>IFERROR(VLOOKUP(C57,'تقرير المصروفات حسب الشهر'!$C$890:$AD$999,25,FALSE),0)</f>
        <v>0</v>
      </c>
      <c r="L57" s="362">
        <f>IFERROR(VLOOKUP(C57,'تقرير المصروفات حسب الشهر'!$C$1016:$AD$1126,25,FALSE),0)</f>
        <v>0</v>
      </c>
      <c r="M57" s="376">
        <f>IFERROR(VLOOKUP(C57,'تقرير المصروفات حسب الشهر'!$C$1143:$AD$1254,25,FALSE),0)</f>
        <v>0</v>
      </c>
      <c r="N57" s="376">
        <f>IFERROR(VLOOKUP(C57,'تقرير المصروفات حسب الشهر'!$C$1270:$AD$1381,25,FALSE),0)</f>
        <v>0</v>
      </c>
      <c r="O57" s="376">
        <f>IFERROR(VLOOKUP(C57,'تقرير المصروفات حسب الشهر'!$C$1397:$AI$1512,25,FALSE),0)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الشهر'!$C$10:$AD$119,25,FALSE),0)</f>
        <v>0</v>
      </c>
      <c r="E58" s="362">
        <f>IFERROR(VLOOKUP(C58,'تقرير المصروفات حسب الشهر'!$C$135:$AD$244,25,FALSE),0)</f>
        <v>0</v>
      </c>
      <c r="F58" s="362">
        <f>IFERROR(VLOOKUP(C58,'تقرير المصروفات حسب الشهر'!$C$261:$AD$368,25,FALSE),0)</f>
        <v>0</v>
      </c>
      <c r="G58" s="362">
        <f>IFERROR(VLOOKUP(C58,'تقرير المصروفات حسب الشهر'!$C$387:$AD$495,25,FALSE),0)</f>
        <v>0</v>
      </c>
      <c r="H58" s="362">
        <f>IFERROR(VLOOKUP(C58,'تقرير المصروفات حسب الشهر'!$C$512:$AD$620,25,FALSE),0)</f>
        <v>0</v>
      </c>
      <c r="I58" s="362">
        <f>IFERROR(VLOOKUP(C58,'تقرير المصروفات حسب الشهر'!$C$637:$AD$746,25,FALSE),0)</f>
        <v>0</v>
      </c>
      <c r="J58" s="362">
        <f>IFERROR(VLOOKUP(C58,'تقرير المصروفات حسب الشهر'!$C$763:$AD$872,25,FALSE),0)</f>
        <v>0</v>
      </c>
      <c r="K58" s="362">
        <f>IFERROR(VLOOKUP(C58,'تقرير المصروفات حسب الشهر'!$C$890:$AD$999,25,FALSE),0)</f>
        <v>0</v>
      </c>
      <c r="L58" s="362">
        <f>IFERROR(VLOOKUP(C58,'تقرير المصروفات حسب الشهر'!$C$1016:$AD$1126,25,FALSE),0)</f>
        <v>0</v>
      </c>
      <c r="M58" s="376">
        <f>IFERROR(VLOOKUP(C58,'تقرير المصروفات حسب الشهر'!$C$1143:$AD$1254,25,FALSE),0)</f>
        <v>0</v>
      </c>
      <c r="N58" s="376">
        <f>IFERROR(VLOOKUP(C58,'تقرير المصروفات حسب الشهر'!$C$1270:$AD$1381,25,FALSE),0)</f>
        <v>0</v>
      </c>
      <c r="O58" s="376">
        <f>IFERROR(VLOOKUP(C58,'تقرير المصروفات حسب الشهر'!$C$1397:$AI$1512,25,FALSE),0)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الشهر'!$C$10:$AD$119,25,FALSE),0)</f>
        <v>0</v>
      </c>
      <c r="E59" s="362">
        <f>IFERROR(VLOOKUP(C59,'تقرير المصروفات حسب الشهر'!$C$135:$AD$244,25,FALSE),0)</f>
        <v>1900.5</v>
      </c>
      <c r="F59" s="362">
        <f>IFERROR(VLOOKUP(C59,'تقرير المصروفات حسب الشهر'!$C$261:$AD$368,25,FALSE),0)</f>
        <v>0</v>
      </c>
      <c r="G59" s="362">
        <f>IFERROR(VLOOKUP(C59,'تقرير المصروفات حسب الشهر'!$C$387:$AD$495,25,FALSE),0)</f>
        <v>998.5</v>
      </c>
      <c r="H59" s="362">
        <f>IFERROR(VLOOKUP(C59,'تقرير المصروفات حسب الشهر'!$C$512:$AD$620,25,FALSE),0)</f>
        <v>0</v>
      </c>
      <c r="I59" s="362">
        <f>IFERROR(VLOOKUP(C59,'تقرير المصروفات حسب الشهر'!$C$637:$AD$746,25,FALSE),0)</f>
        <v>1300.25</v>
      </c>
      <c r="J59" s="362">
        <f>IFERROR(VLOOKUP(C59,'تقرير المصروفات حسب الشهر'!$C$763:$AD$872,25,FALSE),0)</f>
        <v>0</v>
      </c>
      <c r="K59" s="362">
        <f>IFERROR(VLOOKUP(C59,'تقرير المصروفات حسب الشهر'!$C$890:$AD$999,25,FALSE),0)</f>
        <v>0</v>
      </c>
      <c r="L59" s="362">
        <f>IFERROR(VLOOKUP(C59,'تقرير المصروفات حسب الشهر'!$C$1016:$AD$1126,25,FALSE),0)</f>
        <v>0</v>
      </c>
      <c r="M59" s="376">
        <f>IFERROR(VLOOKUP(C59,'تقرير المصروفات حسب الشهر'!$C$1143:$AD$1254,25,FALSE),0)</f>
        <v>0</v>
      </c>
      <c r="N59" s="376">
        <f>IFERROR(VLOOKUP(C59,'تقرير المصروفات حسب الشهر'!$C$1270:$AD$1381,25,FALSE),0)</f>
        <v>0</v>
      </c>
      <c r="O59" s="376">
        <f>IFERROR(VLOOKUP(C59,'تقرير المصروفات حسب الشهر'!$C$1397:$AI$1512,25,FALSE),0)</f>
        <v>0</v>
      </c>
      <c r="P59" s="364">
        <f t="shared" si="5"/>
        <v>4199.25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الشهر'!$C$10:$AD$119,25,FALSE),0)</f>
        <v>3120</v>
      </c>
      <c r="E60" s="362">
        <f>IFERROR(VLOOKUP(C60,'تقرير المصروفات حسب الشهر'!$C$135:$AD$244,25,FALSE),0)</f>
        <v>0</v>
      </c>
      <c r="F60" s="362">
        <f>IFERROR(VLOOKUP(C60,'تقرير المصروفات حسب الشهر'!$C$261:$AD$368,25,FALSE),0)</f>
        <v>0</v>
      </c>
      <c r="G60" s="362">
        <f>IFERROR(VLOOKUP(C60,'تقرير المصروفات حسب الشهر'!$C$387:$AD$495,25,FALSE),0)</f>
        <v>1860</v>
      </c>
      <c r="H60" s="362">
        <f>IFERROR(VLOOKUP(C60,'تقرير المصروفات حسب الشهر'!$C$512:$AD$620,25,FALSE),0)</f>
        <v>0</v>
      </c>
      <c r="I60" s="362">
        <f>IFERROR(VLOOKUP(C60,'تقرير المصروفات حسب الشهر'!$C$637:$AD$746,25,FALSE),0)</f>
        <v>0</v>
      </c>
      <c r="J60" s="362">
        <f>IFERROR(VLOOKUP(C60,'تقرير المصروفات حسب الشهر'!$C$763:$AD$872,25,FALSE),0)</f>
        <v>0</v>
      </c>
      <c r="K60" s="362">
        <f>IFERROR(VLOOKUP(C60,'تقرير المصروفات حسب الشهر'!$C$890:$AD$999,25,FALSE),0)</f>
        <v>0</v>
      </c>
      <c r="L60" s="362">
        <f>IFERROR(VLOOKUP(C60,'تقرير المصروفات حسب الشهر'!$C$1016:$AD$1126,25,FALSE),0)</f>
        <v>0</v>
      </c>
      <c r="M60" s="376">
        <f>IFERROR(VLOOKUP(C60,'تقرير المصروفات حسب الشهر'!$C$1143:$AD$1254,25,FALSE),0)</f>
        <v>1650</v>
      </c>
      <c r="N60" s="376">
        <f>IFERROR(VLOOKUP(C60,'تقرير المصروفات حسب الشهر'!$C$1270:$AD$1381,25,FALSE),0)</f>
        <v>0</v>
      </c>
      <c r="O60" s="376">
        <f>IFERROR(VLOOKUP(C60,'تقرير المصروفات حسب الشهر'!$C$1397:$AI$1512,25,FALSE),0)</f>
        <v>3300</v>
      </c>
      <c r="P60" s="364">
        <f t="shared" si="5"/>
        <v>9930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الشهر'!$C$10:$AD$119,25,FALSE),0)</f>
        <v>0</v>
      </c>
      <c r="E61" s="362">
        <f>IFERROR(VLOOKUP(C61,'تقرير المصروفات حسب الشهر'!$C$135:$AD$244,25,FALSE),0)</f>
        <v>0</v>
      </c>
      <c r="F61" s="362">
        <f>IFERROR(VLOOKUP(C61,'تقرير المصروفات حسب الشهر'!$C$261:$AD$368,25,FALSE),0)</f>
        <v>0</v>
      </c>
      <c r="G61" s="362">
        <f>IFERROR(VLOOKUP(C61,'تقرير المصروفات حسب الشهر'!$C$387:$AD$495,25,FALSE),0)</f>
        <v>0</v>
      </c>
      <c r="H61" s="362">
        <f>IFERROR(VLOOKUP(C61,'تقرير المصروفات حسب الشهر'!$C$512:$AD$620,25,FALSE),0)</f>
        <v>0</v>
      </c>
      <c r="I61" s="362">
        <f>IFERROR(VLOOKUP(C61,'تقرير المصروفات حسب الشهر'!$C$637:$AD$746,25,FALSE),0)</f>
        <v>0</v>
      </c>
      <c r="J61" s="362">
        <f>IFERROR(VLOOKUP(C61,'تقرير المصروفات حسب الشهر'!$C$763:$AD$872,25,FALSE),0)</f>
        <v>0</v>
      </c>
      <c r="K61" s="362">
        <f>IFERROR(VLOOKUP(C61,'تقرير المصروفات حسب الشهر'!$C$890:$AD$999,25,FALSE),0)</f>
        <v>0</v>
      </c>
      <c r="L61" s="362">
        <f>IFERROR(VLOOKUP(C61,'تقرير المصروفات حسب الشهر'!$C$1016:$AD$1126,25,FALSE),0)</f>
        <v>350</v>
      </c>
      <c r="M61" s="376">
        <f>IFERROR(VLOOKUP(C61,'تقرير المصروفات حسب الشهر'!$C$1143:$AD$1254,25,FALSE),0)</f>
        <v>0</v>
      </c>
      <c r="N61" s="376">
        <f>IFERROR(VLOOKUP(C61,'تقرير المصروفات حسب الشهر'!$C$1270:$AD$1381,25,FALSE),0)</f>
        <v>0</v>
      </c>
      <c r="O61" s="376">
        <f>IFERROR(VLOOKUP(C61,'تقرير المصروفات حسب الشهر'!$C$1397:$AI$1512,25,FALSE),0)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الشهر'!$C$10:$AD$119,25,FALSE),0)</f>
        <v>0</v>
      </c>
      <c r="E62" s="362">
        <f>IFERROR(VLOOKUP(C62,'تقرير المصروفات حسب الشهر'!$C$135:$AD$244,25,FALSE),0)</f>
        <v>0</v>
      </c>
      <c r="F62" s="362">
        <f>IFERROR(VLOOKUP(C62,'تقرير المصروفات حسب الشهر'!$C$261:$AD$368,25,FALSE),0)</f>
        <v>0</v>
      </c>
      <c r="G62" s="362">
        <f>IFERROR(VLOOKUP(C62,'تقرير المصروفات حسب الشهر'!$C$387:$AD$495,25,FALSE),0)</f>
        <v>0</v>
      </c>
      <c r="H62" s="362">
        <f>IFERROR(VLOOKUP(C62,'تقرير المصروفات حسب الشهر'!$C$512:$AD$620,25,FALSE),0)</f>
        <v>0</v>
      </c>
      <c r="I62" s="362">
        <f>IFERROR(VLOOKUP(C62,'تقرير المصروفات حسب الشهر'!$C$637:$AD$746,25,FALSE),0)</f>
        <v>0</v>
      </c>
      <c r="J62" s="362">
        <f>IFERROR(VLOOKUP(C62,'تقرير المصروفات حسب الشهر'!$C$763:$AD$872,25,FALSE),0)</f>
        <v>0</v>
      </c>
      <c r="K62" s="362">
        <f>IFERROR(VLOOKUP(C62,'تقرير المصروفات حسب الشهر'!$C$890:$AD$999,25,FALSE),0)</f>
        <v>0</v>
      </c>
      <c r="L62" s="362">
        <f>IFERROR(VLOOKUP(C62,'تقرير المصروفات حسب الشهر'!$C$1016:$AD$1126,25,FALSE),0)</f>
        <v>0</v>
      </c>
      <c r="M62" s="376">
        <f>IFERROR(VLOOKUP(C62,'تقرير المصروفات حسب الشهر'!$C$1143:$AD$1254,25,FALSE),0)</f>
        <v>0</v>
      </c>
      <c r="N62" s="376">
        <f>IFERROR(VLOOKUP(C62,'تقرير المصروفات حسب الشهر'!$C$1270:$AD$1381,25,FALSE),0)</f>
        <v>0</v>
      </c>
      <c r="O62" s="376">
        <f>IFERROR(VLOOKUP(C62,'تقرير المصروفات حسب الشهر'!$C$1397:$AI$1512,25,FALSE),0)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الشهر'!$C$10:$AD$119,25,FALSE),0)</f>
        <v>0</v>
      </c>
      <c r="E63" s="362">
        <f>IFERROR(VLOOKUP(C63,'تقرير المصروفات حسب الشهر'!$C$135:$AD$244,25,FALSE),0)</f>
        <v>0</v>
      </c>
      <c r="F63" s="362">
        <f>IFERROR(VLOOKUP(C63,'تقرير المصروفات حسب الشهر'!$C$261:$AD$368,25,FALSE),0)</f>
        <v>0</v>
      </c>
      <c r="G63" s="362">
        <f>IFERROR(VLOOKUP(C63,'تقرير المصروفات حسب الشهر'!$C$387:$AD$495,25,FALSE),0)</f>
        <v>0</v>
      </c>
      <c r="H63" s="362">
        <f>IFERROR(VLOOKUP(C63,'تقرير المصروفات حسب الشهر'!$C$512:$AD$620,25,FALSE),0)</f>
        <v>0</v>
      </c>
      <c r="I63" s="362">
        <f>IFERROR(VLOOKUP(C63,'تقرير المصروفات حسب الشهر'!$C$637:$AD$746,25,FALSE),0)</f>
        <v>0</v>
      </c>
      <c r="J63" s="362">
        <f>IFERROR(VLOOKUP(C63,'تقرير المصروفات حسب الشهر'!$C$763:$AD$872,25,FALSE),0)</f>
        <v>0</v>
      </c>
      <c r="K63" s="362">
        <f>IFERROR(VLOOKUP(C63,'تقرير المصروفات حسب الشهر'!$C$890:$AD$999,25,FALSE),0)</f>
        <v>0</v>
      </c>
      <c r="L63" s="362">
        <f>IFERROR(VLOOKUP(C63,'تقرير المصروفات حسب الشهر'!$C$1016:$AD$1126,25,FALSE),0)</f>
        <v>0</v>
      </c>
      <c r="M63" s="376">
        <f>IFERROR(VLOOKUP(C63,'تقرير المصروفات حسب الشهر'!$C$1143:$AD$1254,25,FALSE),0)</f>
        <v>0</v>
      </c>
      <c r="N63" s="376">
        <f>IFERROR(VLOOKUP(C63,'تقرير المصروفات حسب الشهر'!$C$1270:$AD$1381,25,FALSE),0)</f>
        <v>0</v>
      </c>
      <c r="O63" s="376">
        <f>IFERROR(VLOOKUP(C63,'تقرير المصروفات حسب الشهر'!$C$1397:$AI$1512,25,FALSE),0)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الشهر'!$C$10:$AD$119,25,FALSE),0)</f>
        <v>0</v>
      </c>
      <c r="E64" s="362">
        <f>IFERROR(VLOOKUP(C64,'تقرير المصروفات حسب الشهر'!$C$135:$AD$244,25,FALSE),0)</f>
        <v>0</v>
      </c>
      <c r="F64" s="362">
        <f>IFERROR(VLOOKUP(C64,'تقرير المصروفات حسب الشهر'!$C$261:$AD$368,25,FALSE),0)</f>
        <v>0</v>
      </c>
      <c r="G64" s="362">
        <f>IFERROR(VLOOKUP(C64,'تقرير المصروفات حسب الشهر'!$C$387:$AD$495,25,FALSE),0)</f>
        <v>0</v>
      </c>
      <c r="H64" s="362">
        <f>IFERROR(VLOOKUP(C64,'تقرير المصروفات حسب الشهر'!$C$512:$AD$620,25,FALSE),0)</f>
        <v>0</v>
      </c>
      <c r="I64" s="362">
        <f>IFERROR(VLOOKUP(C64,'تقرير المصروفات حسب الشهر'!$C$637:$AD$746,25,FALSE),0)</f>
        <v>0</v>
      </c>
      <c r="J64" s="362">
        <f>IFERROR(VLOOKUP(C64,'تقرير المصروفات حسب الشهر'!$C$763:$AD$872,25,FALSE),0)</f>
        <v>0</v>
      </c>
      <c r="K64" s="362">
        <f>IFERROR(VLOOKUP(C64,'تقرير المصروفات حسب الشهر'!$C$890:$AD$999,25,FALSE),0)</f>
        <v>0</v>
      </c>
      <c r="L64" s="362">
        <f>IFERROR(VLOOKUP(C64,'تقرير المصروفات حسب الشهر'!$C$1016:$AD$1126,25,FALSE),0)</f>
        <v>0</v>
      </c>
      <c r="M64" s="376">
        <f>IFERROR(VLOOKUP(C64,'تقرير المصروفات حسب الشهر'!$C$1143:$AD$1254,25,FALSE),0)</f>
        <v>0</v>
      </c>
      <c r="N64" s="376">
        <f>IFERROR(VLOOKUP(C64,'تقرير المصروفات حسب الشهر'!$C$1270:$AD$1381,25,FALSE),0)</f>
        <v>0</v>
      </c>
      <c r="O64" s="376">
        <f>IFERROR(VLOOKUP(C64,'تقرير المصروفات حسب الشهر'!$C$1397:$AI$1512,25,FALSE),0)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الشهر'!$C$10:$AD$119,25,FALSE),0)</f>
        <v>0</v>
      </c>
      <c r="E65" s="362">
        <f>IFERROR(VLOOKUP(C65,'تقرير المصروفات حسب الشهر'!$C$135:$AD$244,25,FALSE),0)</f>
        <v>0</v>
      </c>
      <c r="F65" s="362">
        <f>IFERROR(VLOOKUP(C65,'تقرير المصروفات حسب الشهر'!$C$261:$AD$368,25,FALSE),0)</f>
        <v>0</v>
      </c>
      <c r="G65" s="362">
        <f>IFERROR(VLOOKUP(C65,'تقرير المصروفات حسب الشهر'!$C$387:$AD$495,25,FALSE),0)</f>
        <v>0</v>
      </c>
      <c r="H65" s="362">
        <f>IFERROR(VLOOKUP(C65,'تقرير المصروفات حسب الشهر'!$C$512:$AD$620,25,FALSE),0)</f>
        <v>0</v>
      </c>
      <c r="I65" s="362">
        <f>IFERROR(VLOOKUP(C65,'تقرير المصروفات حسب الشهر'!$C$637:$AD$746,25,FALSE),0)</f>
        <v>0</v>
      </c>
      <c r="J65" s="362">
        <f>IFERROR(VLOOKUP(C65,'تقرير المصروفات حسب الشهر'!$C$763:$AD$872,25,FALSE),0)</f>
        <v>0</v>
      </c>
      <c r="K65" s="362">
        <f>IFERROR(VLOOKUP(C65,'تقرير المصروفات حسب الشهر'!$C$890:$AD$999,25,FALSE),0)</f>
        <v>0</v>
      </c>
      <c r="L65" s="362">
        <f>IFERROR(VLOOKUP(C65,'تقرير المصروفات حسب الشهر'!$C$1016:$AD$1126,25,FALSE),0)</f>
        <v>0</v>
      </c>
      <c r="M65" s="376">
        <f>IFERROR(VLOOKUP(C65,'تقرير المصروفات حسب الشهر'!$C$1143:$AD$1254,25,FALSE),0)</f>
        <v>0</v>
      </c>
      <c r="N65" s="376">
        <f>IFERROR(VLOOKUP(C65,'تقرير المصروفات حسب الشهر'!$C$1270:$AD$1381,25,FALSE),0)</f>
        <v>0</v>
      </c>
      <c r="O65" s="376">
        <f>IFERROR(VLOOKUP(C65,'تقرير المصروفات حسب الشهر'!$C$1397:$AI$1512,25,FALSE),0)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الشهر'!$C$10:$AD$119,25,FALSE),0)</f>
        <v>0</v>
      </c>
      <c r="E66" s="362">
        <f>IFERROR(VLOOKUP(C66,'تقرير المصروفات حسب الشهر'!$C$135:$AD$244,25,FALSE),0)</f>
        <v>0</v>
      </c>
      <c r="F66" s="362">
        <f>IFERROR(VLOOKUP(C66,'تقرير المصروفات حسب الشهر'!$C$261:$AD$368,25,FALSE),0)</f>
        <v>0</v>
      </c>
      <c r="G66" s="362">
        <f>IFERROR(VLOOKUP(C66,'تقرير المصروفات حسب الشهر'!$C$387:$AD$495,25,FALSE),0)</f>
        <v>0</v>
      </c>
      <c r="H66" s="362">
        <f>IFERROR(VLOOKUP(C66,'تقرير المصروفات حسب الشهر'!$C$512:$AD$620,25,FALSE),0)</f>
        <v>0</v>
      </c>
      <c r="I66" s="362">
        <f>IFERROR(VLOOKUP(C66,'تقرير المصروفات حسب الشهر'!$C$637:$AD$746,25,FALSE),0)</f>
        <v>0</v>
      </c>
      <c r="J66" s="362">
        <f>IFERROR(VLOOKUP(C66,'تقرير المصروفات حسب الشهر'!$C$763:$AD$872,25,FALSE),0)</f>
        <v>0</v>
      </c>
      <c r="K66" s="362">
        <f>IFERROR(VLOOKUP(C66,'تقرير المصروفات حسب الشهر'!$C$890:$AD$999,25,FALSE),0)</f>
        <v>0</v>
      </c>
      <c r="L66" s="362">
        <f>IFERROR(VLOOKUP(C66,'تقرير المصروفات حسب الشهر'!$C$1016:$AD$1126,25,FALSE),0)</f>
        <v>0</v>
      </c>
      <c r="M66" s="376">
        <f>IFERROR(VLOOKUP(C66,'تقرير المصروفات حسب الشهر'!$C$1143:$AD$1254,25,FALSE),0)</f>
        <v>0</v>
      </c>
      <c r="N66" s="376">
        <f>IFERROR(VLOOKUP(C66,'تقرير المصروفات حسب الشهر'!$C$1270:$AD$1381,25,FALSE),0)</f>
        <v>0</v>
      </c>
      <c r="O66" s="376">
        <f>IFERROR(VLOOKUP(C66,'تقرير المصروفات حسب الشهر'!$C$1397:$AI$1512,25,FALSE),0)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الشهر'!$C$10:$AD$119,25,FALSE),0)</f>
        <v>0</v>
      </c>
      <c r="E67" s="362">
        <f>IFERROR(VLOOKUP(C67,'تقرير المصروفات حسب الشهر'!$C$135:$AD$244,25,FALSE),0)</f>
        <v>0</v>
      </c>
      <c r="F67" s="362">
        <f>IFERROR(VLOOKUP(C67,'تقرير المصروفات حسب الشهر'!$C$261:$AD$368,25,FALSE),0)</f>
        <v>0</v>
      </c>
      <c r="G67" s="362">
        <f>IFERROR(VLOOKUP(C67,'تقرير المصروفات حسب الشهر'!$C$387:$AD$495,25,FALSE),0)</f>
        <v>0</v>
      </c>
      <c r="H67" s="362">
        <f>IFERROR(VLOOKUP(C67,'تقرير المصروفات حسب الشهر'!$C$512:$AD$620,25,FALSE),0)</f>
        <v>0</v>
      </c>
      <c r="I67" s="362">
        <f>IFERROR(VLOOKUP(C67,'تقرير المصروفات حسب الشهر'!$C$637:$AD$746,25,FALSE),0)</f>
        <v>0</v>
      </c>
      <c r="J67" s="362">
        <f>IFERROR(VLOOKUP(C67,'تقرير المصروفات حسب الشهر'!$C$763:$AD$872,25,FALSE),0)</f>
        <v>0</v>
      </c>
      <c r="K67" s="362">
        <f>IFERROR(VLOOKUP(C67,'تقرير المصروفات حسب الشهر'!$C$890:$AD$999,25,FALSE),0)</f>
        <v>0</v>
      </c>
      <c r="L67" s="362">
        <f>IFERROR(VLOOKUP(C67,'تقرير المصروفات حسب الشهر'!$C$1016:$AD$1126,25,FALSE),0)</f>
        <v>0</v>
      </c>
      <c r="M67" s="376">
        <f>IFERROR(VLOOKUP(C67,'تقرير المصروفات حسب الشهر'!$C$1143:$AD$1254,25,FALSE),0)</f>
        <v>0</v>
      </c>
      <c r="N67" s="376">
        <f>IFERROR(VLOOKUP(C67,'تقرير المصروفات حسب الشهر'!$C$1270:$AD$1381,25,FALSE),0)</f>
        <v>0</v>
      </c>
      <c r="O67" s="376">
        <f>IFERROR(VLOOKUP(C67,'تقرير المصروفات حسب الشهر'!$C$1397:$AI$1512,25,FALSE),0)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الشهر'!$C$10:$AD$119,25,FALSE),0)</f>
        <v>0</v>
      </c>
      <c r="E68" s="362">
        <f>IFERROR(VLOOKUP(C68,'تقرير المصروفات حسب الشهر'!$C$135:$AD$244,25,FALSE),0)</f>
        <v>0</v>
      </c>
      <c r="F68" s="362">
        <f>IFERROR(VLOOKUP(C68,'تقرير المصروفات حسب الشهر'!$C$261:$AD$368,25,FALSE),0)</f>
        <v>0</v>
      </c>
      <c r="G68" s="362">
        <f>IFERROR(VLOOKUP(C68,'تقرير المصروفات حسب الشهر'!$C$387:$AD$495,25,FALSE),0)</f>
        <v>0</v>
      </c>
      <c r="H68" s="362">
        <f>IFERROR(VLOOKUP(C68,'تقرير المصروفات حسب الشهر'!$C$512:$AD$620,25,FALSE),0)</f>
        <v>0</v>
      </c>
      <c r="I68" s="362">
        <f>IFERROR(VLOOKUP(C68,'تقرير المصروفات حسب الشهر'!$C$637:$AD$746,25,FALSE),0)</f>
        <v>0</v>
      </c>
      <c r="J68" s="362">
        <f>IFERROR(VLOOKUP(C68,'تقرير المصروفات حسب الشهر'!$C$763:$AD$872,25,FALSE),0)</f>
        <v>0</v>
      </c>
      <c r="K68" s="362">
        <f>IFERROR(VLOOKUP(C68,'تقرير المصروفات حسب الشهر'!$C$890:$AD$999,25,FALSE),0)</f>
        <v>0</v>
      </c>
      <c r="L68" s="362">
        <f>IFERROR(VLOOKUP(C68,'تقرير المصروفات حسب الشهر'!$C$1016:$AD$1126,25,FALSE),0)</f>
        <v>0</v>
      </c>
      <c r="M68" s="376">
        <f>IFERROR(VLOOKUP(C68,'تقرير المصروفات حسب الشهر'!$C$1143:$AD$1254,25,FALSE),0)</f>
        <v>0</v>
      </c>
      <c r="N68" s="376">
        <f>IFERROR(VLOOKUP(C68,'تقرير المصروفات حسب الشهر'!$C$1270:$AD$1381,25,FALSE),0)</f>
        <v>0</v>
      </c>
      <c r="O68" s="376">
        <f>IFERROR(VLOOKUP(C68,'تقرير المصروفات حسب الشهر'!$C$1397:$AI$1512,25,FALSE),0)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الشهر'!$C$10:$AD$119,25,FALSE),0)</f>
        <v>0</v>
      </c>
      <c r="E69" s="362">
        <f>IFERROR(VLOOKUP(C69,'تقرير المصروفات حسب الشهر'!$C$135:$AD$244,25,FALSE),0)</f>
        <v>0</v>
      </c>
      <c r="F69" s="362">
        <f>IFERROR(VLOOKUP(C69,'تقرير المصروفات حسب الشهر'!$C$261:$AD$368,25,FALSE),0)</f>
        <v>0</v>
      </c>
      <c r="G69" s="362">
        <f>IFERROR(VLOOKUP(C69,'تقرير المصروفات حسب الشهر'!$C$387:$AD$495,25,FALSE),0)</f>
        <v>0</v>
      </c>
      <c r="H69" s="362">
        <f>IFERROR(VLOOKUP(C69,'تقرير المصروفات حسب الشهر'!$C$512:$AD$620,25,FALSE),0)</f>
        <v>0</v>
      </c>
      <c r="I69" s="362">
        <f>IFERROR(VLOOKUP(C69,'تقرير المصروفات حسب الشهر'!$C$637:$AD$746,25,FALSE),0)</f>
        <v>0</v>
      </c>
      <c r="J69" s="362">
        <f>IFERROR(VLOOKUP(C69,'تقرير المصروفات حسب الشهر'!$C$763:$AD$872,25,FALSE),0)</f>
        <v>0</v>
      </c>
      <c r="K69" s="362">
        <f>IFERROR(VLOOKUP(C69,'تقرير المصروفات حسب الشهر'!$C$890:$AD$999,25,FALSE),0)</f>
        <v>0</v>
      </c>
      <c r="L69" s="362">
        <f>IFERROR(VLOOKUP(C69,'تقرير المصروفات حسب الشهر'!$C$1016:$AD$1126,25,FALSE),0)</f>
        <v>0</v>
      </c>
      <c r="M69" s="376">
        <f>IFERROR(VLOOKUP(C69,'تقرير المصروفات حسب الشهر'!$C$1143:$AD$1254,25,FALSE),0)</f>
        <v>0</v>
      </c>
      <c r="N69" s="376">
        <f>IFERROR(VLOOKUP(C69,'تقرير المصروفات حسب الشهر'!$C$1270:$AD$1381,25,FALSE),0)</f>
        <v>0</v>
      </c>
      <c r="O69" s="376">
        <f>IFERROR(VLOOKUP(C69,'تقرير المصروفات حسب الشهر'!$C$1397:$AI$1512,25,FALSE),0)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الشهر'!$C$10:$AD$119,25,FALSE),0)</f>
        <v>0</v>
      </c>
      <c r="E70" s="362">
        <f>IFERROR(VLOOKUP(C70,'تقرير المصروفات حسب الشهر'!$C$135:$AD$244,25,FALSE),0)</f>
        <v>0</v>
      </c>
      <c r="F70" s="362">
        <f>IFERROR(VLOOKUP(C70,'تقرير المصروفات حسب الشهر'!$C$261:$AD$368,25,FALSE),0)</f>
        <v>0</v>
      </c>
      <c r="G70" s="362">
        <f>IFERROR(VLOOKUP(C70,'تقرير المصروفات حسب الشهر'!$C$387:$AD$495,25,FALSE),0)</f>
        <v>0</v>
      </c>
      <c r="H70" s="362">
        <f>IFERROR(VLOOKUP(C70,'تقرير المصروفات حسب الشهر'!$C$512:$AD$620,25,FALSE),0)</f>
        <v>0</v>
      </c>
      <c r="I70" s="362">
        <f>IFERROR(VLOOKUP(C70,'تقرير المصروفات حسب الشهر'!$C$637:$AD$746,25,FALSE),0)</f>
        <v>0</v>
      </c>
      <c r="J70" s="362">
        <f>IFERROR(VLOOKUP(C70,'تقرير المصروفات حسب الشهر'!$C$763:$AD$872,25,FALSE),0)</f>
        <v>0</v>
      </c>
      <c r="K70" s="362">
        <f>IFERROR(VLOOKUP(C70,'تقرير المصروفات حسب الشهر'!$C$890:$AD$999,25,FALSE),0)</f>
        <v>0</v>
      </c>
      <c r="L70" s="362">
        <f>IFERROR(VLOOKUP(C70,'تقرير المصروفات حسب الشهر'!$C$1016:$AD$1126,25,FALSE),0)</f>
        <v>0</v>
      </c>
      <c r="M70" s="376">
        <f>IFERROR(VLOOKUP(C70,'تقرير المصروفات حسب الشهر'!$C$1143:$AD$1254,25,FALSE),0)</f>
        <v>0</v>
      </c>
      <c r="N70" s="376">
        <f>IFERROR(VLOOKUP(C70,'تقرير المصروفات حسب الشهر'!$C$1270:$AD$1381,25,FALSE),0)</f>
        <v>0</v>
      </c>
      <c r="O70" s="376">
        <f>IFERROR(VLOOKUP(C70,'تقرير المصروفات حسب الشهر'!$C$1397:$AI$1512,25,FALSE),0)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الشهر'!$C$10:$AD$119,25,FALSE),0)</f>
        <v>0</v>
      </c>
      <c r="E71" s="362">
        <f>IFERROR(VLOOKUP(C71,'تقرير المصروفات حسب الشهر'!$C$135:$AD$244,25,FALSE),0)</f>
        <v>0</v>
      </c>
      <c r="F71" s="362">
        <f>IFERROR(VLOOKUP(C71,'تقرير المصروفات حسب الشهر'!$C$261:$AD$368,25,FALSE),0)</f>
        <v>0</v>
      </c>
      <c r="G71" s="362">
        <f>IFERROR(VLOOKUP(C71,'تقرير المصروفات حسب الشهر'!$C$387:$AD$495,25,FALSE),0)</f>
        <v>0</v>
      </c>
      <c r="H71" s="362">
        <f>IFERROR(VLOOKUP(C71,'تقرير المصروفات حسب الشهر'!$C$512:$AD$620,25,FALSE),0)</f>
        <v>0</v>
      </c>
      <c r="I71" s="362">
        <f>IFERROR(VLOOKUP(C71,'تقرير المصروفات حسب الشهر'!$C$637:$AD$746,25,FALSE),0)</f>
        <v>0</v>
      </c>
      <c r="J71" s="362">
        <f>IFERROR(VLOOKUP(C71,'تقرير المصروفات حسب الشهر'!$C$763:$AD$872,25,FALSE),0)</f>
        <v>0</v>
      </c>
      <c r="K71" s="362">
        <f>IFERROR(VLOOKUP(C71,'تقرير المصروفات حسب الشهر'!$C$890:$AD$999,25,FALSE),0)</f>
        <v>0</v>
      </c>
      <c r="L71" s="362">
        <f>IFERROR(VLOOKUP(C71,'تقرير المصروفات حسب الشهر'!$C$1016:$AD$1126,25,FALSE),0)</f>
        <v>0</v>
      </c>
      <c r="M71" s="376">
        <f>IFERROR(VLOOKUP(C71,'تقرير المصروفات حسب الشهر'!$C$1143:$AD$1254,25,FALSE),0)</f>
        <v>0</v>
      </c>
      <c r="N71" s="376">
        <f>IFERROR(VLOOKUP(C71,'تقرير المصروفات حسب الشهر'!$C$1270:$AD$1381,25,FALSE),0)</f>
        <v>0</v>
      </c>
      <c r="O71" s="376">
        <f>IFERROR(VLOOKUP(C71,'تقرير المصروفات حسب الشهر'!$C$1397:$AI$1512,25,FALSE),0)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الشهر'!$C$10:$AD$119,25,FALSE),0)</f>
        <v>0</v>
      </c>
      <c r="E72" s="362">
        <f>IFERROR(VLOOKUP(C72,'تقرير المصروفات حسب الشهر'!$C$135:$AD$244,25,FALSE),0)</f>
        <v>0</v>
      </c>
      <c r="F72" s="362">
        <f>IFERROR(VLOOKUP(C72,'تقرير المصروفات حسب الشهر'!$C$261:$AD$368,25,FALSE),0)</f>
        <v>0</v>
      </c>
      <c r="G72" s="362">
        <f>IFERROR(VLOOKUP(C72,'تقرير المصروفات حسب الشهر'!$C$387:$AD$495,25,FALSE),0)</f>
        <v>0</v>
      </c>
      <c r="H72" s="362">
        <f>IFERROR(VLOOKUP(C72,'تقرير المصروفات حسب الشهر'!$C$512:$AD$620,25,FALSE),0)</f>
        <v>0</v>
      </c>
      <c r="I72" s="362">
        <f>IFERROR(VLOOKUP(C72,'تقرير المصروفات حسب الشهر'!$C$637:$AD$746,25,FALSE),0)</f>
        <v>0</v>
      </c>
      <c r="J72" s="362">
        <f>IFERROR(VLOOKUP(C72,'تقرير المصروفات حسب الشهر'!$C$763:$AD$872,25,FALSE),0)</f>
        <v>0</v>
      </c>
      <c r="K72" s="362">
        <f>IFERROR(VLOOKUP(C72,'تقرير المصروفات حسب الشهر'!$C$890:$AD$999,25,FALSE),0)</f>
        <v>0</v>
      </c>
      <c r="L72" s="362">
        <f>IFERROR(VLOOKUP(C72,'تقرير المصروفات حسب الشهر'!$C$1016:$AD$1126,25,FALSE),0)</f>
        <v>0</v>
      </c>
      <c r="M72" s="376">
        <f>IFERROR(VLOOKUP(C72,'تقرير المصروفات حسب الشهر'!$C$1143:$AD$1254,25,FALSE),0)</f>
        <v>0</v>
      </c>
      <c r="N72" s="376">
        <f>IFERROR(VLOOKUP(C72,'تقرير المصروفات حسب الشهر'!$C$1270:$AD$1381,25,FALSE),0)</f>
        <v>0</v>
      </c>
      <c r="O72" s="376">
        <f>IFERROR(VLOOKUP(C72,'تقرير المصروفات حسب الشهر'!$C$1397:$AI$1512,25,FALSE),0)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الشهر'!$C$10:$AD$119,25,FALSE),0)</f>
        <v>0</v>
      </c>
      <c r="E73" s="362">
        <f>IFERROR(VLOOKUP(C73,'تقرير المصروفات حسب الشهر'!$C$135:$AD$244,25,FALSE),0)</f>
        <v>0</v>
      </c>
      <c r="F73" s="362">
        <f>IFERROR(VLOOKUP(C73,'تقرير المصروفات حسب الشهر'!$C$261:$AD$368,25,FALSE),0)</f>
        <v>0</v>
      </c>
      <c r="G73" s="362">
        <f>IFERROR(VLOOKUP(C73,'تقرير المصروفات حسب الشهر'!$C$387:$AD$495,25,FALSE),0)</f>
        <v>0</v>
      </c>
      <c r="H73" s="362">
        <f>IFERROR(VLOOKUP(C73,'تقرير المصروفات حسب الشهر'!$C$512:$AD$620,25,FALSE),0)</f>
        <v>0</v>
      </c>
      <c r="I73" s="362">
        <f>IFERROR(VLOOKUP(C73,'تقرير المصروفات حسب الشهر'!$C$637:$AD$746,25,FALSE),0)</f>
        <v>0</v>
      </c>
      <c r="J73" s="362">
        <f>IFERROR(VLOOKUP(C73,'تقرير المصروفات حسب الشهر'!$C$763:$AD$872,25,FALSE),0)</f>
        <v>0</v>
      </c>
      <c r="K73" s="362">
        <f>IFERROR(VLOOKUP(C73,'تقرير المصروفات حسب الشهر'!$C$890:$AD$999,25,FALSE),0)</f>
        <v>0</v>
      </c>
      <c r="L73" s="362">
        <f>IFERROR(VLOOKUP(C73,'تقرير المصروفات حسب الشهر'!$C$1016:$AD$1126,25,FALSE),0)</f>
        <v>0</v>
      </c>
      <c r="M73" s="376">
        <f>IFERROR(VLOOKUP(C73,'تقرير المصروفات حسب الشهر'!$C$1143:$AD$1254,25,FALSE),0)</f>
        <v>0</v>
      </c>
      <c r="N73" s="376">
        <f>IFERROR(VLOOKUP(C73,'تقرير المصروفات حسب الشهر'!$C$1270:$AD$1381,25,FALSE),0)</f>
        <v>0</v>
      </c>
      <c r="O73" s="376">
        <f>IFERROR(VLOOKUP(C73,'تقرير المصروفات حسب الشهر'!$C$1397:$AI$1512,25,FALSE),0)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الشهر'!$C$10:$AD$119,25,FALSE),0)</f>
        <v>0</v>
      </c>
      <c r="E74" s="362">
        <f>IFERROR(VLOOKUP(C74,'تقرير المصروفات حسب الشهر'!$C$135:$AD$244,25,FALSE),0)</f>
        <v>0</v>
      </c>
      <c r="F74" s="362">
        <f>IFERROR(VLOOKUP(C74,'تقرير المصروفات حسب الشهر'!$C$261:$AD$368,25,FALSE),0)</f>
        <v>0</v>
      </c>
      <c r="G74" s="362">
        <f>IFERROR(VLOOKUP(C74,'تقرير المصروفات حسب الشهر'!$C$387:$AD$495,25,FALSE),0)</f>
        <v>0</v>
      </c>
      <c r="H74" s="362">
        <f>IFERROR(VLOOKUP(C74,'تقرير المصروفات حسب الشهر'!$C$512:$AD$620,25,FALSE),0)</f>
        <v>0</v>
      </c>
      <c r="I74" s="362">
        <f>IFERROR(VLOOKUP(C74,'تقرير المصروفات حسب الشهر'!$C$637:$AD$746,25,FALSE),0)</f>
        <v>0</v>
      </c>
      <c r="J74" s="362">
        <f>IFERROR(VLOOKUP(C74,'تقرير المصروفات حسب الشهر'!$C$763:$AD$872,25,FALSE),0)</f>
        <v>0</v>
      </c>
      <c r="K74" s="362">
        <f>IFERROR(VLOOKUP(C74,'تقرير المصروفات حسب الشهر'!$C$890:$AD$999,25,FALSE),0)</f>
        <v>0</v>
      </c>
      <c r="L74" s="362">
        <f>IFERROR(VLOOKUP(C74,'تقرير المصروفات حسب الشهر'!$C$1016:$AD$1126,25,FALSE),0)</f>
        <v>0</v>
      </c>
      <c r="M74" s="376">
        <f>IFERROR(VLOOKUP(C74,'تقرير المصروفات حسب الشهر'!$C$1143:$AD$1254,25,FALSE),0)</f>
        <v>0</v>
      </c>
      <c r="N74" s="376">
        <f>IFERROR(VLOOKUP(C74,'تقرير المصروفات حسب الشهر'!$C$1270:$AD$1381,25,FALSE),0)</f>
        <v>0</v>
      </c>
      <c r="O74" s="376">
        <f>IFERROR(VLOOKUP(C74,'تقرير المصروفات حسب الشهر'!$C$1397:$AI$1512,25,FALSE),0)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الشهر'!$C$10:$AD$119,25,FALSE),0)</f>
        <v>0</v>
      </c>
      <c r="E75" s="362">
        <f>IFERROR(VLOOKUP(C75,'تقرير المصروفات حسب الشهر'!$C$135:$AD$244,25,FALSE),0)</f>
        <v>0</v>
      </c>
      <c r="F75" s="362">
        <f>IFERROR(VLOOKUP(C75,'تقرير المصروفات حسب الشهر'!$C$261:$AD$368,25,FALSE),0)</f>
        <v>0</v>
      </c>
      <c r="G75" s="362">
        <f>IFERROR(VLOOKUP(C75,'تقرير المصروفات حسب الشهر'!$C$387:$AD$495,25,FALSE),0)</f>
        <v>0</v>
      </c>
      <c r="H75" s="362">
        <f>IFERROR(VLOOKUP(C75,'تقرير المصروفات حسب الشهر'!$C$512:$AD$620,25,FALSE),0)</f>
        <v>0</v>
      </c>
      <c r="I75" s="362">
        <f>IFERROR(VLOOKUP(C75,'تقرير المصروفات حسب الشهر'!$C$637:$AD$746,25,FALSE),0)</f>
        <v>0</v>
      </c>
      <c r="J75" s="362">
        <f>IFERROR(VLOOKUP(C75,'تقرير المصروفات حسب الشهر'!$C$763:$AD$872,25,FALSE),0)</f>
        <v>0</v>
      </c>
      <c r="K75" s="362">
        <f>IFERROR(VLOOKUP(C75,'تقرير المصروفات حسب الشهر'!$C$890:$AD$999,25,FALSE),0)</f>
        <v>0</v>
      </c>
      <c r="L75" s="362">
        <f>IFERROR(VLOOKUP(C75,'تقرير المصروفات حسب الشهر'!$C$1016:$AD$1126,25,FALSE),0)</f>
        <v>0</v>
      </c>
      <c r="M75" s="376">
        <f>IFERROR(VLOOKUP(C75,'تقرير المصروفات حسب الشهر'!$C$1143:$AD$1254,25,FALSE),0)</f>
        <v>0</v>
      </c>
      <c r="N75" s="376">
        <f>IFERROR(VLOOKUP(C75,'تقرير المصروفات حسب الشهر'!$C$1270:$AD$1381,25,FALSE),0)</f>
        <v>0</v>
      </c>
      <c r="O75" s="376">
        <f>IFERROR(VLOOKUP(C75,'تقرير المصروفات حسب الشهر'!$C$1397:$AI$1512,25,FALSE),0)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الشهر'!$C$10:$AD$119,25,FALSE),0)</f>
        <v>0</v>
      </c>
      <c r="E76" s="362">
        <f>IFERROR(VLOOKUP(C76,'تقرير المصروفات حسب الشهر'!$C$135:$AD$244,25,FALSE),0)</f>
        <v>0</v>
      </c>
      <c r="F76" s="362">
        <f>IFERROR(VLOOKUP(C76,'تقرير المصروفات حسب الشهر'!$C$261:$AD$368,25,FALSE),0)</f>
        <v>0</v>
      </c>
      <c r="G76" s="362">
        <f>IFERROR(VLOOKUP(C76,'تقرير المصروفات حسب الشهر'!$C$387:$AD$495,25,FALSE),0)</f>
        <v>0</v>
      </c>
      <c r="H76" s="362">
        <f>IFERROR(VLOOKUP(C76,'تقرير المصروفات حسب الشهر'!$C$512:$AD$620,25,FALSE),0)</f>
        <v>0</v>
      </c>
      <c r="I76" s="362">
        <f>IFERROR(VLOOKUP(C76,'تقرير المصروفات حسب الشهر'!$C$637:$AD$746,25,FALSE),0)</f>
        <v>0</v>
      </c>
      <c r="J76" s="362">
        <f>IFERROR(VLOOKUP(C76,'تقرير المصروفات حسب الشهر'!$C$763:$AD$872,25,FALSE),0)</f>
        <v>0</v>
      </c>
      <c r="K76" s="362">
        <f>IFERROR(VLOOKUP(C76,'تقرير المصروفات حسب الشهر'!$C$890:$AD$999,25,FALSE),0)</f>
        <v>0</v>
      </c>
      <c r="L76" s="362">
        <f>IFERROR(VLOOKUP(C76,'تقرير المصروفات حسب الشهر'!$C$1016:$AD$1126,25,FALSE),0)</f>
        <v>0</v>
      </c>
      <c r="M76" s="376">
        <f>IFERROR(VLOOKUP(C76,'تقرير المصروفات حسب الشهر'!$C$1143:$AD$1254,25,FALSE),0)</f>
        <v>0</v>
      </c>
      <c r="N76" s="376">
        <f>IFERROR(VLOOKUP(C76,'تقرير المصروفات حسب الشهر'!$C$1270:$AD$1381,25,FALSE),0)</f>
        <v>0</v>
      </c>
      <c r="O76" s="376">
        <f>IFERROR(VLOOKUP(C76,'تقرير المصروفات حسب الشهر'!$C$1397:$AI$1512,25,FALSE),0)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الشهر'!$C$10:$AD$119,25,FALSE),0)</f>
        <v>0</v>
      </c>
      <c r="E77" s="362">
        <f>IFERROR(VLOOKUP(C77,'تقرير المصروفات حسب الشهر'!$C$135:$AD$244,25,FALSE),0)</f>
        <v>0</v>
      </c>
      <c r="F77" s="362">
        <f>IFERROR(VLOOKUP(C77,'تقرير المصروفات حسب الشهر'!$C$261:$AD$368,25,FALSE),0)</f>
        <v>0</v>
      </c>
      <c r="G77" s="362">
        <f>IFERROR(VLOOKUP(C77,'تقرير المصروفات حسب الشهر'!$C$387:$AD$495,25,FALSE),0)</f>
        <v>0</v>
      </c>
      <c r="H77" s="362">
        <f>IFERROR(VLOOKUP(C77,'تقرير المصروفات حسب الشهر'!$C$512:$AD$620,25,FALSE),0)</f>
        <v>0</v>
      </c>
      <c r="I77" s="362">
        <f>IFERROR(VLOOKUP(C77,'تقرير المصروفات حسب الشهر'!$C$637:$AD$746,25,FALSE),0)</f>
        <v>0</v>
      </c>
      <c r="J77" s="362">
        <f>IFERROR(VLOOKUP(C77,'تقرير المصروفات حسب الشهر'!$C$763:$AD$872,25,FALSE),0)</f>
        <v>0</v>
      </c>
      <c r="K77" s="362">
        <f>IFERROR(VLOOKUP(C77,'تقرير المصروفات حسب الشهر'!$C$890:$AD$999,25,FALSE),0)</f>
        <v>0</v>
      </c>
      <c r="L77" s="362">
        <f>IFERROR(VLOOKUP(C77,'تقرير المصروفات حسب الشهر'!$C$1016:$AD$1126,25,FALSE),0)</f>
        <v>0</v>
      </c>
      <c r="M77" s="376">
        <f>IFERROR(VLOOKUP(C77,'تقرير المصروفات حسب الشهر'!$C$1143:$AD$1254,25,FALSE),0)</f>
        <v>0</v>
      </c>
      <c r="N77" s="376">
        <f>IFERROR(VLOOKUP(C77,'تقرير المصروفات حسب الشهر'!$C$1270:$AD$1381,25,FALSE),0)</f>
        <v>0</v>
      </c>
      <c r="O77" s="376">
        <f>IFERROR(VLOOKUP(C77,'تقرير المصروفات حسب الشهر'!$C$1397:$AI$1512,25,FALSE),0)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الشهر'!$C$10:$AD$119,25,FALSE),0)</f>
        <v>0</v>
      </c>
      <c r="E78" s="362">
        <f>IFERROR(VLOOKUP(C78,'تقرير المصروفات حسب الشهر'!$C$135:$AD$244,25,FALSE),0)</f>
        <v>0</v>
      </c>
      <c r="F78" s="362">
        <f>IFERROR(VLOOKUP(C78,'تقرير المصروفات حسب الشهر'!$C$261:$AD$368,25,FALSE),0)</f>
        <v>0</v>
      </c>
      <c r="G78" s="362">
        <f>IFERROR(VLOOKUP(C78,'تقرير المصروفات حسب الشهر'!$C$387:$AD$495,25,FALSE),0)</f>
        <v>0</v>
      </c>
      <c r="H78" s="362">
        <f>IFERROR(VLOOKUP(C78,'تقرير المصروفات حسب الشهر'!$C$512:$AD$620,25,FALSE),0)</f>
        <v>0</v>
      </c>
      <c r="I78" s="362">
        <f>IFERROR(VLOOKUP(C78,'تقرير المصروفات حسب الشهر'!$C$637:$AD$746,25,FALSE),0)</f>
        <v>0</v>
      </c>
      <c r="J78" s="362">
        <f>IFERROR(VLOOKUP(C78,'تقرير المصروفات حسب الشهر'!$C$763:$AD$872,25,FALSE),0)</f>
        <v>0</v>
      </c>
      <c r="K78" s="362">
        <f>IFERROR(VLOOKUP(C78,'تقرير المصروفات حسب الشهر'!$C$890:$AD$999,25,FALSE),0)</f>
        <v>0</v>
      </c>
      <c r="L78" s="362">
        <f>IFERROR(VLOOKUP(C78,'تقرير المصروفات حسب الشهر'!$C$1016:$AD$1126,25,FALSE),0)</f>
        <v>0</v>
      </c>
      <c r="M78" s="376">
        <f>IFERROR(VLOOKUP(C78,'تقرير المصروفات حسب الشهر'!$C$1143:$AD$1254,25,FALSE),0)</f>
        <v>0</v>
      </c>
      <c r="N78" s="376">
        <f>IFERROR(VLOOKUP(C78,'تقرير المصروفات حسب الشهر'!$C$1270:$AD$1381,25,FALSE),0)</f>
        <v>0</v>
      </c>
      <c r="O78" s="376">
        <f>IFERROR(VLOOKUP(C78,'تقرير المصروفات حسب الشهر'!$C$1397:$AI$1512,25,FALSE),0)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الشهر'!$C$10:$AD$119,25,FALSE),0)</f>
        <v>0</v>
      </c>
      <c r="E79" s="362">
        <f>IFERROR(VLOOKUP(C79,'تقرير المصروفات حسب الشهر'!$C$135:$AD$244,25,FALSE),0)</f>
        <v>0</v>
      </c>
      <c r="F79" s="362">
        <f>IFERROR(VLOOKUP(C79,'تقرير المصروفات حسب الشهر'!$C$261:$AD$368,25,FALSE),0)</f>
        <v>0</v>
      </c>
      <c r="G79" s="362">
        <f>IFERROR(VLOOKUP(C79,'تقرير المصروفات حسب الشهر'!$C$387:$AD$495,25,FALSE),0)</f>
        <v>0</v>
      </c>
      <c r="H79" s="362">
        <f>IFERROR(VLOOKUP(C79,'تقرير المصروفات حسب الشهر'!$C$512:$AD$620,25,FALSE),0)</f>
        <v>0</v>
      </c>
      <c r="I79" s="362">
        <f>IFERROR(VLOOKUP(C79,'تقرير المصروفات حسب الشهر'!$C$637:$AD$746,25,FALSE),0)</f>
        <v>0</v>
      </c>
      <c r="J79" s="362">
        <f>IFERROR(VLOOKUP(C79,'تقرير المصروفات حسب الشهر'!$C$763:$AD$872,25,FALSE),0)</f>
        <v>0</v>
      </c>
      <c r="K79" s="362">
        <f>IFERROR(VLOOKUP(C79,'تقرير المصروفات حسب الشهر'!$C$890:$AD$999,25,FALSE),0)</f>
        <v>0</v>
      </c>
      <c r="L79" s="362">
        <f>IFERROR(VLOOKUP(C79,'تقرير المصروفات حسب الشهر'!$C$1016:$AD$1126,25,FALSE),0)</f>
        <v>0</v>
      </c>
      <c r="M79" s="376">
        <f>IFERROR(VLOOKUP(C79,'تقرير المصروفات حسب الشهر'!$C$1143:$AD$1254,25,FALSE),0)</f>
        <v>0</v>
      </c>
      <c r="N79" s="376">
        <f>IFERROR(VLOOKUP(C79,'تقرير المصروفات حسب الشهر'!$C$1270:$AD$1381,25,FALSE),0)</f>
        <v>0</v>
      </c>
      <c r="O79" s="376">
        <f>IFERROR(VLOOKUP(C79,'تقرير المصروفات حسب الشهر'!$C$1397:$AI$1512,25,FALSE),0)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الشهر'!$C$10:$AD$119,25,FALSE),0)</f>
        <v>0</v>
      </c>
      <c r="E80" s="362">
        <f>IFERROR(VLOOKUP(C80,'تقرير المصروفات حسب الشهر'!$C$135:$AD$244,25,FALSE),0)</f>
        <v>0</v>
      </c>
      <c r="F80" s="362">
        <f>IFERROR(VLOOKUP(C80,'تقرير المصروفات حسب الشهر'!$C$261:$AD$368,25,FALSE),0)</f>
        <v>0</v>
      </c>
      <c r="G80" s="362">
        <f>IFERROR(VLOOKUP(C80,'تقرير المصروفات حسب الشهر'!$C$387:$AD$495,25,FALSE),0)</f>
        <v>0</v>
      </c>
      <c r="H80" s="362">
        <f>IFERROR(VLOOKUP(C80,'تقرير المصروفات حسب الشهر'!$C$512:$AD$620,25,FALSE),0)</f>
        <v>0</v>
      </c>
      <c r="I80" s="362">
        <f>IFERROR(VLOOKUP(C80,'تقرير المصروفات حسب الشهر'!$C$637:$AD$746,25,FALSE),0)</f>
        <v>0</v>
      </c>
      <c r="J80" s="362">
        <f>IFERROR(VLOOKUP(C80,'تقرير المصروفات حسب الشهر'!$C$763:$AD$872,25,FALSE),0)</f>
        <v>0</v>
      </c>
      <c r="K80" s="362">
        <f>IFERROR(VLOOKUP(C80,'تقرير المصروفات حسب الشهر'!$C$890:$AD$999,25,FALSE),0)</f>
        <v>0</v>
      </c>
      <c r="L80" s="362">
        <f>IFERROR(VLOOKUP(C80,'تقرير المصروفات حسب الشهر'!$C$1016:$AD$1126,25,FALSE),0)</f>
        <v>0</v>
      </c>
      <c r="M80" s="376">
        <f>IFERROR(VLOOKUP(C80,'تقرير المصروفات حسب الشهر'!$C$1143:$AD$1254,25,FALSE),0)</f>
        <v>0</v>
      </c>
      <c r="N80" s="376">
        <f>IFERROR(VLOOKUP(C80,'تقرير المصروفات حسب الشهر'!$C$1270:$AD$1381,25,FALSE),0)</f>
        <v>0</v>
      </c>
      <c r="O80" s="376">
        <f>IFERROR(VLOOKUP(C80,'تقرير المصروفات حسب الشهر'!$C$1397:$AI$1512,25,FALSE),0)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الشهر'!$C$10:$AD$119,25,FALSE),0)</f>
        <v>316</v>
      </c>
      <c r="E81" s="362">
        <f>IFERROR(VLOOKUP(C81,'تقرير المصروفات حسب الشهر'!$C$135:$AD$244,25,FALSE),0)</f>
        <v>100</v>
      </c>
      <c r="F81" s="362">
        <f>IFERROR(VLOOKUP(C81,'تقرير المصروفات حسب الشهر'!$C$261:$AD$368,25,FALSE),0)</f>
        <v>100</v>
      </c>
      <c r="G81" s="362">
        <f>IFERROR(VLOOKUP(C81,'تقرير المصروفات حسب الشهر'!$C$387:$AD$495,25,FALSE),0)</f>
        <v>100</v>
      </c>
      <c r="H81" s="362">
        <f>IFERROR(VLOOKUP(C81,'تقرير المصروفات حسب الشهر'!$C$512:$AD$620,25,FALSE),0)</f>
        <v>792</v>
      </c>
      <c r="I81" s="362">
        <f>IFERROR(VLOOKUP(C81,'تقرير المصروفات حسب الشهر'!$C$637:$AD$746,25,FALSE),0)</f>
        <v>4600</v>
      </c>
      <c r="J81" s="362">
        <f>IFERROR(VLOOKUP(C81,'تقرير المصروفات حسب الشهر'!$C$763:$AD$872,25,FALSE),0)</f>
        <v>0</v>
      </c>
      <c r="K81" s="362">
        <f>IFERROR(VLOOKUP(C81,'تقرير المصروفات حسب الشهر'!$C$890:$AD$999,25,FALSE),0)</f>
        <v>300</v>
      </c>
      <c r="L81" s="362">
        <f>IFERROR(VLOOKUP(C81,'تقرير المصروفات حسب الشهر'!$C$1016:$AD$1126,25,FALSE),0)</f>
        <v>200</v>
      </c>
      <c r="M81" s="376">
        <f>IFERROR(VLOOKUP(C81,'تقرير المصروفات حسب الشهر'!$C$1143:$AD$1254,25,FALSE),0)</f>
        <v>200</v>
      </c>
      <c r="N81" s="376">
        <f>IFERROR(VLOOKUP(C81,'تقرير المصروفات حسب الشهر'!$C$1270:$AD$1381,25,FALSE),0)</f>
        <v>8585</v>
      </c>
      <c r="O81" s="376">
        <f>IFERROR(VLOOKUP(C81,'تقرير المصروفات حسب الشهر'!$C$1397:$AI$1512,25,FALSE),0)</f>
        <v>200</v>
      </c>
      <c r="P81" s="364">
        <f t="shared" si="5"/>
        <v>15493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الشهر'!$C$10:$AD$119,25,FALSE),0)</f>
        <v>0</v>
      </c>
      <c r="E82" s="362">
        <f>IFERROR(VLOOKUP(C82,'تقرير المصروفات حسب الشهر'!$C$135:$AD$244,25,FALSE),0)</f>
        <v>0</v>
      </c>
      <c r="F82" s="362">
        <f>IFERROR(VLOOKUP(C82,'تقرير المصروفات حسب الشهر'!$C$261:$AD$368,25,FALSE),0)</f>
        <v>0</v>
      </c>
      <c r="G82" s="362">
        <f>IFERROR(VLOOKUP(C82,'تقرير المصروفات حسب الشهر'!$C$387:$AD$495,25,FALSE),0)</f>
        <v>0</v>
      </c>
      <c r="H82" s="362">
        <f>IFERROR(VLOOKUP(C82,'تقرير المصروفات حسب الشهر'!$C$512:$AD$620,25,FALSE),0)</f>
        <v>0</v>
      </c>
      <c r="I82" s="362">
        <f>IFERROR(VLOOKUP(C82,'تقرير المصروفات حسب الشهر'!$C$637:$AD$746,25,FALSE),0)</f>
        <v>0</v>
      </c>
      <c r="J82" s="362">
        <f>IFERROR(VLOOKUP(C82,'تقرير المصروفات حسب الشهر'!$C$763:$AD$872,25,FALSE),0)</f>
        <v>0</v>
      </c>
      <c r="K82" s="362">
        <f>IFERROR(VLOOKUP(C82,'تقرير المصروفات حسب الشهر'!$C$890:$AD$999,25,FALSE),0)</f>
        <v>0</v>
      </c>
      <c r="L82" s="362">
        <f>IFERROR(VLOOKUP(C82,'تقرير المصروفات حسب الشهر'!$C$1016:$AD$1126,25,FALSE),0)</f>
        <v>0</v>
      </c>
      <c r="M82" s="376">
        <f>IFERROR(VLOOKUP(C82,'تقرير المصروفات حسب الشهر'!$C$1143:$AD$1254,25,FALSE),0)</f>
        <v>0</v>
      </c>
      <c r="N82" s="376">
        <f>IFERROR(VLOOKUP(C82,'تقرير المصروفات حسب الشهر'!$C$1270:$AD$1381,25,FALSE),0)</f>
        <v>0</v>
      </c>
      <c r="O82" s="376">
        <f>IFERROR(VLOOKUP(C82,'تقرير المصروفات حسب الشهر'!$C$1397:$AI$1512,25,FALSE),0)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الشهر'!$C$10:$AD$119,25,FALSE),0)</f>
        <v>0</v>
      </c>
      <c r="E83" s="362">
        <f>IFERROR(VLOOKUP(C83,'تقرير المصروفات حسب الشهر'!$C$135:$AD$244,25,FALSE),0)</f>
        <v>0</v>
      </c>
      <c r="F83" s="362">
        <f>IFERROR(VLOOKUP(C83,'تقرير المصروفات حسب الشهر'!$C$261:$AD$368,25,FALSE),0)</f>
        <v>0</v>
      </c>
      <c r="G83" s="362">
        <f>IFERROR(VLOOKUP(C83,'تقرير المصروفات حسب الشهر'!$C$387:$AD$495,25,FALSE),0)</f>
        <v>0</v>
      </c>
      <c r="H83" s="362">
        <f>IFERROR(VLOOKUP(C83,'تقرير المصروفات حسب الشهر'!$C$512:$AD$620,25,FALSE),0)</f>
        <v>0</v>
      </c>
      <c r="I83" s="362">
        <f>IFERROR(VLOOKUP(C83,'تقرير المصروفات حسب الشهر'!$C$637:$AD$746,25,FALSE),0)</f>
        <v>0</v>
      </c>
      <c r="J83" s="362">
        <f>IFERROR(VLOOKUP(C83,'تقرير المصروفات حسب الشهر'!$C$763:$AD$872,25,FALSE),0)</f>
        <v>0</v>
      </c>
      <c r="K83" s="362">
        <f>IFERROR(VLOOKUP(C83,'تقرير المصروفات حسب الشهر'!$C$890:$AD$999,25,FALSE),0)</f>
        <v>0</v>
      </c>
      <c r="L83" s="362">
        <f>IFERROR(VLOOKUP(C83,'تقرير المصروفات حسب الشهر'!$C$1016:$AD$1126,25,FALSE),0)</f>
        <v>0</v>
      </c>
      <c r="M83" s="376">
        <f>IFERROR(VLOOKUP(C83,'تقرير المصروفات حسب الشهر'!$C$1143:$AD$1254,25,FALSE),0)</f>
        <v>0</v>
      </c>
      <c r="N83" s="376">
        <f>IFERROR(VLOOKUP(C83,'تقرير المصروفات حسب الشهر'!$C$1270:$AD$1381,25,FALSE),0)</f>
        <v>0</v>
      </c>
      <c r="O83" s="376">
        <f>IFERROR(VLOOKUP(C83,'تقرير المصروفات حسب الشهر'!$C$1397:$AI$1512,25,FALSE),0)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الشهر'!$C$10:$AD$119,25,FALSE),0)</f>
        <v>0</v>
      </c>
      <c r="E84" s="362">
        <f>IFERROR(VLOOKUP(C84,'تقرير المصروفات حسب الشهر'!$C$135:$AD$244,25,FALSE),0)</f>
        <v>0</v>
      </c>
      <c r="F84" s="362">
        <f>IFERROR(VLOOKUP(C84,'تقرير المصروفات حسب الشهر'!$C$261:$AD$368,25,FALSE),0)</f>
        <v>0</v>
      </c>
      <c r="G84" s="362">
        <f>IFERROR(VLOOKUP(C84,'تقرير المصروفات حسب الشهر'!$C$387:$AD$495,25,FALSE),0)</f>
        <v>0</v>
      </c>
      <c r="H84" s="362">
        <f>IFERROR(VLOOKUP(C84,'تقرير المصروفات حسب الشهر'!$C$512:$AD$620,25,FALSE),0)</f>
        <v>0</v>
      </c>
      <c r="I84" s="362">
        <f>IFERROR(VLOOKUP(C84,'تقرير المصروفات حسب الشهر'!$C$637:$AD$746,25,FALSE),0)</f>
        <v>0</v>
      </c>
      <c r="J84" s="362">
        <f>IFERROR(VLOOKUP(C84,'تقرير المصروفات حسب الشهر'!$C$763:$AD$872,25,FALSE),0)</f>
        <v>0</v>
      </c>
      <c r="K84" s="362">
        <f>IFERROR(VLOOKUP(C84,'تقرير المصروفات حسب الشهر'!$C$890:$AD$999,25,FALSE),0)</f>
        <v>0</v>
      </c>
      <c r="L84" s="362">
        <f>IFERROR(VLOOKUP(C84,'تقرير المصروفات حسب الشهر'!$C$1016:$AD$1126,25,FALSE),0)</f>
        <v>0</v>
      </c>
      <c r="M84" s="376">
        <f>IFERROR(VLOOKUP(C84,'تقرير المصروفات حسب الشهر'!$C$1143:$AD$1254,25,FALSE),0)</f>
        <v>0</v>
      </c>
      <c r="N84" s="376">
        <f>IFERROR(VLOOKUP(C84,'تقرير المصروفات حسب الشهر'!$C$1270:$AD$1381,25,FALSE),0)</f>
        <v>0</v>
      </c>
      <c r="O84" s="376">
        <f>IFERROR(VLOOKUP(C84,'تقرير المصروفات حسب الشهر'!$C$1397:$AI$1512,25,FALSE),0)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الشهر'!$C$10:$AD$119,25,FALSE),0)</f>
        <v>0</v>
      </c>
      <c r="E85" s="362">
        <f>IFERROR(VLOOKUP(C85,'تقرير المصروفات حسب الشهر'!$C$135:$AD$244,25,FALSE),0)</f>
        <v>0</v>
      </c>
      <c r="F85" s="362">
        <f>IFERROR(VLOOKUP(C85,'تقرير المصروفات حسب الشهر'!$C$261:$AD$368,25,FALSE),0)</f>
        <v>0</v>
      </c>
      <c r="G85" s="362">
        <f>IFERROR(VLOOKUP(C85,'تقرير المصروفات حسب الشهر'!$C$387:$AD$495,25,FALSE),0)</f>
        <v>0</v>
      </c>
      <c r="H85" s="362">
        <f>IFERROR(VLOOKUP(C85,'تقرير المصروفات حسب الشهر'!$C$512:$AD$620,25,FALSE),0)</f>
        <v>0</v>
      </c>
      <c r="I85" s="362">
        <f>IFERROR(VLOOKUP(C85,'تقرير المصروفات حسب الشهر'!$C$637:$AD$746,25,FALSE),0)</f>
        <v>0</v>
      </c>
      <c r="J85" s="362">
        <f>IFERROR(VLOOKUP(C85,'تقرير المصروفات حسب الشهر'!$C$763:$AD$872,25,FALSE),0)</f>
        <v>0</v>
      </c>
      <c r="K85" s="362">
        <f>IFERROR(VLOOKUP(C85,'تقرير المصروفات حسب الشهر'!$C$890:$AD$999,25,FALSE),0)</f>
        <v>0</v>
      </c>
      <c r="L85" s="362">
        <f>IFERROR(VLOOKUP(C85,'تقرير المصروفات حسب الشهر'!$C$1016:$AD$1126,25,FALSE),0)</f>
        <v>0</v>
      </c>
      <c r="M85" s="376">
        <f>IFERROR(VLOOKUP(C85,'تقرير المصروفات حسب الشهر'!$C$1143:$AD$1254,25,FALSE),0)</f>
        <v>0</v>
      </c>
      <c r="N85" s="376">
        <f>IFERROR(VLOOKUP(C85,'تقرير المصروفات حسب الشهر'!$C$1270:$AD$1381,25,FALSE),0)</f>
        <v>0</v>
      </c>
      <c r="O85" s="376">
        <f>IFERROR(VLOOKUP(C85,'تقرير المصروفات حسب الشهر'!$C$1397:$AI$1512,25,FALSE),0)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الشهر'!$C$10:$AD$119,25,FALSE),0)</f>
        <v>0</v>
      </c>
      <c r="E86" s="362">
        <f>IFERROR(VLOOKUP(C86,'تقرير المصروفات حسب الشهر'!$C$135:$AD$244,25,FALSE),0)</f>
        <v>1959.65</v>
      </c>
      <c r="F86" s="362">
        <f>IFERROR(VLOOKUP(C86,'تقرير المصروفات حسب الشهر'!$C$261:$AD$368,25,FALSE),0)</f>
        <v>0</v>
      </c>
      <c r="G86" s="362">
        <f>IFERROR(VLOOKUP(C86,'تقرير المصروفات حسب الشهر'!$C$387:$AD$495,25,FALSE),0)</f>
        <v>653</v>
      </c>
      <c r="H86" s="362">
        <f>IFERROR(VLOOKUP(C86,'تقرير المصروفات حسب الشهر'!$C$512:$AD$620,25,FALSE),0)</f>
        <v>0</v>
      </c>
      <c r="I86" s="362">
        <f>IFERROR(VLOOKUP(C86,'تقرير المصروفات حسب الشهر'!$C$637:$AD$746,25,FALSE),0)</f>
        <v>0</v>
      </c>
      <c r="J86" s="362">
        <f>IFERROR(VLOOKUP(C86,'تقرير المصروفات حسب الشهر'!$C$763:$AD$872,25,FALSE),0)</f>
        <v>979</v>
      </c>
      <c r="K86" s="362">
        <f>IFERROR(VLOOKUP(C86,'تقرير المصروفات حسب الشهر'!$C$890:$AD$999,25,FALSE),0)</f>
        <v>0</v>
      </c>
      <c r="L86" s="362">
        <f>IFERROR(VLOOKUP(C86,'تقرير المصروفات حسب الشهر'!$C$1016:$AD$1126,25,FALSE),0)</f>
        <v>0</v>
      </c>
      <c r="M86" s="376">
        <f>IFERROR(VLOOKUP(C86,'تقرير المصروفات حسب الشهر'!$C$1143:$AD$1254,25,FALSE),0)</f>
        <v>1075.76</v>
      </c>
      <c r="N86" s="376">
        <f>IFERROR(VLOOKUP(C86,'تقرير المصروفات حسب الشهر'!$C$1270:$AD$1381,25,FALSE),0)</f>
        <v>2207.5700000000002</v>
      </c>
      <c r="O86" s="376">
        <f>IFERROR(VLOOKUP(C86,'تقرير المصروفات حسب الشهر'!$C$1397:$AI$1512,25,FALSE),0)</f>
        <v>0</v>
      </c>
      <c r="P86" s="364">
        <f t="shared" si="5"/>
        <v>6874.98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الشهر'!$C$10:$AD$119,25,FALSE),0)</f>
        <v>0</v>
      </c>
      <c r="E87" s="362">
        <f>IFERROR(VLOOKUP(C87,'تقرير المصروفات حسب الشهر'!$C$135:$AD$244,25,FALSE),0)</f>
        <v>0</v>
      </c>
      <c r="F87" s="362">
        <f>IFERROR(VLOOKUP(C87,'تقرير المصروفات حسب الشهر'!$C$261:$AD$368,25,FALSE),0)</f>
        <v>0</v>
      </c>
      <c r="G87" s="362">
        <f>IFERROR(VLOOKUP(C87,'تقرير المصروفات حسب الشهر'!$C$387:$AD$495,25,FALSE),0)</f>
        <v>0</v>
      </c>
      <c r="H87" s="362">
        <f>IFERROR(VLOOKUP(C87,'تقرير المصروفات حسب الشهر'!$C$512:$AD$620,25,FALSE),0)</f>
        <v>0</v>
      </c>
      <c r="I87" s="362">
        <f>IFERROR(VLOOKUP(C87,'تقرير المصروفات حسب الشهر'!$C$637:$AD$746,25,FALSE),0)</f>
        <v>0</v>
      </c>
      <c r="J87" s="362">
        <f>IFERROR(VLOOKUP(C87,'تقرير المصروفات حسب الشهر'!$C$763:$AD$872,25,FALSE),0)</f>
        <v>0</v>
      </c>
      <c r="K87" s="362">
        <f>IFERROR(VLOOKUP(C87,'تقرير المصروفات حسب الشهر'!$C$890:$AD$999,25,FALSE),0)</f>
        <v>0</v>
      </c>
      <c r="L87" s="362">
        <f>IFERROR(VLOOKUP(C87,'تقرير المصروفات حسب الشهر'!$C$1016:$AD$1126,25,FALSE),0)</f>
        <v>0</v>
      </c>
      <c r="M87" s="376">
        <f>IFERROR(VLOOKUP(C87,'تقرير المصروفات حسب الشهر'!$C$1143:$AD$1254,25,FALSE),0)</f>
        <v>0</v>
      </c>
      <c r="N87" s="376">
        <f>IFERROR(VLOOKUP(C87,'تقرير المصروفات حسب الشهر'!$C$1270:$AD$1381,25,FALSE),0)</f>
        <v>0</v>
      </c>
      <c r="O87" s="376">
        <f>IFERROR(VLOOKUP(C87,'تقرير المصروفات حسب الشهر'!$C$1397:$AI$1512,25,FALSE),0)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الشهر'!$C$10:$AD$119,25,FALSE),0)</f>
        <v>0</v>
      </c>
      <c r="E88" s="362">
        <f>IFERROR(VLOOKUP(C88,'تقرير المصروفات حسب الشهر'!$C$135:$AD$244,25,FALSE),0)</f>
        <v>0</v>
      </c>
      <c r="F88" s="362">
        <f>IFERROR(VLOOKUP(C88,'تقرير المصروفات حسب الشهر'!$C$261:$AD$368,25,FALSE),0)</f>
        <v>0</v>
      </c>
      <c r="G88" s="362">
        <f>IFERROR(VLOOKUP(C88,'تقرير المصروفات حسب الشهر'!$C$387:$AD$495,25,FALSE),0)</f>
        <v>0</v>
      </c>
      <c r="H88" s="362">
        <f>IFERROR(VLOOKUP(C88,'تقرير المصروفات حسب الشهر'!$C$512:$AD$620,25,FALSE),0)</f>
        <v>333</v>
      </c>
      <c r="I88" s="362">
        <f>IFERROR(VLOOKUP(C88,'تقرير المصروفات حسب الشهر'!$C$637:$AD$746,25,FALSE),0)</f>
        <v>0</v>
      </c>
      <c r="J88" s="362">
        <f>IFERROR(VLOOKUP(C88,'تقرير المصروفات حسب الشهر'!$C$763:$AD$872,25,FALSE),0)</f>
        <v>0</v>
      </c>
      <c r="K88" s="362">
        <f>IFERROR(VLOOKUP(C88,'تقرير المصروفات حسب الشهر'!$C$890:$AD$999,25,FALSE),0)</f>
        <v>0</v>
      </c>
      <c r="L88" s="362">
        <f>IFERROR(VLOOKUP(C88,'تقرير المصروفات حسب الشهر'!$C$1016:$AD$1126,25,FALSE),0)</f>
        <v>0</v>
      </c>
      <c r="M88" s="376">
        <f>IFERROR(VLOOKUP(C88,'تقرير المصروفات حسب الشهر'!$C$1143:$AD$1254,25,FALSE),0)</f>
        <v>0</v>
      </c>
      <c r="N88" s="376">
        <f>IFERROR(VLOOKUP(C88,'تقرير المصروفات حسب الشهر'!$C$1270:$AD$1381,25,FALSE),0)</f>
        <v>0</v>
      </c>
      <c r="O88" s="376">
        <f>IFERROR(VLOOKUP(C88,'تقرير المصروفات حسب الشهر'!$C$1397:$AI$1512,25,FALSE),0)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الشهر'!$C$10:$AD$119,25,FALSE),0)</f>
        <v>0</v>
      </c>
      <c r="E89" s="362">
        <f>IFERROR(VLOOKUP(C89,'تقرير المصروفات حسب الشهر'!$C$135:$AD$244,25,FALSE),0)</f>
        <v>0</v>
      </c>
      <c r="F89" s="362">
        <f>IFERROR(VLOOKUP(C89,'تقرير المصروفات حسب الشهر'!$C$261:$AD$368,25,FALSE),0)</f>
        <v>0</v>
      </c>
      <c r="G89" s="362">
        <f>IFERROR(VLOOKUP(C89,'تقرير المصروفات حسب الشهر'!$C$387:$AD$495,25,FALSE),0)</f>
        <v>0</v>
      </c>
      <c r="H89" s="362">
        <f>IFERROR(VLOOKUP(C89,'تقرير المصروفات حسب الشهر'!$C$512:$AD$620,25,FALSE),0)</f>
        <v>0</v>
      </c>
      <c r="I89" s="362">
        <f>IFERROR(VLOOKUP(C89,'تقرير المصروفات حسب الشهر'!$C$637:$AD$746,25,FALSE),0)</f>
        <v>0</v>
      </c>
      <c r="J89" s="362">
        <f>IFERROR(VLOOKUP(C89,'تقرير المصروفات حسب الشهر'!$C$763:$AD$872,25,FALSE),0)</f>
        <v>0</v>
      </c>
      <c r="K89" s="362">
        <f>IFERROR(VLOOKUP(C89,'تقرير المصروفات حسب الشهر'!$C$890:$AD$999,25,FALSE),0)</f>
        <v>0</v>
      </c>
      <c r="L89" s="362">
        <f>IFERROR(VLOOKUP(C89,'تقرير المصروفات حسب الشهر'!$C$1016:$AD$1126,25,FALSE),0)</f>
        <v>0</v>
      </c>
      <c r="M89" s="376">
        <f>IFERROR(VLOOKUP(C89,'تقرير المصروفات حسب الشهر'!$C$1143:$AD$1254,25,FALSE),0)</f>
        <v>0</v>
      </c>
      <c r="N89" s="376">
        <f>IFERROR(VLOOKUP(C89,'تقرير المصروفات حسب الشهر'!$C$1270:$AD$1381,25,FALSE),0)</f>
        <v>0</v>
      </c>
      <c r="O89" s="376">
        <f>IFERROR(VLOOKUP(C89,'تقرير المصروفات حسب الشهر'!$C$1397:$AI$1512,25,FALSE),0)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الشهر'!$C$10:$AD$119,25,FALSE),0)</f>
        <v>0</v>
      </c>
      <c r="E90" s="362">
        <f>IFERROR(VLOOKUP(C90,'تقرير المصروفات حسب الشهر'!$C$135:$AD$244,25,FALSE),0)</f>
        <v>0</v>
      </c>
      <c r="F90" s="362">
        <f>IFERROR(VLOOKUP(C90,'تقرير المصروفات حسب الشهر'!$C$261:$AD$368,25,FALSE),0)</f>
        <v>0</v>
      </c>
      <c r="G90" s="362">
        <f>IFERROR(VLOOKUP(C90,'تقرير المصروفات حسب الشهر'!$C$387:$AD$495,25,FALSE),0)</f>
        <v>0</v>
      </c>
      <c r="H90" s="362">
        <f>IFERROR(VLOOKUP(C90,'تقرير المصروفات حسب الشهر'!$C$512:$AD$620,25,FALSE),0)</f>
        <v>0</v>
      </c>
      <c r="I90" s="362">
        <f>IFERROR(VLOOKUP(C90,'تقرير المصروفات حسب الشهر'!$C$637:$AD$746,25,FALSE),0)</f>
        <v>0</v>
      </c>
      <c r="J90" s="362">
        <f>IFERROR(VLOOKUP(C90,'تقرير المصروفات حسب الشهر'!$C$763:$AD$872,25,FALSE),0)</f>
        <v>0</v>
      </c>
      <c r="K90" s="362">
        <f>IFERROR(VLOOKUP(C90,'تقرير المصروفات حسب الشهر'!$C$890:$AD$999,25,FALSE),0)</f>
        <v>0</v>
      </c>
      <c r="L90" s="362">
        <f>IFERROR(VLOOKUP(C90,'تقرير المصروفات حسب الشهر'!$C$1016:$AD$1126,25,FALSE),0)</f>
        <v>0</v>
      </c>
      <c r="M90" s="376">
        <f>IFERROR(VLOOKUP(C90,'تقرير المصروفات حسب الشهر'!$C$1143:$AD$1254,25,FALSE),0)</f>
        <v>0</v>
      </c>
      <c r="N90" s="376">
        <f>IFERROR(VLOOKUP(C90,'تقرير المصروفات حسب الشهر'!$C$1270:$AD$1381,25,FALSE),0)</f>
        <v>0</v>
      </c>
      <c r="O90" s="376">
        <f>IFERROR(VLOOKUP(C90,'تقرير المصروفات حسب الشهر'!$C$1397:$AI$1512,25,FALSE),0)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الشهر'!$C$10:$AD$119,25,FALSE),0)</f>
        <v>0</v>
      </c>
      <c r="E91" s="362">
        <f>IFERROR(VLOOKUP(C91,'تقرير المصروفات حسب الشهر'!$C$135:$AD$244,25,FALSE),0)</f>
        <v>0</v>
      </c>
      <c r="F91" s="362">
        <f>IFERROR(VLOOKUP(C91,'تقرير المصروفات حسب الشهر'!$C$261:$AD$368,25,FALSE),0)</f>
        <v>0</v>
      </c>
      <c r="G91" s="362">
        <f>IFERROR(VLOOKUP(C91,'تقرير المصروفات حسب الشهر'!$C$387:$AD$495,25,FALSE),0)</f>
        <v>0</v>
      </c>
      <c r="H91" s="362">
        <f>IFERROR(VLOOKUP(C91,'تقرير المصروفات حسب الشهر'!$C$512:$AD$620,25,FALSE),0)</f>
        <v>0</v>
      </c>
      <c r="I91" s="362">
        <f>IFERROR(VLOOKUP(C91,'تقرير المصروفات حسب الشهر'!$C$637:$AD$746,25,FALSE),0)</f>
        <v>0</v>
      </c>
      <c r="J91" s="362">
        <f>IFERROR(VLOOKUP(C91,'تقرير المصروفات حسب الشهر'!$C$763:$AD$872,25,FALSE),0)</f>
        <v>110</v>
      </c>
      <c r="K91" s="362">
        <f>IFERROR(VLOOKUP(C91,'تقرير المصروفات حسب الشهر'!$C$890:$AD$999,25,FALSE),0)</f>
        <v>0</v>
      </c>
      <c r="L91" s="362">
        <f>IFERROR(VLOOKUP(C91,'تقرير المصروفات حسب الشهر'!$C$1016:$AD$1126,25,FALSE),0)</f>
        <v>0</v>
      </c>
      <c r="M91" s="376">
        <f>IFERROR(VLOOKUP(C91,'تقرير المصروفات حسب الشهر'!$C$1143:$AD$1254,25,FALSE),0)</f>
        <v>0</v>
      </c>
      <c r="N91" s="376">
        <f>IFERROR(VLOOKUP(C91,'تقرير المصروفات حسب الشهر'!$C$1270:$AD$1381,25,FALSE),0)</f>
        <v>0</v>
      </c>
      <c r="O91" s="376">
        <f>IFERROR(VLOOKUP(C91,'تقرير المصروفات حسب الشهر'!$C$1397:$AI$1512,25,FALSE),0)</f>
        <v>0</v>
      </c>
      <c r="P91" s="364">
        <f t="shared" si="6"/>
        <v>110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الشهر'!$C$10:$AD$119,25,FALSE),0)</f>
        <v>0</v>
      </c>
      <c r="E92" s="362">
        <f>IFERROR(VLOOKUP(C92,'تقرير المصروفات حسب الشهر'!$C$135:$AD$244,25,FALSE),0)</f>
        <v>0</v>
      </c>
      <c r="F92" s="362">
        <f>IFERROR(VLOOKUP(C92,'تقرير المصروفات حسب الشهر'!$C$261:$AD$368,25,FALSE),0)</f>
        <v>0</v>
      </c>
      <c r="G92" s="362">
        <f>IFERROR(VLOOKUP(C92,'تقرير المصروفات حسب الشهر'!$C$387:$AD$495,25,FALSE),0)</f>
        <v>0</v>
      </c>
      <c r="H92" s="362">
        <f>IFERROR(VLOOKUP(C92,'تقرير المصروفات حسب الشهر'!$C$512:$AD$620,25,FALSE),0)</f>
        <v>0</v>
      </c>
      <c r="I92" s="362">
        <f>IFERROR(VLOOKUP(C92,'تقرير المصروفات حسب الشهر'!$C$637:$AD$746,25,FALSE),0)</f>
        <v>0</v>
      </c>
      <c r="J92" s="362">
        <f>IFERROR(VLOOKUP(C92,'تقرير المصروفات حسب الشهر'!$C$763:$AD$872,25,FALSE),0)</f>
        <v>0</v>
      </c>
      <c r="K92" s="362">
        <f>IFERROR(VLOOKUP(C92,'تقرير المصروفات حسب الشهر'!$C$890:$AD$999,25,FALSE),0)</f>
        <v>0</v>
      </c>
      <c r="L92" s="362">
        <f>IFERROR(VLOOKUP(C92,'تقرير المصروفات حسب الشهر'!$C$1016:$AD$1126,25,FALSE),0)</f>
        <v>0</v>
      </c>
      <c r="M92" s="376">
        <f>IFERROR(VLOOKUP(C92,'تقرير المصروفات حسب الشهر'!$C$1143:$AD$1254,25,FALSE),0)</f>
        <v>0</v>
      </c>
      <c r="N92" s="376">
        <f>IFERROR(VLOOKUP(C92,'تقرير المصروفات حسب الشهر'!$C$1270:$AD$1381,25,FALSE),0)</f>
        <v>0</v>
      </c>
      <c r="O92" s="376">
        <f>IFERROR(VLOOKUP(C92,'تقرير المصروفات حسب الشهر'!$C$1397:$AI$1512,25,FALSE),0)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الشهر'!$C$10:$AD$119,25,FALSE),0)</f>
        <v>0</v>
      </c>
      <c r="E93" s="362">
        <f>IFERROR(VLOOKUP(C93,'تقرير المصروفات حسب الشهر'!$C$135:$AD$244,25,FALSE),0)</f>
        <v>0</v>
      </c>
      <c r="F93" s="362">
        <f>IFERROR(VLOOKUP(C93,'تقرير المصروفات حسب الشهر'!$C$261:$AD$368,25,FALSE),0)</f>
        <v>0</v>
      </c>
      <c r="G93" s="362">
        <f>IFERROR(VLOOKUP(C93,'تقرير المصروفات حسب الشهر'!$C$387:$AD$495,25,FALSE),0)</f>
        <v>1243</v>
      </c>
      <c r="H93" s="362">
        <f>IFERROR(VLOOKUP(C93,'تقرير المصروفات حسب الشهر'!$C$512:$AD$620,25,FALSE),0)</f>
        <v>0</v>
      </c>
      <c r="I93" s="362">
        <f>IFERROR(VLOOKUP(C93,'تقرير المصروفات حسب الشهر'!$C$637:$AD$746,25,FALSE),0)</f>
        <v>0</v>
      </c>
      <c r="J93" s="362">
        <f>IFERROR(VLOOKUP(C93,'تقرير المصروفات حسب الشهر'!$C$763:$AD$872,25,FALSE),0)</f>
        <v>668</v>
      </c>
      <c r="K93" s="362">
        <f>IFERROR(VLOOKUP(C93,'تقرير المصروفات حسب الشهر'!$C$890:$AD$999,25,FALSE),0)</f>
        <v>0</v>
      </c>
      <c r="L93" s="362">
        <f>IFERROR(VLOOKUP(C93,'تقرير المصروفات حسب الشهر'!$C$1016:$AD$1126,25,FALSE),0)</f>
        <v>0</v>
      </c>
      <c r="M93" s="376">
        <f>IFERROR(VLOOKUP(C93,'تقرير المصروفات حسب الشهر'!$C$1143:$AD$1254,25,FALSE),0)</f>
        <v>0</v>
      </c>
      <c r="N93" s="376">
        <f>IFERROR(VLOOKUP(C93,'تقرير المصروفات حسب الشهر'!$C$1270:$AD$1381,25,FALSE),0)</f>
        <v>0</v>
      </c>
      <c r="O93" s="376">
        <f>IFERROR(VLOOKUP(C93,'تقرير المصروفات حسب الشهر'!$C$1397:$AI$1512,25,FALSE),0)</f>
        <v>0</v>
      </c>
      <c r="P93" s="364">
        <f t="shared" si="6"/>
        <v>1911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الشهر'!$C$10:$AD$119,25,FALSE),0)</f>
        <v>296.31</v>
      </c>
      <c r="E94" s="362">
        <f>IFERROR(VLOOKUP(C94,'تقرير المصروفات حسب الشهر'!$C$135:$AD$244,25,FALSE),0)</f>
        <v>296.31</v>
      </c>
      <c r="F94" s="362">
        <f>IFERROR(VLOOKUP(C94,'تقرير المصروفات حسب الشهر'!$C$261:$AD$368,25,FALSE),0)</f>
        <v>296.31</v>
      </c>
      <c r="G94" s="362">
        <f>IFERROR(VLOOKUP(C94,'تقرير المصروفات حسب الشهر'!$C$387:$AD$495,25,FALSE),0)</f>
        <v>296.31</v>
      </c>
      <c r="H94" s="362">
        <f>IFERROR(VLOOKUP(C94,'تقرير المصروفات حسب الشهر'!$C$512:$AD$620,25,FALSE),0)</f>
        <v>296.31</v>
      </c>
      <c r="I94" s="362">
        <f>IFERROR(VLOOKUP(C94,'تقرير المصروفات حسب الشهر'!$C$637:$AD$746,25,FALSE),0)</f>
        <v>296.31</v>
      </c>
      <c r="J94" s="362">
        <f>IFERROR(VLOOKUP(C94,'تقرير المصروفات حسب الشهر'!$C$763:$AD$872,25,FALSE),0)</f>
        <v>400.96</v>
      </c>
      <c r="K94" s="362">
        <f>IFERROR(VLOOKUP(C94,'تقرير المصروفات حسب الشهر'!$C$890:$AD$999,25,FALSE),0)</f>
        <v>400.96</v>
      </c>
      <c r="L94" s="362">
        <f>IFERROR(VLOOKUP(C94,'تقرير المصروفات حسب الشهر'!$C$1016:$AD$1126,25,FALSE),0)</f>
        <v>400.96</v>
      </c>
      <c r="M94" s="376">
        <f>IFERROR(VLOOKUP(C94,'تقرير المصروفات حسب الشهر'!$C$1143:$AD$1254,25,FALSE),0)</f>
        <v>400.96</v>
      </c>
      <c r="N94" s="376">
        <f>IFERROR(VLOOKUP(C94,'تقرير المصروفات حسب الشهر'!$C$1270:$AD$1381,25,FALSE),0)</f>
        <v>400.96</v>
      </c>
      <c r="O94" s="376">
        <f>IFERROR(VLOOKUP(C94,'تقرير المصروفات حسب الشهر'!$C$1397:$AI$1512,25,FALSE),0)</f>
        <v>400.96</v>
      </c>
      <c r="P94" s="364">
        <f t="shared" si="6"/>
        <v>4183.62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الشهر'!$C$10:$AD$119,25,FALSE),0)</f>
        <v>0</v>
      </c>
      <c r="E95" s="362">
        <f>IFERROR(VLOOKUP(C95,'تقرير المصروفات حسب الشهر'!$C$135:$AD$244,25,FALSE),0)</f>
        <v>0</v>
      </c>
      <c r="F95" s="362">
        <f>IFERROR(VLOOKUP(C95,'تقرير المصروفات حسب الشهر'!$C$261:$AD$368,25,FALSE),0)</f>
        <v>0</v>
      </c>
      <c r="G95" s="362">
        <f>IFERROR(VLOOKUP(C95,'تقرير المصروفات حسب الشهر'!$C$387:$AD$495,25,FALSE),0)</f>
        <v>0</v>
      </c>
      <c r="H95" s="362">
        <f>IFERROR(VLOOKUP(C95,'تقرير المصروفات حسب الشهر'!$C$512:$AD$620,25,FALSE),0)</f>
        <v>0</v>
      </c>
      <c r="I95" s="362">
        <f>IFERROR(VLOOKUP(C95,'تقرير المصروفات حسب الشهر'!$C$637:$AD$746,25,FALSE),0)</f>
        <v>0</v>
      </c>
      <c r="J95" s="362">
        <f>IFERROR(VLOOKUP(C95,'تقرير المصروفات حسب الشهر'!$C$763:$AD$872,25,FALSE),0)</f>
        <v>0</v>
      </c>
      <c r="K95" s="362">
        <f>IFERROR(VLOOKUP(C95,'تقرير المصروفات حسب الشهر'!$C$890:$AD$999,25,FALSE),0)</f>
        <v>0</v>
      </c>
      <c r="L95" s="362">
        <f>IFERROR(VLOOKUP(C95,'تقرير المصروفات حسب الشهر'!$C$1016:$AD$1126,25,FALSE),0)</f>
        <v>2130</v>
      </c>
      <c r="M95" s="376">
        <f>IFERROR(VLOOKUP(C95,'تقرير المصروفات حسب الشهر'!$C$1143:$AD$1254,25,FALSE),0)</f>
        <v>1065</v>
      </c>
      <c r="N95" s="376">
        <f>IFERROR(VLOOKUP(C95,'تقرير المصروفات حسب الشهر'!$C$1270:$AD$1381,25,FALSE),0)</f>
        <v>1065</v>
      </c>
      <c r="O95" s="376">
        <f>IFERROR(VLOOKUP(C95,'تقرير المصروفات حسب الشهر'!$C$1397:$AI$1512,25,FALSE),0)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الشهر'!$C$10:$AD$119,25,FALSE),0)</f>
        <v>0</v>
      </c>
      <c r="E96" s="362">
        <f>IFERROR(VLOOKUP(C96,'تقرير المصروفات حسب الشهر'!$C$135:$AD$244,25,FALSE),0)</f>
        <v>0</v>
      </c>
      <c r="F96" s="362">
        <f>IFERROR(VLOOKUP(C96,'تقرير المصروفات حسب الشهر'!$C$261:$AD$368,25,FALSE),0)</f>
        <v>0</v>
      </c>
      <c r="G96" s="362">
        <f>IFERROR(VLOOKUP(C96,'تقرير المصروفات حسب الشهر'!$C$387:$AD$495,25,FALSE),0)</f>
        <v>0</v>
      </c>
      <c r="H96" s="362">
        <f>IFERROR(VLOOKUP(C96,'تقرير المصروفات حسب الشهر'!$C$512:$AD$620,25,FALSE),0)</f>
        <v>0</v>
      </c>
      <c r="I96" s="362">
        <f>IFERROR(VLOOKUP(C96,'تقرير المصروفات حسب الشهر'!$C$637:$AD$746,25,FALSE),0)</f>
        <v>0</v>
      </c>
      <c r="J96" s="362">
        <f>IFERROR(VLOOKUP(C96,'تقرير المصروفات حسب الشهر'!$C$763:$AD$872,25,FALSE),0)</f>
        <v>0</v>
      </c>
      <c r="K96" s="362">
        <f>IFERROR(VLOOKUP(C96,'تقرير المصروفات حسب الشهر'!$C$890:$AD$999,25,FALSE),0)</f>
        <v>0</v>
      </c>
      <c r="L96" s="362">
        <f>IFERROR(VLOOKUP(C96,'تقرير المصروفات حسب الشهر'!$C$1016:$AD$1126,25,FALSE),0)</f>
        <v>0</v>
      </c>
      <c r="M96" s="376">
        <f>IFERROR(VLOOKUP(C96,'تقرير المصروفات حسب الشهر'!$C$1143:$AD$1254,25,FALSE),0)</f>
        <v>0</v>
      </c>
      <c r="N96" s="376">
        <f>IFERROR(VLOOKUP(C96,'تقرير المصروفات حسب الشهر'!$C$1270:$AD$1381,25,FALSE),0)</f>
        <v>0</v>
      </c>
      <c r="O96" s="376">
        <f>IFERROR(VLOOKUP(C96,'تقرير المصروفات حسب الشهر'!$C$1397:$AI$1512,25,FALSE),0)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الشهر'!$C$10:$AD$119,25,FALSE),0)</f>
        <v>0</v>
      </c>
      <c r="E97" s="362">
        <f>IFERROR(VLOOKUP(C97,'تقرير المصروفات حسب الشهر'!$C$135:$AD$244,25,FALSE),0)</f>
        <v>0</v>
      </c>
      <c r="F97" s="362">
        <f>IFERROR(VLOOKUP(C97,'تقرير المصروفات حسب الشهر'!$C$261:$AD$368,25,FALSE),0)</f>
        <v>0</v>
      </c>
      <c r="G97" s="362">
        <f>IFERROR(VLOOKUP(C97,'تقرير المصروفات حسب الشهر'!$C$387:$AD$495,25,FALSE),0)</f>
        <v>0</v>
      </c>
      <c r="H97" s="362">
        <f>IFERROR(VLOOKUP(C97,'تقرير المصروفات حسب الشهر'!$C$512:$AD$620,25,FALSE),0)</f>
        <v>0</v>
      </c>
      <c r="I97" s="362">
        <f>IFERROR(VLOOKUP(C97,'تقرير المصروفات حسب الشهر'!$C$637:$AD$746,25,FALSE),0)</f>
        <v>0</v>
      </c>
      <c r="J97" s="362">
        <f>IFERROR(VLOOKUP(C97,'تقرير المصروفات حسب الشهر'!$C$763:$AD$872,25,FALSE),0)</f>
        <v>0</v>
      </c>
      <c r="K97" s="362">
        <f>IFERROR(VLOOKUP(C97,'تقرير المصروفات حسب الشهر'!$C$890:$AD$999,25,FALSE),0)</f>
        <v>0</v>
      </c>
      <c r="L97" s="362">
        <f>IFERROR(VLOOKUP(C97,'تقرير المصروفات حسب الشهر'!$C$1016:$AD$1126,25,FALSE),0)</f>
        <v>0</v>
      </c>
      <c r="M97" s="376">
        <f>IFERROR(VLOOKUP(C97,'تقرير المصروفات حسب الشهر'!$C$1143:$AD$1254,25,FALSE),0)</f>
        <v>0</v>
      </c>
      <c r="N97" s="376">
        <f>IFERROR(VLOOKUP(C97,'تقرير المصروفات حسب الشهر'!$C$1270:$AD$1381,25,FALSE),0)</f>
        <v>0</v>
      </c>
      <c r="O97" s="376">
        <f>IFERROR(VLOOKUP(C97,'تقرير المصروفات حسب الشهر'!$C$1397:$AI$1512,25,FALSE),0)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الشهر'!$C$10:$AD$119,25,FALSE),0)</f>
        <v>176.5</v>
      </c>
      <c r="E98" s="362">
        <f>IFERROR(VLOOKUP(C98,'تقرير المصروفات حسب الشهر'!$C$135:$AD$244,25,FALSE),0)</f>
        <v>176.5</v>
      </c>
      <c r="F98" s="362">
        <f>IFERROR(VLOOKUP(C98,'تقرير المصروفات حسب الشهر'!$C$261:$AD$368,25,FALSE),0)</f>
        <v>176.5</v>
      </c>
      <c r="G98" s="362">
        <f>IFERROR(VLOOKUP(C98,'تقرير المصروفات حسب الشهر'!$C$387:$AD$495,25,FALSE),0)</f>
        <v>176.5</v>
      </c>
      <c r="H98" s="362">
        <f>IFERROR(VLOOKUP(C98,'تقرير المصروفات حسب الشهر'!$C$512:$AD$620,25,FALSE),0)</f>
        <v>176.5</v>
      </c>
      <c r="I98" s="362">
        <f>IFERROR(VLOOKUP(C98,'تقرير المصروفات حسب الشهر'!$C$637:$AD$746,25,FALSE),0)</f>
        <v>176.5</v>
      </c>
      <c r="J98" s="362">
        <f>IFERROR(VLOOKUP(C98,'تقرير المصروفات حسب الشهر'!$C$763:$AD$872,25,FALSE),0)</f>
        <v>176.5</v>
      </c>
      <c r="K98" s="362">
        <f>IFERROR(VLOOKUP(C98,'تقرير المصروفات حسب الشهر'!$C$890:$AD$999,25,FALSE),0)</f>
        <v>176.5</v>
      </c>
      <c r="L98" s="362">
        <f>IFERROR(VLOOKUP(C98,'تقرير المصروفات حسب الشهر'!$C$1016:$AD$1126,25,FALSE),0)</f>
        <v>176.5</v>
      </c>
      <c r="M98" s="376">
        <f>IFERROR(VLOOKUP(C98,'تقرير المصروفات حسب الشهر'!$C$1143:$AD$1254,25,FALSE),0)</f>
        <v>176.5</v>
      </c>
      <c r="N98" s="376">
        <f>IFERROR(VLOOKUP(C98,'تقرير المصروفات حسب الشهر'!$C$1270:$AD$1381,25,FALSE),0)</f>
        <v>176.46</v>
      </c>
      <c r="O98" s="376">
        <f>IFERROR(VLOOKUP(C98,'تقرير المصروفات حسب الشهر'!$C$1397:$AI$1512,25,FALSE),0)</f>
        <v>0.04</v>
      </c>
      <c r="P98" s="364">
        <f t="shared" si="6"/>
        <v>1941.5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الشهر'!$C$10:$AD$119,25,FALSE),0)</f>
        <v>0</v>
      </c>
      <c r="E99" s="362">
        <f>IFERROR(VLOOKUP(C99,'تقرير المصروفات حسب الشهر'!$C$135:$AD$244,25,FALSE),0)</f>
        <v>0</v>
      </c>
      <c r="F99" s="362">
        <f>IFERROR(VLOOKUP(C99,'تقرير المصروفات حسب الشهر'!$C$261:$AD$368,25,FALSE),0)</f>
        <v>0</v>
      </c>
      <c r="G99" s="362">
        <f>IFERROR(VLOOKUP(C99,'تقرير المصروفات حسب الشهر'!$C$387:$AD$495,25,FALSE),0)</f>
        <v>0</v>
      </c>
      <c r="H99" s="362">
        <f>IFERROR(VLOOKUP(C99,'تقرير المصروفات حسب الشهر'!$C$512:$AD$620,25,FALSE),0)</f>
        <v>0</v>
      </c>
      <c r="I99" s="362">
        <f>IFERROR(VLOOKUP(C99,'تقرير المصروفات حسب الشهر'!$C$637:$AD$746,25,FALSE),0)</f>
        <v>0</v>
      </c>
      <c r="J99" s="362">
        <f>IFERROR(VLOOKUP(C99,'تقرير المصروفات حسب الشهر'!$C$763:$AD$872,25,FALSE),0)</f>
        <v>0</v>
      </c>
      <c r="K99" s="362">
        <f>IFERROR(VLOOKUP(C99,'تقرير المصروفات حسب الشهر'!$C$890:$AD$999,25,FALSE),0)</f>
        <v>0</v>
      </c>
      <c r="L99" s="362">
        <f>IFERROR(VLOOKUP(C99,'تقرير المصروفات حسب الشهر'!$C$1016:$AD$1126,25,FALSE),0)</f>
        <v>0</v>
      </c>
      <c r="M99" s="376">
        <f>IFERROR(VLOOKUP(C99,'تقرير المصروفات حسب الشهر'!$C$1143:$AD$1254,25,FALSE),0)</f>
        <v>0</v>
      </c>
      <c r="N99" s="376">
        <f>IFERROR(VLOOKUP(C99,'تقرير المصروفات حسب الشهر'!$C$1270:$AD$1381,25,FALSE),0)</f>
        <v>0</v>
      </c>
      <c r="O99" s="376">
        <f>IFERROR(VLOOKUP(C99,'تقرير المصروفات حسب الشهر'!$C$1397:$AI$1512,25,FALSE),0)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الشهر'!$C$10:$AD$119,25,FALSE),0)</f>
        <v>168.76</v>
      </c>
      <c r="E100" s="362">
        <f>IFERROR(VLOOKUP(C100,'تقرير المصروفات حسب الشهر'!$C$135:$AD$244,25,FALSE),0)</f>
        <v>168.76</v>
      </c>
      <c r="F100" s="362">
        <f>IFERROR(VLOOKUP(C100,'تقرير المصروفات حسب الشهر'!$C$261:$AD$368,25,FALSE),0)</f>
        <v>168.76</v>
      </c>
      <c r="G100" s="362">
        <f>IFERROR(VLOOKUP(C100,'تقرير المصروفات حسب الشهر'!$C$387:$AD$495,25,FALSE),0)</f>
        <v>168.76</v>
      </c>
      <c r="H100" s="362">
        <f>IFERROR(VLOOKUP(C100,'تقرير المصروفات حسب الشهر'!$C$512:$AD$620,25,FALSE),0)</f>
        <v>168.76</v>
      </c>
      <c r="I100" s="362">
        <f>IFERROR(VLOOKUP(C100,'تقرير المصروفات حسب الشهر'!$C$637:$AD$746,25,FALSE),0)</f>
        <v>168.76</v>
      </c>
      <c r="J100" s="362">
        <f>IFERROR(VLOOKUP(C100,'تقرير المصروفات حسب الشهر'!$C$763:$AD$872,25,FALSE),0)</f>
        <v>168.76</v>
      </c>
      <c r="K100" s="362">
        <f>IFERROR(VLOOKUP(C100,'تقرير المصروفات حسب الشهر'!$C$890:$AD$999,25,FALSE),0)</f>
        <v>112.04</v>
      </c>
      <c r="L100" s="362">
        <f>IFERROR(VLOOKUP(C100,'تقرير المصروفات حسب الشهر'!$C$1016:$AD$1126,25,FALSE),0)</f>
        <v>0</v>
      </c>
      <c r="M100" s="376">
        <f>IFERROR(VLOOKUP(C100,'تقرير المصروفات حسب الشهر'!$C$1143:$AD$1254,25,FALSE),0)</f>
        <v>0</v>
      </c>
      <c r="N100" s="376">
        <f>IFERROR(VLOOKUP(C100,'تقرير المصروفات حسب الشهر'!$C$1270:$AD$1381,25,FALSE),0)</f>
        <v>0</v>
      </c>
      <c r="O100" s="376">
        <f>IFERROR(VLOOKUP(C100,'تقرير المصروفات حسب الشهر'!$C$1397:$AI$1512,25,FALSE),0)</f>
        <v>0</v>
      </c>
      <c r="P100" s="364">
        <f t="shared" si="6"/>
        <v>1293.3599999999999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الشهر'!$C$10:$AD$119,25,FALSE),0)</f>
        <v>331.54</v>
      </c>
      <c r="E101" s="362">
        <f>IFERROR(VLOOKUP(C101,'تقرير المصروفات حسب الشهر'!$C$135:$AD$244,25,FALSE),0)</f>
        <v>331.54</v>
      </c>
      <c r="F101" s="362">
        <f>IFERROR(VLOOKUP(C101,'تقرير المصروفات حسب الشهر'!$C$261:$AD$368,25,FALSE),0)</f>
        <v>331.54</v>
      </c>
      <c r="G101" s="362">
        <f>IFERROR(VLOOKUP(C101,'تقرير المصروفات حسب الشهر'!$C$387:$AD$495,25,FALSE),0)</f>
        <v>331.54</v>
      </c>
      <c r="H101" s="362">
        <f>IFERROR(VLOOKUP(C101,'تقرير المصروفات حسب الشهر'!$C$512:$AD$620,25,FALSE),0)</f>
        <v>331.54</v>
      </c>
      <c r="I101" s="362">
        <f>IFERROR(VLOOKUP(C101,'تقرير المصروفات حسب الشهر'!$C$637:$AD$746,25,FALSE),0)</f>
        <v>331.54</v>
      </c>
      <c r="J101" s="362">
        <f>IFERROR(VLOOKUP(C101,'تقرير المصروفات حسب الشهر'!$C$763:$AD$872,25,FALSE),0)</f>
        <v>331.54</v>
      </c>
      <c r="K101" s="362">
        <f>IFERROR(VLOOKUP(C101,'تقرير المصروفات حسب الشهر'!$C$890:$AD$999,25,FALSE),0)</f>
        <v>242.13</v>
      </c>
      <c r="L101" s="362">
        <f>IFERROR(VLOOKUP(C101,'تقرير المصروفات حسب الشهر'!$C$1016:$AD$1126,25,FALSE),0)</f>
        <v>0</v>
      </c>
      <c r="M101" s="376">
        <f>IFERROR(VLOOKUP(C101,'تقرير المصروفات حسب الشهر'!$C$1143:$AD$1254,25,FALSE),0)</f>
        <v>0</v>
      </c>
      <c r="N101" s="376">
        <f>IFERROR(VLOOKUP(C101,'تقرير المصروفات حسب الشهر'!$C$1270:$AD$1381,25,FALSE),0)</f>
        <v>0</v>
      </c>
      <c r="O101" s="376">
        <f>IFERROR(VLOOKUP(C101,'تقرير المصروفات حسب الشهر'!$C$1397:$AI$1512,25,FALSE),0)</f>
        <v>0</v>
      </c>
      <c r="P101" s="364">
        <f t="shared" si="6"/>
        <v>2562.9100000000003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الشهر'!$C$10:$AD$119,25,FALSE),0)</f>
        <v>112.5</v>
      </c>
      <c r="E102" s="362">
        <f>IFERROR(VLOOKUP(C102,'تقرير المصروفات حسب الشهر'!$C$135:$AD$244,25,FALSE),0)</f>
        <v>112.5</v>
      </c>
      <c r="F102" s="362">
        <f>IFERROR(VLOOKUP(C102,'تقرير المصروفات حسب الشهر'!$C$261:$AD$368,25,FALSE),0)</f>
        <v>112.5</v>
      </c>
      <c r="G102" s="362">
        <f>IFERROR(VLOOKUP(C102,'تقرير المصروفات حسب الشهر'!$C$387:$AD$495,25,FALSE),0)</f>
        <v>112.5</v>
      </c>
      <c r="H102" s="362">
        <f>IFERROR(VLOOKUP(C102,'تقرير المصروفات حسب الشهر'!$C$512:$AD$620,25,FALSE),0)</f>
        <v>112.5</v>
      </c>
      <c r="I102" s="362">
        <f>IFERROR(VLOOKUP(C102,'تقرير المصروفات حسب الشهر'!$C$637:$AD$746,25,FALSE),0)</f>
        <v>112.5</v>
      </c>
      <c r="J102" s="362">
        <f>IFERROR(VLOOKUP(C102,'تقرير المصروفات حسب الشهر'!$C$763:$AD$872,25,FALSE),0)</f>
        <v>112.5</v>
      </c>
      <c r="K102" s="362">
        <f>IFERROR(VLOOKUP(C102,'تقرير المصروفات حسب الشهر'!$C$890:$AD$999,25,FALSE),0)</f>
        <v>94.03</v>
      </c>
      <c r="L102" s="362">
        <f>IFERROR(VLOOKUP(C102,'تقرير المصروفات حسب الشهر'!$C$1016:$AD$1126,25,FALSE),0)</f>
        <v>54.17</v>
      </c>
      <c r="M102" s="376">
        <f>IFERROR(VLOOKUP(C102,'تقرير المصروفات حسب الشهر'!$C$1143:$AD$1254,25,FALSE),0)</f>
        <v>54.17</v>
      </c>
      <c r="N102" s="376">
        <f>IFERROR(VLOOKUP(C102,'تقرير المصروفات حسب الشهر'!$C$1270:$AD$1381,25,FALSE),0)</f>
        <v>54.13</v>
      </c>
      <c r="O102" s="376">
        <f>IFERROR(VLOOKUP(C102,'تقرير المصروفات حسب الشهر'!$C$1397:$AI$1512,25,FALSE),0)</f>
        <v>0</v>
      </c>
      <c r="P102" s="364">
        <f t="shared" si="6"/>
        <v>1044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الشهر'!$C$10:$AD$119,25,FALSE),0)</f>
        <v>12.5</v>
      </c>
      <c r="E103" s="362">
        <f>IFERROR(VLOOKUP(C103,'تقرير المصروفات حسب الشهر'!$C$135:$AD$244,25,FALSE),0)</f>
        <v>12.5</v>
      </c>
      <c r="F103" s="362">
        <f>IFERROR(VLOOKUP(C103,'تقرير المصروفات حسب الشهر'!$C$261:$AD$368,25,FALSE),0)</f>
        <v>12.5</v>
      </c>
      <c r="G103" s="362">
        <f>IFERROR(VLOOKUP(C103,'تقرير المصروفات حسب الشهر'!$C$387:$AD$495,25,FALSE),0)</f>
        <v>12.5</v>
      </c>
      <c r="H103" s="362">
        <f>IFERROR(VLOOKUP(C103,'تقرير المصروفات حسب الشهر'!$C$512:$AD$620,25,FALSE),0)</f>
        <v>12.5</v>
      </c>
      <c r="I103" s="362">
        <f>IFERROR(VLOOKUP(C103,'تقرير المصروفات حسب الشهر'!$C$637:$AD$746,25,FALSE),0)</f>
        <v>12.5</v>
      </c>
      <c r="J103" s="362">
        <f>IFERROR(VLOOKUP(C103,'تقرير المصروفات حسب الشهر'!$C$763:$AD$872,25,FALSE),0)</f>
        <v>12.5</v>
      </c>
      <c r="K103" s="362">
        <f>IFERROR(VLOOKUP(C103,'تقرير المصروفات حسب الشهر'!$C$890:$AD$999,25,FALSE),0)</f>
        <v>12.5</v>
      </c>
      <c r="L103" s="362">
        <f>IFERROR(VLOOKUP(C103,'تقرير المصروفات حسب الشهر'!$C$1016:$AD$1126,25,FALSE),0)</f>
        <v>12.5</v>
      </c>
      <c r="M103" s="376">
        <f>IFERROR(VLOOKUP(C103,'تقرير المصروفات حسب الشهر'!$C$1143:$AD$1254,25,FALSE),0)</f>
        <v>12.5</v>
      </c>
      <c r="N103" s="376">
        <f>IFERROR(VLOOKUP(C103,'تقرير المصروفات حسب الشهر'!$C$1270:$AD$1381,25,FALSE),0)</f>
        <v>12.5</v>
      </c>
      <c r="O103" s="376">
        <f>IFERROR(VLOOKUP(C103,'تقرير المصروفات حسب الشهر'!$C$1397:$AI$1512,25,FALSE),0)</f>
        <v>0</v>
      </c>
      <c r="P103" s="364">
        <f t="shared" si="6"/>
        <v>137.5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الشهر'!$C$10:$AD$119,25,FALSE),0)</f>
        <v>0</v>
      </c>
      <c r="E104" s="362">
        <f>IFERROR(VLOOKUP(C104,'تقرير المصروفات حسب الشهر'!$C$135:$AD$244,25,FALSE),0)</f>
        <v>0</v>
      </c>
      <c r="F104" s="362">
        <f>IFERROR(VLOOKUP(C104,'تقرير المصروفات حسب الشهر'!$C$261:$AD$368,25,FALSE),0)</f>
        <v>0</v>
      </c>
      <c r="G104" s="362">
        <f>IFERROR(VLOOKUP(C104,'تقرير المصروفات حسب الشهر'!$C$387:$AD$495,25,FALSE),0)</f>
        <v>0</v>
      </c>
      <c r="H104" s="362">
        <f>IFERROR(VLOOKUP(C104,'تقرير المصروفات حسب الشهر'!$C$512:$AD$620,25,FALSE),0)</f>
        <v>0</v>
      </c>
      <c r="I104" s="362">
        <f>IFERROR(VLOOKUP(C104,'تقرير المصروفات حسب الشهر'!$C$637:$AD$746,25,FALSE),0)</f>
        <v>0</v>
      </c>
      <c r="J104" s="362">
        <f>IFERROR(VLOOKUP(C104,'تقرير المصروفات حسب الشهر'!$C$763:$AD$872,25,FALSE),0)</f>
        <v>0</v>
      </c>
      <c r="K104" s="362">
        <f>IFERROR(VLOOKUP(C104,'تقرير المصروفات حسب الشهر'!$C$890:$AD$999,25,FALSE),0)</f>
        <v>0</v>
      </c>
      <c r="L104" s="362">
        <f>IFERROR(VLOOKUP(C104,'تقرير المصروفات حسب الشهر'!$C$1016:$AD$1126,25,FALSE),0)</f>
        <v>0</v>
      </c>
      <c r="M104" s="376">
        <f>IFERROR(VLOOKUP(C104,'تقرير المصروفات حسب الشهر'!$C$1143:$AD$1254,25,FALSE),0)</f>
        <v>0</v>
      </c>
      <c r="N104" s="376">
        <f>IFERROR(VLOOKUP(C104,'تقرير المصروفات حسب الشهر'!$C$1270:$AD$1381,25,FALSE),0)</f>
        <v>0</v>
      </c>
      <c r="O104" s="376">
        <f>IFERROR(VLOOKUP(C104,'تقرير المصروفات حسب الشهر'!$C$1397:$AI$1512,25,FALSE),0)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الشهر'!$C$10:$AD$119,25,FALSE),0)</f>
        <v>0</v>
      </c>
      <c r="E105" s="362">
        <f>IFERROR(VLOOKUP(C105,'تقرير المصروفات حسب الشهر'!$C$135:$AD$244,25,FALSE),0)</f>
        <v>0</v>
      </c>
      <c r="F105" s="362">
        <f>IFERROR(VLOOKUP(C105,'تقرير المصروفات حسب الشهر'!$C$261:$AD$368,25,FALSE),0)</f>
        <v>0</v>
      </c>
      <c r="G105" s="362">
        <f>IFERROR(VLOOKUP(C105,'تقرير المصروفات حسب الشهر'!$C$387:$AD$495,25,FALSE),0)</f>
        <v>0</v>
      </c>
      <c r="H105" s="362">
        <f>IFERROR(VLOOKUP(C105,'تقرير المصروفات حسب الشهر'!$C$512:$AD$620,25,FALSE),0)</f>
        <v>0</v>
      </c>
      <c r="I105" s="362">
        <f>IFERROR(VLOOKUP(C105,'تقرير المصروفات حسب الشهر'!$C$637:$AD$746,25,FALSE),0)</f>
        <v>0</v>
      </c>
      <c r="J105" s="362">
        <f>IFERROR(VLOOKUP(C105,'تقرير المصروفات حسب الشهر'!$C$763:$AD$872,25,FALSE),0)</f>
        <v>0</v>
      </c>
      <c r="K105" s="362">
        <f>IFERROR(VLOOKUP(C105,'تقرير المصروفات حسب الشهر'!$C$890:$AD$999,25,FALSE),0)</f>
        <v>0</v>
      </c>
      <c r="L105" s="362">
        <f>IFERROR(VLOOKUP(C105,'تقرير المصروفات حسب الشهر'!$C$1016:$AD$1126,25,FALSE),0)</f>
        <v>0</v>
      </c>
      <c r="M105" s="376">
        <f>IFERROR(VLOOKUP(C105,'تقرير المصروفات حسب الشهر'!$C$1143:$AD$1254,25,FALSE),0)</f>
        <v>0</v>
      </c>
      <c r="N105" s="376">
        <f>IFERROR(VLOOKUP(C105,'تقرير المصروفات حسب الشهر'!$C$1270:$AD$1381,25,FALSE),0)</f>
        <v>0</v>
      </c>
      <c r="O105" s="376">
        <f>IFERROR(VLOOKUP(C105,'تقرير المصروفات حسب الشهر'!$C$1397:$AI$1512,25,FALSE),0)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الشهر'!$C$10:$AD$119,25,FALSE),0)</f>
        <v>0</v>
      </c>
      <c r="E106" s="362">
        <f>IFERROR(VLOOKUP(C106,'تقرير المصروفات حسب الشهر'!$C$135:$AD$244,25,FALSE),0)</f>
        <v>0</v>
      </c>
      <c r="F106" s="362">
        <f>IFERROR(VLOOKUP(C106,'تقرير المصروفات حسب الشهر'!$C$261:$AD$368,25,FALSE),0)</f>
        <v>0</v>
      </c>
      <c r="G106" s="362">
        <f>IFERROR(VLOOKUP(C106,'تقرير المصروفات حسب الشهر'!$C$387:$AD$495,25,FALSE),0)</f>
        <v>0</v>
      </c>
      <c r="H106" s="362">
        <f>IFERROR(VLOOKUP(C106,'تقرير المصروفات حسب الشهر'!$C$512:$AD$620,25,FALSE),0)</f>
        <v>0</v>
      </c>
      <c r="I106" s="362">
        <f>IFERROR(VLOOKUP(C106,'تقرير المصروفات حسب الشهر'!$C$637:$AD$746,25,FALSE),0)</f>
        <v>0</v>
      </c>
      <c r="J106" s="362">
        <f>IFERROR(VLOOKUP(C106,'تقرير المصروفات حسب الشهر'!$C$763:$AD$872,25,FALSE),0)</f>
        <v>0</v>
      </c>
      <c r="K106" s="362">
        <f>IFERROR(VLOOKUP(C106,'تقرير المصروفات حسب الشهر'!$C$890:$AD$999,25,FALSE),0)</f>
        <v>0</v>
      </c>
      <c r="L106" s="362">
        <f>IFERROR(VLOOKUP(C106,'تقرير المصروفات حسب الشهر'!$C$1016:$AD$1126,25,FALSE),0)</f>
        <v>0</v>
      </c>
      <c r="M106" s="376">
        <f>IFERROR(VLOOKUP(C106,'تقرير المصروفات حسب الشهر'!$C$1143:$AD$1254,25,FALSE),0)</f>
        <v>0</v>
      </c>
      <c r="N106" s="376">
        <f>IFERROR(VLOOKUP(C106,'تقرير المصروفات حسب الشهر'!$C$1270:$AD$1381,25,FALSE),0)</f>
        <v>0</v>
      </c>
      <c r="O106" s="376">
        <f>IFERROR(VLOOKUP(C106,'تقرير المصروفات حسب الشهر'!$C$1397:$AI$1512,25,FALSE),0)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الشهر'!$C$10:$AD$119,25,FALSE),0)</f>
        <v>0</v>
      </c>
      <c r="E107" s="362">
        <f>IFERROR(VLOOKUP(C107,'تقرير المصروفات حسب الشهر'!$C$135:$AD$244,25,FALSE),0)</f>
        <v>0</v>
      </c>
      <c r="F107" s="362">
        <f>IFERROR(VLOOKUP(C107,'تقرير المصروفات حسب الشهر'!$C$261:$AD$368,25,FALSE),0)</f>
        <v>0</v>
      </c>
      <c r="G107" s="362">
        <f>IFERROR(VLOOKUP(C107,'تقرير المصروفات حسب الشهر'!$C$387:$AD$495,25,FALSE),0)</f>
        <v>0</v>
      </c>
      <c r="H107" s="362">
        <f>IFERROR(VLOOKUP(C107,'تقرير المصروفات حسب الشهر'!$C$512:$AD$620,25,FALSE),0)</f>
        <v>0</v>
      </c>
      <c r="I107" s="362">
        <f>IFERROR(VLOOKUP(C107,'تقرير المصروفات حسب الشهر'!$C$637:$AD$746,25,FALSE),0)</f>
        <v>0</v>
      </c>
      <c r="J107" s="362">
        <f>IFERROR(VLOOKUP(C107,'تقرير المصروفات حسب الشهر'!$C$763:$AD$872,25,FALSE),0)</f>
        <v>0</v>
      </c>
      <c r="K107" s="362">
        <f>IFERROR(VLOOKUP(C107,'تقرير المصروفات حسب الشهر'!$C$890:$AD$999,25,FALSE),0)</f>
        <v>0</v>
      </c>
      <c r="L107" s="362">
        <f>IFERROR(VLOOKUP(C107,'تقرير المصروفات حسب الشهر'!$C$1016:$AD$1126,25,FALSE),0)</f>
        <v>0</v>
      </c>
      <c r="M107" s="376">
        <f>IFERROR(VLOOKUP(C107,'تقرير المصروفات حسب الشهر'!$C$1143:$AD$1254,25,FALSE),0)</f>
        <v>0</v>
      </c>
      <c r="N107" s="376">
        <f>IFERROR(VLOOKUP(C107,'تقرير المصروفات حسب الشهر'!$C$1270:$AD$1381,25,FALSE),0)</f>
        <v>0</v>
      </c>
      <c r="O107" s="376">
        <f>IFERROR(VLOOKUP(C107,'تقرير المصروفات حسب الشهر'!$C$1397:$AI$1512,25,FALSE),0)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الشهر'!$C$10:$AD$119,25,FALSE),0)</f>
        <v>0</v>
      </c>
      <c r="E108" s="362">
        <f>IFERROR(VLOOKUP(C108,'تقرير المصروفات حسب الشهر'!$C$135:$AD$244,25,FALSE),0)</f>
        <v>0</v>
      </c>
      <c r="F108" s="362">
        <f>IFERROR(VLOOKUP(C108,'تقرير المصروفات حسب الشهر'!$C$261:$AD$368,25,FALSE),0)</f>
        <v>0</v>
      </c>
      <c r="G108" s="362">
        <f>IFERROR(VLOOKUP(C108,'تقرير المصروفات حسب الشهر'!$C$387:$AD$495,25,FALSE),0)</f>
        <v>0</v>
      </c>
      <c r="H108" s="362">
        <f>IFERROR(VLOOKUP(C108,'تقرير المصروفات حسب الشهر'!$C$512:$AD$620,25,FALSE),0)</f>
        <v>0</v>
      </c>
      <c r="I108" s="362">
        <f>IFERROR(VLOOKUP(C108,'تقرير المصروفات حسب الشهر'!$C$637:$AD$746,25,FALSE),0)</f>
        <v>0</v>
      </c>
      <c r="J108" s="362">
        <f>IFERROR(VLOOKUP(C108,'تقرير المصروفات حسب الشهر'!$C$763:$AD$872,25,FALSE),0)</f>
        <v>0</v>
      </c>
      <c r="K108" s="362">
        <f>IFERROR(VLOOKUP(C108,'تقرير المصروفات حسب الشهر'!$C$890:$AD$999,25,FALSE),0)</f>
        <v>0</v>
      </c>
      <c r="L108" s="362">
        <f>IFERROR(VLOOKUP(C108,'تقرير المصروفات حسب الشهر'!$C$1016:$AD$1126,25,FALSE),0)</f>
        <v>0</v>
      </c>
      <c r="M108" s="376">
        <f>IFERROR(VLOOKUP(C108,'تقرير المصروفات حسب الشهر'!$C$1143:$AD$1254,25,FALSE),0)</f>
        <v>0</v>
      </c>
      <c r="N108" s="376">
        <f>IFERROR(VLOOKUP(C108,'تقرير المصروفات حسب الشهر'!$C$1270:$AD$1381,25,FALSE),0)</f>
        <v>0</v>
      </c>
      <c r="O108" s="376">
        <f>IFERROR(VLOOKUP(C108,'تقرير المصروفات حسب الشهر'!$C$1397:$AI$1512,25,FALSE),0)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الشهر'!$C$10:$AD$119,25,FALSE),0)</f>
        <v>0</v>
      </c>
      <c r="E109" s="362">
        <f>IFERROR(VLOOKUP(C109,'تقرير المصروفات حسب الشهر'!$C$135:$AD$244,25,FALSE),0)</f>
        <v>0</v>
      </c>
      <c r="F109" s="362">
        <f>IFERROR(VLOOKUP(C109,'تقرير المصروفات حسب الشهر'!$C$261:$AD$368,25,FALSE),0)</f>
        <v>0</v>
      </c>
      <c r="G109" s="362">
        <f>IFERROR(VLOOKUP(C109,'تقرير المصروفات حسب الشهر'!$C$387:$AD$495,25,FALSE),0)</f>
        <v>0</v>
      </c>
      <c r="H109" s="362">
        <f>IFERROR(VLOOKUP(C109,'تقرير المصروفات حسب الشهر'!$C$512:$AD$620,25,FALSE),0)</f>
        <v>0</v>
      </c>
      <c r="I109" s="362">
        <f>IFERROR(VLOOKUP(C109,'تقرير المصروفات حسب الشهر'!$C$637:$AD$746,25,FALSE),0)</f>
        <v>0</v>
      </c>
      <c r="J109" s="362">
        <f>IFERROR(VLOOKUP(C109,'تقرير المصروفات حسب الشهر'!$C$763:$AD$872,25,FALSE),0)</f>
        <v>0</v>
      </c>
      <c r="K109" s="362">
        <f>IFERROR(VLOOKUP(C109,'تقرير المصروفات حسب الشهر'!$C$890:$AD$999,25,FALSE),0)</f>
        <v>0</v>
      </c>
      <c r="L109" s="362">
        <f>IFERROR(VLOOKUP(C109,'تقرير المصروفات حسب الشهر'!$C$1016:$AD$1126,25,FALSE),0)</f>
        <v>0</v>
      </c>
      <c r="M109" s="376">
        <f>IFERROR(VLOOKUP(C109,'تقرير المصروفات حسب الشهر'!$C$1143:$AD$1254,25,FALSE),0)</f>
        <v>0</v>
      </c>
      <c r="N109" s="376">
        <f>IFERROR(VLOOKUP(C109,'تقرير المصروفات حسب الشهر'!$C$1270:$AD$1381,25,FALSE),0)</f>
        <v>0</v>
      </c>
      <c r="O109" s="376">
        <f>IFERROR(VLOOKUP(C109,'تقرير المصروفات حسب الشهر'!$C$1397:$AI$1512,25,FALSE),0)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الشهر'!$C$10:$AD$119,25,FALSE),0)</f>
        <v>0</v>
      </c>
      <c r="E110" s="362">
        <f>IFERROR(VLOOKUP(C110,'تقرير المصروفات حسب الشهر'!$C$135:$AD$244,25,FALSE),0)</f>
        <v>0</v>
      </c>
      <c r="F110" s="362">
        <f>IFERROR(VLOOKUP(C110,'تقرير المصروفات حسب الشهر'!$C$261:$AD$368,25,FALSE),0)</f>
        <v>0</v>
      </c>
      <c r="G110" s="362">
        <f>IFERROR(VLOOKUP(C110,'تقرير المصروفات حسب الشهر'!$C$387:$AD$495,25,FALSE),0)</f>
        <v>0</v>
      </c>
      <c r="H110" s="362">
        <f>IFERROR(VLOOKUP(C110,'تقرير المصروفات حسب الشهر'!$C$512:$AD$620,25,FALSE),0)</f>
        <v>0</v>
      </c>
      <c r="I110" s="362">
        <f>IFERROR(VLOOKUP(C110,'تقرير المصروفات حسب الشهر'!$C$637:$AD$746,25,FALSE),0)</f>
        <v>0</v>
      </c>
      <c r="J110" s="362">
        <f>IFERROR(VLOOKUP(C110,'تقرير المصروفات حسب الشهر'!$C$763:$AD$872,25,FALSE),0)</f>
        <v>0</v>
      </c>
      <c r="K110" s="362">
        <f>IFERROR(VLOOKUP(C110,'تقرير المصروفات حسب الشهر'!$C$890:$AD$999,25,FALSE),0)</f>
        <v>0</v>
      </c>
      <c r="L110" s="362">
        <f>IFERROR(VLOOKUP(C110,'تقرير المصروفات حسب الشهر'!$C$1016:$AD$1126,25,FALSE),0)</f>
        <v>0</v>
      </c>
      <c r="M110" s="376">
        <f>IFERROR(VLOOKUP(C110,'تقرير المصروفات حسب الشهر'!$C$1143:$AD$1254,25,FALSE),0)</f>
        <v>0</v>
      </c>
      <c r="N110" s="376">
        <f>IFERROR(VLOOKUP(C110,'تقرير المصروفات حسب الشهر'!$C$1270:$AD$1381,25,FALSE),0)</f>
        <v>0</v>
      </c>
      <c r="O110" s="376">
        <f>IFERROR(VLOOKUP(C110,'تقرير المصروفات حسب الشهر'!$C$1397:$AI$1512,25,FALSE),0)</f>
        <v>0</v>
      </c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الشهر'!$C$10:$AD$119,25,FALSE),0)</f>
        <v>0</v>
      </c>
      <c r="E111" s="362">
        <f>IFERROR(VLOOKUP(C111,'تقرير المصروفات حسب الشهر'!$C$135:$AD$244,25,FALSE),0)</f>
        <v>0</v>
      </c>
      <c r="F111" s="362">
        <f>IFERROR(VLOOKUP(C111,'تقرير المصروفات حسب الشهر'!$C$261:$AD$368,25,FALSE),0)</f>
        <v>0</v>
      </c>
      <c r="G111" s="362">
        <f>IFERROR(VLOOKUP(C111,'تقرير المصروفات حسب الشهر'!$C$387:$AD$495,25,FALSE),0)</f>
        <v>0</v>
      </c>
      <c r="H111" s="362">
        <f>IFERROR(VLOOKUP(C111,'تقرير المصروفات حسب الشهر'!$C$512:$AD$620,25,FALSE),0)</f>
        <v>0</v>
      </c>
      <c r="I111" s="362">
        <f>IFERROR(VLOOKUP(C111,'تقرير المصروفات حسب الشهر'!$C$637:$AD$746,25,FALSE),0)</f>
        <v>0</v>
      </c>
      <c r="J111" s="362">
        <f>IFERROR(VLOOKUP(C111,'تقرير المصروفات حسب الشهر'!$C$763:$AD$872,25,FALSE),0)</f>
        <v>0</v>
      </c>
      <c r="K111" s="362">
        <f>IFERROR(VLOOKUP(C111,'تقرير المصروفات حسب الشهر'!$C$890:$AD$999,25,FALSE),0)</f>
        <v>0</v>
      </c>
      <c r="L111" s="362">
        <f>IFERROR(VLOOKUP(C111,'تقرير المصروفات حسب الشهر'!$C$1016:$AD$1126,25,FALSE),0)</f>
        <v>0</v>
      </c>
      <c r="M111" s="376">
        <f>IFERROR(VLOOKUP(C111,'تقرير المصروفات حسب الشهر'!$C$1143:$AD$1254,25,FALSE),0)</f>
        <v>0</v>
      </c>
      <c r="N111" s="376">
        <f>IFERROR(VLOOKUP(C111,'تقرير المصروفات حسب الشهر'!$C$1270:$AD$1381,25,FALSE),0)</f>
        <v>0</v>
      </c>
      <c r="O111" s="376">
        <f>IFERROR(VLOOKUP(C111,'تقرير المصروفات حسب الشهر'!$C$1397:$AI$1512,25,FALSE),0)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الشهر'!$C$10:$AD$119,25,FALSE),0)</f>
        <v>0</v>
      </c>
      <c r="E112" s="362">
        <f>IFERROR(VLOOKUP(C112,'تقرير المصروفات حسب الشهر'!$C$135:$AD$244,25,FALSE),0)</f>
        <v>0</v>
      </c>
      <c r="F112" s="362">
        <f>IFERROR(VLOOKUP(C112,'تقرير المصروفات حسب الشهر'!$C$261:$AD$368,25,FALSE),0)</f>
        <v>0</v>
      </c>
      <c r="G112" s="362">
        <f>IFERROR(VLOOKUP(C112,'تقرير المصروفات حسب الشهر'!$C$387:$AD$495,25,FALSE),0)</f>
        <v>0</v>
      </c>
      <c r="H112" s="362">
        <f>IFERROR(VLOOKUP(C112,'تقرير المصروفات حسب الشهر'!$C$512:$AD$620,25,FALSE),0)</f>
        <v>0</v>
      </c>
      <c r="I112" s="362">
        <f>IFERROR(VLOOKUP(C112,'تقرير المصروفات حسب الشهر'!$C$637:$AD$746,25,FALSE),0)</f>
        <v>0</v>
      </c>
      <c r="J112" s="362">
        <f>IFERROR(VLOOKUP(C112,'تقرير المصروفات حسب الشهر'!$C$763:$AD$872,25,FALSE),0)</f>
        <v>0</v>
      </c>
      <c r="K112" s="362">
        <f>IFERROR(VLOOKUP(C112,'تقرير المصروفات حسب الشهر'!$C$890:$AD$999,25,FALSE),0)</f>
        <v>0</v>
      </c>
      <c r="L112" s="362">
        <f>IFERROR(VLOOKUP(C112,'تقرير المصروفات حسب الشهر'!$C$1016:$AD$1126,25,FALSE),0)</f>
        <v>0</v>
      </c>
      <c r="M112" s="376">
        <f>IFERROR(VLOOKUP(C112,'تقرير المصروفات حسب الشهر'!$C$1143:$AD$1254,25,FALSE),0)</f>
        <v>0</v>
      </c>
      <c r="N112" s="376">
        <f>IFERROR(VLOOKUP(C112,'تقرير المصروفات حسب الشهر'!$C$1270:$AD$1381,25,FALSE),0)</f>
        <v>0</v>
      </c>
      <c r="O112" s="376">
        <f>IFERROR(VLOOKUP(C112,'تقرير المصروفات حسب الشهر'!$C$1397:$AI$1512,25,FALSE),0)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الشهر'!$C$10:$AD$119,25,FALSE),0)</f>
        <v>0</v>
      </c>
      <c r="E113" s="362">
        <f>IFERROR(VLOOKUP(C113,'تقرير المصروفات حسب الشهر'!$C$135:$AD$244,25,FALSE),0)</f>
        <v>0</v>
      </c>
      <c r="F113" s="362">
        <f>IFERROR(VLOOKUP(C113,'تقرير المصروفات حسب الشهر'!$C$261:$AD$368,25,FALSE),0)</f>
        <v>0</v>
      </c>
      <c r="G113" s="362">
        <f>IFERROR(VLOOKUP(C113,'تقرير المصروفات حسب الشهر'!$C$387:$AD$495,25,FALSE),0)</f>
        <v>0</v>
      </c>
      <c r="H113" s="362">
        <f>IFERROR(VLOOKUP(C113,'تقرير المصروفات حسب الشهر'!$C$512:$AD$620,25,FALSE),0)</f>
        <v>0</v>
      </c>
      <c r="I113" s="362">
        <f>IFERROR(VLOOKUP(C113,'تقرير المصروفات حسب الشهر'!$C$637:$AD$746,25,FALSE),0)</f>
        <v>0</v>
      </c>
      <c r="J113" s="362">
        <f>IFERROR(VLOOKUP(C113,'تقرير المصروفات حسب الشهر'!$C$763:$AD$872,25,FALSE),0)</f>
        <v>0</v>
      </c>
      <c r="K113" s="362">
        <f>IFERROR(VLOOKUP(C113,'تقرير المصروفات حسب الشهر'!$C$890:$AD$999,25,FALSE),0)</f>
        <v>0</v>
      </c>
      <c r="L113" s="362">
        <f>IFERROR(VLOOKUP(C113,'تقرير المصروفات حسب الشهر'!$C$1016:$AD$1126,25,FALSE),0)</f>
        <v>0</v>
      </c>
      <c r="M113" s="376">
        <f>IFERROR(VLOOKUP(C113,'تقرير المصروفات حسب الشهر'!$C$1143:$AD$1254,25,FALSE),0)</f>
        <v>0</v>
      </c>
      <c r="N113" s="376">
        <f>IFERROR(VLOOKUP(C113,'تقرير المصروفات حسب الشهر'!$C$1270:$AD$1381,25,FALSE),0)</f>
        <v>0</v>
      </c>
      <c r="O113" s="376">
        <f>IFERROR(VLOOKUP(C113,'تقرير المصروفات حسب الشهر'!$C$1397:$AI$1512,25,FALSE),0)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الشهر'!$C$10:$AD$119,25,FALSE),0)</f>
        <v>0</v>
      </c>
      <c r="E114" s="362">
        <f>IFERROR(VLOOKUP(C114,'تقرير المصروفات حسب الشهر'!$C$135:$AD$244,25,FALSE),0)</f>
        <v>0</v>
      </c>
      <c r="F114" s="362">
        <f>IFERROR(VLOOKUP(C114,'تقرير المصروفات حسب الشهر'!$C$261:$AD$368,25,FALSE),0)</f>
        <v>0</v>
      </c>
      <c r="G114" s="362">
        <f>IFERROR(VLOOKUP(C114,'تقرير المصروفات حسب الشهر'!$C$387:$AD$495,25,FALSE),0)</f>
        <v>0</v>
      </c>
      <c r="H114" s="362">
        <f>IFERROR(VLOOKUP(C114,'تقرير المصروفات حسب الشهر'!$C$512:$AD$620,25,FALSE),0)</f>
        <v>0</v>
      </c>
      <c r="I114" s="362">
        <f>IFERROR(VLOOKUP(C114,'تقرير المصروفات حسب الشهر'!$C$637:$AD$746,25,FALSE),0)</f>
        <v>0</v>
      </c>
      <c r="J114" s="362">
        <f>IFERROR(VLOOKUP(C114,'تقرير المصروفات حسب الشهر'!$C$763:$AD$872,25,FALSE),0)</f>
        <v>0</v>
      </c>
      <c r="K114" s="362">
        <f>IFERROR(VLOOKUP(C114,'تقرير المصروفات حسب الشهر'!$C$890:$AD$999,25,FALSE),0)</f>
        <v>0</v>
      </c>
      <c r="L114" s="362">
        <f>IFERROR(VLOOKUP(C114,'تقرير المصروفات حسب الشهر'!$C$1016:$AD$1126,25,FALSE),0)</f>
        <v>0</v>
      </c>
      <c r="M114" s="376">
        <f>IFERROR(VLOOKUP(C114,'تقرير المصروفات حسب الشهر'!$C$1143:$AD$1254,25,FALSE),0)</f>
        <v>0</v>
      </c>
      <c r="N114" s="376">
        <f>IFERROR(VLOOKUP(C114,'تقرير المصروفات حسب الشهر'!$C$1270:$AD$1381,25,FALSE),0)</f>
        <v>0</v>
      </c>
      <c r="O114" s="376">
        <f>IFERROR(VLOOKUP(C114,'تقرير المصروفات حسب الشهر'!$C$1397:$AI$1512,25,FALSE),0)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الشهر'!$C$10:$AD$119,25,FALSE),0)</f>
        <v>0</v>
      </c>
      <c r="E115" s="362">
        <f>IFERROR(VLOOKUP(C115,'تقرير المصروفات حسب الشهر'!$C$135:$AD$244,25,FALSE),0)</f>
        <v>0</v>
      </c>
      <c r="F115" s="362">
        <f>IFERROR(VLOOKUP(C115,'تقرير المصروفات حسب الشهر'!$C$261:$AD$368,25,FALSE),0)</f>
        <v>0</v>
      </c>
      <c r="G115" s="362">
        <f>IFERROR(VLOOKUP(C115,'تقرير المصروفات حسب الشهر'!$C$387:$AD$495,25,FALSE),0)</f>
        <v>0</v>
      </c>
      <c r="H115" s="362">
        <f>IFERROR(VLOOKUP(C115,'تقرير المصروفات حسب الشهر'!$C$512:$AD$620,25,FALSE),0)</f>
        <v>0</v>
      </c>
      <c r="I115" s="362">
        <f>IFERROR(VLOOKUP(C115,'تقرير المصروفات حسب الشهر'!$C$637:$AD$746,25,FALSE),0)</f>
        <v>0</v>
      </c>
      <c r="J115" s="362">
        <f>IFERROR(VLOOKUP(C115,'تقرير المصروفات حسب الشهر'!$C$763:$AD$872,25,FALSE),0)</f>
        <v>0</v>
      </c>
      <c r="K115" s="362">
        <f>IFERROR(VLOOKUP(C115,'تقرير المصروفات حسب الشهر'!$C$890:$AD$999,25,FALSE),0)</f>
        <v>0</v>
      </c>
      <c r="L115" s="362">
        <f>IFERROR(VLOOKUP(C115,'تقرير المصروفات حسب الشهر'!$C$1016:$AD$1126,25,FALSE),0)</f>
        <v>0</v>
      </c>
      <c r="M115" s="376">
        <f>IFERROR(VLOOKUP(C115,'تقرير المصروفات حسب الشهر'!$C$1143:$AD$1254,25,FALSE),0)</f>
        <v>0</v>
      </c>
      <c r="N115" s="376">
        <f>IFERROR(VLOOKUP(C115,'تقرير المصروفات حسب الشهر'!$C$1270:$AD$1381,25,FALSE),0)</f>
        <v>0</v>
      </c>
      <c r="O115" s="376">
        <f>IFERROR(VLOOKUP(C115,'تقرير المصروفات حسب الشهر'!$C$1397:$AI$1512,25,FALSE),0)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الشهر'!$C$10:$AD$119,25,FALSE),0)</f>
        <v>0</v>
      </c>
      <c r="E116" s="362">
        <f>IFERROR(VLOOKUP(C116,'تقرير المصروفات حسب الشهر'!$C$135:$AD$244,25,FALSE),0)</f>
        <v>0</v>
      </c>
      <c r="F116" s="362">
        <f>IFERROR(VLOOKUP(C116,'تقرير المصروفات حسب الشهر'!$C$261:$AD$368,25,FALSE),0)</f>
        <v>0</v>
      </c>
      <c r="G116" s="362">
        <f>IFERROR(VLOOKUP(C116,'تقرير المصروفات حسب الشهر'!$C$387:$AD$495,25,FALSE),0)</f>
        <v>0</v>
      </c>
      <c r="H116" s="362">
        <f>IFERROR(VLOOKUP(C116,'تقرير المصروفات حسب الشهر'!$C$512:$AD$620,25,FALSE),0)</f>
        <v>0</v>
      </c>
      <c r="I116" s="362">
        <f>IFERROR(VLOOKUP(C116,'تقرير المصروفات حسب الشهر'!$C$637:$AD$746,25,FALSE),0)</f>
        <v>0</v>
      </c>
      <c r="J116" s="362">
        <f>IFERROR(VLOOKUP(C116,'تقرير المصروفات حسب الشهر'!$C$763:$AD$872,25,FALSE),0)</f>
        <v>0</v>
      </c>
      <c r="K116" s="362">
        <f>IFERROR(VLOOKUP(C116,'تقرير المصروفات حسب الشهر'!$C$890:$AD$999,25,FALSE),0)</f>
        <v>0</v>
      </c>
      <c r="L116" s="362">
        <f>IFERROR(VLOOKUP(C116,'تقرير المصروفات حسب الشهر'!$C$1016:$AD$1126,25,FALSE),0)</f>
        <v>0</v>
      </c>
      <c r="M116" s="376">
        <f>IFERROR(VLOOKUP(C116,'تقرير المصروفات حسب الشهر'!$C$1143:$AD$1254,25,FALSE),0)</f>
        <v>0</v>
      </c>
      <c r="N116" s="376">
        <f>IFERROR(VLOOKUP(C116,'تقرير المصروفات حسب الشهر'!$C$1270:$AD$1381,25,FALSE),0)</f>
        <v>0</v>
      </c>
      <c r="O116" s="376">
        <f>IFERROR(VLOOKUP(C116,'تقرير المصروفات حسب الشهر'!$C$1397:$AI$1512,25,FALSE),0)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الشهر'!$C$10:$AD$119,25,FALSE),0)</f>
        <v>0</v>
      </c>
      <c r="E117" s="362">
        <f>IFERROR(VLOOKUP(C117,'تقرير المصروفات حسب الشهر'!$C$135:$AD$244,25,FALSE),0)</f>
        <v>0</v>
      </c>
      <c r="F117" s="362">
        <f>IFERROR(VLOOKUP(C117,'تقرير المصروفات حسب الشهر'!$C$261:$AD$368,25,FALSE),0)</f>
        <v>0</v>
      </c>
      <c r="G117" s="362">
        <f>IFERROR(VLOOKUP(C117,'تقرير المصروفات حسب الشهر'!$C$387:$AD$495,25,FALSE),0)</f>
        <v>0</v>
      </c>
      <c r="H117" s="362">
        <f>IFERROR(VLOOKUP(C117,'تقرير المصروفات حسب الشهر'!$C$512:$AD$620,25,FALSE),0)</f>
        <v>0</v>
      </c>
      <c r="I117" s="362">
        <f>IFERROR(VLOOKUP(C117,'تقرير المصروفات حسب الشهر'!$C$637:$AD$746,25,FALSE),0)</f>
        <v>0</v>
      </c>
      <c r="J117" s="362">
        <f>IFERROR(VLOOKUP(C117,'تقرير المصروفات حسب الشهر'!$C$763:$AD$872,25,FALSE),0)</f>
        <v>0</v>
      </c>
      <c r="K117" s="362">
        <f>IFERROR(VLOOKUP(C117,'تقرير المصروفات حسب الشهر'!$C$890:$AD$999,25,FALSE),0)</f>
        <v>0</v>
      </c>
      <c r="L117" s="362">
        <f>IFERROR(VLOOKUP(C117,'تقرير المصروفات حسب الشهر'!$C$1016:$AD$1126,25,FALSE),0)</f>
        <v>0</v>
      </c>
      <c r="M117" s="376">
        <f>IFERROR(VLOOKUP(C117,'تقرير المصروفات حسب الشهر'!$C$1143:$AD$1254,25,FALSE),0)</f>
        <v>0</v>
      </c>
      <c r="N117" s="376">
        <f>IFERROR(VLOOKUP(C117,'تقرير المصروفات حسب الشهر'!$C$1270:$AD$1381,25,FALSE),0)</f>
        <v>0</v>
      </c>
      <c r="O117" s="376">
        <f>IFERROR(VLOOKUP(C117,'تقرير المصروفات حسب الشهر'!$C$1397:$AI$1512,25,FALSE),0)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الشهر'!$C$10:$AD$119,25,FALSE),0)</f>
        <v>0</v>
      </c>
      <c r="E118" s="362">
        <f>IFERROR(VLOOKUP(C118,'تقرير المصروفات حسب الشهر'!$C$135:$AD$244,25,FALSE),0)</f>
        <v>0</v>
      </c>
      <c r="F118" s="362">
        <f>IFERROR(VLOOKUP(C118,'تقرير المصروفات حسب الشهر'!$C$261:$AD$368,25,FALSE),0)</f>
        <v>0</v>
      </c>
      <c r="G118" s="362">
        <f>IFERROR(VLOOKUP(C118,'تقرير المصروفات حسب الشهر'!$C$387:$AD$495,25,FALSE),0)</f>
        <v>0</v>
      </c>
      <c r="H118" s="362">
        <f>IFERROR(VLOOKUP(C118,'تقرير المصروفات حسب الشهر'!$C$512:$AD$620,25,FALSE),0)</f>
        <v>0</v>
      </c>
      <c r="I118" s="362">
        <f>IFERROR(VLOOKUP(C118,'تقرير المصروفات حسب الشهر'!$C$637:$AD$746,25,FALSE),0)</f>
        <v>0</v>
      </c>
      <c r="J118" s="362">
        <f>IFERROR(VLOOKUP(C118,'تقرير المصروفات حسب الشهر'!$C$763:$AD$872,25,FALSE),0)</f>
        <v>0</v>
      </c>
      <c r="K118" s="362">
        <f>IFERROR(VLOOKUP(C118,'تقرير المصروفات حسب الشهر'!$C$890:$AD$999,25,FALSE),0)</f>
        <v>0</v>
      </c>
      <c r="L118" s="362">
        <f>IFERROR(VLOOKUP(C118,'تقرير المصروفات حسب الشهر'!$C$1016:$AD$1126,25,FALSE),0)</f>
        <v>0</v>
      </c>
      <c r="M118" s="376">
        <f>IFERROR(VLOOKUP(C118,'تقرير المصروفات حسب الشهر'!$C$1143:$AD$1254,25,FALSE),0)</f>
        <v>0</v>
      </c>
      <c r="N118" s="376">
        <f>IFERROR(VLOOKUP(C118,'تقرير المصروفات حسب الشهر'!$C$1270:$AD$1381,25,FALSE),0)</f>
        <v>0</v>
      </c>
      <c r="O118" s="376">
        <f>IFERROR(VLOOKUP(C118,'تقرير المصروفات حسب الشهر'!$C$1397:$AI$1512,25,FALSE),0)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الشهر'!$C$10:$AD$119,25,FALSE),0)</f>
        <v>0</v>
      </c>
      <c r="E119" s="362">
        <f>IFERROR(VLOOKUP(C119,'تقرير المصروفات حسب الشهر'!$C$135:$AD$244,25,FALSE),0)</f>
        <v>0</v>
      </c>
      <c r="F119" s="362">
        <f>IFERROR(VLOOKUP(C119,'تقرير المصروفات حسب الشهر'!$C$261:$AD$368,25,FALSE),0)</f>
        <v>0</v>
      </c>
      <c r="G119" s="362">
        <f>IFERROR(VLOOKUP(C119,'تقرير المصروفات حسب الشهر'!$C$387:$AD$495,25,FALSE),0)</f>
        <v>0</v>
      </c>
      <c r="H119" s="362">
        <f>IFERROR(VLOOKUP(C119,'تقرير المصروفات حسب الشهر'!$C$512:$AD$620,25,FALSE),0)</f>
        <v>0</v>
      </c>
      <c r="I119" s="362">
        <f>IFERROR(VLOOKUP(C119,'تقرير المصروفات حسب الشهر'!$C$637:$AD$746,25,FALSE),0)</f>
        <v>0</v>
      </c>
      <c r="J119" s="362">
        <f>IFERROR(VLOOKUP(C119,'تقرير المصروفات حسب الشهر'!$C$763:$AD$872,25,FALSE),0)</f>
        <v>0</v>
      </c>
      <c r="K119" s="362">
        <f>IFERROR(VLOOKUP(C119,'تقرير المصروفات حسب الشهر'!$C$890:$AD$999,25,FALSE),0)</f>
        <v>0</v>
      </c>
      <c r="L119" s="362">
        <f>IFERROR(VLOOKUP(C119,'تقرير المصروفات حسب الشهر'!$C$1016:$AD$1126,25,FALSE),0)</f>
        <v>0</v>
      </c>
      <c r="M119" s="376">
        <f>IFERROR(VLOOKUP(C119,'تقرير المصروفات حسب الشهر'!$C$1143:$AD$1254,25,FALSE),0)</f>
        <v>0</v>
      </c>
      <c r="N119" s="376">
        <f>IFERROR(VLOOKUP(C119,'تقرير المصروفات حسب الشهر'!$C$1270:$AD$1381,25,FALSE),0)</f>
        <v>0</v>
      </c>
      <c r="O119" s="376">
        <f>IFERROR(VLOOKUP(C119,'تقرير المصروفات حسب الشهر'!$C$1397:$AI$1512,25,FALSE),0)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الشهر'!$C$10:$AD$119,25,FALSE),0)</f>
        <v>0</v>
      </c>
      <c r="E120" s="362">
        <f>IFERROR(VLOOKUP(C120,'تقرير المصروفات حسب الشهر'!$C$135:$AD$244,25,FALSE),0)</f>
        <v>0</v>
      </c>
      <c r="F120" s="362">
        <f>IFERROR(VLOOKUP(C120,'تقرير المصروفات حسب الشهر'!$C$261:$AD$368,25,FALSE),0)</f>
        <v>0</v>
      </c>
      <c r="G120" s="362">
        <f>IFERROR(VLOOKUP(C120,'تقرير المصروفات حسب الشهر'!$C$387:$AD$495,25,FALSE),0)</f>
        <v>0</v>
      </c>
      <c r="H120" s="362">
        <f>IFERROR(VLOOKUP(C120,'تقرير المصروفات حسب الشهر'!$C$512:$AD$620,25,FALSE),0)</f>
        <v>0</v>
      </c>
      <c r="I120" s="362">
        <f>IFERROR(VLOOKUP(C120,'تقرير المصروفات حسب الشهر'!$C$637:$AD$746,25,FALSE),0)</f>
        <v>0</v>
      </c>
      <c r="J120" s="362">
        <f>IFERROR(VLOOKUP(C120,'تقرير المصروفات حسب الشهر'!$C$763:$AD$872,25,FALSE),0)</f>
        <v>0</v>
      </c>
      <c r="K120" s="362">
        <f>IFERROR(VLOOKUP(C120,'تقرير المصروفات حسب الشهر'!$C$890:$AD$999,25,FALSE),0)</f>
        <v>0</v>
      </c>
      <c r="L120" s="362">
        <f>IFERROR(VLOOKUP(C120,'تقرير المصروفات حسب الشهر'!$C$1016:$AD$1126,25,FALSE),0)</f>
        <v>0</v>
      </c>
      <c r="M120" s="376">
        <f>IFERROR(VLOOKUP(C120,'تقرير المصروفات حسب الشهر'!$C$1143:$AD$1254,25,FALSE),0)</f>
        <v>0</v>
      </c>
      <c r="N120" s="376">
        <f>IFERROR(VLOOKUP(C120,'تقرير المصروفات حسب الشهر'!$C$1270:$AD$1381,25,FALSE),0)</f>
        <v>0</v>
      </c>
      <c r="O120" s="376">
        <f>IFERROR(VLOOKUP(C120,'تقرير المصروفات حسب الشهر'!$C$1397:$AI$1512,25,FALSE),0)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الشهر'!$C$10:$AD$119,25,FALSE),0)</f>
        <v>0</v>
      </c>
      <c r="E121" s="362">
        <f>IFERROR(VLOOKUP(C121,'تقرير المصروفات حسب الشهر'!$C$135:$AD$244,25,FALSE),0)</f>
        <v>0</v>
      </c>
      <c r="F121" s="362">
        <f>IFERROR(VLOOKUP(C121,'تقرير المصروفات حسب الشهر'!$C$261:$AD$368,25,FALSE),0)</f>
        <v>0</v>
      </c>
      <c r="G121" s="362">
        <f>IFERROR(VLOOKUP(C121,'تقرير المصروفات حسب الشهر'!$C$387:$AD$495,25,FALSE),0)</f>
        <v>0</v>
      </c>
      <c r="H121" s="362">
        <f>IFERROR(VLOOKUP(C121,'تقرير المصروفات حسب الشهر'!$C$512:$AD$620,25,FALSE),0)</f>
        <v>0</v>
      </c>
      <c r="I121" s="362">
        <f>IFERROR(VLOOKUP(C121,'تقرير المصروفات حسب الشهر'!$C$637:$AD$746,25,FALSE),0)</f>
        <v>0</v>
      </c>
      <c r="J121" s="362">
        <f>IFERROR(VLOOKUP(C121,'تقرير المصروفات حسب الشهر'!$C$763:$AD$872,25,FALSE),0)</f>
        <v>0</v>
      </c>
      <c r="K121" s="362">
        <f>IFERROR(VLOOKUP(C121,'تقرير المصروفات حسب الشهر'!$C$890:$AD$999,25,FALSE),0)</f>
        <v>0</v>
      </c>
      <c r="L121" s="362">
        <f>IFERROR(VLOOKUP(C121,'تقرير المصروفات حسب الشهر'!$C$1016:$AD$1126,25,FALSE),0)</f>
        <v>0</v>
      </c>
      <c r="M121" s="376">
        <f>IFERROR(VLOOKUP(C121,'تقرير المصروفات حسب الشهر'!$C$1143:$AD$1254,25,FALSE),0)</f>
        <v>0</v>
      </c>
      <c r="N121" s="376">
        <f>IFERROR(VLOOKUP(C121,'تقرير المصروفات حسب الشهر'!$C$1270:$AD$1381,25,FALSE),0)</f>
        <v>0</v>
      </c>
      <c r="O121" s="376">
        <f>IFERROR(VLOOKUP(C121,'تقرير المصروفات حسب الشهر'!$C$1397:$AI$1512,25,FALSE),0)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الشهر'!$C$10:$AD$119,25,FALSE),0)</f>
        <v>0</v>
      </c>
      <c r="E122" s="362">
        <f>IFERROR(VLOOKUP(C122,'تقرير المصروفات حسب الشهر'!$C$135:$AD$244,25,FALSE),0)</f>
        <v>0</v>
      </c>
      <c r="F122" s="362">
        <f>IFERROR(VLOOKUP(C122,'تقرير المصروفات حسب الشهر'!$C$261:$AD$368,25,FALSE),0)</f>
        <v>0</v>
      </c>
      <c r="G122" s="362">
        <f>IFERROR(VLOOKUP(C122,'تقرير المصروفات حسب الشهر'!$C$387:$AD$495,25,FALSE),0)</f>
        <v>0</v>
      </c>
      <c r="H122" s="362">
        <f>IFERROR(VLOOKUP(C122,'تقرير المصروفات حسب الشهر'!$C$512:$AD$620,25,FALSE),0)</f>
        <v>0</v>
      </c>
      <c r="I122" s="362">
        <f>IFERROR(VLOOKUP(C122,'تقرير المصروفات حسب الشهر'!$C$637:$AD$746,25,FALSE),0)</f>
        <v>0</v>
      </c>
      <c r="J122" s="362">
        <f>IFERROR(VLOOKUP(C122,'تقرير المصروفات حسب الشهر'!$C$763:$AD$872,25,FALSE),0)</f>
        <v>0</v>
      </c>
      <c r="K122" s="362">
        <f>IFERROR(VLOOKUP(C122,'تقرير المصروفات حسب الشهر'!$C$890:$AD$999,25,FALSE),0)</f>
        <v>0</v>
      </c>
      <c r="L122" s="362">
        <f>IFERROR(VLOOKUP(C122,'تقرير المصروفات حسب الشهر'!$C$1016:$AD$1126,25,FALSE),0)</f>
        <v>0</v>
      </c>
      <c r="M122" s="376">
        <f>IFERROR(VLOOKUP(C122,'تقرير المصروفات حسب الشهر'!$C$1143:$AD$1254,25,FALSE),0)</f>
        <v>0</v>
      </c>
      <c r="N122" s="376">
        <f>IFERROR(VLOOKUP(C122,'تقرير المصروفات حسب الشهر'!$C$1270:$AD$1381,25,FALSE),0)</f>
        <v>0</v>
      </c>
      <c r="O122" s="376">
        <f>IFERROR(VLOOKUP(C122,'تقرير المصروفات حسب الشهر'!$C$1397:$AI$1512,25,FALSE),0)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الشهر'!$C$10:$AD$119,25,FALSE),0)</f>
        <v>0</v>
      </c>
      <c r="E123" s="362">
        <f>IFERROR(VLOOKUP(C123,'تقرير المصروفات حسب الشهر'!$C$135:$AD$244,25,FALSE),0)</f>
        <v>0</v>
      </c>
      <c r="F123" s="362">
        <f>IFERROR(VLOOKUP(C123,'تقرير المصروفات حسب الشهر'!$C$261:$AD$368,25,FALSE),0)</f>
        <v>0</v>
      </c>
      <c r="G123" s="362">
        <f>IFERROR(VLOOKUP(C123,'تقرير المصروفات حسب الشهر'!$C$387:$AD$495,25,FALSE),0)</f>
        <v>0</v>
      </c>
      <c r="H123" s="362">
        <f>IFERROR(VLOOKUP(C123,'تقرير المصروفات حسب الشهر'!$C$512:$AD$620,25,FALSE),0)</f>
        <v>0</v>
      </c>
      <c r="I123" s="362">
        <f>IFERROR(VLOOKUP(C123,'تقرير المصروفات حسب الشهر'!$C$637:$AD$746,25,FALSE),0)</f>
        <v>0</v>
      </c>
      <c r="J123" s="362">
        <f>IFERROR(VLOOKUP(C123,'تقرير المصروفات حسب الشهر'!$C$763:$AD$872,25,FALSE),0)</f>
        <v>0</v>
      </c>
      <c r="K123" s="362">
        <f>IFERROR(VLOOKUP(C123,'تقرير المصروفات حسب الشهر'!$C$890:$AD$999,25,FALSE),0)</f>
        <v>0</v>
      </c>
      <c r="L123" s="362">
        <f>IFERROR(VLOOKUP(C123,'تقرير المصروفات حسب الشهر'!$C$1016:$AD$1126,25,FALSE),0)</f>
        <v>0</v>
      </c>
      <c r="M123" s="376">
        <f>IFERROR(VLOOKUP(C123,'تقرير المصروفات حسب الشهر'!$C$1143:$AD$1254,25,FALSE),0)</f>
        <v>0</v>
      </c>
      <c r="N123" s="376">
        <f>IFERROR(VLOOKUP(C123,'تقرير المصروفات حسب الشهر'!$C$1270:$AD$1381,25,FALSE),0)</f>
        <v>0</v>
      </c>
      <c r="O123" s="376">
        <f>IFERROR(VLOOKUP(C123,'تقرير المصروفات حسب الشهر'!$C$1397:$AI$1512,25,FALSE),0)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الشهر'!$C$10:$AD$119,25,FALSE),0)</f>
        <v>0</v>
      </c>
      <c r="E124" s="362">
        <f>IFERROR(VLOOKUP(C124,'تقرير المصروفات حسب الشهر'!$C$135:$AD$244,25,FALSE),0)</f>
        <v>0</v>
      </c>
      <c r="F124" s="362">
        <f>IFERROR(VLOOKUP(C124,'تقرير المصروفات حسب الشهر'!$C$261:$AD$368,25,FALSE),0)</f>
        <v>0</v>
      </c>
      <c r="G124" s="362">
        <f>IFERROR(VLOOKUP(C124,'تقرير المصروفات حسب الشهر'!$C$387:$AD$495,25,FALSE),0)</f>
        <v>0</v>
      </c>
      <c r="H124" s="362">
        <f>IFERROR(VLOOKUP(C124,'تقرير المصروفات حسب الشهر'!$C$512:$AD$620,25,FALSE),0)</f>
        <v>0</v>
      </c>
      <c r="I124" s="362">
        <f>IFERROR(VLOOKUP(C124,'تقرير المصروفات حسب الشهر'!$C$637:$AD$746,25,FALSE),0)</f>
        <v>0</v>
      </c>
      <c r="J124" s="362">
        <f>IFERROR(VLOOKUP(C124,'تقرير المصروفات حسب الشهر'!$C$763:$AD$872,25,FALSE),0)</f>
        <v>0</v>
      </c>
      <c r="K124" s="362">
        <f>IFERROR(VLOOKUP(C124,'تقرير المصروفات حسب الشهر'!$C$890:$AD$999,25,FALSE),0)</f>
        <v>0</v>
      </c>
      <c r="L124" s="362">
        <f>IFERROR(VLOOKUP(C124,'تقرير المصروفات حسب الشهر'!$C$1016:$AD$1126,25,FALSE),0)</f>
        <v>0</v>
      </c>
      <c r="M124" s="376">
        <f>IFERROR(VLOOKUP(C124,'تقرير المصروفات حسب الشهر'!$C$1143:$AD$1254,25,FALSE),0)</f>
        <v>0</v>
      </c>
      <c r="N124" s="376">
        <f>IFERROR(VLOOKUP(C124,'تقرير المصروفات حسب الشهر'!$C$1270:$AD$1381,25,FALSE),0)</f>
        <v>0</v>
      </c>
      <c r="O124" s="376">
        <f>IFERROR(VLOOKUP(C124,'تقرير المصروفات حسب الشهر'!$C$1397:$AI$1512,25,FALSE),0)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الشهر'!$C$10:$AD$119,25,FALSE),0)</f>
        <v>0</v>
      </c>
      <c r="E125" s="362">
        <f>IFERROR(VLOOKUP(C125,'تقرير المصروفات حسب الشهر'!$C$135:$AD$244,25,FALSE),0)</f>
        <v>0</v>
      </c>
      <c r="F125" s="362">
        <f>IFERROR(VLOOKUP(C125,'تقرير المصروفات حسب الشهر'!$C$261:$AD$368,25,FALSE),0)</f>
        <v>0</v>
      </c>
      <c r="G125" s="362">
        <f>IFERROR(VLOOKUP(C125,'تقرير المصروفات حسب الشهر'!$C$387:$AD$495,25,FALSE),0)</f>
        <v>0</v>
      </c>
      <c r="H125" s="362">
        <f>IFERROR(VLOOKUP(C125,'تقرير المصروفات حسب الشهر'!$C$512:$AD$620,25,FALSE),0)</f>
        <v>0</v>
      </c>
      <c r="I125" s="362">
        <f>IFERROR(VLOOKUP(C125,'تقرير المصروفات حسب الشهر'!$C$637:$AD$746,25,FALSE),0)</f>
        <v>0</v>
      </c>
      <c r="J125" s="362">
        <f>IFERROR(VLOOKUP(C125,'تقرير المصروفات حسب الشهر'!$C$763:$AD$872,25,FALSE),0)</f>
        <v>0</v>
      </c>
      <c r="K125" s="362">
        <f>IFERROR(VLOOKUP(C125,'تقرير المصروفات حسب الشهر'!$C$890:$AD$999,25,FALSE),0)</f>
        <v>0</v>
      </c>
      <c r="L125" s="362">
        <f>IFERROR(VLOOKUP(C125,'تقرير المصروفات حسب الشهر'!$C$1016:$AD$1126,25,FALSE),0)</f>
        <v>0</v>
      </c>
      <c r="M125" s="376">
        <f>IFERROR(VLOOKUP(C125,'تقرير المصروفات حسب الشهر'!$C$1143:$AD$1254,25,FALSE),0)</f>
        <v>0</v>
      </c>
      <c r="N125" s="376">
        <f>IFERROR(VLOOKUP(C125,'تقرير المصروفات حسب الشهر'!$C$1270:$AD$1381,25,FALSE),0)</f>
        <v>0</v>
      </c>
      <c r="O125" s="376">
        <f>IFERROR(VLOOKUP(C125,'تقرير المصروفات حسب الشهر'!$C$1397:$AI$1512,25,FALSE),0)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الشهر'!$C$10:$AD$119,25,FALSE),0)</f>
        <v>0</v>
      </c>
      <c r="E126" s="362">
        <f>IFERROR(VLOOKUP(C126,'تقرير المصروفات حسب الشهر'!$C$135:$AD$244,25,FALSE),0)</f>
        <v>0</v>
      </c>
      <c r="F126" s="362">
        <f>IFERROR(VLOOKUP(C126,'تقرير المصروفات حسب الشهر'!$C$261:$AD$368,25,FALSE),0)</f>
        <v>0</v>
      </c>
      <c r="G126" s="362">
        <f>IFERROR(VLOOKUP(C126,'تقرير المصروفات حسب الشهر'!$C$387:$AD$495,25,FALSE),0)</f>
        <v>0</v>
      </c>
      <c r="H126" s="362">
        <f>IFERROR(VLOOKUP(C126,'تقرير المصروفات حسب الشهر'!$C$512:$AD$620,25,FALSE),0)</f>
        <v>0</v>
      </c>
      <c r="I126" s="362">
        <f>IFERROR(VLOOKUP(C126,'تقرير المصروفات حسب الشهر'!$C$637:$AD$746,25,FALSE),0)</f>
        <v>0</v>
      </c>
      <c r="J126" s="362">
        <f>IFERROR(VLOOKUP(C126,'تقرير المصروفات حسب الشهر'!$C$763:$AD$872,25,FALSE),0)</f>
        <v>0</v>
      </c>
      <c r="K126" s="362">
        <f>IFERROR(VLOOKUP(C126,'تقرير المصروفات حسب الشهر'!$C$890:$AD$999,25,FALSE),0)</f>
        <v>0</v>
      </c>
      <c r="L126" s="362">
        <f>IFERROR(VLOOKUP(C126,'تقرير المصروفات حسب الشهر'!$C$1016:$AD$1126,25,FALSE),0)</f>
        <v>0</v>
      </c>
      <c r="M126" s="376">
        <f>IFERROR(VLOOKUP(C126,'تقرير المصروفات حسب الشهر'!$C$1143:$AD$1254,25,FALSE),0)</f>
        <v>0</v>
      </c>
      <c r="N126" s="376">
        <f>IFERROR(VLOOKUP(C126,'تقرير المصروفات حسب الشهر'!$C$1270:$AD$1381,25,FALSE),0)</f>
        <v>0</v>
      </c>
      <c r="O126" s="376">
        <f>IFERROR(VLOOKUP(C126,'تقرير المصروفات حسب الشهر'!$C$1397:$AI$1512,25,FALSE),0)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الشهر'!$C$10:$AD$119,25,FALSE),0)</f>
        <v>0</v>
      </c>
      <c r="E127" s="362">
        <f>IFERROR(VLOOKUP(C127,'تقرير المصروفات حسب الشهر'!$C$135:$AD$244,25,FALSE),0)</f>
        <v>0</v>
      </c>
      <c r="F127" s="362">
        <f>IFERROR(VLOOKUP(C127,'تقرير المصروفات حسب الشهر'!$C$261:$AD$368,25,FALSE),0)</f>
        <v>0</v>
      </c>
      <c r="G127" s="362">
        <f>IFERROR(VLOOKUP(C127,'تقرير المصروفات حسب الشهر'!$C$387:$AD$495,25,FALSE),0)</f>
        <v>0</v>
      </c>
      <c r="H127" s="362">
        <f>IFERROR(VLOOKUP(C127,'تقرير المصروفات حسب الشهر'!$C$512:$AD$620,25,FALSE),0)</f>
        <v>0</v>
      </c>
      <c r="I127" s="362">
        <f>IFERROR(VLOOKUP(C127,'تقرير المصروفات حسب الشهر'!$C$637:$AD$746,25,FALSE),0)</f>
        <v>0</v>
      </c>
      <c r="J127" s="362">
        <f>IFERROR(VLOOKUP(C127,'تقرير المصروفات حسب الشهر'!$C$763:$AD$872,25,FALSE),0)</f>
        <v>0</v>
      </c>
      <c r="K127" s="362">
        <f>IFERROR(VLOOKUP(C127,'تقرير المصروفات حسب الشهر'!$C$890:$AD$999,25,FALSE),0)</f>
        <v>0</v>
      </c>
      <c r="L127" s="362">
        <f>IFERROR(VLOOKUP(C127,'تقرير المصروفات حسب الشهر'!$C$1016:$AD$1126,25,FALSE),0)</f>
        <v>0</v>
      </c>
      <c r="M127" s="376">
        <f>IFERROR(VLOOKUP(C127,'تقرير المصروفات حسب الشهر'!$C$1143:$AD$1254,25,FALSE),0)</f>
        <v>0</v>
      </c>
      <c r="N127" s="376">
        <f>IFERROR(VLOOKUP(C127,'تقرير المصروفات حسب الشهر'!$C$1270:$AD$1381,25,FALSE),0)</f>
        <v>0</v>
      </c>
      <c r="O127" s="376">
        <f>IFERROR(VLOOKUP(C127,'تقرير المصروفات حسب الشهر'!$C$1397:$AI$1512,25,FALSE),0)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الشهر'!$C$10:$AD$119,25,FALSE),0)</f>
        <v>0</v>
      </c>
      <c r="E128" s="362">
        <f>IFERROR(VLOOKUP(C128,'تقرير المصروفات حسب الشهر'!$C$135:$AD$244,25,FALSE),0)</f>
        <v>0</v>
      </c>
      <c r="F128" s="362">
        <f>IFERROR(VLOOKUP(C128,'تقرير المصروفات حسب الشهر'!$C$261:$AD$368,25,FALSE),0)</f>
        <v>0</v>
      </c>
      <c r="G128" s="362">
        <f>IFERROR(VLOOKUP(C128,'تقرير المصروفات حسب الشهر'!$C$387:$AD$495,25,FALSE),0)</f>
        <v>0</v>
      </c>
      <c r="H128" s="362">
        <f>IFERROR(VLOOKUP(C128,'تقرير المصروفات حسب الشهر'!$C$512:$AD$620,25,FALSE),0)</f>
        <v>0</v>
      </c>
      <c r="I128" s="362">
        <f>IFERROR(VLOOKUP(C128,'تقرير المصروفات حسب الشهر'!$C$637:$AD$746,25,FALSE),0)</f>
        <v>0</v>
      </c>
      <c r="J128" s="362">
        <f>IFERROR(VLOOKUP(C128,'تقرير المصروفات حسب الشهر'!$C$763:$AD$872,25,FALSE),0)</f>
        <v>0</v>
      </c>
      <c r="K128" s="362">
        <f>IFERROR(VLOOKUP(C128,'تقرير المصروفات حسب الشهر'!$C$890:$AD$999,25,FALSE),0)</f>
        <v>0</v>
      </c>
      <c r="L128" s="362">
        <f>IFERROR(VLOOKUP(C128,'تقرير المصروفات حسب الشهر'!$C$1016:$AD$1126,25,FALSE),0)</f>
        <v>0</v>
      </c>
      <c r="M128" s="376">
        <f>IFERROR(VLOOKUP(C128,'تقرير المصروفات حسب الشهر'!$C$1143:$AD$1254,25,FALSE),0)</f>
        <v>0</v>
      </c>
      <c r="N128" s="376">
        <f>IFERROR(VLOOKUP(C128,'تقرير المصروفات حسب الشهر'!$C$1270:$AD$1381,25,FALSE),0)</f>
        <v>0</v>
      </c>
      <c r="O128" s="376">
        <f>IFERROR(VLOOKUP(C128,'تقرير المصروفات حسب الشهر'!$C$1397:$AI$1512,25,FALSE),0)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الشهر'!$C$10:$AD$119,25,FALSE),0)</f>
        <v>431.25</v>
      </c>
      <c r="E129" s="362">
        <f>IFERROR(VLOOKUP(C129,'تقرير المصروفات حسب الشهر'!$C$135:$AD$244,25,FALSE),0)</f>
        <v>431.25</v>
      </c>
      <c r="F129" s="362">
        <f>IFERROR(VLOOKUP(C129,'تقرير المصروفات حسب الشهر'!$C$261:$AD$368,25,FALSE),0)</f>
        <v>431.25</v>
      </c>
      <c r="G129" s="362">
        <f>IFERROR(VLOOKUP(C129,'تقرير المصروفات حسب الشهر'!$C$387:$AD$495,25,FALSE),0)</f>
        <v>431.25</v>
      </c>
      <c r="H129" s="362">
        <f>IFERROR(VLOOKUP(C129,'تقرير المصروفات حسب الشهر'!$C$512:$AD$620,25,FALSE),0)</f>
        <v>431.25</v>
      </c>
      <c r="I129" s="362">
        <f>IFERROR(VLOOKUP(C129,'تقرير المصروفات حسب الشهر'!$C$637:$AD$746,25,FALSE),0)</f>
        <v>431</v>
      </c>
      <c r="J129" s="362">
        <f>IFERROR(VLOOKUP(C129,'تقرير المصروفات حسب الشهر'!$C$763:$AD$872,25,FALSE),0)</f>
        <v>431.25</v>
      </c>
      <c r="K129" s="362">
        <f>IFERROR(VLOOKUP(C129,'تقرير المصروفات حسب الشهر'!$C$890:$AD$999,25,FALSE),0)</f>
        <v>431.25</v>
      </c>
      <c r="L129" s="362">
        <f>IFERROR(VLOOKUP(C129,'تقرير المصروفات حسب الشهر'!$C$1016:$AD$1126,25,FALSE),0)</f>
        <v>431.25</v>
      </c>
      <c r="M129" s="376">
        <f>IFERROR(VLOOKUP(C129,'تقرير المصروفات حسب الشهر'!$C$1143:$AD$1254,25,FALSE),0)</f>
        <v>431.25</v>
      </c>
      <c r="N129" s="376">
        <f>IFERROR(VLOOKUP(C129,'تقرير المصروفات حسب الشهر'!$C$1270:$AD$1381,25,FALSE),0)</f>
        <v>431.25</v>
      </c>
      <c r="O129" s="376">
        <f>IFERROR(VLOOKUP(C129,'تقرير المصروفات حسب الشهر'!$C$1397:$AI$1512,25,FALSE),0)</f>
        <v>431.25</v>
      </c>
      <c r="P129" s="364">
        <f t="shared" si="6"/>
        <v>5174.75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الشهر'!$C$10:$AD$119,25,FALSE),0)</f>
        <v>0</v>
      </c>
      <c r="E130" s="362">
        <f>IFERROR(VLOOKUP(C130,'تقرير المصروفات حسب الشهر'!$C$135:$AD$244,25,FALSE),0)</f>
        <v>0</v>
      </c>
      <c r="F130" s="362">
        <f>IFERROR(VLOOKUP(C130,'تقرير المصروفات حسب الشهر'!$C$261:$AD$368,25,FALSE),0)</f>
        <v>0</v>
      </c>
      <c r="G130" s="362">
        <f>IFERROR(VLOOKUP(C130,'تقرير المصروفات حسب الشهر'!$C$387:$AD$495,25,FALSE),0)</f>
        <v>0</v>
      </c>
      <c r="H130" s="362">
        <f>IFERROR(VLOOKUP(C130,'تقرير المصروفات حسب الشهر'!$C$512:$AD$620,25,FALSE),0)</f>
        <v>0</v>
      </c>
      <c r="I130" s="362">
        <f>IFERROR(VLOOKUP(C130,'تقرير المصروفات حسب الشهر'!$C$637:$AD$746,25,FALSE),0)</f>
        <v>0</v>
      </c>
      <c r="J130" s="362">
        <f>IFERROR(VLOOKUP(C130,'تقرير المصروفات حسب الشهر'!$C$763:$AD$872,25,FALSE),0)</f>
        <v>0</v>
      </c>
      <c r="K130" s="362">
        <f>IFERROR(VLOOKUP(C130,'تقرير المصروفات حسب الشهر'!$C$890:$AD$999,25,FALSE),0)</f>
        <v>0</v>
      </c>
      <c r="L130" s="362">
        <f>IFERROR(VLOOKUP(C130,'تقرير المصروفات حسب الشهر'!$C$1016:$AD$1126,25,FALSE),0)</f>
        <v>0</v>
      </c>
      <c r="M130" s="376">
        <f>IFERROR(VLOOKUP(C130,'تقرير المصروفات حسب الشهر'!$C$1143:$AD$1254,25,FALSE),0)</f>
        <v>0</v>
      </c>
      <c r="N130" s="376">
        <f>IFERROR(VLOOKUP(C130,'تقرير المصروفات حسب الشهر'!$C$1270:$AD$1381,25,FALSE),0)</f>
        <v>0</v>
      </c>
      <c r="O130" s="376">
        <f>IFERROR(VLOOKUP(C130,'تقرير المصروفات حسب الشهر'!$C$1397:$AI$1512,25,FALSE),0)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الشهر'!$C$10:$AD$119,25,FALSE),0)</f>
        <v>0</v>
      </c>
      <c r="E131" s="362">
        <f>IFERROR(VLOOKUP(C131,'تقرير المصروفات حسب الشهر'!$C$135:$AD$244,25,FALSE),0)</f>
        <v>0</v>
      </c>
      <c r="F131" s="362">
        <f>IFERROR(VLOOKUP(C131,'تقرير المصروفات حسب الشهر'!$C$261:$AD$368,25,FALSE),0)</f>
        <v>0</v>
      </c>
      <c r="G131" s="362">
        <f>IFERROR(VLOOKUP(C131,'تقرير المصروفات حسب الشهر'!$C$387:$AD$495,25,FALSE),0)</f>
        <v>0</v>
      </c>
      <c r="H131" s="362">
        <f>IFERROR(VLOOKUP(C131,'تقرير المصروفات حسب الشهر'!$C$512:$AD$620,25,FALSE),0)</f>
        <v>0</v>
      </c>
      <c r="I131" s="362">
        <f>IFERROR(VLOOKUP(C131,'تقرير المصروفات حسب الشهر'!$C$637:$AD$746,25,FALSE),0)</f>
        <v>0</v>
      </c>
      <c r="J131" s="362">
        <f>IFERROR(VLOOKUP(C131,'تقرير المصروفات حسب الشهر'!$C$763:$AD$872,25,FALSE),0)</f>
        <v>0</v>
      </c>
      <c r="K131" s="362">
        <f>IFERROR(VLOOKUP(C131,'تقرير المصروفات حسب الشهر'!$C$890:$AD$999,25,FALSE),0)</f>
        <v>0</v>
      </c>
      <c r="L131" s="362">
        <f>IFERROR(VLOOKUP(C131,'تقرير المصروفات حسب الشهر'!$C$1016:$AD$1126,25,FALSE),0)</f>
        <v>0</v>
      </c>
      <c r="M131" s="376">
        <f>IFERROR(VLOOKUP(C131,'تقرير المصروفات حسب الشهر'!$C$1143:$AD$1254,25,FALSE),0)</f>
        <v>0</v>
      </c>
      <c r="N131" s="376">
        <f>IFERROR(VLOOKUP(C131,'تقرير المصروفات حسب الشهر'!$C$1270:$AD$1381,25,FALSE),0)</f>
        <v>0</v>
      </c>
      <c r="O131" s="376">
        <f>IFERROR(VLOOKUP(C131,'تقرير المصروفات حسب الشهر'!$C$1397:$AI$1512,25,FALSE),0)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43629.43</v>
      </c>
      <c r="E132" s="146">
        <f t="shared" si="7"/>
        <v>21840.510000000002</v>
      </c>
      <c r="F132" s="146">
        <f t="shared" si="7"/>
        <v>10999.03</v>
      </c>
      <c r="G132" s="146">
        <f t="shared" si="7"/>
        <v>46748.53</v>
      </c>
      <c r="H132" s="146">
        <f t="shared" si="7"/>
        <v>12412.550000000001</v>
      </c>
      <c r="I132" s="146">
        <f t="shared" si="7"/>
        <v>17299.47</v>
      </c>
      <c r="J132" s="146">
        <f t="shared" si="7"/>
        <v>44022.880000000005</v>
      </c>
      <c r="K132" s="146">
        <f t="shared" si="7"/>
        <v>12099.51</v>
      </c>
      <c r="L132" s="146">
        <f t="shared" si="7"/>
        <v>12721.25</v>
      </c>
      <c r="M132" s="146">
        <f t="shared" si="7"/>
        <v>34900.299999999996</v>
      </c>
      <c r="N132" s="146">
        <f t="shared" si="7"/>
        <v>24035.5</v>
      </c>
      <c r="O132" s="146">
        <f t="shared" si="7"/>
        <v>20001.27</v>
      </c>
      <c r="P132" s="388">
        <f t="shared" si="6"/>
        <v>300710.23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40615.180000000051</v>
      </c>
      <c r="E134" s="392">
        <f t="shared" si="8"/>
        <v>44310.369999999995</v>
      </c>
      <c r="F134" s="392">
        <f t="shared" si="8"/>
        <v>42382.390000000014</v>
      </c>
      <c r="G134" s="392">
        <f t="shared" si="8"/>
        <v>42626.829999999987</v>
      </c>
      <c r="H134" s="392">
        <f t="shared" si="8"/>
        <v>92776.339999999982</v>
      </c>
      <c r="I134" s="392">
        <f t="shared" si="8"/>
        <v>47377.530000000028</v>
      </c>
      <c r="J134" s="392">
        <f t="shared" si="8"/>
        <v>52635.289999999979</v>
      </c>
      <c r="K134" s="392">
        <f t="shared" si="8"/>
        <v>56920</v>
      </c>
      <c r="L134" s="392">
        <f t="shared" si="8"/>
        <v>54182.199999999924</v>
      </c>
      <c r="M134" s="392">
        <f t="shared" si="8"/>
        <v>139258.07</v>
      </c>
      <c r="N134" s="392">
        <f t="shared" si="8"/>
        <v>60679.5</v>
      </c>
      <c r="O134" s="392">
        <f t="shared" si="8"/>
        <v>56378.599999999948</v>
      </c>
      <c r="P134" s="388">
        <f t="shared" si="6"/>
        <v>730142.29999999993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-3014.2499999999491</v>
      </c>
      <c r="E137" s="383">
        <f t="shared" ref="E137:O137" si="9">E134-E132</f>
        <v>22469.859999999993</v>
      </c>
      <c r="F137" s="383">
        <f t="shared" si="9"/>
        <v>31383.360000000015</v>
      </c>
      <c r="G137" s="383">
        <f t="shared" si="9"/>
        <v>-4121.7000000000116</v>
      </c>
      <c r="H137" s="383">
        <f t="shared" si="9"/>
        <v>80363.789999999979</v>
      </c>
      <c r="I137" s="383">
        <f t="shared" si="9"/>
        <v>30078.060000000027</v>
      </c>
      <c r="J137" s="383">
        <f t="shared" si="9"/>
        <v>8612.4099999999744</v>
      </c>
      <c r="K137" s="383">
        <f t="shared" si="9"/>
        <v>44820.49</v>
      </c>
      <c r="L137" s="383">
        <f t="shared" si="9"/>
        <v>41460.949999999924</v>
      </c>
      <c r="M137" s="383">
        <f t="shared" si="9"/>
        <v>104357.77000000002</v>
      </c>
      <c r="N137" s="383">
        <f t="shared" si="9"/>
        <v>36644</v>
      </c>
      <c r="O137" s="383">
        <f t="shared" si="9"/>
        <v>36377.329999999944</v>
      </c>
      <c r="P137" s="387">
        <f>SUM(D137:O137)</f>
        <v>429432.06999999995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G141" s="233">
        <v>-4121.7</v>
      </c>
    </row>
    <row r="142" spans="1:17">
      <c r="G142" s="415">
        <f>G141-G137</f>
        <v>1.1823431123048067E-11</v>
      </c>
    </row>
    <row r="143" spans="1:17">
      <c r="N143" s="238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58">
    <tabColor rgb="FFFFC000"/>
  </sheetPr>
  <dimension ref="A1:T140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336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233</v>
      </c>
      <c r="B8" s="390"/>
      <c r="C8" s="369" t="s">
        <v>114</v>
      </c>
      <c r="D8" s="364">
        <f>D9+D10+D11</f>
        <v>540865.24</v>
      </c>
      <c r="E8" s="364">
        <f t="shared" ref="E8:O8" si="0">E9+E10+E11</f>
        <v>645490.28</v>
      </c>
      <c r="F8" s="364">
        <f t="shared" si="0"/>
        <v>364791.32</v>
      </c>
      <c r="G8" s="364">
        <f t="shared" si="0"/>
        <v>515800.31</v>
      </c>
      <c r="H8" s="364">
        <f t="shared" si="0"/>
        <v>588594.11</v>
      </c>
      <c r="I8" s="364">
        <f t="shared" si="0"/>
        <v>591761.80000000005</v>
      </c>
      <c r="J8" s="364">
        <f t="shared" si="0"/>
        <v>644019.15</v>
      </c>
      <c r="K8" s="364">
        <f t="shared" si="0"/>
        <v>685826.19000000006</v>
      </c>
      <c r="L8" s="364">
        <f t="shared" si="0"/>
        <v>750931.74</v>
      </c>
      <c r="M8" s="364">
        <f t="shared" si="0"/>
        <v>604894.57000000007</v>
      </c>
      <c r="N8" s="364">
        <f t="shared" si="0"/>
        <v>609646.52</v>
      </c>
      <c r="O8" s="364">
        <f t="shared" si="0"/>
        <v>598132.64</v>
      </c>
      <c r="P8" s="364">
        <f>SUM(D8:O8)</f>
        <v>7140753.8700000001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المبيعات'!$B$7:$L$31,2,FALSE)</f>
        <v>38721.559999999976</v>
      </c>
      <c r="E9" s="365">
        <f>VLOOKUP($A$8,'تقرير إحصائية بحجم المبيعات'!$B$42:$G$73,2,FALSE)</f>
        <v>42696.349999999977</v>
      </c>
      <c r="F9" s="365">
        <f>VLOOKUP($A$8,'تقرير إحصائية بحجم المبيعات'!$B$78:$E$103,2,FALSE)</f>
        <v>30861.130000000005</v>
      </c>
      <c r="G9" s="365">
        <f>VLOOKUP($A$8,'تقرير إحصائية بحجم المبيعات'!$B$112:$G$137,2,FALSE)</f>
        <v>56211.17</v>
      </c>
      <c r="H9" s="365">
        <f>VLOOKUP($A$8,'تقرير إحصائية بحجم المبيعات'!$B$147:$G$177,2,FALSE)</f>
        <v>72914</v>
      </c>
      <c r="I9" s="365">
        <f>VLOOKUP($A$8,'تقرير إحصائية بحجم المبيعات'!$B$182:$G$212,2,FALSE)</f>
        <v>77093.780000000028</v>
      </c>
      <c r="J9" s="365">
        <f>VLOOKUP($A$8,'تقرير إحصائية بحجم المبيعات'!$B$217:$L$243,2,FALSE)</f>
        <v>70270.989999999991</v>
      </c>
      <c r="K9" s="365">
        <f>VLOOKUP($A$8,'تقرير إحصائية بحجم المبيعات'!$B$252:$L$278,2,FALSE)</f>
        <v>49883.770000000019</v>
      </c>
      <c r="L9" s="365">
        <f>VLOOKUP($A$8,'تقرير إحصائية بحجم المبيعات'!$B$287:$L$313,2,FALSE)</f>
        <v>104680.38</v>
      </c>
      <c r="M9" s="365">
        <f>VLOOKUP($A$8,'تقرير إحصائية بحجم المبيعات'!$B$322:$L$347,2,FALSE)</f>
        <v>63689.970000000088</v>
      </c>
      <c r="N9" s="365">
        <f>VLOOKUP($A$8,'تقرير إحصائية بحجم المبيعات'!$B$357:$L$383,2,FALSE)</f>
        <v>39168.830000000075</v>
      </c>
      <c r="O9" s="365">
        <f>VLOOKUP($A$8,'تقرير إحصائية بحجم المبيعات'!$B$391:$L$420,2,FALSE)</f>
        <v>63035.579999999958</v>
      </c>
      <c r="P9" s="364">
        <f t="shared" ref="P9:P18" si="1">SUM(D9:O9)</f>
        <v>709227.51000000013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المبيعات'!$B$7:$L$31,3,FALSE)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المبيعات'!$B$7:$L$31,4,FALSE)</f>
        <v>502143.68</v>
      </c>
      <c r="E11" s="365">
        <f>VLOOKUP($A$8,'تقرير إحصائية بحجم المبيعات'!$B$42:$G$73,4,FALSE)</f>
        <v>602793.93000000005</v>
      </c>
      <c r="F11" s="365">
        <f>VLOOKUP($A$8,'تقرير إحصائية بحجم المبيعات'!$B$78:$E$103,4,FALSE)</f>
        <v>333930.19</v>
      </c>
      <c r="G11" s="365">
        <f>VLOOKUP($A$8,'تقرير إحصائية بحجم المبيعات'!$B$112:$G$137,4,FALSE)</f>
        <v>459589.14</v>
      </c>
      <c r="H11" s="365">
        <f>VLOOKUP($A$8,'تقرير إحصائية بحجم المبيعات'!$B$147:$G$177,4,FALSE)</f>
        <v>515680.11</v>
      </c>
      <c r="I11" s="365">
        <f>VLOOKUP($A$8,'تقرير إحصائية بحجم المبيعات'!$B$182:$G$212,4,FALSE)</f>
        <v>514668.02</v>
      </c>
      <c r="J11" s="365">
        <f>VLOOKUP($A$8,'تقرير إحصائية بحجم المبيعات'!$B$217:$L$243,4,FALSE)</f>
        <v>573748.16</v>
      </c>
      <c r="K11" s="365">
        <f>VLOOKUP($A$8,'تقرير إحصائية بحجم المبيعات'!$B$252:$L$278,4,FALSE)</f>
        <v>635942.42000000004</v>
      </c>
      <c r="L11" s="365">
        <f>VLOOKUP($A$8,'تقرير إحصائية بحجم المبيعات'!$B$287:$L$313,4,FALSE)</f>
        <v>646251.36</v>
      </c>
      <c r="M11" s="365">
        <f>VLOOKUP($A$8,'تقرير إحصائية بحجم المبيعات'!$B$322:$L$347,4,FALSE)</f>
        <v>541204.6</v>
      </c>
      <c r="N11" s="365">
        <f>VLOOKUP($A$8,'تقرير إحصائية بحجم المبيعات'!$B$357:$L$383,4,FALSE)</f>
        <v>570477.68999999994</v>
      </c>
      <c r="O11" s="365">
        <f>VLOOKUP($A$8,'تقرير إحصائية بحجم المبيعات'!$B$391:$L$420,4,FALSE)</f>
        <v>535097.06000000006</v>
      </c>
      <c r="P11" s="364">
        <f t="shared" si="1"/>
        <v>6431526.3599999994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المبيعات'!$B$7:$L$31,11,FALSE)</f>
        <v>459820.05</v>
      </c>
      <c r="E12" s="364">
        <f>VLOOKUP($A$8,'تقرير إحصائية بحجم المبيعات'!$B$42:$L$73,11,FALSE)</f>
        <v>544480.55000000005</v>
      </c>
      <c r="F12" s="364">
        <f>VLOOKUP($A$8,'تقرير إحصائية بحجم المبيعات'!$B$78:$L$103,11,FALSE)</f>
        <v>314272.56</v>
      </c>
      <c r="G12" s="364">
        <f>VLOOKUP($A$8,'تقرير إحصائية بحجم المبيعات'!$B$112:$L$137,11,FALSE)</f>
        <v>438164.85</v>
      </c>
      <c r="H12" s="364">
        <f>VLOOKUP($A$8,'تقرير إحصائية بحجم المبيعات'!$B$147:$L$177,11,FALSE)</f>
        <v>502425.41</v>
      </c>
      <c r="I12" s="364">
        <f>VLOOKUP($A$8,'تقرير إحصائية بحجم المبيعات'!$B$182:$L$212,11,FALSE)</f>
        <v>494791.74</v>
      </c>
      <c r="J12" s="365">
        <f>VLOOKUP($A$8,'تقرير إحصائية بحجم المبيعات'!$B$217:$L$243,11,FALSE)</f>
        <v>545437.46</v>
      </c>
      <c r="K12" s="364">
        <f>VLOOKUP($A$8,'تقرير إحصائية بحجم المبيعات'!$B$252:$L$278,11,FALSE)</f>
        <v>580895.16</v>
      </c>
      <c r="L12" s="364">
        <f>VLOOKUP($A$8,'تقرير إحصائية بحجم المبيعات'!$B$287:$L$313,11,FALSE)</f>
        <v>638812.31999999995</v>
      </c>
      <c r="M12" s="365">
        <f>VLOOKUP($A$8,'تقرير إحصائية بحجم المبيعات'!$B$322:$L$347,11,FALSE)</f>
        <v>501767.54</v>
      </c>
      <c r="N12" s="365">
        <f>VLOOKUP($A$8,'تقرير إحصائية بحجم المبيعات'!$B$357:$L$383,11,FALSE)</f>
        <v>504203.44</v>
      </c>
      <c r="O12" s="365">
        <f>VLOOKUP($A$8,'تقرير إحصائية بحجم المبيعات'!$B$391:$L$420,11,FALSE)</f>
        <v>500030.02</v>
      </c>
      <c r="P12" s="364">
        <f t="shared" si="1"/>
        <v>6025101.1000000015</v>
      </c>
    </row>
    <row r="13" spans="1:20" ht="18" customHeight="1">
      <c r="B13" s="124"/>
      <c r="C13" s="371" t="s">
        <v>14</v>
      </c>
      <c r="D13" s="366">
        <f t="shared" ref="D13:O13" si="2">D8-D12</f>
        <v>81045.19</v>
      </c>
      <c r="E13" s="366">
        <f t="shared" si="2"/>
        <v>101009.72999999998</v>
      </c>
      <c r="F13" s="366">
        <f t="shared" si="2"/>
        <v>50518.760000000009</v>
      </c>
      <c r="G13" s="366">
        <f t="shared" si="2"/>
        <v>77635.460000000021</v>
      </c>
      <c r="H13" s="366">
        <f t="shared" si="2"/>
        <v>86168.700000000012</v>
      </c>
      <c r="I13" s="366">
        <f t="shared" si="2"/>
        <v>96970.060000000056</v>
      </c>
      <c r="J13" s="366">
        <f t="shared" si="2"/>
        <v>98581.690000000061</v>
      </c>
      <c r="K13" s="366">
        <f t="shared" si="2"/>
        <v>104931.03000000003</v>
      </c>
      <c r="L13" s="366">
        <f t="shared" si="2"/>
        <v>112119.42000000004</v>
      </c>
      <c r="M13" s="366">
        <f t="shared" si="2"/>
        <v>103127.03000000009</v>
      </c>
      <c r="N13" s="366">
        <f t="shared" si="2"/>
        <v>105443.08000000002</v>
      </c>
      <c r="O13" s="366">
        <f t="shared" si="2"/>
        <v>98102.62</v>
      </c>
      <c r="P13" s="366">
        <f t="shared" si="1"/>
        <v>1115652.7700000005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>
        <v>951.26</v>
      </c>
      <c r="E16" s="367"/>
      <c r="F16" s="367"/>
      <c r="G16" s="367"/>
      <c r="H16" s="367"/>
      <c r="I16" s="367">
        <v>6818.35</v>
      </c>
      <c r="J16" s="367"/>
      <c r="K16" s="367">
        <v>15504.4</v>
      </c>
      <c r="L16" s="367"/>
      <c r="M16" s="367"/>
      <c r="N16" s="367">
        <v>17473.22</v>
      </c>
      <c r="O16" s="367"/>
      <c r="P16" s="364">
        <f t="shared" si="1"/>
        <v>40747.230000000003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951.26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0</v>
      </c>
      <c r="I18" s="363">
        <f t="shared" si="3"/>
        <v>6818.35</v>
      </c>
      <c r="J18" s="363">
        <f t="shared" si="3"/>
        <v>0</v>
      </c>
      <c r="K18" s="363">
        <f t="shared" si="3"/>
        <v>15504.4</v>
      </c>
      <c r="L18" s="363">
        <f t="shared" si="3"/>
        <v>0</v>
      </c>
      <c r="M18" s="368">
        <f t="shared" si="3"/>
        <v>0</v>
      </c>
      <c r="N18" s="368">
        <f t="shared" si="3"/>
        <v>17473.22</v>
      </c>
      <c r="O18" s="368">
        <f t="shared" si="3"/>
        <v>0</v>
      </c>
      <c r="P18" s="364">
        <f t="shared" si="1"/>
        <v>40747.230000000003</v>
      </c>
    </row>
    <row r="19" spans="2:16" ht="18" customHeight="1">
      <c r="B19" s="124"/>
      <c r="C19" s="386" t="s">
        <v>14</v>
      </c>
      <c r="D19" s="374">
        <f t="shared" ref="D19:O19" si="4">D13+D18</f>
        <v>81996.45</v>
      </c>
      <c r="E19" s="374">
        <f t="shared" si="4"/>
        <v>101009.72999999998</v>
      </c>
      <c r="F19" s="374">
        <f t="shared" si="4"/>
        <v>50518.760000000009</v>
      </c>
      <c r="G19" s="374">
        <f t="shared" si="4"/>
        <v>77635.460000000021</v>
      </c>
      <c r="H19" s="374">
        <f t="shared" si="4"/>
        <v>86168.700000000012</v>
      </c>
      <c r="I19" s="374">
        <f t="shared" si="4"/>
        <v>103788.41000000006</v>
      </c>
      <c r="J19" s="374">
        <f t="shared" si="4"/>
        <v>98581.690000000061</v>
      </c>
      <c r="K19" s="374">
        <f t="shared" si="4"/>
        <v>120435.43000000002</v>
      </c>
      <c r="L19" s="374">
        <f t="shared" si="4"/>
        <v>112119.42000000004</v>
      </c>
      <c r="M19" s="374">
        <f t="shared" si="4"/>
        <v>103127.03000000009</v>
      </c>
      <c r="N19" s="374">
        <f t="shared" si="4"/>
        <v>122916.30000000002</v>
      </c>
      <c r="O19" s="374">
        <f t="shared" si="4"/>
        <v>98102.62</v>
      </c>
      <c r="P19" s="382">
        <f>SUM(D19:O19)</f>
        <v>1156400.0000000005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الشهر'!$C$10:$AD$119,26,FALSE),0)</f>
        <v>0</v>
      </c>
      <c r="E22" s="362">
        <f>IFERROR(VLOOKUP(C22,'تقرير المصروفات حسب الشهر'!$C$135:$AD$244,26,FALSE),0)</f>
        <v>0</v>
      </c>
      <c r="F22" s="362">
        <f>IFERROR(VLOOKUP(C22,'تقرير المصروفات حسب الشهر'!$C$261:$AD$368,26,FALSE),0)</f>
        <v>0</v>
      </c>
      <c r="G22" s="362">
        <f>IFERROR(VLOOKUP(C22,'تقرير المصروفات حسب الشهر'!$C$387:$AD$495,26,FALSE),0)</f>
        <v>0</v>
      </c>
      <c r="H22" s="362">
        <f>IFERROR(VLOOKUP(C22,'تقرير المصروفات حسب الشهر'!$C$512:$AD$620,26,FALSE),0)</f>
        <v>0</v>
      </c>
      <c r="I22" s="362">
        <f>IFERROR(VLOOKUP(C22,'تقرير المصروفات حسب الشهر'!$C$637:$AD$746,26,FALSE),0)</f>
        <v>0</v>
      </c>
      <c r="J22" s="362">
        <f>IFERROR(VLOOKUP(C22,'تقرير المصروفات حسب الشهر'!$C$763:$AD$872,26,FALSE),0)</f>
        <v>0</v>
      </c>
      <c r="K22" s="362">
        <f>IFERROR(VLOOKUP(C22,'تقرير المصروفات حسب الشهر'!$C$890:$AD$999,26,FALSE),0)</f>
        <v>0</v>
      </c>
      <c r="L22" s="362">
        <f>IFERROR(VLOOKUP(C22,'تقرير المصروفات حسب الشهر'!$C$1016:$AD$1126,26,FALSE),0)</f>
        <v>0</v>
      </c>
      <c r="M22" s="376">
        <f>IFERROR(VLOOKUP(C22,'تقرير المصروفات حسب الشهر'!$C$1143:$AD$1254,26,FALSE),0)</f>
        <v>0</v>
      </c>
      <c r="N22" s="376">
        <f>IFERROR(VLOOKUP(C22,'تقرير المصروفات حسب الشهر'!$C$1270:$AD$1381,26,FALSE),0)</f>
        <v>0</v>
      </c>
      <c r="O22" s="376">
        <f>IFERROR(VLOOKUP(C22,'تقرير المصروفات حسب الشهر'!$C$1397:$AI$1512,26,FALSE),0)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الشهر'!$C$10:$AD$119,26,FALSE),0)</f>
        <v>18379.260000000002</v>
      </c>
      <c r="E23" s="362">
        <f>IFERROR(VLOOKUP(C23,'تقرير المصروفات حسب الشهر'!$C$135:$AD$244,26,FALSE),0)</f>
        <v>34570.9</v>
      </c>
      <c r="F23" s="362">
        <f>IFERROR(VLOOKUP(C23,'تقرير المصروفات حسب الشهر'!$C$261:$AD$368,26,FALSE),0)</f>
        <v>25912.559999999998</v>
      </c>
      <c r="G23" s="362">
        <f>IFERROR(VLOOKUP(C23,'تقرير المصروفات حسب الشهر'!$C$387:$AD$495,26,FALSE),0)</f>
        <v>25682.050000000003</v>
      </c>
      <c r="H23" s="362">
        <f>IFERROR(VLOOKUP(C23,'تقرير المصروفات حسب الشهر'!$C$512:$AD$620,26,FALSE),0)</f>
        <v>26254</v>
      </c>
      <c r="I23" s="362">
        <f>IFERROR(VLOOKUP(C23,'تقرير المصروفات حسب الشهر'!$C$637:$AD$746,26,FALSE),0)</f>
        <v>37760.370000000003</v>
      </c>
      <c r="J23" s="362">
        <f>IFERROR(VLOOKUP(C23,'تقرير المصروفات حسب الشهر'!$C$763:$AD$872,26,FALSE),0)</f>
        <v>26809.85</v>
      </c>
      <c r="K23" s="362">
        <f>IFERROR(VLOOKUP(C23,'تقرير المصروفات حسب الشهر'!$C$890:$AD$999,26,FALSE),0)</f>
        <v>40042.769999999997</v>
      </c>
      <c r="L23" s="362">
        <f>IFERROR(VLOOKUP(C23,'تقرير المصروفات حسب الشهر'!$C$1016:$AD$1126,26,FALSE),0)</f>
        <v>32484.949999999997</v>
      </c>
      <c r="M23" s="376">
        <f>IFERROR(VLOOKUP(C23,'تقرير المصروفات حسب الشهر'!$C$1143:$AD$1254,26,FALSE),0)</f>
        <v>35650.159999999996</v>
      </c>
      <c r="N23" s="376">
        <f>IFERROR(VLOOKUP(C23,'تقرير المصروفات حسب الشهر'!$C$1270:$AD$1381,26,FALSE),0)</f>
        <v>20045.32</v>
      </c>
      <c r="O23" s="376">
        <f>IFERROR(VLOOKUP(C23,'تقرير المصروفات حسب الشهر'!$C$1397:$AI$1512,26,FALSE),0)</f>
        <v>31063.170000000002</v>
      </c>
      <c r="P23" s="364">
        <f t="shared" ref="P23:P86" si="5">SUM(D23:O23)</f>
        <v>354655.36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الشهر'!$C$10:$AD$119,26,FALSE),0)</f>
        <v>0</v>
      </c>
      <c r="E24" s="362">
        <f>IFERROR(VLOOKUP(C24,'تقرير المصروفات حسب الشهر'!$C$135:$AD$244,26,FALSE),0)</f>
        <v>0</v>
      </c>
      <c r="F24" s="362">
        <f>IFERROR(VLOOKUP(C24,'تقرير المصروفات حسب الشهر'!$C$261:$AD$368,26,FALSE),0)</f>
        <v>0</v>
      </c>
      <c r="G24" s="362">
        <f>IFERROR(VLOOKUP(C24,'تقرير المصروفات حسب الشهر'!$C$387:$AD$495,26,FALSE),0)</f>
        <v>0</v>
      </c>
      <c r="H24" s="362">
        <f>IFERROR(VLOOKUP(C24,'تقرير المصروفات حسب الشهر'!$C$512:$AD$620,26,FALSE),0)</f>
        <v>0</v>
      </c>
      <c r="I24" s="362">
        <f>IFERROR(VLOOKUP(C24,'تقرير المصروفات حسب الشهر'!$C$637:$AD$746,26,FALSE),0)</f>
        <v>0</v>
      </c>
      <c r="J24" s="362">
        <f>IFERROR(VLOOKUP(C24,'تقرير المصروفات حسب الشهر'!$C$763:$AD$872,26,FALSE),0)</f>
        <v>0</v>
      </c>
      <c r="K24" s="362">
        <f>IFERROR(VLOOKUP(C24,'تقرير المصروفات حسب الشهر'!$C$890:$AD$999,26,FALSE),0)</f>
        <v>0</v>
      </c>
      <c r="L24" s="362">
        <f>IFERROR(VLOOKUP(C24,'تقرير المصروفات حسب الشهر'!$C$1016:$AD$1126,26,FALSE),0)</f>
        <v>0</v>
      </c>
      <c r="M24" s="376">
        <f>IFERROR(VLOOKUP(C24,'تقرير المصروفات حسب الشهر'!$C$1143:$AD$1254,26,FALSE),0)</f>
        <v>0</v>
      </c>
      <c r="N24" s="376">
        <f>IFERROR(VLOOKUP(C24,'تقرير المصروفات حسب الشهر'!$C$1270:$AD$1381,26,FALSE),0)</f>
        <v>0</v>
      </c>
      <c r="O24" s="376">
        <f>IFERROR(VLOOKUP(C24,'تقرير المصروفات حسب الشهر'!$C$1397:$AI$1512,26,FALSE),0)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الشهر'!$C$10:$AD$119,26,FALSE),0)</f>
        <v>0</v>
      </c>
      <c r="E25" s="362">
        <f>IFERROR(VLOOKUP(C25,'تقرير المصروفات حسب الشهر'!$C$135:$AD$244,26,FALSE),0)</f>
        <v>0</v>
      </c>
      <c r="F25" s="362">
        <f>IFERROR(VLOOKUP(C25,'تقرير المصروفات حسب الشهر'!$C$261:$AD$368,26,FALSE),0)</f>
        <v>0</v>
      </c>
      <c r="G25" s="362">
        <f>IFERROR(VLOOKUP(C25,'تقرير المصروفات حسب الشهر'!$C$387:$AD$495,26,FALSE),0)</f>
        <v>0</v>
      </c>
      <c r="H25" s="362">
        <f>IFERROR(VLOOKUP(C25,'تقرير المصروفات حسب الشهر'!$C$512:$AD$620,26,FALSE),0)</f>
        <v>0</v>
      </c>
      <c r="I25" s="362">
        <f>IFERROR(VLOOKUP(C25,'تقرير المصروفات حسب الشهر'!$C$637:$AD$746,26,FALSE),0)</f>
        <v>0</v>
      </c>
      <c r="J25" s="362">
        <f>IFERROR(VLOOKUP(C25,'تقرير المصروفات حسب الشهر'!$C$763:$AD$872,26,FALSE),0)</f>
        <v>0</v>
      </c>
      <c r="K25" s="362">
        <f>IFERROR(VLOOKUP(C25,'تقرير المصروفات حسب الشهر'!$C$890:$AD$999,26,FALSE),0)</f>
        <v>0</v>
      </c>
      <c r="L25" s="362">
        <f>IFERROR(VLOOKUP(C25,'تقرير المصروفات حسب الشهر'!$C$1016:$AD$1126,26,FALSE),0)</f>
        <v>0</v>
      </c>
      <c r="M25" s="376">
        <f>IFERROR(VLOOKUP(C25,'تقرير المصروفات حسب الشهر'!$C$1143:$AD$1254,26,FALSE),0)</f>
        <v>0</v>
      </c>
      <c r="N25" s="376">
        <f>IFERROR(VLOOKUP(C25,'تقرير المصروفات حسب الشهر'!$C$1270:$AD$1381,26,FALSE),0)</f>
        <v>0</v>
      </c>
      <c r="O25" s="376">
        <f>IFERROR(VLOOKUP(C25,'تقرير المصروفات حسب الشهر'!$C$1397:$AI$1512,26,FALSE),0)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الشهر'!$C$10:$AD$119,26,FALSE),0)</f>
        <v>0</v>
      </c>
      <c r="E26" s="362">
        <f>IFERROR(VLOOKUP(C26,'تقرير المصروفات حسب الشهر'!$C$135:$AD$244,26,FALSE),0)</f>
        <v>0</v>
      </c>
      <c r="F26" s="362">
        <f>IFERROR(VLOOKUP(C26,'تقرير المصروفات حسب الشهر'!$C$261:$AD$368,26,FALSE),0)</f>
        <v>0</v>
      </c>
      <c r="G26" s="362">
        <f>IFERROR(VLOOKUP(C26,'تقرير المصروفات حسب الشهر'!$C$387:$AD$495,26,FALSE),0)</f>
        <v>0</v>
      </c>
      <c r="H26" s="362">
        <f>IFERROR(VLOOKUP(C26,'تقرير المصروفات حسب الشهر'!$C$512:$AD$620,26,FALSE),0)</f>
        <v>0</v>
      </c>
      <c r="I26" s="362">
        <f>IFERROR(VLOOKUP(C26,'تقرير المصروفات حسب الشهر'!$C$637:$AD$746,26,FALSE),0)</f>
        <v>0</v>
      </c>
      <c r="J26" s="362">
        <f>IFERROR(VLOOKUP(C26,'تقرير المصروفات حسب الشهر'!$C$763:$AD$872,26,FALSE),0)</f>
        <v>0</v>
      </c>
      <c r="K26" s="362">
        <f>IFERROR(VLOOKUP(C26,'تقرير المصروفات حسب الشهر'!$C$890:$AD$999,26,FALSE),0)</f>
        <v>0</v>
      </c>
      <c r="L26" s="362">
        <f>IFERROR(VLOOKUP(C26,'تقرير المصروفات حسب الشهر'!$C$1016:$AD$1126,26,FALSE),0)</f>
        <v>0</v>
      </c>
      <c r="M26" s="376">
        <f>IFERROR(VLOOKUP(C26,'تقرير المصروفات حسب الشهر'!$C$1143:$AD$1254,26,FALSE),0)</f>
        <v>0</v>
      </c>
      <c r="N26" s="376">
        <f>IFERROR(VLOOKUP(C26,'تقرير المصروفات حسب الشهر'!$C$1270:$AD$1381,26,FALSE),0)</f>
        <v>0</v>
      </c>
      <c r="O26" s="376">
        <f>IFERROR(VLOOKUP(C26,'تقرير المصروفات حسب الشهر'!$C$1397:$AI$1512,26,FALSE),0)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الشهر'!$C$10:$AD$119,26,FALSE),0)</f>
        <v>0</v>
      </c>
      <c r="E27" s="362">
        <f>IFERROR(VLOOKUP(C27,'تقرير المصروفات حسب الشهر'!$C$135:$AD$244,26,FALSE),0)</f>
        <v>0</v>
      </c>
      <c r="F27" s="362">
        <f>IFERROR(VLOOKUP(C27,'تقرير المصروفات حسب الشهر'!$C$261:$AD$368,26,FALSE),0)</f>
        <v>0</v>
      </c>
      <c r="G27" s="362">
        <f>IFERROR(VLOOKUP(C27,'تقرير المصروفات حسب الشهر'!$C$387:$AD$495,26,FALSE),0)</f>
        <v>0</v>
      </c>
      <c r="H27" s="362">
        <f>IFERROR(VLOOKUP(C27,'تقرير المصروفات حسب الشهر'!$C$512:$AD$620,26,FALSE),0)</f>
        <v>0</v>
      </c>
      <c r="I27" s="362">
        <f>IFERROR(VLOOKUP(C27,'تقرير المصروفات حسب الشهر'!$C$637:$AD$746,26,FALSE),0)</f>
        <v>0</v>
      </c>
      <c r="J27" s="362">
        <f>IFERROR(VLOOKUP(C27,'تقرير المصروفات حسب الشهر'!$C$763:$AD$872,26,FALSE),0)</f>
        <v>0</v>
      </c>
      <c r="K27" s="362">
        <f>IFERROR(VLOOKUP(C27,'تقرير المصروفات حسب الشهر'!$C$890:$AD$999,26,FALSE),0)</f>
        <v>0</v>
      </c>
      <c r="L27" s="362">
        <f>IFERROR(VLOOKUP(C27,'تقرير المصروفات حسب الشهر'!$C$1016:$AD$1126,26,FALSE),0)</f>
        <v>0</v>
      </c>
      <c r="M27" s="376">
        <f>IFERROR(VLOOKUP(C27,'تقرير المصروفات حسب الشهر'!$C$1143:$AD$1254,26,FALSE),0)</f>
        <v>0</v>
      </c>
      <c r="N27" s="376">
        <f>IFERROR(VLOOKUP(C27,'تقرير المصروفات حسب الشهر'!$C$1270:$AD$1381,26,FALSE),0)</f>
        <v>0</v>
      </c>
      <c r="O27" s="376">
        <f>IFERROR(VLOOKUP(C27,'تقرير المصروفات حسب الشهر'!$C$1397:$AI$1512,26,FALSE),0)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الشهر'!$C$10:$AD$119,26,FALSE),0)</f>
        <v>0</v>
      </c>
      <c r="E28" s="362">
        <f>IFERROR(VLOOKUP(C28,'تقرير المصروفات حسب الشهر'!$C$135:$AD$244,26,FALSE),0)</f>
        <v>0</v>
      </c>
      <c r="F28" s="362">
        <f>IFERROR(VLOOKUP(C28,'تقرير المصروفات حسب الشهر'!$C$261:$AD$368,26,FALSE),0)</f>
        <v>0</v>
      </c>
      <c r="G28" s="362">
        <f>IFERROR(VLOOKUP(C28,'تقرير المصروفات حسب الشهر'!$C$387:$AD$495,26,FALSE),0)</f>
        <v>0</v>
      </c>
      <c r="H28" s="362">
        <f>IFERROR(VLOOKUP(C28,'تقرير المصروفات حسب الشهر'!$C$512:$AD$620,26,FALSE),0)</f>
        <v>0</v>
      </c>
      <c r="I28" s="362">
        <f>IFERROR(VLOOKUP(C28,'تقرير المصروفات حسب الشهر'!$C$637:$AD$746,26,FALSE),0)</f>
        <v>0</v>
      </c>
      <c r="J28" s="362">
        <f>IFERROR(VLOOKUP(C28,'تقرير المصروفات حسب الشهر'!$C$763:$AD$872,26,FALSE),0)</f>
        <v>0</v>
      </c>
      <c r="K28" s="362">
        <f>IFERROR(VLOOKUP(C28,'تقرير المصروفات حسب الشهر'!$C$890:$AD$999,26,FALSE),0)</f>
        <v>0</v>
      </c>
      <c r="L28" s="362">
        <f>IFERROR(VLOOKUP(C28,'تقرير المصروفات حسب الشهر'!$C$1016:$AD$1126,26,FALSE),0)</f>
        <v>0</v>
      </c>
      <c r="M28" s="376">
        <f>IFERROR(VLOOKUP(C28,'تقرير المصروفات حسب الشهر'!$C$1143:$AD$1254,26,FALSE),0)</f>
        <v>0</v>
      </c>
      <c r="N28" s="376">
        <f>IFERROR(VLOOKUP(C28,'تقرير المصروفات حسب الشهر'!$C$1270:$AD$1381,26,FALSE),0)</f>
        <v>0</v>
      </c>
      <c r="O28" s="376">
        <f>IFERROR(VLOOKUP(C28,'تقرير المصروفات حسب الشهر'!$C$1397:$AI$1512,26,FALSE),0)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الشهر'!$C$10:$AD$119,26,FALSE),0)</f>
        <v>0</v>
      </c>
      <c r="E29" s="362">
        <f>IFERROR(VLOOKUP(C29,'تقرير المصروفات حسب الشهر'!$C$135:$AD$244,26,FALSE),0)</f>
        <v>0</v>
      </c>
      <c r="F29" s="362">
        <f>IFERROR(VLOOKUP(C29,'تقرير المصروفات حسب الشهر'!$C$261:$AD$368,26,FALSE),0)</f>
        <v>0</v>
      </c>
      <c r="G29" s="362">
        <f>IFERROR(VLOOKUP(C29,'تقرير المصروفات حسب الشهر'!$C$387:$AD$495,26,FALSE),0)</f>
        <v>0</v>
      </c>
      <c r="H29" s="362">
        <f>IFERROR(VLOOKUP(C29,'تقرير المصروفات حسب الشهر'!$C$512:$AD$620,26,FALSE),0)</f>
        <v>0</v>
      </c>
      <c r="I29" s="362">
        <f>IFERROR(VLOOKUP(C29,'تقرير المصروفات حسب الشهر'!$C$637:$AD$746,26,FALSE),0)</f>
        <v>0</v>
      </c>
      <c r="J29" s="362">
        <f>IFERROR(VLOOKUP(C29,'تقرير المصروفات حسب الشهر'!$C$763:$AD$872,26,FALSE),0)</f>
        <v>0</v>
      </c>
      <c r="K29" s="362">
        <f>IFERROR(VLOOKUP(C29,'تقرير المصروفات حسب الشهر'!$C$890:$AD$999,26,FALSE),0)</f>
        <v>0</v>
      </c>
      <c r="L29" s="362">
        <f>IFERROR(VLOOKUP(C29,'تقرير المصروفات حسب الشهر'!$C$1016:$AD$1126,26,FALSE),0)</f>
        <v>0</v>
      </c>
      <c r="M29" s="376">
        <f>IFERROR(VLOOKUP(C29,'تقرير المصروفات حسب الشهر'!$C$1143:$AD$1254,26,FALSE),0)</f>
        <v>0</v>
      </c>
      <c r="N29" s="376">
        <f>IFERROR(VLOOKUP(C29,'تقرير المصروفات حسب الشهر'!$C$1270:$AD$1381,26,FALSE),0)</f>
        <v>0</v>
      </c>
      <c r="O29" s="376">
        <f>IFERROR(VLOOKUP(C29,'تقرير المصروفات حسب الشهر'!$C$1397:$AI$1512,26,FALSE),0)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الشهر'!$C$10:$AD$119,26,FALSE),0)</f>
        <v>0</v>
      </c>
      <c r="E30" s="362">
        <f>IFERROR(VLOOKUP(C30,'تقرير المصروفات حسب الشهر'!$C$135:$AD$244,26,FALSE),0)</f>
        <v>0</v>
      </c>
      <c r="F30" s="362">
        <f>IFERROR(VLOOKUP(C30,'تقرير المصروفات حسب الشهر'!$C$261:$AD$368,26,FALSE),0)</f>
        <v>0</v>
      </c>
      <c r="G30" s="362">
        <f>IFERROR(VLOOKUP(C30,'تقرير المصروفات حسب الشهر'!$C$387:$AD$495,26,FALSE),0)</f>
        <v>0</v>
      </c>
      <c r="H30" s="362">
        <f>IFERROR(VLOOKUP(C30,'تقرير المصروفات حسب الشهر'!$C$512:$AD$620,26,FALSE),0)</f>
        <v>0</v>
      </c>
      <c r="I30" s="362">
        <f>IFERROR(VLOOKUP(C30,'تقرير المصروفات حسب الشهر'!$C$637:$AD$746,26,FALSE),0)</f>
        <v>0</v>
      </c>
      <c r="J30" s="362">
        <f>IFERROR(VLOOKUP(C30,'تقرير المصروفات حسب الشهر'!$C$763:$AD$872,26,FALSE),0)</f>
        <v>0</v>
      </c>
      <c r="K30" s="362">
        <f>IFERROR(VLOOKUP(C30,'تقرير المصروفات حسب الشهر'!$C$890:$AD$999,26,FALSE),0)</f>
        <v>0</v>
      </c>
      <c r="L30" s="362">
        <f>IFERROR(VLOOKUP(C30,'تقرير المصروفات حسب الشهر'!$C$1016:$AD$1126,26,FALSE),0)</f>
        <v>0</v>
      </c>
      <c r="M30" s="376">
        <f>IFERROR(VLOOKUP(C30,'تقرير المصروفات حسب الشهر'!$C$1143:$AD$1254,26,FALSE),0)</f>
        <v>0</v>
      </c>
      <c r="N30" s="376">
        <f>IFERROR(VLOOKUP(C30,'تقرير المصروفات حسب الشهر'!$C$1270:$AD$1381,26,FALSE),0)</f>
        <v>0</v>
      </c>
      <c r="O30" s="376">
        <f>IFERROR(VLOOKUP(C30,'تقرير المصروفات حسب الشهر'!$C$1397:$AI$1512,26,FALSE),0)</f>
        <v>650</v>
      </c>
      <c r="P30" s="364">
        <f t="shared" si="5"/>
        <v>650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الشهر'!$C$10:$AD$119,26,FALSE),0)</f>
        <v>68.33</v>
      </c>
      <c r="E31" s="362">
        <f>IFERROR(VLOOKUP(C31,'تقرير المصروفات حسب الشهر'!$C$135:$AD$244,26,FALSE),0)</f>
        <v>158.33000000000001</v>
      </c>
      <c r="F31" s="362">
        <f>IFERROR(VLOOKUP(C31,'تقرير المصروفات حسب الشهر'!$C$261:$AD$368,26,FALSE),0)</f>
        <v>188.33</v>
      </c>
      <c r="G31" s="362">
        <f>IFERROR(VLOOKUP(C31,'تقرير المصروفات حسب الشهر'!$C$387:$AD$495,26,FALSE),0)</f>
        <v>68.33</v>
      </c>
      <c r="H31" s="362">
        <f>IFERROR(VLOOKUP(C31,'تقرير المصروفات حسب الشهر'!$C$512:$AD$620,26,FALSE),0)</f>
        <v>68.33</v>
      </c>
      <c r="I31" s="362">
        <f>IFERROR(VLOOKUP(C31,'تقرير المصروفات حسب الشهر'!$C$637:$AD$746,26,FALSE),0)</f>
        <v>68.33</v>
      </c>
      <c r="J31" s="362">
        <f>IFERROR(VLOOKUP(C31,'تقرير المصروفات حسب الشهر'!$C$763:$AD$872,26,FALSE),0)</f>
        <v>138.33000000000001</v>
      </c>
      <c r="K31" s="362">
        <f>IFERROR(VLOOKUP(C31,'تقرير المصروفات حسب الشهر'!$C$890:$AD$999,26,FALSE),0)</f>
        <v>68.33</v>
      </c>
      <c r="L31" s="362">
        <f>IFERROR(VLOOKUP(C31,'تقرير المصروفات حسب الشهر'!$C$1016:$AD$1126,26,FALSE),0)</f>
        <v>68.33</v>
      </c>
      <c r="M31" s="376">
        <f>IFERROR(VLOOKUP(C31,'تقرير المصروفات حسب الشهر'!$C$1143:$AD$1254,26,FALSE),0)</f>
        <v>68.33</v>
      </c>
      <c r="N31" s="376">
        <f>IFERROR(VLOOKUP(C31,'تقرير المصروفات حسب الشهر'!$C$1270:$AD$1381,26,FALSE),0)</f>
        <v>68.33</v>
      </c>
      <c r="O31" s="376">
        <f>IFERROR(VLOOKUP(C31,'تقرير المصروفات حسب الشهر'!$C$1397:$AI$1512,26,FALSE),0)</f>
        <v>68.33</v>
      </c>
      <c r="P31" s="364">
        <f t="shared" si="5"/>
        <v>1099.96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الشهر'!$C$10:$AD$119,26,FALSE),0)</f>
        <v>0</v>
      </c>
      <c r="E32" s="362">
        <f>IFERROR(VLOOKUP(C32,'تقرير المصروفات حسب الشهر'!$C$135:$AD$244,26,FALSE),0)</f>
        <v>0</v>
      </c>
      <c r="F32" s="362">
        <f>IFERROR(VLOOKUP(C32,'تقرير المصروفات حسب الشهر'!$C$261:$AD$368,26,FALSE),0)</f>
        <v>0</v>
      </c>
      <c r="G32" s="362">
        <f>IFERROR(VLOOKUP(C32,'تقرير المصروفات حسب الشهر'!$C$387:$AD$495,26,FALSE),0)</f>
        <v>0</v>
      </c>
      <c r="H32" s="362">
        <f>IFERROR(VLOOKUP(C32,'تقرير المصروفات حسب الشهر'!$C$512:$AD$620,26,FALSE),0)</f>
        <v>0</v>
      </c>
      <c r="I32" s="362">
        <f>IFERROR(VLOOKUP(C32,'تقرير المصروفات حسب الشهر'!$C$637:$AD$746,26,FALSE),0)</f>
        <v>0</v>
      </c>
      <c r="J32" s="362">
        <f>IFERROR(VLOOKUP(C32,'تقرير المصروفات حسب الشهر'!$C$763:$AD$872,26,FALSE),0)</f>
        <v>0</v>
      </c>
      <c r="K32" s="362">
        <f>IFERROR(VLOOKUP(C32,'تقرير المصروفات حسب الشهر'!$C$890:$AD$999,26,FALSE),0)</f>
        <v>0</v>
      </c>
      <c r="L32" s="362">
        <f>IFERROR(VLOOKUP(C32,'تقرير المصروفات حسب الشهر'!$C$1016:$AD$1126,26,FALSE),0)</f>
        <v>0</v>
      </c>
      <c r="M32" s="376">
        <f>IFERROR(VLOOKUP(C32,'تقرير المصروفات حسب الشهر'!$C$1143:$AD$1254,26,FALSE),0)</f>
        <v>0</v>
      </c>
      <c r="N32" s="376">
        <f>IFERROR(VLOOKUP(C32,'تقرير المصروفات حسب الشهر'!$C$1270:$AD$1381,26,FALSE),0)</f>
        <v>0</v>
      </c>
      <c r="O32" s="376">
        <f>IFERROR(VLOOKUP(C32,'تقرير المصروفات حسب الشهر'!$C$1397:$AI$1512,26,FALSE),0)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الشهر'!$C$10:$AD$119,26,FALSE),0)</f>
        <v>0</v>
      </c>
      <c r="E33" s="362">
        <f>IFERROR(VLOOKUP(C33,'تقرير المصروفات حسب الشهر'!$C$135:$AD$244,26,FALSE),0)</f>
        <v>0</v>
      </c>
      <c r="F33" s="362">
        <f>IFERROR(VLOOKUP(C33,'تقرير المصروفات حسب الشهر'!$C$261:$AD$368,26,FALSE),0)</f>
        <v>0</v>
      </c>
      <c r="G33" s="362">
        <f>IFERROR(VLOOKUP(C33,'تقرير المصروفات حسب الشهر'!$C$387:$AD$495,26,FALSE),0)</f>
        <v>0</v>
      </c>
      <c r="H33" s="362">
        <f>IFERROR(VLOOKUP(C33,'تقرير المصروفات حسب الشهر'!$C$512:$AD$620,26,FALSE),0)</f>
        <v>0</v>
      </c>
      <c r="I33" s="362">
        <f>IFERROR(VLOOKUP(C33,'تقرير المصروفات حسب الشهر'!$C$637:$AD$746,26,FALSE),0)</f>
        <v>0</v>
      </c>
      <c r="J33" s="362">
        <f>IFERROR(VLOOKUP(C33,'تقرير المصروفات حسب الشهر'!$C$763:$AD$872,26,FALSE),0)</f>
        <v>0</v>
      </c>
      <c r="K33" s="362">
        <f>IFERROR(VLOOKUP(C33,'تقرير المصروفات حسب الشهر'!$C$890:$AD$999,26,FALSE),0)</f>
        <v>0</v>
      </c>
      <c r="L33" s="362">
        <f>IFERROR(VLOOKUP(C33,'تقرير المصروفات حسب الشهر'!$C$1016:$AD$1126,26,FALSE),0)</f>
        <v>0</v>
      </c>
      <c r="M33" s="376">
        <f>IFERROR(VLOOKUP(C33,'تقرير المصروفات حسب الشهر'!$C$1143:$AD$1254,26,FALSE),0)</f>
        <v>0</v>
      </c>
      <c r="N33" s="376">
        <f>IFERROR(VLOOKUP(C33,'تقرير المصروفات حسب الشهر'!$C$1270:$AD$1381,26,FALSE),0)</f>
        <v>0</v>
      </c>
      <c r="O33" s="376">
        <f>IFERROR(VLOOKUP(C33,'تقرير المصروفات حسب الشهر'!$C$1397:$AI$1512,26,FALSE),0)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الشهر'!$C$10:$AD$119,26,FALSE),0)</f>
        <v>0</v>
      </c>
      <c r="E34" s="362">
        <f>IFERROR(VLOOKUP(C34,'تقرير المصروفات حسب الشهر'!$C$135:$AD$244,26,FALSE),0)</f>
        <v>0</v>
      </c>
      <c r="F34" s="362">
        <f>IFERROR(VLOOKUP(C34,'تقرير المصروفات حسب الشهر'!$C$261:$AD$368,26,FALSE),0)</f>
        <v>0</v>
      </c>
      <c r="G34" s="362">
        <f>IFERROR(VLOOKUP(C34,'تقرير المصروفات حسب الشهر'!$C$387:$AD$495,26,FALSE),0)</f>
        <v>0</v>
      </c>
      <c r="H34" s="362">
        <f>IFERROR(VLOOKUP(C34,'تقرير المصروفات حسب الشهر'!$C$512:$AD$620,26,FALSE),0)</f>
        <v>0</v>
      </c>
      <c r="I34" s="362">
        <f>IFERROR(VLOOKUP(C34,'تقرير المصروفات حسب الشهر'!$C$637:$AD$746,26,FALSE),0)</f>
        <v>0</v>
      </c>
      <c r="J34" s="362">
        <f>IFERROR(VLOOKUP(C34,'تقرير المصروفات حسب الشهر'!$C$763:$AD$872,26,FALSE),0)</f>
        <v>0</v>
      </c>
      <c r="K34" s="362">
        <f>IFERROR(VLOOKUP(C34,'تقرير المصروفات حسب الشهر'!$C$890:$AD$999,26,FALSE),0)</f>
        <v>0</v>
      </c>
      <c r="L34" s="362">
        <f>IFERROR(VLOOKUP(C34,'تقرير المصروفات حسب الشهر'!$C$1016:$AD$1126,26,FALSE),0)</f>
        <v>0</v>
      </c>
      <c r="M34" s="376">
        <f>IFERROR(VLOOKUP(C34,'تقرير المصروفات حسب الشهر'!$C$1143:$AD$1254,26,FALSE),0)</f>
        <v>0</v>
      </c>
      <c r="N34" s="376">
        <f>IFERROR(VLOOKUP(C34,'تقرير المصروفات حسب الشهر'!$C$1270:$AD$1381,26,FALSE),0)</f>
        <v>0</v>
      </c>
      <c r="O34" s="376">
        <f>IFERROR(VLOOKUP(C34,'تقرير المصروفات حسب الشهر'!$C$1397:$AI$1512,26,FALSE),0)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الشهر'!$C$10:$AD$119,26,FALSE),0)</f>
        <v>0</v>
      </c>
      <c r="E35" s="362">
        <f>IFERROR(VLOOKUP(C35,'تقرير المصروفات حسب الشهر'!$C$135:$AD$244,26,FALSE),0)</f>
        <v>0</v>
      </c>
      <c r="F35" s="362">
        <f>IFERROR(VLOOKUP(C35,'تقرير المصروفات حسب الشهر'!$C$261:$AD$368,26,FALSE),0)</f>
        <v>0</v>
      </c>
      <c r="G35" s="362">
        <f>IFERROR(VLOOKUP(C35,'تقرير المصروفات حسب الشهر'!$C$387:$AD$495,26,FALSE),0)</f>
        <v>0</v>
      </c>
      <c r="H35" s="362">
        <f>IFERROR(VLOOKUP(C35,'تقرير المصروفات حسب الشهر'!$C$512:$AD$620,26,FALSE),0)</f>
        <v>0</v>
      </c>
      <c r="I35" s="362">
        <f>IFERROR(VLOOKUP(C35,'تقرير المصروفات حسب الشهر'!$C$637:$AD$746,26,FALSE),0)</f>
        <v>0</v>
      </c>
      <c r="J35" s="362">
        <f>IFERROR(VLOOKUP(C35,'تقرير المصروفات حسب الشهر'!$C$763:$AD$872,26,FALSE),0)</f>
        <v>0</v>
      </c>
      <c r="K35" s="362">
        <f>IFERROR(VLOOKUP(C35,'تقرير المصروفات حسب الشهر'!$C$890:$AD$999,26,FALSE),0)</f>
        <v>0</v>
      </c>
      <c r="L35" s="362">
        <f>IFERROR(VLOOKUP(C35,'تقرير المصروفات حسب الشهر'!$C$1016:$AD$1126,26,FALSE),0)</f>
        <v>0</v>
      </c>
      <c r="M35" s="376">
        <f>IFERROR(VLOOKUP(C35,'تقرير المصروفات حسب الشهر'!$C$1143:$AD$1254,26,FALSE),0)</f>
        <v>0</v>
      </c>
      <c r="N35" s="376">
        <f>IFERROR(VLOOKUP(C35,'تقرير المصروفات حسب الشهر'!$C$1270:$AD$1381,26,FALSE),0)</f>
        <v>0</v>
      </c>
      <c r="O35" s="376">
        <f>IFERROR(VLOOKUP(C35,'تقرير المصروفات حسب الشهر'!$C$1397:$AI$1512,26,FALSE),0)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الشهر'!$C$10:$AD$119,26,FALSE),0)</f>
        <v>750</v>
      </c>
      <c r="E36" s="362">
        <f>IFERROR(VLOOKUP(C36,'تقرير المصروفات حسب الشهر'!$C$135:$AD$244,26,FALSE),0)</f>
        <v>0</v>
      </c>
      <c r="F36" s="362">
        <f>IFERROR(VLOOKUP(C36,'تقرير المصروفات حسب الشهر'!$C$261:$AD$368,26,FALSE),0)</f>
        <v>0</v>
      </c>
      <c r="G36" s="362">
        <f>IFERROR(VLOOKUP(C36,'تقرير المصروفات حسب الشهر'!$C$387:$AD$495,26,FALSE),0)</f>
        <v>750</v>
      </c>
      <c r="H36" s="362">
        <f>IFERROR(VLOOKUP(C36,'تقرير المصروفات حسب الشهر'!$C$512:$AD$620,26,FALSE),0)</f>
        <v>0</v>
      </c>
      <c r="I36" s="362">
        <f>IFERROR(VLOOKUP(C36,'تقرير المصروفات حسب الشهر'!$C$637:$AD$746,26,FALSE),0)</f>
        <v>770</v>
      </c>
      <c r="J36" s="362">
        <f>IFERROR(VLOOKUP(C36,'تقرير المصروفات حسب الشهر'!$C$763:$AD$872,26,FALSE),0)</f>
        <v>0</v>
      </c>
      <c r="K36" s="362">
        <f>IFERROR(VLOOKUP(C36,'تقرير المصروفات حسب الشهر'!$C$890:$AD$999,26,FALSE),0)</f>
        <v>0</v>
      </c>
      <c r="L36" s="362">
        <f>IFERROR(VLOOKUP(C36,'تقرير المصروفات حسب الشهر'!$C$1016:$AD$1126,26,FALSE),0)</f>
        <v>0</v>
      </c>
      <c r="M36" s="376">
        <f>IFERROR(VLOOKUP(C36,'تقرير المصروفات حسب الشهر'!$C$1143:$AD$1254,26,FALSE),0)</f>
        <v>770</v>
      </c>
      <c r="N36" s="376">
        <f>IFERROR(VLOOKUP(C36,'تقرير المصروفات حسب الشهر'!$C$1270:$AD$1381,26,FALSE),0)</f>
        <v>0</v>
      </c>
      <c r="O36" s="376">
        <f>IFERROR(VLOOKUP(C36,'تقرير المصروفات حسب الشهر'!$C$1397:$AI$1512,26,FALSE),0)</f>
        <v>770</v>
      </c>
      <c r="P36" s="364">
        <f t="shared" si="5"/>
        <v>3810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الشهر'!$C$10:$AD$119,26,FALSE),0)</f>
        <v>0</v>
      </c>
      <c r="E37" s="362">
        <f>IFERROR(VLOOKUP(C37,'تقرير المصروفات حسب الشهر'!$C$135:$AD$244,26,FALSE),0)</f>
        <v>0</v>
      </c>
      <c r="F37" s="362">
        <f>IFERROR(VLOOKUP(C37,'تقرير المصروفات حسب الشهر'!$C$261:$AD$368,26,FALSE),0)</f>
        <v>0</v>
      </c>
      <c r="G37" s="362">
        <f>IFERROR(VLOOKUP(C37,'تقرير المصروفات حسب الشهر'!$C$387:$AD$495,26,FALSE),0)</f>
        <v>2250</v>
      </c>
      <c r="H37" s="362">
        <f>IFERROR(VLOOKUP(C37,'تقرير المصروفات حسب الشهر'!$C$512:$AD$620,26,FALSE),0)</f>
        <v>0</v>
      </c>
      <c r="I37" s="362">
        <f>IFERROR(VLOOKUP(C37,'تقرير المصروفات حسب الشهر'!$C$637:$AD$746,26,FALSE),0)</f>
        <v>2250</v>
      </c>
      <c r="J37" s="362">
        <f>IFERROR(VLOOKUP(C37,'تقرير المصروفات حسب الشهر'!$C$763:$AD$872,26,FALSE),0)</f>
        <v>0</v>
      </c>
      <c r="K37" s="362">
        <f>IFERROR(VLOOKUP(C37,'تقرير المصروفات حسب الشهر'!$C$890:$AD$999,26,FALSE),0)</f>
        <v>0</v>
      </c>
      <c r="L37" s="362">
        <f>IFERROR(VLOOKUP(C37,'تقرير المصروفات حسب الشهر'!$C$1016:$AD$1126,26,FALSE),0)</f>
        <v>0</v>
      </c>
      <c r="M37" s="376">
        <f>IFERROR(VLOOKUP(C37,'تقرير المصروفات حسب الشهر'!$C$1143:$AD$1254,26,FALSE),0)</f>
        <v>0</v>
      </c>
      <c r="N37" s="376">
        <f>IFERROR(VLOOKUP(C37,'تقرير المصروفات حسب الشهر'!$C$1270:$AD$1381,26,FALSE),0)</f>
        <v>0</v>
      </c>
      <c r="O37" s="376">
        <f>IFERROR(VLOOKUP(C37,'تقرير المصروفات حسب الشهر'!$C$1397:$AI$1512,26,FALSE),0)</f>
        <v>2260</v>
      </c>
      <c r="P37" s="364">
        <f t="shared" si="5"/>
        <v>6760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الشهر'!$C$10:$AD$119,26,FALSE),0)</f>
        <v>0</v>
      </c>
      <c r="E38" s="362">
        <f>IFERROR(VLOOKUP(C38,'تقرير المصروفات حسب الشهر'!$C$135:$AD$244,26,FALSE),0)</f>
        <v>0</v>
      </c>
      <c r="F38" s="362">
        <f>IFERROR(VLOOKUP(C38,'تقرير المصروفات حسب الشهر'!$C$261:$AD$368,26,FALSE),0)</f>
        <v>0</v>
      </c>
      <c r="G38" s="362">
        <f>IFERROR(VLOOKUP(C38,'تقرير المصروفات حسب الشهر'!$C$387:$AD$495,26,FALSE),0)</f>
        <v>0</v>
      </c>
      <c r="H38" s="362">
        <f>IFERROR(VLOOKUP(C38,'تقرير المصروفات حسب الشهر'!$C$512:$AD$620,26,FALSE),0)</f>
        <v>0</v>
      </c>
      <c r="I38" s="362">
        <f>IFERROR(VLOOKUP(C38,'تقرير المصروفات حسب الشهر'!$C$637:$AD$746,26,FALSE),0)</f>
        <v>0</v>
      </c>
      <c r="J38" s="362">
        <f>IFERROR(VLOOKUP(C38,'تقرير المصروفات حسب الشهر'!$C$763:$AD$872,26,FALSE),0)</f>
        <v>0</v>
      </c>
      <c r="K38" s="362">
        <f>IFERROR(VLOOKUP(C38,'تقرير المصروفات حسب الشهر'!$C$890:$AD$999,26,FALSE),0)</f>
        <v>0</v>
      </c>
      <c r="L38" s="362">
        <f>IFERROR(VLOOKUP(C38,'تقرير المصروفات حسب الشهر'!$C$1016:$AD$1126,26,FALSE),0)</f>
        <v>0</v>
      </c>
      <c r="M38" s="376">
        <f>IFERROR(VLOOKUP(C38,'تقرير المصروفات حسب الشهر'!$C$1143:$AD$1254,26,FALSE),0)</f>
        <v>0</v>
      </c>
      <c r="N38" s="376">
        <f>IFERROR(VLOOKUP(C38,'تقرير المصروفات حسب الشهر'!$C$1270:$AD$1381,26,FALSE),0)</f>
        <v>0</v>
      </c>
      <c r="O38" s="376">
        <f>IFERROR(VLOOKUP(C38,'تقرير المصروفات حسب الشهر'!$C$1397:$AI$1512,26,FALSE),0)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الشهر'!$C$10:$AD$119,26,FALSE),0)</f>
        <v>0</v>
      </c>
      <c r="E39" s="362">
        <f>IFERROR(VLOOKUP(C39,'تقرير المصروفات حسب الشهر'!$C$135:$AD$244,26,FALSE),0)</f>
        <v>833</v>
      </c>
      <c r="F39" s="362">
        <f>IFERROR(VLOOKUP(C39,'تقرير المصروفات حسب الشهر'!$C$261:$AD$368,26,FALSE),0)</f>
        <v>648</v>
      </c>
      <c r="G39" s="362">
        <f>IFERROR(VLOOKUP(C39,'تقرير المصروفات حسب الشهر'!$C$387:$AD$495,26,FALSE),0)</f>
        <v>793</v>
      </c>
      <c r="H39" s="362">
        <f>IFERROR(VLOOKUP(C39,'تقرير المصروفات حسب الشهر'!$C$512:$AD$620,26,FALSE),0)</f>
        <v>0</v>
      </c>
      <c r="I39" s="362">
        <f>IFERROR(VLOOKUP(C39,'تقرير المصروفات حسب الشهر'!$C$637:$AD$746,26,FALSE),0)</f>
        <v>0</v>
      </c>
      <c r="J39" s="362">
        <f>IFERROR(VLOOKUP(C39,'تقرير المصروفات حسب الشهر'!$C$763:$AD$872,26,FALSE),0)</f>
        <v>0</v>
      </c>
      <c r="K39" s="362">
        <f>IFERROR(VLOOKUP(C39,'تقرير المصروفات حسب الشهر'!$C$890:$AD$999,26,FALSE),0)</f>
        <v>0</v>
      </c>
      <c r="L39" s="362">
        <f>IFERROR(VLOOKUP(C39,'تقرير المصروفات حسب الشهر'!$C$1016:$AD$1126,26,FALSE),0)</f>
        <v>0</v>
      </c>
      <c r="M39" s="376">
        <f>IFERROR(VLOOKUP(C39,'تقرير المصروفات حسب الشهر'!$C$1143:$AD$1254,26,FALSE),0)</f>
        <v>0</v>
      </c>
      <c r="N39" s="376">
        <f>IFERROR(VLOOKUP(C39,'تقرير المصروفات حسب الشهر'!$C$1270:$AD$1381,26,FALSE),0)</f>
        <v>506</v>
      </c>
      <c r="O39" s="376">
        <f>IFERROR(VLOOKUP(C39,'تقرير المصروفات حسب الشهر'!$C$1397:$AI$1512,26,FALSE),0)</f>
        <v>831</v>
      </c>
      <c r="P39" s="364">
        <f t="shared" si="5"/>
        <v>3611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الشهر'!$C$10:$AD$119,26,FALSE),0)</f>
        <v>0</v>
      </c>
      <c r="E40" s="362">
        <f>IFERROR(VLOOKUP(C40,'تقرير المصروفات حسب الشهر'!$C$135:$AD$244,26,FALSE),0)</f>
        <v>0</v>
      </c>
      <c r="F40" s="362">
        <f>IFERROR(VLOOKUP(C40,'تقرير المصروفات حسب الشهر'!$C$261:$AD$368,26,FALSE),0)</f>
        <v>0</v>
      </c>
      <c r="G40" s="362">
        <f>IFERROR(VLOOKUP(C40,'تقرير المصروفات حسب الشهر'!$C$387:$AD$495,26,FALSE),0)</f>
        <v>0</v>
      </c>
      <c r="H40" s="362">
        <f>IFERROR(VLOOKUP(C40,'تقرير المصروفات حسب الشهر'!$C$512:$AD$620,26,FALSE),0)</f>
        <v>0</v>
      </c>
      <c r="I40" s="362">
        <f>IFERROR(VLOOKUP(C40,'تقرير المصروفات حسب الشهر'!$C$637:$AD$746,26,FALSE),0)</f>
        <v>0</v>
      </c>
      <c r="J40" s="362">
        <f>IFERROR(VLOOKUP(C40,'تقرير المصروفات حسب الشهر'!$C$763:$AD$872,26,FALSE),0)</f>
        <v>0</v>
      </c>
      <c r="K40" s="362">
        <f>IFERROR(VLOOKUP(C40,'تقرير المصروفات حسب الشهر'!$C$890:$AD$999,26,FALSE),0)</f>
        <v>0</v>
      </c>
      <c r="L40" s="362">
        <f>IFERROR(VLOOKUP(C40,'تقرير المصروفات حسب الشهر'!$C$1016:$AD$1126,26,FALSE),0)</f>
        <v>0</v>
      </c>
      <c r="M40" s="376">
        <f>IFERROR(VLOOKUP(C40,'تقرير المصروفات حسب الشهر'!$C$1143:$AD$1254,26,FALSE),0)</f>
        <v>0</v>
      </c>
      <c r="N40" s="376">
        <f>IFERROR(VLOOKUP(C40,'تقرير المصروفات حسب الشهر'!$C$1270:$AD$1381,26,FALSE),0)</f>
        <v>0</v>
      </c>
      <c r="O40" s="376">
        <f>IFERROR(VLOOKUP(C40,'تقرير المصروفات حسب الشهر'!$C$1397:$AI$1512,26,FALSE),0)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الشهر'!$C$10:$AD$119,26,FALSE),0)</f>
        <v>0</v>
      </c>
      <c r="E41" s="362">
        <f>IFERROR(VLOOKUP(C41,'تقرير المصروفات حسب الشهر'!$C$135:$AD$244,26,FALSE),0)</f>
        <v>0</v>
      </c>
      <c r="F41" s="362">
        <f>IFERROR(VLOOKUP(C41,'تقرير المصروفات حسب الشهر'!$C$261:$AD$368,26,FALSE),0)</f>
        <v>0</v>
      </c>
      <c r="G41" s="362">
        <f>IFERROR(VLOOKUP(C41,'تقرير المصروفات حسب الشهر'!$C$387:$AD$495,26,FALSE),0)</f>
        <v>0</v>
      </c>
      <c r="H41" s="362">
        <f>IFERROR(VLOOKUP(C41,'تقرير المصروفات حسب الشهر'!$C$512:$AD$620,26,FALSE),0)</f>
        <v>0</v>
      </c>
      <c r="I41" s="362">
        <f>IFERROR(VLOOKUP(C41,'تقرير المصروفات حسب الشهر'!$C$637:$AD$746,26,FALSE),0)</f>
        <v>0</v>
      </c>
      <c r="J41" s="362">
        <f>IFERROR(VLOOKUP(C41,'تقرير المصروفات حسب الشهر'!$C$763:$AD$872,26,FALSE),0)</f>
        <v>0</v>
      </c>
      <c r="K41" s="362">
        <f>IFERROR(VLOOKUP(C41,'تقرير المصروفات حسب الشهر'!$C$890:$AD$999,26,FALSE),0)</f>
        <v>0</v>
      </c>
      <c r="L41" s="362">
        <f>IFERROR(VLOOKUP(C41,'تقرير المصروفات حسب الشهر'!$C$1016:$AD$1126,26,FALSE),0)</f>
        <v>0</v>
      </c>
      <c r="M41" s="376">
        <f>IFERROR(VLOOKUP(C41,'تقرير المصروفات حسب الشهر'!$C$1143:$AD$1254,26,FALSE),0)</f>
        <v>0</v>
      </c>
      <c r="N41" s="376">
        <f>IFERROR(VLOOKUP(C41,'تقرير المصروفات حسب الشهر'!$C$1270:$AD$1381,26,FALSE),0)</f>
        <v>0</v>
      </c>
      <c r="O41" s="376">
        <f>IFERROR(VLOOKUP(C41,'تقرير المصروفات حسب الشهر'!$C$1397:$AI$1512,26,FALSE),0)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الشهر'!$C$10:$AD$119,26,FALSE),0)</f>
        <v>0</v>
      </c>
      <c r="E42" s="362">
        <f>IFERROR(VLOOKUP(C42,'تقرير المصروفات حسب الشهر'!$C$135:$AD$244,26,FALSE),0)</f>
        <v>0</v>
      </c>
      <c r="F42" s="362">
        <f>IFERROR(VLOOKUP(C42,'تقرير المصروفات حسب الشهر'!$C$261:$AD$368,26,FALSE),0)</f>
        <v>0</v>
      </c>
      <c r="G42" s="362">
        <f>IFERROR(VLOOKUP(C42,'تقرير المصروفات حسب الشهر'!$C$387:$AD$495,26,FALSE),0)</f>
        <v>0</v>
      </c>
      <c r="H42" s="362">
        <f>IFERROR(VLOOKUP(C42,'تقرير المصروفات حسب الشهر'!$C$512:$AD$620,26,FALSE),0)</f>
        <v>0</v>
      </c>
      <c r="I42" s="362">
        <f>IFERROR(VLOOKUP(C42,'تقرير المصروفات حسب الشهر'!$C$637:$AD$746,26,FALSE),0)</f>
        <v>0</v>
      </c>
      <c r="J42" s="362">
        <f>IFERROR(VLOOKUP(C42,'تقرير المصروفات حسب الشهر'!$C$763:$AD$872,26,FALSE),0)</f>
        <v>0</v>
      </c>
      <c r="K42" s="362">
        <f>IFERROR(VLOOKUP(C42,'تقرير المصروفات حسب الشهر'!$C$890:$AD$999,26,FALSE),0)</f>
        <v>0</v>
      </c>
      <c r="L42" s="362">
        <f>IFERROR(VLOOKUP(C42,'تقرير المصروفات حسب الشهر'!$C$1016:$AD$1126,26,FALSE),0)</f>
        <v>0</v>
      </c>
      <c r="M42" s="376">
        <f>IFERROR(VLOOKUP(C42,'تقرير المصروفات حسب الشهر'!$C$1143:$AD$1254,26,FALSE),0)</f>
        <v>0</v>
      </c>
      <c r="N42" s="376">
        <f>IFERROR(VLOOKUP(C42,'تقرير المصروفات حسب الشهر'!$C$1270:$AD$1381,26,FALSE),0)</f>
        <v>0</v>
      </c>
      <c r="O42" s="376">
        <f>IFERROR(VLOOKUP(C42,'تقرير المصروفات حسب الشهر'!$C$1397:$AI$1512,26,FALSE),0)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الشهر'!$C$10:$AD$119,26,FALSE),0)</f>
        <v>0</v>
      </c>
      <c r="E43" s="362">
        <f>IFERROR(VLOOKUP(C43,'تقرير المصروفات حسب الشهر'!$C$135:$AD$244,26,FALSE),0)</f>
        <v>0</v>
      </c>
      <c r="F43" s="362">
        <f>IFERROR(VLOOKUP(C43,'تقرير المصروفات حسب الشهر'!$C$261:$AD$368,26,FALSE),0)</f>
        <v>0</v>
      </c>
      <c r="G43" s="362">
        <f>IFERROR(VLOOKUP(C43,'تقرير المصروفات حسب الشهر'!$C$387:$AD$495,26,FALSE),0)</f>
        <v>0</v>
      </c>
      <c r="H43" s="362">
        <f>IFERROR(VLOOKUP(C43,'تقرير المصروفات حسب الشهر'!$C$512:$AD$620,26,FALSE),0)</f>
        <v>0</v>
      </c>
      <c r="I43" s="362">
        <f>IFERROR(VLOOKUP(C43,'تقرير المصروفات حسب الشهر'!$C$637:$AD$746,26,FALSE),0)</f>
        <v>0</v>
      </c>
      <c r="J43" s="362">
        <f>IFERROR(VLOOKUP(C43,'تقرير المصروفات حسب الشهر'!$C$763:$AD$872,26,FALSE),0)</f>
        <v>0</v>
      </c>
      <c r="K43" s="362">
        <f>IFERROR(VLOOKUP(C43,'تقرير المصروفات حسب الشهر'!$C$890:$AD$999,26,FALSE),0)</f>
        <v>0</v>
      </c>
      <c r="L43" s="362">
        <f>IFERROR(VLOOKUP(C43,'تقرير المصروفات حسب الشهر'!$C$1016:$AD$1126,26,FALSE),0)</f>
        <v>0</v>
      </c>
      <c r="M43" s="376">
        <f>IFERROR(VLOOKUP(C43,'تقرير المصروفات حسب الشهر'!$C$1143:$AD$1254,26,FALSE),0)</f>
        <v>0</v>
      </c>
      <c r="N43" s="376">
        <f>IFERROR(VLOOKUP(C43,'تقرير المصروفات حسب الشهر'!$C$1270:$AD$1381,26,FALSE),0)</f>
        <v>0</v>
      </c>
      <c r="O43" s="376">
        <f>IFERROR(VLOOKUP(C43,'تقرير المصروفات حسب الشهر'!$C$1397:$AI$1512,26,FALSE),0)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الشهر'!$C$10:$AD$119,26,FALSE),0)</f>
        <v>0</v>
      </c>
      <c r="E44" s="362">
        <f>IFERROR(VLOOKUP(C44,'تقرير المصروفات حسب الشهر'!$C$135:$AD$244,26,FALSE),0)</f>
        <v>0</v>
      </c>
      <c r="F44" s="362">
        <f>IFERROR(VLOOKUP(C44,'تقرير المصروفات حسب الشهر'!$C$261:$AD$368,26,FALSE),0)</f>
        <v>0</v>
      </c>
      <c r="G44" s="362">
        <f>IFERROR(VLOOKUP(C44,'تقرير المصروفات حسب الشهر'!$C$387:$AD$495,26,FALSE),0)</f>
        <v>0</v>
      </c>
      <c r="H44" s="362">
        <f>IFERROR(VLOOKUP(C44,'تقرير المصروفات حسب الشهر'!$C$512:$AD$620,26,FALSE),0)</f>
        <v>0</v>
      </c>
      <c r="I44" s="362">
        <f>IFERROR(VLOOKUP(C44,'تقرير المصروفات حسب الشهر'!$C$637:$AD$746,26,FALSE),0)</f>
        <v>0</v>
      </c>
      <c r="J44" s="362">
        <f>IFERROR(VLOOKUP(C44,'تقرير المصروفات حسب الشهر'!$C$763:$AD$872,26,FALSE),0)</f>
        <v>0</v>
      </c>
      <c r="K44" s="362">
        <f>IFERROR(VLOOKUP(C44,'تقرير المصروفات حسب الشهر'!$C$890:$AD$999,26,FALSE),0)</f>
        <v>0</v>
      </c>
      <c r="L44" s="362">
        <f>IFERROR(VLOOKUP(C44,'تقرير المصروفات حسب الشهر'!$C$1016:$AD$1126,26,FALSE),0)</f>
        <v>0</v>
      </c>
      <c r="M44" s="376">
        <f>IFERROR(VLOOKUP(C44,'تقرير المصروفات حسب الشهر'!$C$1143:$AD$1254,26,FALSE),0)</f>
        <v>0</v>
      </c>
      <c r="N44" s="376">
        <f>IFERROR(VLOOKUP(C44,'تقرير المصروفات حسب الشهر'!$C$1270:$AD$1381,26,FALSE),0)</f>
        <v>0</v>
      </c>
      <c r="O44" s="376">
        <f>IFERROR(VLOOKUP(C44,'تقرير المصروفات حسب الشهر'!$C$1397:$AI$1512,26,FALSE),0)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الشهر'!$C$10:$AD$119,26,FALSE),0)</f>
        <v>0</v>
      </c>
      <c r="E45" s="362">
        <f>IFERROR(VLOOKUP(C45,'تقرير المصروفات حسب الشهر'!$C$135:$AD$244,26,FALSE),0)</f>
        <v>0</v>
      </c>
      <c r="F45" s="362">
        <f>IFERROR(VLOOKUP(C45,'تقرير المصروفات حسب الشهر'!$C$261:$AD$368,26,FALSE),0)</f>
        <v>0</v>
      </c>
      <c r="G45" s="362">
        <f>IFERROR(VLOOKUP(C45,'تقرير المصروفات حسب الشهر'!$C$387:$AD$495,26,FALSE),0)</f>
        <v>0</v>
      </c>
      <c r="H45" s="362">
        <f>IFERROR(VLOOKUP(C45,'تقرير المصروفات حسب الشهر'!$C$512:$AD$620,26,FALSE),0)</f>
        <v>0</v>
      </c>
      <c r="I45" s="362">
        <f>IFERROR(VLOOKUP(C45,'تقرير المصروفات حسب الشهر'!$C$637:$AD$746,26,FALSE),0)</f>
        <v>0</v>
      </c>
      <c r="J45" s="362">
        <f>IFERROR(VLOOKUP(C45,'تقرير المصروفات حسب الشهر'!$C$763:$AD$872,26,FALSE),0)</f>
        <v>0</v>
      </c>
      <c r="K45" s="362">
        <f>IFERROR(VLOOKUP(C45,'تقرير المصروفات حسب الشهر'!$C$890:$AD$999,26,FALSE),0)</f>
        <v>0</v>
      </c>
      <c r="L45" s="362">
        <f>IFERROR(VLOOKUP(C45,'تقرير المصروفات حسب الشهر'!$C$1016:$AD$1126,26,FALSE),0)</f>
        <v>0</v>
      </c>
      <c r="M45" s="376">
        <f>IFERROR(VLOOKUP(C45,'تقرير المصروفات حسب الشهر'!$C$1143:$AD$1254,26,FALSE),0)</f>
        <v>0</v>
      </c>
      <c r="N45" s="376">
        <f>IFERROR(VLOOKUP(C45,'تقرير المصروفات حسب الشهر'!$C$1270:$AD$1381,26,FALSE),0)</f>
        <v>0</v>
      </c>
      <c r="O45" s="376">
        <f>IFERROR(VLOOKUP(C45,'تقرير المصروفات حسب الشهر'!$C$1397:$AI$1512,26,FALSE),0)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الشهر'!$C$10:$AD$119,26,FALSE),0)</f>
        <v>0</v>
      </c>
      <c r="E46" s="362">
        <f>IFERROR(VLOOKUP(C46,'تقرير المصروفات حسب الشهر'!$C$135:$AD$244,26,FALSE),0)</f>
        <v>0</v>
      </c>
      <c r="F46" s="362">
        <f>IFERROR(VLOOKUP(C46,'تقرير المصروفات حسب الشهر'!$C$261:$AD$368,26,FALSE),0)</f>
        <v>0</v>
      </c>
      <c r="G46" s="362">
        <f>IFERROR(VLOOKUP(C46,'تقرير المصروفات حسب الشهر'!$C$387:$AD$495,26,FALSE),0)</f>
        <v>0</v>
      </c>
      <c r="H46" s="362">
        <f>IFERROR(VLOOKUP(C46,'تقرير المصروفات حسب الشهر'!$C$512:$AD$620,26,FALSE),0)</f>
        <v>0</v>
      </c>
      <c r="I46" s="362">
        <f>IFERROR(VLOOKUP(C46,'تقرير المصروفات حسب الشهر'!$C$637:$AD$746,26,FALSE),0)</f>
        <v>0</v>
      </c>
      <c r="J46" s="362">
        <f>IFERROR(VLOOKUP(C46,'تقرير المصروفات حسب الشهر'!$C$763:$AD$872,26,FALSE),0)</f>
        <v>0</v>
      </c>
      <c r="K46" s="362">
        <f>IFERROR(VLOOKUP(C46,'تقرير المصروفات حسب الشهر'!$C$890:$AD$999,26,FALSE),0)</f>
        <v>0</v>
      </c>
      <c r="L46" s="362">
        <f>IFERROR(VLOOKUP(C46,'تقرير المصروفات حسب الشهر'!$C$1016:$AD$1126,26,FALSE),0)</f>
        <v>0</v>
      </c>
      <c r="M46" s="376">
        <f>IFERROR(VLOOKUP(C46,'تقرير المصروفات حسب الشهر'!$C$1143:$AD$1254,26,FALSE),0)</f>
        <v>0</v>
      </c>
      <c r="N46" s="376">
        <f>IFERROR(VLOOKUP(C46,'تقرير المصروفات حسب الشهر'!$C$1270:$AD$1381,26,FALSE),0)</f>
        <v>0</v>
      </c>
      <c r="O46" s="376">
        <f>IFERROR(VLOOKUP(C46,'تقرير المصروفات حسب الشهر'!$C$1397:$AI$1512,26,FALSE),0)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الشهر'!$C$10:$AD$119,26,FALSE),0)</f>
        <v>0</v>
      </c>
      <c r="E47" s="362">
        <f>IFERROR(VLOOKUP(C47,'تقرير المصروفات حسب الشهر'!$C$135:$AD$244,26,FALSE),0)</f>
        <v>0</v>
      </c>
      <c r="F47" s="362">
        <f>IFERROR(VLOOKUP(C47,'تقرير المصروفات حسب الشهر'!$C$261:$AD$368,26,FALSE),0)</f>
        <v>0</v>
      </c>
      <c r="G47" s="362">
        <f>IFERROR(VLOOKUP(C47,'تقرير المصروفات حسب الشهر'!$C$387:$AD$495,26,FALSE),0)</f>
        <v>0</v>
      </c>
      <c r="H47" s="362">
        <f>IFERROR(VLOOKUP(C47,'تقرير المصروفات حسب الشهر'!$C$512:$AD$620,26,FALSE),0)</f>
        <v>0</v>
      </c>
      <c r="I47" s="362">
        <f>IFERROR(VLOOKUP(C47,'تقرير المصروفات حسب الشهر'!$C$637:$AD$746,26,FALSE),0)</f>
        <v>0</v>
      </c>
      <c r="J47" s="362">
        <f>IFERROR(VLOOKUP(C47,'تقرير المصروفات حسب الشهر'!$C$763:$AD$872,26,FALSE),0)</f>
        <v>0</v>
      </c>
      <c r="K47" s="362">
        <f>IFERROR(VLOOKUP(C47,'تقرير المصروفات حسب الشهر'!$C$890:$AD$999,26,FALSE),0)</f>
        <v>0</v>
      </c>
      <c r="L47" s="362">
        <f>IFERROR(VLOOKUP(C47,'تقرير المصروفات حسب الشهر'!$C$1016:$AD$1126,26,FALSE),0)</f>
        <v>0</v>
      </c>
      <c r="M47" s="376">
        <f>IFERROR(VLOOKUP(C47,'تقرير المصروفات حسب الشهر'!$C$1143:$AD$1254,26,FALSE),0)</f>
        <v>0</v>
      </c>
      <c r="N47" s="376">
        <f>IFERROR(VLOOKUP(C47,'تقرير المصروفات حسب الشهر'!$C$1270:$AD$1381,26,FALSE),0)</f>
        <v>0</v>
      </c>
      <c r="O47" s="376">
        <f>IFERROR(VLOOKUP(C47,'تقرير المصروفات حسب الشهر'!$C$1397:$AI$1512,26,FALSE),0)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الشهر'!$C$10:$AD$119,26,FALSE),0)</f>
        <v>0</v>
      </c>
      <c r="E48" s="362">
        <f>IFERROR(VLOOKUP(C48,'تقرير المصروفات حسب الشهر'!$C$135:$AD$244,26,FALSE),0)</f>
        <v>0</v>
      </c>
      <c r="F48" s="362">
        <f>IFERROR(VLOOKUP(C48,'تقرير المصروفات حسب الشهر'!$C$261:$AD$368,26,FALSE),0)</f>
        <v>0</v>
      </c>
      <c r="G48" s="362">
        <f>IFERROR(VLOOKUP(C48,'تقرير المصروفات حسب الشهر'!$C$387:$AD$495,26,FALSE),0)</f>
        <v>0</v>
      </c>
      <c r="H48" s="362">
        <f>IFERROR(VLOOKUP(C48,'تقرير المصروفات حسب الشهر'!$C$512:$AD$620,26,FALSE),0)</f>
        <v>0</v>
      </c>
      <c r="I48" s="362">
        <f>IFERROR(VLOOKUP(C48,'تقرير المصروفات حسب الشهر'!$C$637:$AD$746,26,FALSE),0)</f>
        <v>0</v>
      </c>
      <c r="J48" s="362">
        <f>IFERROR(VLOOKUP(C48,'تقرير المصروفات حسب الشهر'!$C$763:$AD$872,26,FALSE),0)</f>
        <v>0</v>
      </c>
      <c r="K48" s="362">
        <f>IFERROR(VLOOKUP(C48,'تقرير المصروفات حسب الشهر'!$C$890:$AD$999,26,FALSE),0)</f>
        <v>0</v>
      </c>
      <c r="L48" s="362">
        <f>IFERROR(VLOOKUP(C48,'تقرير المصروفات حسب الشهر'!$C$1016:$AD$1126,26,FALSE),0)</f>
        <v>0</v>
      </c>
      <c r="M48" s="376">
        <f>IFERROR(VLOOKUP(C48,'تقرير المصروفات حسب الشهر'!$C$1143:$AD$1254,26,FALSE),0)</f>
        <v>0</v>
      </c>
      <c r="N48" s="376">
        <f>IFERROR(VLOOKUP(C48,'تقرير المصروفات حسب الشهر'!$C$1270:$AD$1381,26,FALSE),0)</f>
        <v>0</v>
      </c>
      <c r="O48" s="376">
        <f>IFERROR(VLOOKUP(C48,'تقرير المصروفات حسب الشهر'!$C$1397:$AI$1512,26,FALSE),0)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الشهر'!$C$10:$AD$119,26,FALSE),0)</f>
        <v>0</v>
      </c>
      <c r="E49" s="362">
        <f>IFERROR(VLOOKUP(C49,'تقرير المصروفات حسب الشهر'!$C$135:$AD$244,26,FALSE),0)</f>
        <v>0</v>
      </c>
      <c r="F49" s="362">
        <f>IFERROR(VLOOKUP(C49,'تقرير المصروفات حسب الشهر'!$C$261:$AD$368,26,FALSE),0)</f>
        <v>0</v>
      </c>
      <c r="G49" s="362">
        <f>IFERROR(VLOOKUP(C49,'تقرير المصروفات حسب الشهر'!$C$387:$AD$495,26,FALSE),0)</f>
        <v>0</v>
      </c>
      <c r="H49" s="362">
        <f>IFERROR(VLOOKUP(C49,'تقرير المصروفات حسب الشهر'!$C$512:$AD$620,26,FALSE),0)</f>
        <v>0</v>
      </c>
      <c r="I49" s="362">
        <f>IFERROR(VLOOKUP(C49,'تقرير المصروفات حسب الشهر'!$C$637:$AD$746,26,FALSE),0)</f>
        <v>0</v>
      </c>
      <c r="J49" s="362">
        <f>IFERROR(VLOOKUP(C49,'تقرير المصروفات حسب الشهر'!$C$763:$AD$872,26,FALSE),0)</f>
        <v>0</v>
      </c>
      <c r="K49" s="362">
        <f>IFERROR(VLOOKUP(C49,'تقرير المصروفات حسب الشهر'!$C$890:$AD$999,26,FALSE),0)</f>
        <v>0</v>
      </c>
      <c r="L49" s="362">
        <f>IFERROR(VLOOKUP(C49,'تقرير المصروفات حسب الشهر'!$C$1016:$AD$1126,26,FALSE),0)</f>
        <v>0</v>
      </c>
      <c r="M49" s="376">
        <f>IFERROR(VLOOKUP(C49,'تقرير المصروفات حسب الشهر'!$C$1143:$AD$1254,26,FALSE),0)</f>
        <v>0</v>
      </c>
      <c r="N49" s="376">
        <f>IFERROR(VLOOKUP(C49,'تقرير المصروفات حسب الشهر'!$C$1270:$AD$1381,26,FALSE),0)</f>
        <v>0</v>
      </c>
      <c r="O49" s="376">
        <f>IFERROR(VLOOKUP(C49,'تقرير المصروفات حسب الشهر'!$C$1397:$AI$1512,26,FALSE),0)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الشهر'!$C$10:$AD$119,26,FALSE),0)</f>
        <v>0</v>
      </c>
      <c r="E50" s="362">
        <f>IFERROR(VLOOKUP(C50,'تقرير المصروفات حسب الشهر'!$C$135:$AD$244,26,FALSE),0)</f>
        <v>0</v>
      </c>
      <c r="F50" s="362">
        <f>IFERROR(VLOOKUP(C50,'تقرير المصروفات حسب الشهر'!$C$261:$AD$368,26,FALSE),0)</f>
        <v>0</v>
      </c>
      <c r="G50" s="362">
        <f>IFERROR(VLOOKUP(C50,'تقرير المصروفات حسب الشهر'!$C$387:$AD$495,26,FALSE),0)</f>
        <v>0</v>
      </c>
      <c r="H50" s="362">
        <f>IFERROR(VLOOKUP(C50,'تقرير المصروفات حسب الشهر'!$C$512:$AD$620,26,FALSE),0)</f>
        <v>0</v>
      </c>
      <c r="I50" s="362">
        <f>IFERROR(VLOOKUP(C50,'تقرير المصروفات حسب الشهر'!$C$637:$AD$746,26,FALSE),0)</f>
        <v>0</v>
      </c>
      <c r="J50" s="362">
        <f>IFERROR(VLOOKUP(C50,'تقرير المصروفات حسب الشهر'!$C$763:$AD$872,26,FALSE),0)</f>
        <v>0</v>
      </c>
      <c r="K50" s="362">
        <f>IFERROR(VLOOKUP(C50,'تقرير المصروفات حسب الشهر'!$C$890:$AD$999,26,FALSE),0)</f>
        <v>0</v>
      </c>
      <c r="L50" s="362">
        <f>IFERROR(VLOOKUP(C50,'تقرير المصروفات حسب الشهر'!$C$1016:$AD$1126,26,FALSE),0)</f>
        <v>0</v>
      </c>
      <c r="M50" s="376">
        <f>IFERROR(VLOOKUP(C50,'تقرير المصروفات حسب الشهر'!$C$1143:$AD$1254,26,FALSE),0)</f>
        <v>0</v>
      </c>
      <c r="N50" s="376">
        <f>IFERROR(VLOOKUP(C50,'تقرير المصروفات حسب الشهر'!$C$1270:$AD$1381,26,FALSE),0)</f>
        <v>0</v>
      </c>
      <c r="O50" s="376">
        <f>IFERROR(VLOOKUP(C50,'تقرير المصروفات حسب الشهر'!$C$1397:$AI$1512,26,FALSE),0)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الشهر'!$C$10:$AD$119,26,FALSE),0)</f>
        <v>0</v>
      </c>
      <c r="E51" s="362">
        <f>IFERROR(VLOOKUP(C51,'تقرير المصروفات حسب الشهر'!$C$135:$AD$244,26,FALSE),0)</f>
        <v>0</v>
      </c>
      <c r="F51" s="362">
        <f>IFERROR(VLOOKUP(C51,'تقرير المصروفات حسب الشهر'!$C$261:$AD$368,26,FALSE),0)</f>
        <v>0</v>
      </c>
      <c r="G51" s="362">
        <f>IFERROR(VLOOKUP(C51,'تقرير المصروفات حسب الشهر'!$C$387:$AD$495,26,FALSE),0)</f>
        <v>0</v>
      </c>
      <c r="H51" s="362">
        <f>IFERROR(VLOOKUP(C51,'تقرير المصروفات حسب الشهر'!$C$512:$AD$620,26,FALSE),0)</f>
        <v>0</v>
      </c>
      <c r="I51" s="362">
        <f>IFERROR(VLOOKUP(C51,'تقرير المصروفات حسب الشهر'!$C$637:$AD$746,26,FALSE),0)</f>
        <v>0</v>
      </c>
      <c r="J51" s="362">
        <f>IFERROR(VLOOKUP(C51,'تقرير المصروفات حسب الشهر'!$C$763:$AD$872,26,FALSE),0)</f>
        <v>0</v>
      </c>
      <c r="K51" s="362">
        <f>IFERROR(VLOOKUP(C51,'تقرير المصروفات حسب الشهر'!$C$890:$AD$999,26,FALSE),0)</f>
        <v>0</v>
      </c>
      <c r="L51" s="362">
        <f>IFERROR(VLOOKUP(C51,'تقرير المصروفات حسب الشهر'!$C$1016:$AD$1126,26,FALSE),0)</f>
        <v>0</v>
      </c>
      <c r="M51" s="376">
        <f>IFERROR(VLOOKUP(C51,'تقرير المصروفات حسب الشهر'!$C$1143:$AD$1254,26,FALSE),0)</f>
        <v>0</v>
      </c>
      <c r="N51" s="376">
        <f>IFERROR(VLOOKUP(C51,'تقرير المصروفات حسب الشهر'!$C$1270:$AD$1381,26,FALSE),0)</f>
        <v>0</v>
      </c>
      <c r="O51" s="376">
        <f>IFERROR(VLOOKUP(C51,'تقرير المصروفات حسب الشهر'!$C$1397:$AI$1512,26,FALSE),0)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الشهر'!$C$10:$AD$119,26,FALSE),0)</f>
        <v>0</v>
      </c>
      <c r="E52" s="362">
        <f>IFERROR(VLOOKUP(C52,'تقرير المصروفات حسب الشهر'!$C$135:$AD$244,26,FALSE),0)</f>
        <v>0</v>
      </c>
      <c r="F52" s="362">
        <f>IFERROR(VLOOKUP(C52,'تقرير المصروفات حسب الشهر'!$C$261:$AD$368,26,FALSE),0)</f>
        <v>0</v>
      </c>
      <c r="G52" s="362">
        <f>IFERROR(VLOOKUP(C52,'تقرير المصروفات حسب الشهر'!$C$387:$AD$495,26,FALSE),0)</f>
        <v>0</v>
      </c>
      <c r="H52" s="362">
        <f>IFERROR(VLOOKUP(C52,'تقرير المصروفات حسب الشهر'!$C$512:$AD$620,26,FALSE),0)</f>
        <v>0</v>
      </c>
      <c r="I52" s="362">
        <f>IFERROR(VLOOKUP(C52,'تقرير المصروفات حسب الشهر'!$C$637:$AD$746,26,FALSE),0)</f>
        <v>0</v>
      </c>
      <c r="J52" s="362">
        <f>IFERROR(VLOOKUP(C52,'تقرير المصروفات حسب الشهر'!$C$763:$AD$872,26,FALSE),0)</f>
        <v>0</v>
      </c>
      <c r="K52" s="362">
        <f>IFERROR(VLOOKUP(C52,'تقرير المصروفات حسب الشهر'!$C$890:$AD$999,26,FALSE),0)</f>
        <v>0</v>
      </c>
      <c r="L52" s="362">
        <f>IFERROR(VLOOKUP(C52,'تقرير المصروفات حسب الشهر'!$C$1016:$AD$1126,26,FALSE),0)</f>
        <v>0</v>
      </c>
      <c r="M52" s="376">
        <f>IFERROR(VLOOKUP(C52,'تقرير المصروفات حسب الشهر'!$C$1143:$AD$1254,26,FALSE),0)</f>
        <v>0</v>
      </c>
      <c r="N52" s="376">
        <f>IFERROR(VLOOKUP(C52,'تقرير المصروفات حسب الشهر'!$C$1270:$AD$1381,26,FALSE),0)</f>
        <v>0</v>
      </c>
      <c r="O52" s="376">
        <f>IFERROR(VLOOKUP(C52,'تقرير المصروفات حسب الشهر'!$C$1397:$AI$1512,26,FALSE),0)</f>
        <v>0</v>
      </c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الشهر'!$C$10:$AD$119,26,FALSE),0)</f>
        <v>0</v>
      </c>
      <c r="E53" s="362">
        <f>IFERROR(VLOOKUP(C53,'تقرير المصروفات حسب الشهر'!$C$135:$AD$244,26,FALSE),0)</f>
        <v>0</v>
      </c>
      <c r="F53" s="362">
        <f>IFERROR(VLOOKUP(C53,'تقرير المصروفات حسب الشهر'!$C$261:$AD$368,26,FALSE),0)</f>
        <v>0</v>
      </c>
      <c r="G53" s="362">
        <f>IFERROR(VLOOKUP(C53,'تقرير المصروفات حسب الشهر'!$C$387:$AD$495,26,FALSE),0)</f>
        <v>0</v>
      </c>
      <c r="H53" s="362">
        <f>IFERROR(VLOOKUP(C53,'تقرير المصروفات حسب الشهر'!$C$512:$AD$620,26,FALSE),0)</f>
        <v>0</v>
      </c>
      <c r="I53" s="362">
        <f>IFERROR(VLOOKUP(C53,'تقرير المصروفات حسب الشهر'!$C$637:$AD$746,26,FALSE),0)</f>
        <v>0</v>
      </c>
      <c r="J53" s="362">
        <f>IFERROR(VLOOKUP(C53,'تقرير المصروفات حسب الشهر'!$C$763:$AD$872,26,FALSE),0)</f>
        <v>0</v>
      </c>
      <c r="K53" s="362">
        <f>IFERROR(VLOOKUP(C53,'تقرير المصروفات حسب الشهر'!$C$890:$AD$999,26,FALSE),0)</f>
        <v>0</v>
      </c>
      <c r="L53" s="362">
        <f>IFERROR(VLOOKUP(C53,'تقرير المصروفات حسب الشهر'!$C$1016:$AD$1126,26,FALSE),0)</f>
        <v>0</v>
      </c>
      <c r="M53" s="376">
        <f>IFERROR(VLOOKUP(C53,'تقرير المصروفات حسب الشهر'!$C$1143:$AD$1254,26,FALSE),0)</f>
        <v>0</v>
      </c>
      <c r="N53" s="376">
        <f>IFERROR(VLOOKUP(C53,'تقرير المصروفات حسب الشهر'!$C$1270:$AD$1381,26,FALSE),0)</f>
        <v>0</v>
      </c>
      <c r="O53" s="376">
        <f>IFERROR(VLOOKUP(C53,'تقرير المصروفات حسب الشهر'!$C$1397:$AI$1512,26,FALSE),0)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الشهر'!$C$10:$AD$119,26,FALSE),0)</f>
        <v>0</v>
      </c>
      <c r="E54" s="362">
        <f>IFERROR(VLOOKUP(C54,'تقرير المصروفات حسب الشهر'!$C$135:$AD$244,26,FALSE),0)</f>
        <v>600</v>
      </c>
      <c r="F54" s="362">
        <f>IFERROR(VLOOKUP(C54,'تقرير المصروفات حسب الشهر'!$C$261:$AD$368,26,FALSE),0)</f>
        <v>0</v>
      </c>
      <c r="G54" s="362">
        <f>IFERROR(VLOOKUP(C54,'تقرير المصروفات حسب الشهر'!$C$387:$AD$495,26,FALSE),0)</f>
        <v>0</v>
      </c>
      <c r="H54" s="362">
        <f>IFERROR(VLOOKUP(C54,'تقرير المصروفات حسب الشهر'!$C$512:$AD$620,26,FALSE),0)</f>
        <v>600</v>
      </c>
      <c r="I54" s="362">
        <f>IFERROR(VLOOKUP(C54,'تقرير المصروفات حسب الشهر'!$C$637:$AD$746,26,FALSE),0)</f>
        <v>0</v>
      </c>
      <c r="J54" s="362">
        <f>IFERROR(VLOOKUP(C54,'تقرير المصروفات حسب الشهر'!$C$763:$AD$872,26,FALSE),0)</f>
        <v>0</v>
      </c>
      <c r="K54" s="362">
        <f>IFERROR(VLOOKUP(C54,'تقرير المصروفات حسب الشهر'!$C$890:$AD$999,26,FALSE),0)</f>
        <v>0</v>
      </c>
      <c r="L54" s="362">
        <f>IFERROR(VLOOKUP(C54,'تقرير المصروفات حسب الشهر'!$C$1016:$AD$1126,26,FALSE),0)</f>
        <v>0</v>
      </c>
      <c r="M54" s="376">
        <f>IFERROR(VLOOKUP(C54,'تقرير المصروفات حسب الشهر'!$C$1143:$AD$1254,26,FALSE),0)</f>
        <v>200</v>
      </c>
      <c r="N54" s="376">
        <f>IFERROR(VLOOKUP(C54,'تقرير المصروفات حسب الشهر'!$C$1270:$AD$1381,26,FALSE),0)</f>
        <v>0</v>
      </c>
      <c r="O54" s="376">
        <f>IFERROR(VLOOKUP(C54,'تقرير المصروفات حسب الشهر'!$C$1397:$AI$1512,26,FALSE),0)</f>
        <v>0</v>
      </c>
      <c r="P54" s="364">
        <f t="shared" si="5"/>
        <v>1400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الشهر'!$C$10:$AD$119,26,FALSE),0)</f>
        <v>0</v>
      </c>
      <c r="E55" s="362">
        <f>IFERROR(VLOOKUP(C55,'تقرير المصروفات حسب الشهر'!$C$135:$AD$244,26,FALSE),0)</f>
        <v>0</v>
      </c>
      <c r="F55" s="362">
        <f>IFERROR(VLOOKUP(C55,'تقرير المصروفات حسب الشهر'!$C$261:$AD$368,26,FALSE),0)</f>
        <v>0</v>
      </c>
      <c r="G55" s="362">
        <f>IFERROR(VLOOKUP(C55,'تقرير المصروفات حسب الشهر'!$C$387:$AD$495,26,FALSE),0)</f>
        <v>0</v>
      </c>
      <c r="H55" s="362">
        <f>IFERROR(VLOOKUP(C55,'تقرير المصروفات حسب الشهر'!$C$512:$AD$620,26,FALSE),0)</f>
        <v>0</v>
      </c>
      <c r="I55" s="362">
        <f>IFERROR(VLOOKUP(C55,'تقرير المصروفات حسب الشهر'!$C$637:$AD$746,26,FALSE),0)</f>
        <v>0</v>
      </c>
      <c r="J55" s="362">
        <f>IFERROR(VLOOKUP(C55,'تقرير المصروفات حسب الشهر'!$C$763:$AD$872,26,FALSE),0)</f>
        <v>0</v>
      </c>
      <c r="K55" s="362">
        <f>IFERROR(VLOOKUP(C55,'تقرير المصروفات حسب الشهر'!$C$890:$AD$999,26,FALSE),0)</f>
        <v>0</v>
      </c>
      <c r="L55" s="362">
        <f>IFERROR(VLOOKUP(C55,'تقرير المصروفات حسب الشهر'!$C$1016:$AD$1126,26,FALSE),0)</f>
        <v>0</v>
      </c>
      <c r="M55" s="376">
        <f>IFERROR(VLOOKUP(C55,'تقرير المصروفات حسب الشهر'!$C$1143:$AD$1254,26,FALSE),0)</f>
        <v>0</v>
      </c>
      <c r="N55" s="376">
        <f>IFERROR(VLOOKUP(C55,'تقرير المصروفات حسب الشهر'!$C$1270:$AD$1381,26,FALSE),0)</f>
        <v>0</v>
      </c>
      <c r="O55" s="376">
        <f>IFERROR(VLOOKUP(C55,'تقرير المصروفات حسب الشهر'!$C$1397:$AI$1512,26,FALSE),0)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الشهر'!$C$10:$AD$119,26,FALSE),0)</f>
        <v>0</v>
      </c>
      <c r="E56" s="362">
        <f>IFERROR(VLOOKUP(C56,'تقرير المصروفات حسب الشهر'!$C$135:$AD$244,26,FALSE),0)</f>
        <v>0</v>
      </c>
      <c r="F56" s="362">
        <f>IFERROR(VLOOKUP(C56,'تقرير المصروفات حسب الشهر'!$C$261:$AD$368,26,FALSE),0)</f>
        <v>0</v>
      </c>
      <c r="G56" s="362">
        <f>IFERROR(VLOOKUP(C56,'تقرير المصروفات حسب الشهر'!$C$387:$AD$495,26,FALSE),0)</f>
        <v>0</v>
      </c>
      <c r="H56" s="362">
        <f>IFERROR(VLOOKUP(C56,'تقرير المصروفات حسب الشهر'!$C$512:$AD$620,26,FALSE),0)</f>
        <v>0</v>
      </c>
      <c r="I56" s="362">
        <f>IFERROR(VLOOKUP(C56,'تقرير المصروفات حسب الشهر'!$C$637:$AD$746,26,FALSE),0)</f>
        <v>0</v>
      </c>
      <c r="J56" s="362">
        <f>IFERROR(VLOOKUP(C56,'تقرير المصروفات حسب الشهر'!$C$763:$AD$872,26,FALSE),0)</f>
        <v>0</v>
      </c>
      <c r="K56" s="362">
        <f>IFERROR(VLOOKUP(C56,'تقرير المصروفات حسب الشهر'!$C$890:$AD$999,26,FALSE),0)</f>
        <v>0</v>
      </c>
      <c r="L56" s="362">
        <f>IFERROR(VLOOKUP(C56,'تقرير المصروفات حسب الشهر'!$C$1016:$AD$1126,26,FALSE),0)</f>
        <v>0</v>
      </c>
      <c r="M56" s="376">
        <f>IFERROR(VLOOKUP(C56,'تقرير المصروفات حسب الشهر'!$C$1143:$AD$1254,26,FALSE),0)</f>
        <v>0</v>
      </c>
      <c r="N56" s="376">
        <f>IFERROR(VLOOKUP(C56,'تقرير المصروفات حسب الشهر'!$C$1270:$AD$1381,26,FALSE),0)</f>
        <v>0</v>
      </c>
      <c r="O56" s="376">
        <f>IFERROR(VLOOKUP(C56,'تقرير المصروفات حسب الشهر'!$C$1397:$AI$1512,26,FALSE),0)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الشهر'!$C$10:$AD$119,26,FALSE),0)</f>
        <v>0</v>
      </c>
      <c r="E57" s="362">
        <f>IFERROR(VLOOKUP(C57,'تقرير المصروفات حسب الشهر'!$C$135:$AD$244,26,FALSE),0)</f>
        <v>0</v>
      </c>
      <c r="F57" s="362">
        <f>IFERROR(VLOOKUP(C57,'تقرير المصروفات حسب الشهر'!$C$261:$AD$368,26,FALSE),0)</f>
        <v>0</v>
      </c>
      <c r="G57" s="362">
        <f>IFERROR(VLOOKUP(C57,'تقرير المصروفات حسب الشهر'!$C$387:$AD$495,26,FALSE),0)</f>
        <v>0</v>
      </c>
      <c r="H57" s="362">
        <f>IFERROR(VLOOKUP(C57,'تقرير المصروفات حسب الشهر'!$C$512:$AD$620,26,FALSE),0)</f>
        <v>0</v>
      </c>
      <c r="I57" s="362">
        <f>IFERROR(VLOOKUP(C57,'تقرير المصروفات حسب الشهر'!$C$637:$AD$746,26,FALSE),0)</f>
        <v>0</v>
      </c>
      <c r="J57" s="362">
        <f>IFERROR(VLOOKUP(C57,'تقرير المصروفات حسب الشهر'!$C$763:$AD$872,26,FALSE),0)</f>
        <v>0</v>
      </c>
      <c r="K57" s="362">
        <f>IFERROR(VLOOKUP(C57,'تقرير المصروفات حسب الشهر'!$C$890:$AD$999,26,FALSE),0)</f>
        <v>0</v>
      </c>
      <c r="L57" s="362">
        <f>IFERROR(VLOOKUP(C57,'تقرير المصروفات حسب الشهر'!$C$1016:$AD$1126,26,FALSE),0)</f>
        <v>0</v>
      </c>
      <c r="M57" s="376">
        <f>IFERROR(VLOOKUP(C57,'تقرير المصروفات حسب الشهر'!$C$1143:$AD$1254,26,FALSE),0)</f>
        <v>0</v>
      </c>
      <c r="N57" s="376">
        <f>IFERROR(VLOOKUP(C57,'تقرير المصروفات حسب الشهر'!$C$1270:$AD$1381,26,FALSE),0)</f>
        <v>0</v>
      </c>
      <c r="O57" s="376">
        <f>IFERROR(VLOOKUP(C57,'تقرير المصروفات حسب الشهر'!$C$1397:$AI$1512,26,FALSE),0)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الشهر'!$C$10:$AD$119,26,FALSE),0)</f>
        <v>0</v>
      </c>
      <c r="E58" s="362">
        <f>IFERROR(VLOOKUP(C58,'تقرير المصروفات حسب الشهر'!$C$135:$AD$244,26,FALSE),0)</f>
        <v>0</v>
      </c>
      <c r="F58" s="362">
        <f>IFERROR(VLOOKUP(C58,'تقرير المصروفات حسب الشهر'!$C$261:$AD$368,26,FALSE),0)</f>
        <v>0</v>
      </c>
      <c r="G58" s="362">
        <f>IFERROR(VLOOKUP(C58,'تقرير المصروفات حسب الشهر'!$C$387:$AD$495,26,FALSE),0)</f>
        <v>0</v>
      </c>
      <c r="H58" s="362">
        <f>IFERROR(VLOOKUP(C58,'تقرير المصروفات حسب الشهر'!$C$512:$AD$620,26,FALSE),0)</f>
        <v>0</v>
      </c>
      <c r="I58" s="362">
        <f>IFERROR(VLOOKUP(C58,'تقرير المصروفات حسب الشهر'!$C$637:$AD$746,26,FALSE),0)</f>
        <v>0</v>
      </c>
      <c r="J58" s="362">
        <f>IFERROR(VLOOKUP(C58,'تقرير المصروفات حسب الشهر'!$C$763:$AD$872,26,FALSE),0)</f>
        <v>0</v>
      </c>
      <c r="K58" s="362">
        <f>IFERROR(VLOOKUP(C58,'تقرير المصروفات حسب الشهر'!$C$890:$AD$999,26,FALSE),0)</f>
        <v>0</v>
      </c>
      <c r="L58" s="362">
        <f>IFERROR(VLOOKUP(C58,'تقرير المصروفات حسب الشهر'!$C$1016:$AD$1126,26,FALSE),0)</f>
        <v>0</v>
      </c>
      <c r="M58" s="376">
        <f>IFERROR(VLOOKUP(C58,'تقرير المصروفات حسب الشهر'!$C$1143:$AD$1254,26,FALSE),0)</f>
        <v>0</v>
      </c>
      <c r="N58" s="376">
        <f>IFERROR(VLOOKUP(C58,'تقرير المصروفات حسب الشهر'!$C$1270:$AD$1381,26,FALSE),0)</f>
        <v>0</v>
      </c>
      <c r="O58" s="376">
        <f>IFERROR(VLOOKUP(C58,'تقرير المصروفات حسب الشهر'!$C$1397:$AI$1512,26,FALSE),0)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الشهر'!$C$10:$AD$119,26,FALSE),0)</f>
        <v>0</v>
      </c>
      <c r="E59" s="362">
        <f>IFERROR(VLOOKUP(C59,'تقرير المصروفات حسب الشهر'!$C$135:$AD$244,26,FALSE),0)</f>
        <v>6985.25</v>
      </c>
      <c r="F59" s="362">
        <f>IFERROR(VLOOKUP(C59,'تقرير المصروفات حسب الشهر'!$C$261:$AD$368,26,FALSE),0)</f>
        <v>3225.6</v>
      </c>
      <c r="G59" s="362">
        <f>IFERROR(VLOOKUP(C59,'تقرير المصروفات حسب الشهر'!$C$387:$AD$495,26,FALSE),0)</f>
        <v>3444.5</v>
      </c>
      <c r="H59" s="362">
        <f>IFERROR(VLOOKUP(C59,'تقرير المصروفات حسب الشهر'!$C$512:$AD$620,26,FALSE),0)</f>
        <v>0</v>
      </c>
      <c r="I59" s="362">
        <f>IFERROR(VLOOKUP(C59,'تقرير المصروفات حسب الشهر'!$C$637:$AD$746,26,FALSE),0)</f>
        <v>2144.5</v>
      </c>
      <c r="J59" s="362">
        <f>IFERROR(VLOOKUP(C59,'تقرير المصروفات حسب الشهر'!$C$763:$AD$872,26,FALSE),0)</f>
        <v>2223.25</v>
      </c>
      <c r="K59" s="362">
        <f>IFERROR(VLOOKUP(C59,'تقرير المصروفات حسب الشهر'!$C$890:$AD$999,26,FALSE),0)</f>
        <v>0</v>
      </c>
      <c r="L59" s="362">
        <f>IFERROR(VLOOKUP(C59,'تقرير المصروفات حسب الشهر'!$C$1016:$AD$1126,26,FALSE),0)</f>
        <v>7333.35</v>
      </c>
      <c r="M59" s="376">
        <f>IFERROR(VLOOKUP(C59,'تقرير المصروفات حسب الشهر'!$C$1143:$AD$1254,26,FALSE),0)</f>
        <v>4999.25</v>
      </c>
      <c r="N59" s="376">
        <f>IFERROR(VLOOKUP(C59,'تقرير المصروفات حسب الشهر'!$C$1270:$AD$1381,26,FALSE),0)</f>
        <v>8777.25</v>
      </c>
      <c r="O59" s="376">
        <f>IFERROR(VLOOKUP(C59,'تقرير المصروفات حسب الشهر'!$C$1397:$AI$1512,26,FALSE),0)</f>
        <v>5555.25</v>
      </c>
      <c r="P59" s="364">
        <f t="shared" si="5"/>
        <v>44688.2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الشهر'!$C$10:$AD$119,26,FALSE),0)</f>
        <v>3120</v>
      </c>
      <c r="E60" s="362">
        <f>IFERROR(VLOOKUP(C60,'تقرير المصروفات حسب الشهر'!$C$135:$AD$244,26,FALSE),0)</f>
        <v>0</v>
      </c>
      <c r="F60" s="362">
        <f>IFERROR(VLOOKUP(C60,'تقرير المصروفات حسب الشهر'!$C$261:$AD$368,26,FALSE),0)</f>
        <v>750</v>
      </c>
      <c r="G60" s="362">
        <f>IFERROR(VLOOKUP(C60,'تقرير المصروفات حسب الشهر'!$C$387:$AD$495,26,FALSE),0)</f>
        <v>4650</v>
      </c>
      <c r="H60" s="362">
        <f>IFERROR(VLOOKUP(C60,'تقرير المصروفات حسب الشهر'!$C$512:$AD$620,26,FALSE),0)</f>
        <v>0</v>
      </c>
      <c r="I60" s="362">
        <f>IFERROR(VLOOKUP(C60,'تقرير المصروفات حسب الشهر'!$C$637:$AD$746,26,FALSE),0)</f>
        <v>3875</v>
      </c>
      <c r="J60" s="362">
        <f>IFERROR(VLOOKUP(C60,'تقرير المصروفات حسب الشهر'!$C$763:$AD$872,26,FALSE),0)</f>
        <v>0</v>
      </c>
      <c r="K60" s="362">
        <f>IFERROR(VLOOKUP(C60,'تقرير المصروفات حسب الشهر'!$C$890:$AD$999,26,FALSE),0)</f>
        <v>0</v>
      </c>
      <c r="L60" s="362">
        <f>IFERROR(VLOOKUP(C60,'تقرير المصروفات حسب الشهر'!$C$1016:$AD$1126,26,FALSE),0)</f>
        <v>0</v>
      </c>
      <c r="M60" s="376">
        <f>IFERROR(VLOOKUP(C60,'تقرير المصروفات حسب الشهر'!$C$1143:$AD$1254,26,FALSE),0)</f>
        <v>0</v>
      </c>
      <c r="N60" s="376">
        <f>IFERROR(VLOOKUP(C60,'تقرير المصروفات حسب الشهر'!$C$1270:$AD$1381,26,FALSE),0)</f>
        <v>0</v>
      </c>
      <c r="O60" s="376">
        <f>IFERROR(VLOOKUP(C60,'تقرير المصروفات حسب الشهر'!$C$1397:$AI$1512,26,FALSE),0)</f>
        <v>1650</v>
      </c>
      <c r="P60" s="364">
        <f t="shared" si="5"/>
        <v>14045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الشهر'!$C$10:$AD$119,26,FALSE),0)</f>
        <v>0</v>
      </c>
      <c r="E61" s="362">
        <f>IFERROR(VLOOKUP(C61,'تقرير المصروفات حسب الشهر'!$C$135:$AD$244,26,FALSE),0)</f>
        <v>100</v>
      </c>
      <c r="F61" s="362">
        <f>IFERROR(VLOOKUP(C61,'تقرير المصروفات حسب الشهر'!$C$261:$AD$368,26,FALSE),0)</f>
        <v>0</v>
      </c>
      <c r="G61" s="362">
        <f>IFERROR(VLOOKUP(C61,'تقرير المصروفات حسب الشهر'!$C$387:$AD$495,26,FALSE),0)</f>
        <v>0</v>
      </c>
      <c r="H61" s="362">
        <f>IFERROR(VLOOKUP(C61,'تقرير المصروفات حسب الشهر'!$C$512:$AD$620,26,FALSE),0)</f>
        <v>0</v>
      </c>
      <c r="I61" s="362">
        <f>IFERROR(VLOOKUP(C61,'تقرير المصروفات حسب الشهر'!$C$637:$AD$746,26,FALSE),0)</f>
        <v>0</v>
      </c>
      <c r="J61" s="362">
        <f>IFERROR(VLOOKUP(C61,'تقرير المصروفات حسب الشهر'!$C$763:$AD$872,26,FALSE),0)</f>
        <v>0</v>
      </c>
      <c r="K61" s="362">
        <f>IFERROR(VLOOKUP(C61,'تقرير المصروفات حسب الشهر'!$C$890:$AD$999,26,FALSE),0)</f>
        <v>0</v>
      </c>
      <c r="L61" s="362">
        <f>IFERROR(VLOOKUP(C61,'تقرير المصروفات حسب الشهر'!$C$1016:$AD$1126,26,FALSE),0)</f>
        <v>350</v>
      </c>
      <c r="M61" s="376">
        <f>IFERROR(VLOOKUP(C61,'تقرير المصروفات حسب الشهر'!$C$1143:$AD$1254,26,FALSE),0)</f>
        <v>0</v>
      </c>
      <c r="N61" s="376">
        <f>IFERROR(VLOOKUP(C61,'تقرير المصروفات حسب الشهر'!$C$1270:$AD$1381,26,FALSE),0)</f>
        <v>0</v>
      </c>
      <c r="O61" s="376">
        <f>IFERROR(VLOOKUP(C61,'تقرير المصروفات حسب الشهر'!$C$1397:$AI$1512,26,FALSE),0)</f>
        <v>0</v>
      </c>
      <c r="P61" s="364">
        <f t="shared" si="5"/>
        <v>450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الشهر'!$C$10:$AD$119,26,FALSE),0)</f>
        <v>0</v>
      </c>
      <c r="E62" s="362">
        <f>IFERROR(VLOOKUP(C62,'تقرير المصروفات حسب الشهر'!$C$135:$AD$244,26,FALSE),0)</f>
        <v>0</v>
      </c>
      <c r="F62" s="362">
        <f>IFERROR(VLOOKUP(C62,'تقرير المصروفات حسب الشهر'!$C$261:$AD$368,26,FALSE),0)</f>
        <v>0</v>
      </c>
      <c r="G62" s="362">
        <f>IFERROR(VLOOKUP(C62,'تقرير المصروفات حسب الشهر'!$C$387:$AD$495,26,FALSE),0)</f>
        <v>0</v>
      </c>
      <c r="H62" s="362">
        <f>IFERROR(VLOOKUP(C62,'تقرير المصروفات حسب الشهر'!$C$512:$AD$620,26,FALSE),0)</f>
        <v>0</v>
      </c>
      <c r="I62" s="362">
        <f>IFERROR(VLOOKUP(C62,'تقرير المصروفات حسب الشهر'!$C$637:$AD$746,26,FALSE),0)</f>
        <v>0</v>
      </c>
      <c r="J62" s="362">
        <f>IFERROR(VLOOKUP(C62,'تقرير المصروفات حسب الشهر'!$C$763:$AD$872,26,FALSE),0)</f>
        <v>0</v>
      </c>
      <c r="K62" s="362">
        <f>IFERROR(VLOOKUP(C62,'تقرير المصروفات حسب الشهر'!$C$890:$AD$999,26,FALSE),0)</f>
        <v>0</v>
      </c>
      <c r="L62" s="362">
        <f>IFERROR(VLOOKUP(C62,'تقرير المصروفات حسب الشهر'!$C$1016:$AD$1126,26,FALSE),0)</f>
        <v>0</v>
      </c>
      <c r="M62" s="376">
        <f>IFERROR(VLOOKUP(C62,'تقرير المصروفات حسب الشهر'!$C$1143:$AD$1254,26,FALSE),0)</f>
        <v>0</v>
      </c>
      <c r="N62" s="376">
        <f>IFERROR(VLOOKUP(C62,'تقرير المصروفات حسب الشهر'!$C$1270:$AD$1381,26,FALSE),0)</f>
        <v>0</v>
      </c>
      <c r="O62" s="376">
        <f>IFERROR(VLOOKUP(C62,'تقرير المصروفات حسب الشهر'!$C$1397:$AI$1512,26,FALSE),0)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الشهر'!$C$10:$AD$119,26,FALSE),0)</f>
        <v>0</v>
      </c>
      <c r="E63" s="362">
        <f>IFERROR(VLOOKUP(C63,'تقرير المصروفات حسب الشهر'!$C$135:$AD$244,26,FALSE),0)</f>
        <v>0</v>
      </c>
      <c r="F63" s="362">
        <f>IFERROR(VLOOKUP(C63,'تقرير المصروفات حسب الشهر'!$C$261:$AD$368,26,FALSE),0)</f>
        <v>0</v>
      </c>
      <c r="G63" s="362">
        <f>IFERROR(VLOOKUP(C63,'تقرير المصروفات حسب الشهر'!$C$387:$AD$495,26,FALSE),0)</f>
        <v>0</v>
      </c>
      <c r="H63" s="362">
        <f>IFERROR(VLOOKUP(C63,'تقرير المصروفات حسب الشهر'!$C$512:$AD$620,26,FALSE),0)</f>
        <v>0</v>
      </c>
      <c r="I63" s="362">
        <f>IFERROR(VLOOKUP(C63,'تقرير المصروفات حسب الشهر'!$C$637:$AD$746,26,FALSE),0)</f>
        <v>0</v>
      </c>
      <c r="J63" s="362">
        <f>IFERROR(VLOOKUP(C63,'تقرير المصروفات حسب الشهر'!$C$763:$AD$872,26,FALSE),0)</f>
        <v>0</v>
      </c>
      <c r="K63" s="362">
        <f>IFERROR(VLOOKUP(C63,'تقرير المصروفات حسب الشهر'!$C$890:$AD$999,26,FALSE),0)</f>
        <v>0</v>
      </c>
      <c r="L63" s="362">
        <f>IFERROR(VLOOKUP(C63,'تقرير المصروفات حسب الشهر'!$C$1016:$AD$1126,26,FALSE),0)</f>
        <v>0</v>
      </c>
      <c r="M63" s="376">
        <f>IFERROR(VLOOKUP(C63,'تقرير المصروفات حسب الشهر'!$C$1143:$AD$1254,26,FALSE),0)</f>
        <v>0</v>
      </c>
      <c r="N63" s="376">
        <f>IFERROR(VLOOKUP(C63,'تقرير المصروفات حسب الشهر'!$C$1270:$AD$1381,26,FALSE),0)</f>
        <v>0</v>
      </c>
      <c r="O63" s="376">
        <f>IFERROR(VLOOKUP(C63,'تقرير المصروفات حسب الشهر'!$C$1397:$AI$1512,26,FALSE),0)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الشهر'!$C$10:$AD$119,26,FALSE),0)</f>
        <v>0</v>
      </c>
      <c r="E64" s="362">
        <f>IFERROR(VLOOKUP(C64,'تقرير المصروفات حسب الشهر'!$C$135:$AD$244,26,FALSE),0)</f>
        <v>0</v>
      </c>
      <c r="F64" s="362">
        <f>IFERROR(VLOOKUP(C64,'تقرير المصروفات حسب الشهر'!$C$261:$AD$368,26,FALSE),0)</f>
        <v>0</v>
      </c>
      <c r="G64" s="362">
        <f>IFERROR(VLOOKUP(C64,'تقرير المصروفات حسب الشهر'!$C$387:$AD$495,26,FALSE),0)</f>
        <v>0</v>
      </c>
      <c r="H64" s="362">
        <f>IFERROR(VLOOKUP(C64,'تقرير المصروفات حسب الشهر'!$C$512:$AD$620,26,FALSE),0)</f>
        <v>0</v>
      </c>
      <c r="I64" s="362">
        <f>IFERROR(VLOOKUP(C64,'تقرير المصروفات حسب الشهر'!$C$637:$AD$746,26,FALSE),0)</f>
        <v>0</v>
      </c>
      <c r="J64" s="362">
        <f>IFERROR(VLOOKUP(C64,'تقرير المصروفات حسب الشهر'!$C$763:$AD$872,26,FALSE),0)</f>
        <v>0</v>
      </c>
      <c r="K64" s="362">
        <f>IFERROR(VLOOKUP(C64,'تقرير المصروفات حسب الشهر'!$C$890:$AD$999,26,FALSE),0)</f>
        <v>0</v>
      </c>
      <c r="L64" s="362">
        <f>IFERROR(VLOOKUP(C64,'تقرير المصروفات حسب الشهر'!$C$1016:$AD$1126,26,FALSE),0)</f>
        <v>0</v>
      </c>
      <c r="M64" s="376">
        <f>IFERROR(VLOOKUP(C64,'تقرير المصروفات حسب الشهر'!$C$1143:$AD$1254,26,FALSE),0)</f>
        <v>450</v>
      </c>
      <c r="N64" s="376">
        <f>IFERROR(VLOOKUP(C64,'تقرير المصروفات حسب الشهر'!$C$1270:$AD$1381,26,FALSE),0)</f>
        <v>1020</v>
      </c>
      <c r="O64" s="376">
        <f>IFERROR(VLOOKUP(C64,'تقرير المصروفات حسب الشهر'!$C$1397:$AI$1512,26,FALSE),0)</f>
        <v>0</v>
      </c>
      <c r="P64" s="364">
        <f t="shared" si="5"/>
        <v>1470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الشهر'!$C$10:$AD$119,26,FALSE),0)</f>
        <v>0</v>
      </c>
      <c r="E65" s="362">
        <f>IFERROR(VLOOKUP(C65,'تقرير المصروفات حسب الشهر'!$C$135:$AD$244,26,FALSE),0)</f>
        <v>0</v>
      </c>
      <c r="F65" s="362">
        <f>IFERROR(VLOOKUP(C65,'تقرير المصروفات حسب الشهر'!$C$261:$AD$368,26,FALSE),0)</f>
        <v>0</v>
      </c>
      <c r="G65" s="362">
        <f>IFERROR(VLOOKUP(C65,'تقرير المصروفات حسب الشهر'!$C$387:$AD$495,26,FALSE),0)</f>
        <v>0</v>
      </c>
      <c r="H65" s="362">
        <f>IFERROR(VLOOKUP(C65,'تقرير المصروفات حسب الشهر'!$C$512:$AD$620,26,FALSE),0)</f>
        <v>0</v>
      </c>
      <c r="I65" s="362">
        <f>IFERROR(VLOOKUP(C65,'تقرير المصروفات حسب الشهر'!$C$637:$AD$746,26,FALSE),0)</f>
        <v>0</v>
      </c>
      <c r="J65" s="362">
        <f>IFERROR(VLOOKUP(C65,'تقرير المصروفات حسب الشهر'!$C$763:$AD$872,26,FALSE),0)</f>
        <v>0</v>
      </c>
      <c r="K65" s="362">
        <f>IFERROR(VLOOKUP(C65,'تقرير المصروفات حسب الشهر'!$C$890:$AD$999,26,FALSE),0)</f>
        <v>0</v>
      </c>
      <c r="L65" s="362">
        <f>IFERROR(VLOOKUP(C65,'تقرير المصروفات حسب الشهر'!$C$1016:$AD$1126,26,FALSE),0)</f>
        <v>0</v>
      </c>
      <c r="M65" s="376">
        <f>IFERROR(VLOOKUP(C65,'تقرير المصروفات حسب الشهر'!$C$1143:$AD$1254,26,FALSE),0)</f>
        <v>0</v>
      </c>
      <c r="N65" s="376">
        <f>IFERROR(VLOOKUP(C65,'تقرير المصروفات حسب الشهر'!$C$1270:$AD$1381,26,FALSE),0)</f>
        <v>0</v>
      </c>
      <c r="O65" s="376">
        <f>IFERROR(VLOOKUP(C65,'تقرير المصروفات حسب الشهر'!$C$1397:$AI$1512,26,FALSE),0)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الشهر'!$C$10:$AD$119,26,FALSE),0)</f>
        <v>0</v>
      </c>
      <c r="E66" s="362">
        <f>IFERROR(VLOOKUP(C66,'تقرير المصروفات حسب الشهر'!$C$135:$AD$244,26,FALSE),0)</f>
        <v>0</v>
      </c>
      <c r="F66" s="362">
        <f>IFERROR(VLOOKUP(C66,'تقرير المصروفات حسب الشهر'!$C$261:$AD$368,26,FALSE),0)</f>
        <v>0</v>
      </c>
      <c r="G66" s="362">
        <f>IFERROR(VLOOKUP(C66,'تقرير المصروفات حسب الشهر'!$C$387:$AD$495,26,FALSE),0)</f>
        <v>0</v>
      </c>
      <c r="H66" s="362">
        <f>IFERROR(VLOOKUP(C66,'تقرير المصروفات حسب الشهر'!$C$512:$AD$620,26,FALSE),0)</f>
        <v>0</v>
      </c>
      <c r="I66" s="362">
        <f>IFERROR(VLOOKUP(C66,'تقرير المصروفات حسب الشهر'!$C$637:$AD$746,26,FALSE),0)</f>
        <v>0</v>
      </c>
      <c r="J66" s="362">
        <f>IFERROR(VLOOKUP(C66,'تقرير المصروفات حسب الشهر'!$C$763:$AD$872,26,FALSE),0)</f>
        <v>0</v>
      </c>
      <c r="K66" s="362">
        <f>IFERROR(VLOOKUP(C66,'تقرير المصروفات حسب الشهر'!$C$890:$AD$999,26,FALSE),0)</f>
        <v>0</v>
      </c>
      <c r="L66" s="362">
        <f>IFERROR(VLOOKUP(C66,'تقرير المصروفات حسب الشهر'!$C$1016:$AD$1126,26,FALSE),0)</f>
        <v>0</v>
      </c>
      <c r="M66" s="376">
        <f>IFERROR(VLOOKUP(C66,'تقرير المصروفات حسب الشهر'!$C$1143:$AD$1254,26,FALSE),0)</f>
        <v>0</v>
      </c>
      <c r="N66" s="376">
        <f>IFERROR(VLOOKUP(C66,'تقرير المصروفات حسب الشهر'!$C$1270:$AD$1381,26,FALSE),0)</f>
        <v>0</v>
      </c>
      <c r="O66" s="376">
        <f>IFERROR(VLOOKUP(C66,'تقرير المصروفات حسب الشهر'!$C$1397:$AI$1512,26,FALSE),0)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الشهر'!$C$10:$AD$119,26,FALSE),0)</f>
        <v>0</v>
      </c>
      <c r="E67" s="362">
        <f>IFERROR(VLOOKUP(C67,'تقرير المصروفات حسب الشهر'!$C$135:$AD$244,26,FALSE),0)</f>
        <v>0</v>
      </c>
      <c r="F67" s="362">
        <f>IFERROR(VLOOKUP(C67,'تقرير المصروفات حسب الشهر'!$C$261:$AD$368,26,FALSE),0)</f>
        <v>0</v>
      </c>
      <c r="G67" s="362">
        <f>IFERROR(VLOOKUP(C67,'تقرير المصروفات حسب الشهر'!$C$387:$AD$495,26,FALSE),0)</f>
        <v>0</v>
      </c>
      <c r="H67" s="362">
        <f>IFERROR(VLOOKUP(C67,'تقرير المصروفات حسب الشهر'!$C$512:$AD$620,26,FALSE),0)</f>
        <v>0</v>
      </c>
      <c r="I67" s="362">
        <f>IFERROR(VLOOKUP(C67,'تقرير المصروفات حسب الشهر'!$C$637:$AD$746,26,FALSE),0)</f>
        <v>0</v>
      </c>
      <c r="J67" s="362">
        <f>IFERROR(VLOOKUP(C67,'تقرير المصروفات حسب الشهر'!$C$763:$AD$872,26,FALSE),0)</f>
        <v>0</v>
      </c>
      <c r="K67" s="362">
        <f>IFERROR(VLOOKUP(C67,'تقرير المصروفات حسب الشهر'!$C$890:$AD$999,26,FALSE),0)</f>
        <v>0</v>
      </c>
      <c r="L67" s="362">
        <f>IFERROR(VLOOKUP(C67,'تقرير المصروفات حسب الشهر'!$C$1016:$AD$1126,26,FALSE),0)</f>
        <v>0</v>
      </c>
      <c r="M67" s="376">
        <f>IFERROR(VLOOKUP(C67,'تقرير المصروفات حسب الشهر'!$C$1143:$AD$1254,26,FALSE),0)</f>
        <v>0</v>
      </c>
      <c r="N67" s="376">
        <f>IFERROR(VLOOKUP(C67,'تقرير المصروفات حسب الشهر'!$C$1270:$AD$1381,26,FALSE),0)</f>
        <v>0</v>
      </c>
      <c r="O67" s="376">
        <f>IFERROR(VLOOKUP(C67,'تقرير المصروفات حسب الشهر'!$C$1397:$AI$1512,26,FALSE),0)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الشهر'!$C$10:$AD$119,26,FALSE),0)</f>
        <v>0</v>
      </c>
      <c r="E68" s="362">
        <f>IFERROR(VLOOKUP(C68,'تقرير المصروفات حسب الشهر'!$C$135:$AD$244,26,FALSE),0)</f>
        <v>0</v>
      </c>
      <c r="F68" s="362">
        <f>IFERROR(VLOOKUP(C68,'تقرير المصروفات حسب الشهر'!$C$261:$AD$368,26,FALSE),0)</f>
        <v>0</v>
      </c>
      <c r="G68" s="362">
        <f>IFERROR(VLOOKUP(C68,'تقرير المصروفات حسب الشهر'!$C$387:$AD$495,26,FALSE),0)</f>
        <v>0</v>
      </c>
      <c r="H68" s="362">
        <f>IFERROR(VLOOKUP(C68,'تقرير المصروفات حسب الشهر'!$C$512:$AD$620,26,FALSE),0)</f>
        <v>0</v>
      </c>
      <c r="I68" s="362">
        <f>IFERROR(VLOOKUP(C68,'تقرير المصروفات حسب الشهر'!$C$637:$AD$746,26,FALSE),0)</f>
        <v>0</v>
      </c>
      <c r="J68" s="362">
        <f>IFERROR(VLOOKUP(C68,'تقرير المصروفات حسب الشهر'!$C$763:$AD$872,26,FALSE),0)</f>
        <v>0</v>
      </c>
      <c r="K68" s="362">
        <f>IFERROR(VLOOKUP(C68,'تقرير المصروفات حسب الشهر'!$C$890:$AD$999,26,FALSE),0)</f>
        <v>0</v>
      </c>
      <c r="L68" s="362">
        <f>IFERROR(VLOOKUP(C68,'تقرير المصروفات حسب الشهر'!$C$1016:$AD$1126,26,FALSE),0)</f>
        <v>0</v>
      </c>
      <c r="M68" s="376">
        <f>IFERROR(VLOOKUP(C68,'تقرير المصروفات حسب الشهر'!$C$1143:$AD$1254,26,FALSE),0)</f>
        <v>0</v>
      </c>
      <c r="N68" s="376">
        <f>IFERROR(VLOOKUP(C68,'تقرير المصروفات حسب الشهر'!$C$1270:$AD$1381,26,FALSE),0)</f>
        <v>0</v>
      </c>
      <c r="O68" s="376">
        <f>IFERROR(VLOOKUP(C68,'تقرير المصروفات حسب الشهر'!$C$1397:$AI$1512,26,FALSE),0)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الشهر'!$C$10:$AD$119,26,FALSE),0)</f>
        <v>0</v>
      </c>
      <c r="E69" s="362">
        <f>IFERROR(VLOOKUP(C69,'تقرير المصروفات حسب الشهر'!$C$135:$AD$244,26,FALSE),0)</f>
        <v>0</v>
      </c>
      <c r="F69" s="362">
        <f>IFERROR(VLOOKUP(C69,'تقرير المصروفات حسب الشهر'!$C$261:$AD$368,26,FALSE),0)</f>
        <v>0</v>
      </c>
      <c r="G69" s="362">
        <f>IFERROR(VLOOKUP(C69,'تقرير المصروفات حسب الشهر'!$C$387:$AD$495,26,FALSE),0)</f>
        <v>0</v>
      </c>
      <c r="H69" s="362">
        <f>IFERROR(VLOOKUP(C69,'تقرير المصروفات حسب الشهر'!$C$512:$AD$620,26,FALSE),0)</f>
        <v>0</v>
      </c>
      <c r="I69" s="362">
        <f>IFERROR(VLOOKUP(C69,'تقرير المصروفات حسب الشهر'!$C$637:$AD$746,26,FALSE),0)</f>
        <v>0</v>
      </c>
      <c r="J69" s="362">
        <f>IFERROR(VLOOKUP(C69,'تقرير المصروفات حسب الشهر'!$C$763:$AD$872,26,FALSE),0)</f>
        <v>0</v>
      </c>
      <c r="K69" s="362">
        <f>IFERROR(VLOOKUP(C69,'تقرير المصروفات حسب الشهر'!$C$890:$AD$999,26,FALSE),0)</f>
        <v>0</v>
      </c>
      <c r="L69" s="362">
        <f>IFERROR(VLOOKUP(C69,'تقرير المصروفات حسب الشهر'!$C$1016:$AD$1126,26,FALSE),0)</f>
        <v>0</v>
      </c>
      <c r="M69" s="376">
        <f>IFERROR(VLOOKUP(C69,'تقرير المصروفات حسب الشهر'!$C$1143:$AD$1254,26,FALSE),0)</f>
        <v>0</v>
      </c>
      <c r="N69" s="376">
        <f>IFERROR(VLOOKUP(C69,'تقرير المصروفات حسب الشهر'!$C$1270:$AD$1381,26,FALSE),0)</f>
        <v>0</v>
      </c>
      <c r="O69" s="376">
        <f>IFERROR(VLOOKUP(C69,'تقرير المصروفات حسب الشهر'!$C$1397:$AI$1512,26,FALSE),0)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الشهر'!$C$10:$AD$119,26,FALSE),0)</f>
        <v>0</v>
      </c>
      <c r="E70" s="362">
        <f>IFERROR(VLOOKUP(C70,'تقرير المصروفات حسب الشهر'!$C$135:$AD$244,26,FALSE),0)</f>
        <v>0</v>
      </c>
      <c r="F70" s="362">
        <f>IFERROR(VLOOKUP(C70,'تقرير المصروفات حسب الشهر'!$C$261:$AD$368,26,FALSE),0)</f>
        <v>0</v>
      </c>
      <c r="G70" s="362">
        <f>IFERROR(VLOOKUP(C70,'تقرير المصروفات حسب الشهر'!$C$387:$AD$495,26,FALSE),0)</f>
        <v>0</v>
      </c>
      <c r="H70" s="362">
        <f>IFERROR(VLOOKUP(C70,'تقرير المصروفات حسب الشهر'!$C$512:$AD$620,26,FALSE),0)</f>
        <v>0</v>
      </c>
      <c r="I70" s="362">
        <f>IFERROR(VLOOKUP(C70,'تقرير المصروفات حسب الشهر'!$C$637:$AD$746,26,FALSE),0)</f>
        <v>0</v>
      </c>
      <c r="J70" s="362">
        <f>IFERROR(VLOOKUP(C70,'تقرير المصروفات حسب الشهر'!$C$763:$AD$872,26,FALSE),0)</f>
        <v>0</v>
      </c>
      <c r="K70" s="362">
        <f>IFERROR(VLOOKUP(C70,'تقرير المصروفات حسب الشهر'!$C$890:$AD$999,26,FALSE),0)</f>
        <v>0</v>
      </c>
      <c r="L70" s="362">
        <f>IFERROR(VLOOKUP(C70,'تقرير المصروفات حسب الشهر'!$C$1016:$AD$1126,26,FALSE),0)</f>
        <v>0</v>
      </c>
      <c r="M70" s="376">
        <f>IFERROR(VLOOKUP(C70,'تقرير المصروفات حسب الشهر'!$C$1143:$AD$1254,26,FALSE),0)</f>
        <v>0</v>
      </c>
      <c r="N70" s="376">
        <f>IFERROR(VLOOKUP(C70,'تقرير المصروفات حسب الشهر'!$C$1270:$AD$1381,26,FALSE),0)</f>
        <v>0</v>
      </c>
      <c r="O70" s="376">
        <f>IFERROR(VLOOKUP(C70,'تقرير المصروفات حسب الشهر'!$C$1397:$AI$1512,26,FALSE),0)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الشهر'!$C$10:$AD$119,26,FALSE),0)</f>
        <v>0</v>
      </c>
      <c r="E71" s="362">
        <f>IFERROR(VLOOKUP(C71,'تقرير المصروفات حسب الشهر'!$C$135:$AD$244,26,FALSE),0)</f>
        <v>0</v>
      </c>
      <c r="F71" s="362">
        <f>IFERROR(VLOOKUP(C71,'تقرير المصروفات حسب الشهر'!$C$261:$AD$368,26,FALSE),0)</f>
        <v>0</v>
      </c>
      <c r="G71" s="362">
        <f>IFERROR(VLOOKUP(C71,'تقرير المصروفات حسب الشهر'!$C$387:$AD$495,26,FALSE),0)</f>
        <v>0</v>
      </c>
      <c r="H71" s="362">
        <f>IFERROR(VLOOKUP(C71,'تقرير المصروفات حسب الشهر'!$C$512:$AD$620,26,FALSE),0)</f>
        <v>0</v>
      </c>
      <c r="I71" s="362">
        <f>IFERROR(VLOOKUP(C71,'تقرير المصروفات حسب الشهر'!$C$637:$AD$746,26,FALSE),0)</f>
        <v>0</v>
      </c>
      <c r="J71" s="362">
        <f>IFERROR(VLOOKUP(C71,'تقرير المصروفات حسب الشهر'!$C$763:$AD$872,26,FALSE),0)</f>
        <v>0</v>
      </c>
      <c r="K71" s="362">
        <f>IFERROR(VLOOKUP(C71,'تقرير المصروفات حسب الشهر'!$C$890:$AD$999,26,FALSE),0)</f>
        <v>0</v>
      </c>
      <c r="L71" s="362">
        <f>IFERROR(VLOOKUP(C71,'تقرير المصروفات حسب الشهر'!$C$1016:$AD$1126,26,FALSE),0)</f>
        <v>0</v>
      </c>
      <c r="M71" s="376">
        <f>IFERROR(VLOOKUP(C71,'تقرير المصروفات حسب الشهر'!$C$1143:$AD$1254,26,FALSE),0)</f>
        <v>0</v>
      </c>
      <c r="N71" s="376">
        <f>IFERROR(VLOOKUP(C71,'تقرير المصروفات حسب الشهر'!$C$1270:$AD$1381,26,FALSE),0)</f>
        <v>0</v>
      </c>
      <c r="O71" s="376">
        <f>IFERROR(VLOOKUP(C71,'تقرير المصروفات حسب الشهر'!$C$1397:$AI$1512,26,FALSE),0)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الشهر'!$C$10:$AD$119,26,FALSE),0)</f>
        <v>0</v>
      </c>
      <c r="E72" s="362">
        <f>IFERROR(VLOOKUP(C72,'تقرير المصروفات حسب الشهر'!$C$135:$AD$244,26,FALSE),0)</f>
        <v>0</v>
      </c>
      <c r="F72" s="362">
        <f>IFERROR(VLOOKUP(C72,'تقرير المصروفات حسب الشهر'!$C$261:$AD$368,26,FALSE),0)</f>
        <v>0</v>
      </c>
      <c r="G72" s="362">
        <f>IFERROR(VLOOKUP(C72,'تقرير المصروفات حسب الشهر'!$C$387:$AD$495,26,FALSE),0)</f>
        <v>0</v>
      </c>
      <c r="H72" s="362">
        <f>IFERROR(VLOOKUP(C72,'تقرير المصروفات حسب الشهر'!$C$512:$AD$620,26,FALSE),0)</f>
        <v>0</v>
      </c>
      <c r="I72" s="362">
        <f>IFERROR(VLOOKUP(C72,'تقرير المصروفات حسب الشهر'!$C$637:$AD$746,26,FALSE),0)</f>
        <v>0</v>
      </c>
      <c r="J72" s="362">
        <f>IFERROR(VLOOKUP(C72,'تقرير المصروفات حسب الشهر'!$C$763:$AD$872,26,FALSE),0)</f>
        <v>0</v>
      </c>
      <c r="K72" s="362">
        <f>IFERROR(VLOOKUP(C72,'تقرير المصروفات حسب الشهر'!$C$890:$AD$999,26,FALSE),0)</f>
        <v>0</v>
      </c>
      <c r="L72" s="362">
        <f>IFERROR(VLOOKUP(C72,'تقرير المصروفات حسب الشهر'!$C$1016:$AD$1126,26,FALSE),0)</f>
        <v>0</v>
      </c>
      <c r="M72" s="376">
        <f>IFERROR(VLOOKUP(C72,'تقرير المصروفات حسب الشهر'!$C$1143:$AD$1254,26,FALSE),0)</f>
        <v>0</v>
      </c>
      <c r="N72" s="376">
        <f>IFERROR(VLOOKUP(C72,'تقرير المصروفات حسب الشهر'!$C$1270:$AD$1381,26,FALSE),0)</f>
        <v>0</v>
      </c>
      <c r="O72" s="376">
        <f>IFERROR(VLOOKUP(C72,'تقرير المصروفات حسب الشهر'!$C$1397:$AI$1512,26,FALSE),0)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الشهر'!$C$10:$AD$119,26,FALSE),0)</f>
        <v>0</v>
      </c>
      <c r="E73" s="362">
        <f>IFERROR(VLOOKUP(C73,'تقرير المصروفات حسب الشهر'!$C$135:$AD$244,26,FALSE),0)</f>
        <v>0</v>
      </c>
      <c r="F73" s="362">
        <f>IFERROR(VLOOKUP(C73,'تقرير المصروفات حسب الشهر'!$C$261:$AD$368,26,FALSE),0)</f>
        <v>0</v>
      </c>
      <c r="G73" s="362">
        <f>IFERROR(VLOOKUP(C73,'تقرير المصروفات حسب الشهر'!$C$387:$AD$495,26,FALSE),0)</f>
        <v>0</v>
      </c>
      <c r="H73" s="362">
        <f>IFERROR(VLOOKUP(C73,'تقرير المصروفات حسب الشهر'!$C$512:$AD$620,26,FALSE),0)</f>
        <v>0</v>
      </c>
      <c r="I73" s="362">
        <f>IFERROR(VLOOKUP(C73,'تقرير المصروفات حسب الشهر'!$C$637:$AD$746,26,FALSE),0)</f>
        <v>0</v>
      </c>
      <c r="J73" s="362">
        <f>IFERROR(VLOOKUP(C73,'تقرير المصروفات حسب الشهر'!$C$763:$AD$872,26,FALSE),0)</f>
        <v>0</v>
      </c>
      <c r="K73" s="362">
        <f>IFERROR(VLOOKUP(C73,'تقرير المصروفات حسب الشهر'!$C$890:$AD$999,26,FALSE),0)</f>
        <v>0</v>
      </c>
      <c r="L73" s="362">
        <f>IFERROR(VLOOKUP(C73,'تقرير المصروفات حسب الشهر'!$C$1016:$AD$1126,26,FALSE),0)</f>
        <v>0</v>
      </c>
      <c r="M73" s="376">
        <f>IFERROR(VLOOKUP(C73,'تقرير المصروفات حسب الشهر'!$C$1143:$AD$1254,26,FALSE),0)</f>
        <v>0</v>
      </c>
      <c r="N73" s="376">
        <f>IFERROR(VLOOKUP(C73,'تقرير المصروفات حسب الشهر'!$C$1270:$AD$1381,26,FALSE),0)</f>
        <v>0</v>
      </c>
      <c r="O73" s="376">
        <f>IFERROR(VLOOKUP(C73,'تقرير المصروفات حسب الشهر'!$C$1397:$AI$1512,26,FALSE),0)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الشهر'!$C$10:$AD$119,26,FALSE),0)</f>
        <v>0</v>
      </c>
      <c r="E74" s="362">
        <f>IFERROR(VLOOKUP(C74,'تقرير المصروفات حسب الشهر'!$C$135:$AD$244,26,FALSE),0)</f>
        <v>0</v>
      </c>
      <c r="F74" s="362">
        <f>IFERROR(VLOOKUP(C74,'تقرير المصروفات حسب الشهر'!$C$261:$AD$368,26,FALSE),0)</f>
        <v>0</v>
      </c>
      <c r="G74" s="362">
        <f>IFERROR(VLOOKUP(C74,'تقرير المصروفات حسب الشهر'!$C$387:$AD$495,26,FALSE),0)</f>
        <v>0</v>
      </c>
      <c r="H74" s="362">
        <f>IFERROR(VLOOKUP(C74,'تقرير المصروفات حسب الشهر'!$C$512:$AD$620,26,FALSE),0)</f>
        <v>0</v>
      </c>
      <c r="I74" s="362">
        <f>IFERROR(VLOOKUP(C74,'تقرير المصروفات حسب الشهر'!$C$637:$AD$746,26,FALSE),0)</f>
        <v>0</v>
      </c>
      <c r="J74" s="362">
        <f>IFERROR(VLOOKUP(C74,'تقرير المصروفات حسب الشهر'!$C$763:$AD$872,26,FALSE),0)</f>
        <v>0</v>
      </c>
      <c r="K74" s="362">
        <f>IFERROR(VLOOKUP(C74,'تقرير المصروفات حسب الشهر'!$C$890:$AD$999,26,FALSE),0)</f>
        <v>0</v>
      </c>
      <c r="L74" s="362">
        <f>IFERROR(VLOOKUP(C74,'تقرير المصروفات حسب الشهر'!$C$1016:$AD$1126,26,FALSE),0)</f>
        <v>0</v>
      </c>
      <c r="M74" s="376">
        <f>IFERROR(VLOOKUP(C74,'تقرير المصروفات حسب الشهر'!$C$1143:$AD$1254,26,FALSE),0)</f>
        <v>0</v>
      </c>
      <c r="N74" s="376">
        <f>IFERROR(VLOOKUP(C74,'تقرير المصروفات حسب الشهر'!$C$1270:$AD$1381,26,FALSE),0)</f>
        <v>0</v>
      </c>
      <c r="O74" s="376">
        <f>IFERROR(VLOOKUP(C74,'تقرير المصروفات حسب الشهر'!$C$1397:$AI$1512,26,FALSE),0)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الشهر'!$C$10:$AD$119,26,FALSE),0)</f>
        <v>0</v>
      </c>
      <c r="E75" s="362">
        <f>IFERROR(VLOOKUP(C75,'تقرير المصروفات حسب الشهر'!$C$135:$AD$244,26,FALSE),0)</f>
        <v>0</v>
      </c>
      <c r="F75" s="362">
        <f>IFERROR(VLOOKUP(C75,'تقرير المصروفات حسب الشهر'!$C$261:$AD$368,26,FALSE),0)</f>
        <v>0</v>
      </c>
      <c r="G75" s="362">
        <f>IFERROR(VLOOKUP(C75,'تقرير المصروفات حسب الشهر'!$C$387:$AD$495,26,FALSE),0)</f>
        <v>0</v>
      </c>
      <c r="H75" s="362">
        <f>IFERROR(VLOOKUP(C75,'تقرير المصروفات حسب الشهر'!$C$512:$AD$620,26,FALSE),0)</f>
        <v>0</v>
      </c>
      <c r="I75" s="362">
        <f>IFERROR(VLOOKUP(C75,'تقرير المصروفات حسب الشهر'!$C$637:$AD$746,26,FALSE),0)</f>
        <v>0</v>
      </c>
      <c r="J75" s="362">
        <f>IFERROR(VLOOKUP(C75,'تقرير المصروفات حسب الشهر'!$C$763:$AD$872,26,FALSE),0)</f>
        <v>0</v>
      </c>
      <c r="K75" s="362">
        <f>IFERROR(VLOOKUP(C75,'تقرير المصروفات حسب الشهر'!$C$890:$AD$999,26,FALSE),0)</f>
        <v>0</v>
      </c>
      <c r="L75" s="362">
        <f>IFERROR(VLOOKUP(C75,'تقرير المصروفات حسب الشهر'!$C$1016:$AD$1126,26,FALSE),0)</f>
        <v>0</v>
      </c>
      <c r="M75" s="376">
        <f>IFERROR(VLOOKUP(C75,'تقرير المصروفات حسب الشهر'!$C$1143:$AD$1254,26,FALSE),0)</f>
        <v>0</v>
      </c>
      <c r="N75" s="376">
        <f>IFERROR(VLOOKUP(C75,'تقرير المصروفات حسب الشهر'!$C$1270:$AD$1381,26,FALSE),0)</f>
        <v>0</v>
      </c>
      <c r="O75" s="376">
        <f>IFERROR(VLOOKUP(C75,'تقرير المصروفات حسب الشهر'!$C$1397:$AI$1512,26,FALSE),0)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الشهر'!$C$10:$AD$119,26,FALSE),0)</f>
        <v>0</v>
      </c>
      <c r="E76" s="362">
        <f>IFERROR(VLOOKUP(C76,'تقرير المصروفات حسب الشهر'!$C$135:$AD$244,26,FALSE),0)</f>
        <v>0</v>
      </c>
      <c r="F76" s="362">
        <f>IFERROR(VLOOKUP(C76,'تقرير المصروفات حسب الشهر'!$C$261:$AD$368,26,FALSE),0)</f>
        <v>0</v>
      </c>
      <c r="G76" s="362">
        <f>IFERROR(VLOOKUP(C76,'تقرير المصروفات حسب الشهر'!$C$387:$AD$495,26,FALSE),0)</f>
        <v>0</v>
      </c>
      <c r="H76" s="362">
        <f>IFERROR(VLOOKUP(C76,'تقرير المصروفات حسب الشهر'!$C$512:$AD$620,26,FALSE),0)</f>
        <v>0</v>
      </c>
      <c r="I76" s="362">
        <f>IFERROR(VLOOKUP(C76,'تقرير المصروفات حسب الشهر'!$C$637:$AD$746,26,FALSE),0)</f>
        <v>0</v>
      </c>
      <c r="J76" s="362">
        <f>IFERROR(VLOOKUP(C76,'تقرير المصروفات حسب الشهر'!$C$763:$AD$872,26,FALSE),0)</f>
        <v>0</v>
      </c>
      <c r="K76" s="362">
        <f>IFERROR(VLOOKUP(C76,'تقرير المصروفات حسب الشهر'!$C$890:$AD$999,26,FALSE),0)</f>
        <v>0</v>
      </c>
      <c r="L76" s="362">
        <f>IFERROR(VLOOKUP(C76,'تقرير المصروفات حسب الشهر'!$C$1016:$AD$1126,26,FALSE),0)</f>
        <v>0</v>
      </c>
      <c r="M76" s="376">
        <f>IFERROR(VLOOKUP(C76,'تقرير المصروفات حسب الشهر'!$C$1143:$AD$1254,26,FALSE),0)</f>
        <v>0</v>
      </c>
      <c r="N76" s="376">
        <f>IFERROR(VLOOKUP(C76,'تقرير المصروفات حسب الشهر'!$C$1270:$AD$1381,26,FALSE),0)</f>
        <v>0</v>
      </c>
      <c r="O76" s="376">
        <f>IFERROR(VLOOKUP(C76,'تقرير المصروفات حسب الشهر'!$C$1397:$AI$1512,26,FALSE),0)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الشهر'!$C$10:$AD$119,26,FALSE),0)</f>
        <v>0</v>
      </c>
      <c r="E77" s="362">
        <f>IFERROR(VLOOKUP(C77,'تقرير المصروفات حسب الشهر'!$C$135:$AD$244,26,FALSE),0)</f>
        <v>0</v>
      </c>
      <c r="F77" s="362">
        <f>IFERROR(VLOOKUP(C77,'تقرير المصروفات حسب الشهر'!$C$261:$AD$368,26,FALSE),0)</f>
        <v>0</v>
      </c>
      <c r="G77" s="362">
        <f>IFERROR(VLOOKUP(C77,'تقرير المصروفات حسب الشهر'!$C$387:$AD$495,26,FALSE),0)</f>
        <v>0</v>
      </c>
      <c r="H77" s="362">
        <f>IFERROR(VLOOKUP(C77,'تقرير المصروفات حسب الشهر'!$C$512:$AD$620,26,FALSE),0)</f>
        <v>0</v>
      </c>
      <c r="I77" s="362">
        <f>IFERROR(VLOOKUP(C77,'تقرير المصروفات حسب الشهر'!$C$637:$AD$746,26,FALSE),0)</f>
        <v>0</v>
      </c>
      <c r="J77" s="362">
        <f>IFERROR(VLOOKUP(C77,'تقرير المصروفات حسب الشهر'!$C$763:$AD$872,26,FALSE),0)</f>
        <v>0</v>
      </c>
      <c r="K77" s="362">
        <f>IFERROR(VLOOKUP(C77,'تقرير المصروفات حسب الشهر'!$C$890:$AD$999,26,FALSE),0)</f>
        <v>0</v>
      </c>
      <c r="L77" s="362">
        <f>IFERROR(VLOOKUP(C77,'تقرير المصروفات حسب الشهر'!$C$1016:$AD$1126,26,FALSE),0)</f>
        <v>0</v>
      </c>
      <c r="M77" s="376">
        <f>IFERROR(VLOOKUP(C77,'تقرير المصروفات حسب الشهر'!$C$1143:$AD$1254,26,FALSE),0)</f>
        <v>0</v>
      </c>
      <c r="N77" s="376">
        <f>IFERROR(VLOOKUP(C77,'تقرير المصروفات حسب الشهر'!$C$1270:$AD$1381,26,FALSE),0)</f>
        <v>0</v>
      </c>
      <c r="O77" s="376">
        <f>IFERROR(VLOOKUP(C77,'تقرير المصروفات حسب الشهر'!$C$1397:$AI$1512,26,FALSE),0)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الشهر'!$C$10:$AD$119,26,FALSE),0)</f>
        <v>0</v>
      </c>
      <c r="E78" s="362">
        <f>IFERROR(VLOOKUP(C78,'تقرير المصروفات حسب الشهر'!$C$135:$AD$244,26,FALSE),0)</f>
        <v>0</v>
      </c>
      <c r="F78" s="362">
        <f>IFERROR(VLOOKUP(C78,'تقرير المصروفات حسب الشهر'!$C$261:$AD$368,26,FALSE),0)</f>
        <v>0</v>
      </c>
      <c r="G78" s="362">
        <f>IFERROR(VLOOKUP(C78,'تقرير المصروفات حسب الشهر'!$C$387:$AD$495,26,FALSE),0)</f>
        <v>0</v>
      </c>
      <c r="H78" s="362">
        <f>IFERROR(VLOOKUP(C78,'تقرير المصروفات حسب الشهر'!$C$512:$AD$620,26,FALSE),0)</f>
        <v>0</v>
      </c>
      <c r="I78" s="362">
        <f>IFERROR(VLOOKUP(C78,'تقرير المصروفات حسب الشهر'!$C$637:$AD$746,26,FALSE),0)</f>
        <v>0</v>
      </c>
      <c r="J78" s="362">
        <f>IFERROR(VLOOKUP(C78,'تقرير المصروفات حسب الشهر'!$C$763:$AD$872,26,FALSE),0)</f>
        <v>0</v>
      </c>
      <c r="K78" s="362">
        <f>IFERROR(VLOOKUP(C78,'تقرير المصروفات حسب الشهر'!$C$890:$AD$999,26,FALSE),0)</f>
        <v>0</v>
      </c>
      <c r="L78" s="362">
        <f>IFERROR(VLOOKUP(C78,'تقرير المصروفات حسب الشهر'!$C$1016:$AD$1126,26,FALSE),0)</f>
        <v>0</v>
      </c>
      <c r="M78" s="376">
        <f>IFERROR(VLOOKUP(C78,'تقرير المصروفات حسب الشهر'!$C$1143:$AD$1254,26,FALSE),0)</f>
        <v>0</v>
      </c>
      <c r="N78" s="376">
        <f>IFERROR(VLOOKUP(C78,'تقرير المصروفات حسب الشهر'!$C$1270:$AD$1381,26,FALSE),0)</f>
        <v>0</v>
      </c>
      <c r="O78" s="376">
        <f>IFERROR(VLOOKUP(C78,'تقرير المصروفات حسب الشهر'!$C$1397:$AI$1512,26,FALSE),0)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الشهر'!$C$10:$AD$119,26,FALSE),0)</f>
        <v>0</v>
      </c>
      <c r="E79" s="362">
        <f>IFERROR(VLOOKUP(C79,'تقرير المصروفات حسب الشهر'!$C$135:$AD$244,26,FALSE),0)</f>
        <v>0</v>
      </c>
      <c r="F79" s="362">
        <f>IFERROR(VLOOKUP(C79,'تقرير المصروفات حسب الشهر'!$C$261:$AD$368,26,FALSE),0)</f>
        <v>0</v>
      </c>
      <c r="G79" s="362">
        <f>IFERROR(VLOOKUP(C79,'تقرير المصروفات حسب الشهر'!$C$387:$AD$495,26,FALSE),0)</f>
        <v>0</v>
      </c>
      <c r="H79" s="362">
        <f>IFERROR(VLOOKUP(C79,'تقرير المصروفات حسب الشهر'!$C$512:$AD$620,26,FALSE),0)</f>
        <v>0</v>
      </c>
      <c r="I79" s="362">
        <f>IFERROR(VLOOKUP(C79,'تقرير المصروفات حسب الشهر'!$C$637:$AD$746,26,FALSE),0)</f>
        <v>0</v>
      </c>
      <c r="J79" s="362">
        <f>IFERROR(VLOOKUP(C79,'تقرير المصروفات حسب الشهر'!$C$763:$AD$872,26,FALSE),0)</f>
        <v>0</v>
      </c>
      <c r="K79" s="362">
        <f>IFERROR(VLOOKUP(C79,'تقرير المصروفات حسب الشهر'!$C$890:$AD$999,26,FALSE),0)</f>
        <v>0</v>
      </c>
      <c r="L79" s="362">
        <f>IFERROR(VLOOKUP(C79,'تقرير المصروفات حسب الشهر'!$C$1016:$AD$1126,26,FALSE),0)</f>
        <v>0</v>
      </c>
      <c r="M79" s="376">
        <f>IFERROR(VLOOKUP(C79,'تقرير المصروفات حسب الشهر'!$C$1143:$AD$1254,26,FALSE),0)</f>
        <v>0</v>
      </c>
      <c r="N79" s="376">
        <f>IFERROR(VLOOKUP(C79,'تقرير المصروفات حسب الشهر'!$C$1270:$AD$1381,26,FALSE),0)</f>
        <v>0</v>
      </c>
      <c r="O79" s="376">
        <f>IFERROR(VLOOKUP(C79,'تقرير المصروفات حسب الشهر'!$C$1397:$AI$1512,26,FALSE),0)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الشهر'!$C$10:$AD$119,26,FALSE),0)</f>
        <v>0</v>
      </c>
      <c r="E80" s="362">
        <f>IFERROR(VLOOKUP(C80,'تقرير المصروفات حسب الشهر'!$C$135:$AD$244,26,FALSE),0)</f>
        <v>0</v>
      </c>
      <c r="F80" s="362">
        <f>IFERROR(VLOOKUP(C80,'تقرير المصروفات حسب الشهر'!$C$261:$AD$368,26,FALSE),0)</f>
        <v>0</v>
      </c>
      <c r="G80" s="362">
        <f>IFERROR(VLOOKUP(C80,'تقرير المصروفات حسب الشهر'!$C$387:$AD$495,26,FALSE),0)</f>
        <v>0</v>
      </c>
      <c r="H80" s="362">
        <f>IFERROR(VLOOKUP(C80,'تقرير المصروفات حسب الشهر'!$C$512:$AD$620,26,FALSE),0)</f>
        <v>0</v>
      </c>
      <c r="I80" s="362">
        <f>IFERROR(VLOOKUP(C80,'تقرير المصروفات حسب الشهر'!$C$637:$AD$746,26,FALSE),0)</f>
        <v>0</v>
      </c>
      <c r="J80" s="362">
        <f>IFERROR(VLOOKUP(C80,'تقرير المصروفات حسب الشهر'!$C$763:$AD$872,26,FALSE),0)</f>
        <v>0</v>
      </c>
      <c r="K80" s="362">
        <f>IFERROR(VLOOKUP(C80,'تقرير المصروفات حسب الشهر'!$C$890:$AD$999,26,FALSE),0)</f>
        <v>0</v>
      </c>
      <c r="L80" s="362">
        <f>IFERROR(VLOOKUP(C80,'تقرير المصروفات حسب الشهر'!$C$1016:$AD$1126,26,FALSE),0)</f>
        <v>0</v>
      </c>
      <c r="M80" s="376">
        <f>IFERROR(VLOOKUP(C80,'تقرير المصروفات حسب الشهر'!$C$1143:$AD$1254,26,FALSE),0)</f>
        <v>0</v>
      </c>
      <c r="N80" s="376">
        <f>IFERROR(VLOOKUP(C80,'تقرير المصروفات حسب الشهر'!$C$1270:$AD$1381,26,FALSE),0)</f>
        <v>0</v>
      </c>
      <c r="O80" s="376">
        <f>IFERROR(VLOOKUP(C80,'تقرير المصروفات حسب الشهر'!$C$1397:$AI$1512,26,FALSE),0)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الشهر'!$C$10:$AD$119,26,FALSE),0)</f>
        <v>316</v>
      </c>
      <c r="E81" s="362">
        <f>IFERROR(VLOOKUP(C81,'تقرير المصروفات حسب الشهر'!$C$135:$AD$244,26,FALSE),0)</f>
        <v>100</v>
      </c>
      <c r="F81" s="362">
        <f>IFERROR(VLOOKUP(C81,'تقرير المصروفات حسب الشهر'!$C$261:$AD$368,26,FALSE),0)</f>
        <v>100</v>
      </c>
      <c r="G81" s="362">
        <f>IFERROR(VLOOKUP(C81,'تقرير المصروفات حسب الشهر'!$C$387:$AD$495,26,FALSE),0)</f>
        <v>100</v>
      </c>
      <c r="H81" s="362">
        <f>IFERROR(VLOOKUP(C81,'تقرير المصروفات حسب الشهر'!$C$512:$AD$620,26,FALSE),0)</f>
        <v>100</v>
      </c>
      <c r="I81" s="362">
        <f>IFERROR(VLOOKUP(C81,'تقرير المصروفات حسب الشهر'!$C$637:$AD$746,26,FALSE),0)</f>
        <v>100</v>
      </c>
      <c r="J81" s="362">
        <f>IFERROR(VLOOKUP(C81,'تقرير المصروفات حسب الشهر'!$C$763:$AD$872,26,FALSE),0)</f>
        <v>0</v>
      </c>
      <c r="K81" s="362">
        <f>IFERROR(VLOOKUP(C81,'تقرير المصروفات حسب الشهر'!$C$890:$AD$999,26,FALSE),0)</f>
        <v>300</v>
      </c>
      <c r="L81" s="362">
        <f>IFERROR(VLOOKUP(C81,'تقرير المصروفات حسب الشهر'!$C$1016:$AD$1126,26,FALSE),0)</f>
        <v>200</v>
      </c>
      <c r="M81" s="376">
        <f>IFERROR(VLOOKUP(C81,'تقرير المصروفات حسب الشهر'!$C$1143:$AD$1254,26,FALSE),0)</f>
        <v>0</v>
      </c>
      <c r="N81" s="376">
        <f>IFERROR(VLOOKUP(C81,'تقرير المصروفات حسب الشهر'!$C$1270:$AD$1381,26,FALSE),0)</f>
        <v>1370</v>
      </c>
      <c r="O81" s="376">
        <f>IFERROR(VLOOKUP(C81,'تقرير المصروفات حسب الشهر'!$C$1397:$AI$1512,26,FALSE),0)</f>
        <v>0</v>
      </c>
      <c r="P81" s="364">
        <f t="shared" si="5"/>
        <v>2686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الشهر'!$C$10:$AD$119,26,FALSE),0)</f>
        <v>0</v>
      </c>
      <c r="E82" s="362">
        <f>IFERROR(VLOOKUP(C82,'تقرير المصروفات حسب الشهر'!$C$135:$AD$244,26,FALSE),0)</f>
        <v>0</v>
      </c>
      <c r="F82" s="362">
        <f>IFERROR(VLOOKUP(C82,'تقرير المصروفات حسب الشهر'!$C$261:$AD$368,26,FALSE),0)</f>
        <v>0</v>
      </c>
      <c r="G82" s="362">
        <f>IFERROR(VLOOKUP(C82,'تقرير المصروفات حسب الشهر'!$C$387:$AD$495,26,FALSE),0)</f>
        <v>0</v>
      </c>
      <c r="H82" s="362">
        <f>IFERROR(VLOOKUP(C82,'تقرير المصروفات حسب الشهر'!$C$512:$AD$620,26,FALSE),0)</f>
        <v>0</v>
      </c>
      <c r="I82" s="362">
        <f>IFERROR(VLOOKUP(C82,'تقرير المصروفات حسب الشهر'!$C$637:$AD$746,26,FALSE),0)</f>
        <v>0</v>
      </c>
      <c r="J82" s="362">
        <f>IFERROR(VLOOKUP(C82,'تقرير المصروفات حسب الشهر'!$C$763:$AD$872,26,FALSE),0)</f>
        <v>0</v>
      </c>
      <c r="K82" s="362">
        <f>IFERROR(VLOOKUP(C82,'تقرير المصروفات حسب الشهر'!$C$890:$AD$999,26,FALSE),0)</f>
        <v>0</v>
      </c>
      <c r="L82" s="362">
        <f>IFERROR(VLOOKUP(C82,'تقرير المصروفات حسب الشهر'!$C$1016:$AD$1126,26,FALSE),0)</f>
        <v>0</v>
      </c>
      <c r="M82" s="376">
        <f>IFERROR(VLOOKUP(C82,'تقرير المصروفات حسب الشهر'!$C$1143:$AD$1254,26,FALSE),0)</f>
        <v>0</v>
      </c>
      <c r="N82" s="376">
        <f>IFERROR(VLOOKUP(C82,'تقرير المصروفات حسب الشهر'!$C$1270:$AD$1381,26,FALSE),0)</f>
        <v>0</v>
      </c>
      <c r="O82" s="376">
        <f>IFERROR(VLOOKUP(C82,'تقرير المصروفات حسب الشهر'!$C$1397:$AI$1512,26,FALSE),0)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الشهر'!$C$10:$AD$119,26,FALSE),0)</f>
        <v>0</v>
      </c>
      <c r="E83" s="362">
        <f>IFERROR(VLOOKUP(C83,'تقرير المصروفات حسب الشهر'!$C$135:$AD$244,26,FALSE),0)</f>
        <v>0</v>
      </c>
      <c r="F83" s="362">
        <f>IFERROR(VLOOKUP(C83,'تقرير المصروفات حسب الشهر'!$C$261:$AD$368,26,FALSE),0)</f>
        <v>0</v>
      </c>
      <c r="G83" s="362">
        <f>IFERROR(VLOOKUP(C83,'تقرير المصروفات حسب الشهر'!$C$387:$AD$495,26,FALSE),0)</f>
        <v>0</v>
      </c>
      <c r="H83" s="362">
        <f>IFERROR(VLOOKUP(C83,'تقرير المصروفات حسب الشهر'!$C$512:$AD$620,26,FALSE),0)</f>
        <v>0</v>
      </c>
      <c r="I83" s="362">
        <f>IFERROR(VLOOKUP(C83,'تقرير المصروفات حسب الشهر'!$C$637:$AD$746,26,FALSE),0)</f>
        <v>600</v>
      </c>
      <c r="J83" s="362">
        <f>IFERROR(VLOOKUP(C83,'تقرير المصروفات حسب الشهر'!$C$763:$AD$872,26,FALSE),0)</f>
        <v>0</v>
      </c>
      <c r="K83" s="362">
        <f>IFERROR(VLOOKUP(C83,'تقرير المصروفات حسب الشهر'!$C$890:$AD$999,26,FALSE),0)</f>
        <v>0</v>
      </c>
      <c r="L83" s="362">
        <f>IFERROR(VLOOKUP(C83,'تقرير المصروفات حسب الشهر'!$C$1016:$AD$1126,26,FALSE),0)</f>
        <v>0</v>
      </c>
      <c r="M83" s="376">
        <f>IFERROR(VLOOKUP(C83,'تقرير المصروفات حسب الشهر'!$C$1143:$AD$1254,26,FALSE),0)</f>
        <v>0</v>
      </c>
      <c r="N83" s="376">
        <f>IFERROR(VLOOKUP(C83,'تقرير المصروفات حسب الشهر'!$C$1270:$AD$1381,26,FALSE),0)</f>
        <v>0</v>
      </c>
      <c r="O83" s="376">
        <f>IFERROR(VLOOKUP(C83,'تقرير المصروفات حسب الشهر'!$C$1397:$AI$1512,26,FALSE),0)</f>
        <v>0</v>
      </c>
      <c r="P83" s="364">
        <f t="shared" si="5"/>
        <v>600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الشهر'!$C$10:$AD$119,26,FALSE),0)</f>
        <v>0</v>
      </c>
      <c r="E84" s="362">
        <f>IFERROR(VLOOKUP(C84,'تقرير المصروفات حسب الشهر'!$C$135:$AD$244,26,FALSE),0)</f>
        <v>0</v>
      </c>
      <c r="F84" s="362">
        <f>IFERROR(VLOOKUP(C84,'تقرير المصروفات حسب الشهر'!$C$261:$AD$368,26,FALSE),0)</f>
        <v>0</v>
      </c>
      <c r="G84" s="362">
        <f>IFERROR(VLOOKUP(C84,'تقرير المصروفات حسب الشهر'!$C$387:$AD$495,26,FALSE),0)</f>
        <v>0</v>
      </c>
      <c r="H84" s="362">
        <f>IFERROR(VLOOKUP(C84,'تقرير المصروفات حسب الشهر'!$C$512:$AD$620,26,FALSE),0)</f>
        <v>0</v>
      </c>
      <c r="I84" s="362">
        <f>IFERROR(VLOOKUP(C84,'تقرير المصروفات حسب الشهر'!$C$637:$AD$746,26,FALSE),0)</f>
        <v>0</v>
      </c>
      <c r="J84" s="362">
        <f>IFERROR(VLOOKUP(C84,'تقرير المصروفات حسب الشهر'!$C$763:$AD$872,26,FALSE),0)</f>
        <v>0</v>
      </c>
      <c r="K84" s="362">
        <f>IFERROR(VLOOKUP(C84,'تقرير المصروفات حسب الشهر'!$C$890:$AD$999,26,FALSE),0)</f>
        <v>0</v>
      </c>
      <c r="L84" s="362">
        <f>IFERROR(VLOOKUP(C84,'تقرير المصروفات حسب الشهر'!$C$1016:$AD$1126,26,FALSE),0)</f>
        <v>0</v>
      </c>
      <c r="M84" s="376">
        <f>IFERROR(VLOOKUP(C84,'تقرير المصروفات حسب الشهر'!$C$1143:$AD$1254,26,FALSE),0)</f>
        <v>0</v>
      </c>
      <c r="N84" s="376">
        <f>IFERROR(VLOOKUP(C84,'تقرير المصروفات حسب الشهر'!$C$1270:$AD$1381,26,FALSE),0)</f>
        <v>0</v>
      </c>
      <c r="O84" s="376">
        <f>IFERROR(VLOOKUP(C84,'تقرير المصروفات حسب الشهر'!$C$1397:$AI$1512,26,FALSE),0)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الشهر'!$C$10:$AD$119,26,FALSE),0)</f>
        <v>0</v>
      </c>
      <c r="E85" s="362">
        <f>IFERROR(VLOOKUP(C85,'تقرير المصروفات حسب الشهر'!$C$135:$AD$244,26,FALSE),0)</f>
        <v>0</v>
      </c>
      <c r="F85" s="362">
        <f>IFERROR(VLOOKUP(C85,'تقرير المصروفات حسب الشهر'!$C$261:$AD$368,26,FALSE),0)</f>
        <v>0</v>
      </c>
      <c r="G85" s="362">
        <f>IFERROR(VLOOKUP(C85,'تقرير المصروفات حسب الشهر'!$C$387:$AD$495,26,FALSE),0)</f>
        <v>0</v>
      </c>
      <c r="H85" s="362">
        <f>IFERROR(VLOOKUP(C85,'تقرير المصروفات حسب الشهر'!$C$512:$AD$620,26,FALSE),0)</f>
        <v>0</v>
      </c>
      <c r="I85" s="362">
        <f>IFERROR(VLOOKUP(C85,'تقرير المصروفات حسب الشهر'!$C$637:$AD$746,26,FALSE),0)</f>
        <v>0</v>
      </c>
      <c r="J85" s="362">
        <f>IFERROR(VLOOKUP(C85,'تقرير المصروفات حسب الشهر'!$C$763:$AD$872,26,FALSE),0)</f>
        <v>0</v>
      </c>
      <c r="K85" s="362">
        <f>IFERROR(VLOOKUP(C85,'تقرير المصروفات حسب الشهر'!$C$890:$AD$999,26,FALSE),0)</f>
        <v>0</v>
      </c>
      <c r="L85" s="362">
        <f>IFERROR(VLOOKUP(C85,'تقرير المصروفات حسب الشهر'!$C$1016:$AD$1126,26,FALSE),0)</f>
        <v>0</v>
      </c>
      <c r="M85" s="376">
        <f>IFERROR(VLOOKUP(C85,'تقرير المصروفات حسب الشهر'!$C$1143:$AD$1254,26,FALSE),0)</f>
        <v>0</v>
      </c>
      <c r="N85" s="376">
        <f>IFERROR(VLOOKUP(C85,'تقرير المصروفات حسب الشهر'!$C$1270:$AD$1381,26,FALSE),0)</f>
        <v>0</v>
      </c>
      <c r="O85" s="376">
        <f>IFERROR(VLOOKUP(C85,'تقرير المصروفات حسب الشهر'!$C$1397:$AI$1512,26,FALSE),0)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الشهر'!$C$10:$AD$119,26,FALSE),0)</f>
        <v>0</v>
      </c>
      <c r="E86" s="362">
        <f>IFERROR(VLOOKUP(C86,'تقرير المصروفات حسب الشهر'!$C$135:$AD$244,26,FALSE),0)</f>
        <v>1959.65</v>
      </c>
      <c r="F86" s="362">
        <f>IFERROR(VLOOKUP(C86,'تقرير المصروفات حسب الشهر'!$C$261:$AD$368,26,FALSE),0)</f>
        <v>0</v>
      </c>
      <c r="G86" s="362">
        <f>IFERROR(VLOOKUP(C86,'تقرير المصروفات حسب الشهر'!$C$387:$AD$495,26,FALSE),0)</f>
        <v>0</v>
      </c>
      <c r="H86" s="362">
        <f>IFERROR(VLOOKUP(C86,'تقرير المصروفات حسب الشهر'!$C$512:$AD$620,26,FALSE),0)</f>
        <v>0</v>
      </c>
      <c r="I86" s="362">
        <f>IFERROR(VLOOKUP(C86,'تقرير المصروفات حسب الشهر'!$C$637:$AD$746,26,FALSE),0)</f>
        <v>0</v>
      </c>
      <c r="J86" s="362">
        <f>IFERROR(VLOOKUP(C86,'تقرير المصروفات حسب الشهر'!$C$763:$AD$872,26,FALSE),0)</f>
        <v>979</v>
      </c>
      <c r="K86" s="362">
        <f>IFERROR(VLOOKUP(C86,'تقرير المصروفات حسب الشهر'!$C$890:$AD$999,26,FALSE),0)</f>
        <v>0</v>
      </c>
      <c r="L86" s="362">
        <f>IFERROR(VLOOKUP(C86,'تقرير المصروفات حسب الشهر'!$C$1016:$AD$1126,26,FALSE),0)</f>
        <v>0</v>
      </c>
      <c r="M86" s="376">
        <f>IFERROR(VLOOKUP(C86,'تقرير المصروفات حسب الشهر'!$C$1143:$AD$1254,26,FALSE),0)</f>
        <v>1075.76</v>
      </c>
      <c r="N86" s="376">
        <f>IFERROR(VLOOKUP(C86,'تقرير المصروفات حسب الشهر'!$C$1270:$AD$1381,26,FALSE),0)</f>
        <v>2207.5700000000002</v>
      </c>
      <c r="O86" s="376">
        <f>IFERROR(VLOOKUP(C86,'تقرير المصروفات حسب الشهر'!$C$1397:$AI$1512,26,FALSE),0)</f>
        <v>1356</v>
      </c>
      <c r="P86" s="364">
        <f t="shared" si="5"/>
        <v>7577.98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الشهر'!$C$10:$AD$119,26,FALSE),0)</f>
        <v>0</v>
      </c>
      <c r="E87" s="362">
        <f>IFERROR(VLOOKUP(C87,'تقرير المصروفات حسب الشهر'!$C$135:$AD$244,26,FALSE),0)</f>
        <v>0</v>
      </c>
      <c r="F87" s="362">
        <f>IFERROR(VLOOKUP(C87,'تقرير المصروفات حسب الشهر'!$C$261:$AD$368,26,FALSE),0)</f>
        <v>0</v>
      </c>
      <c r="G87" s="362">
        <f>IFERROR(VLOOKUP(C87,'تقرير المصروفات حسب الشهر'!$C$387:$AD$495,26,FALSE),0)</f>
        <v>0</v>
      </c>
      <c r="H87" s="362">
        <f>IFERROR(VLOOKUP(C87,'تقرير المصروفات حسب الشهر'!$C$512:$AD$620,26,FALSE),0)</f>
        <v>0</v>
      </c>
      <c r="I87" s="362">
        <f>IFERROR(VLOOKUP(C87,'تقرير المصروفات حسب الشهر'!$C$637:$AD$746,26,FALSE),0)</f>
        <v>0</v>
      </c>
      <c r="J87" s="362">
        <f>IFERROR(VLOOKUP(C87,'تقرير المصروفات حسب الشهر'!$C$763:$AD$872,26,FALSE),0)</f>
        <v>0</v>
      </c>
      <c r="K87" s="362">
        <f>IFERROR(VLOOKUP(C87,'تقرير المصروفات حسب الشهر'!$C$890:$AD$999,26,FALSE),0)</f>
        <v>0</v>
      </c>
      <c r="L87" s="362">
        <f>IFERROR(VLOOKUP(C87,'تقرير المصروفات حسب الشهر'!$C$1016:$AD$1126,26,FALSE),0)</f>
        <v>0</v>
      </c>
      <c r="M87" s="376">
        <f>IFERROR(VLOOKUP(C87,'تقرير المصروفات حسب الشهر'!$C$1143:$AD$1254,26,FALSE),0)</f>
        <v>0</v>
      </c>
      <c r="N87" s="376">
        <f>IFERROR(VLOOKUP(C87,'تقرير المصروفات حسب الشهر'!$C$1270:$AD$1381,26,FALSE),0)</f>
        <v>0</v>
      </c>
      <c r="O87" s="376">
        <f>IFERROR(VLOOKUP(C87,'تقرير المصروفات حسب الشهر'!$C$1397:$AI$1512,26,FALSE),0)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الشهر'!$C$10:$AD$119,26,FALSE),0)</f>
        <v>0</v>
      </c>
      <c r="E88" s="362">
        <f>IFERROR(VLOOKUP(C88,'تقرير المصروفات حسب الشهر'!$C$135:$AD$244,26,FALSE),0)</f>
        <v>0</v>
      </c>
      <c r="F88" s="362">
        <f>IFERROR(VLOOKUP(C88,'تقرير المصروفات حسب الشهر'!$C$261:$AD$368,26,FALSE),0)</f>
        <v>0</v>
      </c>
      <c r="G88" s="362">
        <f>IFERROR(VLOOKUP(C88,'تقرير المصروفات حسب الشهر'!$C$387:$AD$495,26,FALSE),0)</f>
        <v>0</v>
      </c>
      <c r="H88" s="362">
        <f>IFERROR(VLOOKUP(C88,'تقرير المصروفات حسب الشهر'!$C$512:$AD$620,26,FALSE),0)</f>
        <v>333</v>
      </c>
      <c r="I88" s="362">
        <f>IFERROR(VLOOKUP(C88,'تقرير المصروفات حسب الشهر'!$C$637:$AD$746,26,FALSE),0)</f>
        <v>0</v>
      </c>
      <c r="J88" s="362">
        <f>IFERROR(VLOOKUP(C88,'تقرير المصروفات حسب الشهر'!$C$763:$AD$872,26,FALSE),0)</f>
        <v>0</v>
      </c>
      <c r="K88" s="362">
        <f>IFERROR(VLOOKUP(C88,'تقرير المصروفات حسب الشهر'!$C$890:$AD$999,26,FALSE),0)</f>
        <v>0</v>
      </c>
      <c r="L88" s="362">
        <f>IFERROR(VLOOKUP(C88,'تقرير المصروفات حسب الشهر'!$C$1016:$AD$1126,26,FALSE),0)</f>
        <v>0</v>
      </c>
      <c r="M88" s="376">
        <f>IFERROR(VLOOKUP(C88,'تقرير المصروفات حسب الشهر'!$C$1143:$AD$1254,26,FALSE),0)</f>
        <v>0</v>
      </c>
      <c r="N88" s="376">
        <f>IFERROR(VLOOKUP(C88,'تقرير المصروفات حسب الشهر'!$C$1270:$AD$1381,26,FALSE),0)</f>
        <v>0</v>
      </c>
      <c r="O88" s="376">
        <f>IFERROR(VLOOKUP(C88,'تقرير المصروفات حسب الشهر'!$C$1397:$AI$1512,26,FALSE),0)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الشهر'!$C$10:$AD$119,26,FALSE),0)</f>
        <v>0</v>
      </c>
      <c r="E89" s="362">
        <f>IFERROR(VLOOKUP(C89,'تقرير المصروفات حسب الشهر'!$C$135:$AD$244,26,FALSE),0)</f>
        <v>0</v>
      </c>
      <c r="F89" s="362">
        <f>IFERROR(VLOOKUP(C89,'تقرير المصروفات حسب الشهر'!$C$261:$AD$368,26,FALSE),0)</f>
        <v>0</v>
      </c>
      <c r="G89" s="362">
        <f>IFERROR(VLOOKUP(C89,'تقرير المصروفات حسب الشهر'!$C$387:$AD$495,26,FALSE),0)</f>
        <v>0</v>
      </c>
      <c r="H89" s="362">
        <f>IFERROR(VLOOKUP(C89,'تقرير المصروفات حسب الشهر'!$C$512:$AD$620,26,FALSE),0)</f>
        <v>0</v>
      </c>
      <c r="I89" s="362">
        <f>IFERROR(VLOOKUP(C89,'تقرير المصروفات حسب الشهر'!$C$637:$AD$746,26,FALSE),0)</f>
        <v>0</v>
      </c>
      <c r="J89" s="362">
        <f>IFERROR(VLOOKUP(C89,'تقرير المصروفات حسب الشهر'!$C$763:$AD$872,26,FALSE),0)</f>
        <v>0</v>
      </c>
      <c r="K89" s="362">
        <f>IFERROR(VLOOKUP(C89,'تقرير المصروفات حسب الشهر'!$C$890:$AD$999,26,FALSE),0)</f>
        <v>0</v>
      </c>
      <c r="L89" s="362">
        <f>IFERROR(VLOOKUP(C89,'تقرير المصروفات حسب الشهر'!$C$1016:$AD$1126,26,FALSE),0)</f>
        <v>0</v>
      </c>
      <c r="M89" s="376">
        <f>IFERROR(VLOOKUP(C89,'تقرير المصروفات حسب الشهر'!$C$1143:$AD$1254,26,FALSE),0)</f>
        <v>0</v>
      </c>
      <c r="N89" s="376">
        <f>IFERROR(VLOOKUP(C89,'تقرير المصروفات حسب الشهر'!$C$1270:$AD$1381,26,FALSE),0)</f>
        <v>0</v>
      </c>
      <c r="O89" s="376">
        <f>IFERROR(VLOOKUP(C89,'تقرير المصروفات حسب الشهر'!$C$1397:$AI$1512,26,FALSE),0)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الشهر'!$C$10:$AD$119,26,FALSE),0)</f>
        <v>0</v>
      </c>
      <c r="E90" s="362">
        <f>IFERROR(VLOOKUP(C90,'تقرير المصروفات حسب الشهر'!$C$135:$AD$244,26,FALSE),0)</f>
        <v>0</v>
      </c>
      <c r="F90" s="362">
        <f>IFERROR(VLOOKUP(C90,'تقرير المصروفات حسب الشهر'!$C$261:$AD$368,26,FALSE),0)</f>
        <v>0</v>
      </c>
      <c r="G90" s="362">
        <f>IFERROR(VLOOKUP(C90,'تقرير المصروفات حسب الشهر'!$C$387:$AD$495,26,FALSE),0)</f>
        <v>0</v>
      </c>
      <c r="H90" s="362">
        <f>IFERROR(VLOOKUP(C90,'تقرير المصروفات حسب الشهر'!$C$512:$AD$620,26,FALSE),0)</f>
        <v>0</v>
      </c>
      <c r="I90" s="362">
        <f>IFERROR(VLOOKUP(C90,'تقرير المصروفات حسب الشهر'!$C$637:$AD$746,26,FALSE),0)</f>
        <v>0</v>
      </c>
      <c r="J90" s="362">
        <f>IFERROR(VLOOKUP(C90,'تقرير المصروفات حسب الشهر'!$C$763:$AD$872,26,FALSE),0)</f>
        <v>0</v>
      </c>
      <c r="K90" s="362">
        <f>IFERROR(VLOOKUP(C90,'تقرير المصروفات حسب الشهر'!$C$890:$AD$999,26,FALSE),0)</f>
        <v>0</v>
      </c>
      <c r="L90" s="362">
        <f>IFERROR(VLOOKUP(C90,'تقرير المصروفات حسب الشهر'!$C$1016:$AD$1126,26,FALSE),0)</f>
        <v>0</v>
      </c>
      <c r="M90" s="376">
        <f>IFERROR(VLOOKUP(C90,'تقرير المصروفات حسب الشهر'!$C$1143:$AD$1254,26,FALSE),0)</f>
        <v>0</v>
      </c>
      <c r="N90" s="376">
        <f>IFERROR(VLOOKUP(C90,'تقرير المصروفات حسب الشهر'!$C$1270:$AD$1381,26,FALSE),0)</f>
        <v>0</v>
      </c>
      <c r="O90" s="376">
        <f>IFERROR(VLOOKUP(C90,'تقرير المصروفات حسب الشهر'!$C$1397:$AI$1512,26,FALSE),0)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الشهر'!$C$10:$AD$119,26,FALSE),0)</f>
        <v>0</v>
      </c>
      <c r="E91" s="362">
        <f>IFERROR(VLOOKUP(C91,'تقرير المصروفات حسب الشهر'!$C$135:$AD$244,26,FALSE),0)</f>
        <v>0</v>
      </c>
      <c r="F91" s="362">
        <f>IFERROR(VLOOKUP(C91,'تقرير المصروفات حسب الشهر'!$C$261:$AD$368,26,FALSE),0)</f>
        <v>0</v>
      </c>
      <c r="G91" s="362">
        <f>IFERROR(VLOOKUP(C91,'تقرير المصروفات حسب الشهر'!$C$387:$AD$495,26,FALSE),0)</f>
        <v>0</v>
      </c>
      <c r="H91" s="362">
        <f>IFERROR(VLOOKUP(C91,'تقرير المصروفات حسب الشهر'!$C$512:$AD$620,26,FALSE),0)</f>
        <v>0</v>
      </c>
      <c r="I91" s="362">
        <f>IFERROR(VLOOKUP(C91,'تقرير المصروفات حسب الشهر'!$C$637:$AD$746,26,FALSE),0)</f>
        <v>0</v>
      </c>
      <c r="J91" s="362">
        <f>IFERROR(VLOOKUP(C91,'تقرير المصروفات حسب الشهر'!$C$763:$AD$872,26,FALSE),0)</f>
        <v>0</v>
      </c>
      <c r="K91" s="362">
        <f>IFERROR(VLOOKUP(C91,'تقرير المصروفات حسب الشهر'!$C$890:$AD$999,26,FALSE),0)</f>
        <v>0</v>
      </c>
      <c r="L91" s="362">
        <f>IFERROR(VLOOKUP(C91,'تقرير المصروفات حسب الشهر'!$C$1016:$AD$1126,26,FALSE),0)</f>
        <v>0</v>
      </c>
      <c r="M91" s="376">
        <f>IFERROR(VLOOKUP(C91,'تقرير المصروفات حسب الشهر'!$C$1143:$AD$1254,26,FALSE),0)</f>
        <v>0</v>
      </c>
      <c r="N91" s="376">
        <f>IFERROR(VLOOKUP(C91,'تقرير المصروفات حسب الشهر'!$C$1270:$AD$1381,26,FALSE),0)</f>
        <v>0</v>
      </c>
      <c r="O91" s="376">
        <f>IFERROR(VLOOKUP(C91,'تقرير المصروفات حسب الشهر'!$C$1397:$AI$1512,26,FALSE),0)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الشهر'!$C$10:$AD$119,26,FALSE),0)</f>
        <v>0</v>
      </c>
      <c r="E92" s="362">
        <f>IFERROR(VLOOKUP(C92,'تقرير المصروفات حسب الشهر'!$C$135:$AD$244,26,FALSE),0)</f>
        <v>0</v>
      </c>
      <c r="F92" s="362">
        <f>IFERROR(VLOOKUP(C92,'تقرير المصروفات حسب الشهر'!$C$261:$AD$368,26,FALSE),0)</f>
        <v>0</v>
      </c>
      <c r="G92" s="362">
        <f>IFERROR(VLOOKUP(C92,'تقرير المصروفات حسب الشهر'!$C$387:$AD$495,26,FALSE),0)</f>
        <v>0</v>
      </c>
      <c r="H92" s="362">
        <f>IFERROR(VLOOKUP(C92,'تقرير المصروفات حسب الشهر'!$C$512:$AD$620,26,FALSE),0)</f>
        <v>0</v>
      </c>
      <c r="I92" s="362">
        <f>IFERROR(VLOOKUP(C92,'تقرير المصروفات حسب الشهر'!$C$637:$AD$746,26,FALSE),0)</f>
        <v>0</v>
      </c>
      <c r="J92" s="362">
        <f>IFERROR(VLOOKUP(C92,'تقرير المصروفات حسب الشهر'!$C$763:$AD$872,26,FALSE),0)</f>
        <v>0</v>
      </c>
      <c r="K92" s="362">
        <f>IFERROR(VLOOKUP(C92,'تقرير المصروفات حسب الشهر'!$C$890:$AD$999,26,FALSE),0)</f>
        <v>0</v>
      </c>
      <c r="L92" s="362">
        <f>IFERROR(VLOOKUP(C92,'تقرير المصروفات حسب الشهر'!$C$1016:$AD$1126,26,FALSE),0)</f>
        <v>0</v>
      </c>
      <c r="M92" s="376">
        <f>IFERROR(VLOOKUP(C92,'تقرير المصروفات حسب الشهر'!$C$1143:$AD$1254,26,FALSE),0)</f>
        <v>0</v>
      </c>
      <c r="N92" s="376">
        <f>IFERROR(VLOOKUP(C92,'تقرير المصروفات حسب الشهر'!$C$1270:$AD$1381,26,FALSE),0)</f>
        <v>0</v>
      </c>
      <c r="O92" s="376">
        <f>IFERROR(VLOOKUP(C92,'تقرير المصروفات حسب الشهر'!$C$1397:$AI$1512,26,FALSE),0)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الشهر'!$C$10:$AD$119,26,FALSE),0)</f>
        <v>0</v>
      </c>
      <c r="E93" s="362">
        <f>IFERROR(VLOOKUP(C93,'تقرير المصروفات حسب الشهر'!$C$135:$AD$244,26,FALSE),0)</f>
        <v>0</v>
      </c>
      <c r="F93" s="362">
        <f>IFERROR(VLOOKUP(C93,'تقرير المصروفات حسب الشهر'!$C$261:$AD$368,26,FALSE),0)</f>
        <v>0</v>
      </c>
      <c r="G93" s="362">
        <f>IFERROR(VLOOKUP(C93,'تقرير المصروفات حسب الشهر'!$C$387:$AD$495,26,FALSE),0)</f>
        <v>621.5</v>
      </c>
      <c r="H93" s="362">
        <f>IFERROR(VLOOKUP(C93,'تقرير المصروفات حسب الشهر'!$C$512:$AD$620,26,FALSE),0)</f>
        <v>0</v>
      </c>
      <c r="I93" s="362">
        <f>IFERROR(VLOOKUP(C93,'تقرير المصروفات حسب الشهر'!$C$637:$AD$746,26,FALSE),0)</f>
        <v>0</v>
      </c>
      <c r="J93" s="362">
        <f>IFERROR(VLOOKUP(C93,'تقرير المصروفات حسب الشهر'!$C$763:$AD$872,26,FALSE),0)</f>
        <v>668</v>
      </c>
      <c r="K93" s="362">
        <f>IFERROR(VLOOKUP(C93,'تقرير المصروفات حسب الشهر'!$C$890:$AD$999,26,FALSE),0)</f>
        <v>0</v>
      </c>
      <c r="L93" s="362">
        <f>IFERROR(VLOOKUP(C93,'تقرير المصروفات حسب الشهر'!$C$1016:$AD$1126,26,FALSE),0)</f>
        <v>0</v>
      </c>
      <c r="M93" s="376">
        <f>IFERROR(VLOOKUP(C93,'تقرير المصروفات حسب الشهر'!$C$1143:$AD$1254,26,FALSE),0)</f>
        <v>0</v>
      </c>
      <c r="N93" s="376">
        <f>IFERROR(VLOOKUP(C93,'تقرير المصروفات حسب الشهر'!$C$1270:$AD$1381,26,FALSE),0)</f>
        <v>0</v>
      </c>
      <c r="O93" s="376">
        <f>IFERROR(VLOOKUP(C93,'تقرير المصروفات حسب الشهر'!$C$1397:$AI$1512,26,FALSE),0)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الشهر'!$C$10:$AD$119,26,FALSE),0)</f>
        <v>0</v>
      </c>
      <c r="E94" s="362">
        <f>IFERROR(VLOOKUP(C94,'تقرير المصروفات حسب الشهر'!$C$135:$AD$244,26,FALSE),0)</f>
        <v>0</v>
      </c>
      <c r="F94" s="362">
        <f>IFERROR(VLOOKUP(C94,'تقرير المصروفات حسب الشهر'!$C$261:$AD$368,26,FALSE),0)</f>
        <v>0</v>
      </c>
      <c r="G94" s="362">
        <f>IFERROR(VLOOKUP(C94,'تقرير المصروفات حسب الشهر'!$C$387:$AD$495,26,FALSE),0)</f>
        <v>0</v>
      </c>
      <c r="H94" s="362">
        <f>IFERROR(VLOOKUP(C94,'تقرير المصروفات حسب الشهر'!$C$512:$AD$620,26,FALSE),0)</f>
        <v>0</v>
      </c>
      <c r="I94" s="362">
        <f>IFERROR(VLOOKUP(C94,'تقرير المصروفات حسب الشهر'!$C$637:$AD$746,26,FALSE),0)</f>
        <v>0</v>
      </c>
      <c r="J94" s="362">
        <f>IFERROR(VLOOKUP(C94,'تقرير المصروفات حسب الشهر'!$C$763:$AD$872,26,FALSE),0)</f>
        <v>0</v>
      </c>
      <c r="K94" s="362">
        <f>IFERROR(VLOOKUP(C94,'تقرير المصروفات حسب الشهر'!$C$890:$AD$999,26,FALSE),0)</f>
        <v>0</v>
      </c>
      <c r="L94" s="362">
        <f>IFERROR(VLOOKUP(C94,'تقرير المصروفات حسب الشهر'!$C$1016:$AD$1126,26,FALSE),0)</f>
        <v>0</v>
      </c>
      <c r="M94" s="376">
        <f>IFERROR(VLOOKUP(C94,'تقرير المصروفات حسب الشهر'!$C$1143:$AD$1254,26,FALSE),0)</f>
        <v>0</v>
      </c>
      <c r="N94" s="376">
        <f>IFERROR(VLOOKUP(C94,'تقرير المصروفات حسب الشهر'!$C$1270:$AD$1381,26,FALSE),0)</f>
        <v>0</v>
      </c>
      <c r="O94" s="376">
        <f>IFERROR(VLOOKUP(C94,'تقرير المصروفات حسب الشهر'!$C$1397:$AI$1512,26,FALSE),0)</f>
        <v>370</v>
      </c>
      <c r="P94" s="364">
        <f t="shared" si="6"/>
        <v>370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الشهر'!$C$10:$AD$119,26,FALSE),0)</f>
        <v>0</v>
      </c>
      <c r="E95" s="362">
        <f>IFERROR(VLOOKUP(C95,'تقرير المصروفات حسب الشهر'!$C$135:$AD$244,26,FALSE),0)</f>
        <v>0</v>
      </c>
      <c r="F95" s="362">
        <f>IFERROR(VLOOKUP(C95,'تقرير المصروفات حسب الشهر'!$C$261:$AD$368,26,FALSE),0)</f>
        <v>0</v>
      </c>
      <c r="G95" s="362">
        <f>IFERROR(VLOOKUP(C95,'تقرير المصروفات حسب الشهر'!$C$387:$AD$495,26,FALSE),0)</f>
        <v>0</v>
      </c>
      <c r="H95" s="362">
        <f>IFERROR(VLOOKUP(C95,'تقرير المصروفات حسب الشهر'!$C$512:$AD$620,26,FALSE),0)</f>
        <v>0</v>
      </c>
      <c r="I95" s="362">
        <f>IFERROR(VLOOKUP(C95,'تقرير المصروفات حسب الشهر'!$C$637:$AD$746,26,FALSE),0)</f>
        <v>0</v>
      </c>
      <c r="J95" s="362">
        <f>IFERROR(VLOOKUP(C95,'تقرير المصروفات حسب الشهر'!$C$763:$AD$872,26,FALSE),0)</f>
        <v>0</v>
      </c>
      <c r="K95" s="362">
        <f>IFERROR(VLOOKUP(C95,'تقرير المصروفات حسب الشهر'!$C$890:$AD$999,26,FALSE),0)</f>
        <v>0</v>
      </c>
      <c r="L95" s="362">
        <f>IFERROR(VLOOKUP(C95,'تقرير المصروفات حسب الشهر'!$C$1016:$AD$1126,26,FALSE),0)</f>
        <v>2130</v>
      </c>
      <c r="M95" s="376">
        <f>IFERROR(VLOOKUP(C95,'تقرير المصروفات حسب الشهر'!$C$1143:$AD$1254,26,FALSE),0)</f>
        <v>1065</v>
      </c>
      <c r="N95" s="376">
        <f>IFERROR(VLOOKUP(C95,'تقرير المصروفات حسب الشهر'!$C$1270:$AD$1381,26,FALSE),0)</f>
        <v>1065</v>
      </c>
      <c r="O95" s="376">
        <f>IFERROR(VLOOKUP(C95,'تقرير المصروفات حسب الشهر'!$C$1397:$AI$1512,26,FALSE),0)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الشهر'!$C$10:$AD$119,26,FALSE),0)</f>
        <v>0</v>
      </c>
      <c r="E96" s="362">
        <f>IFERROR(VLOOKUP(C96,'تقرير المصروفات حسب الشهر'!$C$135:$AD$244,26,FALSE),0)</f>
        <v>0</v>
      </c>
      <c r="F96" s="362">
        <f>IFERROR(VLOOKUP(C96,'تقرير المصروفات حسب الشهر'!$C$261:$AD$368,26,FALSE),0)</f>
        <v>0</v>
      </c>
      <c r="G96" s="362">
        <f>IFERROR(VLOOKUP(C96,'تقرير المصروفات حسب الشهر'!$C$387:$AD$495,26,FALSE),0)</f>
        <v>0</v>
      </c>
      <c r="H96" s="362">
        <f>IFERROR(VLOOKUP(C96,'تقرير المصروفات حسب الشهر'!$C$512:$AD$620,26,FALSE),0)</f>
        <v>0</v>
      </c>
      <c r="I96" s="362">
        <f>IFERROR(VLOOKUP(C96,'تقرير المصروفات حسب الشهر'!$C$637:$AD$746,26,FALSE),0)</f>
        <v>0</v>
      </c>
      <c r="J96" s="362">
        <f>IFERROR(VLOOKUP(C96,'تقرير المصروفات حسب الشهر'!$C$763:$AD$872,26,FALSE),0)</f>
        <v>0</v>
      </c>
      <c r="K96" s="362">
        <f>IFERROR(VLOOKUP(C96,'تقرير المصروفات حسب الشهر'!$C$890:$AD$999,26,FALSE),0)</f>
        <v>0</v>
      </c>
      <c r="L96" s="362">
        <f>IFERROR(VLOOKUP(C96,'تقرير المصروفات حسب الشهر'!$C$1016:$AD$1126,26,FALSE),0)</f>
        <v>0</v>
      </c>
      <c r="M96" s="376">
        <f>IFERROR(VLOOKUP(C96,'تقرير المصروفات حسب الشهر'!$C$1143:$AD$1254,26,FALSE),0)</f>
        <v>0</v>
      </c>
      <c r="N96" s="376">
        <f>IFERROR(VLOOKUP(C96,'تقرير المصروفات حسب الشهر'!$C$1270:$AD$1381,26,FALSE),0)</f>
        <v>0</v>
      </c>
      <c r="O96" s="376">
        <f>IFERROR(VLOOKUP(C96,'تقرير المصروفات حسب الشهر'!$C$1397:$AI$1512,26,FALSE),0)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الشهر'!$C$10:$AD$119,26,FALSE),0)</f>
        <v>0</v>
      </c>
      <c r="E97" s="362">
        <f>IFERROR(VLOOKUP(C97,'تقرير المصروفات حسب الشهر'!$C$135:$AD$244,26,FALSE),0)</f>
        <v>0</v>
      </c>
      <c r="F97" s="362">
        <f>IFERROR(VLOOKUP(C97,'تقرير المصروفات حسب الشهر'!$C$261:$AD$368,26,FALSE),0)</f>
        <v>0</v>
      </c>
      <c r="G97" s="362">
        <f>IFERROR(VLOOKUP(C97,'تقرير المصروفات حسب الشهر'!$C$387:$AD$495,26,FALSE),0)</f>
        <v>0</v>
      </c>
      <c r="H97" s="362">
        <f>IFERROR(VLOOKUP(C97,'تقرير المصروفات حسب الشهر'!$C$512:$AD$620,26,FALSE),0)</f>
        <v>0</v>
      </c>
      <c r="I97" s="362">
        <f>IFERROR(VLOOKUP(C97,'تقرير المصروفات حسب الشهر'!$C$637:$AD$746,26,FALSE),0)</f>
        <v>0</v>
      </c>
      <c r="J97" s="362">
        <f>IFERROR(VLOOKUP(C97,'تقرير المصروفات حسب الشهر'!$C$763:$AD$872,26,FALSE),0)</f>
        <v>0</v>
      </c>
      <c r="K97" s="362">
        <f>IFERROR(VLOOKUP(C97,'تقرير المصروفات حسب الشهر'!$C$890:$AD$999,26,FALSE),0)</f>
        <v>0</v>
      </c>
      <c r="L97" s="362">
        <f>IFERROR(VLOOKUP(C97,'تقرير المصروفات حسب الشهر'!$C$1016:$AD$1126,26,FALSE),0)</f>
        <v>0</v>
      </c>
      <c r="M97" s="376">
        <f>IFERROR(VLOOKUP(C97,'تقرير المصروفات حسب الشهر'!$C$1143:$AD$1254,26,FALSE),0)</f>
        <v>0</v>
      </c>
      <c r="N97" s="376">
        <f>IFERROR(VLOOKUP(C97,'تقرير المصروفات حسب الشهر'!$C$1270:$AD$1381,26,FALSE),0)</f>
        <v>0</v>
      </c>
      <c r="O97" s="376">
        <f>IFERROR(VLOOKUP(C97,'تقرير المصروفات حسب الشهر'!$C$1397:$AI$1512,26,FALSE),0)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الشهر'!$C$10:$AD$119,26,FALSE),0)</f>
        <v>0</v>
      </c>
      <c r="E98" s="362">
        <f>IFERROR(VLOOKUP(C98,'تقرير المصروفات حسب الشهر'!$C$135:$AD$244,26,FALSE),0)</f>
        <v>0</v>
      </c>
      <c r="F98" s="362">
        <f>IFERROR(VLOOKUP(C98,'تقرير المصروفات حسب الشهر'!$C$261:$AD$368,26,FALSE),0)</f>
        <v>0</v>
      </c>
      <c r="G98" s="362">
        <f>IFERROR(VLOOKUP(C98,'تقرير المصروفات حسب الشهر'!$C$387:$AD$495,26,FALSE),0)</f>
        <v>0</v>
      </c>
      <c r="H98" s="362">
        <f>IFERROR(VLOOKUP(C98,'تقرير المصروفات حسب الشهر'!$C$512:$AD$620,26,FALSE),0)</f>
        <v>0</v>
      </c>
      <c r="I98" s="362">
        <f>IFERROR(VLOOKUP(C98,'تقرير المصروفات حسب الشهر'!$C$637:$AD$746,26,FALSE),0)</f>
        <v>0</v>
      </c>
      <c r="J98" s="362">
        <f>IFERROR(VLOOKUP(C98,'تقرير المصروفات حسب الشهر'!$C$763:$AD$872,26,FALSE),0)</f>
        <v>0</v>
      </c>
      <c r="K98" s="362">
        <f>IFERROR(VLOOKUP(C98,'تقرير المصروفات حسب الشهر'!$C$890:$AD$999,26,FALSE),0)</f>
        <v>0</v>
      </c>
      <c r="L98" s="362">
        <f>IFERROR(VLOOKUP(C98,'تقرير المصروفات حسب الشهر'!$C$1016:$AD$1126,26,FALSE),0)</f>
        <v>0</v>
      </c>
      <c r="M98" s="376">
        <f>IFERROR(VLOOKUP(C98,'تقرير المصروفات حسب الشهر'!$C$1143:$AD$1254,26,FALSE),0)</f>
        <v>0</v>
      </c>
      <c r="N98" s="376">
        <f>IFERROR(VLOOKUP(C98,'تقرير المصروفات حسب الشهر'!$C$1270:$AD$1381,26,FALSE),0)</f>
        <v>0</v>
      </c>
      <c r="O98" s="376">
        <f>IFERROR(VLOOKUP(C98,'تقرير المصروفات حسب الشهر'!$C$1397:$AI$1512,26,FALSE),0)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الشهر'!$C$10:$AD$119,26,FALSE),0)</f>
        <v>0</v>
      </c>
      <c r="E99" s="362">
        <f>IFERROR(VLOOKUP(C99,'تقرير المصروفات حسب الشهر'!$C$135:$AD$244,26,FALSE),0)</f>
        <v>0</v>
      </c>
      <c r="F99" s="362">
        <f>IFERROR(VLOOKUP(C99,'تقرير المصروفات حسب الشهر'!$C$261:$AD$368,26,FALSE),0)</f>
        <v>0</v>
      </c>
      <c r="G99" s="362">
        <f>IFERROR(VLOOKUP(C99,'تقرير المصروفات حسب الشهر'!$C$387:$AD$495,26,FALSE),0)</f>
        <v>0</v>
      </c>
      <c r="H99" s="362">
        <f>IFERROR(VLOOKUP(C99,'تقرير المصروفات حسب الشهر'!$C$512:$AD$620,26,FALSE),0)</f>
        <v>0</v>
      </c>
      <c r="I99" s="362">
        <f>IFERROR(VLOOKUP(C99,'تقرير المصروفات حسب الشهر'!$C$637:$AD$746,26,FALSE),0)</f>
        <v>0</v>
      </c>
      <c r="J99" s="362">
        <f>IFERROR(VLOOKUP(C99,'تقرير المصروفات حسب الشهر'!$C$763:$AD$872,26,FALSE),0)</f>
        <v>0</v>
      </c>
      <c r="K99" s="362">
        <f>IFERROR(VLOOKUP(C99,'تقرير المصروفات حسب الشهر'!$C$890:$AD$999,26,FALSE),0)</f>
        <v>0</v>
      </c>
      <c r="L99" s="362">
        <f>IFERROR(VLOOKUP(C99,'تقرير المصروفات حسب الشهر'!$C$1016:$AD$1126,26,FALSE),0)</f>
        <v>0</v>
      </c>
      <c r="M99" s="376">
        <f>IFERROR(VLOOKUP(C99,'تقرير المصروفات حسب الشهر'!$C$1143:$AD$1254,26,FALSE),0)</f>
        <v>0</v>
      </c>
      <c r="N99" s="376">
        <f>IFERROR(VLOOKUP(C99,'تقرير المصروفات حسب الشهر'!$C$1270:$AD$1381,26,FALSE),0)</f>
        <v>0</v>
      </c>
      <c r="O99" s="376">
        <f>IFERROR(VLOOKUP(C99,'تقرير المصروفات حسب الشهر'!$C$1397:$AI$1512,26,FALSE),0)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الشهر'!$C$10:$AD$119,26,FALSE),0)</f>
        <v>375.5</v>
      </c>
      <c r="E100" s="362">
        <f>IFERROR(VLOOKUP(C100,'تقرير المصروفات حسب الشهر'!$C$135:$AD$244,26,FALSE),0)</f>
        <v>375.5</v>
      </c>
      <c r="F100" s="362">
        <f>IFERROR(VLOOKUP(C100,'تقرير المصروفات حسب الشهر'!$C$261:$AD$368,26,FALSE),0)</f>
        <v>375.5</v>
      </c>
      <c r="G100" s="362">
        <f>IFERROR(VLOOKUP(C100,'تقرير المصروفات حسب الشهر'!$C$387:$AD$495,26,FALSE),0)</f>
        <v>375.5</v>
      </c>
      <c r="H100" s="362">
        <f>IFERROR(VLOOKUP(C100,'تقرير المصروفات حسب الشهر'!$C$512:$AD$620,26,FALSE),0)</f>
        <v>375.5</v>
      </c>
      <c r="I100" s="362">
        <f>IFERROR(VLOOKUP(C100,'تقرير المصروفات حسب الشهر'!$C$637:$AD$746,26,FALSE),0)</f>
        <v>375.48</v>
      </c>
      <c r="J100" s="362">
        <f>IFERROR(VLOOKUP(C100,'تقرير المصروفات حسب الشهر'!$C$763:$AD$872,26,FALSE),0)</f>
        <v>457.9</v>
      </c>
      <c r="K100" s="362">
        <f>IFERROR(VLOOKUP(C100,'تقرير المصروفات حسب الشهر'!$C$890:$AD$999,26,FALSE),0)</f>
        <v>457.9</v>
      </c>
      <c r="L100" s="362">
        <f>IFERROR(VLOOKUP(C100,'تقرير المصروفات حسب الشهر'!$C$1016:$AD$1126,26,FALSE),0)</f>
        <v>457.9</v>
      </c>
      <c r="M100" s="376">
        <f>IFERROR(VLOOKUP(C100,'تقرير المصروفات حسب الشهر'!$C$1143:$AD$1254,26,FALSE),0)</f>
        <v>457.9</v>
      </c>
      <c r="N100" s="376">
        <f>IFERROR(VLOOKUP(C100,'تقرير المصروفات حسب الشهر'!$C$1270:$AD$1381,26,FALSE),0)</f>
        <v>457.78</v>
      </c>
      <c r="O100" s="376">
        <f>IFERROR(VLOOKUP(C100,'تقرير المصروفات حسب الشهر'!$C$1397:$AI$1512,26,FALSE),0)</f>
        <v>289.57</v>
      </c>
      <c r="P100" s="364">
        <f t="shared" si="6"/>
        <v>4831.93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الشهر'!$C$10:$AD$119,26,FALSE),0)</f>
        <v>0</v>
      </c>
      <c r="E101" s="362">
        <f>IFERROR(VLOOKUP(C101,'تقرير المصروفات حسب الشهر'!$C$135:$AD$244,26,FALSE),0)</f>
        <v>0</v>
      </c>
      <c r="F101" s="362">
        <f>IFERROR(VLOOKUP(C101,'تقرير المصروفات حسب الشهر'!$C$261:$AD$368,26,FALSE),0)</f>
        <v>0</v>
      </c>
      <c r="G101" s="362">
        <f>IFERROR(VLOOKUP(C101,'تقرير المصروفات حسب الشهر'!$C$387:$AD$495,26,FALSE),0)</f>
        <v>0</v>
      </c>
      <c r="H101" s="362">
        <f>IFERROR(VLOOKUP(C101,'تقرير المصروفات حسب الشهر'!$C$512:$AD$620,26,FALSE),0)</f>
        <v>0</v>
      </c>
      <c r="I101" s="362">
        <f>IFERROR(VLOOKUP(C101,'تقرير المصروفات حسب الشهر'!$C$637:$AD$746,26,FALSE),0)</f>
        <v>0</v>
      </c>
      <c r="J101" s="362">
        <f>IFERROR(VLOOKUP(C101,'تقرير المصروفات حسب الشهر'!$C$763:$AD$872,26,FALSE),0)</f>
        <v>0</v>
      </c>
      <c r="K101" s="362">
        <f>IFERROR(VLOOKUP(C101,'تقرير المصروفات حسب الشهر'!$C$890:$AD$999,26,FALSE),0)</f>
        <v>0</v>
      </c>
      <c r="L101" s="362">
        <f>IFERROR(VLOOKUP(C101,'تقرير المصروفات حسب الشهر'!$C$1016:$AD$1126,26,FALSE),0)</f>
        <v>0</v>
      </c>
      <c r="M101" s="376">
        <f>IFERROR(VLOOKUP(C101,'تقرير المصروفات حسب الشهر'!$C$1143:$AD$1254,26,FALSE),0)</f>
        <v>0</v>
      </c>
      <c r="N101" s="376">
        <f>IFERROR(VLOOKUP(C101,'تقرير المصروفات حسب الشهر'!$C$1270:$AD$1381,26,FALSE),0)</f>
        <v>0</v>
      </c>
      <c r="O101" s="376">
        <f>IFERROR(VLOOKUP(C101,'تقرير المصروفات حسب الشهر'!$C$1397:$AI$1512,26,FALSE),0)</f>
        <v>0</v>
      </c>
      <c r="P101" s="364">
        <f t="shared" si="6"/>
        <v>0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الشهر'!$C$10:$AD$119,26,FALSE),0)</f>
        <v>110.42</v>
      </c>
      <c r="E102" s="362">
        <f>IFERROR(VLOOKUP(C102,'تقرير المصروفات حسب الشهر'!$C$135:$AD$244,26,FALSE),0)</f>
        <v>110.42</v>
      </c>
      <c r="F102" s="362">
        <f>IFERROR(VLOOKUP(C102,'تقرير المصروفات حسب الشهر'!$C$261:$AD$368,26,FALSE),0)</f>
        <v>110.42</v>
      </c>
      <c r="G102" s="362">
        <f>IFERROR(VLOOKUP(C102,'تقرير المصروفات حسب الشهر'!$C$387:$AD$495,26,FALSE),0)</f>
        <v>110.42</v>
      </c>
      <c r="H102" s="362">
        <f>IFERROR(VLOOKUP(C102,'تقرير المصروفات حسب الشهر'!$C$512:$AD$620,26,FALSE),0)</f>
        <v>110.42</v>
      </c>
      <c r="I102" s="362">
        <f>IFERROR(VLOOKUP(C102,'تقرير المصروفات حسب الشهر'!$C$637:$AD$746,26,FALSE),0)</f>
        <v>110.42</v>
      </c>
      <c r="J102" s="362">
        <f>IFERROR(VLOOKUP(C102,'تقرير المصروفات حسب الشهر'!$C$763:$AD$872,26,FALSE),0)</f>
        <v>110.42</v>
      </c>
      <c r="K102" s="362">
        <f>IFERROR(VLOOKUP(C102,'تقرير المصروفات حسب الشهر'!$C$890:$AD$999,26,FALSE),0)</f>
        <v>110.42</v>
      </c>
      <c r="L102" s="362">
        <f>IFERROR(VLOOKUP(C102,'تقرير المصروفات حسب الشهر'!$C$1016:$AD$1126,26,FALSE),0)</f>
        <v>110.42</v>
      </c>
      <c r="M102" s="376">
        <f>IFERROR(VLOOKUP(C102,'تقرير المصروفات حسب الشهر'!$C$1143:$AD$1254,26,FALSE),0)</f>
        <v>110.42</v>
      </c>
      <c r="N102" s="376">
        <f>IFERROR(VLOOKUP(C102,'تقرير المصروفات حسب الشهر'!$C$1270:$AD$1381,26,FALSE),0)</f>
        <v>110.38</v>
      </c>
      <c r="O102" s="376">
        <f>IFERROR(VLOOKUP(C102,'تقرير المصروفات حسب الشهر'!$C$1397:$AI$1512,26,FALSE),0)</f>
        <v>0</v>
      </c>
      <c r="P102" s="364">
        <f t="shared" si="6"/>
        <v>1214.58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الشهر'!$C$10:$AD$119,26,FALSE),0)</f>
        <v>225.58</v>
      </c>
      <c r="E103" s="362">
        <f>IFERROR(VLOOKUP(C103,'تقرير المصروفات حسب الشهر'!$C$135:$AD$244,26,FALSE),0)</f>
        <v>225.58</v>
      </c>
      <c r="F103" s="362">
        <f>IFERROR(VLOOKUP(C103,'تقرير المصروفات حسب الشهر'!$C$261:$AD$368,26,FALSE),0)</f>
        <v>225.58</v>
      </c>
      <c r="G103" s="362">
        <f>IFERROR(VLOOKUP(C103,'تقرير المصروفات حسب الشهر'!$C$387:$AD$495,26,FALSE),0)</f>
        <v>225.58</v>
      </c>
      <c r="H103" s="362">
        <f>IFERROR(VLOOKUP(C103,'تقرير المصروفات حسب الشهر'!$C$512:$AD$620,26,FALSE),0)</f>
        <v>225.58</v>
      </c>
      <c r="I103" s="362">
        <f>IFERROR(VLOOKUP(C103,'تقرير المصروفات حسب الشهر'!$C$637:$AD$746,26,FALSE),0)</f>
        <v>225.58</v>
      </c>
      <c r="J103" s="362">
        <f>IFERROR(VLOOKUP(C103,'تقرير المصروفات حسب الشهر'!$C$763:$AD$872,26,FALSE),0)</f>
        <v>225.58</v>
      </c>
      <c r="K103" s="362">
        <f>IFERROR(VLOOKUP(C103,'تقرير المصروفات حسب الشهر'!$C$890:$AD$999,26,FALSE),0)</f>
        <v>225.58</v>
      </c>
      <c r="L103" s="362">
        <f>IFERROR(VLOOKUP(C103,'تقرير المصروفات حسب الشهر'!$C$1016:$AD$1126,26,FALSE),0)</f>
        <v>225.58</v>
      </c>
      <c r="M103" s="376">
        <f>IFERROR(VLOOKUP(C103,'تقرير المصروفات حسب الشهر'!$C$1143:$AD$1254,26,FALSE),0)</f>
        <v>225.58</v>
      </c>
      <c r="N103" s="376">
        <f>IFERROR(VLOOKUP(C103,'تقرير المصروفات حسب الشهر'!$C$1270:$AD$1381,26,FALSE),0)</f>
        <v>225.58</v>
      </c>
      <c r="O103" s="376">
        <f>IFERROR(VLOOKUP(C103,'تقرير المصروفات حسب الشهر'!$C$1397:$AI$1512,26,FALSE),0)</f>
        <v>0.04</v>
      </c>
      <c r="P103" s="364">
        <f t="shared" si="6"/>
        <v>2481.4199999999996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الشهر'!$C$10:$AD$119,26,FALSE),0)</f>
        <v>0</v>
      </c>
      <c r="E104" s="362">
        <f>IFERROR(VLOOKUP(C104,'تقرير المصروفات حسب الشهر'!$C$135:$AD$244,26,FALSE),0)</f>
        <v>0</v>
      </c>
      <c r="F104" s="362">
        <f>IFERROR(VLOOKUP(C104,'تقرير المصروفات حسب الشهر'!$C$261:$AD$368,26,FALSE),0)</f>
        <v>0</v>
      </c>
      <c r="G104" s="362">
        <f>IFERROR(VLOOKUP(C104,'تقرير المصروفات حسب الشهر'!$C$387:$AD$495,26,FALSE),0)</f>
        <v>0</v>
      </c>
      <c r="H104" s="362">
        <f>IFERROR(VLOOKUP(C104,'تقرير المصروفات حسب الشهر'!$C$512:$AD$620,26,FALSE),0)</f>
        <v>0</v>
      </c>
      <c r="I104" s="362">
        <f>IFERROR(VLOOKUP(C104,'تقرير المصروفات حسب الشهر'!$C$637:$AD$746,26,FALSE),0)</f>
        <v>0</v>
      </c>
      <c r="J104" s="362">
        <f>IFERROR(VLOOKUP(C104,'تقرير المصروفات حسب الشهر'!$C$763:$AD$872,26,FALSE),0)</f>
        <v>0</v>
      </c>
      <c r="K104" s="362">
        <f>IFERROR(VLOOKUP(C104,'تقرير المصروفات حسب الشهر'!$C$890:$AD$999,26,FALSE),0)</f>
        <v>0</v>
      </c>
      <c r="L104" s="362">
        <f>IFERROR(VLOOKUP(C104,'تقرير المصروفات حسب الشهر'!$C$1016:$AD$1126,26,FALSE),0)</f>
        <v>0</v>
      </c>
      <c r="M104" s="376">
        <f>IFERROR(VLOOKUP(C104,'تقرير المصروفات حسب الشهر'!$C$1143:$AD$1254,26,FALSE),0)</f>
        <v>0</v>
      </c>
      <c r="N104" s="376">
        <f>IFERROR(VLOOKUP(C104,'تقرير المصروفات حسب الشهر'!$C$1270:$AD$1381,26,FALSE),0)</f>
        <v>0</v>
      </c>
      <c r="O104" s="376">
        <f>IFERROR(VLOOKUP(C104,'تقرير المصروفات حسب الشهر'!$C$1397:$AI$1512,26,FALSE),0)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الشهر'!$C$10:$AD$119,26,FALSE),0)</f>
        <v>0</v>
      </c>
      <c r="E105" s="362">
        <f>IFERROR(VLOOKUP(C105,'تقرير المصروفات حسب الشهر'!$C$135:$AD$244,26,FALSE),0)</f>
        <v>0</v>
      </c>
      <c r="F105" s="362">
        <f>IFERROR(VLOOKUP(C105,'تقرير المصروفات حسب الشهر'!$C$261:$AD$368,26,FALSE),0)</f>
        <v>0</v>
      </c>
      <c r="G105" s="362">
        <f>IFERROR(VLOOKUP(C105,'تقرير المصروفات حسب الشهر'!$C$387:$AD$495,26,FALSE),0)</f>
        <v>0</v>
      </c>
      <c r="H105" s="362">
        <f>IFERROR(VLOOKUP(C105,'تقرير المصروفات حسب الشهر'!$C$512:$AD$620,26,FALSE),0)</f>
        <v>0</v>
      </c>
      <c r="I105" s="362">
        <f>IFERROR(VLOOKUP(C105,'تقرير المصروفات حسب الشهر'!$C$637:$AD$746,26,FALSE),0)</f>
        <v>0</v>
      </c>
      <c r="J105" s="362">
        <f>IFERROR(VLOOKUP(C105,'تقرير المصروفات حسب الشهر'!$C$763:$AD$872,26,FALSE),0)</f>
        <v>0</v>
      </c>
      <c r="K105" s="362">
        <f>IFERROR(VLOOKUP(C105,'تقرير المصروفات حسب الشهر'!$C$890:$AD$999,26,FALSE),0)</f>
        <v>0</v>
      </c>
      <c r="L105" s="362">
        <f>IFERROR(VLOOKUP(C105,'تقرير المصروفات حسب الشهر'!$C$1016:$AD$1126,26,FALSE),0)</f>
        <v>0</v>
      </c>
      <c r="M105" s="376">
        <f>IFERROR(VLOOKUP(C105,'تقرير المصروفات حسب الشهر'!$C$1143:$AD$1254,26,FALSE),0)</f>
        <v>0</v>
      </c>
      <c r="N105" s="376">
        <f>IFERROR(VLOOKUP(C105,'تقرير المصروفات حسب الشهر'!$C$1270:$AD$1381,26,FALSE),0)</f>
        <v>0</v>
      </c>
      <c r="O105" s="376">
        <f>IFERROR(VLOOKUP(C105,'تقرير المصروفات حسب الشهر'!$C$1397:$AI$1512,26,FALSE),0)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الشهر'!$C$10:$AD$119,26,FALSE),0)</f>
        <v>0</v>
      </c>
      <c r="E106" s="362">
        <f>IFERROR(VLOOKUP(C106,'تقرير المصروفات حسب الشهر'!$C$135:$AD$244,26,FALSE),0)</f>
        <v>0</v>
      </c>
      <c r="F106" s="362">
        <f>IFERROR(VLOOKUP(C106,'تقرير المصروفات حسب الشهر'!$C$261:$AD$368,26,FALSE),0)</f>
        <v>0</v>
      </c>
      <c r="G106" s="362">
        <f>IFERROR(VLOOKUP(C106,'تقرير المصروفات حسب الشهر'!$C$387:$AD$495,26,FALSE),0)</f>
        <v>0</v>
      </c>
      <c r="H106" s="362">
        <f>IFERROR(VLOOKUP(C106,'تقرير المصروفات حسب الشهر'!$C$512:$AD$620,26,FALSE),0)</f>
        <v>0</v>
      </c>
      <c r="I106" s="362">
        <f>IFERROR(VLOOKUP(C106,'تقرير المصروفات حسب الشهر'!$C$637:$AD$746,26,FALSE),0)</f>
        <v>0</v>
      </c>
      <c r="J106" s="362">
        <f>IFERROR(VLOOKUP(C106,'تقرير المصروفات حسب الشهر'!$C$763:$AD$872,26,FALSE),0)</f>
        <v>0</v>
      </c>
      <c r="K106" s="362">
        <f>IFERROR(VLOOKUP(C106,'تقرير المصروفات حسب الشهر'!$C$890:$AD$999,26,FALSE),0)</f>
        <v>0</v>
      </c>
      <c r="L106" s="362">
        <f>IFERROR(VLOOKUP(C106,'تقرير المصروفات حسب الشهر'!$C$1016:$AD$1126,26,FALSE),0)</f>
        <v>0</v>
      </c>
      <c r="M106" s="376">
        <f>IFERROR(VLOOKUP(C106,'تقرير المصروفات حسب الشهر'!$C$1143:$AD$1254,26,FALSE),0)</f>
        <v>0</v>
      </c>
      <c r="N106" s="376">
        <f>IFERROR(VLOOKUP(C106,'تقرير المصروفات حسب الشهر'!$C$1270:$AD$1381,26,FALSE),0)</f>
        <v>0</v>
      </c>
      <c r="O106" s="376">
        <f>IFERROR(VLOOKUP(C106,'تقرير المصروفات حسب الشهر'!$C$1397:$AI$1512,26,FALSE),0)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الشهر'!$C$10:$AD$119,26,FALSE),0)</f>
        <v>0</v>
      </c>
      <c r="E107" s="362">
        <f>IFERROR(VLOOKUP(C107,'تقرير المصروفات حسب الشهر'!$C$135:$AD$244,26,FALSE),0)</f>
        <v>0</v>
      </c>
      <c r="F107" s="362">
        <f>IFERROR(VLOOKUP(C107,'تقرير المصروفات حسب الشهر'!$C$261:$AD$368,26,FALSE),0)</f>
        <v>0</v>
      </c>
      <c r="G107" s="362">
        <f>IFERROR(VLOOKUP(C107,'تقرير المصروفات حسب الشهر'!$C$387:$AD$495,26,FALSE),0)</f>
        <v>0</v>
      </c>
      <c r="H107" s="362">
        <f>IFERROR(VLOOKUP(C107,'تقرير المصروفات حسب الشهر'!$C$512:$AD$620,26,FALSE),0)</f>
        <v>0</v>
      </c>
      <c r="I107" s="362">
        <f>IFERROR(VLOOKUP(C107,'تقرير المصروفات حسب الشهر'!$C$637:$AD$746,26,FALSE),0)</f>
        <v>0</v>
      </c>
      <c r="J107" s="362">
        <f>IFERROR(VLOOKUP(C107,'تقرير المصروفات حسب الشهر'!$C$763:$AD$872,26,FALSE),0)</f>
        <v>0</v>
      </c>
      <c r="K107" s="362">
        <f>IFERROR(VLOOKUP(C107,'تقرير المصروفات حسب الشهر'!$C$890:$AD$999,26,FALSE),0)</f>
        <v>0</v>
      </c>
      <c r="L107" s="362">
        <f>IFERROR(VLOOKUP(C107,'تقرير المصروفات حسب الشهر'!$C$1016:$AD$1126,26,FALSE),0)</f>
        <v>0</v>
      </c>
      <c r="M107" s="376">
        <f>IFERROR(VLOOKUP(C107,'تقرير المصروفات حسب الشهر'!$C$1143:$AD$1254,26,FALSE),0)</f>
        <v>0</v>
      </c>
      <c r="N107" s="376">
        <f>IFERROR(VLOOKUP(C107,'تقرير المصروفات حسب الشهر'!$C$1270:$AD$1381,26,FALSE),0)</f>
        <v>0</v>
      </c>
      <c r="O107" s="376">
        <f>IFERROR(VLOOKUP(C107,'تقرير المصروفات حسب الشهر'!$C$1397:$AI$1512,26,FALSE),0)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الشهر'!$C$10:$AD$119,26,FALSE),0)</f>
        <v>0</v>
      </c>
      <c r="E108" s="362">
        <f>IFERROR(VLOOKUP(C108,'تقرير المصروفات حسب الشهر'!$C$135:$AD$244,26,FALSE),0)</f>
        <v>0</v>
      </c>
      <c r="F108" s="362">
        <f>IFERROR(VLOOKUP(C108,'تقرير المصروفات حسب الشهر'!$C$261:$AD$368,26,FALSE),0)</f>
        <v>0</v>
      </c>
      <c r="G108" s="362">
        <f>IFERROR(VLOOKUP(C108,'تقرير المصروفات حسب الشهر'!$C$387:$AD$495,26,FALSE),0)</f>
        <v>0</v>
      </c>
      <c r="H108" s="362">
        <f>IFERROR(VLOOKUP(C108,'تقرير المصروفات حسب الشهر'!$C$512:$AD$620,26,FALSE),0)</f>
        <v>0</v>
      </c>
      <c r="I108" s="362">
        <f>IFERROR(VLOOKUP(C108,'تقرير المصروفات حسب الشهر'!$C$637:$AD$746,26,FALSE),0)</f>
        <v>0</v>
      </c>
      <c r="J108" s="362">
        <f>IFERROR(VLOOKUP(C108,'تقرير المصروفات حسب الشهر'!$C$763:$AD$872,26,FALSE),0)</f>
        <v>0</v>
      </c>
      <c r="K108" s="362">
        <f>IFERROR(VLOOKUP(C108,'تقرير المصروفات حسب الشهر'!$C$890:$AD$999,26,FALSE),0)</f>
        <v>0</v>
      </c>
      <c r="L108" s="362">
        <f>IFERROR(VLOOKUP(C108,'تقرير المصروفات حسب الشهر'!$C$1016:$AD$1126,26,FALSE),0)</f>
        <v>0</v>
      </c>
      <c r="M108" s="376">
        <f>IFERROR(VLOOKUP(C108,'تقرير المصروفات حسب الشهر'!$C$1143:$AD$1254,26,FALSE),0)</f>
        <v>0</v>
      </c>
      <c r="N108" s="376">
        <f>IFERROR(VLOOKUP(C108,'تقرير المصروفات حسب الشهر'!$C$1270:$AD$1381,26,FALSE),0)</f>
        <v>0</v>
      </c>
      <c r="O108" s="376">
        <f>IFERROR(VLOOKUP(C108,'تقرير المصروفات حسب الشهر'!$C$1397:$AI$1512,26,FALSE),0)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الشهر'!$C$10:$AD$119,26,FALSE),0)</f>
        <v>0</v>
      </c>
      <c r="E109" s="362">
        <f>IFERROR(VLOOKUP(C109,'تقرير المصروفات حسب الشهر'!$C$135:$AD$244,26,FALSE),0)</f>
        <v>0</v>
      </c>
      <c r="F109" s="362">
        <f>IFERROR(VLOOKUP(C109,'تقرير المصروفات حسب الشهر'!$C$261:$AD$368,26,FALSE),0)</f>
        <v>0</v>
      </c>
      <c r="G109" s="362">
        <f>IFERROR(VLOOKUP(C109,'تقرير المصروفات حسب الشهر'!$C$387:$AD$495,26,FALSE),0)</f>
        <v>0</v>
      </c>
      <c r="H109" s="362">
        <f>IFERROR(VLOOKUP(C109,'تقرير المصروفات حسب الشهر'!$C$512:$AD$620,26,FALSE),0)</f>
        <v>0</v>
      </c>
      <c r="I109" s="362">
        <f>IFERROR(VLOOKUP(C109,'تقرير المصروفات حسب الشهر'!$C$637:$AD$746,26,FALSE),0)</f>
        <v>0</v>
      </c>
      <c r="J109" s="362">
        <f>IFERROR(VLOOKUP(C109,'تقرير المصروفات حسب الشهر'!$C$763:$AD$872,26,FALSE),0)</f>
        <v>0</v>
      </c>
      <c r="K109" s="362">
        <f>IFERROR(VLOOKUP(C109,'تقرير المصروفات حسب الشهر'!$C$890:$AD$999,26,FALSE),0)</f>
        <v>0</v>
      </c>
      <c r="L109" s="362">
        <f>IFERROR(VLOOKUP(C109,'تقرير المصروفات حسب الشهر'!$C$1016:$AD$1126,26,FALSE),0)</f>
        <v>0</v>
      </c>
      <c r="M109" s="376">
        <f>IFERROR(VLOOKUP(C109,'تقرير المصروفات حسب الشهر'!$C$1143:$AD$1254,26,FALSE),0)</f>
        <v>0</v>
      </c>
      <c r="N109" s="376">
        <f>IFERROR(VLOOKUP(C109,'تقرير المصروفات حسب الشهر'!$C$1270:$AD$1381,26,FALSE),0)</f>
        <v>0</v>
      </c>
      <c r="O109" s="376">
        <f>IFERROR(VLOOKUP(C109,'تقرير المصروفات حسب الشهر'!$C$1397:$AI$1512,26,FALSE),0)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الشهر'!$C$10:$AD$119,26,FALSE),0)</f>
        <v>0</v>
      </c>
      <c r="E110" s="362">
        <f>IFERROR(VLOOKUP(C110,'تقرير المصروفات حسب الشهر'!$C$135:$AD$244,26,FALSE),0)</f>
        <v>0</v>
      </c>
      <c r="F110" s="362">
        <f>IFERROR(VLOOKUP(C110,'تقرير المصروفات حسب الشهر'!$C$261:$AD$368,26,FALSE),0)</f>
        <v>0</v>
      </c>
      <c r="G110" s="362">
        <f>IFERROR(VLOOKUP(C110,'تقرير المصروفات حسب الشهر'!$C$387:$AD$495,26,FALSE),0)</f>
        <v>0</v>
      </c>
      <c r="H110" s="362">
        <f>IFERROR(VLOOKUP(C110,'تقرير المصروفات حسب الشهر'!$C$512:$AD$620,26,FALSE),0)</f>
        <v>2269.81</v>
      </c>
      <c r="I110" s="362">
        <f>IFERROR(VLOOKUP(C110,'تقرير المصروفات حسب الشهر'!$C$637:$AD$746,26,FALSE),0)</f>
        <v>0</v>
      </c>
      <c r="J110" s="362">
        <f>IFERROR(VLOOKUP(C110,'تقرير المصروفات حسب الشهر'!$C$763:$AD$872,26,FALSE),0)</f>
        <v>5907.64</v>
      </c>
      <c r="K110" s="362">
        <f>IFERROR(VLOOKUP(C110,'تقرير المصروفات حسب الشهر'!$C$890:$AD$999,26,FALSE),0)</f>
        <v>0</v>
      </c>
      <c r="L110" s="362">
        <f>IFERROR(VLOOKUP(C110,'تقرير المصروفات حسب الشهر'!$C$1016:$AD$1126,26,FALSE),0)</f>
        <v>0</v>
      </c>
      <c r="M110" s="376">
        <f>IFERROR(VLOOKUP(C110,'تقرير المصروفات حسب الشهر'!$C$1143:$AD$1254,26,FALSE),0)</f>
        <v>6363.18</v>
      </c>
      <c r="N110" s="376">
        <f>IFERROR(VLOOKUP(C110,'تقرير المصروفات حسب الشهر'!$C$1270:$AD$1381,26,FALSE),0)</f>
        <v>0</v>
      </c>
      <c r="O110" s="376">
        <f>IFERROR(VLOOKUP(C110,'تقرير المصروفات حسب الشهر'!$C$1397:$AI$1512,26,FALSE),0)</f>
        <v>15540.32</v>
      </c>
      <c r="P110" s="364">
        <f t="shared" si="6"/>
        <v>30080.95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الشهر'!$C$10:$AD$119,26,FALSE),0)</f>
        <v>0</v>
      </c>
      <c r="E111" s="362">
        <f>IFERROR(VLOOKUP(C111,'تقرير المصروفات حسب الشهر'!$C$135:$AD$244,26,FALSE),0)</f>
        <v>0</v>
      </c>
      <c r="F111" s="362">
        <f>IFERROR(VLOOKUP(C111,'تقرير المصروفات حسب الشهر'!$C$261:$AD$368,26,FALSE),0)</f>
        <v>0</v>
      </c>
      <c r="G111" s="362">
        <f>IFERROR(VLOOKUP(C111,'تقرير المصروفات حسب الشهر'!$C$387:$AD$495,26,FALSE),0)</f>
        <v>0</v>
      </c>
      <c r="H111" s="362">
        <f>IFERROR(VLOOKUP(C111,'تقرير المصروفات حسب الشهر'!$C$512:$AD$620,26,FALSE),0)</f>
        <v>0</v>
      </c>
      <c r="I111" s="362">
        <f>IFERROR(VLOOKUP(C111,'تقرير المصروفات حسب الشهر'!$C$637:$AD$746,26,FALSE),0)</f>
        <v>0</v>
      </c>
      <c r="J111" s="362">
        <f>IFERROR(VLOOKUP(C111,'تقرير المصروفات حسب الشهر'!$C$763:$AD$872,26,FALSE),0)</f>
        <v>0</v>
      </c>
      <c r="K111" s="362">
        <f>IFERROR(VLOOKUP(C111,'تقرير المصروفات حسب الشهر'!$C$890:$AD$999,26,FALSE),0)</f>
        <v>0</v>
      </c>
      <c r="L111" s="362">
        <f>IFERROR(VLOOKUP(C111,'تقرير المصروفات حسب الشهر'!$C$1016:$AD$1126,26,FALSE),0)</f>
        <v>0</v>
      </c>
      <c r="M111" s="376">
        <f>IFERROR(VLOOKUP(C111,'تقرير المصروفات حسب الشهر'!$C$1143:$AD$1254,26,FALSE),0)</f>
        <v>0</v>
      </c>
      <c r="N111" s="376">
        <f>IFERROR(VLOOKUP(C111,'تقرير المصروفات حسب الشهر'!$C$1270:$AD$1381,26,FALSE),0)</f>
        <v>0</v>
      </c>
      <c r="O111" s="376">
        <f>IFERROR(VLOOKUP(C111,'تقرير المصروفات حسب الشهر'!$C$1397:$AI$1512,26,FALSE),0)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الشهر'!$C$10:$AD$119,26,FALSE),0)</f>
        <v>0</v>
      </c>
      <c r="E112" s="362">
        <f>IFERROR(VLOOKUP(C112,'تقرير المصروفات حسب الشهر'!$C$135:$AD$244,26,FALSE),0)</f>
        <v>809</v>
      </c>
      <c r="F112" s="362">
        <f>IFERROR(VLOOKUP(C112,'تقرير المصروفات حسب الشهر'!$C$261:$AD$368,26,FALSE),0)</f>
        <v>0</v>
      </c>
      <c r="G112" s="362">
        <f>IFERROR(VLOOKUP(C112,'تقرير المصروفات حسب الشهر'!$C$387:$AD$495,26,FALSE),0)</f>
        <v>4070</v>
      </c>
      <c r="H112" s="362">
        <f>IFERROR(VLOOKUP(C112,'تقرير المصروفات حسب الشهر'!$C$512:$AD$620,26,FALSE),0)</f>
        <v>0</v>
      </c>
      <c r="I112" s="362">
        <f>IFERROR(VLOOKUP(C112,'تقرير المصروفات حسب الشهر'!$C$637:$AD$746,26,FALSE),0)</f>
        <v>620</v>
      </c>
      <c r="J112" s="362">
        <f>IFERROR(VLOOKUP(C112,'تقرير المصروفات حسب الشهر'!$C$763:$AD$872,26,FALSE),0)</f>
        <v>560</v>
      </c>
      <c r="K112" s="362">
        <f>IFERROR(VLOOKUP(C112,'تقرير المصروفات حسب الشهر'!$C$890:$AD$999,26,FALSE),0)</f>
        <v>29</v>
      </c>
      <c r="L112" s="362">
        <f>IFERROR(VLOOKUP(C112,'تقرير المصروفات حسب الشهر'!$C$1016:$AD$1126,26,FALSE),0)</f>
        <v>0</v>
      </c>
      <c r="M112" s="376">
        <f>IFERROR(VLOOKUP(C112,'تقرير المصروفات حسب الشهر'!$C$1143:$AD$1254,26,FALSE),0)</f>
        <v>700</v>
      </c>
      <c r="N112" s="376">
        <f>IFERROR(VLOOKUP(C112,'تقرير المصروفات حسب الشهر'!$C$1270:$AD$1381,26,FALSE),0)</f>
        <v>0</v>
      </c>
      <c r="O112" s="376">
        <f>IFERROR(VLOOKUP(C112,'تقرير المصروفات حسب الشهر'!$C$1397:$AI$1512,26,FALSE),0)</f>
        <v>0</v>
      </c>
      <c r="P112" s="364">
        <f t="shared" si="6"/>
        <v>6788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الشهر'!$C$10:$AD$119,26,FALSE),0)</f>
        <v>0</v>
      </c>
      <c r="E113" s="362">
        <f>IFERROR(VLOOKUP(C113,'تقرير المصروفات حسب الشهر'!$C$135:$AD$244,26,FALSE),0)</f>
        <v>0</v>
      </c>
      <c r="F113" s="362">
        <f>IFERROR(VLOOKUP(C113,'تقرير المصروفات حسب الشهر'!$C$261:$AD$368,26,FALSE),0)</f>
        <v>0</v>
      </c>
      <c r="G113" s="362">
        <f>IFERROR(VLOOKUP(C113,'تقرير المصروفات حسب الشهر'!$C$387:$AD$495,26,FALSE),0)</f>
        <v>0</v>
      </c>
      <c r="H113" s="362">
        <f>IFERROR(VLOOKUP(C113,'تقرير المصروفات حسب الشهر'!$C$512:$AD$620,26,FALSE),0)</f>
        <v>0</v>
      </c>
      <c r="I113" s="362">
        <f>IFERROR(VLOOKUP(C113,'تقرير المصروفات حسب الشهر'!$C$637:$AD$746,26,FALSE),0)</f>
        <v>0</v>
      </c>
      <c r="J113" s="362">
        <f>IFERROR(VLOOKUP(C113,'تقرير المصروفات حسب الشهر'!$C$763:$AD$872,26,FALSE),0)</f>
        <v>0</v>
      </c>
      <c r="K113" s="362">
        <f>IFERROR(VLOOKUP(C113,'تقرير المصروفات حسب الشهر'!$C$890:$AD$999,26,FALSE),0)</f>
        <v>0</v>
      </c>
      <c r="L113" s="362">
        <f>IFERROR(VLOOKUP(C113,'تقرير المصروفات حسب الشهر'!$C$1016:$AD$1126,26,FALSE),0)</f>
        <v>0</v>
      </c>
      <c r="M113" s="376">
        <f>IFERROR(VLOOKUP(C113,'تقرير المصروفات حسب الشهر'!$C$1143:$AD$1254,26,FALSE),0)</f>
        <v>0</v>
      </c>
      <c r="N113" s="376">
        <f>IFERROR(VLOOKUP(C113,'تقرير المصروفات حسب الشهر'!$C$1270:$AD$1381,26,FALSE),0)</f>
        <v>0</v>
      </c>
      <c r="O113" s="376">
        <f>IFERROR(VLOOKUP(C113,'تقرير المصروفات حسب الشهر'!$C$1397:$AI$1512,26,FALSE),0)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الشهر'!$C$10:$AD$119,26,FALSE),0)</f>
        <v>0</v>
      </c>
      <c r="E114" s="362">
        <f>IFERROR(VLOOKUP(C114,'تقرير المصروفات حسب الشهر'!$C$135:$AD$244,26,FALSE),0)</f>
        <v>0</v>
      </c>
      <c r="F114" s="362">
        <f>IFERROR(VLOOKUP(C114,'تقرير المصروفات حسب الشهر'!$C$261:$AD$368,26,FALSE),0)</f>
        <v>0</v>
      </c>
      <c r="G114" s="362">
        <f>IFERROR(VLOOKUP(C114,'تقرير المصروفات حسب الشهر'!$C$387:$AD$495,26,FALSE),0)</f>
        <v>0</v>
      </c>
      <c r="H114" s="362">
        <f>IFERROR(VLOOKUP(C114,'تقرير المصروفات حسب الشهر'!$C$512:$AD$620,26,FALSE),0)</f>
        <v>0</v>
      </c>
      <c r="I114" s="362">
        <f>IFERROR(VLOOKUP(C114,'تقرير المصروفات حسب الشهر'!$C$637:$AD$746,26,FALSE),0)</f>
        <v>0</v>
      </c>
      <c r="J114" s="362">
        <f>IFERROR(VLOOKUP(C114,'تقرير المصروفات حسب الشهر'!$C$763:$AD$872,26,FALSE),0)</f>
        <v>0</v>
      </c>
      <c r="K114" s="362">
        <f>IFERROR(VLOOKUP(C114,'تقرير المصروفات حسب الشهر'!$C$890:$AD$999,26,FALSE),0)</f>
        <v>0</v>
      </c>
      <c r="L114" s="362">
        <f>IFERROR(VLOOKUP(C114,'تقرير المصروفات حسب الشهر'!$C$1016:$AD$1126,26,FALSE),0)</f>
        <v>0</v>
      </c>
      <c r="M114" s="376">
        <f>IFERROR(VLOOKUP(C114,'تقرير المصروفات حسب الشهر'!$C$1143:$AD$1254,26,FALSE),0)</f>
        <v>0</v>
      </c>
      <c r="N114" s="376">
        <f>IFERROR(VLOOKUP(C114,'تقرير المصروفات حسب الشهر'!$C$1270:$AD$1381,26,FALSE),0)</f>
        <v>0</v>
      </c>
      <c r="O114" s="376">
        <f>IFERROR(VLOOKUP(C114,'تقرير المصروفات حسب الشهر'!$C$1397:$AI$1512,26,FALSE),0)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الشهر'!$C$10:$AD$119,26,FALSE),0)</f>
        <v>0</v>
      </c>
      <c r="E115" s="362">
        <f>IFERROR(VLOOKUP(C115,'تقرير المصروفات حسب الشهر'!$C$135:$AD$244,26,FALSE),0)</f>
        <v>0</v>
      </c>
      <c r="F115" s="362">
        <f>IFERROR(VLOOKUP(C115,'تقرير المصروفات حسب الشهر'!$C$261:$AD$368,26,FALSE),0)</f>
        <v>0</v>
      </c>
      <c r="G115" s="362">
        <f>IFERROR(VLOOKUP(C115,'تقرير المصروفات حسب الشهر'!$C$387:$AD$495,26,FALSE),0)</f>
        <v>0</v>
      </c>
      <c r="H115" s="362">
        <f>IFERROR(VLOOKUP(C115,'تقرير المصروفات حسب الشهر'!$C$512:$AD$620,26,FALSE),0)</f>
        <v>0</v>
      </c>
      <c r="I115" s="362">
        <f>IFERROR(VLOOKUP(C115,'تقرير المصروفات حسب الشهر'!$C$637:$AD$746,26,FALSE),0)</f>
        <v>0</v>
      </c>
      <c r="J115" s="362">
        <f>IFERROR(VLOOKUP(C115,'تقرير المصروفات حسب الشهر'!$C$763:$AD$872,26,FALSE),0)</f>
        <v>0</v>
      </c>
      <c r="K115" s="362">
        <f>IFERROR(VLOOKUP(C115,'تقرير المصروفات حسب الشهر'!$C$890:$AD$999,26,FALSE),0)</f>
        <v>0</v>
      </c>
      <c r="L115" s="362">
        <f>IFERROR(VLOOKUP(C115,'تقرير المصروفات حسب الشهر'!$C$1016:$AD$1126,26,FALSE),0)</f>
        <v>0</v>
      </c>
      <c r="M115" s="376">
        <f>IFERROR(VLOOKUP(C115,'تقرير المصروفات حسب الشهر'!$C$1143:$AD$1254,26,FALSE),0)</f>
        <v>0</v>
      </c>
      <c r="N115" s="376">
        <f>IFERROR(VLOOKUP(C115,'تقرير المصروفات حسب الشهر'!$C$1270:$AD$1381,26,FALSE),0)</f>
        <v>0</v>
      </c>
      <c r="O115" s="376">
        <f>IFERROR(VLOOKUP(C115,'تقرير المصروفات حسب الشهر'!$C$1397:$AI$1512,26,FALSE),0)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الشهر'!$C$10:$AD$119,26,FALSE),0)</f>
        <v>0</v>
      </c>
      <c r="E116" s="362">
        <f>IFERROR(VLOOKUP(C116,'تقرير المصروفات حسب الشهر'!$C$135:$AD$244,26,FALSE),0)</f>
        <v>0</v>
      </c>
      <c r="F116" s="362">
        <f>IFERROR(VLOOKUP(C116,'تقرير المصروفات حسب الشهر'!$C$261:$AD$368,26,FALSE),0)</f>
        <v>0</v>
      </c>
      <c r="G116" s="362">
        <f>IFERROR(VLOOKUP(C116,'تقرير المصروفات حسب الشهر'!$C$387:$AD$495,26,FALSE),0)</f>
        <v>0</v>
      </c>
      <c r="H116" s="362">
        <f>IFERROR(VLOOKUP(C116,'تقرير المصروفات حسب الشهر'!$C$512:$AD$620,26,FALSE),0)</f>
        <v>0</v>
      </c>
      <c r="I116" s="362">
        <f>IFERROR(VLOOKUP(C116,'تقرير المصروفات حسب الشهر'!$C$637:$AD$746,26,FALSE),0)</f>
        <v>0</v>
      </c>
      <c r="J116" s="362">
        <f>IFERROR(VLOOKUP(C116,'تقرير المصروفات حسب الشهر'!$C$763:$AD$872,26,FALSE),0)</f>
        <v>0</v>
      </c>
      <c r="K116" s="362">
        <f>IFERROR(VLOOKUP(C116,'تقرير المصروفات حسب الشهر'!$C$890:$AD$999,26,FALSE),0)</f>
        <v>0</v>
      </c>
      <c r="L116" s="362">
        <f>IFERROR(VLOOKUP(C116,'تقرير المصروفات حسب الشهر'!$C$1016:$AD$1126,26,FALSE),0)</f>
        <v>0</v>
      </c>
      <c r="M116" s="376">
        <f>IFERROR(VLOOKUP(C116,'تقرير المصروفات حسب الشهر'!$C$1143:$AD$1254,26,FALSE),0)</f>
        <v>0</v>
      </c>
      <c r="N116" s="376">
        <f>IFERROR(VLOOKUP(C116,'تقرير المصروفات حسب الشهر'!$C$1270:$AD$1381,26,FALSE),0)</f>
        <v>0</v>
      </c>
      <c r="O116" s="376">
        <f>IFERROR(VLOOKUP(C116,'تقرير المصروفات حسب الشهر'!$C$1397:$AI$1512,26,FALSE),0)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الشهر'!$C$10:$AD$119,26,FALSE),0)</f>
        <v>0</v>
      </c>
      <c r="E117" s="362">
        <f>IFERROR(VLOOKUP(C117,'تقرير المصروفات حسب الشهر'!$C$135:$AD$244,26,FALSE),0)</f>
        <v>0</v>
      </c>
      <c r="F117" s="362">
        <f>IFERROR(VLOOKUP(C117,'تقرير المصروفات حسب الشهر'!$C$261:$AD$368,26,FALSE),0)</f>
        <v>0</v>
      </c>
      <c r="G117" s="362">
        <f>IFERROR(VLOOKUP(C117,'تقرير المصروفات حسب الشهر'!$C$387:$AD$495,26,FALSE),0)</f>
        <v>0</v>
      </c>
      <c r="H117" s="362">
        <f>IFERROR(VLOOKUP(C117,'تقرير المصروفات حسب الشهر'!$C$512:$AD$620,26,FALSE),0)</f>
        <v>0</v>
      </c>
      <c r="I117" s="362">
        <f>IFERROR(VLOOKUP(C117,'تقرير المصروفات حسب الشهر'!$C$637:$AD$746,26,FALSE),0)</f>
        <v>0</v>
      </c>
      <c r="J117" s="362">
        <f>IFERROR(VLOOKUP(C117,'تقرير المصروفات حسب الشهر'!$C$763:$AD$872,26,FALSE),0)</f>
        <v>0</v>
      </c>
      <c r="K117" s="362">
        <f>IFERROR(VLOOKUP(C117,'تقرير المصروفات حسب الشهر'!$C$890:$AD$999,26,FALSE),0)</f>
        <v>0</v>
      </c>
      <c r="L117" s="362">
        <f>IFERROR(VLOOKUP(C117,'تقرير المصروفات حسب الشهر'!$C$1016:$AD$1126,26,FALSE),0)</f>
        <v>0</v>
      </c>
      <c r="M117" s="376">
        <f>IFERROR(VLOOKUP(C117,'تقرير المصروفات حسب الشهر'!$C$1143:$AD$1254,26,FALSE),0)</f>
        <v>0</v>
      </c>
      <c r="N117" s="376">
        <f>IFERROR(VLOOKUP(C117,'تقرير المصروفات حسب الشهر'!$C$1270:$AD$1381,26,FALSE),0)</f>
        <v>0</v>
      </c>
      <c r="O117" s="376">
        <f>IFERROR(VLOOKUP(C117,'تقرير المصروفات حسب الشهر'!$C$1397:$AI$1512,26,FALSE),0)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الشهر'!$C$10:$AD$119,26,FALSE),0)</f>
        <v>0</v>
      </c>
      <c r="E118" s="362">
        <f>IFERROR(VLOOKUP(C118,'تقرير المصروفات حسب الشهر'!$C$135:$AD$244,26,FALSE),0)</f>
        <v>0</v>
      </c>
      <c r="F118" s="362">
        <f>IFERROR(VLOOKUP(C118,'تقرير المصروفات حسب الشهر'!$C$261:$AD$368,26,FALSE),0)</f>
        <v>0</v>
      </c>
      <c r="G118" s="362">
        <f>IFERROR(VLOOKUP(C118,'تقرير المصروفات حسب الشهر'!$C$387:$AD$495,26,FALSE),0)</f>
        <v>0</v>
      </c>
      <c r="H118" s="362">
        <f>IFERROR(VLOOKUP(C118,'تقرير المصروفات حسب الشهر'!$C$512:$AD$620,26,FALSE),0)</f>
        <v>0</v>
      </c>
      <c r="I118" s="362">
        <f>IFERROR(VLOOKUP(C118,'تقرير المصروفات حسب الشهر'!$C$637:$AD$746,26,FALSE),0)</f>
        <v>0</v>
      </c>
      <c r="J118" s="362">
        <f>IFERROR(VLOOKUP(C118,'تقرير المصروفات حسب الشهر'!$C$763:$AD$872,26,FALSE),0)</f>
        <v>0</v>
      </c>
      <c r="K118" s="362">
        <f>IFERROR(VLOOKUP(C118,'تقرير المصروفات حسب الشهر'!$C$890:$AD$999,26,FALSE),0)</f>
        <v>0</v>
      </c>
      <c r="L118" s="362">
        <f>IFERROR(VLOOKUP(C118,'تقرير المصروفات حسب الشهر'!$C$1016:$AD$1126,26,FALSE),0)</f>
        <v>0</v>
      </c>
      <c r="M118" s="376">
        <f>IFERROR(VLOOKUP(C118,'تقرير المصروفات حسب الشهر'!$C$1143:$AD$1254,26,FALSE),0)</f>
        <v>0</v>
      </c>
      <c r="N118" s="376">
        <f>IFERROR(VLOOKUP(C118,'تقرير المصروفات حسب الشهر'!$C$1270:$AD$1381,26,FALSE),0)</f>
        <v>0</v>
      </c>
      <c r="O118" s="376">
        <f>IFERROR(VLOOKUP(C118,'تقرير المصروفات حسب الشهر'!$C$1397:$AI$1512,26,FALSE),0)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الشهر'!$C$10:$AD$119,26,FALSE),0)</f>
        <v>0</v>
      </c>
      <c r="E119" s="362">
        <f>IFERROR(VLOOKUP(C119,'تقرير المصروفات حسب الشهر'!$C$135:$AD$244,26,FALSE),0)</f>
        <v>0</v>
      </c>
      <c r="F119" s="362">
        <f>IFERROR(VLOOKUP(C119,'تقرير المصروفات حسب الشهر'!$C$261:$AD$368,26,FALSE),0)</f>
        <v>0</v>
      </c>
      <c r="G119" s="362">
        <f>IFERROR(VLOOKUP(C119,'تقرير المصروفات حسب الشهر'!$C$387:$AD$495,26,FALSE),0)</f>
        <v>0</v>
      </c>
      <c r="H119" s="362">
        <f>IFERROR(VLOOKUP(C119,'تقرير المصروفات حسب الشهر'!$C$512:$AD$620,26,FALSE),0)</f>
        <v>0</v>
      </c>
      <c r="I119" s="362">
        <f>IFERROR(VLOOKUP(C119,'تقرير المصروفات حسب الشهر'!$C$637:$AD$746,26,FALSE),0)</f>
        <v>0</v>
      </c>
      <c r="J119" s="362">
        <f>IFERROR(VLOOKUP(C119,'تقرير المصروفات حسب الشهر'!$C$763:$AD$872,26,FALSE),0)</f>
        <v>0</v>
      </c>
      <c r="K119" s="362">
        <f>IFERROR(VLOOKUP(C119,'تقرير المصروفات حسب الشهر'!$C$890:$AD$999,26,FALSE),0)</f>
        <v>0</v>
      </c>
      <c r="L119" s="362">
        <f>IFERROR(VLOOKUP(C119,'تقرير المصروفات حسب الشهر'!$C$1016:$AD$1126,26,FALSE),0)</f>
        <v>0</v>
      </c>
      <c r="M119" s="376">
        <f>IFERROR(VLOOKUP(C119,'تقرير المصروفات حسب الشهر'!$C$1143:$AD$1254,26,FALSE),0)</f>
        <v>0</v>
      </c>
      <c r="N119" s="376">
        <f>IFERROR(VLOOKUP(C119,'تقرير المصروفات حسب الشهر'!$C$1270:$AD$1381,26,FALSE),0)</f>
        <v>0</v>
      </c>
      <c r="O119" s="376">
        <f>IFERROR(VLOOKUP(C119,'تقرير المصروفات حسب الشهر'!$C$1397:$AI$1512,26,FALSE),0)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الشهر'!$C$10:$AD$119,26,FALSE),0)</f>
        <v>0</v>
      </c>
      <c r="E120" s="362">
        <f>IFERROR(VLOOKUP(C120,'تقرير المصروفات حسب الشهر'!$C$135:$AD$244,26,FALSE),0)</f>
        <v>0</v>
      </c>
      <c r="F120" s="362">
        <f>IFERROR(VLOOKUP(C120,'تقرير المصروفات حسب الشهر'!$C$261:$AD$368,26,FALSE),0)</f>
        <v>0</v>
      </c>
      <c r="G120" s="362">
        <f>IFERROR(VLOOKUP(C120,'تقرير المصروفات حسب الشهر'!$C$387:$AD$495,26,FALSE),0)</f>
        <v>0</v>
      </c>
      <c r="H120" s="362">
        <f>IFERROR(VLOOKUP(C120,'تقرير المصروفات حسب الشهر'!$C$512:$AD$620,26,FALSE),0)</f>
        <v>0</v>
      </c>
      <c r="I120" s="362">
        <f>IFERROR(VLOOKUP(C120,'تقرير المصروفات حسب الشهر'!$C$637:$AD$746,26,FALSE),0)</f>
        <v>0</v>
      </c>
      <c r="J120" s="362">
        <f>IFERROR(VLOOKUP(C120,'تقرير المصروفات حسب الشهر'!$C$763:$AD$872,26,FALSE),0)</f>
        <v>0</v>
      </c>
      <c r="K120" s="362">
        <f>IFERROR(VLOOKUP(C120,'تقرير المصروفات حسب الشهر'!$C$890:$AD$999,26,FALSE),0)</f>
        <v>0</v>
      </c>
      <c r="L120" s="362">
        <f>IFERROR(VLOOKUP(C120,'تقرير المصروفات حسب الشهر'!$C$1016:$AD$1126,26,FALSE),0)</f>
        <v>0</v>
      </c>
      <c r="M120" s="376">
        <f>IFERROR(VLOOKUP(C120,'تقرير المصروفات حسب الشهر'!$C$1143:$AD$1254,26,FALSE),0)</f>
        <v>0</v>
      </c>
      <c r="N120" s="376">
        <f>IFERROR(VLOOKUP(C120,'تقرير المصروفات حسب الشهر'!$C$1270:$AD$1381,26,FALSE),0)</f>
        <v>0</v>
      </c>
      <c r="O120" s="376">
        <f>IFERROR(VLOOKUP(C120,'تقرير المصروفات حسب الشهر'!$C$1397:$AI$1512,26,FALSE),0)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الشهر'!$C$10:$AD$119,26,FALSE),0)</f>
        <v>0</v>
      </c>
      <c r="E121" s="362">
        <f>IFERROR(VLOOKUP(C121,'تقرير المصروفات حسب الشهر'!$C$135:$AD$244,26,FALSE),0)</f>
        <v>0</v>
      </c>
      <c r="F121" s="362">
        <f>IFERROR(VLOOKUP(C121,'تقرير المصروفات حسب الشهر'!$C$261:$AD$368,26,FALSE),0)</f>
        <v>0</v>
      </c>
      <c r="G121" s="362">
        <f>IFERROR(VLOOKUP(C121,'تقرير المصروفات حسب الشهر'!$C$387:$AD$495,26,FALSE),0)</f>
        <v>0</v>
      </c>
      <c r="H121" s="362">
        <f>IFERROR(VLOOKUP(C121,'تقرير المصروفات حسب الشهر'!$C$512:$AD$620,26,FALSE),0)</f>
        <v>0</v>
      </c>
      <c r="I121" s="362">
        <f>IFERROR(VLOOKUP(C121,'تقرير المصروفات حسب الشهر'!$C$637:$AD$746,26,FALSE),0)</f>
        <v>0</v>
      </c>
      <c r="J121" s="362">
        <f>IFERROR(VLOOKUP(C121,'تقرير المصروفات حسب الشهر'!$C$763:$AD$872,26,FALSE),0)</f>
        <v>0</v>
      </c>
      <c r="K121" s="362">
        <f>IFERROR(VLOOKUP(C121,'تقرير المصروفات حسب الشهر'!$C$890:$AD$999,26,FALSE),0)</f>
        <v>0</v>
      </c>
      <c r="L121" s="362">
        <f>IFERROR(VLOOKUP(C121,'تقرير المصروفات حسب الشهر'!$C$1016:$AD$1126,26,FALSE),0)</f>
        <v>0</v>
      </c>
      <c r="M121" s="376">
        <f>IFERROR(VLOOKUP(C121,'تقرير المصروفات حسب الشهر'!$C$1143:$AD$1254,26,FALSE),0)</f>
        <v>0</v>
      </c>
      <c r="N121" s="376">
        <f>IFERROR(VLOOKUP(C121,'تقرير المصروفات حسب الشهر'!$C$1270:$AD$1381,26,FALSE),0)</f>
        <v>0</v>
      </c>
      <c r="O121" s="376">
        <f>IFERROR(VLOOKUP(C121,'تقرير المصروفات حسب الشهر'!$C$1397:$AI$1512,26,FALSE),0)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الشهر'!$C$10:$AD$119,26,FALSE),0)</f>
        <v>0</v>
      </c>
      <c r="E122" s="362">
        <f>IFERROR(VLOOKUP(C122,'تقرير المصروفات حسب الشهر'!$C$135:$AD$244,26,FALSE),0)</f>
        <v>0</v>
      </c>
      <c r="F122" s="362">
        <f>IFERROR(VLOOKUP(C122,'تقرير المصروفات حسب الشهر'!$C$261:$AD$368,26,FALSE),0)</f>
        <v>0</v>
      </c>
      <c r="G122" s="362">
        <f>IFERROR(VLOOKUP(C122,'تقرير المصروفات حسب الشهر'!$C$387:$AD$495,26,FALSE),0)</f>
        <v>0</v>
      </c>
      <c r="H122" s="362">
        <f>IFERROR(VLOOKUP(C122,'تقرير المصروفات حسب الشهر'!$C$512:$AD$620,26,FALSE),0)</f>
        <v>0</v>
      </c>
      <c r="I122" s="362">
        <f>IFERROR(VLOOKUP(C122,'تقرير المصروفات حسب الشهر'!$C$637:$AD$746,26,FALSE),0)</f>
        <v>0</v>
      </c>
      <c r="J122" s="362">
        <f>IFERROR(VLOOKUP(C122,'تقرير المصروفات حسب الشهر'!$C$763:$AD$872,26,FALSE),0)</f>
        <v>0</v>
      </c>
      <c r="K122" s="362">
        <f>IFERROR(VLOOKUP(C122,'تقرير المصروفات حسب الشهر'!$C$890:$AD$999,26,FALSE),0)</f>
        <v>0</v>
      </c>
      <c r="L122" s="362">
        <f>IFERROR(VLOOKUP(C122,'تقرير المصروفات حسب الشهر'!$C$1016:$AD$1126,26,FALSE),0)</f>
        <v>0</v>
      </c>
      <c r="M122" s="376">
        <f>IFERROR(VLOOKUP(C122,'تقرير المصروفات حسب الشهر'!$C$1143:$AD$1254,26,FALSE),0)</f>
        <v>0</v>
      </c>
      <c r="N122" s="376">
        <f>IFERROR(VLOOKUP(C122,'تقرير المصروفات حسب الشهر'!$C$1270:$AD$1381,26,FALSE),0)</f>
        <v>0</v>
      </c>
      <c r="O122" s="376">
        <f>IFERROR(VLOOKUP(C122,'تقرير المصروفات حسب الشهر'!$C$1397:$AI$1512,26,FALSE),0)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الشهر'!$C$10:$AD$119,26,FALSE),0)</f>
        <v>0</v>
      </c>
      <c r="E123" s="362">
        <f>IFERROR(VLOOKUP(C123,'تقرير المصروفات حسب الشهر'!$C$135:$AD$244,26,FALSE),0)</f>
        <v>0</v>
      </c>
      <c r="F123" s="362">
        <f>IFERROR(VLOOKUP(C123,'تقرير المصروفات حسب الشهر'!$C$261:$AD$368,26,FALSE),0)</f>
        <v>0</v>
      </c>
      <c r="G123" s="362">
        <f>IFERROR(VLOOKUP(C123,'تقرير المصروفات حسب الشهر'!$C$387:$AD$495,26,FALSE),0)</f>
        <v>0</v>
      </c>
      <c r="H123" s="362">
        <f>IFERROR(VLOOKUP(C123,'تقرير المصروفات حسب الشهر'!$C$512:$AD$620,26,FALSE),0)</f>
        <v>0</v>
      </c>
      <c r="I123" s="362">
        <f>IFERROR(VLOOKUP(C123,'تقرير المصروفات حسب الشهر'!$C$637:$AD$746,26,FALSE),0)</f>
        <v>0</v>
      </c>
      <c r="J123" s="362">
        <f>IFERROR(VLOOKUP(C123,'تقرير المصروفات حسب الشهر'!$C$763:$AD$872,26,FALSE),0)</f>
        <v>0</v>
      </c>
      <c r="K123" s="362">
        <f>IFERROR(VLOOKUP(C123,'تقرير المصروفات حسب الشهر'!$C$890:$AD$999,26,FALSE),0)</f>
        <v>0</v>
      </c>
      <c r="L123" s="362">
        <f>IFERROR(VLOOKUP(C123,'تقرير المصروفات حسب الشهر'!$C$1016:$AD$1126,26,FALSE),0)</f>
        <v>0</v>
      </c>
      <c r="M123" s="376">
        <f>IFERROR(VLOOKUP(C123,'تقرير المصروفات حسب الشهر'!$C$1143:$AD$1254,26,FALSE),0)</f>
        <v>0</v>
      </c>
      <c r="N123" s="376">
        <f>IFERROR(VLOOKUP(C123,'تقرير المصروفات حسب الشهر'!$C$1270:$AD$1381,26,FALSE),0)</f>
        <v>0</v>
      </c>
      <c r="O123" s="376">
        <f>IFERROR(VLOOKUP(C123,'تقرير المصروفات حسب الشهر'!$C$1397:$AI$1512,26,FALSE),0)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الشهر'!$C$10:$AD$119,26,FALSE),0)</f>
        <v>0</v>
      </c>
      <c r="E124" s="362">
        <f>IFERROR(VLOOKUP(C124,'تقرير المصروفات حسب الشهر'!$C$135:$AD$244,26,FALSE),0)</f>
        <v>0</v>
      </c>
      <c r="F124" s="362">
        <f>IFERROR(VLOOKUP(C124,'تقرير المصروفات حسب الشهر'!$C$261:$AD$368,26,FALSE),0)</f>
        <v>0</v>
      </c>
      <c r="G124" s="362">
        <f>IFERROR(VLOOKUP(C124,'تقرير المصروفات حسب الشهر'!$C$387:$AD$495,26,FALSE),0)</f>
        <v>0</v>
      </c>
      <c r="H124" s="362">
        <f>IFERROR(VLOOKUP(C124,'تقرير المصروفات حسب الشهر'!$C$512:$AD$620,26,FALSE),0)</f>
        <v>0</v>
      </c>
      <c r="I124" s="362">
        <f>IFERROR(VLOOKUP(C124,'تقرير المصروفات حسب الشهر'!$C$637:$AD$746,26,FALSE),0)</f>
        <v>0</v>
      </c>
      <c r="J124" s="362">
        <f>IFERROR(VLOOKUP(C124,'تقرير المصروفات حسب الشهر'!$C$763:$AD$872,26,FALSE),0)</f>
        <v>0</v>
      </c>
      <c r="K124" s="362">
        <f>IFERROR(VLOOKUP(C124,'تقرير المصروفات حسب الشهر'!$C$890:$AD$999,26,FALSE),0)</f>
        <v>0</v>
      </c>
      <c r="L124" s="362">
        <f>IFERROR(VLOOKUP(C124,'تقرير المصروفات حسب الشهر'!$C$1016:$AD$1126,26,FALSE),0)</f>
        <v>0</v>
      </c>
      <c r="M124" s="376">
        <f>IFERROR(VLOOKUP(C124,'تقرير المصروفات حسب الشهر'!$C$1143:$AD$1254,26,FALSE),0)</f>
        <v>0</v>
      </c>
      <c r="N124" s="376">
        <f>IFERROR(VLOOKUP(C124,'تقرير المصروفات حسب الشهر'!$C$1270:$AD$1381,26,FALSE),0)</f>
        <v>0</v>
      </c>
      <c r="O124" s="376">
        <f>IFERROR(VLOOKUP(C124,'تقرير المصروفات حسب الشهر'!$C$1397:$AI$1512,26,FALSE),0)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الشهر'!$C$10:$AD$119,26,FALSE),0)</f>
        <v>0</v>
      </c>
      <c r="E125" s="362">
        <f>IFERROR(VLOOKUP(C125,'تقرير المصروفات حسب الشهر'!$C$135:$AD$244,26,FALSE),0)</f>
        <v>0</v>
      </c>
      <c r="F125" s="362">
        <f>IFERROR(VLOOKUP(C125,'تقرير المصروفات حسب الشهر'!$C$261:$AD$368,26,FALSE),0)</f>
        <v>0</v>
      </c>
      <c r="G125" s="362">
        <f>IFERROR(VLOOKUP(C125,'تقرير المصروفات حسب الشهر'!$C$387:$AD$495,26,FALSE),0)</f>
        <v>0</v>
      </c>
      <c r="H125" s="362">
        <f>IFERROR(VLOOKUP(C125,'تقرير المصروفات حسب الشهر'!$C$512:$AD$620,26,FALSE),0)</f>
        <v>0</v>
      </c>
      <c r="I125" s="362">
        <f>IFERROR(VLOOKUP(C125,'تقرير المصروفات حسب الشهر'!$C$637:$AD$746,26,FALSE),0)</f>
        <v>0</v>
      </c>
      <c r="J125" s="362">
        <f>IFERROR(VLOOKUP(C125,'تقرير المصروفات حسب الشهر'!$C$763:$AD$872,26,FALSE),0)</f>
        <v>0</v>
      </c>
      <c r="K125" s="362">
        <f>IFERROR(VLOOKUP(C125,'تقرير المصروفات حسب الشهر'!$C$890:$AD$999,26,FALSE),0)</f>
        <v>0</v>
      </c>
      <c r="L125" s="362">
        <f>IFERROR(VLOOKUP(C125,'تقرير المصروفات حسب الشهر'!$C$1016:$AD$1126,26,FALSE),0)</f>
        <v>0</v>
      </c>
      <c r="M125" s="376">
        <f>IFERROR(VLOOKUP(C125,'تقرير المصروفات حسب الشهر'!$C$1143:$AD$1254,26,FALSE),0)</f>
        <v>0</v>
      </c>
      <c r="N125" s="376">
        <f>IFERROR(VLOOKUP(C125,'تقرير المصروفات حسب الشهر'!$C$1270:$AD$1381,26,FALSE),0)</f>
        <v>0</v>
      </c>
      <c r="O125" s="376">
        <f>IFERROR(VLOOKUP(C125,'تقرير المصروفات حسب الشهر'!$C$1397:$AI$1512,26,FALSE),0)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الشهر'!$C$10:$AD$119,26,FALSE),0)</f>
        <v>0</v>
      </c>
      <c r="E126" s="362">
        <f>IFERROR(VLOOKUP(C126,'تقرير المصروفات حسب الشهر'!$C$135:$AD$244,26,FALSE),0)</f>
        <v>0</v>
      </c>
      <c r="F126" s="362">
        <f>IFERROR(VLOOKUP(C126,'تقرير المصروفات حسب الشهر'!$C$261:$AD$368,26,FALSE),0)</f>
        <v>0</v>
      </c>
      <c r="G126" s="362">
        <f>IFERROR(VLOOKUP(C126,'تقرير المصروفات حسب الشهر'!$C$387:$AD$495,26,FALSE),0)</f>
        <v>0</v>
      </c>
      <c r="H126" s="362">
        <f>IFERROR(VLOOKUP(C126,'تقرير المصروفات حسب الشهر'!$C$512:$AD$620,26,FALSE),0)</f>
        <v>0</v>
      </c>
      <c r="I126" s="362">
        <f>IFERROR(VLOOKUP(C126,'تقرير المصروفات حسب الشهر'!$C$637:$AD$746,26,FALSE),0)</f>
        <v>0</v>
      </c>
      <c r="J126" s="362">
        <f>IFERROR(VLOOKUP(C126,'تقرير المصروفات حسب الشهر'!$C$763:$AD$872,26,FALSE),0)</f>
        <v>0</v>
      </c>
      <c r="K126" s="362">
        <f>IFERROR(VLOOKUP(C126,'تقرير المصروفات حسب الشهر'!$C$890:$AD$999,26,FALSE),0)</f>
        <v>0</v>
      </c>
      <c r="L126" s="362">
        <f>IFERROR(VLOOKUP(C126,'تقرير المصروفات حسب الشهر'!$C$1016:$AD$1126,26,FALSE),0)</f>
        <v>0</v>
      </c>
      <c r="M126" s="376">
        <f>IFERROR(VLOOKUP(C126,'تقرير المصروفات حسب الشهر'!$C$1143:$AD$1254,26,FALSE),0)</f>
        <v>0</v>
      </c>
      <c r="N126" s="376">
        <f>IFERROR(VLOOKUP(C126,'تقرير المصروفات حسب الشهر'!$C$1270:$AD$1381,26,FALSE),0)</f>
        <v>0</v>
      </c>
      <c r="O126" s="376">
        <f>IFERROR(VLOOKUP(C126,'تقرير المصروفات حسب الشهر'!$C$1397:$AI$1512,26,FALSE),0)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الشهر'!$C$10:$AD$119,26,FALSE),0)</f>
        <v>0</v>
      </c>
      <c r="E127" s="362">
        <f>IFERROR(VLOOKUP(C127,'تقرير المصروفات حسب الشهر'!$C$135:$AD$244,26,FALSE),0)</f>
        <v>0</v>
      </c>
      <c r="F127" s="362">
        <f>IFERROR(VLOOKUP(C127,'تقرير المصروفات حسب الشهر'!$C$261:$AD$368,26,FALSE),0)</f>
        <v>0</v>
      </c>
      <c r="G127" s="362">
        <f>IFERROR(VLOOKUP(C127,'تقرير المصروفات حسب الشهر'!$C$387:$AD$495,26,FALSE),0)</f>
        <v>0</v>
      </c>
      <c r="H127" s="362">
        <f>IFERROR(VLOOKUP(C127,'تقرير المصروفات حسب الشهر'!$C$512:$AD$620,26,FALSE),0)</f>
        <v>0</v>
      </c>
      <c r="I127" s="362">
        <f>IFERROR(VLOOKUP(C127,'تقرير المصروفات حسب الشهر'!$C$637:$AD$746,26,FALSE),0)</f>
        <v>0</v>
      </c>
      <c r="J127" s="362">
        <f>IFERROR(VLOOKUP(C127,'تقرير المصروفات حسب الشهر'!$C$763:$AD$872,26,FALSE),0)</f>
        <v>0</v>
      </c>
      <c r="K127" s="362">
        <f>IFERROR(VLOOKUP(C127,'تقرير المصروفات حسب الشهر'!$C$890:$AD$999,26,FALSE),0)</f>
        <v>0</v>
      </c>
      <c r="L127" s="362">
        <f>IFERROR(VLOOKUP(C127,'تقرير المصروفات حسب الشهر'!$C$1016:$AD$1126,26,FALSE),0)</f>
        <v>0</v>
      </c>
      <c r="M127" s="376">
        <f>IFERROR(VLOOKUP(C127,'تقرير المصروفات حسب الشهر'!$C$1143:$AD$1254,26,FALSE),0)</f>
        <v>0</v>
      </c>
      <c r="N127" s="376">
        <f>IFERROR(VLOOKUP(C127,'تقرير المصروفات حسب الشهر'!$C$1270:$AD$1381,26,FALSE),0)</f>
        <v>0</v>
      </c>
      <c r="O127" s="376">
        <f>IFERROR(VLOOKUP(C127,'تقرير المصروفات حسب الشهر'!$C$1397:$AI$1512,26,FALSE),0)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الشهر'!$C$10:$AD$119,26,FALSE),0)</f>
        <v>0</v>
      </c>
      <c r="E128" s="362">
        <f>IFERROR(VLOOKUP(C128,'تقرير المصروفات حسب الشهر'!$C$135:$AD$244,26,FALSE),0)</f>
        <v>0</v>
      </c>
      <c r="F128" s="362">
        <f>IFERROR(VLOOKUP(C128,'تقرير المصروفات حسب الشهر'!$C$261:$AD$368,26,FALSE),0)</f>
        <v>0</v>
      </c>
      <c r="G128" s="362">
        <f>IFERROR(VLOOKUP(C128,'تقرير المصروفات حسب الشهر'!$C$387:$AD$495,26,FALSE),0)</f>
        <v>0</v>
      </c>
      <c r="H128" s="362">
        <f>IFERROR(VLOOKUP(C128,'تقرير المصروفات حسب الشهر'!$C$512:$AD$620,26,FALSE),0)</f>
        <v>0</v>
      </c>
      <c r="I128" s="362">
        <f>IFERROR(VLOOKUP(C128,'تقرير المصروفات حسب الشهر'!$C$637:$AD$746,26,FALSE),0)</f>
        <v>0</v>
      </c>
      <c r="J128" s="362">
        <f>IFERROR(VLOOKUP(C128,'تقرير المصروفات حسب الشهر'!$C$763:$AD$872,26,FALSE),0)</f>
        <v>0</v>
      </c>
      <c r="K128" s="362">
        <f>IFERROR(VLOOKUP(C128,'تقرير المصروفات حسب الشهر'!$C$890:$AD$999,26,FALSE),0)</f>
        <v>0</v>
      </c>
      <c r="L128" s="362">
        <f>IFERROR(VLOOKUP(C128,'تقرير المصروفات حسب الشهر'!$C$1016:$AD$1126,26,FALSE),0)</f>
        <v>0</v>
      </c>
      <c r="M128" s="376">
        <f>IFERROR(VLOOKUP(C128,'تقرير المصروفات حسب الشهر'!$C$1143:$AD$1254,26,FALSE),0)</f>
        <v>0</v>
      </c>
      <c r="N128" s="376">
        <f>IFERROR(VLOOKUP(C128,'تقرير المصروفات حسب الشهر'!$C$1270:$AD$1381,26,FALSE),0)</f>
        <v>0</v>
      </c>
      <c r="O128" s="376">
        <f>IFERROR(VLOOKUP(C128,'تقرير المصروفات حسب الشهر'!$C$1397:$AI$1512,26,FALSE),0)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الشهر'!$C$10:$AD$119,26,FALSE),0)</f>
        <v>0</v>
      </c>
      <c r="E129" s="362">
        <f>IFERROR(VLOOKUP(C129,'تقرير المصروفات حسب الشهر'!$C$135:$AD$244,26,FALSE),0)</f>
        <v>0</v>
      </c>
      <c r="F129" s="362">
        <f>IFERROR(VLOOKUP(C129,'تقرير المصروفات حسب الشهر'!$C$261:$AD$368,26,FALSE),0)</f>
        <v>0</v>
      </c>
      <c r="G129" s="362">
        <f>IFERROR(VLOOKUP(C129,'تقرير المصروفات حسب الشهر'!$C$387:$AD$495,26,FALSE),0)</f>
        <v>0</v>
      </c>
      <c r="H129" s="362">
        <f>IFERROR(VLOOKUP(C129,'تقرير المصروفات حسب الشهر'!$C$512:$AD$620,26,FALSE),0)</f>
        <v>0</v>
      </c>
      <c r="I129" s="362">
        <f>IFERROR(VLOOKUP(C129,'تقرير المصروفات حسب الشهر'!$C$637:$AD$746,26,FALSE),0)</f>
        <v>0</v>
      </c>
      <c r="J129" s="362">
        <f>IFERROR(VLOOKUP(C129,'تقرير المصروفات حسب الشهر'!$C$763:$AD$872,26,FALSE),0)</f>
        <v>0</v>
      </c>
      <c r="K129" s="362">
        <f>IFERROR(VLOOKUP(C129,'تقرير المصروفات حسب الشهر'!$C$890:$AD$999,26,FALSE),0)</f>
        <v>0</v>
      </c>
      <c r="L129" s="362">
        <f>IFERROR(VLOOKUP(C129,'تقرير المصروفات حسب الشهر'!$C$1016:$AD$1126,26,FALSE),0)</f>
        <v>0</v>
      </c>
      <c r="M129" s="376">
        <f>IFERROR(VLOOKUP(C129,'تقرير المصروفات حسب الشهر'!$C$1143:$AD$1254,26,FALSE),0)</f>
        <v>0</v>
      </c>
      <c r="N129" s="376">
        <f>IFERROR(VLOOKUP(C129,'تقرير المصروفات حسب الشهر'!$C$1270:$AD$1381,26,FALSE),0)</f>
        <v>0</v>
      </c>
      <c r="O129" s="376">
        <f>IFERROR(VLOOKUP(C129,'تقرير المصروفات حسب الشهر'!$C$1397:$AI$1512,26,FALSE),0)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الشهر'!$C$10:$AD$119,26,FALSE),0)</f>
        <v>0</v>
      </c>
      <c r="E130" s="362">
        <f>IFERROR(VLOOKUP(C130,'تقرير المصروفات حسب الشهر'!$C$135:$AD$244,26,FALSE),0)</f>
        <v>0</v>
      </c>
      <c r="F130" s="362">
        <f>IFERROR(VLOOKUP(C130,'تقرير المصروفات حسب الشهر'!$C$261:$AD$368,26,FALSE),0)</f>
        <v>0</v>
      </c>
      <c r="G130" s="362">
        <f>IFERROR(VLOOKUP(C130,'تقرير المصروفات حسب الشهر'!$C$387:$AD$495,26,FALSE),0)</f>
        <v>0</v>
      </c>
      <c r="H130" s="362">
        <f>IFERROR(VLOOKUP(C130,'تقرير المصروفات حسب الشهر'!$C$512:$AD$620,26,FALSE),0)</f>
        <v>0</v>
      </c>
      <c r="I130" s="362">
        <f>IFERROR(VLOOKUP(C130,'تقرير المصروفات حسب الشهر'!$C$637:$AD$746,26,FALSE),0)</f>
        <v>0</v>
      </c>
      <c r="J130" s="362">
        <f>IFERROR(VLOOKUP(C130,'تقرير المصروفات حسب الشهر'!$C$763:$AD$872,26,FALSE),0)</f>
        <v>0</v>
      </c>
      <c r="K130" s="362">
        <f>IFERROR(VLOOKUP(C130,'تقرير المصروفات حسب الشهر'!$C$890:$AD$999,26,FALSE),0)</f>
        <v>0</v>
      </c>
      <c r="L130" s="362">
        <f>IFERROR(VLOOKUP(C130,'تقرير المصروفات حسب الشهر'!$C$1016:$AD$1126,26,FALSE),0)</f>
        <v>0</v>
      </c>
      <c r="M130" s="376">
        <f>IFERROR(VLOOKUP(C130,'تقرير المصروفات حسب الشهر'!$C$1143:$AD$1254,26,FALSE),0)</f>
        <v>0</v>
      </c>
      <c r="N130" s="376">
        <f>IFERROR(VLOOKUP(C130,'تقرير المصروفات حسب الشهر'!$C$1270:$AD$1381,26,FALSE),0)</f>
        <v>0</v>
      </c>
      <c r="O130" s="376">
        <f>IFERROR(VLOOKUP(C130,'تقرير المصروفات حسب الشهر'!$C$1397:$AI$1512,26,FALSE),0)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الشهر'!$C$10:$AD$119,26,FALSE),0)</f>
        <v>0</v>
      </c>
      <c r="E131" s="362">
        <f>IFERROR(VLOOKUP(C131,'تقرير المصروفات حسب الشهر'!$C$135:$AD$244,26,FALSE),0)</f>
        <v>0</v>
      </c>
      <c r="F131" s="362">
        <f>IFERROR(VLOOKUP(C131,'تقرير المصروفات حسب الشهر'!$C$261:$AD$368,26,FALSE),0)</f>
        <v>0</v>
      </c>
      <c r="G131" s="362">
        <f>IFERROR(VLOOKUP(C131,'تقرير المصروفات حسب الشهر'!$C$387:$AD$495,26,FALSE),0)</f>
        <v>0</v>
      </c>
      <c r="H131" s="362">
        <f>IFERROR(VLOOKUP(C131,'تقرير المصروفات حسب الشهر'!$C$512:$AD$620,26,FALSE),0)</f>
        <v>0</v>
      </c>
      <c r="I131" s="362">
        <f>IFERROR(VLOOKUP(C131,'تقرير المصروفات حسب الشهر'!$C$637:$AD$746,26,FALSE),0)</f>
        <v>0</v>
      </c>
      <c r="J131" s="362">
        <f>IFERROR(VLOOKUP(C131,'تقرير المصروفات حسب الشهر'!$C$763:$AD$872,26,FALSE),0)</f>
        <v>0</v>
      </c>
      <c r="K131" s="362">
        <f>IFERROR(VLOOKUP(C131,'تقرير المصروفات حسب الشهر'!$C$890:$AD$999,26,FALSE),0)</f>
        <v>0</v>
      </c>
      <c r="L131" s="362">
        <f>IFERROR(VLOOKUP(C131,'تقرير المصروفات حسب الشهر'!$C$1016:$AD$1126,26,FALSE),0)</f>
        <v>0</v>
      </c>
      <c r="M131" s="376">
        <f>IFERROR(VLOOKUP(C131,'تقرير المصروفات حسب الشهر'!$C$1143:$AD$1254,26,FALSE),0)</f>
        <v>0</v>
      </c>
      <c r="N131" s="376">
        <f>IFERROR(VLOOKUP(C131,'تقرير المصروفات حسب الشهر'!$C$1270:$AD$1381,26,FALSE),0)</f>
        <v>0</v>
      </c>
      <c r="O131" s="376">
        <f>IFERROR(VLOOKUP(C131,'تقرير المصروفات حسب الشهر'!$C$1397:$AI$1512,26,FALSE),0)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23345.090000000004</v>
      </c>
      <c r="E132" s="146">
        <f t="shared" si="7"/>
        <v>46827.630000000005</v>
      </c>
      <c r="F132" s="146">
        <f t="shared" si="7"/>
        <v>31535.989999999998</v>
      </c>
      <c r="G132" s="146">
        <f t="shared" si="7"/>
        <v>43140.880000000005</v>
      </c>
      <c r="H132" s="146">
        <f t="shared" si="7"/>
        <v>30336.640000000003</v>
      </c>
      <c r="I132" s="146">
        <f t="shared" si="7"/>
        <v>48899.680000000008</v>
      </c>
      <c r="J132" s="146">
        <f t="shared" si="7"/>
        <v>38079.97</v>
      </c>
      <c r="K132" s="146">
        <f t="shared" si="7"/>
        <v>41234</v>
      </c>
      <c r="L132" s="146">
        <f t="shared" si="7"/>
        <v>43360.53</v>
      </c>
      <c r="M132" s="146">
        <f t="shared" si="7"/>
        <v>52135.58</v>
      </c>
      <c r="N132" s="146">
        <f t="shared" si="7"/>
        <v>35853.21</v>
      </c>
      <c r="O132" s="146">
        <f t="shared" si="7"/>
        <v>65840.679999999993</v>
      </c>
      <c r="P132" s="388">
        <f t="shared" si="6"/>
        <v>500589.88000000006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81996.45</v>
      </c>
      <c r="E134" s="392">
        <f t="shared" si="8"/>
        <v>101009.72999999998</v>
      </c>
      <c r="F134" s="392">
        <f t="shared" si="8"/>
        <v>50518.760000000009</v>
      </c>
      <c r="G134" s="392">
        <f t="shared" si="8"/>
        <v>77635.460000000021</v>
      </c>
      <c r="H134" s="392">
        <f t="shared" si="8"/>
        <v>86168.700000000012</v>
      </c>
      <c r="I134" s="392">
        <f t="shared" si="8"/>
        <v>103788.41000000006</v>
      </c>
      <c r="J134" s="392">
        <f t="shared" si="8"/>
        <v>98581.690000000061</v>
      </c>
      <c r="K134" s="392">
        <f t="shared" si="8"/>
        <v>120435.43000000002</v>
      </c>
      <c r="L134" s="392">
        <f t="shared" si="8"/>
        <v>112119.42000000004</v>
      </c>
      <c r="M134" s="392">
        <f t="shared" si="8"/>
        <v>103127.03000000009</v>
      </c>
      <c r="N134" s="392">
        <f t="shared" si="8"/>
        <v>122916.30000000002</v>
      </c>
      <c r="O134" s="392">
        <f t="shared" si="8"/>
        <v>98102.62</v>
      </c>
      <c r="P134" s="388">
        <f t="shared" si="6"/>
        <v>1156400.0000000005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58651.359999999993</v>
      </c>
      <c r="E137" s="383">
        <f t="shared" ref="E137:O137" si="9">E134-E132</f>
        <v>54182.099999999977</v>
      </c>
      <c r="F137" s="383">
        <f t="shared" si="9"/>
        <v>18982.770000000011</v>
      </c>
      <c r="G137" s="383">
        <f t="shared" si="9"/>
        <v>34494.580000000016</v>
      </c>
      <c r="H137" s="383">
        <f t="shared" si="9"/>
        <v>55832.060000000012</v>
      </c>
      <c r="I137" s="383">
        <f t="shared" si="9"/>
        <v>54888.730000000054</v>
      </c>
      <c r="J137" s="383">
        <f t="shared" si="9"/>
        <v>60501.720000000059</v>
      </c>
      <c r="K137" s="383">
        <f t="shared" si="9"/>
        <v>79201.430000000022</v>
      </c>
      <c r="L137" s="383">
        <f t="shared" si="9"/>
        <v>68758.890000000043</v>
      </c>
      <c r="M137" s="383">
        <f t="shared" si="9"/>
        <v>50991.450000000084</v>
      </c>
      <c r="N137" s="383">
        <f t="shared" si="9"/>
        <v>87063.090000000026</v>
      </c>
      <c r="O137" s="383">
        <f t="shared" si="9"/>
        <v>32261.940000000002</v>
      </c>
      <c r="P137" s="387">
        <f>SUM(D137:O137)</f>
        <v>655810.12000000011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0">
    <tabColor rgb="FFFFC000"/>
  </sheetPr>
  <dimension ref="A1:T141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333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240</v>
      </c>
      <c r="B8" s="390"/>
      <c r="C8" s="369" t="s">
        <v>114</v>
      </c>
      <c r="D8" s="364">
        <f>D9+D10+D11</f>
        <v>721776.66</v>
      </c>
      <c r="E8" s="364">
        <f t="shared" ref="E8:O8" si="0">E9+E10+E11</f>
        <v>583674.83000000007</v>
      </c>
      <c r="F8" s="364">
        <f t="shared" si="0"/>
        <v>584912.24</v>
      </c>
      <c r="G8" s="364">
        <f t="shared" si="0"/>
        <v>615566.89</v>
      </c>
      <c r="H8" s="364">
        <f t="shared" si="0"/>
        <v>802770.42999999993</v>
      </c>
      <c r="I8" s="364">
        <f t="shared" si="0"/>
        <v>626980.79</v>
      </c>
      <c r="J8" s="364">
        <f t="shared" si="0"/>
        <v>859165.08</v>
      </c>
      <c r="K8" s="364">
        <f t="shared" si="0"/>
        <v>838350.21</v>
      </c>
      <c r="L8" s="364">
        <f t="shared" si="0"/>
        <v>680531.74000000011</v>
      </c>
      <c r="M8" s="364">
        <f t="shared" si="0"/>
        <v>809629.1399999999</v>
      </c>
      <c r="N8" s="364">
        <f t="shared" si="0"/>
        <v>902841.95</v>
      </c>
      <c r="O8" s="364">
        <f t="shared" si="0"/>
        <v>1258728.44</v>
      </c>
      <c r="P8" s="364">
        <f>SUM(D8:O8)</f>
        <v>9284928.4000000004</v>
      </c>
    </row>
    <row r="9" spans="1:20" ht="18" customHeight="1">
      <c r="B9" s="124"/>
      <c r="C9" s="370" t="s">
        <v>115</v>
      </c>
      <c r="D9" s="365">
        <f>VLOOKUP($A$8,'تقرير إحصائية بحجم المبيعات'!$B$7:$L$32,2,FALSE)</f>
        <v>121003.99000000002</v>
      </c>
      <c r="E9" s="365">
        <f>VLOOKUP($A$8,'تقرير إحصائية بحجم المبيعات'!$B$42:$G$73,2,FALSE)</f>
        <v>142412.97000000009</v>
      </c>
      <c r="F9" s="365">
        <f>VLOOKUP($A$8,'تقرير إحصائية بحجم المبيعات'!$B$78:$E$103,2,FALSE)</f>
        <v>108385.59999999998</v>
      </c>
      <c r="G9" s="365">
        <f>VLOOKUP($A$8,'تقرير إحصائية بحجم المبيعات'!$B$112:$G$137,2,FALSE)</f>
        <v>179641.73</v>
      </c>
      <c r="H9" s="365">
        <f>VLOOKUP($A$8,'تقرير إحصائية بحجم المبيعات'!$B$147:$G$177,2,FALSE)</f>
        <v>182719.86</v>
      </c>
      <c r="I9" s="365">
        <f>VLOOKUP($A$8,'تقرير إحصائية بحجم المبيعات'!$B$182:$G$212,2,FALSE)</f>
        <v>108023.07000000007</v>
      </c>
      <c r="J9" s="365">
        <f>VLOOKUP($A$8,'تقرير إحصائية بحجم المبيعات'!$B$217:$L$243,2,FALSE)</f>
        <v>117708.55999999994</v>
      </c>
      <c r="K9" s="365">
        <f>VLOOKUP($A$8,'تقرير إحصائية بحجم المبيعات'!$B$252:$L$278,2,FALSE)</f>
        <v>114621.15999999992</v>
      </c>
      <c r="L9" s="365">
        <f>VLOOKUP($A$8,'تقرير إحصائية بحجم المبيعات'!$B$287:$L$313,2,FALSE)</f>
        <v>120987.58000000007</v>
      </c>
      <c r="M9" s="365">
        <f>VLOOKUP($A$8,'تقرير إحصائية بحجم المبيعات'!$B$322:$L$347,2,FALSE)</f>
        <v>153090.06999999995</v>
      </c>
      <c r="N9" s="365">
        <f>VLOOKUP($A$8,'تقرير إحصائية بحجم المبيعات'!$B$357:$L$383,2,FALSE)</f>
        <v>139440.99</v>
      </c>
      <c r="O9" s="365">
        <f>VLOOKUP($A$8,'تقرير إحصائية بحجم المبيعات'!$B$391:$L$420,2,FALSE)</f>
        <v>194684.29000000007</v>
      </c>
      <c r="P9" s="364">
        <f t="shared" ref="P9:P18" si="1">SUM(D9:O9)</f>
        <v>1682719.8699999999</v>
      </c>
    </row>
    <row r="10" spans="1:20" ht="18" customHeight="1">
      <c r="B10" s="124"/>
      <c r="C10" s="370" t="s">
        <v>21</v>
      </c>
      <c r="D10" s="365">
        <f>VLOOKUP($A$8,'تقرير إحصائية بحجم المبيعات'!$B$7:$L$32,3,FALSE)</f>
        <v>0</v>
      </c>
      <c r="E10" s="365">
        <f>VLOOKUP($A$8,'تقرير إحصائية بحجم المبيعات'!$B$42:$G$73,3,FALSE)</f>
        <v>0</v>
      </c>
      <c r="F10" s="365">
        <f>VLOOKUP($A$8,'تقرير إحصائية بحجم المبيعات'!$B$78:$E$103,3,FALSE)</f>
        <v>0</v>
      </c>
      <c r="G10" s="365">
        <f>VLOOKUP($A$8,'تقرير إحصائية بحجم المبيعات'!$B$112:$G$137,3,FALSE)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المبيعات'!$B$357:$L$383,3,FALSE)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VLOOKUP($A$8,'تقرير إحصائية بحجم المبيعات'!$B$7:$L$32,4,FALSE)</f>
        <v>600772.67000000004</v>
      </c>
      <c r="E11" s="365">
        <f>VLOOKUP($A$8,'تقرير إحصائية بحجم المبيعات'!$B$42:$G$73,4,FALSE)</f>
        <v>441261.86</v>
      </c>
      <c r="F11" s="365">
        <f>VLOOKUP($A$8,'تقرير إحصائية بحجم المبيعات'!$B$78:$E$103,4,FALSE)</f>
        <v>476526.64</v>
      </c>
      <c r="G11" s="365">
        <f>VLOOKUP($A$8,'تقرير إحصائية بحجم المبيعات'!$B$112:$G$137,4,FALSE)</f>
        <v>435925.16</v>
      </c>
      <c r="H11" s="365">
        <f>VLOOKUP($A$8,'تقرير إحصائية بحجم المبيعات'!$B$147:$G$177,4,FALSE)</f>
        <v>620050.56999999995</v>
      </c>
      <c r="I11" s="365">
        <f>VLOOKUP($A$8,'تقرير إحصائية بحجم المبيعات'!$B$182:$G$212,4,FALSE)</f>
        <v>518957.72</v>
      </c>
      <c r="J11" s="365">
        <f>VLOOKUP($A$8,'تقرير إحصائية بحجم المبيعات'!$B$217:$L$243,4,FALSE)</f>
        <v>741456.52</v>
      </c>
      <c r="K11" s="365">
        <f>VLOOKUP($A$8,'تقرير إحصائية بحجم المبيعات'!$B$252:$L$278,4,FALSE)</f>
        <v>723729.05</v>
      </c>
      <c r="L11" s="365">
        <f>VLOOKUP($A$8,'تقرير إحصائية بحجم المبيعات'!$B$287:$L$313,4,FALSE)</f>
        <v>559544.16</v>
      </c>
      <c r="M11" s="365">
        <f>VLOOKUP($A$8,'تقرير إحصائية بحجم المبيعات'!$B$322:$L$347,4,FALSE)</f>
        <v>656539.06999999995</v>
      </c>
      <c r="N11" s="365">
        <f>VLOOKUP($A$8,'تقرير إحصائية بحجم المبيعات'!$B$357:$L$383,4,FALSE)</f>
        <v>763400.96</v>
      </c>
      <c r="O11" s="365">
        <f>VLOOKUP($A$8,'تقرير إحصائية بحجم المبيعات'!$B$391:$L$420,4,FALSE)</f>
        <v>1064044.1499999999</v>
      </c>
      <c r="P11" s="364">
        <f t="shared" si="1"/>
        <v>7602208.5300000012</v>
      </c>
    </row>
    <row r="12" spans="1:20" ht="18" customHeight="1">
      <c r="B12" s="124"/>
      <c r="C12" s="369" t="s">
        <v>120</v>
      </c>
      <c r="D12" s="364">
        <f>VLOOKUP($A$8,'تقرير إحصائية بحجم المبيعات'!$B$7:$L$32,11,FALSE)</f>
        <v>621799.9</v>
      </c>
      <c r="E12" s="364">
        <f>VLOOKUP($A$8,'تقرير إحصائية بحجم المبيعات'!$B$42:$L$73,11,FALSE)</f>
        <v>504597.07</v>
      </c>
      <c r="F12" s="364">
        <f>VLOOKUP($A$8,'تقرير إحصائية بحجم المبيعات'!$B$78:$L$103,11,FALSE)</f>
        <v>504359.54</v>
      </c>
      <c r="G12" s="364">
        <f>VLOOKUP($A$8,'تقرير إحصائية بحجم المبيعات'!$B$112:$L$137,11,FALSE)</f>
        <v>528662.42000000004</v>
      </c>
      <c r="H12" s="364">
        <f>VLOOKUP($A$8,'تقرير إحصائية بحجم المبيعات'!$B$147:$L$177,11,FALSE)</f>
        <v>690752.59</v>
      </c>
      <c r="I12" s="364">
        <f>VLOOKUP($A$8,'تقرير إحصائية بحجم المبيعات'!$B$182:$L$212,11,FALSE)</f>
        <v>518367.44</v>
      </c>
      <c r="J12" s="365">
        <f>VLOOKUP($A$8,'تقرير إحصائية بحجم المبيعات'!$B$217:$L$243,11,FALSE)</f>
        <v>742220.14</v>
      </c>
      <c r="K12" s="364">
        <f>VLOOKUP($A$8,'تقرير إحصائية بحجم المبيعات'!$B$252:$L$278,11,FALSE)</f>
        <v>714873.86</v>
      </c>
      <c r="L12" s="364">
        <f>VLOOKUP($A$8,'تقرير إحصائية بحجم المبيعات'!$B$287:$L$313,11,FALSE)</f>
        <v>572458.66</v>
      </c>
      <c r="M12" s="365">
        <f>VLOOKUP($A$8,'تقرير إحصائية بحجم المبيعات'!$B$322:$L$347,11,FALSE)</f>
        <v>704979.33</v>
      </c>
      <c r="N12" s="365">
        <f>VLOOKUP($A$8,'تقرير إحصائية بحجم المبيعات'!$B$357:$L$383,11,FALSE)</f>
        <v>783845.18</v>
      </c>
      <c r="O12" s="365">
        <f>VLOOKUP($A$8,'تقرير إحصائية بحجم المبيعات'!$B$391:$L$420,11,FALSE)</f>
        <v>1095742.23</v>
      </c>
      <c r="P12" s="364">
        <f t="shared" si="1"/>
        <v>7982658.3599999994</v>
      </c>
    </row>
    <row r="13" spans="1:20" ht="18" customHeight="1">
      <c r="B13" s="124"/>
      <c r="C13" s="371" t="s">
        <v>14</v>
      </c>
      <c r="D13" s="366">
        <f t="shared" ref="D13:O13" si="2">D8-D12</f>
        <v>99976.760000000009</v>
      </c>
      <c r="E13" s="366">
        <f t="shared" si="2"/>
        <v>79077.760000000068</v>
      </c>
      <c r="F13" s="366">
        <f t="shared" si="2"/>
        <v>80552.700000000012</v>
      </c>
      <c r="G13" s="366">
        <f t="shared" si="2"/>
        <v>86904.469999999972</v>
      </c>
      <c r="H13" s="366">
        <f t="shared" si="2"/>
        <v>112017.83999999997</v>
      </c>
      <c r="I13" s="366">
        <f t="shared" si="2"/>
        <v>108613.35000000003</v>
      </c>
      <c r="J13" s="366">
        <f t="shared" si="2"/>
        <v>116944.93999999994</v>
      </c>
      <c r="K13" s="366">
        <f t="shared" si="2"/>
        <v>123476.34999999998</v>
      </c>
      <c r="L13" s="366">
        <f t="shared" si="2"/>
        <v>108073.08000000007</v>
      </c>
      <c r="M13" s="366">
        <f t="shared" si="2"/>
        <v>104649.80999999994</v>
      </c>
      <c r="N13" s="366">
        <f t="shared" si="2"/>
        <v>118996.7699999999</v>
      </c>
      <c r="O13" s="366">
        <f t="shared" si="2"/>
        <v>162986.20999999996</v>
      </c>
      <c r="P13" s="366">
        <f t="shared" si="1"/>
        <v>1302270.04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/>
      <c r="I16" s="367">
        <v>38557.54</v>
      </c>
      <c r="J16" s="367"/>
      <c r="K16" s="367">
        <v>18918.75</v>
      </c>
      <c r="L16" s="367"/>
      <c r="M16" s="367"/>
      <c r="N16" s="367">
        <v>51179.289999999994</v>
      </c>
      <c r="O16" s="367"/>
      <c r="P16" s="364">
        <f t="shared" si="1"/>
        <v>108655.57999999999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0</v>
      </c>
      <c r="I18" s="363">
        <f t="shared" si="3"/>
        <v>38557.54</v>
      </c>
      <c r="J18" s="363">
        <f t="shared" si="3"/>
        <v>0</v>
      </c>
      <c r="K18" s="363">
        <f t="shared" si="3"/>
        <v>18918.75</v>
      </c>
      <c r="L18" s="363">
        <f t="shared" si="3"/>
        <v>0</v>
      </c>
      <c r="M18" s="368">
        <f t="shared" si="3"/>
        <v>0</v>
      </c>
      <c r="N18" s="368">
        <f t="shared" si="3"/>
        <v>51179.289999999994</v>
      </c>
      <c r="O18" s="368">
        <f t="shared" si="3"/>
        <v>0</v>
      </c>
      <c r="P18" s="364">
        <f t="shared" si="1"/>
        <v>108655.57999999999</v>
      </c>
    </row>
    <row r="19" spans="2:16" ht="18" customHeight="1">
      <c r="B19" s="124"/>
      <c r="C19" s="386" t="s">
        <v>14</v>
      </c>
      <c r="D19" s="374">
        <f t="shared" ref="D19:O19" si="4">D13+D18</f>
        <v>99976.760000000009</v>
      </c>
      <c r="E19" s="374">
        <f t="shared" si="4"/>
        <v>79077.760000000068</v>
      </c>
      <c r="F19" s="374">
        <f t="shared" si="4"/>
        <v>80552.700000000012</v>
      </c>
      <c r="G19" s="374">
        <f t="shared" si="4"/>
        <v>86904.469999999972</v>
      </c>
      <c r="H19" s="374">
        <f t="shared" si="4"/>
        <v>112017.83999999997</v>
      </c>
      <c r="I19" s="374">
        <f t="shared" si="4"/>
        <v>147170.89000000004</v>
      </c>
      <c r="J19" s="374">
        <f t="shared" si="4"/>
        <v>116944.93999999994</v>
      </c>
      <c r="K19" s="374">
        <f t="shared" si="4"/>
        <v>142395.09999999998</v>
      </c>
      <c r="L19" s="374">
        <f t="shared" si="4"/>
        <v>108073.08000000007</v>
      </c>
      <c r="M19" s="374">
        <f t="shared" si="4"/>
        <v>104649.80999999994</v>
      </c>
      <c r="N19" s="374">
        <f t="shared" si="4"/>
        <v>170176.05999999988</v>
      </c>
      <c r="O19" s="374">
        <f t="shared" si="4"/>
        <v>162986.20999999996</v>
      </c>
      <c r="P19" s="382">
        <f>SUM(D19:O19)</f>
        <v>1410925.6199999999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الشهر'!$C$10:$AD$119,27,FALSE),0)</f>
        <v>0</v>
      </c>
      <c r="E22" s="362">
        <f>IFERROR(VLOOKUP(C22,'تقرير المصروفات حسب الشهر'!$C$135:$AD$244,27,FALSE),0)</f>
        <v>0</v>
      </c>
      <c r="F22" s="362">
        <f>IFERROR(VLOOKUP(C22,'تقرير المصروفات حسب الشهر'!$C$261:$AD$368,27,FALSE),0)</f>
        <v>0</v>
      </c>
      <c r="G22" s="362">
        <f>IFERROR(VLOOKUP(C22,'تقرير المصروفات حسب الشهر'!$C$387:$AD$495,27,FALSE),0)</f>
        <v>0</v>
      </c>
      <c r="H22" s="362">
        <f>IFERROR(VLOOKUP(C22,'تقرير المصروفات حسب الشهر'!$C$512:$AD$620,27,FALSE),0)</f>
        <v>0</v>
      </c>
      <c r="I22" s="362">
        <f>IFERROR(VLOOKUP(C22,'تقرير المصروفات حسب الشهر'!$C$637:$AD$746,27,FALSE),0)</f>
        <v>0</v>
      </c>
      <c r="J22" s="362">
        <f>IFERROR(VLOOKUP(C22,'تقرير المصروفات حسب الشهر'!$C$763:$AD$872,27,FALSE),0)</f>
        <v>0</v>
      </c>
      <c r="K22" s="362">
        <f>IFERROR(VLOOKUP(C22,'تقرير المصروفات حسب الشهر'!$C$890:$AD$999,27,FALSE),0)</f>
        <v>0</v>
      </c>
      <c r="L22" s="362">
        <f>IFERROR(VLOOKUP(C22,'تقرير المصروفات حسب الشهر'!$C$1016:$AD$1126,27,FALSE),0)</f>
        <v>0</v>
      </c>
      <c r="M22" s="376">
        <f>IFERROR(VLOOKUP(C22,'تقرير المصروفات حسب الشهر'!$C$1143:$AD$1254,27,FALSE),0)</f>
        <v>0</v>
      </c>
      <c r="N22" s="376">
        <f>IFERROR(VLOOKUP(C22,'تقرير المصروفات حسب الشهر'!$C$1270:$AD$1381,27,FALSE),0)</f>
        <v>0</v>
      </c>
      <c r="O22" s="376">
        <f>IFERROR(VLOOKUP(C22,'تقرير المصروفات حسب الشهر'!$C$1397:$AD$1512,27,FALSE),0)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الشهر'!$C$10:$AD$119,27,FALSE),0)</f>
        <v>15048.89</v>
      </c>
      <c r="E23" s="362">
        <f>IFERROR(VLOOKUP(C23,'تقرير المصروفات حسب الشهر'!$C$135:$AD$244,27,FALSE),0)</f>
        <v>16312.119999999999</v>
      </c>
      <c r="F23" s="362">
        <f>IFERROR(VLOOKUP(C23,'تقرير المصروفات حسب الشهر'!$C$261:$AD$368,27,FALSE),0)</f>
        <v>15174.37</v>
      </c>
      <c r="G23" s="362">
        <f>IFERROR(VLOOKUP(C23,'تقرير المصروفات حسب الشهر'!$C$387:$AD$495,27,FALSE),0)</f>
        <v>15648.07</v>
      </c>
      <c r="H23" s="362">
        <f>IFERROR(VLOOKUP(C23,'تقرير المصروفات حسب الشهر'!$C$512:$AD$620,27,FALSE),0)</f>
        <v>15987.509999999998</v>
      </c>
      <c r="I23" s="362">
        <f>IFERROR(VLOOKUP(C23,'تقرير المصروفات حسب الشهر'!$C$637:$AD$746,27,FALSE),0)</f>
        <v>15272.02</v>
      </c>
      <c r="J23" s="362">
        <f>IFERROR(VLOOKUP(C23,'تقرير المصروفات حسب الشهر'!$C$763:$AD$872,27,FALSE),0)</f>
        <v>22505.48</v>
      </c>
      <c r="K23" s="362">
        <f>IFERROR(VLOOKUP(C23,'تقرير المصروفات حسب الشهر'!$C$890:$AD$999,27,FALSE),0)</f>
        <v>23163.94</v>
      </c>
      <c r="L23" s="362">
        <f>IFERROR(VLOOKUP(C23,'تقرير المصروفات حسب الشهر'!$C$1016:$AD$1126,27,FALSE),0)</f>
        <v>20333.11</v>
      </c>
      <c r="M23" s="376">
        <f>IFERROR(VLOOKUP(C23,'تقرير المصروفات حسب الشهر'!$C$1143:$AD$1254,27,FALSE),0)</f>
        <v>23510.05</v>
      </c>
      <c r="N23" s="376">
        <f>IFERROR(VLOOKUP(C23,'تقرير المصروفات حسب الشهر'!$C$1270:$AD$1381,27,FALSE),0)</f>
        <v>28295.15</v>
      </c>
      <c r="O23" s="376">
        <f>IFERROR(VLOOKUP(C23,'تقرير المصروفات حسب الشهر'!$C$1397:$AD$1512,27,FALSE),0)</f>
        <v>26665.07</v>
      </c>
      <c r="P23" s="364">
        <f t="shared" ref="P23:P86" si="5">SUM(D23:O23)</f>
        <v>237915.78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الشهر'!$C$10:$AD$119,27,FALSE),0)</f>
        <v>0</v>
      </c>
      <c r="E24" s="362">
        <f>IFERROR(VLOOKUP(C24,'تقرير المصروفات حسب الشهر'!$C$135:$AD$244,27,FALSE),0)</f>
        <v>0</v>
      </c>
      <c r="F24" s="362">
        <f>IFERROR(VLOOKUP(C24,'تقرير المصروفات حسب الشهر'!$C$261:$AD$368,27,FALSE),0)</f>
        <v>0</v>
      </c>
      <c r="G24" s="362">
        <f>IFERROR(VLOOKUP(C24,'تقرير المصروفات حسب الشهر'!$C$387:$AD$495,27,FALSE),0)</f>
        <v>0</v>
      </c>
      <c r="H24" s="362">
        <f>IFERROR(VLOOKUP(C24,'تقرير المصروفات حسب الشهر'!$C$512:$AD$620,27,FALSE),0)</f>
        <v>0</v>
      </c>
      <c r="I24" s="362">
        <f>IFERROR(VLOOKUP(C24,'تقرير المصروفات حسب الشهر'!$C$637:$AD$746,27,FALSE),0)</f>
        <v>0</v>
      </c>
      <c r="J24" s="362">
        <f>IFERROR(VLOOKUP(C24,'تقرير المصروفات حسب الشهر'!$C$763:$AD$872,27,FALSE),0)</f>
        <v>0</v>
      </c>
      <c r="K24" s="362">
        <f>IFERROR(VLOOKUP(C24,'تقرير المصروفات حسب الشهر'!$C$890:$AD$999,27,FALSE),0)</f>
        <v>0</v>
      </c>
      <c r="L24" s="362">
        <f>IFERROR(VLOOKUP(C24,'تقرير المصروفات حسب الشهر'!$C$1016:$AD$1126,27,FALSE),0)</f>
        <v>0</v>
      </c>
      <c r="M24" s="376">
        <f>IFERROR(VLOOKUP(C24,'تقرير المصروفات حسب الشهر'!$C$1143:$AD$1254,27,FALSE),0)</f>
        <v>0</v>
      </c>
      <c r="N24" s="376">
        <f>IFERROR(VLOOKUP(C24,'تقرير المصروفات حسب الشهر'!$C$1270:$AD$1381,27,FALSE),0)</f>
        <v>0</v>
      </c>
      <c r="O24" s="376">
        <f>IFERROR(VLOOKUP(C24,'تقرير المصروفات حسب الشهر'!$C$1397:$AD$1512,27,FALSE),0)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الشهر'!$C$10:$AD$119,27,FALSE),0)</f>
        <v>0</v>
      </c>
      <c r="E25" s="362">
        <f>IFERROR(VLOOKUP(C25,'تقرير المصروفات حسب الشهر'!$C$135:$AD$244,27,FALSE),0)</f>
        <v>0</v>
      </c>
      <c r="F25" s="362">
        <f>IFERROR(VLOOKUP(C25,'تقرير المصروفات حسب الشهر'!$C$261:$AD$368,27,FALSE),0)</f>
        <v>0</v>
      </c>
      <c r="G25" s="362">
        <f>IFERROR(VLOOKUP(C25,'تقرير المصروفات حسب الشهر'!$C$387:$AD$495,27,FALSE),0)</f>
        <v>0</v>
      </c>
      <c r="H25" s="362">
        <f>IFERROR(VLOOKUP(C25,'تقرير المصروفات حسب الشهر'!$C$512:$AD$620,27,FALSE),0)</f>
        <v>0</v>
      </c>
      <c r="I25" s="362">
        <f>IFERROR(VLOOKUP(C25,'تقرير المصروفات حسب الشهر'!$C$637:$AD$746,27,FALSE),0)</f>
        <v>0</v>
      </c>
      <c r="J25" s="362">
        <f>IFERROR(VLOOKUP(C25,'تقرير المصروفات حسب الشهر'!$C$763:$AD$872,27,FALSE),0)</f>
        <v>0</v>
      </c>
      <c r="K25" s="362">
        <f>IFERROR(VLOOKUP(C25,'تقرير المصروفات حسب الشهر'!$C$890:$AD$999,27,FALSE),0)</f>
        <v>0</v>
      </c>
      <c r="L25" s="362">
        <f>IFERROR(VLOOKUP(C25,'تقرير المصروفات حسب الشهر'!$C$1016:$AD$1126,27,FALSE),0)</f>
        <v>0</v>
      </c>
      <c r="M25" s="376">
        <f>IFERROR(VLOOKUP(C25,'تقرير المصروفات حسب الشهر'!$C$1143:$AD$1254,27,FALSE),0)</f>
        <v>0</v>
      </c>
      <c r="N25" s="376">
        <f>IFERROR(VLOOKUP(C25,'تقرير المصروفات حسب الشهر'!$C$1270:$AD$1381,27,FALSE),0)</f>
        <v>0</v>
      </c>
      <c r="O25" s="376">
        <f>IFERROR(VLOOKUP(C25,'تقرير المصروفات حسب الشهر'!$C$1397:$AD$1512,27,FALSE),0)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الشهر'!$C$10:$AD$119,27,FALSE),0)</f>
        <v>0</v>
      </c>
      <c r="E26" s="362">
        <f>IFERROR(VLOOKUP(C26,'تقرير المصروفات حسب الشهر'!$C$135:$AD$244,27,FALSE),0)</f>
        <v>0</v>
      </c>
      <c r="F26" s="362">
        <f>IFERROR(VLOOKUP(C26,'تقرير المصروفات حسب الشهر'!$C$261:$AD$368,27,FALSE),0)</f>
        <v>0</v>
      </c>
      <c r="G26" s="362">
        <f>IFERROR(VLOOKUP(C26,'تقرير المصروفات حسب الشهر'!$C$387:$AD$495,27,FALSE),0)</f>
        <v>0</v>
      </c>
      <c r="H26" s="362">
        <f>IFERROR(VLOOKUP(C26,'تقرير المصروفات حسب الشهر'!$C$512:$AD$620,27,FALSE),0)</f>
        <v>0</v>
      </c>
      <c r="I26" s="362">
        <f>IFERROR(VLOOKUP(C26,'تقرير المصروفات حسب الشهر'!$C$637:$AD$746,27,FALSE),0)</f>
        <v>0</v>
      </c>
      <c r="J26" s="362">
        <f>IFERROR(VLOOKUP(C26,'تقرير المصروفات حسب الشهر'!$C$763:$AD$872,27,FALSE),0)</f>
        <v>0</v>
      </c>
      <c r="K26" s="362">
        <f>IFERROR(VLOOKUP(C26,'تقرير المصروفات حسب الشهر'!$C$890:$AD$999,27,FALSE),0)</f>
        <v>0</v>
      </c>
      <c r="L26" s="362">
        <f>IFERROR(VLOOKUP(C26,'تقرير المصروفات حسب الشهر'!$C$1016:$AD$1126,27,FALSE),0)</f>
        <v>0</v>
      </c>
      <c r="M26" s="376">
        <f>IFERROR(VLOOKUP(C26,'تقرير المصروفات حسب الشهر'!$C$1143:$AD$1254,27,FALSE),0)</f>
        <v>0</v>
      </c>
      <c r="N26" s="376">
        <f>IFERROR(VLOOKUP(C26,'تقرير المصروفات حسب الشهر'!$C$1270:$AD$1381,27,FALSE),0)</f>
        <v>0</v>
      </c>
      <c r="O26" s="376">
        <f>IFERROR(VLOOKUP(C26,'تقرير المصروفات حسب الشهر'!$C$1397:$AD$1512,27,FALSE),0)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الشهر'!$C$10:$AD$119,27,FALSE),0)</f>
        <v>0</v>
      </c>
      <c r="E27" s="362">
        <f>IFERROR(VLOOKUP(C27,'تقرير المصروفات حسب الشهر'!$C$135:$AD$244,27,FALSE),0)</f>
        <v>0</v>
      </c>
      <c r="F27" s="362">
        <f>IFERROR(VLOOKUP(C27,'تقرير المصروفات حسب الشهر'!$C$261:$AD$368,27,FALSE),0)</f>
        <v>0</v>
      </c>
      <c r="G27" s="362">
        <f>IFERROR(VLOOKUP(C27,'تقرير المصروفات حسب الشهر'!$C$387:$AD$495,27,FALSE),0)</f>
        <v>0</v>
      </c>
      <c r="H27" s="362">
        <f>IFERROR(VLOOKUP(C27,'تقرير المصروفات حسب الشهر'!$C$512:$AD$620,27,FALSE),0)</f>
        <v>0</v>
      </c>
      <c r="I27" s="362">
        <f>IFERROR(VLOOKUP(C27,'تقرير المصروفات حسب الشهر'!$C$637:$AD$746,27,FALSE),0)</f>
        <v>0</v>
      </c>
      <c r="J27" s="362">
        <f>IFERROR(VLOOKUP(C27,'تقرير المصروفات حسب الشهر'!$C$763:$AD$872,27,FALSE),0)</f>
        <v>0</v>
      </c>
      <c r="K27" s="362">
        <f>IFERROR(VLOOKUP(C27,'تقرير المصروفات حسب الشهر'!$C$890:$AD$999,27,FALSE),0)</f>
        <v>0</v>
      </c>
      <c r="L27" s="362">
        <f>IFERROR(VLOOKUP(C27,'تقرير المصروفات حسب الشهر'!$C$1016:$AD$1126,27,FALSE),0)</f>
        <v>0</v>
      </c>
      <c r="M27" s="376">
        <f>IFERROR(VLOOKUP(C27,'تقرير المصروفات حسب الشهر'!$C$1143:$AD$1254,27,FALSE),0)</f>
        <v>0</v>
      </c>
      <c r="N27" s="376">
        <f>IFERROR(VLOOKUP(C27,'تقرير المصروفات حسب الشهر'!$C$1270:$AD$1381,27,FALSE),0)</f>
        <v>0</v>
      </c>
      <c r="O27" s="376">
        <f>IFERROR(VLOOKUP(C27,'تقرير المصروفات حسب الشهر'!$C$1397:$AD$1512,27,FALSE),0)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الشهر'!$C$10:$AD$119,27,FALSE),0)</f>
        <v>0</v>
      </c>
      <c r="E28" s="362">
        <f>IFERROR(VLOOKUP(C28,'تقرير المصروفات حسب الشهر'!$C$135:$AD$244,27,FALSE),0)</f>
        <v>0</v>
      </c>
      <c r="F28" s="362">
        <f>IFERROR(VLOOKUP(C28,'تقرير المصروفات حسب الشهر'!$C$261:$AD$368,27,FALSE),0)</f>
        <v>0</v>
      </c>
      <c r="G28" s="362">
        <f>IFERROR(VLOOKUP(C28,'تقرير المصروفات حسب الشهر'!$C$387:$AD$495,27,FALSE),0)</f>
        <v>0</v>
      </c>
      <c r="H28" s="362">
        <f>IFERROR(VLOOKUP(C28,'تقرير المصروفات حسب الشهر'!$C$512:$AD$620,27,FALSE),0)</f>
        <v>0</v>
      </c>
      <c r="I28" s="362">
        <f>IFERROR(VLOOKUP(C28,'تقرير المصروفات حسب الشهر'!$C$637:$AD$746,27,FALSE),0)</f>
        <v>0</v>
      </c>
      <c r="J28" s="362">
        <f>IFERROR(VLOOKUP(C28,'تقرير المصروفات حسب الشهر'!$C$763:$AD$872,27,FALSE),0)</f>
        <v>0</v>
      </c>
      <c r="K28" s="362">
        <f>IFERROR(VLOOKUP(C28,'تقرير المصروفات حسب الشهر'!$C$890:$AD$999,27,FALSE),0)</f>
        <v>0</v>
      </c>
      <c r="L28" s="362">
        <f>IFERROR(VLOOKUP(C28,'تقرير المصروفات حسب الشهر'!$C$1016:$AD$1126,27,FALSE),0)</f>
        <v>0</v>
      </c>
      <c r="M28" s="376">
        <f>IFERROR(VLOOKUP(C28,'تقرير المصروفات حسب الشهر'!$C$1143:$AD$1254,27,FALSE),0)</f>
        <v>0</v>
      </c>
      <c r="N28" s="376">
        <f>IFERROR(VLOOKUP(C28,'تقرير المصروفات حسب الشهر'!$C$1270:$AD$1381,27,FALSE),0)</f>
        <v>0</v>
      </c>
      <c r="O28" s="376">
        <f>IFERROR(VLOOKUP(C28,'تقرير المصروفات حسب الشهر'!$C$1397:$AD$1512,27,FALSE),0)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الشهر'!$C$10:$AD$119,27,FALSE),0)</f>
        <v>0</v>
      </c>
      <c r="E29" s="362">
        <f>IFERROR(VLOOKUP(C29,'تقرير المصروفات حسب الشهر'!$C$135:$AD$244,27,FALSE),0)</f>
        <v>0</v>
      </c>
      <c r="F29" s="362">
        <f>IFERROR(VLOOKUP(C29,'تقرير المصروفات حسب الشهر'!$C$261:$AD$368,27,FALSE),0)</f>
        <v>0</v>
      </c>
      <c r="G29" s="362">
        <f>IFERROR(VLOOKUP(C29,'تقرير المصروفات حسب الشهر'!$C$387:$AD$495,27,FALSE),0)</f>
        <v>0</v>
      </c>
      <c r="H29" s="362">
        <f>IFERROR(VLOOKUP(C29,'تقرير المصروفات حسب الشهر'!$C$512:$AD$620,27,FALSE),0)</f>
        <v>0</v>
      </c>
      <c r="I29" s="362">
        <f>IFERROR(VLOOKUP(C29,'تقرير المصروفات حسب الشهر'!$C$637:$AD$746,27,FALSE),0)</f>
        <v>0</v>
      </c>
      <c r="J29" s="362">
        <f>IFERROR(VLOOKUP(C29,'تقرير المصروفات حسب الشهر'!$C$763:$AD$872,27,FALSE),0)</f>
        <v>0</v>
      </c>
      <c r="K29" s="362">
        <f>IFERROR(VLOOKUP(C29,'تقرير المصروفات حسب الشهر'!$C$890:$AD$999,27,FALSE),0)</f>
        <v>0</v>
      </c>
      <c r="L29" s="362">
        <f>IFERROR(VLOOKUP(C29,'تقرير المصروفات حسب الشهر'!$C$1016:$AD$1126,27,FALSE),0)</f>
        <v>0</v>
      </c>
      <c r="M29" s="376">
        <f>IFERROR(VLOOKUP(C29,'تقرير المصروفات حسب الشهر'!$C$1143:$AD$1254,27,FALSE),0)</f>
        <v>0</v>
      </c>
      <c r="N29" s="376">
        <f>IFERROR(VLOOKUP(C29,'تقرير المصروفات حسب الشهر'!$C$1270:$AD$1381,27,FALSE),0)</f>
        <v>0</v>
      </c>
      <c r="O29" s="376">
        <f>IFERROR(VLOOKUP(C29,'تقرير المصروفات حسب الشهر'!$C$1397:$AD$1512,27,FALSE),0)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الشهر'!$C$10:$AD$119,27,FALSE),0)</f>
        <v>0</v>
      </c>
      <c r="E30" s="362">
        <f>IFERROR(VLOOKUP(C30,'تقرير المصروفات حسب الشهر'!$C$135:$AD$244,27,FALSE),0)</f>
        <v>0</v>
      </c>
      <c r="F30" s="362">
        <f>IFERROR(VLOOKUP(C30,'تقرير المصروفات حسب الشهر'!$C$261:$AD$368,27,FALSE),0)</f>
        <v>0</v>
      </c>
      <c r="G30" s="362">
        <f>IFERROR(VLOOKUP(C30,'تقرير المصروفات حسب الشهر'!$C$387:$AD$495,27,FALSE),0)</f>
        <v>0</v>
      </c>
      <c r="H30" s="362">
        <f>IFERROR(VLOOKUP(C30,'تقرير المصروفات حسب الشهر'!$C$512:$AD$620,27,FALSE),0)</f>
        <v>0</v>
      </c>
      <c r="I30" s="362">
        <f>IFERROR(VLOOKUP(C30,'تقرير المصروفات حسب الشهر'!$C$637:$AD$746,27,FALSE),0)</f>
        <v>0</v>
      </c>
      <c r="J30" s="362">
        <f>IFERROR(VLOOKUP(C30,'تقرير المصروفات حسب الشهر'!$C$763:$AD$872,27,FALSE),0)</f>
        <v>0</v>
      </c>
      <c r="K30" s="362">
        <f>IFERROR(VLOOKUP(C30,'تقرير المصروفات حسب الشهر'!$C$890:$AD$999,27,FALSE),0)</f>
        <v>0</v>
      </c>
      <c r="L30" s="362">
        <f>IFERROR(VLOOKUP(C30,'تقرير المصروفات حسب الشهر'!$C$1016:$AD$1126,27,FALSE),0)</f>
        <v>0</v>
      </c>
      <c r="M30" s="376">
        <f>IFERROR(VLOOKUP(C30,'تقرير المصروفات حسب الشهر'!$C$1143:$AD$1254,27,FALSE),0)</f>
        <v>0</v>
      </c>
      <c r="N30" s="376">
        <f>IFERROR(VLOOKUP(C30,'تقرير المصروفات حسب الشهر'!$C$1270:$AD$1381,27,FALSE),0)</f>
        <v>0</v>
      </c>
      <c r="O30" s="376">
        <f>IFERROR(VLOOKUP(C30,'تقرير المصروفات حسب الشهر'!$C$1397:$AD$1512,27,FALSE),0)</f>
        <v>370</v>
      </c>
      <c r="P30" s="364">
        <f t="shared" si="5"/>
        <v>370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الشهر'!$C$10:$AD$119,27,FALSE),0)</f>
        <v>62.18</v>
      </c>
      <c r="E31" s="362">
        <f>IFERROR(VLOOKUP(C31,'تقرير المصروفات حسب الشهر'!$C$135:$AD$244,27,FALSE),0)</f>
        <v>62.18</v>
      </c>
      <c r="F31" s="362">
        <f>IFERROR(VLOOKUP(C31,'تقرير المصروفات حسب الشهر'!$C$261:$AD$368,27,FALSE),0)</f>
        <v>62.18</v>
      </c>
      <c r="G31" s="362">
        <f>IFERROR(VLOOKUP(C31,'تقرير المصروفات حسب الشهر'!$C$387:$AD$495,27,FALSE),0)</f>
        <v>62.18</v>
      </c>
      <c r="H31" s="362">
        <f>IFERROR(VLOOKUP(C31,'تقرير المصروفات حسب الشهر'!$C$512:$AD$620,27,FALSE),0)</f>
        <v>62.18</v>
      </c>
      <c r="I31" s="362">
        <f>IFERROR(VLOOKUP(C31,'تقرير المصروفات حسب الشهر'!$C$637:$AD$746,27,FALSE),0)</f>
        <v>62.18</v>
      </c>
      <c r="J31" s="362">
        <f>IFERROR(VLOOKUP(C31,'تقرير المصروفات حسب الشهر'!$C$763:$AD$872,27,FALSE),0)</f>
        <v>62.18</v>
      </c>
      <c r="K31" s="362">
        <f>IFERROR(VLOOKUP(C31,'تقرير المصروفات حسب الشهر'!$C$890:$AD$999,27,FALSE),0)</f>
        <v>62.18</v>
      </c>
      <c r="L31" s="362">
        <f>IFERROR(VLOOKUP(C31,'تقرير المصروفات حسب الشهر'!$C$1016:$AD$1126,27,FALSE),0)</f>
        <v>62.18</v>
      </c>
      <c r="M31" s="376">
        <f>IFERROR(VLOOKUP(C31,'تقرير المصروفات حسب الشهر'!$C$1143:$AD$1254,27,FALSE),0)</f>
        <v>62.18</v>
      </c>
      <c r="N31" s="376">
        <f>IFERROR(VLOOKUP(C31,'تقرير المصروفات حسب الشهر'!$C$1270:$AD$1381,27,FALSE),0)</f>
        <v>62.18</v>
      </c>
      <c r="O31" s="376">
        <f>IFERROR(VLOOKUP(C31,'تقرير المصروفات حسب الشهر'!$C$1397:$AD$1512,27,FALSE),0)</f>
        <v>62.18</v>
      </c>
      <c r="P31" s="364">
        <f t="shared" si="5"/>
        <v>746.15999999999985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الشهر'!$C$10:$AD$119,27,FALSE),0)</f>
        <v>0</v>
      </c>
      <c r="E32" s="362">
        <f>IFERROR(VLOOKUP(C32,'تقرير المصروفات حسب الشهر'!$C$135:$AD$244,27,FALSE),0)</f>
        <v>0</v>
      </c>
      <c r="F32" s="362">
        <f>IFERROR(VLOOKUP(C32,'تقرير المصروفات حسب الشهر'!$C$261:$AD$368,27,FALSE),0)</f>
        <v>0</v>
      </c>
      <c r="G32" s="362">
        <f>IFERROR(VLOOKUP(C32,'تقرير المصروفات حسب الشهر'!$C$387:$AD$495,27,FALSE),0)</f>
        <v>0</v>
      </c>
      <c r="H32" s="362">
        <f>IFERROR(VLOOKUP(C32,'تقرير المصروفات حسب الشهر'!$C$512:$AD$620,27,FALSE),0)</f>
        <v>0</v>
      </c>
      <c r="I32" s="362">
        <f>IFERROR(VLOOKUP(C32,'تقرير المصروفات حسب الشهر'!$C$637:$AD$746,27,FALSE),0)</f>
        <v>0</v>
      </c>
      <c r="J32" s="362">
        <f>IFERROR(VLOOKUP(C32,'تقرير المصروفات حسب الشهر'!$C$763:$AD$872,27,FALSE),0)</f>
        <v>0</v>
      </c>
      <c r="K32" s="362">
        <f>IFERROR(VLOOKUP(C32,'تقرير المصروفات حسب الشهر'!$C$890:$AD$999,27,FALSE),0)</f>
        <v>0</v>
      </c>
      <c r="L32" s="362">
        <f>IFERROR(VLOOKUP(C32,'تقرير المصروفات حسب الشهر'!$C$1016:$AD$1126,27,FALSE),0)</f>
        <v>0</v>
      </c>
      <c r="M32" s="376">
        <f>IFERROR(VLOOKUP(C32,'تقرير المصروفات حسب الشهر'!$C$1143:$AD$1254,27,FALSE),0)</f>
        <v>0</v>
      </c>
      <c r="N32" s="376">
        <f>IFERROR(VLOOKUP(C32,'تقرير المصروفات حسب الشهر'!$C$1270:$AD$1381,27,FALSE),0)</f>
        <v>0</v>
      </c>
      <c r="O32" s="376">
        <f>IFERROR(VLOOKUP(C32,'تقرير المصروفات حسب الشهر'!$C$1397:$AD$1512,27,FALSE),0)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الشهر'!$C$10:$AD$119,27,FALSE),0)</f>
        <v>0</v>
      </c>
      <c r="E33" s="362">
        <f>IFERROR(VLOOKUP(C33,'تقرير المصروفات حسب الشهر'!$C$135:$AD$244,27,FALSE),0)</f>
        <v>0</v>
      </c>
      <c r="F33" s="362">
        <f>IFERROR(VLOOKUP(C33,'تقرير المصروفات حسب الشهر'!$C$261:$AD$368,27,FALSE),0)</f>
        <v>0</v>
      </c>
      <c r="G33" s="362">
        <f>IFERROR(VLOOKUP(C33,'تقرير المصروفات حسب الشهر'!$C$387:$AD$495,27,FALSE),0)</f>
        <v>0</v>
      </c>
      <c r="H33" s="362">
        <f>IFERROR(VLOOKUP(C33,'تقرير المصروفات حسب الشهر'!$C$512:$AD$620,27,FALSE),0)</f>
        <v>0</v>
      </c>
      <c r="I33" s="362">
        <f>IFERROR(VLOOKUP(C33,'تقرير المصروفات حسب الشهر'!$C$637:$AD$746,27,FALSE),0)</f>
        <v>0</v>
      </c>
      <c r="J33" s="362">
        <f>IFERROR(VLOOKUP(C33,'تقرير المصروفات حسب الشهر'!$C$763:$AD$872,27,FALSE),0)</f>
        <v>0</v>
      </c>
      <c r="K33" s="362">
        <f>IFERROR(VLOOKUP(C33,'تقرير المصروفات حسب الشهر'!$C$890:$AD$999,27,FALSE),0)</f>
        <v>0</v>
      </c>
      <c r="L33" s="362">
        <f>IFERROR(VLOOKUP(C33,'تقرير المصروفات حسب الشهر'!$C$1016:$AD$1126,27,FALSE),0)</f>
        <v>0</v>
      </c>
      <c r="M33" s="376">
        <f>IFERROR(VLOOKUP(C33,'تقرير المصروفات حسب الشهر'!$C$1143:$AD$1254,27,FALSE),0)</f>
        <v>0</v>
      </c>
      <c r="N33" s="376">
        <f>IFERROR(VLOOKUP(C33,'تقرير المصروفات حسب الشهر'!$C$1270:$AD$1381,27,FALSE),0)</f>
        <v>0</v>
      </c>
      <c r="O33" s="376">
        <f>IFERROR(VLOOKUP(C33,'تقرير المصروفات حسب الشهر'!$C$1397:$AD$1512,27,FALSE),0)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الشهر'!$C$10:$AD$119,27,FALSE),0)</f>
        <v>0</v>
      </c>
      <c r="E34" s="362">
        <f>IFERROR(VLOOKUP(C34,'تقرير المصروفات حسب الشهر'!$C$135:$AD$244,27,FALSE),0)</f>
        <v>0</v>
      </c>
      <c r="F34" s="362">
        <f>IFERROR(VLOOKUP(C34,'تقرير المصروفات حسب الشهر'!$C$261:$AD$368,27,FALSE),0)</f>
        <v>0</v>
      </c>
      <c r="G34" s="362">
        <f>IFERROR(VLOOKUP(C34,'تقرير المصروفات حسب الشهر'!$C$387:$AD$495,27,FALSE),0)</f>
        <v>0</v>
      </c>
      <c r="H34" s="362">
        <f>IFERROR(VLOOKUP(C34,'تقرير المصروفات حسب الشهر'!$C$512:$AD$620,27,FALSE),0)</f>
        <v>0</v>
      </c>
      <c r="I34" s="362">
        <f>IFERROR(VLOOKUP(C34,'تقرير المصروفات حسب الشهر'!$C$637:$AD$746,27,FALSE),0)</f>
        <v>0</v>
      </c>
      <c r="J34" s="362">
        <f>IFERROR(VLOOKUP(C34,'تقرير المصروفات حسب الشهر'!$C$763:$AD$872,27,FALSE),0)</f>
        <v>0</v>
      </c>
      <c r="K34" s="362">
        <f>IFERROR(VLOOKUP(C34,'تقرير المصروفات حسب الشهر'!$C$890:$AD$999,27,FALSE),0)</f>
        <v>0</v>
      </c>
      <c r="L34" s="362">
        <f>IFERROR(VLOOKUP(C34,'تقرير المصروفات حسب الشهر'!$C$1016:$AD$1126,27,FALSE),0)</f>
        <v>0</v>
      </c>
      <c r="M34" s="376">
        <f>IFERROR(VLOOKUP(C34,'تقرير المصروفات حسب الشهر'!$C$1143:$AD$1254,27,FALSE),0)</f>
        <v>0</v>
      </c>
      <c r="N34" s="376">
        <f>IFERROR(VLOOKUP(C34,'تقرير المصروفات حسب الشهر'!$C$1270:$AD$1381,27,FALSE),0)</f>
        <v>0</v>
      </c>
      <c r="O34" s="376">
        <f>IFERROR(VLOOKUP(C34,'تقرير المصروفات حسب الشهر'!$C$1397:$AD$1512,27,FALSE),0)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الشهر'!$C$10:$AD$119,27,FALSE),0)</f>
        <v>0</v>
      </c>
      <c r="E35" s="362">
        <f>IFERROR(VLOOKUP(C35,'تقرير المصروفات حسب الشهر'!$C$135:$AD$244,27,FALSE),0)</f>
        <v>0</v>
      </c>
      <c r="F35" s="362">
        <f>IFERROR(VLOOKUP(C35,'تقرير المصروفات حسب الشهر'!$C$261:$AD$368,27,FALSE),0)</f>
        <v>0</v>
      </c>
      <c r="G35" s="362">
        <f>IFERROR(VLOOKUP(C35,'تقرير المصروفات حسب الشهر'!$C$387:$AD$495,27,FALSE),0)</f>
        <v>0</v>
      </c>
      <c r="H35" s="362">
        <f>IFERROR(VLOOKUP(C35,'تقرير المصروفات حسب الشهر'!$C$512:$AD$620,27,FALSE),0)</f>
        <v>0</v>
      </c>
      <c r="I35" s="362">
        <f>IFERROR(VLOOKUP(C35,'تقرير المصروفات حسب الشهر'!$C$637:$AD$746,27,FALSE),0)</f>
        <v>0</v>
      </c>
      <c r="J35" s="362">
        <f>IFERROR(VLOOKUP(C35,'تقرير المصروفات حسب الشهر'!$C$763:$AD$872,27,FALSE),0)</f>
        <v>0</v>
      </c>
      <c r="K35" s="362">
        <f>IFERROR(VLOOKUP(C35,'تقرير المصروفات حسب الشهر'!$C$890:$AD$999,27,FALSE),0)</f>
        <v>0</v>
      </c>
      <c r="L35" s="362">
        <f>IFERROR(VLOOKUP(C35,'تقرير المصروفات حسب الشهر'!$C$1016:$AD$1126,27,FALSE),0)</f>
        <v>0</v>
      </c>
      <c r="M35" s="376">
        <f>IFERROR(VLOOKUP(C35,'تقرير المصروفات حسب الشهر'!$C$1143:$AD$1254,27,FALSE),0)</f>
        <v>0</v>
      </c>
      <c r="N35" s="376">
        <f>IFERROR(VLOOKUP(C35,'تقرير المصروفات حسب الشهر'!$C$1270:$AD$1381,27,FALSE),0)</f>
        <v>0</v>
      </c>
      <c r="O35" s="376">
        <f>IFERROR(VLOOKUP(C35,'تقرير المصروفات حسب الشهر'!$C$1397:$AD$1512,27,FALSE),0)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الشهر'!$C$10:$AD$119,27,FALSE),0)</f>
        <v>0</v>
      </c>
      <c r="E36" s="362">
        <f>IFERROR(VLOOKUP(C36,'تقرير المصروفات حسب الشهر'!$C$135:$AD$244,27,FALSE),0)</f>
        <v>0</v>
      </c>
      <c r="F36" s="362">
        <f>IFERROR(VLOOKUP(C36,'تقرير المصروفات حسب الشهر'!$C$261:$AD$368,27,FALSE),0)</f>
        <v>0</v>
      </c>
      <c r="G36" s="362">
        <f>IFERROR(VLOOKUP(C36,'تقرير المصروفات حسب الشهر'!$C$387:$AD$495,27,FALSE),0)</f>
        <v>750</v>
      </c>
      <c r="H36" s="362">
        <f>IFERROR(VLOOKUP(C36,'تقرير المصروفات حسب الشهر'!$C$512:$AD$620,27,FALSE),0)</f>
        <v>0</v>
      </c>
      <c r="I36" s="362">
        <f>IFERROR(VLOOKUP(C36,'تقرير المصروفات حسب الشهر'!$C$637:$AD$746,27,FALSE),0)</f>
        <v>0</v>
      </c>
      <c r="J36" s="362">
        <f>IFERROR(VLOOKUP(C36,'تقرير المصروفات حسب الشهر'!$C$763:$AD$872,27,FALSE),0)</f>
        <v>0</v>
      </c>
      <c r="K36" s="362">
        <f>IFERROR(VLOOKUP(C36,'تقرير المصروفات حسب الشهر'!$C$890:$AD$999,27,FALSE),0)</f>
        <v>770</v>
      </c>
      <c r="L36" s="362">
        <f>IFERROR(VLOOKUP(C36,'تقرير المصروفات حسب الشهر'!$C$1016:$AD$1126,27,FALSE),0)</f>
        <v>0</v>
      </c>
      <c r="M36" s="376">
        <f>IFERROR(VLOOKUP(C36,'تقرير المصروفات حسب الشهر'!$C$1143:$AD$1254,27,FALSE),0)</f>
        <v>0</v>
      </c>
      <c r="N36" s="376">
        <f>IFERROR(VLOOKUP(C36,'تقرير المصروفات حسب الشهر'!$C$1270:$AD$1381,27,FALSE),0)</f>
        <v>0</v>
      </c>
      <c r="O36" s="376">
        <f>IFERROR(VLOOKUP(C36,'تقرير المصروفات حسب الشهر'!$C$1397:$AD$1512,27,FALSE),0)</f>
        <v>770</v>
      </c>
      <c r="P36" s="364">
        <f t="shared" si="5"/>
        <v>2290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الشهر'!$C$10:$AD$119,27,FALSE),0)</f>
        <v>0</v>
      </c>
      <c r="E37" s="362">
        <f>IFERROR(VLOOKUP(C37,'تقرير المصروفات حسب الشهر'!$C$135:$AD$244,27,FALSE),0)</f>
        <v>0</v>
      </c>
      <c r="F37" s="362">
        <f>IFERROR(VLOOKUP(C37,'تقرير المصروفات حسب الشهر'!$C$261:$AD$368,27,FALSE),0)</f>
        <v>0</v>
      </c>
      <c r="G37" s="362">
        <f>IFERROR(VLOOKUP(C37,'تقرير المصروفات حسب الشهر'!$C$387:$AD$495,27,FALSE),0)</f>
        <v>0</v>
      </c>
      <c r="H37" s="362">
        <f>IFERROR(VLOOKUP(C37,'تقرير المصروفات حسب الشهر'!$C$512:$AD$620,27,FALSE),0)</f>
        <v>0</v>
      </c>
      <c r="I37" s="362">
        <f>IFERROR(VLOOKUP(C37,'تقرير المصروفات حسب الشهر'!$C$637:$AD$746,27,FALSE),0)</f>
        <v>0</v>
      </c>
      <c r="J37" s="362">
        <f>IFERROR(VLOOKUP(C37,'تقرير المصروفات حسب الشهر'!$C$763:$AD$872,27,FALSE),0)</f>
        <v>0</v>
      </c>
      <c r="K37" s="362">
        <f>IFERROR(VLOOKUP(C37,'تقرير المصروفات حسب الشهر'!$C$890:$AD$999,27,FALSE),0)</f>
        <v>2250</v>
      </c>
      <c r="L37" s="362">
        <f>IFERROR(VLOOKUP(C37,'تقرير المصروفات حسب الشهر'!$C$1016:$AD$1126,27,FALSE),0)</f>
        <v>0</v>
      </c>
      <c r="M37" s="376">
        <f>IFERROR(VLOOKUP(C37,'تقرير المصروفات حسب الشهر'!$C$1143:$AD$1254,27,FALSE),0)</f>
        <v>2250</v>
      </c>
      <c r="N37" s="376">
        <f>IFERROR(VLOOKUP(C37,'تقرير المصروفات حسب الشهر'!$C$1270:$AD$1381,27,FALSE),0)</f>
        <v>0</v>
      </c>
      <c r="O37" s="376">
        <f>IFERROR(VLOOKUP(C37,'تقرير المصروفات حسب الشهر'!$C$1397:$AD$1512,27,FALSE),0)</f>
        <v>0</v>
      </c>
      <c r="P37" s="364">
        <f t="shared" si="5"/>
        <v>4500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الشهر'!$C$10:$AD$119,27,FALSE),0)</f>
        <v>0</v>
      </c>
      <c r="E38" s="362">
        <f>IFERROR(VLOOKUP(C38,'تقرير المصروفات حسب الشهر'!$C$135:$AD$244,27,FALSE),0)</f>
        <v>0</v>
      </c>
      <c r="F38" s="362">
        <f>IFERROR(VLOOKUP(C38,'تقرير المصروفات حسب الشهر'!$C$261:$AD$368,27,FALSE),0)</f>
        <v>0</v>
      </c>
      <c r="G38" s="362">
        <f>IFERROR(VLOOKUP(C38,'تقرير المصروفات حسب الشهر'!$C$387:$AD$495,27,FALSE),0)</f>
        <v>0</v>
      </c>
      <c r="H38" s="362">
        <f>IFERROR(VLOOKUP(C38,'تقرير المصروفات حسب الشهر'!$C$512:$AD$620,27,FALSE),0)</f>
        <v>0</v>
      </c>
      <c r="I38" s="362">
        <f>IFERROR(VLOOKUP(C38,'تقرير المصروفات حسب الشهر'!$C$637:$AD$746,27,FALSE),0)</f>
        <v>0</v>
      </c>
      <c r="J38" s="362">
        <f>IFERROR(VLOOKUP(C38,'تقرير المصروفات حسب الشهر'!$C$763:$AD$872,27,FALSE),0)</f>
        <v>0</v>
      </c>
      <c r="K38" s="362">
        <f>IFERROR(VLOOKUP(C38,'تقرير المصروفات حسب الشهر'!$C$890:$AD$999,27,FALSE),0)</f>
        <v>0</v>
      </c>
      <c r="L38" s="362">
        <f>IFERROR(VLOOKUP(C38,'تقرير المصروفات حسب الشهر'!$C$1016:$AD$1126,27,FALSE),0)</f>
        <v>0</v>
      </c>
      <c r="M38" s="376">
        <f>IFERROR(VLOOKUP(C38,'تقرير المصروفات حسب الشهر'!$C$1143:$AD$1254,27,FALSE),0)</f>
        <v>0</v>
      </c>
      <c r="N38" s="376">
        <f>IFERROR(VLOOKUP(C38,'تقرير المصروفات حسب الشهر'!$C$1270:$AD$1381,27,FALSE),0)</f>
        <v>0</v>
      </c>
      <c r="O38" s="376">
        <f>IFERROR(VLOOKUP(C38,'تقرير المصروفات حسب الشهر'!$C$1397:$AD$1512,27,FALSE),0)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الشهر'!$C$10:$AD$119,27,FALSE),0)</f>
        <v>0</v>
      </c>
      <c r="E39" s="362">
        <f>IFERROR(VLOOKUP(C39,'تقرير المصروفات حسب الشهر'!$C$135:$AD$244,27,FALSE),0)</f>
        <v>833</v>
      </c>
      <c r="F39" s="362">
        <f>IFERROR(VLOOKUP(C39,'تقرير المصروفات حسب الشهر'!$C$261:$AD$368,27,FALSE),0)</f>
        <v>648</v>
      </c>
      <c r="G39" s="362">
        <f>IFERROR(VLOOKUP(C39,'تقرير المصروفات حسب الشهر'!$C$387:$AD$495,27,FALSE),0)</f>
        <v>793</v>
      </c>
      <c r="H39" s="362">
        <f>IFERROR(VLOOKUP(C39,'تقرير المصروفات حسب الشهر'!$C$512:$AD$620,27,FALSE),0)</f>
        <v>0</v>
      </c>
      <c r="I39" s="362">
        <f>IFERROR(VLOOKUP(C39,'تقرير المصروفات حسب الشهر'!$C$637:$AD$746,27,FALSE),0)</f>
        <v>0</v>
      </c>
      <c r="J39" s="362">
        <f>IFERROR(VLOOKUP(C39,'تقرير المصروفات حسب الشهر'!$C$763:$AD$872,27,FALSE),0)</f>
        <v>0</v>
      </c>
      <c r="K39" s="362">
        <f>IFERROR(VLOOKUP(C39,'تقرير المصروفات حسب الشهر'!$C$890:$AD$999,27,FALSE),0)</f>
        <v>0</v>
      </c>
      <c r="L39" s="362">
        <f>IFERROR(VLOOKUP(C39,'تقرير المصروفات حسب الشهر'!$C$1016:$AD$1126,27,FALSE),0)</f>
        <v>0</v>
      </c>
      <c r="M39" s="376">
        <f>IFERROR(VLOOKUP(C39,'تقرير المصروفات حسب الشهر'!$C$1143:$AD$1254,27,FALSE),0)</f>
        <v>25000</v>
      </c>
      <c r="N39" s="376">
        <f>IFERROR(VLOOKUP(C39,'تقرير المصروفات حسب الشهر'!$C$1270:$AD$1381,27,FALSE),0)</f>
        <v>506</v>
      </c>
      <c r="O39" s="376">
        <f>IFERROR(VLOOKUP(C39,'تقرير المصروفات حسب الشهر'!$C$1397:$AD$1512,27,FALSE),0)</f>
        <v>0</v>
      </c>
      <c r="P39" s="364">
        <f t="shared" si="5"/>
        <v>27780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الشهر'!$C$10:$AD$119,27,FALSE),0)</f>
        <v>0</v>
      </c>
      <c r="E40" s="362">
        <f>IFERROR(VLOOKUP(C40,'تقرير المصروفات حسب الشهر'!$C$135:$AD$244,27,FALSE),0)</f>
        <v>0</v>
      </c>
      <c r="F40" s="362">
        <f>IFERROR(VLOOKUP(C40,'تقرير المصروفات حسب الشهر'!$C$261:$AD$368,27,FALSE),0)</f>
        <v>0</v>
      </c>
      <c r="G40" s="362">
        <f>IFERROR(VLOOKUP(C40,'تقرير المصروفات حسب الشهر'!$C$387:$AD$495,27,FALSE),0)</f>
        <v>0</v>
      </c>
      <c r="H40" s="362">
        <f>IFERROR(VLOOKUP(C40,'تقرير المصروفات حسب الشهر'!$C$512:$AD$620,27,FALSE),0)</f>
        <v>0</v>
      </c>
      <c r="I40" s="362">
        <f>IFERROR(VLOOKUP(C40,'تقرير المصروفات حسب الشهر'!$C$637:$AD$746,27,FALSE),0)</f>
        <v>0</v>
      </c>
      <c r="J40" s="362">
        <f>IFERROR(VLOOKUP(C40,'تقرير المصروفات حسب الشهر'!$C$763:$AD$872,27,FALSE),0)</f>
        <v>0</v>
      </c>
      <c r="K40" s="362">
        <f>IFERROR(VLOOKUP(C40,'تقرير المصروفات حسب الشهر'!$C$890:$AD$999,27,FALSE),0)</f>
        <v>0</v>
      </c>
      <c r="L40" s="362">
        <f>IFERROR(VLOOKUP(C40,'تقرير المصروفات حسب الشهر'!$C$1016:$AD$1126,27,FALSE),0)</f>
        <v>0</v>
      </c>
      <c r="M40" s="376">
        <f>IFERROR(VLOOKUP(C40,'تقرير المصروفات حسب الشهر'!$C$1143:$AD$1254,27,FALSE),0)</f>
        <v>0</v>
      </c>
      <c r="N40" s="376">
        <f>IFERROR(VLOOKUP(C40,'تقرير المصروفات حسب الشهر'!$C$1270:$AD$1381,27,FALSE),0)</f>
        <v>0</v>
      </c>
      <c r="O40" s="376">
        <f>IFERROR(VLOOKUP(C40,'تقرير المصروفات حسب الشهر'!$C$1397:$AD$1512,27,FALSE),0)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الشهر'!$C$10:$AD$119,27,FALSE),0)</f>
        <v>0</v>
      </c>
      <c r="E41" s="362">
        <f>IFERROR(VLOOKUP(C41,'تقرير المصروفات حسب الشهر'!$C$135:$AD$244,27,FALSE),0)</f>
        <v>0</v>
      </c>
      <c r="F41" s="362">
        <f>IFERROR(VLOOKUP(C41,'تقرير المصروفات حسب الشهر'!$C$261:$AD$368,27,FALSE),0)</f>
        <v>0</v>
      </c>
      <c r="G41" s="362">
        <f>IFERROR(VLOOKUP(C41,'تقرير المصروفات حسب الشهر'!$C$387:$AD$495,27,FALSE),0)</f>
        <v>0</v>
      </c>
      <c r="H41" s="362">
        <f>IFERROR(VLOOKUP(C41,'تقرير المصروفات حسب الشهر'!$C$512:$AD$620,27,FALSE),0)</f>
        <v>0</v>
      </c>
      <c r="I41" s="362">
        <f>IFERROR(VLOOKUP(C41,'تقرير المصروفات حسب الشهر'!$C$637:$AD$746,27,FALSE),0)</f>
        <v>0</v>
      </c>
      <c r="J41" s="362">
        <f>IFERROR(VLOOKUP(C41,'تقرير المصروفات حسب الشهر'!$C$763:$AD$872,27,FALSE),0)</f>
        <v>0</v>
      </c>
      <c r="K41" s="362">
        <f>IFERROR(VLOOKUP(C41,'تقرير المصروفات حسب الشهر'!$C$890:$AD$999,27,FALSE),0)</f>
        <v>0</v>
      </c>
      <c r="L41" s="362">
        <f>IFERROR(VLOOKUP(C41,'تقرير المصروفات حسب الشهر'!$C$1016:$AD$1126,27,FALSE),0)</f>
        <v>0</v>
      </c>
      <c r="M41" s="376">
        <f>IFERROR(VLOOKUP(C41,'تقرير المصروفات حسب الشهر'!$C$1143:$AD$1254,27,FALSE),0)</f>
        <v>0</v>
      </c>
      <c r="N41" s="376">
        <f>IFERROR(VLOOKUP(C41,'تقرير المصروفات حسب الشهر'!$C$1270:$AD$1381,27,FALSE),0)</f>
        <v>0</v>
      </c>
      <c r="O41" s="376">
        <f>IFERROR(VLOOKUP(C41,'تقرير المصروفات حسب الشهر'!$C$1397:$AD$1512,27,FALSE),0)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الشهر'!$C$10:$AD$119,27,FALSE),0)</f>
        <v>0</v>
      </c>
      <c r="E42" s="362">
        <f>IFERROR(VLOOKUP(C42,'تقرير المصروفات حسب الشهر'!$C$135:$AD$244,27,FALSE),0)</f>
        <v>0</v>
      </c>
      <c r="F42" s="362">
        <f>IFERROR(VLOOKUP(C42,'تقرير المصروفات حسب الشهر'!$C$261:$AD$368,27,FALSE),0)</f>
        <v>0</v>
      </c>
      <c r="G42" s="362">
        <f>IFERROR(VLOOKUP(C42,'تقرير المصروفات حسب الشهر'!$C$387:$AD$495,27,FALSE),0)</f>
        <v>0</v>
      </c>
      <c r="H42" s="362">
        <f>IFERROR(VLOOKUP(C42,'تقرير المصروفات حسب الشهر'!$C$512:$AD$620,27,FALSE),0)</f>
        <v>0</v>
      </c>
      <c r="I42" s="362">
        <f>IFERROR(VLOOKUP(C42,'تقرير المصروفات حسب الشهر'!$C$637:$AD$746,27,FALSE),0)</f>
        <v>0</v>
      </c>
      <c r="J42" s="362">
        <f>IFERROR(VLOOKUP(C42,'تقرير المصروفات حسب الشهر'!$C$763:$AD$872,27,FALSE),0)</f>
        <v>0</v>
      </c>
      <c r="K42" s="362">
        <f>IFERROR(VLOOKUP(C42,'تقرير المصروفات حسب الشهر'!$C$890:$AD$999,27,FALSE),0)</f>
        <v>0</v>
      </c>
      <c r="L42" s="362">
        <f>IFERROR(VLOOKUP(C42,'تقرير المصروفات حسب الشهر'!$C$1016:$AD$1126,27,FALSE),0)</f>
        <v>0</v>
      </c>
      <c r="M42" s="376">
        <f>IFERROR(VLOOKUP(C42,'تقرير المصروفات حسب الشهر'!$C$1143:$AD$1254,27,FALSE),0)</f>
        <v>0</v>
      </c>
      <c r="N42" s="376">
        <f>IFERROR(VLOOKUP(C42,'تقرير المصروفات حسب الشهر'!$C$1270:$AD$1381,27,FALSE),0)</f>
        <v>0</v>
      </c>
      <c r="O42" s="376">
        <f>IFERROR(VLOOKUP(C42,'تقرير المصروفات حسب الشهر'!$C$1397:$AD$1512,27,FALSE),0)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الشهر'!$C$10:$AD$119,27,FALSE),0)</f>
        <v>0</v>
      </c>
      <c r="E43" s="362">
        <f>IFERROR(VLOOKUP(C43,'تقرير المصروفات حسب الشهر'!$C$135:$AD$244,27,FALSE),0)</f>
        <v>0</v>
      </c>
      <c r="F43" s="362">
        <f>IFERROR(VLOOKUP(C43,'تقرير المصروفات حسب الشهر'!$C$261:$AD$368,27,FALSE),0)</f>
        <v>0</v>
      </c>
      <c r="G43" s="362">
        <f>IFERROR(VLOOKUP(C43,'تقرير المصروفات حسب الشهر'!$C$387:$AD$495,27,FALSE),0)</f>
        <v>0</v>
      </c>
      <c r="H43" s="362">
        <f>IFERROR(VLOOKUP(C43,'تقرير المصروفات حسب الشهر'!$C$512:$AD$620,27,FALSE),0)</f>
        <v>0</v>
      </c>
      <c r="I43" s="362">
        <f>IFERROR(VLOOKUP(C43,'تقرير المصروفات حسب الشهر'!$C$637:$AD$746,27,FALSE),0)</f>
        <v>0</v>
      </c>
      <c r="J43" s="362">
        <f>IFERROR(VLOOKUP(C43,'تقرير المصروفات حسب الشهر'!$C$763:$AD$872,27,FALSE),0)</f>
        <v>0</v>
      </c>
      <c r="K43" s="362">
        <f>IFERROR(VLOOKUP(C43,'تقرير المصروفات حسب الشهر'!$C$890:$AD$999,27,FALSE),0)</f>
        <v>0</v>
      </c>
      <c r="L43" s="362">
        <f>IFERROR(VLOOKUP(C43,'تقرير المصروفات حسب الشهر'!$C$1016:$AD$1126,27,FALSE),0)</f>
        <v>0</v>
      </c>
      <c r="M43" s="376">
        <f>IFERROR(VLOOKUP(C43,'تقرير المصروفات حسب الشهر'!$C$1143:$AD$1254,27,FALSE),0)</f>
        <v>0</v>
      </c>
      <c r="N43" s="376">
        <f>IFERROR(VLOOKUP(C43,'تقرير المصروفات حسب الشهر'!$C$1270:$AD$1381,27,FALSE),0)</f>
        <v>0</v>
      </c>
      <c r="O43" s="376">
        <f>IFERROR(VLOOKUP(C43,'تقرير المصروفات حسب الشهر'!$C$1397:$AD$1512,27,FALSE),0)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الشهر'!$C$10:$AD$119,27,FALSE),0)</f>
        <v>0</v>
      </c>
      <c r="E44" s="362">
        <f>IFERROR(VLOOKUP(C44,'تقرير المصروفات حسب الشهر'!$C$135:$AD$244,27,FALSE),0)</f>
        <v>0</v>
      </c>
      <c r="F44" s="362">
        <f>IFERROR(VLOOKUP(C44,'تقرير المصروفات حسب الشهر'!$C$261:$AD$368,27,FALSE),0)</f>
        <v>0</v>
      </c>
      <c r="G44" s="362">
        <f>IFERROR(VLOOKUP(C44,'تقرير المصروفات حسب الشهر'!$C$387:$AD$495,27,FALSE),0)</f>
        <v>0</v>
      </c>
      <c r="H44" s="362">
        <f>IFERROR(VLOOKUP(C44,'تقرير المصروفات حسب الشهر'!$C$512:$AD$620,27,FALSE),0)</f>
        <v>0</v>
      </c>
      <c r="I44" s="362">
        <f>IFERROR(VLOOKUP(C44,'تقرير المصروفات حسب الشهر'!$C$637:$AD$746,27,FALSE),0)</f>
        <v>0</v>
      </c>
      <c r="J44" s="362">
        <f>IFERROR(VLOOKUP(C44,'تقرير المصروفات حسب الشهر'!$C$763:$AD$872,27,FALSE),0)</f>
        <v>0</v>
      </c>
      <c r="K44" s="362">
        <f>IFERROR(VLOOKUP(C44,'تقرير المصروفات حسب الشهر'!$C$890:$AD$999,27,FALSE),0)</f>
        <v>0</v>
      </c>
      <c r="L44" s="362">
        <f>IFERROR(VLOOKUP(C44,'تقرير المصروفات حسب الشهر'!$C$1016:$AD$1126,27,FALSE),0)</f>
        <v>0</v>
      </c>
      <c r="M44" s="376">
        <f>IFERROR(VLOOKUP(C44,'تقرير المصروفات حسب الشهر'!$C$1143:$AD$1254,27,FALSE),0)</f>
        <v>0</v>
      </c>
      <c r="N44" s="376">
        <f>IFERROR(VLOOKUP(C44,'تقرير المصروفات حسب الشهر'!$C$1270:$AD$1381,27,FALSE),0)</f>
        <v>0</v>
      </c>
      <c r="O44" s="376">
        <f>IFERROR(VLOOKUP(C44,'تقرير المصروفات حسب الشهر'!$C$1397:$AD$1512,27,FALSE),0)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الشهر'!$C$10:$AD$119,27,FALSE),0)</f>
        <v>0</v>
      </c>
      <c r="E45" s="362">
        <f>IFERROR(VLOOKUP(C45,'تقرير المصروفات حسب الشهر'!$C$135:$AD$244,27,FALSE),0)</f>
        <v>0</v>
      </c>
      <c r="F45" s="362">
        <f>IFERROR(VLOOKUP(C45,'تقرير المصروفات حسب الشهر'!$C$261:$AD$368,27,FALSE),0)</f>
        <v>0</v>
      </c>
      <c r="G45" s="362">
        <f>IFERROR(VLOOKUP(C45,'تقرير المصروفات حسب الشهر'!$C$387:$AD$495,27,FALSE),0)</f>
        <v>0</v>
      </c>
      <c r="H45" s="362">
        <f>IFERROR(VLOOKUP(C45,'تقرير المصروفات حسب الشهر'!$C$512:$AD$620,27,FALSE),0)</f>
        <v>0</v>
      </c>
      <c r="I45" s="362">
        <f>IFERROR(VLOOKUP(C45,'تقرير المصروفات حسب الشهر'!$C$637:$AD$746,27,FALSE),0)</f>
        <v>0</v>
      </c>
      <c r="J45" s="362">
        <f>IFERROR(VLOOKUP(C45,'تقرير المصروفات حسب الشهر'!$C$763:$AD$872,27,FALSE),0)</f>
        <v>0</v>
      </c>
      <c r="K45" s="362">
        <f>IFERROR(VLOOKUP(C45,'تقرير المصروفات حسب الشهر'!$C$890:$AD$999,27,FALSE),0)</f>
        <v>0</v>
      </c>
      <c r="L45" s="362">
        <f>IFERROR(VLOOKUP(C45,'تقرير المصروفات حسب الشهر'!$C$1016:$AD$1126,27,FALSE),0)</f>
        <v>0</v>
      </c>
      <c r="M45" s="376">
        <f>IFERROR(VLOOKUP(C45,'تقرير المصروفات حسب الشهر'!$C$1143:$AD$1254,27,FALSE),0)</f>
        <v>0</v>
      </c>
      <c r="N45" s="376">
        <f>IFERROR(VLOOKUP(C45,'تقرير المصروفات حسب الشهر'!$C$1270:$AD$1381,27,FALSE),0)</f>
        <v>0</v>
      </c>
      <c r="O45" s="376">
        <f>IFERROR(VLOOKUP(C45,'تقرير المصروفات حسب الشهر'!$C$1397:$AD$1512,27,FALSE),0)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الشهر'!$C$10:$AD$119,27,FALSE),0)</f>
        <v>0</v>
      </c>
      <c r="E46" s="362">
        <f>IFERROR(VLOOKUP(C46,'تقرير المصروفات حسب الشهر'!$C$135:$AD$244,27,FALSE),0)</f>
        <v>0</v>
      </c>
      <c r="F46" s="362">
        <f>IFERROR(VLOOKUP(C46,'تقرير المصروفات حسب الشهر'!$C$261:$AD$368,27,FALSE),0)</f>
        <v>0</v>
      </c>
      <c r="G46" s="362">
        <f>IFERROR(VLOOKUP(C46,'تقرير المصروفات حسب الشهر'!$C$387:$AD$495,27,FALSE),0)</f>
        <v>0</v>
      </c>
      <c r="H46" s="362">
        <f>IFERROR(VLOOKUP(C46,'تقرير المصروفات حسب الشهر'!$C$512:$AD$620,27,FALSE),0)</f>
        <v>0</v>
      </c>
      <c r="I46" s="362">
        <f>IFERROR(VLOOKUP(C46,'تقرير المصروفات حسب الشهر'!$C$637:$AD$746,27,FALSE),0)</f>
        <v>0</v>
      </c>
      <c r="J46" s="362">
        <f>IFERROR(VLOOKUP(C46,'تقرير المصروفات حسب الشهر'!$C$763:$AD$872,27,FALSE),0)</f>
        <v>0</v>
      </c>
      <c r="K46" s="362">
        <f>IFERROR(VLOOKUP(C46,'تقرير المصروفات حسب الشهر'!$C$890:$AD$999,27,FALSE),0)</f>
        <v>0</v>
      </c>
      <c r="L46" s="362">
        <f>IFERROR(VLOOKUP(C46,'تقرير المصروفات حسب الشهر'!$C$1016:$AD$1126,27,FALSE),0)</f>
        <v>0</v>
      </c>
      <c r="M46" s="376">
        <f>IFERROR(VLOOKUP(C46,'تقرير المصروفات حسب الشهر'!$C$1143:$AD$1254,27,FALSE),0)</f>
        <v>0</v>
      </c>
      <c r="N46" s="376">
        <f>IFERROR(VLOOKUP(C46,'تقرير المصروفات حسب الشهر'!$C$1270:$AD$1381,27,FALSE),0)</f>
        <v>0</v>
      </c>
      <c r="O46" s="376">
        <f>IFERROR(VLOOKUP(C46,'تقرير المصروفات حسب الشهر'!$C$1397:$AD$1512,27,FALSE),0)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الشهر'!$C$10:$AD$119,27,FALSE),0)</f>
        <v>0</v>
      </c>
      <c r="E47" s="362">
        <f>IFERROR(VLOOKUP(C47,'تقرير المصروفات حسب الشهر'!$C$135:$AD$244,27,FALSE),0)</f>
        <v>0</v>
      </c>
      <c r="F47" s="362">
        <f>IFERROR(VLOOKUP(C47,'تقرير المصروفات حسب الشهر'!$C$261:$AD$368,27,FALSE),0)</f>
        <v>0</v>
      </c>
      <c r="G47" s="362">
        <f>IFERROR(VLOOKUP(C47,'تقرير المصروفات حسب الشهر'!$C$387:$AD$495,27,FALSE),0)</f>
        <v>0</v>
      </c>
      <c r="H47" s="362">
        <f>IFERROR(VLOOKUP(C47,'تقرير المصروفات حسب الشهر'!$C$512:$AD$620,27,FALSE),0)</f>
        <v>0</v>
      </c>
      <c r="I47" s="362">
        <f>IFERROR(VLOOKUP(C47,'تقرير المصروفات حسب الشهر'!$C$637:$AD$746,27,FALSE),0)</f>
        <v>0</v>
      </c>
      <c r="J47" s="362">
        <f>IFERROR(VLOOKUP(C47,'تقرير المصروفات حسب الشهر'!$C$763:$AD$872,27,FALSE),0)</f>
        <v>0</v>
      </c>
      <c r="K47" s="362">
        <f>IFERROR(VLOOKUP(C47,'تقرير المصروفات حسب الشهر'!$C$890:$AD$999,27,FALSE),0)</f>
        <v>0</v>
      </c>
      <c r="L47" s="362">
        <f>IFERROR(VLOOKUP(C47,'تقرير المصروفات حسب الشهر'!$C$1016:$AD$1126,27,FALSE),0)</f>
        <v>0</v>
      </c>
      <c r="M47" s="376">
        <f>IFERROR(VLOOKUP(C47,'تقرير المصروفات حسب الشهر'!$C$1143:$AD$1254,27,FALSE),0)</f>
        <v>0</v>
      </c>
      <c r="N47" s="376">
        <f>IFERROR(VLOOKUP(C47,'تقرير المصروفات حسب الشهر'!$C$1270:$AD$1381,27,FALSE),0)</f>
        <v>0</v>
      </c>
      <c r="O47" s="376">
        <f>IFERROR(VLOOKUP(C47,'تقرير المصروفات حسب الشهر'!$C$1397:$AD$1512,27,FALSE),0)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الشهر'!$C$10:$AD$119,27,FALSE),0)</f>
        <v>0</v>
      </c>
      <c r="E48" s="362">
        <f>IFERROR(VLOOKUP(C48,'تقرير المصروفات حسب الشهر'!$C$135:$AD$244,27,FALSE),0)</f>
        <v>0</v>
      </c>
      <c r="F48" s="362">
        <f>IFERROR(VLOOKUP(C48,'تقرير المصروفات حسب الشهر'!$C$261:$AD$368,27,FALSE),0)</f>
        <v>0</v>
      </c>
      <c r="G48" s="362">
        <f>IFERROR(VLOOKUP(C48,'تقرير المصروفات حسب الشهر'!$C$387:$AD$495,27,FALSE),0)</f>
        <v>0</v>
      </c>
      <c r="H48" s="362">
        <f>IFERROR(VLOOKUP(C48,'تقرير المصروفات حسب الشهر'!$C$512:$AD$620,27,FALSE),0)</f>
        <v>0</v>
      </c>
      <c r="I48" s="362">
        <f>IFERROR(VLOOKUP(C48,'تقرير المصروفات حسب الشهر'!$C$637:$AD$746,27,FALSE),0)</f>
        <v>0</v>
      </c>
      <c r="J48" s="362">
        <f>IFERROR(VLOOKUP(C48,'تقرير المصروفات حسب الشهر'!$C$763:$AD$872,27,FALSE),0)</f>
        <v>0</v>
      </c>
      <c r="K48" s="362">
        <f>IFERROR(VLOOKUP(C48,'تقرير المصروفات حسب الشهر'!$C$890:$AD$999,27,FALSE),0)</f>
        <v>0</v>
      </c>
      <c r="L48" s="362">
        <f>IFERROR(VLOOKUP(C48,'تقرير المصروفات حسب الشهر'!$C$1016:$AD$1126,27,FALSE),0)</f>
        <v>0</v>
      </c>
      <c r="M48" s="376">
        <f>IFERROR(VLOOKUP(C48,'تقرير المصروفات حسب الشهر'!$C$1143:$AD$1254,27,FALSE),0)</f>
        <v>0</v>
      </c>
      <c r="N48" s="376">
        <f>IFERROR(VLOOKUP(C48,'تقرير المصروفات حسب الشهر'!$C$1270:$AD$1381,27,FALSE),0)</f>
        <v>0</v>
      </c>
      <c r="O48" s="376">
        <f>IFERROR(VLOOKUP(C48,'تقرير المصروفات حسب الشهر'!$C$1397:$AD$1512,27,FALSE),0)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الشهر'!$C$10:$AD$119,27,FALSE),0)</f>
        <v>0</v>
      </c>
      <c r="E49" s="362">
        <f>IFERROR(VLOOKUP(C49,'تقرير المصروفات حسب الشهر'!$C$135:$AD$244,27,FALSE),0)</f>
        <v>0</v>
      </c>
      <c r="F49" s="362">
        <f>IFERROR(VLOOKUP(C49,'تقرير المصروفات حسب الشهر'!$C$261:$AD$368,27,FALSE),0)</f>
        <v>0</v>
      </c>
      <c r="G49" s="362">
        <f>IFERROR(VLOOKUP(C49,'تقرير المصروفات حسب الشهر'!$C$387:$AD$495,27,FALSE),0)</f>
        <v>0</v>
      </c>
      <c r="H49" s="362">
        <f>IFERROR(VLOOKUP(C49,'تقرير المصروفات حسب الشهر'!$C$512:$AD$620,27,FALSE),0)</f>
        <v>0</v>
      </c>
      <c r="I49" s="362">
        <f>IFERROR(VLOOKUP(C49,'تقرير المصروفات حسب الشهر'!$C$637:$AD$746,27,FALSE),0)</f>
        <v>0</v>
      </c>
      <c r="J49" s="362">
        <f>IFERROR(VLOOKUP(C49,'تقرير المصروفات حسب الشهر'!$C$763:$AD$872,27,FALSE),0)</f>
        <v>0</v>
      </c>
      <c r="K49" s="362">
        <f>IFERROR(VLOOKUP(C49,'تقرير المصروفات حسب الشهر'!$C$890:$AD$999,27,FALSE),0)</f>
        <v>0</v>
      </c>
      <c r="L49" s="362">
        <f>IFERROR(VLOOKUP(C49,'تقرير المصروفات حسب الشهر'!$C$1016:$AD$1126,27,FALSE),0)</f>
        <v>0</v>
      </c>
      <c r="M49" s="376">
        <f>IFERROR(VLOOKUP(C49,'تقرير المصروفات حسب الشهر'!$C$1143:$AD$1254,27,FALSE),0)</f>
        <v>0</v>
      </c>
      <c r="N49" s="376">
        <f>IFERROR(VLOOKUP(C49,'تقرير المصروفات حسب الشهر'!$C$1270:$AD$1381,27,FALSE),0)</f>
        <v>0</v>
      </c>
      <c r="O49" s="376">
        <f>IFERROR(VLOOKUP(C49,'تقرير المصروفات حسب الشهر'!$C$1397:$AD$1512,27,FALSE),0)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الشهر'!$C$10:$AD$119,27,FALSE),0)</f>
        <v>0</v>
      </c>
      <c r="E50" s="362">
        <f>IFERROR(VLOOKUP(C50,'تقرير المصروفات حسب الشهر'!$C$135:$AD$244,27,FALSE),0)</f>
        <v>0</v>
      </c>
      <c r="F50" s="362">
        <f>IFERROR(VLOOKUP(C50,'تقرير المصروفات حسب الشهر'!$C$261:$AD$368,27,FALSE),0)</f>
        <v>0</v>
      </c>
      <c r="G50" s="362">
        <f>IFERROR(VLOOKUP(C50,'تقرير المصروفات حسب الشهر'!$C$387:$AD$495,27,FALSE),0)</f>
        <v>0</v>
      </c>
      <c r="H50" s="362">
        <f>IFERROR(VLOOKUP(C50,'تقرير المصروفات حسب الشهر'!$C$512:$AD$620,27,FALSE),0)</f>
        <v>0</v>
      </c>
      <c r="I50" s="362">
        <f>IFERROR(VLOOKUP(C50,'تقرير المصروفات حسب الشهر'!$C$637:$AD$746,27,FALSE),0)</f>
        <v>0</v>
      </c>
      <c r="J50" s="362">
        <f>IFERROR(VLOOKUP(C50,'تقرير المصروفات حسب الشهر'!$C$763:$AD$872,27,FALSE),0)</f>
        <v>0</v>
      </c>
      <c r="K50" s="362">
        <f>IFERROR(VLOOKUP(C50,'تقرير المصروفات حسب الشهر'!$C$890:$AD$999,27,FALSE),0)</f>
        <v>0</v>
      </c>
      <c r="L50" s="362">
        <f>IFERROR(VLOOKUP(C50,'تقرير المصروفات حسب الشهر'!$C$1016:$AD$1126,27,FALSE),0)</f>
        <v>0</v>
      </c>
      <c r="M50" s="376">
        <f>IFERROR(VLOOKUP(C50,'تقرير المصروفات حسب الشهر'!$C$1143:$AD$1254,27,FALSE),0)</f>
        <v>0</v>
      </c>
      <c r="N50" s="376">
        <f>IFERROR(VLOOKUP(C50,'تقرير المصروفات حسب الشهر'!$C$1270:$AD$1381,27,FALSE),0)</f>
        <v>0</v>
      </c>
      <c r="O50" s="376">
        <f>IFERROR(VLOOKUP(C50,'تقرير المصروفات حسب الشهر'!$C$1397:$AD$1512,27,FALSE),0)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الشهر'!$C$10:$AD$119,27,FALSE),0)</f>
        <v>0</v>
      </c>
      <c r="E51" s="362">
        <f>IFERROR(VLOOKUP(C51,'تقرير المصروفات حسب الشهر'!$C$135:$AD$244,27,FALSE),0)</f>
        <v>0</v>
      </c>
      <c r="F51" s="362">
        <f>IFERROR(VLOOKUP(C51,'تقرير المصروفات حسب الشهر'!$C$261:$AD$368,27,FALSE),0)</f>
        <v>0</v>
      </c>
      <c r="G51" s="362">
        <f>IFERROR(VLOOKUP(C51,'تقرير المصروفات حسب الشهر'!$C$387:$AD$495,27,FALSE),0)</f>
        <v>0</v>
      </c>
      <c r="H51" s="362">
        <f>IFERROR(VLOOKUP(C51,'تقرير المصروفات حسب الشهر'!$C$512:$AD$620,27,FALSE),0)</f>
        <v>0</v>
      </c>
      <c r="I51" s="362">
        <f>IFERROR(VLOOKUP(C51,'تقرير المصروفات حسب الشهر'!$C$637:$AD$746,27,FALSE),0)</f>
        <v>0</v>
      </c>
      <c r="J51" s="362">
        <f>IFERROR(VLOOKUP(C51,'تقرير المصروفات حسب الشهر'!$C$763:$AD$872,27,FALSE),0)</f>
        <v>0</v>
      </c>
      <c r="K51" s="362">
        <f>IFERROR(VLOOKUP(C51,'تقرير المصروفات حسب الشهر'!$C$890:$AD$999,27,FALSE),0)</f>
        <v>400</v>
      </c>
      <c r="L51" s="362">
        <f>IFERROR(VLOOKUP(C51,'تقرير المصروفات حسب الشهر'!$C$1016:$AD$1126,27,FALSE),0)</f>
        <v>0</v>
      </c>
      <c r="M51" s="376">
        <f>IFERROR(VLOOKUP(C51,'تقرير المصروفات حسب الشهر'!$C$1143:$AD$1254,27,FALSE),0)</f>
        <v>0</v>
      </c>
      <c r="N51" s="376">
        <f>IFERROR(VLOOKUP(C51,'تقرير المصروفات حسب الشهر'!$C$1270:$AD$1381,27,FALSE),0)</f>
        <v>0</v>
      </c>
      <c r="O51" s="376">
        <f>IFERROR(VLOOKUP(C51,'تقرير المصروفات حسب الشهر'!$C$1397:$AD$1512,27,FALSE),0)</f>
        <v>0</v>
      </c>
      <c r="P51" s="364">
        <f t="shared" si="5"/>
        <v>400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الشهر'!$C$10:$AD$119,27,FALSE),0)</f>
        <v>400</v>
      </c>
      <c r="E52" s="362">
        <f>IFERROR(VLOOKUP(C52,'تقرير المصروفات حسب الشهر'!$C$135:$AD$244,27,FALSE),0)</f>
        <v>0</v>
      </c>
      <c r="F52" s="362">
        <f>IFERROR(VLOOKUP(C52,'تقرير المصروفات حسب الشهر'!$C$261:$AD$368,27,FALSE),0)</f>
        <v>0</v>
      </c>
      <c r="G52" s="362">
        <f>IFERROR(VLOOKUP(C52,'تقرير المصروفات حسب الشهر'!$C$387:$AD$495,27,FALSE),0)</f>
        <v>0</v>
      </c>
      <c r="H52" s="362">
        <f>IFERROR(VLOOKUP(C52,'تقرير المصروفات حسب الشهر'!$C$512:$AD$620,27,FALSE),0)</f>
        <v>0</v>
      </c>
      <c r="I52" s="362">
        <f>IFERROR(VLOOKUP(C52,'تقرير المصروفات حسب الشهر'!$C$637:$AD$746,27,FALSE),0)</f>
        <v>0</v>
      </c>
      <c r="J52" s="362">
        <f>IFERROR(VLOOKUP(C52,'تقرير المصروفات حسب الشهر'!$C$763:$AD$872,27,FALSE),0)</f>
        <v>0</v>
      </c>
      <c r="K52" s="362">
        <f>IFERROR(VLOOKUP(C52,'تقرير المصروفات حسب الشهر'!$C$890:$AD$999,27,FALSE),0)</f>
        <v>0</v>
      </c>
      <c r="L52" s="362">
        <f>IFERROR(VLOOKUP(C52,'تقرير المصروفات حسب الشهر'!$C$1016:$AD$1126,27,FALSE),0)</f>
        <v>0</v>
      </c>
      <c r="M52" s="376">
        <f>IFERROR(VLOOKUP(C52,'تقرير المصروفات حسب الشهر'!$C$1143:$AD$1254,27,FALSE),0)</f>
        <v>0</v>
      </c>
      <c r="N52" s="376">
        <f>IFERROR(VLOOKUP(C52,'تقرير المصروفات حسب الشهر'!$C$1270:$AD$1381,27,FALSE),0)</f>
        <v>0</v>
      </c>
      <c r="O52" s="376">
        <f>IFERROR(VLOOKUP(C52,'تقرير المصروفات حسب الشهر'!$C$1397:$AD$1512,27,FALSE),0)</f>
        <v>0</v>
      </c>
      <c r="P52" s="364">
        <f t="shared" si="5"/>
        <v>400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الشهر'!$C$10:$AD$119,27,FALSE),0)</f>
        <v>0</v>
      </c>
      <c r="E53" s="362">
        <f>IFERROR(VLOOKUP(C53,'تقرير المصروفات حسب الشهر'!$C$135:$AD$244,27,FALSE),0)</f>
        <v>0</v>
      </c>
      <c r="F53" s="362">
        <f>IFERROR(VLOOKUP(C53,'تقرير المصروفات حسب الشهر'!$C$261:$AD$368,27,FALSE),0)</f>
        <v>0</v>
      </c>
      <c r="G53" s="362">
        <f>IFERROR(VLOOKUP(C53,'تقرير المصروفات حسب الشهر'!$C$387:$AD$495,27,FALSE),0)</f>
        <v>0</v>
      </c>
      <c r="H53" s="362">
        <f>IFERROR(VLOOKUP(C53,'تقرير المصروفات حسب الشهر'!$C$512:$AD$620,27,FALSE),0)</f>
        <v>0</v>
      </c>
      <c r="I53" s="362">
        <f>IFERROR(VLOOKUP(C53,'تقرير المصروفات حسب الشهر'!$C$637:$AD$746,27,FALSE),0)</f>
        <v>0</v>
      </c>
      <c r="J53" s="362">
        <f>IFERROR(VLOOKUP(C53,'تقرير المصروفات حسب الشهر'!$C$763:$AD$872,27,FALSE),0)</f>
        <v>0</v>
      </c>
      <c r="K53" s="362">
        <f>IFERROR(VLOOKUP(C53,'تقرير المصروفات حسب الشهر'!$C$890:$AD$999,27,FALSE),0)</f>
        <v>0</v>
      </c>
      <c r="L53" s="362">
        <f>IFERROR(VLOOKUP(C53,'تقرير المصروفات حسب الشهر'!$C$1016:$AD$1126,27,FALSE),0)</f>
        <v>0</v>
      </c>
      <c r="M53" s="376">
        <f>IFERROR(VLOOKUP(C53,'تقرير المصروفات حسب الشهر'!$C$1143:$AD$1254,27,FALSE),0)</f>
        <v>0</v>
      </c>
      <c r="N53" s="376">
        <f>IFERROR(VLOOKUP(C53,'تقرير المصروفات حسب الشهر'!$C$1270:$AD$1381,27,FALSE),0)</f>
        <v>0</v>
      </c>
      <c r="O53" s="376">
        <f>IFERROR(VLOOKUP(C53,'تقرير المصروفات حسب الشهر'!$C$1397:$AD$1512,27,FALSE),0)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الشهر'!$C$10:$AD$119,27,FALSE),0)</f>
        <v>0</v>
      </c>
      <c r="E54" s="362">
        <f>IFERROR(VLOOKUP(C54,'تقرير المصروفات حسب الشهر'!$C$135:$AD$244,27,FALSE),0)</f>
        <v>600</v>
      </c>
      <c r="F54" s="362">
        <f>IFERROR(VLOOKUP(C54,'تقرير المصروفات حسب الشهر'!$C$261:$AD$368,27,FALSE),0)</f>
        <v>0</v>
      </c>
      <c r="G54" s="362">
        <f>IFERROR(VLOOKUP(C54,'تقرير المصروفات حسب الشهر'!$C$387:$AD$495,27,FALSE),0)</f>
        <v>200</v>
      </c>
      <c r="H54" s="362">
        <f>IFERROR(VLOOKUP(C54,'تقرير المصروفات حسب الشهر'!$C$512:$AD$620,27,FALSE),0)</f>
        <v>0</v>
      </c>
      <c r="I54" s="362">
        <f>IFERROR(VLOOKUP(C54,'تقرير المصروفات حسب الشهر'!$C$637:$AD$746,27,FALSE),0)</f>
        <v>0</v>
      </c>
      <c r="J54" s="362">
        <f>IFERROR(VLOOKUP(C54,'تقرير المصروفات حسب الشهر'!$C$763:$AD$872,27,FALSE),0)</f>
        <v>0</v>
      </c>
      <c r="K54" s="362">
        <f>IFERROR(VLOOKUP(C54,'تقرير المصروفات حسب الشهر'!$C$890:$AD$999,27,FALSE),0)</f>
        <v>400</v>
      </c>
      <c r="L54" s="362">
        <f>IFERROR(VLOOKUP(C54,'تقرير المصروفات حسب الشهر'!$C$1016:$AD$1126,27,FALSE),0)</f>
        <v>0</v>
      </c>
      <c r="M54" s="376">
        <f>IFERROR(VLOOKUP(C54,'تقرير المصروفات حسب الشهر'!$C$1143:$AD$1254,27,FALSE),0)</f>
        <v>0</v>
      </c>
      <c r="N54" s="376">
        <f>IFERROR(VLOOKUP(C54,'تقرير المصروفات حسب الشهر'!$C$1270:$AD$1381,27,FALSE),0)</f>
        <v>400</v>
      </c>
      <c r="O54" s="376">
        <f>IFERROR(VLOOKUP(C54,'تقرير المصروفات حسب الشهر'!$C$1397:$AD$1512,27,FALSE),0)</f>
        <v>0</v>
      </c>
      <c r="P54" s="364">
        <f t="shared" si="5"/>
        <v>1600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الشهر'!$C$10:$AD$119,27,FALSE),0)</f>
        <v>0</v>
      </c>
      <c r="E55" s="362">
        <f>IFERROR(VLOOKUP(C55,'تقرير المصروفات حسب الشهر'!$C$135:$AD$244,27,FALSE),0)</f>
        <v>0</v>
      </c>
      <c r="F55" s="362">
        <f>IFERROR(VLOOKUP(C55,'تقرير المصروفات حسب الشهر'!$C$261:$AD$368,27,FALSE),0)</f>
        <v>0</v>
      </c>
      <c r="G55" s="362">
        <f>IFERROR(VLOOKUP(C55,'تقرير المصروفات حسب الشهر'!$C$387:$AD$495,27,FALSE),0)</f>
        <v>0</v>
      </c>
      <c r="H55" s="362">
        <f>IFERROR(VLOOKUP(C55,'تقرير المصروفات حسب الشهر'!$C$512:$AD$620,27,FALSE),0)</f>
        <v>0</v>
      </c>
      <c r="I55" s="362">
        <f>IFERROR(VLOOKUP(C55,'تقرير المصروفات حسب الشهر'!$C$637:$AD$746,27,FALSE),0)</f>
        <v>0</v>
      </c>
      <c r="J55" s="362">
        <f>IFERROR(VLOOKUP(C55,'تقرير المصروفات حسب الشهر'!$C$763:$AD$872,27,FALSE),0)</f>
        <v>0</v>
      </c>
      <c r="K55" s="362">
        <f>IFERROR(VLOOKUP(C55,'تقرير المصروفات حسب الشهر'!$C$890:$AD$999,27,FALSE),0)</f>
        <v>0</v>
      </c>
      <c r="L55" s="362">
        <f>IFERROR(VLOOKUP(C55,'تقرير المصروفات حسب الشهر'!$C$1016:$AD$1126,27,FALSE),0)</f>
        <v>0</v>
      </c>
      <c r="M55" s="376">
        <f>IFERROR(VLOOKUP(C55,'تقرير المصروفات حسب الشهر'!$C$1143:$AD$1254,27,FALSE),0)</f>
        <v>0</v>
      </c>
      <c r="N55" s="376">
        <f>IFERROR(VLOOKUP(C55,'تقرير المصروفات حسب الشهر'!$C$1270:$AD$1381,27,FALSE),0)</f>
        <v>0</v>
      </c>
      <c r="O55" s="376">
        <f>IFERROR(VLOOKUP(C55,'تقرير المصروفات حسب الشهر'!$C$1397:$AD$1512,27,FALSE),0)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الشهر'!$C$10:$AD$119,27,FALSE),0)</f>
        <v>0</v>
      </c>
      <c r="E56" s="362">
        <f>IFERROR(VLOOKUP(C56,'تقرير المصروفات حسب الشهر'!$C$135:$AD$244,27,FALSE),0)</f>
        <v>0</v>
      </c>
      <c r="F56" s="362">
        <f>IFERROR(VLOOKUP(C56,'تقرير المصروفات حسب الشهر'!$C$261:$AD$368,27,FALSE),0)</f>
        <v>0</v>
      </c>
      <c r="G56" s="362">
        <f>IFERROR(VLOOKUP(C56,'تقرير المصروفات حسب الشهر'!$C$387:$AD$495,27,FALSE),0)</f>
        <v>0</v>
      </c>
      <c r="H56" s="362">
        <f>IFERROR(VLOOKUP(C56,'تقرير المصروفات حسب الشهر'!$C$512:$AD$620,27,FALSE),0)</f>
        <v>0</v>
      </c>
      <c r="I56" s="362">
        <f>IFERROR(VLOOKUP(C56,'تقرير المصروفات حسب الشهر'!$C$637:$AD$746,27,FALSE),0)</f>
        <v>0</v>
      </c>
      <c r="J56" s="362">
        <f>IFERROR(VLOOKUP(C56,'تقرير المصروفات حسب الشهر'!$C$763:$AD$872,27,FALSE),0)</f>
        <v>0</v>
      </c>
      <c r="K56" s="362">
        <f>IFERROR(VLOOKUP(C56,'تقرير المصروفات حسب الشهر'!$C$890:$AD$999,27,FALSE),0)</f>
        <v>0</v>
      </c>
      <c r="L56" s="362">
        <f>IFERROR(VLOOKUP(C56,'تقرير المصروفات حسب الشهر'!$C$1016:$AD$1126,27,FALSE),0)</f>
        <v>0</v>
      </c>
      <c r="M56" s="376">
        <f>IFERROR(VLOOKUP(C56,'تقرير المصروفات حسب الشهر'!$C$1143:$AD$1254,27,FALSE),0)</f>
        <v>0</v>
      </c>
      <c r="N56" s="376">
        <f>IFERROR(VLOOKUP(C56,'تقرير المصروفات حسب الشهر'!$C$1270:$AD$1381,27,FALSE),0)</f>
        <v>0</v>
      </c>
      <c r="O56" s="376">
        <f>IFERROR(VLOOKUP(C56,'تقرير المصروفات حسب الشهر'!$C$1397:$AD$1512,27,FALSE),0)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الشهر'!$C$10:$AD$119,27,FALSE),0)</f>
        <v>0</v>
      </c>
      <c r="E57" s="362">
        <f>IFERROR(VLOOKUP(C57,'تقرير المصروفات حسب الشهر'!$C$135:$AD$244,27,FALSE),0)</f>
        <v>0</v>
      </c>
      <c r="F57" s="362">
        <f>IFERROR(VLOOKUP(C57,'تقرير المصروفات حسب الشهر'!$C$261:$AD$368,27,FALSE),0)</f>
        <v>0</v>
      </c>
      <c r="G57" s="362">
        <f>IFERROR(VLOOKUP(C57,'تقرير المصروفات حسب الشهر'!$C$387:$AD$495,27,FALSE),0)</f>
        <v>0</v>
      </c>
      <c r="H57" s="362">
        <f>IFERROR(VLOOKUP(C57,'تقرير المصروفات حسب الشهر'!$C$512:$AD$620,27,FALSE),0)</f>
        <v>0</v>
      </c>
      <c r="I57" s="362">
        <f>IFERROR(VLOOKUP(C57,'تقرير المصروفات حسب الشهر'!$C$637:$AD$746,27,FALSE),0)</f>
        <v>0</v>
      </c>
      <c r="J57" s="362">
        <f>IFERROR(VLOOKUP(C57,'تقرير المصروفات حسب الشهر'!$C$763:$AD$872,27,FALSE),0)</f>
        <v>0</v>
      </c>
      <c r="K57" s="362">
        <f>IFERROR(VLOOKUP(C57,'تقرير المصروفات حسب الشهر'!$C$890:$AD$999,27,FALSE),0)</f>
        <v>0</v>
      </c>
      <c r="L57" s="362">
        <f>IFERROR(VLOOKUP(C57,'تقرير المصروفات حسب الشهر'!$C$1016:$AD$1126,27,FALSE),0)</f>
        <v>0</v>
      </c>
      <c r="M57" s="376">
        <f>IFERROR(VLOOKUP(C57,'تقرير المصروفات حسب الشهر'!$C$1143:$AD$1254,27,FALSE),0)</f>
        <v>0</v>
      </c>
      <c r="N57" s="376">
        <f>IFERROR(VLOOKUP(C57,'تقرير المصروفات حسب الشهر'!$C$1270:$AD$1381,27,FALSE),0)</f>
        <v>0</v>
      </c>
      <c r="O57" s="376">
        <f>IFERROR(VLOOKUP(C57,'تقرير المصروفات حسب الشهر'!$C$1397:$AD$1512,27,FALSE),0)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الشهر'!$C$10:$AD$119,27,FALSE),0)</f>
        <v>0</v>
      </c>
      <c r="E58" s="362">
        <f>IFERROR(VLOOKUP(C58,'تقرير المصروفات حسب الشهر'!$C$135:$AD$244,27,FALSE),0)</f>
        <v>0</v>
      </c>
      <c r="F58" s="362">
        <f>IFERROR(VLOOKUP(C58,'تقرير المصروفات حسب الشهر'!$C$261:$AD$368,27,FALSE),0)</f>
        <v>0</v>
      </c>
      <c r="G58" s="362">
        <f>IFERROR(VLOOKUP(C58,'تقرير المصروفات حسب الشهر'!$C$387:$AD$495,27,FALSE),0)</f>
        <v>0</v>
      </c>
      <c r="H58" s="362">
        <f>IFERROR(VLOOKUP(C58,'تقرير المصروفات حسب الشهر'!$C$512:$AD$620,27,FALSE),0)</f>
        <v>0</v>
      </c>
      <c r="I58" s="362">
        <f>IFERROR(VLOOKUP(C58,'تقرير المصروفات حسب الشهر'!$C$637:$AD$746,27,FALSE),0)</f>
        <v>0</v>
      </c>
      <c r="J58" s="362">
        <f>IFERROR(VLOOKUP(C58,'تقرير المصروفات حسب الشهر'!$C$763:$AD$872,27,FALSE),0)</f>
        <v>0</v>
      </c>
      <c r="K58" s="362">
        <f>IFERROR(VLOOKUP(C58,'تقرير المصروفات حسب الشهر'!$C$890:$AD$999,27,FALSE),0)</f>
        <v>0</v>
      </c>
      <c r="L58" s="362">
        <f>IFERROR(VLOOKUP(C58,'تقرير المصروفات حسب الشهر'!$C$1016:$AD$1126,27,FALSE),0)</f>
        <v>0</v>
      </c>
      <c r="M58" s="376">
        <f>IFERROR(VLOOKUP(C58,'تقرير المصروفات حسب الشهر'!$C$1143:$AD$1254,27,FALSE),0)</f>
        <v>0</v>
      </c>
      <c r="N58" s="376">
        <f>IFERROR(VLOOKUP(C58,'تقرير المصروفات حسب الشهر'!$C$1270:$AD$1381,27,FALSE),0)</f>
        <v>0</v>
      </c>
      <c r="O58" s="376">
        <f>IFERROR(VLOOKUP(C58,'تقرير المصروفات حسب الشهر'!$C$1397:$AD$1512,27,FALSE),0)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الشهر'!$C$10:$AD$119,27,FALSE),0)</f>
        <v>0</v>
      </c>
      <c r="E59" s="362">
        <f>IFERROR(VLOOKUP(C59,'تقرير المصروفات حسب الشهر'!$C$135:$AD$244,27,FALSE),0)</f>
        <v>4757.25</v>
      </c>
      <c r="F59" s="362">
        <f>IFERROR(VLOOKUP(C59,'تقرير المصروفات حسب الشهر'!$C$261:$AD$368,27,FALSE),0)</f>
        <v>3275.8</v>
      </c>
      <c r="G59" s="362">
        <f>IFERROR(VLOOKUP(C59,'تقرير المصروفات حسب الشهر'!$C$387:$AD$495,27,FALSE),0)</f>
        <v>4885.95</v>
      </c>
      <c r="H59" s="362">
        <f>IFERROR(VLOOKUP(C59,'تقرير المصروفات حسب الشهر'!$C$512:$AD$620,27,FALSE),0)</f>
        <v>0</v>
      </c>
      <c r="I59" s="362">
        <f>IFERROR(VLOOKUP(C59,'تقرير المصروفات حسب الشهر'!$C$637:$AD$746,27,FALSE),0)</f>
        <v>3214.5</v>
      </c>
      <c r="J59" s="362">
        <f>IFERROR(VLOOKUP(C59,'تقرير المصروفات حسب الشهر'!$C$763:$AD$872,27,FALSE),0)</f>
        <v>1600.25</v>
      </c>
      <c r="K59" s="362">
        <f>IFERROR(VLOOKUP(C59,'تقرير المصروفات حسب الشهر'!$C$890:$AD$999,27,FALSE),0)</f>
        <v>0</v>
      </c>
      <c r="L59" s="362">
        <f>IFERROR(VLOOKUP(C59,'تقرير المصروفات حسب الشهر'!$C$1016:$AD$1126,27,FALSE),0)</f>
        <v>6900.25</v>
      </c>
      <c r="M59" s="376">
        <f>IFERROR(VLOOKUP(C59,'تقرير المصروفات حسب الشهر'!$C$1143:$AD$1254,27,FALSE),0)</f>
        <v>6888.9</v>
      </c>
      <c r="N59" s="376">
        <f>IFERROR(VLOOKUP(C59,'تقرير المصروفات حسب الشهر'!$C$1270:$AD$1381,27,FALSE),0)</f>
        <v>8888.25</v>
      </c>
      <c r="O59" s="376">
        <f>IFERROR(VLOOKUP(C59,'تقرير المصروفات حسب الشهر'!$C$1397:$AD$1512,27,FALSE),0)</f>
        <v>4600.8999999999996</v>
      </c>
      <c r="P59" s="364">
        <f t="shared" si="5"/>
        <v>45012.05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الشهر'!$C$10:$AD$119,27,FALSE),0)</f>
        <v>3120</v>
      </c>
      <c r="E60" s="362">
        <f>IFERROR(VLOOKUP(C60,'تقرير المصروفات حسب الشهر'!$C$135:$AD$244,27,FALSE),0)</f>
        <v>0</v>
      </c>
      <c r="F60" s="362">
        <f>IFERROR(VLOOKUP(C60,'تقرير المصروفات حسب الشهر'!$C$261:$AD$368,27,FALSE),0)</f>
        <v>0</v>
      </c>
      <c r="G60" s="362">
        <f>IFERROR(VLOOKUP(C60,'تقرير المصروفات حسب الشهر'!$C$387:$AD$495,27,FALSE),0)</f>
        <v>0</v>
      </c>
      <c r="H60" s="362">
        <f>IFERROR(VLOOKUP(C60,'تقرير المصروفات حسب الشهر'!$C$512:$AD$620,27,FALSE),0)</f>
        <v>0</v>
      </c>
      <c r="I60" s="362">
        <f>IFERROR(VLOOKUP(C60,'تقرير المصروفات حسب الشهر'!$C$637:$AD$746,27,FALSE),0)</f>
        <v>0</v>
      </c>
      <c r="J60" s="362">
        <f>IFERROR(VLOOKUP(C60,'تقرير المصروفات حسب الشهر'!$C$763:$AD$872,27,FALSE),0)</f>
        <v>0</v>
      </c>
      <c r="K60" s="362">
        <f>IFERROR(VLOOKUP(C60,'تقرير المصروفات حسب الشهر'!$C$890:$AD$999,27,FALSE),0)</f>
        <v>1650</v>
      </c>
      <c r="L60" s="362">
        <f>IFERROR(VLOOKUP(C60,'تقرير المصروفات حسب الشهر'!$C$1016:$AD$1126,27,FALSE),0)</f>
        <v>0</v>
      </c>
      <c r="M60" s="376">
        <f>IFERROR(VLOOKUP(C60,'تقرير المصروفات حسب الشهر'!$C$1143:$AD$1254,27,FALSE),0)</f>
        <v>990</v>
      </c>
      <c r="N60" s="376">
        <f>IFERROR(VLOOKUP(C60,'تقرير المصروفات حسب الشهر'!$C$1270:$AD$1381,27,FALSE),0)</f>
        <v>0</v>
      </c>
      <c r="O60" s="376">
        <f>IFERROR(VLOOKUP(C60,'تقرير المصروفات حسب الشهر'!$C$1397:$AD$1512,27,FALSE),0)</f>
        <v>4950</v>
      </c>
      <c r="P60" s="364">
        <f t="shared" si="5"/>
        <v>10710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الشهر'!$C$10:$AD$119,27,FALSE),0)</f>
        <v>0</v>
      </c>
      <c r="E61" s="362">
        <f>IFERROR(VLOOKUP(C61,'تقرير المصروفات حسب الشهر'!$C$135:$AD$244,27,FALSE),0)</f>
        <v>0</v>
      </c>
      <c r="F61" s="362">
        <f>IFERROR(VLOOKUP(C61,'تقرير المصروفات حسب الشهر'!$C$261:$AD$368,27,FALSE),0)</f>
        <v>0</v>
      </c>
      <c r="G61" s="362">
        <f>IFERROR(VLOOKUP(C61,'تقرير المصروفات حسب الشهر'!$C$387:$AD$495,27,FALSE),0)</f>
        <v>0</v>
      </c>
      <c r="H61" s="362">
        <f>IFERROR(VLOOKUP(C61,'تقرير المصروفات حسب الشهر'!$C$512:$AD$620,27,FALSE),0)</f>
        <v>0</v>
      </c>
      <c r="I61" s="362">
        <f>IFERROR(VLOOKUP(C61,'تقرير المصروفات حسب الشهر'!$C$637:$AD$746,27,FALSE),0)</f>
        <v>0</v>
      </c>
      <c r="J61" s="362">
        <f>IFERROR(VLOOKUP(C61,'تقرير المصروفات حسب الشهر'!$C$763:$AD$872,27,FALSE),0)</f>
        <v>0</v>
      </c>
      <c r="K61" s="362">
        <f>IFERROR(VLOOKUP(C61,'تقرير المصروفات حسب الشهر'!$C$890:$AD$999,27,FALSE),0)</f>
        <v>0</v>
      </c>
      <c r="L61" s="362">
        <f>IFERROR(VLOOKUP(C61,'تقرير المصروفات حسب الشهر'!$C$1016:$AD$1126,27,FALSE),0)</f>
        <v>350</v>
      </c>
      <c r="M61" s="376">
        <f>IFERROR(VLOOKUP(C61,'تقرير المصروفات حسب الشهر'!$C$1143:$AD$1254,27,FALSE),0)</f>
        <v>0</v>
      </c>
      <c r="N61" s="376">
        <f>IFERROR(VLOOKUP(C61,'تقرير المصروفات حسب الشهر'!$C$1270:$AD$1381,27,FALSE),0)</f>
        <v>0</v>
      </c>
      <c r="O61" s="376">
        <f>IFERROR(VLOOKUP(C61,'تقرير المصروفات حسب الشهر'!$C$1397:$AD$1512,27,FALSE),0)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الشهر'!$C$10:$AD$119,27,FALSE),0)</f>
        <v>0</v>
      </c>
      <c r="E62" s="362">
        <f>IFERROR(VLOOKUP(C62,'تقرير المصروفات حسب الشهر'!$C$135:$AD$244,27,FALSE),0)</f>
        <v>0</v>
      </c>
      <c r="F62" s="362">
        <f>IFERROR(VLOOKUP(C62,'تقرير المصروفات حسب الشهر'!$C$261:$AD$368,27,FALSE),0)</f>
        <v>0</v>
      </c>
      <c r="G62" s="362">
        <f>IFERROR(VLOOKUP(C62,'تقرير المصروفات حسب الشهر'!$C$387:$AD$495,27,FALSE),0)</f>
        <v>0</v>
      </c>
      <c r="H62" s="362">
        <f>IFERROR(VLOOKUP(C62,'تقرير المصروفات حسب الشهر'!$C$512:$AD$620,27,FALSE),0)</f>
        <v>0</v>
      </c>
      <c r="I62" s="362">
        <f>IFERROR(VLOOKUP(C62,'تقرير المصروفات حسب الشهر'!$C$637:$AD$746,27,FALSE),0)</f>
        <v>0</v>
      </c>
      <c r="J62" s="362">
        <f>IFERROR(VLOOKUP(C62,'تقرير المصروفات حسب الشهر'!$C$763:$AD$872,27,FALSE),0)</f>
        <v>0</v>
      </c>
      <c r="K62" s="362">
        <f>IFERROR(VLOOKUP(C62,'تقرير المصروفات حسب الشهر'!$C$890:$AD$999,27,FALSE),0)</f>
        <v>0</v>
      </c>
      <c r="L62" s="362">
        <f>IFERROR(VLOOKUP(C62,'تقرير المصروفات حسب الشهر'!$C$1016:$AD$1126,27,FALSE),0)</f>
        <v>0</v>
      </c>
      <c r="M62" s="376">
        <f>IFERROR(VLOOKUP(C62,'تقرير المصروفات حسب الشهر'!$C$1143:$AD$1254,27,FALSE),0)</f>
        <v>0</v>
      </c>
      <c r="N62" s="376">
        <f>IFERROR(VLOOKUP(C62,'تقرير المصروفات حسب الشهر'!$C$1270:$AD$1381,27,FALSE),0)</f>
        <v>0</v>
      </c>
      <c r="O62" s="376">
        <f>IFERROR(VLOOKUP(C62,'تقرير المصروفات حسب الشهر'!$C$1397:$AD$1512,27,FALSE),0)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الشهر'!$C$10:$AD$119,27,FALSE),0)</f>
        <v>0</v>
      </c>
      <c r="E63" s="362">
        <f>IFERROR(VLOOKUP(C63,'تقرير المصروفات حسب الشهر'!$C$135:$AD$244,27,FALSE),0)</f>
        <v>0</v>
      </c>
      <c r="F63" s="362">
        <f>IFERROR(VLOOKUP(C63,'تقرير المصروفات حسب الشهر'!$C$261:$AD$368,27,FALSE),0)</f>
        <v>0</v>
      </c>
      <c r="G63" s="362">
        <f>IFERROR(VLOOKUP(C63,'تقرير المصروفات حسب الشهر'!$C$387:$AD$495,27,FALSE),0)</f>
        <v>0</v>
      </c>
      <c r="H63" s="362">
        <f>IFERROR(VLOOKUP(C63,'تقرير المصروفات حسب الشهر'!$C$512:$AD$620,27,FALSE),0)</f>
        <v>0</v>
      </c>
      <c r="I63" s="362">
        <f>IFERROR(VLOOKUP(C63,'تقرير المصروفات حسب الشهر'!$C$637:$AD$746,27,FALSE),0)</f>
        <v>0</v>
      </c>
      <c r="J63" s="362">
        <f>IFERROR(VLOOKUP(C63,'تقرير المصروفات حسب الشهر'!$C$763:$AD$872,27,FALSE),0)</f>
        <v>0</v>
      </c>
      <c r="K63" s="362">
        <f>IFERROR(VLOOKUP(C63,'تقرير المصروفات حسب الشهر'!$C$890:$AD$999,27,FALSE),0)</f>
        <v>0</v>
      </c>
      <c r="L63" s="362">
        <f>IFERROR(VLOOKUP(C63,'تقرير المصروفات حسب الشهر'!$C$1016:$AD$1126,27,FALSE),0)</f>
        <v>0</v>
      </c>
      <c r="M63" s="376">
        <f>IFERROR(VLOOKUP(C63,'تقرير المصروفات حسب الشهر'!$C$1143:$AD$1254,27,FALSE),0)</f>
        <v>0</v>
      </c>
      <c r="N63" s="376">
        <f>IFERROR(VLOOKUP(C63,'تقرير المصروفات حسب الشهر'!$C$1270:$AD$1381,27,FALSE),0)</f>
        <v>0</v>
      </c>
      <c r="O63" s="376">
        <f>IFERROR(VLOOKUP(C63,'تقرير المصروفات حسب الشهر'!$C$1397:$AD$1512,27,FALSE),0)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الشهر'!$C$10:$AD$119,27,FALSE),0)</f>
        <v>0</v>
      </c>
      <c r="E64" s="362">
        <f>IFERROR(VLOOKUP(C64,'تقرير المصروفات حسب الشهر'!$C$135:$AD$244,27,FALSE),0)</f>
        <v>0</v>
      </c>
      <c r="F64" s="362">
        <f>IFERROR(VLOOKUP(C64,'تقرير المصروفات حسب الشهر'!$C$261:$AD$368,27,FALSE),0)</f>
        <v>0</v>
      </c>
      <c r="G64" s="362">
        <f>IFERROR(VLOOKUP(C64,'تقرير المصروفات حسب الشهر'!$C$387:$AD$495,27,FALSE),0)</f>
        <v>0</v>
      </c>
      <c r="H64" s="362">
        <f>IFERROR(VLOOKUP(C64,'تقرير المصروفات حسب الشهر'!$C$512:$AD$620,27,FALSE),0)</f>
        <v>0</v>
      </c>
      <c r="I64" s="362">
        <f>IFERROR(VLOOKUP(C64,'تقرير المصروفات حسب الشهر'!$C$637:$AD$746,27,FALSE),0)</f>
        <v>900</v>
      </c>
      <c r="J64" s="362">
        <f>IFERROR(VLOOKUP(C64,'تقرير المصروفات حسب الشهر'!$C$763:$AD$872,27,FALSE),0)</f>
        <v>0</v>
      </c>
      <c r="K64" s="362">
        <f>IFERROR(VLOOKUP(C64,'تقرير المصروفات حسب الشهر'!$C$890:$AD$999,27,FALSE),0)</f>
        <v>0</v>
      </c>
      <c r="L64" s="362">
        <f>IFERROR(VLOOKUP(C64,'تقرير المصروفات حسب الشهر'!$C$1016:$AD$1126,27,FALSE),0)</f>
        <v>450</v>
      </c>
      <c r="M64" s="376">
        <f>IFERROR(VLOOKUP(C64,'تقرير المصروفات حسب الشهر'!$C$1143:$AD$1254,27,FALSE),0)</f>
        <v>0</v>
      </c>
      <c r="N64" s="376">
        <f>IFERROR(VLOOKUP(C64,'تقرير المصروفات حسب الشهر'!$C$1270:$AD$1381,27,FALSE),0)</f>
        <v>0</v>
      </c>
      <c r="O64" s="376">
        <f>IFERROR(VLOOKUP(C64,'تقرير المصروفات حسب الشهر'!$C$1397:$AD$1512,27,FALSE),0)</f>
        <v>0</v>
      </c>
      <c r="P64" s="364">
        <f t="shared" si="5"/>
        <v>1350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الشهر'!$C$10:$AD$119,27,FALSE),0)</f>
        <v>0</v>
      </c>
      <c r="E65" s="362">
        <f>IFERROR(VLOOKUP(C65,'تقرير المصروفات حسب الشهر'!$C$135:$AD$244,27,FALSE),0)</f>
        <v>0</v>
      </c>
      <c r="F65" s="362">
        <f>IFERROR(VLOOKUP(C65,'تقرير المصروفات حسب الشهر'!$C$261:$AD$368,27,FALSE),0)</f>
        <v>0</v>
      </c>
      <c r="G65" s="362">
        <f>IFERROR(VLOOKUP(C65,'تقرير المصروفات حسب الشهر'!$C$387:$AD$495,27,FALSE),0)</f>
        <v>0</v>
      </c>
      <c r="H65" s="362">
        <f>IFERROR(VLOOKUP(C65,'تقرير المصروفات حسب الشهر'!$C$512:$AD$620,27,FALSE),0)</f>
        <v>0</v>
      </c>
      <c r="I65" s="362">
        <f>IFERROR(VLOOKUP(C65,'تقرير المصروفات حسب الشهر'!$C$637:$AD$746,27,FALSE),0)</f>
        <v>0</v>
      </c>
      <c r="J65" s="362">
        <f>IFERROR(VLOOKUP(C65,'تقرير المصروفات حسب الشهر'!$C$763:$AD$872,27,FALSE),0)</f>
        <v>0</v>
      </c>
      <c r="K65" s="362">
        <f>IFERROR(VLOOKUP(C65,'تقرير المصروفات حسب الشهر'!$C$890:$AD$999,27,FALSE),0)</f>
        <v>0</v>
      </c>
      <c r="L65" s="362">
        <f>IFERROR(VLOOKUP(C65,'تقرير المصروفات حسب الشهر'!$C$1016:$AD$1126,27,FALSE),0)</f>
        <v>0</v>
      </c>
      <c r="M65" s="376">
        <f>IFERROR(VLOOKUP(C65,'تقرير المصروفات حسب الشهر'!$C$1143:$AD$1254,27,FALSE),0)</f>
        <v>0</v>
      </c>
      <c r="N65" s="376">
        <f>IFERROR(VLOOKUP(C65,'تقرير المصروفات حسب الشهر'!$C$1270:$AD$1381,27,FALSE),0)</f>
        <v>0</v>
      </c>
      <c r="O65" s="376">
        <f>IFERROR(VLOOKUP(C65,'تقرير المصروفات حسب الشهر'!$C$1397:$AD$1512,27,FALSE),0)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الشهر'!$C$10:$AD$119,27,FALSE),0)</f>
        <v>0</v>
      </c>
      <c r="E66" s="362">
        <f>IFERROR(VLOOKUP(C66,'تقرير المصروفات حسب الشهر'!$C$135:$AD$244,27,FALSE),0)</f>
        <v>0</v>
      </c>
      <c r="F66" s="362">
        <f>IFERROR(VLOOKUP(C66,'تقرير المصروفات حسب الشهر'!$C$261:$AD$368,27,FALSE),0)</f>
        <v>0</v>
      </c>
      <c r="G66" s="362">
        <f>IFERROR(VLOOKUP(C66,'تقرير المصروفات حسب الشهر'!$C$387:$AD$495,27,FALSE),0)</f>
        <v>0</v>
      </c>
      <c r="H66" s="362">
        <f>IFERROR(VLOOKUP(C66,'تقرير المصروفات حسب الشهر'!$C$512:$AD$620,27,FALSE),0)</f>
        <v>0</v>
      </c>
      <c r="I66" s="362">
        <f>IFERROR(VLOOKUP(C66,'تقرير المصروفات حسب الشهر'!$C$637:$AD$746,27,FALSE),0)</f>
        <v>0</v>
      </c>
      <c r="J66" s="362">
        <f>IFERROR(VLOOKUP(C66,'تقرير المصروفات حسب الشهر'!$C$763:$AD$872,27,FALSE),0)</f>
        <v>0</v>
      </c>
      <c r="K66" s="362">
        <f>IFERROR(VLOOKUP(C66,'تقرير المصروفات حسب الشهر'!$C$890:$AD$999,27,FALSE),0)</f>
        <v>0</v>
      </c>
      <c r="L66" s="362">
        <f>IFERROR(VLOOKUP(C66,'تقرير المصروفات حسب الشهر'!$C$1016:$AD$1126,27,FALSE),0)</f>
        <v>0</v>
      </c>
      <c r="M66" s="376">
        <f>IFERROR(VLOOKUP(C66,'تقرير المصروفات حسب الشهر'!$C$1143:$AD$1254,27,FALSE),0)</f>
        <v>0</v>
      </c>
      <c r="N66" s="376">
        <f>IFERROR(VLOOKUP(C66,'تقرير المصروفات حسب الشهر'!$C$1270:$AD$1381,27,FALSE),0)</f>
        <v>0</v>
      </c>
      <c r="O66" s="376">
        <f>IFERROR(VLOOKUP(C66,'تقرير المصروفات حسب الشهر'!$C$1397:$AD$1512,27,FALSE),0)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الشهر'!$C$10:$AD$119,27,FALSE),0)</f>
        <v>0</v>
      </c>
      <c r="E67" s="362">
        <f>IFERROR(VLOOKUP(C67,'تقرير المصروفات حسب الشهر'!$C$135:$AD$244,27,FALSE),0)</f>
        <v>0</v>
      </c>
      <c r="F67" s="362">
        <f>IFERROR(VLOOKUP(C67,'تقرير المصروفات حسب الشهر'!$C$261:$AD$368,27,FALSE),0)</f>
        <v>0</v>
      </c>
      <c r="G67" s="362">
        <f>IFERROR(VLOOKUP(C67,'تقرير المصروفات حسب الشهر'!$C$387:$AD$495,27,FALSE),0)</f>
        <v>0</v>
      </c>
      <c r="H67" s="362">
        <f>IFERROR(VLOOKUP(C67,'تقرير المصروفات حسب الشهر'!$C$512:$AD$620,27,FALSE),0)</f>
        <v>0</v>
      </c>
      <c r="I67" s="362">
        <f>IFERROR(VLOOKUP(C67,'تقرير المصروفات حسب الشهر'!$C$637:$AD$746,27,FALSE),0)</f>
        <v>0</v>
      </c>
      <c r="J67" s="362">
        <f>IFERROR(VLOOKUP(C67,'تقرير المصروفات حسب الشهر'!$C$763:$AD$872,27,FALSE),0)</f>
        <v>0</v>
      </c>
      <c r="K67" s="362">
        <f>IFERROR(VLOOKUP(C67,'تقرير المصروفات حسب الشهر'!$C$890:$AD$999,27,FALSE),0)</f>
        <v>0</v>
      </c>
      <c r="L67" s="362">
        <f>IFERROR(VLOOKUP(C67,'تقرير المصروفات حسب الشهر'!$C$1016:$AD$1126,27,FALSE),0)</f>
        <v>0</v>
      </c>
      <c r="M67" s="376">
        <f>IFERROR(VLOOKUP(C67,'تقرير المصروفات حسب الشهر'!$C$1143:$AD$1254,27,FALSE),0)</f>
        <v>0</v>
      </c>
      <c r="N67" s="376">
        <f>IFERROR(VLOOKUP(C67,'تقرير المصروفات حسب الشهر'!$C$1270:$AD$1381,27,FALSE),0)</f>
        <v>0</v>
      </c>
      <c r="O67" s="376">
        <f>IFERROR(VLOOKUP(C67,'تقرير المصروفات حسب الشهر'!$C$1397:$AD$1512,27,FALSE),0)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الشهر'!$C$10:$AD$119,27,FALSE),0)</f>
        <v>0</v>
      </c>
      <c r="E68" s="362">
        <f>IFERROR(VLOOKUP(C68,'تقرير المصروفات حسب الشهر'!$C$135:$AD$244,27,FALSE),0)</f>
        <v>0</v>
      </c>
      <c r="F68" s="362">
        <f>IFERROR(VLOOKUP(C68,'تقرير المصروفات حسب الشهر'!$C$261:$AD$368,27,FALSE),0)</f>
        <v>0</v>
      </c>
      <c r="G68" s="362">
        <f>IFERROR(VLOOKUP(C68,'تقرير المصروفات حسب الشهر'!$C$387:$AD$495,27,FALSE),0)</f>
        <v>0</v>
      </c>
      <c r="H68" s="362">
        <f>IFERROR(VLOOKUP(C68,'تقرير المصروفات حسب الشهر'!$C$512:$AD$620,27,FALSE),0)</f>
        <v>0</v>
      </c>
      <c r="I68" s="362">
        <f>IFERROR(VLOOKUP(C68,'تقرير المصروفات حسب الشهر'!$C$637:$AD$746,27,FALSE),0)</f>
        <v>0</v>
      </c>
      <c r="J68" s="362">
        <f>IFERROR(VLOOKUP(C68,'تقرير المصروفات حسب الشهر'!$C$763:$AD$872,27,FALSE),0)</f>
        <v>0</v>
      </c>
      <c r="K68" s="362">
        <f>IFERROR(VLOOKUP(C68,'تقرير المصروفات حسب الشهر'!$C$890:$AD$999,27,FALSE),0)</f>
        <v>0</v>
      </c>
      <c r="L68" s="362">
        <f>IFERROR(VLOOKUP(C68,'تقرير المصروفات حسب الشهر'!$C$1016:$AD$1126,27,FALSE),0)</f>
        <v>0</v>
      </c>
      <c r="M68" s="376">
        <f>IFERROR(VLOOKUP(C68,'تقرير المصروفات حسب الشهر'!$C$1143:$AD$1254,27,FALSE),0)</f>
        <v>0</v>
      </c>
      <c r="N68" s="376">
        <f>IFERROR(VLOOKUP(C68,'تقرير المصروفات حسب الشهر'!$C$1270:$AD$1381,27,FALSE),0)</f>
        <v>0</v>
      </c>
      <c r="O68" s="376">
        <f>IFERROR(VLOOKUP(C68,'تقرير المصروفات حسب الشهر'!$C$1397:$AD$1512,27,FALSE),0)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الشهر'!$C$10:$AD$119,27,FALSE),0)</f>
        <v>0</v>
      </c>
      <c r="E69" s="362">
        <f>IFERROR(VLOOKUP(C69,'تقرير المصروفات حسب الشهر'!$C$135:$AD$244,27,FALSE),0)</f>
        <v>0</v>
      </c>
      <c r="F69" s="362">
        <f>IFERROR(VLOOKUP(C69,'تقرير المصروفات حسب الشهر'!$C$261:$AD$368,27,FALSE),0)</f>
        <v>0</v>
      </c>
      <c r="G69" s="362">
        <f>IFERROR(VLOOKUP(C69,'تقرير المصروفات حسب الشهر'!$C$387:$AD$495,27,FALSE),0)</f>
        <v>0</v>
      </c>
      <c r="H69" s="362">
        <f>IFERROR(VLOOKUP(C69,'تقرير المصروفات حسب الشهر'!$C$512:$AD$620,27,FALSE),0)</f>
        <v>0</v>
      </c>
      <c r="I69" s="362">
        <f>IFERROR(VLOOKUP(C69,'تقرير المصروفات حسب الشهر'!$C$637:$AD$746,27,FALSE),0)</f>
        <v>0</v>
      </c>
      <c r="J69" s="362">
        <f>IFERROR(VLOOKUP(C69,'تقرير المصروفات حسب الشهر'!$C$763:$AD$872,27,FALSE),0)</f>
        <v>0</v>
      </c>
      <c r="K69" s="362">
        <f>IFERROR(VLOOKUP(C69,'تقرير المصروفات حسب الشهر'!$C$890:$AD$999,27,FALSE),0)</f>
        <v>0</v>
      </c>
      <c r="L69" s="362">
        <f>IFERROR(VLOOKUP(C69,'تقرير المصروفات حسب الشهر'!$C$1016:$AD$1126,27,FALSE),0)</f>
        <v>0</v>
      </c>
      <c r="M69" s="376">
        <f>IFERROR(VLOOKUP(C69,'تقرير المصروفات حسب الشهر'!$C$1143:$AD$1254,27,FALSE),0)</f>
        <v>0</v>
      </c>
      <c r="N69" s="376">
        <f>IFERROR(VLOOKUP(C69,'تقرير المصروفات حسب الشهر'!$C$1270:$AD$1381,27,FALSE),0)</f>
        <v>0</v>
      </c>
      <c r="O69" s="376">
        <f>IFERROR(VLOOKUP(C69,'تقرير المصروفات حسب الشهر'!$C$1397:$AD$1512,27,FALSE),0)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الشهر'!$C$10:$AD$119,27,FALSE),0)</f>
        <v>0</v>
      </c>
      <c r="E70" s="362">
        <f>IFERROR(VLOOKUP(C70,'تقرير المصروفات حسب الشهر'!$C$135:$AD$244,27,FALSE),0)</f>
        <v>0</v>
      </c>
      <c r="F70" s="362">
        <f>IFERROR(VLOOKUP(C70,'تقرير المصروفات حسب الشهر'!$C$261:$AD$368,27,FALSE),0)</f>
        <v>0</v>
      </c>
      <c r="G70" s="362">
        <f>IFERROR(VLOOKUP(C70,'تقرير المصروفات حسب الشهر'!$C$387:$AD$495,27,FALSE),0)</f>
        <v>0</v>
      </c>
      <c r="H70" s="362">
        <f>IFERROR(VLOOKUP(C70,'تقرير المصروفات حسب الشهر'!$C$512:$AD$620,27,FALSE),0)</f>
        <v>0</v>
      </c>
      <c r="I70" s="362">
        <f>IFERROR(VLOOKUP(C70,'تقرير المصروفات حسب الشهر'!$C$637:$AD$746,27,FALSE),0)</f>
        <v>0</v>
      </c>
      <c r="J70" s="362">
        <f>IFERROR(VLOOKUP(C70,'تقرير المصروفات حسب الشهر'!$C$763:$AD$872,27,FALSE),0)</f>
        <v>0</v>
      </c>
      <c r="K70" s="362">
        <f>IFERROR(VLOOKUP(C70,'تقرير المصروفات حسب الشهر'!$C$890:$AD$999,27,FALSE),0)</f>
        <v>0</v>
      </c>
      <c r="L70" s="362">
        <f>IFERROR(VLOOKUP(C70,'تقرير المصروفات حسب الشهر'!$C$1016:$AD$1126,27,FALSE),0)</f>
        <v>0</v>
      </c>
      <c r="M70" s="376">
        <f>IFERROR(VLOOKUP(C70,'تقرير المصروفات حسب الشهر'!$C$1143:$AD$1254,27,FALSE),0)</f>
        <v>0</v>
      </c>
      <c r="N70" s="376">
        <f>IFERROR(VLOOKUP(C70,'تقرير المصروفات حسب الشهر'!$C$1270:$AD$1381,27,FALSE),0)</f>
        <v>0</v>
      </c>
      <c r="O70" s="376">
        <f>IFERROR(VLOOKUP(C70,'تقرير المصروفات حسب الشهر'!$C$1397:$AD$1512,27,FALSE),0)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الشهر'!$C$10:$AD$119,27,FALSE),0)</f>
        <v>0</v>
      </c>
      <c r="E71" s="362">
        <f>IFERROR(VLOOKUP(C71,'تقرير المصروفات حسب الشهر'!$C$135:$AD$244,27,FALSE),0)</f>
        <v>0</v>
      </c>
      <c r="F71" s="362">
        <f>IFERROR(VLOOKUP(C71,'تقرير المصروفات حسب الشهر'!$C$261:$AD$368,27,FALSE),0)</f>
        <v>0</v>
      </c>
      <c r="G71" s="362">
        <f>IFERROR(VLOOKUP(C71,'تقرير المصروفات حسب الشهر'!$C$387:$AD$495,27,FALSE),0)</f>
        <v>0</v>
      </c>
      <c r="H71" s="362">
        <f>IFERROR(VLOOKUP(C71,'تقرير المصروفات حسب الشهر'!$C$512:$AD$620,27,FALSE),0)</f>
        <v>0</v>
      </c>
      <c r="I71" s="362">
        <f>IFERROR(VLOOKUP(C71,'تقرير المصروفات حسب الشهر'!$C$637:$AD$746,27,FALSE),0)</f>
        <v>0</v>
      </c>
      <c r="J71" s="362">
        <f>IFERROR(VLOOKUP(C71,'تقرير المصروفات حسب الشهر'!$C$763:$AD$872,27,FALSE),0)</f>
        <v>0</v>
      </c>
      <c r="K71" s="362">
        <f>IFERROR(VLOOKUP(C71,'تقرير المصروفات حسب الشهر'!$C$890:$AD$999,27,FALSE),0)</f>
        <v>0</v>
      </c>
      <c r="L71" s="362">
        <f>IFERROR(VLOOKUP(C71,'تقرير المصروفات حسب الشهر'!$C$1016:$AD$1126,27,FALSE),0)</f>
        <v>0</v>
      </c>
      <c r="M71" s="376">
        <f>IFERROR(VLOOKUP(C71,'تقرير المصروفات حسب الشهر'!$C$1143:$AD$1254,27,FALSE),0)</f>
        <v>0</v>
      </c>
      <c r="N71" s="376">
        <f>IFERROR(VLOOKUP(C71,'تقرير المصروفات حسب الشهر'!$C$1270:$AD$1381,27,FALSE),0)</f>
        <v>0</v>
      </c>
      <c r="O71" s="376">
        <f>IFERROR(VLOOKUP(C71,'تقرير المصروفات حسب الشهر'!$C$1397:$AD$1512,27,FALSE),0)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الشهر'!$C$10:$AD$119,27,FALSE),0)</f>
        <v>0</v>
      </c>
      <c r="E72" s="362">
        <f>IFERROR(VLOOKUP(C72,'تقرير المصروفات حسب الشهر'!$C$135:$AD$244,27,FALSE),0)</f>
        <v>0</v>
      </c>
      <c r="F72" s="362">
        <f>IFERROR(VLOOKUP(C72,'تقرير المصروفات حسب الشهر'!$C$261:$AD$368,27,FALSE),0)</f>
        <v>0</v>
      </c>
      <c r="G72" s="362">
        <f>IFERROR(VLOOKUP(C72,'تقرير المصروفات حسب الشهر'!$C$387:$AD$495,27,FALSE),0)</f>
        <v>0</v>
      </c>
      <c r="H72" s="362">
        <f>IFERROR(VLOOKUP(C72,'تقرير المصروفات حسب الشهر'!$C$512:$AD$620,27,FALSE),0)</f>
        <v>0</v>
      </c>
      <c r="I72" s="362">
        <f>IFERROR(VLOOKUP(C72,'تقرير المصروفات حسب الشهر'!$C$637:$AD$746,27,FALSE),0)</f>
        <v>0</v>
      </c>
      <c r="J72" s="362">
        <f>IFERROR(VLOOKUP(C72,'تقرير المصروفات حسب الشهر'!$C$763:$AD$872,27,FALSE),0)</f>
        <v>0</v>
      </c>
      <c r="K72" s="362">
        <f>IFERROR(VLOOKUP(C72,'تقرير المصروفات حسب الشهر'!$C$890:$AD$999,27,FALSE),0)</f>
        <v>0</v>
      </c>
      <c r="L72" s="362">
        <f>IFERROR(VLOOKUP(C72,'تقرير المصروفات حسب الشهر'!$C$1016:$AD$1126,27,FALSE),0)</f>
        <v>0</v>
      </c>
      <c r="M72" s="376">
        <f>IFERROR(VLOOKUP(C72,'تقرير المصروفات حسب الشهر'!$C$1143:$AD$1254,27,FALSE),0)</f>
        <v>0</v>
      </c>
      <c r="N72" s="376">
        <f>IFERROR(VLOOKUP(C72,'تقرير المصروفات حسب الشهر'!$C$1270:$AD$1381,27,FALSE),0)</f>
        <v>0</v>
      </c>
      <c r="O72" s="376">
        <f>IFERROR(VLOOKUP(C72,'تقرير المصروفات حسب الشهر'!$C$1397:$AD$1512,27,FALSE),0)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الشهر'!$C$10:$AD$119,27,FALSE),0)</f>
        <v>0</v>
      </c>
      <c r="E73" s="362">
        <f>IFERROR(VLOOKUP(C73,'تقرير المصروفات حسب الشهر'!$C$135:$AD$244,27,FALSE),0)</f>
        <v>0</v>
      </c>
      <c r="F73" s="362">
        <f>IFERROR(VLOOKUP(C73,'تقرير المصروفات حسب الشهر'!$C$261:$AD$368,27,FALSE),0)</f>
        <v>0</v>
      </c>
      <c r="G73" s="362">
        <f>IFERROR(VLOOKUP(C73,'تقرير المصروفات حسب الشهر'!$C$387:$AD$495,27,FALSE),0)</f>
        <v>0</v>
      </c>
      <c r="H73" s="362">
        <f>IFERROR(VLOOKUP(C73,'تقرير المصروفات حسب الشهر'!$C$512:$AD$620,27,FALSE),0)</f>
        <v>0</v>
      </c>
      <c r="I73" s="362">
        <f>IFERROR(VLOOKUP(C73,'تقرير المصروفات حسب الشهر'!$C$637:$AD$746,27,FALSE),0)</f>
        <v>0</v>
      </c>
      <c r="J73" s="362">
        <f>IFERROR(VLOOKUP(C73,'تقرير المصروفات حسب الشهر'!$C$763:$AD$872,27,FALSE),0)</f>
        <v>0</v>
      </c>
      <c r="K73" s="362">
        <f>IFERROR(VLOOKUP(C73,'تقرير المصروفات حسب الشهر'!$C$890:$AD$999,27,FALSE),0)</f>
        <v>0</v>
      </c>
      <c r="L73" s="362">
        <f>IFERROR(VLOOKUP(C73,'تقرير المصروفات حسب الشهر'!$C$1016:$AD$1126,27,FALSE),0)</f>
        <v>0</v>
      </c>
      <c r="M73" s="376">
        <f>IFERROR(VLOOKUP(C73,'تقرير المصروفات حسب الشهر'!$C$1143:$AD$1254,27,FALSE),0)</f>
        <v>0</v>
      </c>
      <c r="N73" s="376">
        <f>IFERROR(VLOOKUP(C73,'تقرير المصروفات حسب الشهر'!$C$1270:$AD$1381,27,FALSE),0)</f>
        <v>0</v>
      </c>
      <c r="O73" s="376">
        <f>IFERROR(VLOOKUP(C73,'تقرير المصروفات حسب الشهر'!$C$1397:$AD$1512,27,FALSE),0)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الشهر'!$C$10:$AD$119,27,FALSE),0)</f>
        <v>0</v>
      </c>
      <c r="E74" s="362">
        <f>IFERROR(VLOOKUP(C74,'تقرير المصروفات حسب الشهر'!$C$135:$AD$244,27,FALSE),0)</f>
        <v>0</v>
      </c>
      <c r="F74" s="362">
        <f>IFERROR(VLOOKUP(C74,'تقرير المصروفات حسب الشهر'!$C$261:$AD$368,27,FALSE),0)</f>
        <v>0</v>
      </c>
      <c r="G74" s="362">
        <f>IFERROR(VLOOKUP(C74,'تقرير المصروفات حسب الشهر'!$C$387:$AD$495,27,FALSE),0)</f>
        <v>0</v>
      </c>
      <c r="H74" s="362">
        <f>IFERROR(VLOOKUP(C74,'تقرير المصروفات حسب الشهر'!$C$512:$AD$620,27,FALSE),0)</f>
        <v>0</v>
      </c>
      <c r="I74" s="362">
        <f>IFERROR(VLOOKUP(C74,'تقرير المصروفات حسب الشهر'!$C$637:$AD$746,27,FALSE),0)</f>
        <v>0</v>
      </c>
      <c r="J74" s="362">
        <f>IFERROR(VLOOKUP(C74,'تقرير المصروفات حسب الشهر'!$C$763:$AD$872,27,FALSE),0)</f>
        <v>0</v>
      </c>
      <c r="K74" s="362">
        <f>IFERROR(VLOOKUP(C74,'تقرير المصروفات حسب الشهر'!$C$890:$AD$999,27,FALSE),0)</f>
        <v>0</v>
      </c>
      <c r="L74" s="362">
        <f>IFERROR(VLOOKUP(C74,'تقرير المصروفات حسب الشهر'!$C$1016:$AD$1126,27,FALSE),0)</f>
        <v>0</v>
      </c>
      <c r="M74" s="376">
        <f>IFERROR(VLOOKUP(C74,'تقرير المصروفات حسب الشهر'!$C$1143:$AD$1254,27,FALSE),0)</f>
        <v>0</v>
      </c>
      <c r="N74" s="376">
        <f>IFERROR(VLOOKUP(C74,'تقرير المصروفات حسب الشهر'!$C$1270:$AD$1381,27,FALSE),0)</f>
        <v>0</v>
      </c>
      <c r="O74" s="376">
        <f>IFERROR(VLOOKUP(C74,'تقرير المصروفات حسب الشهر'!$C$1397:$AD$1512,27,FALSE),0)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الشهر'!$C$10:$AD$119,27,FALSE),0)</f>
        <v>0</v>
      </c>
      <c r="E75" s="362">
        <f>IFERROR(VLOOKUP(C75,'تقرير المصروفات حسب الشهر'!$C$135:$AD$244,27,FALSE),0)</f>
        <v>0</v>
      </c>
      <c r="F75" s="362">
        <f>IFERROR(VLOOKUP(C75,'تقرير المصروفات حسب الشهر'!$C$261:$AD$368,27,FALSE),0)</f>
        <v>0</v>
      </c>
      <c r="G75" s="362">
        <f>IFERROR(VLOOKUP(C75,'تقرير المصروفات حسب الشهر'!$C$387:$AD$495,27,FALSE),0)</f>
        <v>0</v>
      </c>
      <c r="H75" s="362">
        <f>IFERROR(VLOOKUP(C75,'تقرير المصروفات حسب الشهر'!$C$512:$AD$620,27,FALSE),0)</f>
        <v>0</v>
      </c>
      <c r="I75" s="362">
        <f>IFERROR(VLOOKUP(C75,'تقرير المصروفات حسب الشهر'!$C$637:$AD$746,27,FALSE),0)</f>
        <v>0</v>
      </c>
      <c r="J75" s="362">
        <f>IFERROR(VLOOKUP(C75,'تقرير المصروفات حسب الشهر'!$C$763:$AD$872,27,FALSE),0)</f>
        <v>0</v>
      </c>
      <c r="K75" s="362">
        <f>IFERROR(VLOOKUP(C75,'تقرير المصروفات حسب الشهر'!$C$890:$AD$999,27,FALSE),0)</f>
        <v>0</v>
      </c>
      <c r="L75" s="362">
        <f>IFERROR(VLOOKUP(C75,'تقرير المصروفات حسب الشهر'!$C$1016:$AD$1126,27,FALSE),0)</f>
        <v>0</v>
      </c>
      <c r="M75" s="376">
        <f>IFERROR(VLOOKUP(C75,'تقرير المصروفات حسب الشهر'!$C$1143:$AD$1254,27,FALSE),0)</f>
        <v>0</v>
      </c>
      <c r="N75" s="376">
        <f>IFERROR(VLOOKUP(C75,'تقرير المصروفات حسب الشهر'!$C$1270:$AD$1381,27,FALSE),0)</f>
        <v>0</v>
      </c>
      <c r="O75" s="376">
        <f>IFERROR(VLOOKUP(C75,'تقرير المصروفات حسب الشهر'!$C$1397:$AD$1512,27,FALSE),0)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الشهر'!$C$10:$AD$119,27,FALSE),0)</f>
        <v>0</v>
      </c>
      <c r="E76" s="362">
        <f>IFERROR(VLOOKUP(C76,'تقرير المصروفات حسب الشهر'!$C$135:$AD$244,27,FALSE),0)</f>
        <v>0</v>
      </c>
      <c r="F76" s="362">
        <f>IFERROR(VLOOKUP(C76,'تقرير المصروفات حسب الشهر'!$C$261:$AD$368,27,FALSE),0)</f>
        <v>0</v>
      </c>
      <c r="G76" s="362">
        <f>IFERROR(VLOOKUP(C76,'تقرير المصروفات حسب الشهر'!$C$387:$AD$495,27,FALSE),0)</f>
        <v>0</v>
      </c>
      <c r="H76" s="362">
        <f>IFERROR(VLOOKUP(C76,'تقرير المصروفات حسب الشهر'!$C$512:$AD$620,27,FALSE),0)</f>
        <v>0</v>
      </c>
      <c r="I76" s="362">
        <f>IFERROR(VLOOKUP(C76,'تقرير المصروفات حسب الشهر'!$C$637:$AD$746,27,FALSE),0)</f>
        <v>0</v>
      </c>
      <c r="J76" s="362">
        <f>IFERROR(VLOOKUP(C76,'تقرير المصروفات حسب الشهر'!$C$763:$AD$872,27,FALSE),0)</f>
        <v>0</v>
      </c>
      <c r="K76" s="362">
        <f>IFERROR(VLOOKUP(C76,'تقرير المصروفات حسب الشهر'!$C$890:$AD$999,27,FALSE),0)</f>
        <v>0</v>
      </c>
      <c r="L76" s="362">
        <f>IFERROR(VLOOKUP(C76,'تقرير المصروفات حسب الشهر'!$C$1016:$AD$1126,27,FALSE),0)</f>
        <v>0</v>
      </c>
      <c r="M76" s="376">
        <f>IFERROR(VLOOKUP(C76,'تقرير المصروفات حسب الشهر'!$C$1143:$AD$1254,27,FALSE),0)</f>
        <v>0</v>
      </c>
      <c r="N76" s="376">
        <f>IFERROR(VLOOKUP(C76,'تقرير المصروفات حسب الشهر'!$C$1270:$AD$1381,27,FALSE),0)</f>
        <v>0</v>
      </c>
      <c r="O76" s="376">
        <f>IFERROR(VLOOKUP(C76,'تقرير المصروفات حسب الشهر'!$C$1397:$AD$1512,27,FALSE),0)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الشهر'!$C$10:$AD$119,27,FALSE),0)</f>
        <v>0</v>
      </c>
      <c r="E77" s="362">
        <f>IFERROR(VLOOKUP(C77,'تقرير المصروفات حسب الشهر'!$C$135:$AD$244,27,FALSE),0)</f>
        <v>0</v>
      </c>
      <c r="F77" s="362">
        <f>IFERROR(VLOOKUP(C77,'تقرير المصروفات حسب الشهر'!$C$261:$AD$368,27,FALSE),0)</f>
        <v>0</v>
      </c>
      <c r="G77" s="362">
        <f>IFERROR(VLOOKUP(C77,'تقرير المصروفات حسب الشهر'!$C$387:$AD$495,27,FALSE),0)</f>
        <v>0</v>
      </c>
      <c r="H77" s="362">
        <f>IFERROR(VLOOKUP(C77,'تقرير المصروفات حسب الشهر'!$C$512:$AD$620,27,FALSE),0)</f>
        <v>0</v>
      </c>
      <c r="I77" s="362">
        <f>IFERROR(VLOOKUP(C77,'تقرير المصروفات حسب الشهر'!$C$637:$AD$746,27,FALSE),0)</f>
        <v>0</v>
      </c>
      <c r="J77" s="362">
        <f>IFERROR(VLOOKUP(C77,'تقرير المصروفات حسب الشهر'!$C$763:$AD$872,27,FALSE),0)</f>
        <v>0</v>
      </c>
      <c r="K77" s="362">
        <f>IFERROR(VLOOKUP(C77,'تقرير المصروفات حسب الشهر'!$C$890:$AD$999,27,FALSE),0)</f>
        <v>0</v>
      </c>
      <c r="L77" s="362">
        <f>IFERROR(VLOOKUP(C77,'تقرير المصروفات حسب الشهر'!$C$1016:$AD$1126,27,FALSE),0)</f>
        <v>0</v>
      </c>
      <c r="M77" s="376">
        <f>IFERROR(VLOOKUP(C77,'تقرير المصروفات حسب الشهر'!$C$1143:$AD$1254,27,FALSE),0)</f>
        <v>0</v>
      </c>
      <c r="N77" s="376">
        <f>IFERROR(VLOOKUP(C77,'تقرير المصروفات حسب الشهر'!$C$1270:$AD$1381,27,FALSE),0)</f>
        <v>0</v>
      </c>
      <c r="O77" s="376">
        <f>IFERROR(VLOOKUP(C77,'تقرير المصروفات حسب الشهر'!$C$1397:$AD$1512,27,FALSE),0)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الشهر'!$C$10:$AD$119,27,FALSE),0)</f>
        <v>0</v>
      </c>
      <c r="E78" s="362">
        <f>IFERROR(VLOOKUP(C78,'تقرير المصروفات حسب الشهر'!$C$135:$AD$244,27,FALSE),0)</f>
        <v>0</v>
      </c>
      <c r="F78" s="362">
        <f>IFERROR(VLOOKUP(C78,'تقرير المصروفات حسب الشهر'!$C$261:$AD$368,27,FALSE),0)</f>
        <v>0</v>
      </c>
      <c r="G78" s="362">
        <f>IFERROR(VLOOKUP(C78,'تقرير المصروفات حسب الشهر'!$C$387:$AD$495,27,FALSE),0)</f>
        <v>0</v>
      </c>
      <c r="H78" s="362">
        <f>IFERROR(VLOOKUP(C78,'تقرير المصروفات حسب الشهر'!$C$512:$AD$620,27,FALSE),0)</f>
        <v>0</v>
      </c>
      <c r="I78" s="362">
        <f>IFERROR(VLOOKUP(C78,'تقرير المصروفات حسب الشهر'!$C$637:$AD$746,27,FALSE),0)</f>
        <v>0</v>
      </c>
      <c r="J78" s="362">
        <f>IFERROR(VLOOKUP(C78,'تقرير المصروفات حسب الشهر'!$C$763:$AD$872,27,FALSE),0)</f>
        <v>0</v>
      </c>
      <c r="K78" s="362">
        <f>IFERROR(VLOOKUP(C78,'تقرير المصروفات حسب الشهر'!$C$890:$AD$999,27,FALSE),0)</f>
        <v>0</v>
      </c>
      <c r="L78" s="362">
        <f>IFERROR(VLOOKUP(C78,'تقرير المصروفات حسب الشهر'!$C$1016:$AD$1126,27,FALSE),0)</f>
        <v>0</v>
      </c>
      <c r="M78" s="376">
        <f>IFERROR(VLOOKUP(C78,'تقرير المصروفات حسب الشهر'!$C$1143:$AD$1254,27,FALSE),0)</f>
        <v>0</v>
      </c>
      <c r="N78" s="376">
        <f>IFERROR(VLOOKUP(C78,'تقرير المصروفات حسب الشهر'!$C$1270:$AD$1381,27,FALSE),0)</f>
        <v>0</v>
      </c>
      <c r="O78" s="376">
        <f>IFERROR(VLOOKUP(C78,'تقرير المصروفات حسب الشهر'!$C$1397:$AD$1512,27,FALSE),0)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الشهر'!$C$10:$AD$119,27,FALSE),0)</f>
        <v>0</v>
      </c>
      <c r="E79" s="362">
        <f>IFERROR(VLOOKUP(C79,'تقرير المصروفات حسب الشهر'!$C$135:$AD$244,27,FALSE),0)</f>
        <v>0</v>
      </c>
      <c r="F79" s="362">
        <f>IFERROR(VLOOKUP(C79,'تقرير المصروفات حسب الشهر'!$C$261:$AD$368,27,FALSE),0)</f>
        <v>0</v>
      </c>
      <c r="G79" s="362">
        <f>IFERROR(VLOOKUP(C79,'تقرير المصروفات حسب الشهر'!$C$387:$AD$495,27,FALSE),0)</f>
        <v>0</v>
      </c>
      <c r="H79" s="362">
        <f>IFERROR(VLOOKUP(C79,'تقرير المصروفات حسب الشهر'!$C$512:$AD$620,27,FALSE),0)</f>
        <v>0</v>
      </c>
      <c r="I79" s="362">
        <f>IFERROR(VLOOKUP(C79,'تقرير المصروفات حسب الشهر'!$C$637:$AD$746,27,FALSE),0)</f>
        <v>0</v>
      </c>
      <c r="J79" s="362">
        <f>IFERROR(VLOOKUP(C79,'تقرير المصروفات حسب الشهر'!$C$763:$AD$872,27,FALSE),0)</f>
        <v>0</v>
      </c>
      <c r="K79" s="362">
        <f>IFERROR(VLOOKUP(C79,'تقرير المصروفات حسب الشهر'!$C$890:$AD$999,27,FALSE),0)</f>
        <v>0</v>
      </c>
      <c r="L79" s="362">
        <f>IFERROR(VLOOKUP(C79,'تقرير المصروفات حسب الشهر'!$C$1016:$AD$1126,27,FALSE),0)</f>
        <v>0</v>
      </c>
      <c r="M79" s="376">
        <f>IFERROR(VLOOKUP(C79,'تقرير المصروفات حسب الشهر'!$C$1143:$AD$1254,27,FALSE),0)</f>
        <v>0</v>
      </c>
      <c r="N79" s="376">
        <f>IFERROR(VLOOKUP(C79,'تقرير المصروفات حسب الشهر'!$C$1270:$AD$1381,27,FALSE),0)</f>
        <v>0</v>
      </c>
      <c r="O79" s="376">
        <f>IFERROR(VLOOKUP(C79,'تقرير المصروفات حسب الشهر'!$C$1397:$AD$1512,27,FALSE),0)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الشهر'!$C$10:$AD$119,27,FALSE),0)</f>
        <v>0</v>
      </c>
      <c r="E80" s="362">
        <f>IFERROR(VLOOKUP(C80,'تقرير المصروفات حسب الشهر'!$C$135:$AD$244,27,FALSE),0)</f>
        <v>0</v>
      </c>
      <c r="F80" s="362">
        <f>IFERROR(VLOOKUP(C80,'تقرير المصروفات حسب الشهر'!$C$261:$AD$368,27,FALSE),0)</f>
        <v>0</v>
      </c>
      <c r="G80" s="362">
        <f>IFERROR(VLOOKUP(C80,'تقرير المصروفات حسب الشهر'!$C$387:$AD$495,27,FALSE),0)</f>
        <v>0</v>
      </c>
      <c r="H80" s="362">
        <f>IFERROR(VLOOKUP(C80,'تقرير المصروفات حسب الشهر'!$C$512:$AD$620,27,FALSE),0)</f>
        <v>0</v>
      </c>
      <c r="I80" s="362">
        <f>IFERROR(VLOOKUP(C80,'تقرير المصروفات حسب الشهر'!$C$637:$AD$746,27,FALSE),0)</f>
        <v>0</v>
      </c>
      <c r="J80" s="362">
        <f>IFERROR(VLOOKUP(C80,'تقرير المصروفات حسب الشهر'!$C$763:$AD$872,27,FALSE),0)</f>
        <v>0</v>
      </c>
      <c r="K80" s="362">
        <f>IFERROR(VLOOKUP(C80,'تقرير المصروفات حسب الشهر'!$C$890:$AD$999,27,FALSE),0)</f>
        <v>0</v>
      </c>
      <c r="L80" s="362">
        <f>IFERROR(VLOOKUP(C80,'تقرير المصروفات حسب الشهر'!$C$1016:$AD$1126,27,FALSE),0)</f>
        <v>0</v>
      </c>
      <c r="M80" s="376">
        <f>IFERROR(VLOOKUP(C80,'تقرير المصروفات حسب الشهر'!$C$1143:$AD$1254,27,FALSE),0)</f>
        <v>0</v>
      </c>
      <c r="N80" s="376">
        <f>IFERROR(VLOOKUP(C80,'تقرير المصروفات حسب الشهر'!$C$1270:$AD$1381,27,FALSE),0)</f>
        <v>0</v>
      </c>
      <c r="O80" s="376">
        <f>IFERROR(VLOOKUP(C80,'تقرير المصروفات حسب الشهر'!$C$1397:$AD$1512,27,FALSE),0)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الشهر'!$C$10:$AD$119,27,FALSE),0)</f>
        <v>316</v>
      </c>
      <c r="E81" s="362">
        <f>IFERROR(VLOOKUP(C81,'تقرير المصروفات حسب الشهر'!$C$135:$AD$244,27,FALSE),0)</f>
        <v>100</v>
      </c>
      <c r="F81" s="362">
        <f>IFERROR(VLOOKUP(C81,'تقرير المصروفات حسب الشهر'!$C$261:$AD$368,27,FALSE),0)</f>
        <v>100</v>
      </c>
      <c r="G81" s="362">
        <f>IFERROR(VLOOKUP(C81,'تقرير المصروفات حسب الشهر'!$C$387:$AD$495,27,FALSE),0)</f>
        <v>100</v>
      </c>
      <c r="H81" s="362">
        <f>IFERROR(VLOOKUP(C81,'تقرير المصروفات حسب الشهر'!$C$512:$AD$620,27,FALSE),0)</f>
        <v>100</v>
      </c>
      <c r="I81" s="362">
        <f>IFERROR(VLOOKUP(C81,'تقرير المصروفات حسب الشهر'!$C$637:$AD$746,27,FALSE),0)</f>
        <v>100</v>
      </c>
      <c r="J81" s="362">
        <f>IFERROR(VLOOKUP(C81,'تقرير المصروفات حسب الشهر'!$C$763:$AD$872,27,FALSE),0)</f>
        <v>0</v>
      </c>
      <c r="K81" s="362">
        <f>IFERROR(VLOOKUP(C81,'تقرير المصروفات حسب الشهر'!$C$890:$AD$999,27,FALSE),0)</f>
        <v>300</v>
      </c>
      <c r="L81" s="362">
        <f>IFERROR(VLOOKUP(C81,'تقرير المصروفات حسب الشهر'!$C$1016:$AD$1126,27,FALSE),0)</f>
        <v>200</v>
      </c>
      <c r="M81" s="376">
        <f>IFERROR(VLOOKUP(C81,'تقرير المصروفات حسب الشهر'!$C$1143:$AD$1254,27,FALSE),0)</f>
        <v>200</v>
      </c>
      <c r="N81" s="376">
        <f>IFERROR(VLOOKUP(C81,'تقرير المصروفات حسب الشهر'!$C$1270:$AD$1381,27,FALSE),0)</f>
        <v>1150</v>
      </c>
      <c r="O81" s="376">
        <f>IFERROR(VLOOKUP(C81,'تقرير المصروفات حسب الشهر'!$C$1397:$AD$1512,27,FALSE),0)</f>
        <v>5400</v>
      </c>
      <c r="P81" s="364">
        <f t="shared" si="5"/>
        <v>8066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الشهر'!$C$10:$AD$119,27,FALSE),0)</f>
        <v>0</v>
      </c>
      <c r="E82" s="362">
        <f>IFERROR(VLOOKUP(C82,'تقرير المصروفات حسب الشهر'!$C$135:$AD$244,27,FALSE),0)</f>
        <v>0</v>
      </c>
      <c r="F82" s="362">
        <f>IFERROR(VLOOKUP(C82,'تقرير المصروفات حسب الشهر'!$C$261:$AD$368,27,FALSE),0)</f>
        <v>0</v>
      </c>
      <c r="G82" s="362">
        <f>IFERROR(VLOOKUP(C82,'تقرير المصروفات حسب الشهر'!$C$387:$AD$495,27,FALSE),0)</f>
        <v>0</v>
      </c>
      <c r="H82" s="362">
        <f>IFERROR(VLOOKUP(C82,'تقرير المصروفات حسب الشهر'!$C$512:$AD$620,27,FALSE),0)</f>
        <v>0</v>
      </c>
      <c r="I82" s="362">
        <f>IFERROR(VLOOKUP(C82,'تقرير المصروفات حسب الشهر'!$C$637:$AD$746,27,FALSE),0)</f>
        <v>0</v>
      </c>
      <c r="J82" s="362">
        <f>IFERROR(VLOOKUP(C82,'تقرير المصروفات حسب الشهر'!$C$763:$AD$872,27,FALSE),0)</f>
        <v>0</v>
      </c>
      <c r="K82" s="362">
        <f>IFERROR(VLOOKUP(C82,'تقرير المصروفات حسب الشهر'!$C$890:$AD$999,27,FALSE),0)</f>
        <v>0</v>
      </c>
      <c r="L82" s="362">
        <f>IFERROR(VLOOKUP(C82,'تقرير المصروفات حسب الشهر'!$C$1016:$AD$1126,27,FALSE),0)</f>
        <v>0</v>
      </c>
      <c r="M82" s="376">
        <f>IFERROR(VLOOKUP(C82,'تقرير المصروفات حسب الشهر'!$C$1143:$AD$1254,27,FALSE),0)</f>
        <v>0</v>
      </c>
      <c r="N82" s="376">
        <f>IFERROR(VLOOKUP(C82,'تقرير المصروفات حسب الشهر'!$C$1270:$AD$1381,27,FALSE),0)</f>
        <v>0</v>
      </c>
      <c r="O82" s="376">
        <f>IFERROR(VLOOKUP(C82,'تقرير المصروفات حسب الشهر'!$C$1397:$AD$1512,27,FALSE),0)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الشهر'!$C$10:$AD$119,27,FALSE),0)</f>
        <v>0</v>
      </c>
      <c r="E83" s="362">
        <f>IFERROR(VLOOKUP(C83,'تقرير المصروفات حسب الشهر'!$C$135:$AD$244,27,FALSE),0)</f>
        <v>0</v>
      </c>
      <c r="F83" s="362">
        <f>IFERROR(VLOOKUP(C83,'تقرير المصروفات حسب الشهر'!$C$261:$AD$368,27,FALSE),0)</f>
        <v>0</v>
      </c>
      <c r="G83" s="362">
        <f>IFERROR(VLOOKUP(C83,'تقرير المصروفات حسب الشهر'!$C$387:$AD$495,27,FALSE),0)</f>
        <v>0</v>
      </c>
      <c r="H83" s="362">
        <f>IFERROR(VLOOKUP(C83,'تقرير المصروفات حسب الشهر'!$C$512:$AD$620,27,FALSE),0)</f>
        <v>0</v>
      </c>
      <c r="I83" s="362">
        <f>IFERROR(VLOOKUP(C83,'تقرير المصروفات حسب الشهر'!$C$637:$AD$746,27,FALSE),0)</f>
        <v>0</v>
      </c>
      <c r="J83" s="362">
        <f>IFERROR(VLOOKUP(C83,'تقرير المصروفات حسب الشهر'!$C$763:$AD$872,27,FALSE),0)</f>
        <v>0</v>
      </c>
      <c r="K83" s="362">
        <f>IFERROR(VLOOKUP(C83,'تقرير المصروفات حسب الشهر'!$C$890:$AD$999,27,FALSE),0)</f>
        <v>0</v>
      </c>
      <c r="L83" s="362">
        <f>IFERROR(VLOOKUP(C83,'تقرير المصروفات حسب الشهر'!$C$1016:$AD$1126,27,FALSE),0)</f>
        <v>0</v>
      </c>
      <c r="M83" s="376">
        <f>IFERROR(VLOOKUP(C83,'تقرير المصروفات حسب الشهر'!$C$1143:$AD$1254,27,FALSE),0)</f>
        <v>0</v>
      </c>
      <c r="N83" s="376">
        <f>IFERROR(VLOOKUP(C83,'تقرير المصروفات حسب الشهر'!$C$1270:$AD$1381,27,FALSE),0)</f>
        <v>0</v>
      </c>
      <c r="O83" s="376">
        <f>IFERROR(VLOOKUP(C83,'تقرير المصروفات حسب الشهر'!$C$1397:$AD$1512,27,FALSE),0)</f>
        <v>600</v>
      </c>
      <c r="P83" s="364">
        <f t="shared" si="5"/>
        <v>600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الشهر'!$C$10:$AD$119,27,FALSE),0)</f>
        <v>0</v>
      </c>
      <c r="E84" s="362">
        <f>IFERROR(VLOOKUP(C84,'تقرير المصروفات حسب الشهر'!$C$135:$AD$244,27,FALSE),0)</f>
        <v>0</v>
      </c>
      <c r="F84" s="362">
        <f>IFERROR(VLOOKUP(C84,'تقرير المصروفات حسب الشهر'!$C$261:$AD$368,27,FALSE),0)</f>
        <v>0</v>
      </c>
      <c r="G84" s="362">
        <f>IFERROR(VLOOKUP(C84,'تقرير المصروفات حسب الشهر'!$C$387:$AD$495,27,FALSE),0)</f>
        <v>0</v>
      </c>
      <c r="H84" s="362">
        <f>IFERROR(VLOOKUP(C84,'تقرير المصروفات حسب الشهر'!$C$512:$AD$620,27,FALSE),0)</f>
        <v>0</v>
      </c>
      <c r="I84" s="362">
        <f>IFERROR(VLOOKUP(C84,'تقرير المصروفات حسب الشهر'!$C$637:$AD$746,27,FALSE),0)</f>
        <v>0</v>
      </c>
      <c r="J84" s="362">
        <f>IFERROR(VLOOKUP(C84,'تقرير المصروفات حسب الشهر'!$C$763:$AD$872,27,FALSE),0)</f>
        <v>0</v>
      </c>
      <c r="K84" s="362">
        <f>IFERROR(VLOOKUP(C84,'تقرير المصروفات حسب الشهر'!$C$890:$AD$999,27,FALSE),0)</f>
        <v>0</v>
      </c>
      <c r="L84" s="362">
        <f>IFERROR(VLOOKUP(C84,'تقرير المصروفات حسب الشهر'!$C$1016:$AD$1126,27,FALSE),0)</f>
        <v>0</v>
      </c>
      <c r="M84" s="376">
        <f>IFERROR(VLOOKUP(C84,'تقرير المصروفات حسب الشهر'!$C$1143:$AD$1254,27,FALSE),0)</f>
        <v>0</v>
      </c>
      <c r="N84" s="376">
        <f>IFERROR(VLOOKUP(C84,'تقرير المصروفات حسب الشهر'!$C$1270:$AD$1381,27,FALSE),0)</f>
        <v>0</v>
      </c>
      <c r="O84" s="376">
        <f>IFERROR(VLOOKUP(C84,'تقرير المصروفات حسب الشهر'!$C$1397:$AD$1512,27,FALSE),0)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الشهر'!$C$10:$AD$119,27,FALSE),0)</f>
        <v>0</v>
      </c>
      <c r="E85" s="362">
        <f>IFERROR(VLOOKUP(C85,'تقرير المصروفات حسب الشهر'!$C$135:$AD$244,27,FALSE),0)</f>
        <v>0</v>
      </c>
      <c r="F85" s="362">
        <f>IFERROR(VLOOKUP(C85,'تقرير المصروفات حسب الشهر'!$C$261:$AD$368,27,FALSE),0)</f>
        <v>0</v>
      </c>
      <c r="G85" s="362">
        <f>IFERROR(VLOOKUP(C85,'تقرير المصروفات حسب الشهر'!$C$387:$AD$495,27,FALSE),0)</f>
        <v>0</v>
      </c>
      <c r="H85" s="362">
        <f>IFERROR(VLOOKUP(C85,'تقرير المصروفات حسب الشهر'!$C$512:$AD$620,27,FALSE),0)</f>
        <v>0</v>
      </c>
      <c r="I85" s="362">
        <f>IFERROR(VLOOKUP(C85,'تقرير المصروفات حسب الشهر'!$C$637:$AD$746,27,FALSE),0)</f>
        <v>0</v>
      </c>
      <c r="J85" s="362">
        <f>IFERROR(VLOOKUP(C85,'تقرير المصروفات حسب الشهر'!$C$763:$AD$872,27,FALSE),0)</f>
        <v>0</v>
      </c>
      <c r="K85" s="362">
        <f>IFERROR(VLOOKUP(C85,'تقرير المصروفات حسب الشهر'!$C$890:$AD$999,27,FALSE),0)</f>
        <v>0</v>
      </c>
      <c r="L85" s="362">
        <f>IFERROR(VLOOKUP(C85,'تقرير المصروفات حسب الشهر'!$C$1016:$AD$1126,27,FALSE),0)</f>
        <v>0</v>
      </c>
      <c r="M85" s="376">
        <f>IFERROR(VLOOKUP(C85,'تقرير المصروفات حسب الشهر'!$C$1143:$AD$1254,27,FALSE),0)</f>
        <v>0</v>
      </c>
      <c r="N85" s="376">
        <f>IFERROR(VLOOKUP(C85,'تقرير المصروفات حسب الشهر'!$C$1270:$AD$1381,27,FALSE),0)</f>
        <v>0</v>
      </c>
      <c r="O85" s="376">
        <f>IFERROR(VLOOKUP(C85,'تقرير المصروفات حسب الشهر'!$C$1397:$AD$1512,27,FALSE),0)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الشهر'!$C$10:$AD$119,27,FALSE),0)</f>
        <v>0</v>
      </c>
      <c r="E86" s="362">
        <f>IFERROR(VLOOKUP(C86,'تقرير المصروفات حسب الشهر'!$C$135:$AD$244,27,FALSE),0)</f>
        <v>1959.65</v>
      </c>
      <c r="F86" s="362">
        <f>IFERROR(VLOOKUP(C86,'تقرير المصروفات حسب الشهر'!$C$261:$AD$368,27,FALSE),0)</f>
        <v>0</v>
      </c>
      <c r="G86" s="362">
        <f>IFERROR(VLOOKUP(C86,'تقرير المصروفات حسب الشهر'!$C$387:$AD$495,27,FALSE),0)</f>
        <v>0</v>
      </c>
      <c r="H86" s="362">
        <f>IFERROR(VLOOKUP(C86,'تقرير المصروفات حسب الشهر'!$C$512:$AD$620,27,FALSE),0)</f>
        <v>0</v>
      </c>
      <c r="I86" s="362">
        <f>IFERROR(VLOOKUP(C86,'تقرير المصروفات حسب الشهر'!$C$637:$AD$746,27,FALSE),0)</f>
        <v>2071.67</v>
      </c>
      <c r="J86" s="362">
        <f>IFERROR(VLOOKUP(C86,'تقرير المصروفات حسب الشهر'!$C$763:$AD$872,27,FALSE),0)</f>
        <v>979</v>
      </c>
      <c r="K86" s="362">
        <f>IFERROR(VLOOKUP(C86,'تقرير المصروفات حسب الشهر'!$C$890:$AD$999,27,FALSE),0)</f>
        <v>0</v>
      </c>
      <c r="L86" s="362">
        <f>IFERROR(VLOOKUP(C86,'تقرير المصروفات حسب الشهر'!$C$1016:$AD$1126,27,FALSE),0)</f>
        <v>0</v>
      </c>
      <c r="M86" s="376">
        <f>IFERROR(VLOOKUP(C86,'تقرير المصروفات حسب الشهر'!$C$1143:$AD$1254,27,FALSE),0)</f>
        <v>1075.76</v>
      </c>
      <c r="N86" s="376">
        <f>IFERROR(VLOOKUP(C86,'تقرير المصروفات حسب الشهر'!$C$1270:$AD$1381,27,FALSE),0)</f>
        <v>2574.8200000000002</v>
      </c>
      <c r="O86" s="376">
        <f>IFERROR(VLOOKUP(C86,'تقرير المصروفات حسب الشهر'!$C$1397:$AD$1512,27,FALSE),0)</f>
        <v>0</v>
      </c>
      <c r="P86" s="364">
        <f t="shared" si="5"/>
        <v>8660.9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الشهر'!$C$10:$AD$119,27,FALSE),0)</f>
        <v>0</v>
      </c>
      <c r="E87" s="362">
        <f>IFERROR(VLOOKUP(C87,'تقرير المصروفات حسب الشهر'!$C$135:$AD$244,27,FALSE),0)</f>
        <v>0</v>
      </c>
      <c r="F87" s="362">
        <f>IFERROR(VLOOKUP(C87,'تقرير المصروفات حسب الشهر'!$C$261:$AD$368,27,FALSE),0)</f>
        <v>0</v>
      </c>
      <c r="G87" s="362">
        <f>IFERROR(VLOOKUP(C87,'تقرير المصروفات حسب الشهر'!$C$387:$AD$495,27,FALSE),0)</f>
        <v>0</v>
      </c>
      <c r="H87" s="362">
        <f>IFERROR(VLOOKUP(C87,'تقرير المصروفات حسب الشهر'!$C$512:$AD$620,27,FALSE),0)</f>
        <v>0</v>
      </c>
      <c r="I87" s="362">
        <f>IFERROR(VLOOKUP(C87,'تقرير المصروفات حسب الشهر'!$C$637:$AD$746,27,FALSE),0)</f>
        <v>0</v>
      </c>
      <c r="J87" s="362">
        <f>IFERROR(VLOOKUP(C87,'تقرير المصروفات حسب الشهر'!$C$763:$AD$872,27,FALSE),0)</f>
        <v>0</v>
      </c>
      <c r="K87" s="362">
        <f>IFERROR(VLOOKUP(C87,'تقرير المصروفات حسب الشهر'!$C$890:$AD$999,27,FALSE),0)</f>
        <v>0</v>
      </c>
      <c r="L87" s="362">
        <f>IFERROR(VLOOKUP(C87,'تقرير المصروفات حسب الشهر'!$C$1016:$AD$1126,27,FALSE),0)</f>
        <v>0</v>
      </c>
      <c r="M87" s="376">
        <f>IFERROR(VLOOKUP(C87,'تقرير المصروفات حسب الشهر'!$C$1143:$AD$1254,27,FALSE),0)</f>
        <v>0</v>
      </c>
      <c r="N87" s="376">
        <f>IFERROR(VLOOKUP(C87,'تقرير المصروفات حسب الشهر'!$C$1270:$AD$1381,27,FALSE),0)</f>
        <v>0</v>
      </c>
      <c r="O87" s="376">
        <f>IFERROR(VLOOKUP(C87,'تقرير المصروفات حسب الشهر'!$C$1397:$AD$1512,27,FALSE),0)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الشهر'!$C$10:$AD$119,27,FALSE),0)</f>
        <v>0</v>
      </c>
      <c r="E88" s="362">
        <f>IFERROR(VLOOKUP(C88,'تقرير المصروفات حسب الشهر'!$C$135:$AD$244,27,FALSE),0)</f>
        <v>0</v>
      </c>
      <c r="F88" s="362">
        <f>IFERROR(VLOOKUP(C88,'تقرير المصروفات حسب الشهر'!$C$261:$AD$368,27,FALSE),0)</f>
        <v>0</v>
      </c>
      <c r="G88" s="362">
        <f>IFERROR(VLOOKUP(C88,'تقرير المصروفات حسب الشهر'!$C$387:$AD$495,27,FALSE),0)</f>
        <v>0</v>
      </c>
      <c r="H88" s="362">
        <f>IFERROR(VLOOKUP(C88,'تقرير المصروفات حسب الشهر'!$C$512:$AD$620,27,FALSE),0)</f>
        <v>333</v>
      </c>
      <c r="I88" s="362">
        <f>IFERROR(VLOOKUP(C88,'تقرير المصروفات حسب الشهر'!$C$637:$AD$746,27,FALSE),0)</f>
        <v>0</v>
      </c>
      <c r="J88" s="362">
        <f>IFERROR(VLOOKUP(C88,'تقرير المصروفات حسب الشهر'!$C$763:$AD$872,27,FALSE),0)</f>
        <v>0</v>
      </c>
      <c r="K88" s="362">
        <f>IFERROR(VLOOKUP(C88,'تقرير المصروفات حسب الشهر'!$C$890:$AD$999,27,FALSE),0)</f>
        <v>0</v>
      </c>
      <c r="L88" s="362">
        <f>IFERROR(VLOOKUP(C88,'تقرير المصروفات حسب الشهر'!$C$1016:$AD$1126,27,FALSE),0)</f>
        <v>0</v>
      </c>
      <c r="M88" s="376">
        <f>IFERROR(VLOOKUP(C88,'تقرير المصروفات حسب الشهر'!$C$1143:$AD$1254,27,FALSE),0)</f>
        <v>0</v>
      </c>
      <c r="N88" s="376">
        <f>IFERROR(VLOOKUP(C88,'تقرير المصروفات حسب الشهر'!$C$1270:$AD$1381,27,FALSE),0)</f>
        <v>0</v>
      </c>
      <c r="O88" s="376">
        <f>IFERROR(VLOOKUP(C88,'تقرير المصروفات حسب الشهر'!$C$1397:$AD$1512,27,FALSE),0)</f>
        <v>0</v>
      </c>
      <c r="P88" s="364">
        <f t="shared" si="6"/>
        <v>333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الشهر'!$C$10:$AD$119,27,FALSE),0)</f>
        <v>0</v>
      </c>
      <c r="E89" s="362">
        <f>IFERROR(VLOOKUP(C89,'تقرير المصروفات حسب الشهر'!$C$135:$AD$244,27,FALSE),0)</f>
        <v>0</v>
      </c>
      <c r="F89" s="362">
        <f>IFERROR(VLOOKUP(C89,'تقرير المصروفات حسب الشهر'!$C$261:$AD$368,27,FALSE),0)</f>
        <v>0</v>
      </c>
      <c r="G89" s="362">
        <f>IFERROR(VLOOKUP(C89,'تقرير المصروفات حسب الشهر'!$C$387:$AD$495,27,FALSE),0)</f>
        <v>0</v>
      </c>
      <c r="H89" s="362">
        <f>IFERROR(VLOOKUP(C89,'تقرير المصروفات حسب الشهر'!$C$512:$AD$620,27,FALSE),0)</f>
        <v>0</v>
      </c>
      <c r="I89" s="362">
        <f>IFERROR(VLOOKUP(C89,'تقرير المصروفات حسب الشهر'!$C$637:$AD$746,27,FALSE),0)</f>
        <v>0</v>
      </c>
      <c r="J89" s="362">
        <f>IFERROR(VLOOKUP(C89,'تقرير المصروفات حسب الشهر'!$C$763:$AD$872,27,FALSE),0)</f>
        <v>0</v>
      </c>
      <c r="K89" s="362">
        <f>IFERROR(VLOOKUP(C89,'تقرير المصروفات حسب الشهر'!$C$890:$AD$999,27,FALSE),0)</f>
        <v>0</v>
      </c>
      <c r="L89" s="362">
        <f>IFERROR(VLOOKUP(C89,'تقرير المصروفات حسب الشهر'!$C$1016:$AD$1126,27,FALSE),0)</f>
        <v>0</v>
      </c>
      <c r="M89" s="376">
        <f>IFERROR(VLOOKUP(C89,'تقرير المصروفات حسب الشهر'!$C$1143:$AD$1254,27,FALSE),0)</f>
        <v>0</v>
      </c>
      <c r="N89" s="376">
        <f>IFERROR(VLOOKUP(C89,'تقرير المصروفات حسب الشهر'!$C$1270:$AD$1381,27,FALSE),0)</f>
        <v>0</v>
      </c>
      <c r="O89" s="376">
        <f>IFERROR(VLOOKUP(C89,'تقرير المصروفات حسب الشهر'!$C$1397:$AD$1512,27,FALSE),0)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الشهر'!$C$10:$AD$119,27,FALSE),0)</f>
        <v>0</v>
      </c>
      <c r="E90" s="362">
        <f>IFERROR(VLOOKUP(C90,'تقرير المصروفات حسب الشهر'!$C$135:$AD$244,27,FALSE),0)</f>
        <v>0</v>
      </c>
      <c r="F90" s="362">
        <f>IFERROR(VLOOKUP(C90,'تقرير المصروفات حسب الشهر'!$C$261:$AD$368,27,FALSE),0)</f>
        <v>0</v>
      </c>
      <c r="G90" s="362">
        <f>IFERROR(VLOOKUP(C90,'تقرير المصروفات حسب الشهر'!$C$387:$AD$495,27,FALSE),0)</f>
        <v>0</v>
      </c>
      <c r="H90" s="362">
        <f>IFERROR(VLOOKUP(C90,'تقرير المصروفات حسب الشهر'!$C$512:$AD$620,27,FALSE),0)</f>
        <v>0</v>
      </c>
      <c r="I90" s="362">
        <f>IFERROR(VLOOKUP(C90,'تقرير المصروفات حسب الشهر'!$C$637:$AD$746,27,FALSE),0)</f>
        <v>0</v>
      </c>
      <c r="J90" s="362">
        <f>IFERROR(VLOOKUP(C90,'تقرير المصروفات حسب الشهر'!$C$763:$AD$872,27,FALSE),0)</f>
        <v>0</v>
      </c>
      <c r="K90" s="362">
        <f>IFERROR(VLOOKUP(C90,'تقرير المصروفات حسب الشهر'!$C$890:$AD$999,27,FALSE),0)</f>
        <v>0</v>
      </c>
      <c r="L90" s="362">
        <f>IFERROR(VLOOKUP(C90,'تقرير المصروفات حسب الشهر'!$C$1016:$AD$1126,27,FALSE),0)</f>
        <v>0</v>
      </c>
      <c r="M90" s="376">
        <f>IFERROR(VLOOKUP(C90,'تقرير المصروفات حسب الشهر'!$C$1143:$AD$1254,27,FALSE),0)</f>
        <v>0</v>
      </c>
      <c r="N90" s="376">
        <f>IFERROR(VLOOKUP(C90,'تقرير المصروفات حسب الشهر'!$C$1270:$AD$1381,27,FALSE),0)</f>
        <v>0</v>
      </c>
      <c r="O90" s="376">
        <f>IFERROR(VLOOKUP(C90,'تقرير المصروفات حسب الشهر'!$C$1397:$AD$1512,27,FALSE),0)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الشهر'!$C$10:$AD$119,27,FALSE),0)</f>
        <v>0</v>
      </c>
      <c r="E91" s="362">
        <f>IFERROR(VLOOKUP(C91,'تقرير المصروفات حسب الشهر'!$C$135:$AD$244,27,FALSE),0)</f>
        <v>0</v>
      </c>
      <c r="F91" s="362">
        <f>IFERROR(VLOOKUP(C91,'تقرير المصروفات حسب الشهر'!$C$261:$AD$368,27,FALSE),0)</f>
        <v>0</v>
      </c>
      <c r="G91" s="362">
        <f>IFERROR(VLOOKUP(C91,'تقرير المصروفات حسب الشهر'!$C$387:$AD$495,27,FALSE),0)</f>
        <v>0</v>
      </c>
      <c r="H91" s="362">
        <f>IFERROR(VLOOKUP(C91,'تقرير المصروفات حسب الشهر'!$C$512:$AD$620,27,FALSE),0)</f>
        <v>0</v>
      </c>
      <c r="I91" s="362">
        <f>IFERROR(VLOOKUP(C91,'تقرير المصروفات حسب الشهر'!$C$637:$AD$746,27,FALSE),0)</f>
        <v>0</v>
      </c>
      <c r="J91" s="362">
        <f>IFERROR(VLOOKUP(C91,'تقرير المصروفات حسب الشهر'!$C$763:$AD$872,27,FALSE),0)</f>
        <v>0</v>
      </c>
      <c r="K91" s="362">
        <f>IFERROR(VLOOKUP(C91,'تقرير المصروفات حسب الشهر'!$C$890:$AD$999,27,FALSE),0)</f>
        <v>0</v>
      </c>
      <c r="L91" s="362">
        <f>IFERROR(VLOOKUP(C91,'تقرير المصروفات حسب الشهر'!$C$1016:$AD$1126,27,FALSE),0)</f>
        <v>0</v>
      </c>
      <c r="M91" s="376">
        <f>IFERROR(VLOOKUP(C91,'تقرير المصروفات حسب الشهر'!$C$1143:$AD$1254,27,FALSE),0)</f>
        <v>0</v>
      </c>
      <c r="N91" s="376">
        <f>IFERROR(VLOOKUP(C91,'تقرير المصروفات حسب الشهر'!$C$1270:$AD$1381,27,FALSE),0)</f>
        <v>0</v>
      </c>
      <c r="O91" s="376">
        <f>IFERROR(VLOOKUP(C91,'تقرير المصروفات حسب الشهر'!$C$1397:$AD$1512,27,FALSE),0)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الشهر'!$C$10:$AD$119,27,FALSE),0)</f>
        <v>0</v>
      </c>
      <c r="E92" s="362">
        <f>IFERROR(VLOOKUP(C92,'تقرير المصروفات حسب الشهر'!$C$135:$AD$244,27,FALSE),0)</f>
        <v>0</v>
      </c>
      <c r="F92" s="362">
        <f>IFERROR(VLOOKUP(C92,'تقرير المصروفات حسب الشهر'!$C$261:$AD$368,27,FALSE),0)</f>
        <v>0</v>
      </c>
      <c r="G92" s="362">
        <f>IFERROR(VLOOKUP(C92,'تقرير المصروفات حسب الشهر'!$C$387:$AD$495,27,FALSE),0)</f>
        <v>0</v>
      </c>
      <c r="H92" s="362">
        <f>IFERROR(VLOOKUP(C92,'تقرير المصروفات حسب الشهر'!$C$512:$AD$620,27,FALSE),0)</f>
        <v>0</v>
      </c>
      <c r="I92" s="362">
        <f>IFERROR(VLOOKUP(C92,'تقرير المصروفات حسب الشهر'!$C$637:$AD$746,27,FALSE),0)</f>
        <v>0</v>
      </c>
      <c r="J92" s="362">
        <f>IFERROR(VLOOKUP(C92,'تقرير المصروفات حسب الشهر'!$C$763:$AD$872,27,FALSE),0)</f>
        <v>0</v>
      </c>
      <c r="K92" s="362">
        <f>IFERROR(VLOOKUP(C92,'تقرير المصروفات حسب الشهر'!$C$890:$AD$999,27,FALSE),0)</f>
        <v>0</v>
      </c>
      <c r="L92" s="362">
        <f>IFERROR(VLOOKUP(C92,'تقرير المصروفات حسب الشهر'!$C$1016:$AD$1126,27,FALSE),0)</f>
        <v>0</v>
      </c>
      <c r="M92" s="376">
        <f>IFERROR(VLOOKUP(C92,'تقرير المصروفات حسب الشهر'!$C$1143:$AD$1254,27,FALSE),0)</f>
        <v>0</v>
      </c>
      <c r="N92" s="376">
        <f>IFERROR(VLOOKUP(C92,'تقرير المصروفات حسب الشهر'!$C$1270:$AD$1381,27,FALSE),0)</f>
        <v>0</v>
      </c>
      <c r="O92" s="376">
        <f>IFERROR(VLOOKUP(C92,'تقرير المصروفات حسب الشهر'!$C$1397:$AD$1512,27,FALSE),0)</f>
        <v>0</v>
      </c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الشهر'!$C$10:$AD$119,27,FALSE),0)</f>
        <v>0</v>
      </c>
      <c r="E93" s="362">
        <f>IFERROR(VLOOKUP(C93,'تقرير المصروفات حسب الشهر'!$C$135:$AD$244,27,FALSE),0)</f>
        <v>0</v>
      </c>
      <c r="F93" s="362">
        <f>IFERROR(VLOOKUP(C93,'تقرير المصروفات حسب الشهر'!$C$261:$AD$368,27,FALSE),0)</f>
        <v>0</v>
      </c>
      <c r="G93" s="362">
        <f>IFERROR(VLOOKUP(C93,'تقرير المصروفات حسب الشهر'!$C$387:$AD$495,27,FALSE),0)</f>
        <v>0</v>
      </c>
      <c r="H93" s="362">
        <f>IFERROR(VLOOKUP(C93,'تقرير المصروفات حسب الشهر'!$C$512:$AD$620,27,FALSE),0)</f>
        <v>0</v>
      </c>
      <c r="I93" s="362">
        <f>IFERROR(VLOOKUP(C93,'تقرير المصروفات حسب الشهر'!$C$637:$AD$746,27,FALSE),0)</f>
        <v>0</v>
      </c>
      <c r="J93" s="362">
        <f>IFERROR(VLOOKUP(C93,'تقرير المصروفات حسب الشهر'!$C$763:$AD$872,27,FALSE),0)</f>
        <v>668</v>
      </c>
      <c r="K93" s="362">
        <f>IFERROR(VLOOKUP(C93,'تقرير المصروفات حسب الشهر'!$C$890:$AD$999,27,FALSE),0)</f>
        <v>0</v>
      </c>
      <c r="L93" s="362">
        <f>IFERROR(VLOOKUP(C93,'تقرير المصروفات حسب الشهر'!$C$1016:$AD$1126,27,FALSE),0)</f>
        <v>0</v>
      </c>
      <c r="M93" s="376">
        <f>IFERROR(VLOOKUP(C93,'تقرير المصروفات حسب الشهر'!$C$1143:$AD$1254,27,FALSE),0)</f>
        <v>0</v>
      </c>
      <c r="N93" s="376">
        <f>IFERROR(VLOOKUP(C93,'تقرير المصروفات حسب الشهر'!$C$1270:$AD$1381,27,FALSE),0)</f>
        <v>0</v>
      </c>
      <c r="O93" s="376">
        <f>IFERROR(VLOOKUP(C93,'تقرير المصروفات حسب الشهر'!$C$1397:$AD$1512,27,FALSE),0)</f>
        <v>0</v>
      </c>
      <c r="P93" s="364">
        <f t="shared" si="6"/>
        <v>668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الشهر'!$C$10:$AD$119,27,FALSE),0)</f>
        <v>0</v>
      </c>
      <c r="E94" s="362">
        <f>IFERROR(VLOOKUP(C94,'تقرير المصروفات حسب الشهر'!$C$135:$AD$244,27,FALSE),0)</f>
        <v>0</v>
      </c>
      <c r="F94" s="362">
        <f>IFERROR(VLOOKUP(C94,'تقرير المصروفات حسب الشهر'!$C$261:$AD$368,27,FALSE),0)</f>
        <v>320</v>
      </c>
      <c r="G94" s="362">
        <f>IFERROR(VLOOKUP(C94,'تقرير المصروفات حسب الشهر'!$C$387:$AD$495,27,FALSE),0)</f>
        <v>375</v>
      </c>
      <c r="H94" s="362">
        <f>IFERROR(VLOOKUP(C94,'تقرير المصروفات حسب الشهر'!$C$512:$AD$620,27,FALSE),0)</f>
        <v>380</v>
      </c>
      <c r="I94" s="362">
        <f>IFERROR(VLOOKUP(C94,'تقرير المصروفات حسب الشهر'!$C$637:$AD$746,27,FALSE),0)</f>
        <v>375</v>
      </c>
      <c r="J94" s="362">
        <f>IFERROR(VLOOKUP(C94,'تقرير المصروفات حسب الشهر'!$C$763:$AD$872,27,FALSE),0)</f>
        <v>0</v>
      </c>
      <c r="K94" s="362">
        <f>IFERROR(VLOOKUP(C94,'تقرير المصروفات حسب الشهر'!$C$890:$AD$999,27,FALSE),0)</f>
        <v>380</v>
      </c>
      <c r="L94" s="362">
        <f>IFERROR(VLOOKUP(C94,'تقرير المصروفات حسب الشهر'!$C$1016:$AD$1126,27,FALSE),0)</f>
        <v>609</v>
      </c>
      <c r="M94" s="376">
        <f>IFERROR(VLOOKUP(C94,'تقرير المصروفات حسب الشهر'!$C$1143:$AD$1254,27,FALSE),0)</f>
        <v>797</v>
      </c>
      <c r="N94" s="376">
        <f>IFERROR(VLOOKUP(C94,'تقرير المصروفات حسب الشهر'!$C$1270:$AD$1381,27,FALSE),0)</f>
        <v>400</v>
      </c>
      <c r="O94" s="376">
        <f>IFERROR(VLOOKUP(C94,'تقرير المصروفات حسب الشهر'!$C$1397:$AD$1512,27,FALSE),0)</f>
        <v>0</v>
      </c>
      <c r="P94" s="364">
        <f t="shared" si="6"/>
        <v>3636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الشهر'!$C$10:$AD$119,27,FALSE),0)</f>
        <v>0</v>
      </c>
      <c r="E95" s="362">
        <f>IFERROR(VLOOKUP(C95,'تقرير المصروفات حسب الشهر'!$C$135:$AD$244,27,FALSE),0)</f>
        <v>0</v>
      </c>
      <c r="F95" s="362">
        <f>IFERROR(VLOOKUP(C95,'تقرير المصروفات حسب الشهر'!$C$261:$AD$368,27,FALSE),0)</f>
        <v>0</v>
      </c>
      <c r="G95" s="362">
        <f>IFERROR(VLOOKUP(C95,'تقرير المصروفات حسب الشهر'!$C$387:$AD$495,27,FALSE),0)</f>
        <v>0</v>
      </c>
      <c r="H95" s="362">
        <f>IFERROR(VLOOKUP(C95,'تقرير المصروفات حسب الشهر'!$C$512:$AD$620,27,FALSE),0)</f>
        <v>0</v>
      </c>
      <c r="I95" s="362">
        <f>IFERROR(VLOOKUP(C95,'تقرير المصروفات حسب الشهر'!$C$637:$AD$746,27,FALSE),0)</f>
        <v>0</v>
      </c>
      <c r="J95" s="362">
        <f>IFERROR(VLOOKUP(C95,'تقرير المصروفات حسب الشهر'!$C$763:$AD$872,27,FALSE),0)</f>
        <v>0</v>
      </c>
      <c r="K95" s="362">
        <f>IFERROR(VLOOKUP(C95,'تقرير المصروفات حسب الشهر'!$C$890:$AD$999,27,FALSE),0)</f>
        <v>0</v>
      </c>
      <c r="L95" s="362">
        <f>IFERROR(VLOOKUP(C95,'تقرير المصروفات حسب الشهر'!$C$1016:$AD$1126,27,FALSE),0)</f>
        <v>2130</v>
      </c>
      <c r="M95" s="376">
        <f>IFERROR(VLOOKUP(C95,'تقرير المصروفات حسب الشهر'!$C$1143:$AD$1254,27,FALSE),0)</f>
        <v>1065</v>
      </c>
      <c r="N95" s="376">
        <f>IFERROR(VLOOKUP(C95,'تقرير المصروفات حسب الشهر'!$C$1270:$AD$1381,27,FALSE),0)</f>
        <v>1065</v>
      </c>
      <c r="O95" s="376">
        <f>IFERROR(VLOOKUP(C95,'تقرير المصروفات حسب الشهر'!$C$1397:$AD$1512,27,FALSE),0)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الشهر'!$C$10:$AD$119,27,FALSE),0)</f>
        <v>0</v>
      </c>
      <c r="E96" s="362">
        <f>IFERROR(VLOOKUP(C96,'تقرير المصروفات حسب الشهر'!$C$135:$AD$244,27,FALSE),0)</f>
        <v>0</v>
      </c>
      <c r="F96" s="362">
        <f>IFERROR(VLOOKUP(C96,'تقرير المصروفات حسب الشهر'!$C$261:$AD$368,27,FALSE),0)</f>
        <v>0</v>
      </c>
      <c r="G96" s="362">
        <f>IFERROR(VLOOKUP(C96,'تقرير المصروفات حسب الشهر'!$C$387:$AD$495,27,FALSE),0)</f>
        <v>0</v>
      </c>
      <c r="H96" s="362">
        <f>IFERROR(VLOOKUP(C96,'تقرير المصروفات حسب الشهر'!$C$512:$AD$620,27,FALSE),0)</f>
        <v>0</v>
      </c>
      <c r="I96" s="362">
        <f>IFERROR(VLOOKUP(C96,'تقرير المصروفات حسب الشهر'!$C$637:$AD$746,27,FALSE),0)</f>
        <v>0</v>
      </c>
      <c r="J96" s="362">
        <f>IFERROR(VLOOKUP(C96,'تقرير المصروفات حسب الشهر'!$C$763:$AD$872,27,FALSE),0)</f>
        <v>0</v>
      </c>
      <c r="K96" s="362">
        <f>IFERROR(VLOOKUP(C96,'تقرير المصروفات حسب الشهر'!$C$890:$AD$999,27,FALSE),0)</f>
        <v>0</v>
      </c>
      <c r="L96" s="362">
        <f>IFERROR(VLOOKUP(C96,'تقرير المصروفات حسب الشهر'!$C$1016:$AD$1126,27,FALSE),0)</f>
        <v>0</v>
      </c>
      <c r="M96" s="376">
        <f>IFERROR(VLOOKUP(C96,'تقرير المصروفات حسب الشهر'!$C$1143:$AD$1254,27,FALSE),0)</f>
        <v>0</v>
      </c>
      <c r="N96" s="376">
        <f>IFERROR(VLOOKUP(C96,'تقرير المصروفات حسب الشهر'!$C$1270:$AD$1381,27,FALSE),0)</f>
        <v>0</v>
      </c>
      <c r="O96" s="376">
        <f>IFERROR(VLOOKUP(C96,'تقرير المصروفات حسب الشهر'!$C$1397:$AD$1512,27,FALSE),0)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الشهر'!$C$10:$AD$119,27,FALSE),0)</f>
        <v>0</v>
      </c>
      <c r="E97" s="362">
        <f>IFERROR(VLOOKUP(C97,'تقرير المصروفات حسب الشهر'!$C$135:$AD$244,27,FALSE),0)</f>
        <v>0</v>
      </c>
      <c r="F97" s="362">
        <f>IFERROR(VLOOKUP(C97,'تقرير المصروفات حسب الشهر'!$C$261:$AD$368,27,FALSE),0)</f>
        <v>0</v>
      </c>
      <c r="G97" s="362">
        <f>IFERROR(VLOOKUP(C97,'تقرير المصروفات حسب الشهر'!$C$387:$AD$495,27,FALSE),0)</f>
        <v>0</v>
      </c>
      <c r="H97" s="362">
        <f>IFERROR(VLOOKUP(C97,'تقرير المصروفات حسب الشهر'!$C$512:$AD$620,27,FALSE),0)</f>
        <v>0</v>
      </c>
      <c r="I97" s="362">
        <f>IFERROR(VLOOKUP(C97,'تقرير المصروفات حسب الشهر'!$C$637:$AD$746,27,FALSE),0)</f>
        <v>0</v>
      </c>
      <c r="J97" s="362">
        <f>IFERROR(VLOOKUP(C97,'تقرير المصروفات حسب الشهر'!$C$763:$AD$872,27,FALSE),0)</f>
        <v>0</v>
      </c>
      <c r="K97" s="362">
        <f>IFERROR(VLOOKUP(C97,'تقرير المصروفات حسب الشهر'!$C$890:$AD$999,27,FALSE),0)</f>
        <v>0</v>
      </c>
      <c r="L97" s="362">
        <f>IFERROR(VLOOKUP(C97,'تقرير المصروفات حسب الشهر'!$C$1016:$AD$1126,27,FALSE),0)</f>
        <v>0</v>
      </c>
      <c r="M97" s="376">
        <f>IFERROR(VLOOKUP(C97,'تقرير المصروفات حسب الشهر'!$C$1143:$AD$1254,27,FALSE),0)</f>
        <v>0</v>
      </c>
      <c r="N97" s="376">
        <f>IFERROR(VLOOKUP(C97,'تقرير المصروفات حسب الشهر'!$C$1270:$AD$1381,27,FALSE),0)</f>
        <v>0</v>
      </c>
      <c r="O97" s="376">
        <f>IFERROR(VLOOKUP(C97,'تقرير المصروفات حسب الشهر'!$C$1397:$AD$1512,27,FALSE),0)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الشهر'!$C$10:$AD$119,27,FALSE),0)</f>
        <v>0</v>
      </c>
      <c r="E98" s="362">
        <f>IFERROR(VLOOKUP(C98,'تقرير المصروفات حسب الشهر'!$C$135:$AD$244,27,FALSE),0)</f>
        <v>0</v>
      </c>
      <c r="F98" s="362">
        <f>IFERROR(VLOOKUP(C98,'تقرير المصروفات حسب الشهر'!$C$261:$AD$368,27,FALSE),0)</f>
        <v>0</v>
      </c>
      <c r="G98" s="362">
        <f>IFERROR(VLOOKUP(C98,'تقرير المصروفات حسب الشهر'!$C$387:$AD$495,27,FALSE),0)</f>
        <v>0</v>
      </c>
      <c r="H98" s="362">
        <f>IFERROR(VLOOKUP(C98,'تقرير المصروفات حسب الشهر'!$C$512:$AD$620,27,FALSE),0)</f>
        <v>0</v>
      </c>
      <c r="I98" s="362">
        <f>IFERROR(VLOOKUP(C98,'تقرير المصروفات حسب الشهر'!$C$637:$AD$746,27,FALSE),0)</f>
        <v>0</v>
      </c>
      <c r="J98" s="362">
        <f>IFERROR(VLOOKUP(C98,'تقرير المصروفات حسب الشهر'!$C$763:$AD$872,27,FALSE),0)</f>
        <v>0</v>
      </c>
      <c r="K98" s="362">
        <f>IFERROR(VLOOKUP(C98,'تقرير المصروفات حسب الشهر'!$C$890:$AD$999,27,FALSE),0)</f>
        <v>0</v>
      </c>
      <c r="L98" s="362">
        <f>IFERROR(VLOOKUP(C98,'تقرير المصروفات حسب الشهر'!$C$1016:$AD$1126,27,FALSE),0)</f>
        <v>0</v>
      </c>
      <c r="M98" s="376">
        <f>IFERROR(VLOOKUP(C98,'تقرير المصروفات حسب الشهر'!$C$1143:$AD$1254,27,FALSE),0)</f>
        <v>0</v>
      </c>
      <c r="N98" s="376">
        <f>IFERROR(VLOOKUP(C98,'تقرير المصروفات حسب الشهر'!$C$1270:$AD$1381,27,FALSE),0)</f>
        <v>0</v>
      </c>
      <c r="O98" s="376">
        <f>IFERROR(VLOOKUP(C98,'تقرير المصروفات حسب الشهر'!$C$1397:$AD$1512,27,FALSE),0)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الشهر'!$C$10:$AD$119,27,FALSE),0)</f>
        <v>0</v>
      </c>
      <c r="E99" s="362">
        <f>IFERROR(VLOOKUP(C99,'تقرير المصروفات حسب الشهر'!$C$135:$AD$244,27,FALSE),0)</f>
        <v>0</v>
      </c>
      <c r="F99" s="362">
        <f>IFERROR(VLOOKUP(C99,'تقرير المصروفات حسب الشهر'!$C$261:$AD$368,27,FALSE),0)</f>
        <v>0</v>
      </c>
      <c r="G99" s="362">
        <f>IFERROR(VLOOKUP(C99,'تقرير المصروفات حسب الشهر'!$C$387:$AD$495,27,FALSE),0)</f>
        <v>0</v>
      </c>
      <c r="H99" s="362">
        <f>IFERROR(VLOOKUP(C99,'تقرير المصروفات حسب الشهر'!$C$512:$AD$620,27,FALSE),0)</f>
        <v>0</v>
      </c>
      <c r="I99" s="362">
        <f>IFERROR(VLOOKUP(C99,'تقرير المصروفات حسب الشهر'!$C$637:$AD$746,27,FALSE),0)</f>
        <v>0</v>
      </c>
      <c r="J99" s="362">
        <f>IFERROR(VLOOKUP(C99,'تقرير المصروفات حسب الشهر'!$C$763:$AD$872,27,FALSE),0)</f>
        <v>0</v>
      </c>
      <c r="K99" s="362">
        <f>IFERROR(VLOOKUP(C99,'تقرير المصروفات حسب الشهر'!$C$890:$AD$999,27,FALSE),0)</f>
        <v>0</v>
      </c>
      <c r="L99" s="362">
        <f>IFERROR(VLOOKUP(C99,'تقرير المصروفات حسب الشهر'!$C$1016:$AD$1126,27,FALSE),0)</f>
        <v>0</v>
      </c>
      <c r="M99" s="376">
        <f>IFERROR(VLOOKUP(C99,'تقرير المصروفات حسب الشهر'!$C$1143:$AD$1254,27,FALSE),0)</f>
        <v>0</v>
      </c>
      <c r="N99" s="376">
        <f>IFERROR(VLOOKUP(C99,'تقرير المصروفات حسب الشهر'!$C$1270:$AD$1381,27,FALSE),0)</f>
        <v>0</v>
      </c>
      <c r="O99" s="376">
        <f>IFERROR(VLOOKUP(C99,'تقرير المصروفات حسب الشهر'!$C$1397:$AD$1512,27,FALSE),0)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الشهر'!$C$10:$AD$119,27,FALSE),0)</f>
        <v>611.14</v>
      </c>
      <c r="E100" s="362">
        <f>IFERROR(VLOOKUP(C100,'تقرير المصروفات حسب الشهر'!$C$135:$AD$244,27,FALSE),0)</f>
        <v>448.24</v>
      </c>
      <c r="F100" s="362">
        <f>IFERROR(VLOOKUP(C100,'تقرير المصروفات حسب الشهر'!$C$261:$AD$368,27,FALSE),0)</f>
        <v>276.62</v>
      </c>
      <c r="G100" s="362">
        <f>IFERROR(VLOOKUP(C100,'تقرير المصروفات حسب الشهر'!$C$387:$AD$495,27,FALSE),0)</f>
        <v>276.62</v>
      </c>
      <c r="H100" s="362">
        <f>IFERROR(VLOOKUP(C100,'تقرير المصروفات حسب الشهر'!$C$512:$AD$620,27,FALSE),0)</f>
        <v>276.62</v>
      </c>
      <c r="I100" s="362">
        <f>IFERROR(VLOOKUP(C100,'تقرير المصروفات حسب الشهر'!$C$637:$AD$746,27,FALSE),0)</f>
        <v>349.46</v>
      </c>
      <c r="J100" s="362">
        <f>IFERROR(VLOOKUP(C100,'تقرير المصروفات حسب الشهر'!$C$763:$AD$872,27,FALSE),0)</f>
        <v>399.77</v>
      </c>
      <c r="K100" s="362">
        <f>IFERROR(VLOOKUP(C100,'تقرير المصروفات حسب الشهر'!$C$890:$AD$999,27,FALSE),0)</f>
        <v>434.35</v>
      </c>
      <c r="L100" s="362">
        <f>IFERROR(VLOOKUP(C100,'تقرير المصروفات حسب الشهر'!$C$1016:$AD$1126,27,FALSE),0)</f>
        <v>434.35</v>
      </c>
      <c r="M100" s="376">
        <f>IFERROR(VLOOKUP(C100,'تقرير المصروفات حسب الشهر'!$C$1143:$AD$1254,27,FALSE),0)</f>
        <v>434.35</v>
      </c>
      <c r="N100" s="376">
        <f>IFERROR(VLOOKUP(C100,'تقرير المصروفات حسب الشهر'!$C$1270:$AD$1381,27,FALSE),0)</f>
        <v>434.26</v>
      </c>
      <c r="O100" s="376">
        <f>IFERROR(VLOOKUP(C100,'تقرير المصروفات حسب الشهر'!$C$1397:$AD$1512,27,FALSE),0)</f>
        <v>157.76</v>
      </c>
      <c r="P100" s="364">
        <f t="shared" si="6"/>
        <v>4533.54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الشهر'!$C$10:$AD$119,27,FALSE),0)</f>
        <v>0</v>
      </c>
      <c r="E101" s="362">
        <f>IFERROR(VLOOKUP(C101,'تقرير المصروفات حسب الشهر'!$C$135:$AD$244,27,FALSE),0)</f>
        <v>0</v>
      </c>
      <c r="F101" s="362">
        <f>IFERROR(VLOOKUP(C101,'تقرير المصروفات حسب الشهر'!$C$261:$AD$368,27,FALSE),0)</f>
        <v>0</v>
      </c>
      <c r="G101" s="362">
        <f>IFERROR(VLOOKUP(C101,'تقرير المصروفات حسب الشهر'!$C$387:$AD$495,27,FALSE),0)</f>
        <v>0</v>
      </c>
      <c r="H101" s="362">
        <f>IFERROR(VLOOKUP(C101,'تقرير المصروفات حسب الشهر'!$C$512:$AD$620,27,FALSE),0)</f>
        <v>0</v>
      </c>
      <c r="I101" s="362">
        <f>IFERROR(VLOOKUP(C101,'تقرير المصروفات حسب الشهر'!$C$637:$AD$746,27,FALSE),0)</f>
        <v>0</v>
      </c>
      <c r="J101" s="362">
        <f>IFERROR(VLOOKUP(C101,'تقرير المصروفات حسب الشهر'!$C$763:$AD$872,27,FALSE),0)</f>
        <v>0</v>
      </c>
      <c r="K101" s="362">
        <f>IFERROR(VLOOKUP(C101,'تقرير المصروفات حسب الشهر'!$C$890:$AD$999,27,FALSE),0)</f>
        <v>0</v>
      </c>
      <c r="L101" s="362">
        <f>IFERROR(VLOOKUP(C101,'تقرير المصروفات حسب الشهر'!$C$1016:$AD$1126,27,FALSE),0)</f>
        <v>0</v>
      </c>
      <c r="M101" s="376">
        <f>IFERROR(VLOOKUP(C101,'تقرير المصروفات حسب الشهر'!$C$1143:$AD$1254,27,FALSE),0)</f>
        <v>0</v>
      </c>
      <c r="N101" s="376">
        <f>IFERROR(VLOOKUP(C101,'تقرير المصروفات حسب الشهر'!$C$1270:$AD$1381,27,FALSE),0)</f>
        <v>0</v>
      </c>
      <c r="O101" s="376">
        <f>IFERROR(VLOOKUP(C101,'تقرير المصروفات حسب الشهر'!$C$1397:$AD$1512,27,FALSE),0)</f>
        <v>0</v>
      </c>
      <c r="P101" s="364">
        <f t="shared" si="6"/>
        <v>0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الشهر'!$C$10:$AD$119,27,FALSE),0)</f>
        <v>244.38</v>
      </c>
      <c r="E102" s="362">
        <f>IFERROR(VLOOKUP(C102,'تقرير المصروفات حسب الشهر'!$C$135:$AD$244,27,FALSE),0)</f>
        <v>244.38</v>
      </c>
      <c r="F102" s="362">
        <f>IFERROR(VLOOKUP(C102,'تقرير المصروفات حسب الشهر'!$C$261:$AD$368,27,FALSE),0)</f>
        <v>244.38</v>
      </c>
      <c r="G102" s="362">
        <f>IFERROR(VLOOKUP(C102,'تقرير المصروفات حسب الشهر'!$C$387:$AD$495,27,FALSE),0)</f>
        <v>244.38</v>
      </c>
      <c r="H102" s="362">
        <f>IFERROR(VLOOKUP(C102,'تقرير المصروفات حسب الشهر'!$C$512:$AD$620,27,FALSE),0)</f>
        <v>244.38</v>
      </c>
      <c r="I102" s="362">
        <f>IFERROR(VLOOKUP(C102,'تقرير المصروفات حسب الشهر'!$C$637:$AD$746,27,FALSE),0)</f>
        <v>244.38</v>
      </c>
      <c r="J102" s="362">
        <f>IFERROR(VLOOKUP(C102,'تقرير المصروفات حسب الشهر'!$C$763:$AD$872,27,FALSE),0)</f>
        <v>244.38</v>
      </c>
      <c r="K102" s="362">
        <f>IFERROR(VLOOKUP(C102,'تقرير المصروفات حسب الشهر'!$C$890:$AD$999,27,FALSE),0)</f>
        <v>244.38</v>
      </c>
      <c r="L102" s="362">
        <f>IFERROR(VLOOKUP(C102,'تقرير المصروفات حسب الشهر'!$C$1016:$AD$1126,27,FALSE),0)</f>
        <v>244.38</v>
      </c>
      <c r="M102" s="376">
        <f>IFERROR(VLOOKUP(C102,'تقرير المصروفات حسب الشهر'!$C$1143:$AD$1254,27,FALSE),0)</f>
        <v>244.38</v>
      </c>
      <c r="N102" s="376">
        <f>IFERROR(VLOOKUP(C102,'تقرير المصروفات حسب الشهر'!$C$1270:$AD$1381,27,FALSE),0)</f>
        <v>244.32</v>
      </c>
      <c r="O102" s="376">
        <f>IFERROR(VLOOKUP(C102,'تقرير المصروفات حسب الشهر'!$C$1397:$AD$1512,27,FALSE),0)</f>
        <v>0</v>
      </c>
      <c r="P102" s="364">
        <f t="shared" si="6"/>
        <v>2688.1200000000008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الشهر'!$C$10:$AD$119,27,FALSE),0)</f>
        <v>59.33</v>
      </c>
      <c r="E103" s="362">
        <f>IFERROR(VLOOKUP(C103,'تقرير المصروفات حسب الشهر'!$C$135:$AD$244,27,FALSE),0)</f>
        <v>59.33</v>
      </c>
      <c r="F103" s="362">
        <f>IFERROR(VLOOKUP(C103,'تقرير المصروفات حسب الشهر'!$C$261:$AD$368,27,FALSE),0)</f>
        <v>59.33</v>
      </c>
      <c r="G103" s="362">
        <f>IFERROR(VLOOKUP(C103,'تقرير المصروفات حسب الشهر'!$C$387:$AD$495,27,FALSE),0)</f>
        <v>59.33</v>
      </c>
      <c r="H103" s="362">
        <f>IFERROR(VLOOKUP(C103,'تقرير المصروفات حسب الشهر'!$C$512:$AD$620,27,FALSE),0)</f>
        <v>59.33</v>
      </c>
      <c r="I103" s="362">
        <f>IFERROR(VLOOKUP(C103,'تقرير المصروفات حسب الشهر'!$C$637:$AD$746,27,FALSE),0)</f>
        <v>59.33</v>
      </c>
      <c r="J103" s="362">
        <f>IFERROR(VLOOKUP(C103,'تقرير المصروفات حسب الشهر'!$C$763:$AD$872,27,FALSE),0)</f>
        <v>59.33</v>
      </c>
      <c r="K103" s="362">
        <f>IFERROR(VLOOKUP(C103,'تقرير المصروفات حسب الشهر'!$C$890:$AD$999,27,FALSE),0)</f>
        <v>59.33</v>
      </c>
      <c r="L103" s="362">
        <f>IFERROR(VLOOKUP(C103,'تقرير المصروفات حسب الشهر'!$C$1016:$AD$1126,27,FALSE),0)</f>
        <v>59.33</v>
      </c>
      <c r="M103" s="376">
        <f>IFERROR(VLOOKUP(C103,'تقرير المصروفات حسب الشهر'!$C$1143:$AD$1254,27,FALSE),0)</f>
        <v>59.33</v>
      </c>
      <c r="N103" s="376">
        <f>IFERROR(VLOOKUP(C103,'تقرير المصروفات حسب الشهر'!$C$1270:$AD$1381,27,FALSE),0)</f>
        <v>59.33</v>
      </c>
      <c r="O103" s="376">
        <f>IFERROR(VLOOKUP(C103,'تقرير المصروفات حسب الشهر'!$C$1397:$AD$1512,27,FALSE),0)</f>
        <v>0.04</v>
      </c>
      <c r="P103" s="364">
        <f t="shared" si="6"/>
        <v>652.66999999999996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الشهر'!$C$10:$AD$119,27,FALSE),0)</f>
        <v>0</v>
      </c>
      <c r="E104" s="362">
        <f>IFERROR(VLOOKUP(C104,'تقرير المصروفات حسب الشهر'!$C$135:$AD$244,27,FALSE),0)</f>
        <v>0</v>
      </c>
      <c r="F104" s="362">
        <f>IFERROR(VLOOKUP(C104,'تقرير المصروفات حسب الشهر'!$C$261:$AD$368,27,FALSE),0)</f>
        <v>0</v>
      </c>
      <c r="G104" s="362">
        <f>IFERROR(VLOOKUP(C104,'تقرير المصروفات حسب الشهر'!$C$387:$AD$495,27,FALSE),0)</f>
        <v>0</v>
      </c>
      <c r="H104" s="362">
        <f>IFERROR(VLOOKUP(C104,'تقرير المصروفات حسب الشهر'!$C$512:$AD$620,27,FALSE),0)</f>
        <v>0</v>
      </c>
      <c r="I104" s="362">
        <f>IFERROR(VLOOKUP(C104,'تقرير المصروفات حسب الشهر'!$C$637:$AD$746,27,FALSE),0)</f>
        <v>0</v>
      </c>
      <c r="J104" s="362">
        <f>IFERROR(VLOOKUP(C104,'تقرير المصروفات حسب الشهر'!$C$763:$AD$872,27,FALSE),0)</f>
        <v>0</v>
      </c>
      <c r="K104" s="362">
        <f>IFERROR(VLOOKUP(C104,'تقرير المصروفات حسب الشهر'!$C$890:$AD$999,27,FALSE),0)</f>
        <v>0</v>
      </c>
      <c r="L104" s="362">
        <f>IFERROR(VLOOKUP(C104,'تقرير المصروفات حسب الشهر'!$C$1016:$AD$1126,27,FALSE),0)</f>
        <v>0</v>
      </c>
      <c r="M104" s="376">
        <f>IFERROR(VLOOKUP(C104,'تقرير المصروفات حسب الشهر'!$C$1143:$AD$1254,27,FALSE),0)</f>
        <v>0</v>
      </c>
      <c r="N104" s="376">
        <f>IFERROR(VLOOKUP(C104,'تقرير المصروفات حسب الشهر'!$C$1270:$AD$1381,27,FALSE),0)</f>
        <v>0</v>
      </c>
      <c r="O104" s="376">
        <f>IFERROR(VLOOKUP(C104,'تقرير المصروفات حسب الشهر'!$C$1397:$AD$1512,27,FALSE),0)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الشهر'!$C$10:$AD$119,27,FALSE),0)</f>
        <v>0</v>
      </c>
      <c r="E105" s="362">
        <f>IFERROR(VLOOKUP(C105,'تقرير المصروفات حسب الشهر'!$C$135:$AD$244,27,FALSE),0)</f>
        <v>0</v>
      </c>
      <c r="F105" s="362">
        <f>IFERROR(VLOOKUP(C105,'تقرير المصروفات حسب الشهر'!$C$261:$AD$368,27,FALSE),0)</f>
        <v>0</v>
      </c>
      <c r="G105" s="362">
        <f>IFERROR(VLOOKUP(C105,'تقرير المصروفات حسب الشهر'!$C$387:$AD$495,27,FALSE),0)</f>
        <v>0</v>
      </c>
      <c r="H105" s="362">
        <f>IFERROR(VLOOKUP(C105,'تقرير المصروفات حسب الشهر'!$C$512:$AD$620,27,FALSE),0)</f>
        <v>0</v>
      </c>
      <c r="I105" s="362">
        <f>IFERROR(VLOOKUP(C105,'تقرير المصروفات حسب الشهر'!$C$637:$AD$746,27,FALSE),0)</f>
        <v>0</v>
      </c>
      <c r="J105" s="362">
        <f>IFERROR(VLOOKUP(C105,'تقرير المصروفات حسب الشهر'!$C$763:$AD$872,27,FALSE),0)</f>
        <v>0</v>
      </c>
      <c r="K105" s="362">
        <f>IFERROR(VLOOKUP(C105,'تقرير المصروفات حسب الشهر'!$C$890:$AD$999,27,FALSE),0)</f>
        <v>0</v>
      </c>
      <c r="L105" s="362">
        <f>IFERROR(VLOOKUP(C105,'تقرير المصروفات حسب الشهر'!$C$1016:$AD$1126,27,FALSE),0)</f>
        <v>0</v>
      </c>
      <c r="M105" s="376">
        <f>IFERROR(VLOOKUP(C105,'تقرير المصروفات حسب الشهر'!$C$1143:$AD$1254,27,FALSE),0)</f>
        <v>0</v>
      </c>
      <c r="N105" s="376">
        <f>IFERROR(VLOOKUP(C105,'تقرير المصروفات حسب الشهر'!$C$1270:$AD$1381,27,FALSE),0)</f>
        <v>0</v>
      </c>
      <c r="O105" s="376">
        <f>IFERROR(VLOOKUP(C105,'تقرير المصروفات حسب الشهر'!$C$1397:$AD$1512,27,FALSE),0)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الشهر'!$C$10:$AD$119,27,FALSE),0)</f>
        <v>0</v>
      </c>
      <c r="E106" s="362">
        <f>IFERROR(VLOOKUP(C106,'تقرير المصروفات حسب الشهر'!$C$135:$AD$244,27,FALSE),0)</f>
        <v>0</v>
      </c>
      <c r="F106" s="362">
        <f>IFERROR(VLOOKUP(C106,'تقرير المصروفات حسب الشهر'!$C$261:$AD$368,27,FALSE),0)</f>
        <v>0</v>
      </c>
      <c r="G106" s="362">
        <f>IFERROR(VLOOKUP(C106,'تقرير المصروفات حسب الشهر'!$C$387:$AD$495,27,FALSE),0)</f>
        <v>0</v>
      </c>
      <c r="H106" s="362">
        <f>IFERROR(VLOOKUP(C106,'تقرير المصروفات حسب الشهر'!$C$512:$AD$620,27,FALSE),0)</f>
        <v>0</v>
      </c>
      <c r="I106" s="362">
        <f>IFERROR(VLOOKUP(C106,'تقرير المصروفات حسب الشهر'!$C$637:$AD$746,27,FALSE),0)</f>
        <v>0</v>
      </c>
      <c r="J106" s="362">
        <f>IFERROR(VLOOKUP(C106,'تقرير المصروفات حسب الشهر'!$C$763:$AD$872,27,FALSE),0)</f>
        <v>0</v>
      </c>
      <c r="K106" s="362">
        <f>IFERROR(VLOOKUP(C106,'تقرير المصروفات حسب الشهر'!$C$890:$AD$999,27,FALSE),0)</f>
        <v>0</v>
      </c>
      <c r="L106" s="362">
        <f>IFERROR(VLOOKUP(C106,'تقرير المصروفات حسب الشهر'!$C$1016:$AD$1126,27,FALSE),0)</f>
        <v>0</v>
      </c>
      <c r="M106" s="376">
        <f>IFERROR(VLOOKUP(C106,'تقرير المصروفات حسب الشهر'!$C$1143:$AD$1254,27,FALSE),0)</f>
        <v>0</v>
      </c>
      <c r="N106" s="376">
        <f>IFERROR(VLOOKUP(C106,'تقرير المصروفات حسب الشهر'!$C$1270:$AD$1381,27,FALSE),0)</f>
        <v>0</v>
      </c>
      <c r="O106" s="376">
        <f>IFERROR(VLOOKUP(C106,'تقرير المصروفات حسب الشهر'!$C$1397:$AD$1512,27,FALSE),0)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الشهر'!$C$10:$AD$119,27,FALSE),0)</f>
        <v>0</v>
      </c>
      <c r="E107" s="362">
        <f>IFERROR(VLOOKUP(C107,'تقرير المصروفات حسب الشهر'!$C$135:$AD$244,27,FALSE),0)</f>
        <v>0</v>
      </c>
      <c r="F107" s="362">
        <f>IFERROR(VLOOKUP(C107,'تقرير المصروفات حسب الشهر'!$C$261:$AD$368,27,FALSE),0)</f>
        <v>0</v>
      </c>
      <c r="G107" s="362">
        <f>IFERROR(VLOOKUP(C107,'تقرير المصروفات حسب الشهر'!$C$387:$AD$495,27,FALSE),0)</f>
        <v>0</v>
      </c>
      <c r="H107" s="362">
        <f>IFERROR(VLOOKUP(C107,'تقرير المصروفات حسب الشهر'!$C$512:$AD$620,27,FALSE),0)</f>
        <v>0</v>
      </c>
      <c r="I107" s="362">
        <f>IFERROR(VLOOKUP(C107,'تقرير المصروفات حسب الشهر'!$C$637:$AD$746,27,FALSE),0)</f>
        <v>0</v>
      </c>
      <c r="J107" s="362">
        <f>IFERROR(VLOOKUP(C107,'تقرير المصروفات حسب الشهر'!$C$763:$AD$872,27,FALSE),0)</f>
        <v>0</v>
      </c>
      <c r="K107" s="362">
        <f>IFERROR(VLOOKUP(C107,'تقرير المصروفات حسب الشهر'!$C$890:$AD$999,27,FALSE),0)</f>
        <v>0</v>
      </c>
      <c r="L107" s="362">
        <f>IFERROR(VLOOKUP(C107,'تقرير المصروفات حسب الشهر'!$C$1016:$AD$1126,27,FALSE),0)</f>
        <v>0</v>
      </c>
      <c r="M107" s="376">
        <f>IFERROR(VLOOKUP(C107,'تقرير المصروفات حسب الشهر'!$C$1143:$AD$1254,27,FALSE),0)</f>
        <v>0</v>
      </c>
      <c r="N107" s="376">
        <f>IFERROR(VLOOKUP(C107,'تقرير المصروفات حسب الشهر'!$C$1270:$AD$1381,27,FALSE),0)</f>
        <v>0</v>
      </c>
      <c r="O107" s="376">
        <f>IFERROR(VLOOKUP(C107,'تقرير المصروفات حسب الشهر'!$C$1397:$AD$1512,27,FALSE),0)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الشهر'!$C$10:$AD$119,27,FALSE),0)</f>
        <v>0</v>
      </c>
      <c r="E108" s="362">
        <f>IFERROR(VLOOKUP(C108,'تقرير المصروفات حسب الشهر'!$C$135:$AD$244,27,FALSE),0)</f>
        <v>0</v>
      </c>
      <c r="F108" s="362">
        <f>IFERROR(VLOOKUP(C108,'تقرير المصروفات حسب الشهر'!$C$261:$AD$368,27,FALSE),0)</f>
        <v>0</v>
      </c>
      <c r="G108" s="362">
        <f>IFERROR(VLOOKUP(C108,'تقرير المصروفات حسب الشهر'!$C$387:$AD$495,27,FALSE),0)</f>
        <v>0</v>
      </c>
      <c r="H108" s="362">
        <f>IFERROR(VLOOKUP(C108,'تقرير المصروفات حسب الشهر'!$C$512:$AD$620,27,FALSE),0)</f>
        <v>0</v>
      </c>
      <c r="I108" s="362">
        <f>IFERROR(VLOOKUP(C108,'تقرير المصروفات حسب الشهر'!$C$637:$AD$746,27,FALSE),0)</f>
        <v>0</v>
      </c>
      <c r="J108" s="362">
        <f>IFERROR(VLOOKUP(C108,'تقرير المصروفات حسب الشهر'!$C$763:$AD$872,27,FALSE),0)</f>
        <v>0</v>
      </c>
      <c r="K108" s="362">
        <f>IFERROR(VLOOKUP(C108,'تقرير المصروفات حسب الشهر'!$C$890:$AD$999,27,FALSE),0)</f>
        <v>0</v>
      </c>
      <c r="L108" s="362">
        <f>IFERROR(VLOOKUP(C108,'تقرير المصروفات حسب الشهر'!$C$1016:$AD$1126,27,FALSE),0)</f>
        <v>0</v>
      </c>
      <c r="M108" s="376">
        <f>IFERROR(VLOOKUP(C108,'تقرير المصروفات حسب الشهر'!$C$1143:$AD$1254,27,FALSE),0)</f>
        <v>0</v>
      </c>
      <c r="N108" s="376">
        <f>IFERROR(VLOOKUP(C108,'تقرير المصروفات حسب الشهر'!$C$1270:$AD$1381,27,FALSE),0)</f>
        <v>0</v>
      </c>
      <c r="O108" s="376">
        <f>IFERROR(VLOOKUP(C108,'تقرير المصروفات حسب الشهر'!$C$1397:$AD$1512,27,FALSE),0)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الشهر'!$C$10:$AD$119,27,FALSE),0)</f>
        <v>0</v>
      </c>
      <c r="E109" s="362">
        <f>IFERROR(VLOOKUP(C109,'تقرير المصروفات حسب الشهر'!$C$135:$AD$244,27,FALSE),0)</f>
        <v>0</v>
      </c>
      <c r="F109" s="362">
        <f>IFERROR(VLOOKUP(C109,'تقرير المصروفات حسب الشهر'!$C$261:$AD$368,27,FALSE),0)</f>
        <v>0</v>
      </c>
      <c r="G109" s="362">
        <f>IFERROR(VLOOKUP(C109,'تقرير المصروفات حسب الشهر'!$C$387:$AD$495,27,FALSE),0)</f>
        <v>0</v>
      </c>
      <c r="H109" s="362">
        <f>IFERROR(VLOOKUP(C109,'تقرير المصروفات حسب الشهر'!$C$512:$AD$620,27,FALSE),0)</f>
        <v>0</v>
      </c>
      <c r="I109" s="362">
        <f>IFERROR(VLOOKUP(C109,'تقرير المصروفات حسب الشهر'!$C$637:$AD$746,27,FALSE),0)</f>
        <v>0</v>
      </c>
      <c r="J109" s="362">
        <f>IFERROR(VLOOKUP(C109,'تقرير المصروفات حسب الشهر'!$C$763:$AD$872,27,FALSE),0)</f>
        <v>0</v>
      </c>
      <c r="K109" s="362">
        <f>IFERROR(VLOOKUP(C109,'تقرير المصروفات حسب الشهر'!$C$890:$AD$999,27,FALSE),0)</f>
        <v>0</v>
      </c>
      <c r="L109" s="362">
        <f>IFERROR(VLOOKUP(C109,'تقرير المصروفات حسب الشهر'!$C$1016:$AD$1126,27,FALSE),0)</f>
        <v>0</v>
      </c>
      <c r="M109" s="376">
        <f>IFERROR(VLOOKUP(C109,'تقرير المصروفات حسب الشهر'!$C$1143:$AD$1254,27,FALSE),0)</f>
        <v>0</v>
      </c>
      <c r="N109" s="376">
        <f>IFERROR(VLOOKUP(C109,'تقرير المصروفات حسب الشهر'!$C$1270:$AD$1381,27,FALSE),0)</f>
        <v>0</v>
      </c>
      <c r="O109" s="376">
        <f>IFERROR(VLOOKUP(C109,'تقرير المصروفات حسب الشهر'!$C$1397:$AD$1512,27,FALSE),0)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الشهر'!$C$10:$AD$119,27,FALSE),0)</f>
        <v>0</v>
      </c>
      <c r="E110" s="362">
        <f>IFERROR(VLOOKUP(C110,'تقرير المصروفات حسب الشهر'!$C$135:$AD$244,27,FALSE),0)</f>
        <v>0</v>
      </c>
      <c r="F110" s="362">
        <f>IFERROR(VLOOKUP(C110,'تقرير المصروفات حسب الشهر'!$C$261:$AD$368,27,FALSE),0)</f>
        <v>0</v>
      </c>
      <c r="G110" s="362">
        <f>IFERROR(VLOOKUP(C110,'تقرير المصروفات حسب الشهر'!$C$387:$AD$495,27,FALSE),0)</f>
        <v>0</v>
      </c>
      <c r="H110" s="362">
        <f>IFERROR(VLOOKUP(C110,'تقرير المصروفات حسب الشهر'!$C$512:$AD$620,27,FALSE),0)</f>
        <v>31041.37</v>
      </c>
      <c r="I110" s="362">
        <f>IFERROR(VLOOKUP(C110,'تقرير المصروفات حسب الشهر'!$C$637:$AD$746,27,FALSE),0)</f>
        <v>0</v>
      </c>
      <c r="J110" s="362">
        <f>IFERROR(VLOOKUP(C110,'تقرير المصروفات حسب الشهر'!$C$763:$AD$872,27,FALSE),0)</f>
        <v>0</v>
      </c>
      <c r="K110" s="362">
        <f>IFERROR(VLOOKUP(C110,'تقرير المصروفات حسب الشهر'!$C$890:$AD$999,27,FALSE),0)</f>
        <v>0</v>
      </c>
      <c r="L110" s="362">
        <f>IFERROR(VLOOKUP(C110,'تقرير المصروفات حسب الشهر'!$C$1016:$AD$1126,27,FALSE),0)</f>
        <v>0</v>
      </c>
      <c r="M110" s="376">
        <f>IFERROR(VLOOKUP(C110,'تقرير المصروفات حسب الشهر'!$C$1143:$AD$1254,27,FALSE),0)</f>
        <v>0</v>
      </c>
      <c r="N110" s="376">
        <f>IFERROR(VLOOKUP(C110,'تقرير المصروفات حسب الشهر'!$C$1270:$AD$1381,27,FALSE),0)</f>
        <v>0</v>
      </c>
      <c r="O110" s="376">
        <f>IFERROR(VLOOKUP(C110,'تقرير المصروفات حسب الشهر'!$C$1397:$AD$1512,27,FALSE),0)</f>
        <v>0</v>
      </c>
      <c r="P110" s="364">
        <f t="shared" si="6"/>
        <v>31041.37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الشهر'!$C$10:$AD$119,27,FALSE),0)</f>
        <v>0</v>
      </c>
      <c r="E111" s="362">
        <f>IFERROR(VLOOKUP(C111,'تقرير المصروفات حسب الشهر'!$C$135:$AD$244,27,FALSE),0)</f>
        <v>0</v>
      </c>
      <c r="F111" s="362">
        <f>IFERROR(VLOOKUP(C111,'تقرير المصروفات حسب الشهر'!$C$261:$AD$368,27,FALSE),0)</f>
        <v>0</v>
      </c>
      <c r="G111" s="362">
        <f>IFERROR(VLOOKUP(C111,'تقرير المصروفات حسب الشهر'!$C$387:$AD$495,27,FALSE),0)</f>
        <v>0</v>
      </c>
      <c r="H111" s="362">
        <f>IFERROR(VLOOKUP(C111,'تقرير المصروفات حسب الشهر'!$C$512:$AD$620,27,FALSE),0)</f>
        <v>0</v>
      </c>
      <c r="I111" s="362">
        <f>IFERROR(VLOOKUP(C111,'تقرير المصروفات حسب الشهر'!$C$637:$AD$746,27,FALSE),0)</f>
        <v>0</v>
      </c>
      <c r="J111" s="362">
        <f>IFERROR(VLOOKUP(C111,'تقرير المصروفات حسب الشهر'!$C$763:$AD$872,27,FALSE),0)</f>
        <v>0</v>
      </c>
      <c r="K111" s="362">
        <f>IFERROR(VLOOKUP(C111,'تقرير المصروفات حسب الشهر'!$C$890:$AD$999,27,FALSE),0)</f>
        <v>0</v>
      </c>
      <c r="L111" s="362">
        <f>IFERROR(VLOOKUP(C111,'تقرير المصروفات حسب الشهر'!$C$1016:$AD$1126,27,FALSE),0)</f>
        <v>0</v>
      </c>
      <c r="M111" s="376">
        <f>IFERROR(VLOOKUP(C111,'تقرير المصروفات حسب الشهر'!$C$1143:$AD$1254,27,FALSE),0)</f>
        <v>0</v>
      </c>
      <c r="N111" s="376">
        <f>IFERROR(VLOOKUP(C111,'تقرير المصروفات حسب الشهر'!$C$1270:$AD$1381,27,FALSE),0)</f>
        <v>0</v>
      </c>
      <c r="O111" s="376">
        <f>IFERROR(VLOOKUP(C111,'تقرير المصروفات حسب الشهر'!$C$1397:$AD$1512,27,FALSE),0)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الشهر'!$C$10:$AD$119,27,FALSE),0)</f>
        <v>0</v>
      </c>
      <c r="E112" s="362">
        <f>IFERROR(VLOOKUP(C112,'تقرير المصروفات حسب الشهر'!$C$135:$AD$244,27,FALSE),0)</f>
        <v>0</v>
      </c>
      <c r="F112" s="362">
        <f>IFERROR(VLOOKUP(C112,'تقرير المصروفات حسب الشهر'!$C$261:$AD$368,27,FALSE),0)</f>
        <v>0</v>
      </c>
      <c r="G112" s="362">
        <f>IFERROR(VLOOKUP(C112,'تقرير المصروفات حسب الشهر'!$C$387:$AD$495,27,FALSE),0)</f>
        <v>0</v>
      </c>
      <c r="H112" s="362">
        <f>IFERROR(VLOOKUP(C112,'تقرير المصروفات حسب الشهر'!$C$512:$AD$620,27,FALSE),0)</f>
        <v>0</v>
      </c>
      <c r="I112" s="362">
        <f>IFERROR(VLOOKUP(C112,'تقرير المصروفات حسب الشهر'!$C$637:$AD$746,27,FALSE),0)</f>
        <v>0</v>
      </c>
      <c r="J112" s="362">
        <f>IFERROR(VLOOKUP(C112,'تقرير المصروفات حسب الشهر'!$C$763:$AD$872,27,FALSE),0)</f>
        <v>0</v>
      </c>
      <c r="K112" s="362">
        <f>IFERROR(VLOOKUP(C112,'تقرير المصروفات حسب الشهر'!$C$890:$AD$999,27,FALSE),0)</f>
        <v>0</v>
      </c>
      <c r="L112" s="362">
        <f>IFERROR(VLOOKUP(C112,'تقرير المصروفات حسب الشهر'!$C$1016:$AD$1126,27,FALSE),0)</f>
        <v>0</v>
      </c>
      <c r="M112" s="376">
        <f>IFERROR(VLOOKUP(C112,'تقرير المصروفات حسب الشهر'!$C$1143:$AD$1254,27,FALSE),0)</f>
        <v>0</v>
      </c>
      <c r="N112" s="376">
        <f>IFERROR(VLOOKUP(C112,'تقرير المصروفات حسب الشهر'!$C$1270:$AD$1381,27,FALSE),0)</f>
        <v>0</v>
      </c>
      <c r="O112" s="376">
        <f>IFERROR(VLOOKUP(C112,'تقرير المصروفات حسب الشهر'!$C$1397:$AD$1512,27,FALSE),0)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الشهر'!$C$10:$AD$119,27,FALSE),0)</f>
        <v>0</v>
      </c>
      <c r="E113" s="362">
        <f>IFERROR(VLOOKUP(C113,'تقرير المصروفات حسب الشهر'!$C$135:$AD$244,27,FALSE),0)</f>
        <v>0</v>
      </c>
      <c r="F113" s="362">
        <f>IFERROR(VLOOKUP(C113,'تقرير المصروفات حسب الشهر'!$C$261:$AD$368,27,FALSE),0)</f>
        <v>0</v>
      </c>
      <c r="G113" s="362">
        <f>IFERROR(VLOOKUP(C113,'تقرير المصروفات حسب الشهر'!$C$387:$AD$495,27,FALSE),0)</f>
        <v>0</v>
      </c>
      <c r="H113" s="362">
        <f>IFERROR(VLOOKUP(C113,'تقرير المصروفات حسب الشهر'!$C$512:$AD$620,27,FALSE),0)</f>
        <v>0</v>
      </c>
      <c r="I113" s="362">
        <f>IFERROR(VLOOKUP(C113,'تقرير المصروفات حسب الشهر'!$C$637:$AD$746,27,FALSE),0)</f>
        <v>0</v>
      </c>
      <c r="J113" s="362">
        <f>IFERROR(VLOOKUP(C113,'تقرير المصروفات حسب الشهر'!$C$763:$AD$872,27,FALSE),0)</f>
        <v>0</v>
      </c>
      <c r="K113" s="362">
        <f>IFERROR(VLOOKUP(C113,'تقرير المصروفات حسب الشهر'!$C$890:$AD$999,27,FALSE),0)</f>
        <v>0</v>
      </c>
      <c r="L113" s="362">
        <f>IFERROR(VLOOKUP(C113,'تقرير المصروفات حسب الشهر'!$C$1016:$AD$1126,27,FALSE),0)</f>
        <v>0</v>
      </c>
      <c r="M113" s="376">
        <f>IFERROR(VLOOKUP(C113,'تقرير المصروفات حسب الشهر'!$C$1143:$AD$1254,27,FALSE),0)</f>
        <v>0</v>
      </c>
      <c r="N113" s="376">
        <f>IFERROR(VLOOKUP(C113,'تقرير المصروفات حسب الشهر'!$C$1270:$AD$1381,27,FALSE),0)</f>
        <v>0</v>
      </c>
      <c r="O113" s="376">
        <f>IFERROR(VLOOKUP(C113,'تقرير المصروفات حسب الشهر'!$C$1397:$AD$1512,27,FALSE),0)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الشهر'!$C$10:$AD$119,27,FALSE),0)</f>
        <v>0</v>
      </c>
      <c r="E114" s="362">
        <f>IFERROR(VLOOKUP(C114,'تقرير المصروفات حسب الشهر'!$C$135:$AD$244,27,FALSE),0)</f>
        <v>0</v>
      </c>
      <c r="F114" s="362">
        <f>IFERROR(VLOOKUP(C114,'تقرير المصروفات حسب الشهر'!$C$261:$AD$368,27,FALSE),0)</f>
        <v>0</v>
      </c>
      <c r="G114" s="362">
        <f>IFERROR(VLOOKUP(C114,'تقرير المصروفات حسب الشهر'!$C$387:$AD$495,27,FALSE),0)</f>
        <v>0</v>
      </c>
      <c r="H114" s="362">
        <f>IFERROR(VLOOKUP(C114,'تقرير المصروفات حسب الشهر'!$C$512:$AD$620,27,FALSE),0)</f>
        <v>0</v>
      </c>
      <c r="I114" s="362">
        <f>IFERROR(VLOOKUP(C114,'تقرير المصروفات حسب الشهر'!$C$637:$AD$746,27,FALSE),0)</f>
        <v>0</v>
      </c>
      <c r="J114" s="362">
        <f>IFERROR(VLOOKUP(C114,'تقرير المصروفات حسب الشهر'!$C$763:$AD$872,27,FALSE),0)</f>
        <v>0</v>
      </c>
      <c r="K114" s="362">
        <f>IFERROR(VLOOKUP(C114,'تقرير المصروفات حسب الشهر'!$C$890:$AD$999,27,FALSE),0)</f>
        <v>0</v>
      </c>
      <c r="L114" s="362">
        <f>IFERROR(VLOOKUP(C114,'تقرير المصروفات حسب الشهر'!$C$1016:$AD$1126,27,FALSE),0)</f>
        <v>0</v>
      </c>
      <c r="M114" s="376">
        <f>IFERROR(VLOOKUP(C114,'تقرير المصروفات حسب الشهر'!$C$1143:$AD$1254,27,FALSE),0)</f>
        <v>0</v>
      </c>
      <c r="N114" s="376">
        <f>IFERROR(VLOOKUP(C114,'تقرير المصروفات حسب الشهر'!$C$1270:$AD$1381,27,FALSE),0)</f>
        <v>0</v>
      </c>
      <c r="O114" s="376">
        <f>IFERROR(VLOOKUP(C114,'تقرير المصروفات حسب الشهر'!$C$1397:$AD$1512,27,FALSE),0)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الشهر'!$C$10:$AD$119,27,FALSE),0)</f>
        <v>0</v>
      </c>
      <c r="E115" s="362">
        <f>IFERROR(VLOOKUP(C115,'تقرير المصروفات حسب الشهر'!$C$135:$AD$244,27,FALSE),0)</f>
        <v>0</v>
      </c>
      <c r="F115" s="362">
        <f>IFERROR(VLOOKUP(C115,'تقرير المصروفات حسب الشهر'!$C$261:$AD$368,27,FALSE),0)</f>
        <v>0</v>
      </c>
      <c r="G115" s="362">
        <f>IFERROR(VLOOKUP(C115,'تقرير المصروفات حسب الشهر'!$C$387:$AD$495,27,FALSE),0)</f>
        <v>0</v>
      </c>
      <c r="H115" s="362">
        <f>IFERROR(VLOOKUP(C115,'تقرير المصروفات حسب الشهر'!$C$512:$AD$620,27,FALSE),0)</f>
        <v>0</v>
      </c>
      <c r="I115" s="362">
        <f>IFERROR(VLOOKUP(C115,'تقرير المصروفات حسب الشهر'!$C$637:$AD$746,27,FALSE),0)</f>
        <v>0</v>
      </c>
      <c r="J115" s="362">
        <f>IFERROR(VLOOKUP(C115,'تقرير المصروفات حسب الشهر'!$C$763:$AD$872,27,FALSE),0)</f>
        <v>0</v>
      </c>
      <c r="K115" s="362">
        <f>IFERROR(VLOOKUP(C115,'تقرير المصروفات حسب الشهر'!$C$890:$AD$999,27,FALSE),0)</f>
        <v>0</v>
      </c>
      <c r="L115" s="362">
        <f>IFERROR(VLOOKUP(C115,'تقرير المصروفات حسب الشهر'!$C$1016:$AD$1126,27,FALSE),0)</f>
        <v>0</v>
      </c>
      <c r="M115" s="376">
        <f>IFERROR(VLOOKUP(C115,'تقرير المصروفات حسب الشهر'!$C$1143:$AD$1254,27,FALSE),0)</f>
        <v>0</v>
      </c>
      <c r="N115" s="376">
        <f>IFERROR(VLOOKUP(C115,'تقرير المصروفات حسب الشهر'!$C$1270:$AD$1381,27,FALSE),0)</f>
        <v>0</v>
      </c>
      <c r="O115" s="376">
        <f>IFERROR(VLOOKUP(C115,'تقرير المصروفات حسب الشهر'!$C$1397:$AD$1512,27,FALSE),0)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الشهر'!$C$10:$AD$119,27,FALSE),0)</f>
        <v>0</v>
      </c>
      <c r="E116" s="362">
        <f>IFERROR(VLOOKUP(C116,'تقرير المصروفات حسب الشهر'!$C$135:$AD$244,27,FALSE),0)</f>
        <v>0</v>
      </c>
      <c r="F116" s="362">
        <f>IFERROR(VLOOKUP(C116,'تقرير المصروفات حسب الشهر'!$C$261:$AD$368,27,FALSE),0)</f>
        <v>0</v>
      </c>
      <c r="G116" s="362">
        <f>IFERROR(VLOOKUP(C116,'تقرير المصروفات حسب الشهر'!$C$387:$AD$495,27,FALSE),0)</f>
        <v>0</v>
      </c>
      <c r="H116" s="362">
        <f>IFERROR(VLOOKUP(C116,'تقرير المصروفات حسب الشهر'!$C$512:$AD$620,27,FALSE),0)</f>
        <v>0</v>
      </c>
      <c r="I116" s="362">
        <f>IFERROR(VLOOKUP(C116,'تقرير المصروفات حسب الشهر'!$C$637:$AD$746,27,FALSE),0)</f>
        <v>0</v>
      </c>
      <c r="J116" s="362">
        <f>IFERROR(VLOOKUP(C116,'تقرير المصروفات حسب الشهر'!$C$763:$AD$872,27,FALSE),0)</f>
        <v>0</v>
      </c>
      <c r="K116" s="362">
        <f>IFERROR(VLOOKUP(C116,'تقرير المصروفات حسب الشهر'!$C$890:$AD$999,27,FALSE),0)</f>
        <v>0</v>
      </c>
      <c r="L116" s="362">
        <f>IFERROR(VLOOKUP(C116,'تقرير المصروفات حسب الشهر'!$C$1016:$AD$1126,27,FALSE),0)</f>
        <v>0</v>
      </c>
      <c r="M116" s="376">
        <f>IFERROR(VLOOKUP(C116,'تقرير المصروفات حسب الشهر'!$C$1143:$AD$1254,27,FALSE),0)</f>
        <v>0</v>
      </c>
      <c r="N116" s="376">
        <f>IFERROR(VLOOKUP(C116,'تقرير المصروفات حسب الشهر'!$C$1270:$AD$1381,27,FALSE),0)</f>
        <v>0</v>
      </c>
      <c r="O116" s="376">
        <f>IFERROR(VLOOKUP(C116,'تقرير المصروفات حسب الشهر'!$C$1397:$AD$1512,27,FALSE),0)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الشهر'!$C$10:$AD$119,27,FALSE),0)</f>
        <v>0</v>
      </c>
      <c r="E117" s="362">
        <f>IFERROR(VLOOKUP(C117,'تقرير المصروفات حسب الشهر'!$C$135:$AD$244,27,FALSE),0)</f>
        <v>0</v>
      </c>
      <c r="F117" s="362">
        <f>IFERROR(VLOOKUP(C117,'تقرير المصروفات حسب الشهر'!$C$261:$AD$368,27,FALSE),0)</f>
        <v>0</v>
      </c>
      <c r="G117" s="362">
        <f>IFERROR(VLOOKUP(C117,'تقرير المصروفات حسب الشهر'!$C$387:$AD$495,27,FALSE),0)</f>
        <v>0</v>
      </c>
      <c r="H117" s="362">
        <f>IFERROR(VLOOKUP(C117,'تقرير المصروفات حسب الشهر'!$C$512:$AD$620,27,FALSE),0)</f>
        <v>0</v>
      </c>
      <c r="I117" s="362">
        <f>IFERROR(VLOOKUP(C117,'تقرير المصروفات حسب الشهر'!$C$637:$AD$746,27,FALSE),0)</f>
        <v>0</v>
      </c>
      <c r="J117" s="362">
        <f>IFERROR(VLOOKUP(C117,'تقرير المصروفات حسب الشهر'!$C$763:$AD$872,27,FALSE),0)</f>
        <v>0</v>
      </c>
      <c r="K117" s="362">
        <f>IFERROR(VLOOKUP(C117,'تقرير المصروفات حسب الشهر'!$C$890:$AD$999,27,FALSE),0)</f>
        <v>0</v>
      </c>
      <c r="L117" s="362">
        <f>IFERROR(VLOOKUP(C117,'تقرير المصروفات حسب الشهر'!$C$1016:$AD$1126,27,FALSE),0)</f>
        <v>0</v>
      </c>
      <c r="M117" s="376">
        <f>IFERROR(VLOOKUP(C117,'تقرير المصروفات حسب الشهر'!$C$1143:$AD$1254,27,FALSE),0)</f>
        <v>0</v>
      </c>
      <c r="N117" s="376">
        <f>IFERROR(VLOOKUP(C117,'تقرير المصروفات حسب الشهر'!$C$1270:$AD$1381,27,FALSE),0)</f>
        <v>0</v>
      </c>
      <c r="O117" s="376">
        <f>IFERROR(VLOOKUP(C117,'تقرير المصروفات حسب الشهر'!$C$1397:$AD$1512,27,FALSE),0)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الشهر'!$C$10:$AD$119,27,FALSE),0)</f>
        <v>0</v>
      </c>
      <c r="E118" s="362">
        <f>IFERROR(VLOOKUP(C118,'تقرير المصروفات حسب الشهر'!$C$135:$AD$244,27,FALSE),0)</f>
        <v>0</v>
      </c>
      <c r="F118" s="362">
        <f>IFERROR(VLOOKUP(C118,'تقرير المصروفات حسب الشهر'!$C$261:$AD$368,27,FALSE),0)</f>
        <v>0</v>
      </c>
      <c r="G118" s="362">
        <f>IFERROR(VLOOKUP(C118,'تقرير المصروفات حسب الشهر'!$C$387:$AD$495,27,FALSE),0)</f>
        <v>0</v>
      </c>
      <c r="H118" s="362">
        <f>IFERROR(VLOOKUP(C118,'تقرير المصروفات حسب الشهر'!$C$512:$AD$620,27,FALSE),0)</f>
        <v>0</v>
      </c>
      <c r="I118" s="362">
        <f>IFERROR(VLOOKUP(C118,'تقرير المصروفات حسب الشهر'!$C$637:$AD$746,27,FALSE),0)</f>
        <v>0</v>
      </c>
      <c r="J118" s="362">
        <f>IFERROR(VLOOKUP(C118,'تقرير المصروفات حسب الشهر'!$C$763:$AD$872,27,FALSE),0)</f>
        <v>0</v>
      </c>
      <c r="K118" s="362">
        <f>IFERROR(VLOOKUP(C118,'تقرير المصروفات حسب الشهر'!$C$890:$AD$999,27,FALSE),0)</f>
        <v>0</v>
      </c>
      <c r="L118" s="362">
        <f>IFERROR(VLOOKUP(C118,'تقرير المصروفات حسب الشهر'!$C$1016:$AD$1126,27,FALSE),0)</f>
        <v>0</v>
      </c>
      <c r="M118" s="376">
        <f>IFERROR(VLOOKUP(C118,'تقرير المصروفات حسب الشهر'!$C$1143:$AD$1254,27,FALSE),0)</f>
        <v>0</v>
      </c>
      <c r="N118" s="376">
        <f>IFERROR(VLOOKUP(C118,'تقرير المصروفات حسب الشهر'!$C$1270:$AD$1381,27,FALSE),0)</f>
        <v>0</v>
      </c>
      <c r="O118" s="376">
        <f>IFERROR(VLOOKUP(C118,'تقرير المصروفات حسب الشهر'!$C$1397:$AD$1512,27,FALSE),0)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الشهر'!$C$10:$AD$119,27,FALSE),0)</f>
        <v>0</v>
      </c>
      <c r="E119" s="362">
        <f>IFERROR(VLOOKUP(C119,'تقرير المصروفات حسب الشهر'!$C$135:$AD$244,27,FALSE),0)</f>
        <v>0</v>
      </c>
      <c r="F119" s="362">
        <f>IFERROR(VLOOKUP(C119,'تقرير المصروفات حسب الشهر'!$C$261:$AD$368,27,FALSE),0)</f>
        <v>0</v>
      </c>
      <c r="G119" s="362">
        <f>IFERROR(VLOOKUP(C119,'تقرير المصروفات حسب الشهر'!$C$387:$AD$495,27,FALSE),0)</f>
        <v>0</v>
      </c>
      <c r="H119" s="362">
        <f>IFERROR(VLOOKUP(C119,'تقرير المصروفات حسب الشهر'!$C$512:$AD$620,27,FALSE),0)</f>
        <v>0</v>
      </c>
      <c r="I119" s="362">
        <f>IFERROR(VLOOKUP(C119,'تقرير المصروفات حسب الشهر'!$C$637:$AD$746,27,FALSE),0)</f>
        <v>0</v>
      </c>
      <c r="J119" s="362">
        <f>IFERROR(VLOOKUP(C119,'تقرير المصروفات حسب الشهر'!$C$763:$AD$872,27,FALSE),0)</f>
        <v>0</v>
      </c>
      <c r="K119" s="362">
        <f>IFERROR(VLOOKUP(C119,'تقرير المصروفات حسب الشهر'!$C$890:$AD$999,27,FALSE),0)</f>
        <v>0</v>
      </c>
      <c r="L119" s="362">
        <f>IFERROR(VLOOKUP(C119,'تقرير المصروفات حسب الشهر'!$C$1016:$AD$1126,27,FALSE),0)</f>
        <v>0</v>
      </c>
      <c r="M119" s="376">
        <f>IFERROR(VLOOKUP(C119,'تقرير المصروفات حسب الشهر'!$C$1143:$AD$1254,27,FALSE),0)</f>
        <v>0</v>
      </c>
      <c r="N119" s="376">
        <f>IFERROR(VLOOKUP(C119,'تقرير المصروفات حسب الشهر'!$C$1270:$AD$1381,27,FALSE),0)</f>
        <v>0</v>
      </c>
      <c r="O119" s="376">
        <f>IFERROR(VLOOKUP(C119,'تقرير المصروفات حسب الشهر'!$C$1397:$AD$1512,27,FALSE),0)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الشهر'!$C$10:$AD$119,27,FALSE),0)</f>
        <v>0</v>
      </c>
      <c r="E120" s="362">
        <f>IFERROR(VLOOKUP(C120,'تقرير المصروفات حسب الشهر'!$C$135:$AD$244,27,FALSE),0)</f>
        <v>0</v>
      </c>
      <c r="F120" s="362">
        <f>IFERROR(VLOOKUP(C120,'تقرير المصروفات حسب الشهر'!$C$261:$AD$368,27,FALSE),0)</f>
        <v>0</v>
      </c>
      <c r="G120" s="362">
        <f>IFERROR(VLOOKUP(C120,'تقرير المصروفات حسب الشهر'!$C$387:$AD$495,27,FALSE),0)</f>
        <v>0</v>
      </c>
      <c r="H120" s="362">
        <f>IFERROR(VLOOKUP(C120,'تقرير المصروفات حسب الشهر'!$C$512:$AD$620,27,FALSE),0)</f>
        <v>0</v>
      </c>
      <c r="I120" s="362">
        <f>IFERROR(VLOOKUP(C120,'تقرير المصروفات حسب الشهر'!$C$637:$AD$746,27,FALSE),0)</f>
        <v>0</v>
      </c>
      <c r="J120" s="362">
        <f>IFERROR(VLOOKUP(C120,'تقرير المصروفات حسب الشهر'!$C$763:$AD$872,27,FALSE),0)</f>
        <v>0</v>
      </c>
      <c r="K120" s="362">
        <f>IFERROR(VLOOKUP(C120,'تقرير المصروفات حسب الشهر'!$C$890:$AD$999,27,FALSE),0)</f>
        <v>0</v>
      </c>
      <c r="L120" s="362">
        <f>IFERROR(VLOOKUP(C120,'تقرير المصروفات حسب الشهر'!$C$1016:$AD$1126,27,FALSE),0)</f>
        <v>0</v>
      </c>
      <c r="M120" s="376">
        <f>IFERROR(VLOOKUP(C120,'تقرير المصروفات حسب الشهر'!$C$1143:$AD$1254,27,FALSE),0)</f>
        <v>0</v>
      </c>
      <c r="N120" s="376">
        <f>IFERROR(VLOOKUP(C120,'تقرير المصروفات حسب الشهر'!$C$1270:$AD$1381,27,FALSE),0)</f>
        <v>0</v>
      </c>
      <c r="O120" s="376">
        <f>IFERROR(VLOOKUP(C120,'تقرير المصروفات حسب الشهر'!$C$1397:$AD$1512,27,FALSE),0)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الشهر'!$C$10:$AD$119,27,FALSE),0)</f>
        <v>0</v>
      </c>
      <c r="E121" s="362">
        <f>IFERROR(VLOOKUP(C121,'تقرير المصروفات حسب الشهر'!$C$135:$AD$244,27,FALSE),0)</f>
        <v>0</v>
      </c>
      <c r="F121" s="362">
        <f>IFERROR(VLOOKUP(C121,'تقرير المصروفات حسب الشهر'!$C$261:$AD$368,27,FALSE),0)</f>
        <v>0</v>
      </c>
      <c r="G121" s="362">
        <f>IFERROR(VLOOKUP(C121,'تقرير المصروفات حسب الشهر'!$C$387:$AD$495,27,FALSE),0)</f>
        <v>0</v>
      </c>
      <c r="H121" s="362">
        <f>IFERROR(VLOOKUP(C121,'تقرير المصروفات حسب الشهر'!$C$512:$AD$620,27,FALSE),0)</f>
        <v>0</v>
      </c>
      <c r="I121" s="362">
        <f>IFERROR(VLOOKUP(C121,'تقرير المصروفات حسب الشهر'!$C$637:$AD$746,27,FALSE),0)</f>
        <v>0</v>
      </c>
      <c r="J121" s="362">
        <f>IFERROR(VLOOKUP(C121,'تقرير المصروفات حسب الشهر'!$C$763:$AD$872,27,FALSE),0)</f>
        <v>0</v>
      </c>
      <c r="K121" s="362">
        <f>IFERROR(VLOOKUP(C121,'تقرير المصروفات حسب الشهر'!$C$890:$AD$999,27,FALSE),0)</f>
        <v>0</v>
      </c>
      <c r="L121" s="362">
        <f>IFERROR(VLOOKUP(C121,'تقرير المصروفات حسب الشهر'!$C$1016:$AD$1126,27,FALSE),0)</f>
        <v>0</v>
      </c>
      <c r="M121" s="376">
        <f>IFERROR(VLOOKUP(C121,'تقرير المصروفات حسب الشهر'!$C$1143:$AD$1254,27,FALSE),0)</f>
        <v>0</v>
      </c>
      <c r="N121" s="376">
        <f>IFERROR(VLOOKUP(C121,'تقرير المصروفات حسب الشهر'!$C$1270:$AD$1381,27,FALSE),0)</f>
        <v>0</v>
      </c>
      <c r="O121" s="376">
        <f>IFERROR(VLOOKUP(C121,'تقرير المصروفات حسب الشهر'!$C$1397:$AD$1512,27,FALSE),0)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الشهر'!$C$10:$AD$119,27,FALSE),0)</f>
        <v>0</v>
      </c>
      <c r="E122" s="362">
        <f>IFERROR(VLOOKUP(C122,'تقرير المصروفات حسب الشهر'!$C$135:$AD$244,27,FALSE),0)</f>
        <v>0</v>
      </c>
      <c r="F122" s="362">
        <f>IFERROR(VLOOKUP(C122,'تقرير المصروفات حسب الشهر'!$C$261:$AD$368,27,FALSE),0)</f>
        <v>0</v>
      </c>
      <c r="G122" s="362">
        <f>IFERROR(VLOOKUP(C122,'تقرير المصروفات حسب الشهر'!$C$387:$AD$495,27,FALSE),0)</f>
        <v>0</v>
      </c>
      <c r="H122" s="362">
        <f>IFERROR(VLOOKUP(C122,'تقرير المصروفات حسب الشهر'!$C$512:$AD$620,27,FALSE),0)</f>
        <v>0</v>
      </c>
      <c r="I122" s="362">
        <f>IFERROR(VLOOKUP(C122,'تقرير المصروفات حسب الشهر'!$C$637:$AD$746,27,FALSE),0)</f>
        <v>0</v>
      </c>
      <c r="J122" s="362">
        <f>IFERROR(VLOOKUP(C122,'تقرير المصروفات حسب الشهر'!$C$763:$AD$872,27,FALSE),0)</f>
        <v>0</v>
      </c>
      <c r="K122" s="362">
        <f>IFERROR(VLOOKUP(C122,'تقرير المصروفات حسب الشهر'!$C$890:$AD$999,27,FALSE),0)</f>
        <v>0</v>
      </c>
      <c r="L122" s="362">
        <f>IFERROR(VLOOKUP(C122,'تقرير المصروفات حسب الشهر'!$C$1016:$AD$1126,27,FALSE),0)</f>
        <v>0</v>
      </c>
      <c r="M122" s="376">
        <f>IFERROR(VLOOKUP(C122,'تقرير المصروفات حسب الشهر'!$C$1143:$AD$1254,27,FALSE),0)</f>
        <v>0</v>
      </c>
      <c r="N122" s="376">
        <f>IFERROR(VLOOKUP(C122,'تقرير المصروفات حسب الشهر'!$C$1270:$AD$1381,27,FALSE),0)</f>
        <v>0</v>
      </c>
      <c r="O122" s="376">
        <f>IFERROR(VLOOKUP(C122,'تقرير المصروفات حسب الشهر'!$C$1397:$AD$1512,27,FALSE),0)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الشهر'!$C$10:$AD$119,27,FALSE),0)</f>
        <v>0</v>
      </c>
      <c r="E123" s="362">
        <f>IFERROR(VLOOKUP(C123,'تقرير المصروفات حسب الشهر'!$C$135:$AD$244,27,FALSE),0)</f>
        <v>0</v>
      </c>
      <c r="F123" s="362">
        <f>IFERROR(VLOOKUP(C123,'تقرير المصروفات حسب الشهر'!$C$261:$AD$368,27,FALSE),0)</f>
        <v>0</v>
      </c>
      <c r="G123" s="362">
        <f>IFERROR(VLOOKUP(C123,'تقرير المصروفات حسب الشهر'!$C$387:$AD$495,27,FALSE),0)</f>
        <v>0</v>
      </c>
      <c r="H123" s="362">
        <f>IFERROR(VLOOKUP(C123,'تقرير المصروفات حسب الشهر'!$C$512:$AD$620,27,FALSE),0)</f>
        <v>0</v>
      </c>
      <c r="I123" s="362">
        <f>IFERROR(VLOOKUP(C123,'تقرير المصروفات حسب الشهر'!$C$637:$AD$746,27,FALSE),0)</f>
        <v>0</v>
      </c>
      <c r="J123" s="362">
        <f>IFERROR(VLOOKUP(C123,'تقرير المصروفات حسب الشهر'!$C$763:$AD$872,27,FALSE),0)</f>
        <v>0</v>
      </c>
      <c r="K123" s="362">
        <f>IFERROR(VLOOKUP(C123,'تقرير المصروفات حسب الشهر'!$C$890:$AD$999,27,FALSE),0)</f>
        <v>0</v>
      </c>
      <c r="L123" s="362">
        <f>IFERROR(VLOOKUP(C123,'تقرير المصروفات حسب الشهر'!$C$1016:$AD$1126,27,FALSE),0)</f>
        <v>0</v>
      </c>
      <c r="M123" s="376">
        <f>IFERROR(VLOOKUP(C123,'تقرير المصروفات حسب الشهر'!$C$1143:$AD$1254,27,FALSE),0)</f>
        <v>0</v>
      </c>
      <c r="N123" s="376">
        <f>IFERROR(VLOOKUP(C123,'تقرير المصروفات حسب الشهر'!$C$1270:$AD$1381,27,FALSE),0)</f>
        <v>0</v>
      </c>
      <c r="O123" s="376">
        <f>IFERROR(VLOOKUP(C123,'تقرير المصروفات حسب الشهر'!$C$1397:$AD$1512,27,FALSE),0)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الشهر'!$C$10:$AD$119,27,FALSE),0)</f>
        <v>0</v>
      </c>
      <c r="E124" s="362">
        <f>IFERROR(VLOOKUP(C124,'تقرير المصروفات حسب الشهر'!$C$135:$AD$244,27,FALSE),0)</f>
        <v>0</v>
      </c>
      <c r="F124" s="362">
        <f>IFERROR(VLOOKUP(C124,'تقرير المصروفات حسب الشهر'!$C$261:$AD$368,27,FALSE),0)</f>
        <v>0</v>
      </c>
      <c r="G124" s="362">
        <f>IFERROR(VLOOKUP(C124,'تقرير المصروفات حسب الشهر'!$C$387:$AD$495,27,FALSE),0)</f>
        <v>0</v>
      </c>
      <c r="H124" s="362">
        <f>IFERROR(VLOOKUP(C124,'تقرير المصروفات حسب الشهر'!$C$512:$AD$620,27,FALSE),0)</f>
        <v>0</v>
      </c>
      <c r="I124" s="362">
        <f>IFERROR(VLOOKUP(C124,'تقرير المصروفات حسب الشهر'!$C$637:$AD$746,27,FALSE),0)</f>
        <v>0</v>
      </c>
      <c r="J124" s="362">
        <f>IFERROR(VLOOKUP(C124,'تقرير المصروفات حسب الشهر'!$C$763:$AD$872,27,FALSE),0)</f>
        <v>0</v>
      </c>
      <c r="K124" s="362">
        <f>IFERROR(VLOOKUP(C124,'تقرير المصروفات حسب الشهر'!$C$890:$AD$999,27,FALSE),0)</f>
        <v>0</v>
      </c>
      <c r="L124" s="362">
        <f>IFERROR(VLOOKUP(C124,'تقرير المصروفات حسب الشهر'!$C$1016:$AD$1126,27,FALSE),0)</f>
        <v>0</v>
      </c>
      <c r="M124" s="376">
        <f>IFERROR(VLOOKUP(C124,'تقرير المصروفات حسب الشهر'!$C$1143:$AD$1254,27,FALSE),0)</f>
        <v>0</v>
      </c>
      <c r="N124" s="376">
        <f>IFERROR(VLOOKUP(C124,'تقرير المصروفات حسب الشهر'!$C$1270:$AD$1381,27,FALSE),0)</f>
        <v>0</v>
      </c>
      <c r="O124" s="376">
        <f>IFERROR(VLOOKUP(C124,'تقرير المصروفات حسب الشهر'!$C$1397:$AD$1512,27,FALSE),0)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الشهر'!$C$10:$AD$119,27,FALSE),0)</f>
        <v>0</v>
      </c>
      <c r="E125" s="362">
        <f>IFERROR(VLOOKUP(C125,'تقرير المصروفات حسب الشهر'!$C$135:$AD$244,27,FALSE),0)</f>
        <v>0</v>
      </c>
      <c r="F125" s="362">
        <f>IFERROR(VLOOKUP(C125,'تقرير المصروفات حسب الشهر'!$C$261:$AD$368,27,FALSE),0)</f>
        <v>0</v>
      </c>
      <c r="G125" s="362">
        <f>IFERROR(VLOOKUP(C125,'تقرير المصروفات حسب الشهر'!$C$387:$AD$495,27,FALSE),0)</f>
        <v>0</v>
      </c>
      <c r="H125" s="362">
        <f>IFERROR(VLOOKUP(C125,'تقرير المصروفات حسب الشهر'!$C$512:$AD$620,27,FALSE),0)</f>
        <v>0</v>
      </c>
      <c r="I125" s="362">
        <f>IFERROR(VLOOKUP(C125,'تقرير المصروفات حسب الشهر'!$C$637:$AD$746,27,FALSE),0)</f>
        <v>0</v>
      </c>
      <c r="J125" s="362">
        <f>IFERROR(VLOOKUP(C125,'تقرير المصروفات حسب الشهر'!$C$763:$AD$872,27,FALSE),0)</f>
        <v>0</v>
      </c>
      <c r="K125" s="362">
        <f>IFERROR(VLOOKUP(C125,'تقرير المصروفات حسب الشهر'!$C$890:$AD$999,27,FALSE),0)</f>
        <v>0</v>
      </c>
      <c r="L125" s="362">
        <f>IFERROR(VLOOKUP(C125,'تقرير المصروفات حسب الشهر'!$C$1016:$AD$1126,27,FALSE),0)</f>
        <v>0</v>
      </c>
      <c r="M125" s="376">
        <f>IFERROR(VLOOKUP(C125,'تقرير المصروفات حسب الشهر'!$C$1143:$AD$1254,27,FALSE),0)</f>
        <v>0</v>
      </c>
      <c r="N125" s="376">
        <f>IFERROR(VLOOKUP(C125,'تقرير المصروفات حسب الشهر'!$C$1270:$AD$1381,27,FALSE),0)</f>
        <v>0</v>
      </c>
      <c r="O125" s="376">
        <f>IFERROR(VLOOKUP(C125,'تقرير المصروفات حسب الشهر'!$C$1397:$AD$1512,27,FALSE),0)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الشهر'!$C$10:$AD$119,27,FALSE),0)</f>
        <v>0</v>
      </c>
      <c r="E126" s="362">
        <f>IFERROR(VLOOKUP(C126,'تقرير المصروفات حسب الشهر'!$C$135:$AD$244,27,FALSE),0)</f>
        <v>0</v>
      </c>
      <c r="F126" s="362">
        <f>IFERROR(VLOOKUP(C126,'تقرير المصروفات حسب الشهر'!$C$261:$AD$368,27,FALSE),0)</f>
        <v>0</v>
      </c>
      <c r="G126" s="362">
        <f>IFERROR(VLOOKUP(C126,'تقرير المصروفات حسب الشهر'!$C$387:$AD$495,27,FALSE),0)</f>
        <v>0</v>
      </c>
      <c r="H126" s="362">
        <f>IFERROR(VLOOKUP(C126,'تقرير المصروفات حسب الشهر'!$C$512:$AD$620,27,FALSE),0)</f>
        <v>0</v>
      </c>
      <c r="I126" s="362">
        <f>IFERROR(VLOOKUP(C126,'تقرير المصروفات حسب الشهر'!$C$637:$AD$746,27,FALSE),0)</f>
        <v>0</v>
      </c>
      <c r="J126" s="362">
        <f>IFERROR(VLOOKUP(C126,'تقرير المصروفات حسب الشهر'!$C$763:$AD$872,27,FALSE),0)</f>
        <v>0</v>
      </c>
      <c r="K126" s="362">
        <f>IFERROR(VLOOKUP(C126,'تقرير المصروفات حسب الشهر'!$C$890:$AD$999,27,FALSE),0)</f>
        <v>0</v>
      </c>
      <c r="L126" s="362">
        <f>IFERROR(VLOOKUP(C126,'تقرير المصروفات حسب الشهر'!$C$1016:$AD$1126,27,FALSE),0)</f>
        <v>0</v>
      </c>
      <c r="M126" s="376">
        <f>IFERROR(VLOOKUP(C126,'تقرير المصروفات حسب الشهر'!$C$1143:$AD$1254,27,FALSE),0)</f>
        <v>0</v>
      </c>
      <c r="N126" s="376">
        <f>IFERROR(VLOOKUP(C126,'تقرير المصروفات حسب الشهر'!$C$1270:$AD$1381,27,FALSE),0)</f>
        <v>0</v>
      </c>
      <c r="O126" s="376">
        <f>IFERROR(VLOOKUP(C126,'تقرير المصروفات حسب الشهر'!$C$1397:$AD$1512,27,FALSE),0)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الشهر'!$C$10:$AD$119,27,FALSE),0)</f>
        <v>0</v>
      </c>
      <c r="E127" s="362">
        <f>IFERROR(VLOOKUP(C127,'تقرير المصروفات حسب الشهر'!$C$135:$AD$244,27,FALSE),0)</f>
        <v>0</v>
      </c>
      <c r="F127" s="362">
        <f>IFERROR(VLOOKUP(C127,'تقرير المصروفات حسب الشهر'!$C$261:$AD$368,27,FALSE),0)</f>
        <v>0</v>
      </c>
      <c r="G127" s="362">
        <f>IFERROR(VLOOKUP(C127,'تقرير المصروفات حسب الشهر'!$C$387:$AD$495,27,FALSE),0)</f>
        <v>0</v>
      </c>
      <c r="H127" s="362">
        <f>IFERROR(VLOOKUP(C127,'تقرير المصروفات حسب الشهر'!$C$512:$AD$620,27,FALSE),0)</f>
        <v>0</v>
      </c>
      <c r="I127" s="362">
        <f>IFERROR(VLOOKUP(C127,'تقرير المصروفات حسب الشهر'!$C$637:$AD$746,27,FALSE),0)</f>
        <v>0</v>
      </c>
      <c r="J127" s="362">
        <f>IFERROR(VLOOKUP(C127,'تقرير المصروفات حسب الشهر'!$C$763:$AD$872,27,FALSE),0)</f>
        <v>0</v>
      </c>
      <c r="K127" s="362">
        <f>IFERROR(VLOOKUP(C127,'تقرير المصروفات حسب الشهر'!$C$890:$AD$999,27,FALSE),0)</f>
        <v>0</v>
      </c>
      <c r="L127" s="362">
        <f>IFERROR(VLOOKUP(C127,'تقرير المصروفات حسب الشهر'!$C$1016:$AD$1126,27,FALSE),0)</f>
        <v>0</v>
      </c>
      <c r="M127" s="376">
        <f>IFERROR(VLOOKUP(C127,'تقرير المصروفات حسب الشهر'!$C$1143:$AD$1254,27,FALSE),0)</f>
        <v>0</v>
      </c>
      <c r="N127" s="376">
        <f>IFERROR(VLOOKUP(C127,'تقرير المصروفات حسب الشهر'!$C$1270:$AD$1381,27,FALSE),0)</f>
        <v>0</v>
      </c>
      <c r="O127" s="376">
        <f>IFERROR(VLOOKUP(C127,'تقرير المصروفات حسب الشهر'!$C$1397:$AD$1512,27,FALSE),0)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الشهر'!$C$10:$AD$119,27,FALSE),0)</f>
        <v>0</v>
      </c>
      <c r="E128" s="362">
        <f>IFERROR(VLOOKUP(C128,'تقرير المصروفات حسب الشهر'!$C$135:$AD$244,27,FALSE),0)</f>
        <v>0</v>
      </c>
      <c r="F128" s="362">
        <f>IFERROR(VLOOKUP(C128,'تقرير المصروفات حسب الشهر'!$C$261:$AD$368,27,FALSE),0)</f>
        <v>0</v>
      </c>
      <c r="G128" s="362">
        <f>IFERROR(VLOOKUP(C128,'تقرير المصروفات حسب الشهر'!$C$387:$AD$495,27,FALSE),0)</f>
        <v>0</v>
      </c>
      <c r="H128" s="362">
        <f>IFERROR(VLOOKUP(C128,'تقرير المصروفات حسب الشهر'!$C$512:$AD$620,27,FALSE),0)</f>
        <v>0</v>
      </c>
      <c r="I128" s="362">
        <f>IFERROR(VLOOKUP(C128,'تقرير المصروفات حسب الشهر'!$C$637:$AD$746,27,FALSE),0)</f>
        <v>0</v>
      </c>
      <c r="J128" s="362">
        <f>IFERROR(VLOOKUP(C128,'تقرير المصروفات حسب الشهر'!$C$763:$AD$872,27,FALSE),0)</f>
        <v>0</v>
      </c>
      <c r="K128" s="362">
        <f>IFERROR(VLOOKUP(C128,'تقرير المصروفات حسب الشهر'!$C$890:$AD$999,27,FALSE),0)</f>
        <v>0</v>
      </c>
      <c r="L128" s="362">
        <f>IFERROR(VLOOKUP(C128,'تقرير المصروفات حسب الشهر'!$C$1016:$AD$1126,27,FALSE),0)</f>
        <v>0</v>
      </c>
      <c r="M128" s="376">
        <f>IFERROR(VLOOKUP(C128,'تقرير المصروفات حسب الشهر'!$C$1143:$AD$1254,27,FALSE),0)</f>
        <v>0</v>
      </c>
      <c r="N128" s="376">
        <f>IFERROR(VLOOKUP(C128,'تقرير المصروفات حسب الشهر'!$C$1270:$AD$1381,27,FALSE),0)</f>
        <v>0</v>
      </c>
      <c r="O128" s="376">
        <f>IFERROR(VLOOKUP(C128,'تقرير المصروفات حسب الشهر'!$C$1397:$AD$1512,27,FALSE),0)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الشهر'!$C$10:$AD$119,27,FALSE),0)</f>
        <v>431.25</v>
      </c>
      <c r="E129" s="362">
        <f>IFERROR(VLOOKUP(C129,'تقرير المصروفات حسب الشهر'!$C$135:$AD$244,27,FALSE),0)</f>
        <v>431.25</v>
      </c>
      <c r="F129" s="362">
        <f>IFERROR(VLOOKUP(C129,'تقرير المصروفات حسب الشهر'!$C$261:$AD$368,27,FALSE),0)</f>
        <v>862.5</v>
      </c>
      <c r="G129" s="362">
        <f>IFERROR(VLOOKUP(C129,'تقرير المصروفات حسب الشهر'!$C$387:$AD$495,27,FALSE),0)</f>
        <v>862.5</v>
      </c>
      <c r="H129" s="362">
        <f>IFERROR(VLOOKUP(C129,'تقرير المصروفات حسب الشهر'!$C$512:$AD$620,27,FALSE),0)</f>
        <v>431.25</v>
      </c>
      <c r="I129" s="362">
        <f>IFERROR(VLOOKUP(C129,'تقرير المصروفات حسب الشهر'!$C$637:$AD$746,27,FALSE),0)</f>
        <v>431</v>
      </c>
      <c r="J129" s="362">
        <f>IFERROR(VLOOKUP(C129,'تقرير المصروفات حسب الشهر'!$C$763:$AD$872,27,FALSE),0)</f>
        <v>862.5</v>
      </c>
      <c r="K129" s="362">
        <f>IFERROR(VLOOKUP(C129,'تقرير المصروفات حسب الشهر'!$C$890:$AD$999,27,FALSE),0)</f>
        <v>862.5</v>
      </c>
      <c r="L129" s="362">
        <f>IFERROR(VLOOKUP(C129,'تقرير المصروفات حسب الشهر'!$C$1016:$AD$1126,27,FALSE),0)</f>
        <v>862.5</v>
      </c>
      <c r="M129" s="376">
        <f>IFERROR(VLOOKUP(C129,'تقرير المصروفات حسب الشهر'!$C$1143:$AD$1254,27,FALSE),0)</f>
        <v>862.5</v>
      </c>
      <c r="N129" s="376">
        <f>IFERROR(VLOOKUP(C129,'تقرير المصروفات حسب الشهر'!$C$1270:$AD$1381,27,FALSE),0)</f>
        <v>862.5</v>
      </c>
      <c r="O129" s="376">
        <f>IFERROR(VLOOKUP(C129,'تقرير المصروفات حسب الشهر'!$C$1397:$AD$1512,27,FALSE),0)</f>
        <v>862.5</v>
      </c>
      <c r="P129" s="364">
        <f t="shared" si="6"/>
        <v>8624.75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الشهر'!$C$10:$AD$119,27,FALSE),0)</f>
        <v>0</v>
      </c>
      <c r="E130" s="362">
        <f>IFERROR(VLOOKUP(C130,'تقرير المصروفات حسب الشهر'!$C$135:$AD$244,27,FALSE),0)</f>
        <v>0</v>
      </c>
      <c r="F130" s="362">
        <f>IFERROR(VLOOKUP(C130,'تقرير المصروفات حسب الشهر'!$C$261:$AD$368,27,FALSE),0)</f>
        <v>0</v>
      </c>
      <c r="G130" s="362">
        <f>IFERROR(VLOOKUP(C130,'تقرير المصروفات حسب الشهر'!$C$387:$AD$495,27,FALSE),0)</f>
        <v>0</v>
      </c>
      <c r="H130" s="362">
        <f>IFERROR(VLOOKUP(C130,'تقرير المصروفات حسب الشهر'!$C$512:$AD$620,27,FALSE),0)</f>
        <v>0</v>
      </c>
      <c r="I130" s="362">
        <f>IFERROR(VLOOKUP(C130,'تقرير المصروفات حسب الشهر'!$C$637:$AD$746,27,FALSE),0)</f>
        <v>0</v>
      </c>
      <c r="J130" s="362">
        <f>IFERROR(VLOOKUP(C130,'تقرير المصروفات حسب الشهر'!$C$763:$AD$872,27,FALSE),0)</f>
        <v>0</v>
      </c>
      <c r="K130" s="362">
        <f>IFERROR(VLOOKUP(C130,'تقرير المصروفات حسب الشهر'!$C$890:$AD$999,27,FALSE),0)</f>
        <v>0</v>
      </c>
      <c r="L130" s="362">
        <f>IFERROR(VLOOKUP(C130,'تقرير المصروفات حسب الشهر'!$C$1016:$AD$1126,27,FALSE),0)</f>
        <v>0</v>
      </c>
      <c r="M130" s="376">
        <f>IFERROR(VLOOKUP(C130,'تقرير المصروفات حسب الشهر'!$C$1143:$AD$1254,27,FALSE),0)</f>
        <v>0</v>
      </c>
      <c r="N130" s="376">
        <f>IFERROR(VLOOKUP(C130,'تقرير المصروفات حسب الشهر'!$C$1270:$AD$1381,27,FALSE),0)</f>
        <v>0</v>
      </c>
      <c r="O130" s="376">
        <f>IFERROR(VLOOKUP(C130,'تقرير المصروفات حسب الشهر'!$C$1397:$AD$1512,27,FALSE),0)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الشهر'!$C$10:$AD$119,27,FALSE),0)</f>
        <v>0</v>
      </c>
      <c r="E131" s="362">
        <f>IFERROR(VLOOKUP(C131,'تقرير المصروفات حسب الشهر'!$C$135:$AD$244,27,FALSE),0)</f>
        <v>0</v>
      </c>
      <c r="F131" s="362">
        <f>IFERROR(VLOOKUP(C131,'تقرير المصروفات حسب الشهر'!$C$261:$AD$368,27,FALSE),0)</f>
        <v>0</v>
      </c>
      <c r="G131" s="362">
        <f>IFERROR(VLOOKUP(C131,'تقرير المصروفات حسب الشهر'!$C$387:$AD$495,27,FALSE),0)</f>
        <v>0</v>
      </c>
      <c r="H131" s="362">
        <f>IFERROR(VLOOKUP(C131,'تقرير المصروفات حسب الشهر'!$C$512:$AD$620,27,FALSE),0)</f>
        <v>0</v>
      </c>
      <c r="I131" s="362">
        <f>IFERROR(VLOOKUP(C131,'تقرير المصروفات حسب الشهر'!$C$637:$AD$746,27,FALSE),0)</f>
        <v>0</v>
      </c>
      <c r="J131" s="362">
        <f>IFERROR(VLOOKUP(C131,'تقرير المصروفات حسب الشهر'!$C$763:$AD$872,27,FALSE),0)</f>
        <v>0</v>
      </c>
      <c r="K131" s="362">
        <f>IFERROR(VLOOKUP(C131,'تقرير المصروفات حسب الشهر'!$C$890:$AD$999,27,FALSE),0)</f>
        <v>0</v>
      </c>
      <c r="L131" s="362">
        <f>IFERROR(VLOOKUP(C131,'تقرير المصروفات حسب الشهر'!$C$1016:$AD$1126,27,FALSE),0)</f>
        <v>0</v>
      </c>
      <c r="M131" s="376">
        <f>IFERROR(VLOOKUP(C131,'تقرير المصروفات حسب الشهر'!$C$1143:$AD$1254,27,FALSE),0)</f>
        <v>0</v>
      </c>
      <c r="N131" s="376">
        <f>IFERROR(VLOOKUP(C131,'تقرير المصروفات حسب الشهر'!$C$1270:$AD$1381,27,FALSE),0)</f>
        <v>0</v>
      </c>
      <c r="O131" s="376">
        <f>IFERROR(VLOOKUP(C131,'تقرير المصروفات حسب الشهر'!$C$1397:$AD$1512,27,FALSE),0)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20293.170000000002</v>
      </c>
      <c r="E132" s="146">
        <f t="shared" si="7"/>
        <v>25807.400000000005</v>
      </c>
      <c r="F132" s="146">
        <f t="shared" si="7"/>
        <v>21023.180000000004</v>
      </c>
      <c r="G132" s="146">
        <f t="shared" si="7"/>
        <v>24257.030000000002</v>
      </c>
      <c r="H132" s="146">
        <f t="shared" si="7"/>
        <v>48915.64</v>
      </c>
      <c r="I132" s="146">
        <f t="shared" si="7"/>
        <v>23079.540000000005</v>
      </c>
      <c r="J132" s="146">
        <f t="shared" si="7"/>
        <v>27380.890000000003</v>
      </c>
      <c r="K132" s="146">
        <f t="shared" si="7"/>
        <v>30976.68</v>
      </c>
      <c r="L132" s="146">
        <f t="shared" si="7"/>
        <v>32635.100000000002</v>
      </c>
      <c r="M132" s="146">
        <f t="shared" si="7"/>
        <v>63439.45</v>
      </c>
      <c r="N132" s="146">
        <f t="shared" si="7"/>
        <v>44941.810000000005</v>
      </c>
      <c r="O132" s="146">
        <f t="shared" si="7"/>
        <v>49875.450000000004</v>
      </c>
      <c r="P132" s="388">
        <f t="shared" si="6"/>
        <v>412625.34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99976.760000000009</v>
      </c>
      <c r="E134" s="392">
        <f t="shared" si="8"/>
        <v>79077.760000000068</v>
      </c>
      <c r="F134" s="392">
        <f t="shared" si="8"/>
        <v>80552.700000000012</v>
      </c>
      <c r="G134" s="392">
        <f t="shared" si="8"/>
        <v>86904.469999999972</v>
      </c>
      <c r="H134" s="392">
        <f t="shared" si="8"/>
        <v>112017.83999999997</v>
      </c>
      <c r="I134" s="392">
        <f t="shared" si="8"/>
        <v>147170.89000000004</v>
      </c>
      <c r="J134" s="392">
        <f t="shared" si="8"/>
        <v>116944.93999999994</v>
      </c>
      <c r="K134" s="392">
        <f t="shared" si="8"/>
        <v>142395.09999999998</v>
      </c>
      <c r="L134" s="392">
        <f t="shared" si="8"/>
        <v>108073.08000000007</v>
      </c>
      <c r="M134" s="392">
        <f t="shared" si="8"/>
        <v>104649.80999999994</v>
      </c>
      <c r="N134" s="392">
        <f t="shared" si="8"/>
        <v>170176.05999999988</v>
      </c>
      <c r="O134" s="392">
        <f t="shared" si="8"/>
        <v>162986.20999999996</v>
      </c>
      <c r="P134" s="388">
        <f t="shared" si="6"/>
        <v>1410925.6199999999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79683.590000000011</v>
      </c>
      <c r="E137" s="383">
        <f t="shared" ref="E137:O137" si="9">E134-E132</f>
        <v>53270.360000000059</v>
      </c>
      <c r="F137" s="383">
        <f t="shared" si="9"/>
        <v>59529.520000000004</v>
      </c>
      <c r="G137" s="383">
        <f t="shared" si="9"/>
        <v>62647.439999999973</v>
      </c>
      <c r="H137" s="383">
        <f t="shared" si="9"/>
        <v>63102.199999999968</v>
      </c>
      <c r="I137" s="383">
        <f t="shared" si="9"/>
        <v>124091.35000000003</v>
      </c>
      <c r="J137" s="383">
        <f t="shared" si="9"/>
        <v>89564.049999999945</v>
      </c>
      <c r="K137" s="383">
        <f t="shared" si="9"/>
        <v>111418.41999999998</v>
      </c>
      <c r="L137" s="383">
        <f t="shared" si="9"/>
        <v>75437.980000000069</v>
      </c>
      <c r="M137" s="383">
        <f t="shared" si="9"/>
        <v>41210.359999999942</v>
      </c>
      <c r="N137" s="383">
        <f t="shared" si="9"/>
        <v>125234.24999999988</v>
      </c>
      <c r="O137" s="383">
        <f t="shared" si="9"/>
        <v>113110.75999999995</v>
      </c>
      <c r="P137" s="387">
        <f>SUM(D137:O137)</f>
        <v>998300.2799999998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M141" s="459">
        <f>41210.36-M137</f>
        <v>5.8207660913467407E-11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2">
    <tabColor theme="9"/>
  </sheetPr>
  <dimension ref="A1:T140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335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245</v>
      </c>
      <c r="B8" s="390"/>
      <c r="C8" s="369" t="s">
        <v>114</v>
      </c>
      <c r="D8" s="364">
        <f>IFERROR(D9+D10+D11,0)</f>
        <v>0</v>
      </c>
      <c r="E8" s="364">
        <f>IFERROR(E9+E10+E11,0)</f>
        <v>0</v>
      </c>
      <c r="F8" s="364">
        <f>IFERROR(F9+F10+F11,0)</f>
        <v>0</v>
      </c>
      <c r="G8" s="364">
        <f>IFERROR(G9+G10+G11,0)</f>
        <v>0</v>
      </c>
      <c r="H8" s="364">
        <f t="shared" ref="H8:O8" si="0">H9+H10+H11</f>
        <v>0</v>
      </c>
      <c r="I8" s="364">
        <f t="shared" si="0"/>
        <v>0</v>
      </c>
      <c r="J8" s="364">
        <f t="shared" si="0"/>
        <v>0</v>
      </c>
      <c r="K8" s="364">
        <f t="shared" si="0"/>
        <v>0</v>
      </c>
      <c r="L8" s="364">
        <f t="shared" si="0"/>
        <v>0</v>
      </c>
      <c r="M8" s="364">
        <f t="shared" si="0"/>
        <v>0</v>
      </c>
      <c r="N8" s="364">
        <f t="shared" si="0"/>
        <v>0</v>
      </c>
      <c r="O8" s="364">
        <f t="shared" si="0"/>
        <v>0</v>
      </c>
      <c r="P8" s="364">
        <f>SUM(D8:O8)</f>
        <v>0</v>
      </c>
    </row>
    <row r="9" spans="1:20" ht="18" customHeight="1">
      <c r="B9" s="124"/>
      <c r="C9" s="370" t="s">
        <v>115</v>
      </c>
      <c r="D9" s="365">
        <f>IFERROR(VLOOKUP($A$8,'تقرير إحصائية بحجم المبيعات'!$B$7:$L$31,2,FALSE),0)</f>
        <v>0</v>
      </c>
      <c r="E9" s="365">
        <f>IFERROR(VLOOKUP($A$8,'تقرير إحصائية بحجم المبيعات'!$B$42:$G$73,2,FALSE),0)</f>
        <v>0</v>
      </c>
      <c r="F9" s="365">
        <f>IFERROR(VLOOKUP($A$8,'تقرير إحصائية بحجم المبيعات'!$B$78:$E$103,2,FALSE),0)</f>
        <v>0</v>
      </c>
      <c r="G9" s="365">
        <f>IFERROR(VLOOKUP($A$8,'تقرير إحصائية بحجم المبيعات'!$B$112:$G$137,2,FALSE),0)</f>
        <v>0</v>
      </c>
      <c r="H9" s="365">
        <f>VLOOKUP($A$8,'تقرير إحصائية بحجم المبيعات'!$B$147:$G$177,2,FALSE)</f>
        <v>0</v>
      </c>
      <c r="I9" s="365">
        <f>VLOOKUP($A$8,'تقرير إحصائية بحجم المبيعات'!$B$182:$G$212,2,FALSE)</f>
        <v>0</v>
      </c>
      <c r="J9" s="365">
        <f>VLOOKUP($A$8,'تقرير إحصائية بحجم المبيعات'!$B$217:$L$243,2,FALSE)</f>
        <v>0</v>
      </c>
      <c r="K9" s="365">
        <f>VLOOKUP($A$8,'تقرير إحصائية بحجم المبيعات'!$B$252:$L$278,2,FALSE)</f>
        <v>0</v>
      </c>
      <c r="L9" s="365">
        <f>VLOOKUP($A$8,'تقرير إحصائية بحجم المبيعات'!$B$287:$L$313,2,FALSE)</f>
        <v>0</v>
      </c>
      <c r="M9" s="365">
        <f>VLOOKUP($A$8,'تقرير إحصائية بحجم المبيعات'!$B$322:$L$347,2,FALSE)</f>
        <v>0</v>
      </c>
      <c r="N9" s="365"/>
      <c r="O9" s="365"/>
      <c r="P9" s="364">
        <f t="shared" ref="P9:P18" si="1">SUM(D9:O9)</f>
        <v>0</v>
      </c>
    </row>
    <row r="10" spans="1:20" ht="18" customHeight="1">
      <c r="B10" s="124"/>
      <c r="C10" s="370" t="s">
        <v>21</v>
      </c>
      <c r="D10" s="365">
        <f>IFERROR(VLOOKUP($A$8,'تقرير إحصائية بحجم المبيعات'!$B$7:$L$31,3,FALSE),0)</f>
        <v>0</v>
      </c>
      <c r="E10" s="365">
        <f>IFERROR(VLOOKUP($A$8,'تقرير إحصائية بحجم المبيعات'!$B$42:$G$73,3,FALSE),0)</f>
        <v>0</v>
      </c>
      <c r="F10" s="365">
        <f>IFERROR(VLOOKUP($A$8,'تقرير إحصائية بحجم المبيعات'!$B$78:$E$103,3,FALSE),0)</f>
        <v>0</v>
      </c>
      <c r="G10" s="365">
        <f>IFERROR(VLOOKUP($A$8,'تقرير إحصائية بحجم المبيعات'!$B$112:$G$137,3,FALSE),0)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/>
      <c r="O10" s="365"/>
      <c r="P10" s="364">
        <f t="shared" si="1"/>
        <v>0</v>
      </c>
    </row>
    <row r="11" spans="1:20" ht="18" customHeight="1">
      <c r="B11" s="124"/>
      <c r="C11" s="370" t="s">
        <v>116</v>
      </c>
      <c r="D11" s="365">
        <f>IFERROR(VLOOKUP($A$8,'تقرير إحصائية بحجم المبيعات'!$B$7:$L$31,4,FALSE),0)</f>
        <v>0</v>
      </c>
      <c r="E11" s="365">
        <f>IFERROR(VLOOKUP($A$8,'تقرير إحصائية بحجم المبيعات'!$B$42:$G$73,4,FALSE),0)</f>
        <v>0</v>
      </c>
      <c r="F11" s="365">
        <f>IFERROR(VLOOKUP($A$8,'تقرير إحصائية بحجم المبيعات'!$B$78:$E$103,4,FALSE),0)</f>
        <v>0</v>
      </c>
      <c r="G11" s="365">
        <f>IFERROR(VLOOKUP($A$8,'تقرير إحصائية بحجم المبيعات'!$B$112:$G$137,4,FALSE),0)</f>
        <v>0</v>
      </c>
      <c r="H11" s="365">
        <f>VLOOKUP($A$8,'تقرير إحصائية بحجم المبيعات'!$B$147:$G$177,4,FALSE)</f>
        <v>0</v>
      </c>
      <c r="I11" s="365">
        <f>VLOOKUP($A$8,'تقرير إحصائية بحجم المبيعات'!$B$182:$G$212,4,FALSE)</f>
        <v>0</v>
      </c>
      <c r="J11" s="365">
        <f>VLOOKUP($A$8,'تقرير إحصائية بحجم المبيعات'!$B$217:$L$243,4,FALSE)</f>
        <v>0</v>
      </c>
      <c r="K11" s="365">
        <f>VLOOKUP($A$8,'تقرير إحصائية بحجم المبيعات'!$B$252:$L$278,4,FALSE)</f>
        <v>0</v>
      </c>
      <c r="L11" s="365">
        <f>VLOOKUP($A$8,'تقرير إحصائية بحجم المبيعات'!$B$287:$L$313,4,FALSE)</f>
        <v>0</v>
      </c>
      <c r="M11" s="365">
        <f>VLOOKUP($A$8,'تقرير إحصائية بحجم المبيعات'!$B$322:$L$347,4,FALSE)</f>
        <v>0</v>
      </c>
      <c r="N11" s="365"/>
      <c r="O11" s="365"/>
      <c r="P11" s="364">
        <f t="shared" si="1"/>
        <v>0</v>
      </c>
    </row>
    <row r="12" spans="1:20" ht="18" customHeight="1">
      <c r="B12" s="124"/>
      <c r="C12" s="369" t="s">
        <v>120</v>
      </c>
      <c r="D12" s="364">
        <f>IFERROR(VLOOKUP($A$8,'تقرير إحصائية بحجم المبيعات'!$B$7:$L$31,11,FALSE),0)</f>
        <v>0</v>
      </c>
      <c r="E12" s="364">
        <f>IFERROR(VLOOKUP($A$8,'تقرير إحصائية بحجم المبيعات'!$B$42:$L$73,11,FALSE),0)</f>
        <v>0</v>
      </c>
      <c r="F12" s="364">
        <f>IFERROR(VLOOKUP($A$8,'تقرير إحصائية بحجم المبيعات'!$B$78:$L$103,11,FALSE),0)</f>
        <v>0</v>
      </c>
      <c r="G12" s="364">
        <f>IFERROR(VLOOKUP($A$8,'تقرير إحصائية بحجم المبيعات'!$B$112:$L$137,11,FALSE),0)</f>
        <v>0</v>
      </c>
      <c r="H12" s="364">
        <f>VLOOKUP($A$8,'تقرير إحصائية بحجم المبيعات'!$B$147:$L$177,11,FALSE)</f>
        <v>0</v>
      </c>
      <c r="I12" s="364">
        <f>VLOOKUP($A$8,'تقرير إحصائية بحجم المبيعات'!$B$182:$L$212,11,FALSE)</f>
        <v>0</v>
      </c>
      <c r="J12" s="365">
        <f>VLOOKUP($A$8,'تقرير إحصائية بحجم المبيعات'!$B$217:$L$243,11,FALSE)</f>
        <v>0</v>
      </c>
      <c r="K12" s="364">
        <f>VLOOKUP($A$8,'تقرير إحصائية بحجم المبيعات'!$B$252:$L$278,11,FALSE)</f>
        <v>0</v>
      </c>
      <c r="L12" s="364">
        <f>VLOOKUP($A$8,'تقرير إحصائية بحجم المبيعات'!$B$287:$L$313,11,FALSE)</f>
        <v>0</v>
      </c>
      <c r="M12" s="365">
        <f>VLOOKUP($A$8,'تقرير إحصائية بحجم المبيعات'!$B$322:$L$347,11,FALSE)</f>
        <v>0</v>
      </c>
      <c r="N12" s="365"/>
      <c r="O12" s="364"/>
      <c r="P12" s="364">
        <f t="shared" si="1"/>
        <v>0</v>
      </c>
    </row>
    <row r="13" spans="1:20" ht="18" customHeight="1">
      <c r="B13" s="124"/>
      <c r="C13" s="371" t="s">
        <v>14</v>
      </c>
      <c r="D13" s="366">
        <f t="shared" ref="D13:O13" si="2">D8-D12</f>
        <v>0</v>
      </c>
      <c r="E13" s="366">
        <f t="shared" si="2"/>
        <v>0</v>
      </c>
      <c r="F13" s="366">
        <f t="shared" si="2"/>
        <v>0</v>
      </c>
      <c r="G13" s="366">
        <f t="shared" si="2"/>
        <v>0</v>
      </c>
      <c r="H13" s="366">
        <f t="shared" si="2"/>
        <v>0</v>
      </c>
      <c r="I13" s="366">
        <f t="shared" si="2"/>
        <v>0</v>
      </c>
      <c r="J13" s="366">
        <f t="shared" si="2"/>
        <v>0</v>
      </c>
      <c r="K13" s="366">
        <f t="shared" si="2"/>
        <v>0</v>
      </c>
      <c r="L13" s="366">
        <f t="shared" si="2"/>
        <v>0</v>
      </c>
      <c r="M13" s="366">
        <f t="shared" si="2"/>
        <v>0</v>
      </c>
      <c r="N13" s="366">
        <f t="shared" si="2"/>
        <v>0</v>
      </c>
      <c r="O13" s="366">
        <f t="shared" si="2"/>
        <v>0</v>
      </c>
      <c r="P13" s="366">
        <f t="shared" si="1"/>
        <v>0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4">
        <f t="shared" si="1"/>
        <v>0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0</v>
      </c>
      <c r="I18" s="363">
        <f t="shared" si="3"/>
        <v>0</v>
      </c>
      <c r="J18" s="363">
        <f t="shared" si="3"/>
        <v>0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 t="shared" si="3"/>
        <v>0</v>
      </c>
      <c r="O18" s="368">
        <f t="shared" si="3"/>
        <v>0</v>
      </c>
      <c r="P18" s="364">
        <f t="shared" si="1"/>
        <v>0</v>
      </c>
    </row>
    <row r="19" spans="2:16" ht="18" customHeight="1">
      <c r="B19" s="124"/>
      <c r="C19" s="386" t="s">
        <v>14</v>
      </c>
      <c r="D19" s="374">
        <f t="shared" ref="D19:O19" si="4">D13+D18</f>
        <v>0</v>
      </c>
      <c r="E19" s="374">
        <f t="shared" si="4"/>
        <v>0</v>
      </c>
      <c r="F19" s="374">
        <f t="shared" si="4"/>
        <v>0</v>
      </c>
      <c r="G19" s="374">
        <f t="shared" si="4"/>
        <v>0</v>
      </c>
      <c r="H19" s="374">
        <f t="shared" si="4"/>
        <v>0</v>
      </c>
      <c r="I19" s="374">
        <f t="shared" si="4"/>
        <v>0</v>
      </c>
      <c r="J19" s="374">
        <f t="shared" si="4"/>
        <v>0</v>
      </c>
      <c r="K19" s="374">
        <f t="shared" si="4"/>
        <v>0</v>
      </c>
      <c r="L19" s="374">
        <f t="shared" si="4"/>
        <v>0</v>
      </c>
      <c r="M19" s="374">
        <f t="shared" si="4"/>
        <v>0</v>
      </c>
      <c r="N19" s="374">
        <f t="shared" si="4"/>
        <v>0</v>
      </c>
      <c r="O19" s="374">
        <f t="shared" si="4"/>
        <v>0</v>
      </c>
      <c r="P19" s="382">
        <f>SUM(D19:O19)</f>
        <v>0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الشهر'!$C$10:$AD$119,28,FALSE),0)</f>
        <v>0</v>
      </c>
      <c r="E22" s="362">
        <f>IFERROR(VLOOKUP(C22,'تقرير المصروفات حسب الشهر'!$C$135:$AD$244,28,FALSE),0)</f>
        <v>0</v>
      </c>
      <c r="F22" s="362">
        <f>IFERROR(VLOOKUP(C22,'تقرير المصروفات حسب الشهر'!$C$261:$AD$368,28,FALSE),0)</f>
        <v>0</v>
      </c>
      <c r="G22" s="362">
        <f>IFERROR(VLOOKUP(C22,'تقرير المصروفات حسب الشهر'!$C$387:$AD$495,28,FALSE),0)</f>
        <v>0</v>
      </c>
      <c r="H22" s="362">
        <f>IFERROR(VLOOKUP(C22,'تقرير المصروفات حسب الشهر'!$C$512:$AD$620,28,FALSE),0)</f>
        <v>0</v>
      </c>
      <c r="I22" s="362">
        <f>IFERROR(VLOOKUP(C22,'تقرير المصروفات حسب الشهر'!$C$637:$AD$746,28,FALSE),0)</f>
        <v>0</v>
      </c>
      <c r="J22" s="362">
        <f>IFERROR(VLOOKUP(C22,'تقرير المصروفات حسب الشهر'!$C$763:$AD$872,28,FALSE),0)</f>
        <v>0</v>
      </c>
      <c r="K22" s="362">
        <f>IFERROR(VLOOKUP(C22,'تقرير المصروفات حسب الشهر'!$C$890:$AD$999,28,FALSE),0)</f>
        <v>0</v>
      </c>
      <c r="L22" s="362">
        <f>IFERROR(VLOOKUP(C22,'تقرير المصروفات حسب الشهر'!$C$1016:$AD$1126,28,FALSE),0)</f>
        <v>0</v>
      </c>
      <c r="M22" s="376">
        <f>IFERROR(VLOOKUP(C22,'تقرير المصروفات حسب الشهر'!$C$1143:$AD$1254,28,FALSE),0)</f>
        <v>0</v>
      </c>
      <c r="N22" s="362"/>
      <c r="O22" s="362"/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الشهر'!$C$10:$AD$119,28,FALSE),0)</f>
        <v>0</v>
      </c>
      <c r="E23" s="362">
        <f>IFERROR(VLOOKUP(C23,'تقرير المصروفات حسب الشهر'!$C$135:$AD$244,28,FALSE),0)</f>
        <v>0</v>
      </c>
      <c r="F23" s="362">
        <f>IFERROR(VLOOKUP(C23,'تقرير المصروفات حسب الشهر'!$C$261:$AD$368,28,FALSE),0)</f>
        <v>0</v>
      </c>
      <c r="G23" s="362">
        <f>IFERROR(VLOOKUP(C23,'تقرير المصروفات حسب الشهر'!$C$387:$AD$495,28,FALSE),0)</f>
        <v>0</v>
      </c>
      <c r="H23" s="362">
        <f>IFERROR(VLOOKUP(C23,'تقرير المصروفات حسب الشهر'!$C$512:$AD$620,28,FALSE),0)</f>
        <v>0</v>
      </c>
      <c r="I23" s="362">
        <f>IFERROR(VLOOKUP(C23,'تقرير المصروفات حسب الشهر'!$C$637:$AD$746,28,FALSE),0)</f>
        <v>0</v>
      </c>
      <c r="J23" s="362">
        <f>IFERROR(VLOOKUP(C23,'تقرير المصروفات حسب الشهر'!$C$763:$AD$872,28,FALSE),0)</f>
        <v>0</v>
      </c>
      <c r="K23" s="362">
        <f>IFERROR(VLOOKUP(C23,'تقرير المصروفات حسب الشهر'!$C$890:$AD$999,28,FALSE),0)</f>
        <v>0</v>
      </c>
      <c r="L23" s="362">
        <f>IFERROR(VLOOKUP(C23,'تقرير المصروفات حسب الشهر'!$C$1016:$AD$1126,28,FALSE),0)</f>
        <v>0</v>
      </c>
      <c r="M23" s="376">
        <f>IFERROR(VLOOKUP(C23,'تقرير المصروفات حسب الشهر'!$C$1143:$AD$1254,28,FALSE),0)</f>
        <v>0</v>
      </c>
      <c r="N23" s="362"/>
      <c r="O23" s="362"/>
      <c r="P23" s="364">
        <f t="shared" ref="P23:P86" si="5">SUM(D23:O23)</f>
        <v>0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الشهر'!$C$10:$AD$119,28,FALSE),0)</f>
        <v>0</v>
      </c>
      <c r="E24" s="362">
        <f>IFERROR(VLOOKUP(C24,'تقرير المصروفات حسب الشهر'!$C$135:$AD$244,28,FALSE),0)</f>
        <v>0</v>
      </c>
      <c r="F24" s="362">
        <f>IFERROR(VLOOKUP(C24,'تقرير المصروفات حسب الشهر'!$C$261:$AD$368,28,FALSE),0)</f>
        <v>0</v>
      </c>
      <c r="G24" s="362">
        <f>IFERROR(VLOOKUP(C24,'تقرير المصروفات حسب الشهر'!$C$387:$AD$495,28,FALSE),0)</f>
        <v>0</v>
      </c>
      <c r="H24" s="362">
        <f>IFERROR(VLOOKUP(C24,'تقرير المصروفات حسب الشهر'!$C$512:$AD$620,28,FALSE),0)</f>
        <v>0</v>
      </c>
      <c r="I24" s="362">
        <f>IFERROR(VLOOKUP(C24,'تقرير المصروفات حسب الشهر'!$C$637:$AD$746,28,FALSE),0)</f>
        <v>0</v>
      </c>
      <c r="J24" s="362">
        <f>IFERROR(VLOOKUP(C24,'تقرير المصروفات حسب الشهر'!$C$763:$AD$872,28,FALSE),0)</f>
        <v>0</v>
      </c>
      <c r="K24" s="362">
        <f>IFERROR(VLOOKUP(C24,'تقرير المصروفات حسب الشهر'!$C$890:$AD$999,28,FALSE),0)</f>
        <v>0</v>
      </c>
      <c r="L24" s="362">
        <f>IFERROR(VLOOKUP(C24,'تقرير المصروفات حسب الشهر'!$C$1016:$AD$1126,28,FALSE),0)</f>
        <v>0</v>
      </c>
      <c r="M24" s="376">
        <f>IFERROR(VLOOKUP(C24,'تقرير المصروفات حسب الشهر'!$C$1143:$AD$1254,28,FALSE),0)</f>
        <v>0</v>
      </c>
      <c r="N24" s="362"/>
      <c r="O24" s="362"/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الشهر'!$C$10:$AD$119,28,FALSE),0)</f>
        <v>0</v>
      </c>
      <c r="E25" s="362">
        <f>IFERROR(VLOOKUP(C25,'تقرير المصروفات حسب الشهر'!$C$135:$AD$244,28,FALSE),0)</f>
        <v>0</v>
      </c>
      <c r="F25" s="362">
        <f>IFERROR(VLOOKUP(C25,'تقرير المصروفات حسب الشهر'!$C$261:$AD$368,28,FALSE),0)</f>
        <v>0</v>
      </c>
      <c r="G25" s="362">
        <f>IFERROR(VLOOKUP(C25,'تقرير المصروفات حسب الشهر'!$C$387:$AD$495,28,FALSE),0)</f>
        <v>0</v>
      </c>
      <c r="H25" s="362">
        <f>IFERROR(VLOOKUP(C25,'تقرير المصروفات حسب الشهر'!$C$512:$AD$620,28,FALSE),0)</f>
        <v>0</v>
      </c>
      <c r="I25" s="362">
        <f>IFERROR(VLOOKUP(C25,'تقرير المصروفات حسب الشهر'!$C$637:$AD$746,28,FALSE),0)</f>
        <v>0</v>
      </c>
      <c r="J25" s="362">
        <f>IFERROR(VLOOKUP(C25,'تقرير المصروفات حسب الشهر'!$C$763:$AD$872,28,FALSE),0)</f>
        <v>0</v>
      </c>
      <c r="K25" s="362">
        <f>IFERROR(VLOOKUP(C25,'تقرير المصروفات حسب الشهر'!$C$890:$AD$999,28,FALSE),0)</f>
        <v>0</v>
      </c>
      <c r="L25" s="362">
        <f>IFERROR(VLOOKUP(C25,'تقرير المصروفات حسب الشهر'!$C$1016:$AD$1126,28,FALSE),0)</f>
        <v>0</v>
      </c>
      <c r="M25" s="376">
        <f>IFERROR(VLOOKUP(C25,'تقرير المصروفات حسب الشهر'!$C$1143:$AD$1254,28,FALSE),0)</f>
        <v>0</v>
      </c>
      <c r="N25" s="362"/>
      <c r="O25" s="362"/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الشهر'!$C$10:$AD$119,28,FALSE),0)</f>
        <v>0</v>
      </c>
      <c r="E26" s="362">
        <f>IFERROR(VLOOKUP(C26,'تقرير المصروفات حسب الشهر'!$C$135:$AD$244,28,FALSE),0)</f>
        <v>0</v>
      </c>
      <c r="F26" s="362">
        <f>IFERROR(VLOOKUP(C26,'تقرير المصروفات حسب الشهر'!$C$261:$AD$368,28,FALSE),0)</f>
        <v>0</v>
      </c>
      <c r="G26" s="362">
        <f>IFERROR(VLOOKUP(C26,'تقرير المصروفات حسب الشهر'!$C$387:$AD$495,28,FALSE),0)</f>
        <v>0</v>
      </c>
      <c r="H26" s="362">
        <f>IFERROR(VLOOKUP(C26,'تقرير المصروفات حسب الشهر'!$C$512:$AD$620,28,FALSE),0)</f>
        <v>0</v>
      </c>
      <c r="I26" s="362">
        <f>IFERROR(VLOOKUP(C26,'تقرير المصروفات حسب الشهر'!$C$637:$AD$746,28,FALSE),0)</f>
        <v>0</v>
      </c>
      <c r="J26" s="362">
        <f>IFERROR(VLOOKUP(C26,'تقرير المصروفات حسب الشهر'!$C$763:$AD$872,28,FALSE),0)</f>
        <v>0</v>
      </c>
      <c r="K26" s="362">
        <f>IFERROR(VLOOKUP(C26,'تقرير المصروفات حسب الشهر'!$C$890:$AD$999,28,FALSE),0)</f>
        <v>0</v>
      </c>
      <c r="L26" s="362">
        <f>IFERROR(VLOOKUP(C26,'تقرير المصروفات حسب الشهر'!$C$1016:$AD$1126,28,FALSE),0)</f>
        <v>0</v>
      </c>
      <c r="M26" s="376">
        <f>IFERROR(VLOOKUP(C26,'تقرير المصروفات حسب الشهر'!$C$1143:$AD$1254,28,FALSE),0)</f>
        <v>0</v>
      </c>
      <c r="N26" s="362"/>
      <c r="O26" s="362"/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الشهر'!$C$10:$AD$119,28,FALSE),0)</f>
        <v>0</v>
      </c>
      <c r="E27" s="362">
        <f>IFERROR(VLOOKUP(C27,'تقرير المصروفات حسب الشهر'!$C$135:$AD$244,28,FALSE),0)</f>
        <v>0</v>
      </c>
      <c r="F27" s="362">
        <f>IFERROR(VLOOKUP(C27,'تقرير المصروفات حسب الشهر'!$C$261:$AD$368,28,FALSE),0)</f>
        <v>0</v>
      </c>
      <c r="G27" s="362">
        <f>IFERROR(VLOOKUP(C27,'تقرير المصروفات حسب الشهر'!$C$387:$AD$495,28,FALSE),0)</f>
        <v>0</v>
      </c>
      <c r="H27" s="362">
        <f>IFERROR(VLOOKUP(C27,'تقرير المصروفات حسب الشهر'!$C$512:$AD$620,28,FALSE),0)</f>
        <v>0</v>
      </c>
      <c r="I27" s="362">
        <f>IFERROR(VLOOKUP(C27,'تقرير المصروفات حسب الشهر'!$C$637:$AD$746,28,FALSE),0)</f>
        <v>0</v>
      </c>
      <c r="J27" s="362">
        <f>IFERROR(VLOOKUP(C27,'تقرير المصروفات حسب الشهر'!$C$763:$AD$872,28,FALSE),0)</f>
        <v>0</v>
      </c>
      <c r="K27" s="362">
        <f>IFERROR(VLOOKUP(C27,'تقرير المصروفات حسب الشهر'!$C$890:$AD$999,28,FALSE),0)</f>
        <v>0</v>
      </c>
      <c r="L27" s="362">
        <f>IFERROR(VLOOKUP(C27,'تقرير المصروفات حسب الشهر'!$C$1016:$AD$1126,28,FALSE),0)</f>
        <v>0</v>
      </c>
      <c r="M27" s="376">
        <f>IFERROR(VLOOKUP(C27,'تقرير المصروفات حسب الشهر'!$C$1143:$AD$1254,28,FALSE),0)</f>
        <v>0</v>
      </c>
      <c r="N27" s="362"/>
      <c r="O27" s="362"/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الشهر'!$C$10:$AD$119,28,FALSE),0)</f>
        <v>0</v>
      </c>
      <c r="E28" s="362">
        <f>IFERROR(VLOOKUP(C28,'تقرير المصروفات حسب الشهر'!$C$135:$AD$244,28,FALSE),0)</f>
        <v>0</v>
      </c>
      <c r="F28" s="362">
        <f>IFERROR(VLOOKUP(C28,'تقرير المصروفات حسب الشهر'!$C$261:$AD$368,28,FALSE),0)</f>
        <v>0</v>
      </c>
      <c r="G28" s="362">
        <f>IFERROR(VLOOKUP(C28,'تقرير المصروفات حسب الشهر'!$C$387:$AD$495,28,FALSE),0)</f>
        <v>0</v>
      </c>
      <c r="H28" s="362">
        <f>IFERROR(VLOOKUP(C28,'تقرير المصروفات حسب الشهر'!$C$512:$AD$620,28,FALSE),0)</f>
        <v>0</v>
      </c>
      <c r="I28" s="362">
        <f>IFERROR(VLOOKUP(C28,'تقرير المصروفات حسب الشهر'!$C$637:$AD$746,28,FALSE),0)</f>
        <v>0</v>
      </c>
      <c r="J28" s="362">
        <f>IFERROR(VLOOKUP(C28,'تقرير المصروفات حسب الشهر'!$C$763:$AD$872,28,FALSE),0)</f>
        <v>0</v>
      </c>
      <c r="K28" s="362">
        <f>IFERROR(VLOOKUP(C28,'تقرير المصروفات حسب الشهر'!$C$890:$AD$999,28,FALSE),0)</f>
        <v>0</v>
      </c>
      <c r="L28" s="362">
        <f>IFERROR(VLOOKUP(C28,'تقرير المصروفات حسب الشهر'!$C$1016:$AD$1126,28,FALSE),0)</f>
        <v>0</v>
      </c>
      <c r="M28" s="376">
        <f>IFERROR(VLOOKUP(C28,'تقرير المصروفات حسب الشهر'!$C$1143:$AD$1254,28,FALSE),0)</f>
        <v>0</v>
      </c>
      <c r="N28" s="362"/>
      <c r="O28" s="362"/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الشهر'!$C$10:$AD$119,28,FALSE),0)</f>
        <v>0</v>
      </c>
      <c r="E29" s="362">
        <f>IFERROR(VLOOKUP(C29,'تقرير المصروفات حسب الشهر'!$C$135:$AD$244,28,FALSE),0)</f>
        <v>0</v>
      </c>
      <c r="F29" s="362">
        <f>IFERROR(VLOOKUP(C29,'تقرير المصروفات حسب الشهر'!$C$261:$AD$368,28,FALSE),0)</f>
        <v>0</v>
      </c>
      <c r="G29" s="362">
        <f>IFERROR(VLOOKUP(C29,'تقرير المصروفات حسب الشهر'!$C$387:$AD$495,28,FALSE),0)</f>
        <v>0</v>
      </c>
      <c r="H29" s="362">
        <f>IFERROR(VLOOKUP(C29,'تقرير المصروفات حسب الشهر'!$C$512:$AD$620,28,FALSE),0)</f>
        <v>0</v>
      </c>
      <c r="I29" s="362">
        <f>IFERROR(VLOOKUP(C29,'تقرير المصروفات حسب الشهر'!$C$637:$AD$746,28,FALSE),0)</f>
        <v>0</v>
      </c>
      <c r="J29" s="362">
        <f>IFERROR(VLOOKUP(C29,'تقرير المصروفات حسب الشهر'!$C$763:$AD$872,28,FALSE),0)</f>
        <v>0</v>
      </c>
      <c r="K29" s="362">
        <f>IFERROR(VLOOKUP(C29,'تقرير المصروفات حسب الشهر'!$C$890:$AD$999,28,FALSE),0)</f>
        <v>0</v>
      </c>
      <c r="L29" s="362">
        <f>IFERROR(VLOOKUP(C29,'تقرير المصروفات حسب الشهر'!$C$1016:$AD$1126,28,FALSE),0)</f>
        <v>0</v>
      </c>
      <c r="M29" s="376">
        <f>IFERROR(VLOOKUP(C29,'تقرير المصروفات حسب الشهر'!$C$1143:$AD$1254,28,FALSE),0)</f>
        <v>0</v>
      </c>
      <c r="N29" s="362"/>
      <c r="O29" s="362"/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الشهر'!$C$10:$AD$119,28,FALSE),0)</f>
        <v>0</v>
      </c>
      <c r="E30" s="362">
        <f>IFERROR(VLOOKUP(C30,'تقرير المصروفات حسب الشهر'!$C$135:$AD$244,28,FALSE),0)</f>
        <v>0</v>
      </c>
      <c r="F30" s="362">
        <f>IFERROR(VLOOKUP(C30,'تقرير المصروفات حسب الشهر'!$C$261:$AD$368,28,FALSE),0)</f>
        <v>0</v>
      </c>
      <c r="G30" s="362">
        <f>IFERROR(VLOOKUP(C30,'تقرير المصروفات حسب الشهر'!$C$387:$AD$495,28,FALSE),0)</f>
        <v>0</v>
      </c>
      <c r="H30" s="362">
        <f>IFERROR(VLOOKUP(C30,'تقرير المصروفات حسب الشهر'!$C$512:$AD$620,28,FALSE),0)</f>
        <v>0</v>
      </c>
      <c r="I30" s="362">
        <f>IFERROR(VLOOKUP(C30,'تقرير المصروفات حسب الشهر'!$C$637:$AD$746,28,FALSE),0)</f>
        <v>0</v>
      </c>
      <c r="J30" s="362">
        <f>IFERROR(VLOOKUP(C30,'تقرير المصروفات حسب الشهر'!$C$763:$AD$872,28,FALSE),0)</f>
        <v>0</v>
      </c>
      <c r="K30" s="362">
        <f>IFERROR(VLOOKUP(C30,'تقرير المصروفات حسب الشهر'!$C$890:$AD$999,28,FALSE),0)</f>
        <v>0</v>
      </c>
      <c r="L30" s="362">
        <f>IFERROR(VLOOKUP(C30,'تقرير المصروفات حسب الشهر'!$C$1016:$AD$1126,28,FALSE),0)</f>
        <v>0</v>
      </c>
      <c r="M30" s="376">
        <f>IFERROR(VLOOKUP(C30,'تقرير المصروفات حسب الشهر'!$C$1143:$AD$1254,28,FALSE),0)</f>
        <v>0</v>
      </c>
      <c r="N30" s="362"/>
      <c r="O30" s="362"/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الشهر'!$C$10:$AD$119,28,FALSE),0)</f>
        <v>0</v>
      </c>
      <c r="E31" s="362">
        <f>IFERROR(VLOOKUP(C31,'تقرير المصروفات حسب الشهر'!$C$135:$AD$244,28,FALSE),0)</f>
        <v>0</v>
      </c>
      <c r="F31" s="362">
        <f>IFERROR(VLOOKUP(C31,'تقرير المصروفات حسب الشهر'!$C$261:$AD$368,28,FALSE),0)</f>
        <v>0</v>
      </c>
      <c r="G31" s="362">
        <f>IFERROR(VLOOKUP(C31,'تقرير المصروفات حسب الشهر'!$C$387:$AD$495,28,FALSE),0)</f>
        <v>0</v>
      </c>
      <c r="H31" s="362">
        <f>IFERROR(VLOOKUP(C31,'تقرير المصروفات حسب الشهر'!$C$512:$AD$620,28,FALSE),0)</f>
        <v>0</v>
      </c>
      <c r="I31" s="362">
        <f>IFERROR(VLOOKUP(C31,'تقرير المصروفات حسب الشهر'!$C$637:$AD$746,28,FALSE),0)</f>
        <v>0</v>
      </c>
      <c r="J31" s="362">
        <f>IFERROR(VLOOKUP(C31,'تقرير المصروفات حسب الشهر'!$C$763:$AD$872,28,FALSE),0)</f>
        <v>0</v>
      </c>
      <c r="K31" s="362">
        <f>IFERROR(VLOOKUP(C31,'تقرير المصروفات حسب الشهر'!$C$890:$AD$999,28,FALSE),0)</f>
        <v>0</v>
      </c>
      <c r="L31" s="362">
        <f>IFERROR(VLOOKUP(C31,'تقرير المصروفات حسب الشهر'!$C$1016:$AD$1126,28,FALSE),0)</f>
        <v>0</v>
      </c>
      <c r="M31" s="376">
        <f>IFERROR(VLOOKUP(C31,'تقرير المصروفات حسب الشهر'!$C$1143:$AD$1254,28,FALSE),0)</f>
        <v>0</v>
      </c>
      <c r="N31" s="362"/>
      <c r="O31" s="362"/>
      <c r="P31" s="364">
        <f t="shared" si="5"/>
        <v>0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الشهر'!$C$10:$AD$119,28,FALSE),0)</f>
        <v>0</v>
      </c>
      <c r="E32" s="362">
        <f>IFERROR(VLOOKUP(C32,'تقرير المصروفات حسب الشهر'!$C$135:$AD$244,28,FALSE),0)</f>
        <v>0</v>
      </c>
      <c r="F32" s="362">
        <f>IFERROR(VLOOKUP(C32,'تقرير المصروفات حسب الشهر'!$C$261:$AD$368,28,FALSE),0)</f>
        <v>0</v>
      </c>
      <c r="G32" s="362">
        <f>IFERROR(VLOOKUP(C32,'تقرير المصروفات حسب الشهر'!$C$387:$AD$495,28,FALSE),0)</f>
        <v>0</v>
      </c>
      <c r="H32" s="362">
        <f>IFERROR(VLOOKUP(C32,'تقرير المصروفات حسب الشهر'!$C$512:$AD$620,28,FALSE),0)</f>
        <v>0</v>
      </c>
      <c r="I32" s="362">
        <f>IFERROR(VLOOKUP(C32,'تقرير المصروفات حسب الشهر'!$C$637:$AD$746,28,FALSE),0)</f>
        <v>0</v>
      </c>
      <c r="J32" s="362">
        <f>IFERROR(VLOOKUP(C32,'تقرير المصروفات حسب الشهر'!$C$763:$AD$872,28,FALSE),0)</f>
        <v>0</v>
      </c>
      <c r="K32" s="362">
        <f>IFERROR(VLOOKUP(C32,'تقرير المصروفات حسب الشهر'!$C$890:$AD$999,28,FALSE),0)</f>
        <v>0</v>
      </c>
      <c r="L32" s="362">
        <f>IFERROR(VLOOKUP(C32,'تقرير المصروفات حسب الشهر'!$C$1016:$AD$1126,28,FALSE),0)</f>
        <v>0</v>
      </c>
      <c r="M32" s="376">
        <f>IFERROR(VLOOKUP(C32,'تقرير المصروفات حسب الشهر'!$C$1143:$AD$1254,28,FALSE),0)</f>
        <v>0</v>
      </c>
      <c r="N32" s="362"/>
      <c r="O32" s="362"/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الشهر'!$C$10:$AD$119,28,FALSE),0)</f>
        <v>0</v>
      </c>
      <c r="E33" s="362">
        <f>IFERROR(VLOOKUP(C33,'تقرير المصروفات حسب الشهر'!$C$135:$AD$244,28,FALSE),0)</f>
        <v>0</v>
      </c>
      <c r="F33" s="362">
        <f>IFERROR(VLOOKUP(C33,'تقرير المصروفات حسب الشهر'!$C$261:$AD$368,28,FALSE),0)</f>
        <v>0</v>
      </c>
      <c r="G33" s="362">
        <f>IFERROR(VLOOKUP(C33,'تقرير المصروفات حسب الشهر'!$C$387:$AD$495,28,FALSE),0)</f>
        <v>0</v>
      </c>
      <c r="H33" s="362">
        <f>IFERROR(VLOOKUP(C33,'تقرير المصروفات حسب الشهر'!$C$512:$AD$620,28,FALSE),0)</f>
        <v>0</v>
      </c>
      <c r="I33" s="362">
        <f>IFERROR(VLOOKUP(C33,'تقرير المصروفات حسب الشهر'!$C$637:$AD$746,28,FALSE),0)</f>
        <v>0</v>
      </c>
      <c r="J33" s="362">
        <f>IFERROR(VLOOKUP(C33,'تقرير المصروفات حسب الشهر'!$C$763:$AD$872,28,FALSE),0)</f>
        <v>0</v>
      </c>
      <c r="K33" s="362">
        <f>IFERROR(VLOOKUP(C33,'تقرير المصروفات حسب الشهر'!$C$890:$AD$999,28,FALSE),0)</f>
        <v>0</v>
      </c>
      <c r="L33" s="362">
        <f>IFERROR(VLOOKUP(C33,'تقرير المصروفات حسب الشهر'!$C$1016:$AD$1126,28,FALSE),0)</f>
        <v>0</v>
      </c>
      <c r="M33" s="376">
        <f>IFERROR(VLOOKUP(C33,'تقرير المصروفات حسب الشهر'!$C$1143:$AD$1254,28,FALSE),0)</f>
        <v>0</v>
      </c>
      <c r="N33" s="362"/>
      <c r="O33" s="362"/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الشهر'!$C$10:$AD$119,28,FALSE),0)</f>
        <v>0</v>
      </c>
      <c r="E34" s="362">
        <f>IFERROR(VLOOKUP(C34,'تقرير المصروفات حسب الشهر'!$C$135:$AD$244,28,FALSE),0)</f>
        <v>0</v>
      </c>
      <c r="F34" s="362">
        <f>IFERROR(VLOOKUP(C34,'تقرير المصروفات حسب الشهر'!$C$261:$AD$368,28,FALSE),0)</f>
        <v>0</v>
      </c>
      <c r="G34" s="362">
        <f>IFERROR(VLOOKUP(C34,'تقرير المصروفات حسب الشهر'!$C$387:$AD$495,28,FALSE),0)</f>
        <v>0</v>
      </c>
      <c r="H34" s="362">
        <f>IFERROR(VLOOKUP(C34,'تقرير المصروفات حسب الشهر'!$C$512:$AD$620,28,FALSE),0)</f>
        <v>0</v>
      </c>
      <c r="I34" s="362">
        <f>IFERROR(VLOOKUP(C34,'تقرير المصروفات حسب الشهر'!$C$637:$AD$746,28,FALSE),0)</f>
        <v>0</v>
      </c>
      <c r="J34" s="362">
        <f>IFERROR(VLOOKUP(C34,'تقرير المصروفات حسب الشهر'!$C$763:$AD$872,28,FALSE),0)</f>
        <v>0</v>
      </c>
      <c r="K34" s="362">
        <f>IFERROR(VLOOKUP(C34,'تقرير المصروفات حسب الشهر'!$C$890:$AD$999,28,FALSE),0)</f>
        <v>0</v>
      </c>
      <c r="L34" s="362">
        <f>IFERROR(VLOOKUP(C34,'تقرير المصروفات حسب الشهر'!$C$1016:$AD$1126,28,FALSE),0)</f>
        <v>0</v>
      </c>
      <c r="M34" s="376">
        <f>IFERROR(VLOOKUP(C34,'تقرير المصروفات حسب الشهر'!$C$1143:$AD$1254,28,FALSE),0)</f>
        <v>0</v>
      </c>
      <c r="N34" s="362"/>
      <c r="O34" s="362"/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الشهر'!$C$10:$AD$119,28,FALSE),0)</f>
        <v>0</v>
      </c>
      <c r="E35" s="362">
        <f>IFERROR(VLOOKUP(C35,'تقرير المصروفات حسب الشهر'!$C$135:$AD$244,28,FALSE),0)</f>
        <v>0</v>
      </c>
      <c r="F35" s="362">
        <f>IFERROR(VLOOKUP(C35,'تقرير المصروفات حسب الشهر'!$C$261:$AD$368,28,FALSE),0)</f>
        <v>0</v>
      </c>
      <c r="G35" s="362">
        <f>IFERROR(VLOOKUP(C35,'تقرير المصروفات حسب الشهر'!$C$387:$AD$495,28,FALSE),0)</f>
        <v>0</v>
      </c>
      <c r="H35" s="362">
        <f>IFERROR(VLOOKUP(C35,'تقرير المصروفات حسب الشهر'!$C$512:$AD$620,28,FALSE),0)</f>
        <v>0</v>
      </c>
      <c r="I35" s="362">
        <f>IFERROR(VLOOKUP(C35,'تقرير المصروفات حسب الشهر'!$C$637:$AD$746,28,FALSE),0)</f>
        <v>0</v>
      </c>
      <c r="J35" s="362">
        <f>IFERROR(VLOOKUP(C35,'تقرير المصروفات حسب الشهر'!$C$763:$AD$872,28,FALSE),0)</f>
        <v>0</v>
      </c>
      <c r="K35" s="362">
        <f>IFERROR(VLOOKUP(C35,'تقرير المصروفات حسب الشهر'!$C$890:$AD$999,28,FALSE),0)</f>
        <v>0</v>
      </c>
      <c r="L35" s="362">
        <f>IFERROR(VLOOKUP(C35,'تقرير المصروفات حسب الشهر'!$C$1016:$AD$1126,28,FALSE),0)</f>
        <v>0</v>
      </c>
      <c r="M35" s="376">
        <f>IFERROR(VLOOKUP(C35,'تقرير المصروفات حسب الشهر'!$C$1143:$AD$1254,28,FALSE),0)</f>
        <v>0</v>
      </c>
      <c r="N35" s="362"/>
      <c r="O35" s="362"/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الشهر'!$C$10:$AD$119,28,FALSE),0)</f>
        <v>0</v>
      </c>
      <c r="E36" s="362">
        <f>IFERROR(VLOOKUP(C36,'تقرير المصروفات حسب الشهر'!$C$135:$AD$244,28,FALSE),0)</f>
        <v>0</v>
      </c>
      <c r="F36" s="362">
        <f>IFERROR(VLOOKUP(C36,'تقرير المصروفات حسب الشهر'!$C$261:$AD$368,28,FALSE),0)</f>
        <v>0</v>
      </c>
      <c r="G36" s="362">
        <f>IFERROR(VLOOKUP(C36,'تقرير المصروفات حسب الشهر'!$C$387:$AD$495,28,FALSE),0)</f>
        <v>0</v>
      </c>
      <c r="H36" s="362">
        <f>IFERROR(VLOOKUP(C36,'تقرير المصروفات حسب الشهر'!$C$512:$AD$620,28,FALSE),0)</f>
        <v>0</v>
      </c>
      <c r="I36" s="362">
        <f>IFERROR(VLOOKUP(C36,'تقرير المصروفات حسب الشهر'!$C$637:$AD$746,28,FALSE),0)</f>
        <v>0</v>
      </c>
      <c r="J36" s="362">
        <f>IFERROR(VLOOKUP(C36,'تقرير المصروفات حسب الشهر'!$C$763:$AD$872,28,FALSE),0)</f>
        <v>0</v>
      </c>
      <c r="K36" s="362">
        <f>IFERROR(VLOOKUP(C36,'تقرير المصروفات حسب الشهر'!$C$890:$AD$999,28,FALSE),0)</f>
        <v>0</v>
      </c>
      <c r="L36" s="362">
        <f>IFERROR(VLOOKUP(C36,'تقرير المصروفات حسب الشهر'!$C$1016:$AD$1126,28,FALSE),0)</f>
        <v>0</v>
      </c>
      <c r="M36" s="376">
        <f>IFERROR(VLOOKUP(C36,'تقرير المصروفات حسب الشهر'!$C$1143:$AD$1254,28,FALSE),0)</f>
        <v>0</v>
      </c>
      <c r="N36" s="362"/>
      <c r="O36" s="362"/>
      <c r="P36" s="364">
        <f t="shared" si="5"/>
        <v>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الشهر'!$C$10:$AD$119,28,FALSE),0)</f>
        <v>0</v>
      </c>
      <c r="E37" s="362">
        <f>IFERROR(VLOOKUP(C37,'تقرير المصروفات حسب الشهر'!$C$135:$AD$244,28,FALSE),0)</f>
        <v>0</v>
      </c>
      <c r="F37" s="362">
        <f>IFERROR(VLOOKUP(C37,'تقرير المصروفات حسب الشهر'!$C$261:$AD$368,28,FALSE),0)</f>
        <v>0</v>
      </c>
      <c r="G37" s="362">
        <f>IFERROR(VLOOKUP(C37,'تقرير المصروفات حسب الشهر'!$C$387:$AD$495,28,FALSE),0)</f>
        <v>0</v>
      </c>
      <c r="H37" s="362">
        <f>IFERROR(VLOOKUP(C37,'تقرير المصروفات حسب الشهر'!$C$512:$AD$620,28,FALSE),0)</f>
        <v>0</v>
      </c>
      <c r="I37" s="362">
        <f>IFERROR(VLOOKUP(C37,'تقرير المصروفات حسب الشهر'!$C$637:$AD$746,28,FALSE),0)</f>
        <v>0</v>
      </c>
      <c r="J37" s="362">
        <f>IFERROR(VLOOKUP(C37,'تقرير المصروفات حسب الشهر'!$C$763:$AD$872,28,FALSE),0)</f>
        <v>0</v>
      </c>
      <c r="K37" s="362">
        <f>IFERROR(VLOOKUP(C37,'تقرير المصروفات حسب الشهر'!$C$890:$AD$999,28,FALSE),0)</f>
        <v>0</v>
      </c>
      <c r="L37" s="362">
        <f>IFERROR(VLOOKUP(C37,'تقرير المصروفات حسب الشهر'!$C$1016:$AD$1126,28,FALSE),0)</f>
        <v>0</v>
      </c>
      <c r="M37" s="376">
        <f>IFERROR(VLOOKUP(C37,'تقرير المصروفات حسب الشهر'!$C$1143:$AD$1254,28,FALSE),0)</f>
        <v>0</v>
      </c>
      <c r="N37" s="362"/>
      <c r="O37" s="362"/>
      <c r="P37" s="364">
        <f t="shared" si="5"/>
        <v>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الشهر'!$C$10:$AD$119,28,FALSE),0)</f>
        <v>0</v>
      </c>
      <c r="E38" s="362">
        <f>IFERROR(VLOOKUP(C38,'تقرير المصروفات حسب الشهر'!$C$135:$AD$244,28,FALSE),0)</f>
        <v>0</v>
      </c>
      <c r="F38" s="362">
        <f>IFERROR(VLOOKUP(C38,'تقرير المصروفات حسب الشهر'!$C$261:$AD$368,28,FALSE),0)</f>
        <v>0</v>
      </c>
      <c r="G38" s="362">
        <f>IFERROR(VLOOKUP(C38,'تقرير المصروفات حسب الشهر'!$C$387:$AD$495,28,FALSE),0)</f>
        <v>0</v>
      </c>
      <c r="H38" s="362">
        <f>IFERROR(VLOOKUP(C38,'تقرير المصروفات حسب الشهر'!$C$512:$AD$620,28,FALSE),0)</f>
        <v>0</v>
      </c>
      <c r="I38" s="362">
        <f>IFERROR(VLOOKUP(C38,'تقرير المصروفات حسب الشهر'!$C$637:$AD$746,28,FALSE),0)</f>
        <v>0</v>
      </c>
      <c r="J38" s="362">
        <f>IFERROR(VLOOKUP(C38,'تقرير المصروفات حسب الشهر'!$C$763:$AD$872,28,FALSE),0)</f>
        <v>0</v>
      </c>
      <c r="K38" s="362">
        <f>IFERROR(VLOOKUP(C38,'تقرير المصروفات حسب الشهر'!$C$890:$AD$999,28,FALSE),0)</f>
        <v>0</v>
      </c>
      <c r="L38" s="362">
        <f>IFERROR(VLOOKUP(C38,'تقرير المصروفات حسب الشهر'!$C$1016:$AD$1126,28,FALSE),0)</f>
        <v>0</v>
      </c>
      <c r="M38" s="376">
        <f>IFERROR(VLOOKUP(C38,'تقرير المصروفات حسب الشهر'!$C$1143:$AD$1254,28,FALSE),0)</f>
        <v>0</v>
      </c>
      <c r="N38" s="362"/>
      <c r="O38" s="362"/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الشهر'!$C$10:$AD$119,28,FALSE),0)</f>
        <v>0</v>
      </c>
      <c r="E39" s="362">
        <f>IFERROR(VLOOKUP(C39,'تقرير المصروفات حسب الشهر'!$C$135:$AD$244,28,FALSE),0)</f>
        <v>0</v>
      </c>
      <c r="F39" s="362">
        <f>IFERROR(VLOOKUP(C39,'تقرير المصروفات حسب الشهر'!$C$261:$AD$368,28,FALSE),0)</f>
        <v>0</v>
      </c>
      <c r="G39" s="362">
        <f>IFERROR(VLOOKUP(C39,'تقرير المصروفات حسب الشهر'!$C$387:$AD$495,28,FALSE),0)</f>
        <v>0</v>
      </c>
      <c r="H39" s="362">
        <f>IFERROR(VLOOKUP(C39,'تقرير المصروفات حسب الشهر'!$C$512:$AD$620,28,FALSE),0)</f>
        <v>0</v>
      </c>
      <c r="I39" s="362">
        <f>IFERROR(VLOOKUP(C39,'تقرير المصروفات حسب الشهر'!$C$637:$AD$746,28,FALSE),0)</f>
        <v>0</v>
      </c>
      <c r="J39" s="362">
        <f>IFERROR(VLOOKUP(C39,'تقرير المصروفات حسب الشهر'!$C$763:$AD$872,28,FALSE),0)</f>
        <v>0</v>
      </c>
      <c r="K39" s="362">
        <f>IFERROR(VLOOKUP(C39,'تقرير المصروفات حسب الشهر'!$C$890:$AD$999,28,FALSE),0)</f>
        <v>0</v>
      </c>
      <c r="L39" s="362">
        <f>IFERROR(VLOOKUP(C39,'تقرير المصروفات حسب الشهر'!$C$1016:$AD$1126,28,FALSE),0)</f>
        <v>0</v>
      </c>
      <c r="M39" s="376">
        <f>IFERROR(VLOOKUP(C39,'تقرير المصروفات حسب الشهر'!$C$1143:$AD$1254,28,FALSE),0)</f>
        <v>0</v>
      </c>
      <c r="N39" s="362"/>
      <c r="O39" s="362"/>
      <c r="P39" s="364">
        <f t="shared" si="5"/>
        <v>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الشهر'!$C$10:$AD$119,28,FALSE),0)</f>
        <v>0</v>
      </c>
      <c r="E40" s="362">
        <f>IFERROR(VLOOKUP(C40,'تقرير المصروفات حسب الشهر'!$C$135:$AD$244,28,FALSE),0)</f>
        <v>0</v>
      </c>
      <c r="F40" s="362">
        <f>IFERROR(VLOOKUP(C40,'تقرير المصروفات حسب الشهر'!$C$261:$AD$368,28,FALSE),0)</f>
        <v>0</v>
      </c>
      <c r="G40" s="362">
        <f>IFERROR(VLOOKUP(C40,'تقرير المصروفات حسب الشهر'!$C$387:$AD$495,28,FALSE),0)</f>
        <v>0</v>
      </c>
      <c r="H40" s="362">
        <f>IFERROR(VLOOKUP(C40,'تقرير المصروفات حسب الشهر'!$C$512:$AD$620,28,FALSE),0)</f>
        <v>0</v>
      </c>
      <c r="I40" s="362">
        <f>IFERROR(VLOOKUP(C40,'تقرير المصروفات حسب الشهر'!$C$637:$AD$746,28,FALSE),0)</f>
        <v>0</v>
      </c>
      <c r="J40" s="362">
        <f>IFERROR(VLOOKUP(C40,'تقرير المصروفات حسب الشهر'!$C$763:$AD$872,28,FALSE),0)</f>
        <v>0</v>
      </c>
      <c r="K40" s="362">
        <f>IFERROR(VLOOKUP(C40,'تقرير المصروفات حسب الشهر'!$C$890:$AD$999,28,FALSE),0)</f>
        <v>0</v>
      </c>
      <c r="L40" s="362">
        <f>IFERROR(VLOOKUP(C40,'تقرير المصروفات حسب الشهر'!$C$1016:$AD$1126,28,FALSE),0)</f>
        <v>0</v>
      </c>
      <c r="M40" s="376">
        <f>IFERROR(VLOOKUP(C40,'تقرير المصروفات حسب الشهر'!$C$1143:$AD$1254,28,FALSE),0)</f>
        <v>0</v>
      </c>
      <c r="N40" s="384"/>
      <c r="O40" s="384"/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الشهر'!$C$10:$AD$119,28,FALSE),0)</f>
        <v>0</v>
      </c>
      <c r="E41" s="362">
        <f>IFERROR(VLOOKUP(C41,'تقرير المصروفات حسب الشهر'!$C$135:$AD$244,28,FALSE),0)</f>
        <v>0</v>
      </c>
      <c r="F41" s="362">
        <f>IFERROR(VLOOKUP(C41,'تقرير المصروفات حسب الشهر'!$C$261:$AD$368,28,FALSE),0)</f>
        <v>0</v>
      </c>
      <c r="G41" s="362">
        <f>IFERROR(VLOOKUP(C41,'تقرير المصروفات حسب الشهر'!$C$387:$AD$495,28,FALSE),0)</f>
        <v>0</v>
      </c>
      <c r="H41" s="362">
        <f>IFERROR(VLOOKUP(C41,'تقرير المصروفات حسب الشهر'!$C$512:$AD$620,28,FALSE),0)</f>
        <v>0</v>
      </c>
      <c r="I41" s="362">
        <f>IFERROR(VLOOKUP(C41,'تقرير المصروفات حسب الشهر'!$C$637:$AD$746,28,FALSE),0)</f>
        <v>0</v>
      </c>
      <c r="J41" s="362">
        <f>IFERROR(VLOOKUP(C41,'تقرير المصروفات حسب الشهر'!$C$763:$AD$872,28,FALSE),0)</f>
        <v>0</v>
      </c>
      <c r="K41" s="362">
        <f>IFERROR(VLOOKUP(C41,'تقرير المصروفات حسب الشهر'!$C$890:$AD$999,28,FALSE),0)</f>
        <v>0</v>
      </c>
      <c r="L41" s="362">
        <f>IFERROR(VLOOKUP(C41,'تقرير المصروفات حسب الشهر'!$C$1016:$AD$1126,28,FALSE),0)</f>
        <v>0</v>
      </c>
      <c r="M41" s="376">
        <f>IFERROR(VLOOKUP(C41,'تقرير المصروفات حسب الشهر'!$C$1143:$AD$1254,28,FALSE),0)</f>
        <v>0</v>
      </c>
      <c r="N41" s="384"/>
      <c r="O41" s="384"/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الشهر'!$C$10:$AD$119,28,FALSE),0)</f>
        <v>0</v>
      </c>
      <c r="E42" s="362">
        <f>IFERROR(VLOOKUP(C42,'تقرير المصروفات حسب الشهر'!$C$135:$AD$244,28,FALSE),0)</f>
        <v>0</v>
      </c>
      <c r="F42" s="362">
        <f>IFERROR(VLOOKUP(C42,'تقرير المصروفات حسب الشهر'!$C$261:$AD$368,28,FALSE),0)</f>
        <v>0</v>
      </c>
      <c r="G42" s="362">
        <f>IFERROR(VLOOKUP(C42,'تقرير المصروفات حسب الشهر'!$C$387:$AD$495,28,FALSE),0)</f>
        <v>0</v>
      </c>
      <c r="H42" s="362">
        <f>IFERROR(VLOOKUP(C42,'تقرير المصروفات حسب الشهر'!$C$512:$AD$620,28,FALSE),0)</f>
        <v>0</v>
      </c>
      <c r="I42" s="362">
        <f>IFERROR(VLOOKUP(C42,'تقرير المصروفات حسب الشهر'!$C$637:$AD$746,28,FALSE),0)</f>
        <v>0</v>
      </c>
      <c r="J42" s="362">
        <f>IFERROR(VLOOKUP(C42,'تقرير المصروفات حسب الشهر'!$C$763:$AD$872,28,FALSE),0)</f>
        <v>0</v>
      </c>
      <c r="K42" s="362">
        <f>IFERROR(VLOOKUP(C42,'تقرير المصروفات حسب الشهر'!$C$890:$AD$999,28,FALSE),0)</f>
        <v>0</v>
      </c>
      <c r="L42" s="362">
        <f>IFERROR(VLOOKUP(C42,'تقرير المصروفات حسب الشهر'!$C$1016:$AD$1126,28,FALSE),0)</f>
        <v>0</v>
      </c>
      <c r="M42" s="376">
        <f>IFERROR(VLOOKUP(C42,'تقرير المصروفات حسب الشهر'!$C$1143:$AD$1254,28,FALSE),0)</f>
        <v>0</v>
      </c>
      <c r="N42" s="384"/>
      <c r="O42" s="384"/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الشهر'!$C$10:$AD$119,28,FALSE),0)</f>
        <v>0</v>
      </c>
      <c r="E43" s="362">
        <f>IFERROR(VLOOKUP(C43,'تقرير المصروفات حسب الشهر'!$C$135:$AD$244,28,FALSE),0)</f>
        <v>0</v>
      </c>
      <c r="F43" s="362">
        <f>IFERROR(VLOOKUP(C43,'تقرير المصروفات حسب الشهر'!$C$261:$AD$368,28,FALSE),0)</f>
        <v>0</v>
      </c>
      <c r="G43" s="362">
        <f>IFERROR(VLOOKUP(C43,'تقرير المصروفات حسب الشهر'!$C$387:$AD$495,28,FALSE),0)</f>
        <v>0</v>
      </c>
      <c r="H43" s="362">
        <f>IFERROR(VLOOKUP(C43,'تقرير المصروفات حسب الشهر'!$C$512:$AD$620,28,FALSE),0)</f>
        <v>0</v>
      </c>
      <c r="I43" s="362">
        <f>IFERROR(VLOOKUP(C43,'تقرير المصروفات حسب الشهر'!$C$637:$AD$746,28,FALSE),0)</f>
        <v>0</v>
      </c>
      <c r="J43" s="362">
        <f>IFERROR(VLOOKUP(C43,'تقرير المصروفات حسب الشهر'!$C$763:$AD$872,28,FALSE),0)</f>
        <v>0</v>
      </c>
      <c r="K43" s="362">
        <f>IFERROR(VLOOKUP(C43,'تقرير المصروفات حسب الشهر'!$C$890:$AD$999,28,FALSE),0)</f>
        <v>0</v>
      </c>
      <c r="L43" s="362">
        <f>IFERROR(VLOOKUP(C43,'تقرير المصروفات حسب الشهر'!$C$1016:$AD$1126,28,FALSE),0)</f>
        <v>0</v>
      </c>
      <c r="M43" s="376">
        <f>IFERROR(VLOOKUP(C43,'تقرير المصروفات حسب الشهر'!$C$1143:$AD$1254,28,FALSE),0)</f>
        <v>0</v>
      </c>
      <c r="N43" s="384"/>
      <c r="O43" s="384"/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الشهر'!$C$10:$AD$119,28,FALSE),0)</f>
        <v>0</v>
      </c>
      <c r="E44" s="362">
        <f>IFERROR(VLOOKUP(C44,'تقرير المصروفات حسب الشهر'!$C$135:$AD$244,28,FALSE),0)</f>
        <v>0</v>
      </c>
      <c r="F44" s="362">
        <f>IFERROR(VLOOKUP(C44,'تقرير المصروفات حسب الشهر'!$C$261:$AD$368,28,FALSE),0)</f>
        <v>0</v>
      </c>
      <c r="G44" s="362">
        <f>IFERROR(VLOOKUP(C44,'تقرير المصروفات حسب الشهر'!$C$387:$AD$495,28,FALSE),0)</f>
        <v>0</v>
      </c>
      <c r="H44" s="362">
        <f>IFERROR(VLOOKUP(C44,'تقرير المصروفات حسب الشهر'!$C$512:$AD$620,28,FALSE),0)</f>
        <v>0</v>
      </c>
      <c r="I44" s="362">
        <f>IFERROR(VLOOKUP(C44,'تقرير المصروفات حسب الشهر'!$C$637:$AD$746,28,FALSE),0)</f>
        <v>0</v>
      </c>
      <c r="J44" s="362">
        <f>IFERROR(VLOOKUP(C44,'تقرير المصروفات حسب الشهر'!$C$763:$AD$872,28,FALSE),0)</f>
        <v>0</v>
      </c>
      <c r="K44" s="362">
        <f>IFERROR(VLOOKUP(C44,'تقرير المصروفات حسب الشهر'!$C$890:$AD$999,28,FALSE),0)</f>
        <v>0</v>
      </c>
      <c r="L44" s="362">
        <f>IFERROR(VLOOKUP(C44,'تقرير المصروفات حسب الشهر'!$C$1016:$AD$1126,28,FALSE),0)</f>
        <v>0</v>
      </c>
      <c r="M44" s="376">
        <f>IFERROR(VLOOKUP(C44,'تقرير المصروفات حسب الشهر'!$C$1143:$AD$1254,28,FALSE),0)</f>
        <v>0</v>
      </c>
      <c r="N44" s="384"/>
      <c r="O44" s="384"/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الشهر'!$C$10:$AD$119,28,FALSE),0)</f>
        <v>0</v>
      </c>
      <c r="E45" s="362">
        <f>IFERROR(VLOOKUP(C45,'تقرير المصروفات حسب الشهر'!$C$135:$AD$244,28,FALSE),0)</f>
        <v>0</v>
      </c>
      <c r="F45" s="362">
        <f>IFERROR(VLOOKUP(C45,'تقرير المصروفات حسب الشهر'!$C$261:$AD$368,28,FALSE),0)</f>
        <v>0</v>
      </c>
      <c r="G45" s="362">
        <f>IFERROR(VLOOKUP(C45,'تقرير المصروفات حسب الشهر'!$C$387:$AD$495,28,FALSE),0)</f>
        <v>0</v>
      </c>
      <c r="H45" s="362">
        <f>IFERROR(VLOOKUP(C45,'تقرير المصروفات حسب الشهر'!$C$512:$AD$620,28,FALSE),0)</f>
        <v>0</v>
      </c>
      <c r="I45" s="362">
        <f>IFERROR(VLOOKUP(C45,'تقرير المصروفات حسب الشهر'!$C$637:$AD$746,28,FALSE),0)</f>
        <v>0</v>
      </c>
      <c r="J45" s="362">
        <f>IFERROR(VLOOKUP(C45,'تقرير المصروفات حسب الشهر'!$C$763:$AD$872,28,FALSE),0)</f>
        <v>0</v>
      </c>
      <c r="K45" s="362">
        <f>IFERROR(VLOOKUP(C45,'تقرير المصروفات حسب الشهر'!$C$890:$AD$999,28,FALSE),0)</f>
        <v>0</v>
      </c>
      <c r="L45" s="362">
        <f>IFERROR(VLOOKUP(C45,'تقرير المصروفات حسب الشهر'!$C$1016:$AD$1126,28,FALSE),0)</f>
        <v>0</v>
      </c>
      <c r="M45" s="376">
        <f>IFERROR(VLOOKUP(C45,'تقرير المصروفات حسب الشهر'!$C$1143:$AD$1254,28,FALSE),0)</f>
        <v>0</v>
      </c>
      <c r="N45" s="384"/>
      <c r="O45" s="384"/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الشهر'!$C$10:$AD$119,28,FALSE),0)</f>
        <v>0</v>
      </c>
      <c r="E46" s="362">
        <f>IFERROR(VLOOKUP(C46,'تقرير المصروفات حسب الشهر'!$C$135:$AD$244,28,FALSE),0)</f>
        <v>0</v>
      </c>
      <c r="F46" s="362">
        <f>IFERROR(VLOOKUP(C46,'تقرير المصروفات حسب الشهر'!$C$261:$AD$368,28,FALSE),0)</f>
        <v>0</v>
      </c>
      <c r="G46" s="362">
        <f>IFERROR(VLOOKUP(C46,'تقرير المصروفات حسب الشهر'!$C$387:$AD$495,28,FALSE),0)</f>
        <v>0</v>
      </c>
      <c r="H46" s="362">
        <f>IFERROR(VLOOKUP(C46,'تقرير المصروفات حسب الشهر'!$C$512:$AD$620,28,FALSE),0)</f>
        <v>0</v>
      </c>
      <c r="I46" s="362">
        <f>IFERROR(VLOOKUP(C46,'تقرير المصروفات حسب الشهر'!$C$637:$AD$746,28,FALSE),0)</f>
        <v>0</v>
      </c>
      <c r="J46" s="362">
        <f>IFERROR(VLOOKUP(C46,'تقرير المصروفات حسب الشهر'!$C$763:$AD$872,28,FALSE),0)</f>
        <v>0</v>
      </c>
      <c r="K46" s="362">
        <f>IFERROR(VLOOKUP(C46,'تقرير المصروفات حسب الشهر'!$C$890:$AD$999,28,FALSE),0)</f>
        <v>0</v>
      </c>
      <c r="L46" s="362">
        <f>IFERROR(VLOOKUP(C46,'تقرير المصروفات حسب الشهر'!$C$1016:$AD$1126,28,FALSE),0)</f>
        <v>0</v>
      </c>
      <c r="M46" s="376">
        <f>IFERROR(VLOOKUP(C46,'تقرير المصروفات حسب الشهر'!$C$1143:$AD$1254,28,FALSE),0)</f>
        <v>0</v>
      </c>
      <c r="N46" s="384"/>
      <c r="O46" s="384"/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الشهر'!$C$10:$AD$119,28,FALSE),0)</f>
        <v>0</v>
      </c>
      <c r="E47" s="362">
        <f>IFERROR(VLOOKUP(C47,'تقرير المصروفات حسب الشهر'!$C$135:$AD$244,28,FALSE),0)</f>
        <v>0</v>
      </c>
      <c r="F47" s="362">
        <f>IFERROR(VLOOKUP(C47,'تقرير المصروفات حسب الشهر'!$C$261:$AD$368,28,FALSE),0)</f>
        <v>0</v>
      </c>
      <c r="G47" s="362">
        <f>IFERROR(VLOOKUP(C47,'تقرير المصروفات حسب الشهر'!$C$387:$AD$495,28,FALSE),0)</f>
        <v>0</v>
      </c>
      <c r="H47" s="362">
        <f>IFERROR(VLOOKUP(C47,'تقرير المصروفات حسب الشهر'!$C$512:$AD$620,28,FALSE),0)</f>
        <v>0</v>
      </c>
      <c r="I47" s="362">
        <f>IFERROR(VLOOKUP(C47,'تقرير المصروفات حسب الشهر'!$C$637:$AD$746,28,FALSE),0)</f>
        <v>0</v>
      </c>
      <c r="J47" s="362">
        <f>IFERROR(VLOOKUP(C47,'تقرير المصروفات حسب الشهر'!$C$763:$AD$872,28,FALSE),0)</f>
        <v>0</v>
      </c>
      <c r="K47" s="362">
        <f>IFERROR(VLOOKUP(C47,'تقرير المصروفات حسب الشهر'!$C$890:$AD$999,28,FALSE),0)</f>
        <v>0</v>
      </c>
      <c r="L47" s="362">
        <f>IFERROR(VLOOKUP(C47,'تقرير المصروفات حسب الشهر'!$C$1016:$AD$1126,28,FALSE),0)</f>
        <v>0</v>
      </c>
      <c r="M47" s="376">
        <f>IFERROR(VLOOKUP(C47,'تقرير المصروفات حسب الشهر'!$C$1143:$AD$1254,28,FALSE),0)</f>
        <v>0</v>
      </c>
      <c r="N47" s="384"/>
      <c r="O47" s="384"/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الشهر'!$C$10:$AD$119,28,FALSE),0)</f>
        <v>0</v>
      </c>
      <c r="E48" s="362">
        <f>IFERROR(VLOOKUP(C48,'تقرير المصروفات حسب الشهر'!$C$135:$AD$244,28,FALSE),0)</f>
        <v>0</v>
      </c>
      <c r="F48" s="362">
        <f>IFERROR(VLOOKUP(C48,'تقرير المصروفات حسب الشهر'!$C$261:$AD$368,28,FALSE),0)</f>
        <v>0</v>
      </c>
      <c r="G48" s="362">
        <f>IFERROR(VLOOKUP(C48,'تقرير المصروفات حسب الشهر'!$C$387:$AD$495,28,FALSE),0)</f>
        <v>0</v>
      </c>
      <c r="H48" s="362">
        <f>IFERROR(VLOOKUP(C48,'تقرير المصروفات حسب الشهر'!$C$512:$AD$620,28,FALSE),0)</f>
        <v>0</v>
      </c>
      <c r="I48" s="362">
        <f>IFERROR(VLOOKUP(C48,'تقرير المصروفات حسب الشهر'!$C$637:$AD$746,28,FALSE),0)</f>
        <v>0</v>
      </c>
      <c r="J48" s="362">
        <f>IFERROR(VLOOKUP(C48,'تقرير المصروفات حسب الشهر'!$C$763:$AD$872,28,FALSE),0)</f>
        <v>0</v>
      </c>
      <c r="K48" s="362">
        <f>IFERROR(VLOOKUP(C48,'تقرير المصروفات حسب الشهر'!$C$890:$AD$999,28,FALSE),0)</f>
        <v>0</v>
      </c>
      <c r="L48" s="362">
        <f>IFERROR(VLOOKUP(C48,'تقرير المصروفات حسب الشهر'!$C$1016:$AD$1126,28,FALSE),0)</f>
        <v>0</v>
      </c>
      <c r="M48" s="376">
        <f>IFERROR(VLOOKUP(C48,'تقرير المصروفات حسب الشهر'!$C$1143:$AD$1254,28,FALSE),0)</f>
        <v>0</v>
      </c>
      <c r="N48" s="384"/>
      <c r="O48" s="384"/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الشهر'!$C$10:$AD$119,28,FALSE),0)</f>
        <v>0</v>
      </c>
      <c r="E49" s="362">
        <f>IFERROR(VLOOKUP(C49,'تقرير المصروفات حسب الشهر'!$C$135:$AD$244,28,FALSE),0)</f>
        <v>0</v>
      </c>
      <c r="F49" s="362">
        <f>IFERROR(VLOOKUP(C49,'تقرير المصروفات حسب الشهر'!$C$261:$AD$368,28,FALSE),0)</f>
        <v>0</v>
      </c>
      <c r="G49" s="362">
        <f>IFERROR(VLOOKUP(C49,'تقرير المصروفات حسب الشهر'!$C$387:$AD$495,28,FALSE),0)</f>
        <v>0</v>
      </c>
      <c r="H49" s="362">
        <f>IFERROR(VLOOKUP(C49,'تقرير المصروفات حسب الشهر'!$C$512:$AD$620,28,FALSE),0)</f>
        <v>0</v>
      </c>
      <c r="I49" s="362">
        <f>IFERROR(VLOOKUP(C49,'تقرير المصروفات حسب الشهر'!$C$637:$AD$746,28,FALSE),0)</f>
        <v>0</v>
      </c>
      <c r="J49" s="362">
        <f>IFERROR(VLOOKUP(C49,'تقرير المصروفات حسب الشهر'!$C$763:$AD$872,28,FALSE),0)</f>
        <v>0</v>
      </c>
      <c r="K49" s="362">
        <f>IFERROR(VLOOKUP(C49,'تقرير المصروفات حسب الشهر'!$C$890:$AD$999,28,FALSE),0)</f>
        <v>0</v>
      </c>
      <c r="L49" s="362">
        <f>IFERROR(VLOOKUP(C49,'تقرير المصروفات حسب الشهر'!$C$1016:$AD$1126,28,FALSE),0)</f>
        <v>0</v>
      </c>
      <c r="M49" s="376">
        <f>IFERROR(VLOOKUP(C49,'تقرير المصروفات حسب الشهر'!$C$1143:$AD$1254,28,FALSE),0)</f>
        <v>0</v>
      </c>
      <c r="N49" s="384"/>
      <c r="O49" s="384"/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الشهر'!$C$10:$AD$119,28,FALSE),0)</f>
        <v>0</v>
      </c>
      <c r="E50" s="362">
        <f>IFERROR(VLOOKUP(C50,'تقرير المصروفات حسب الشهر'!$C$135:$AD$244,28,FALSE),0)</f>
        <v>0</v>
      </c>
      <c r="F50" s="362">
        <f>IFERROR(VLOOKUP(C50,'تقرير المصروفات حسب الشهر'!$C$261:$AD$368,28,FALSE),0)</f>
        <v>0</v>
      </c>
      <c r="G50" s="362">
        <f>IFERROR(VLOOKUP(C50,'تقرير المصروفات حسب الشهر'!$C$387:$AD$495,28,FALSE),0)</f>
        <v>0</v>
      </c>
      <c r="H50" s="362">
        <f>IFERROR(VLOOKUP(C50,'تقرير المصروفات حسب الشهر'!$C$512:$AD$620,28,FALSE),0)</f>
        <v>0</v>
      </c>
      <c r="I50" s="362">
        <f>IFERROR(VLOOKUP(C50,'تقرير المصروفات حسب الشهر'!$C$637:$AD$746,28,FALSE),0)</f>
        <v>0</v>
      </c>
      <c r="J50" s="362">
        <f>IFERROR(VLOOKUP(C50,'تقرير المصروفات حسب الشهر'!$C$763:$AD$872,28,FALSE),0)</f>
        <v>0</v>
      </c>
      <c r="K50" s="362">
        <f>IFERROR(VLOOKUP(C50,'تقرير المصروفات حسب الشهر'!$C$890:$AD$999,28,FALSE),0)</f>
        <v>0</v>
      </c>
      <c r="L50" s="362">
        <f>IFERROR(VLOOKUP(C50,'تقرير المصروفات حسب الشهر'!$C$1016:$AD$1126,28,FALSE),0)</f>
        <v>0</v>
      </c>
      <c r="M50" s="376">
        <f>IFERROR(VLOOKUP(C50,'تقرير المصروفات حسب الشهر'!$C$1143:$AD$1254,28,FALSE),0)</f>
        <v>0</v>
      </c>
      <c r="N50" s="384"/>
      <c r="O50" s="384"/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الشهر'!$C$10:$AD$119,28,FALSE),0)</f>
        <v>0</v>
      </c>
      <c r="E51" s="362">
        <f>IFERROR(VLOOKUP(C51,'تقرير المصروفات حسب الشهر'!$C$135:$AD$244,28,FALSE),0)</f>
        <v>0</v>
      </c>
      <c r="F51" s="362">
        <f>IFERROR(VLOOKUP(C51,'تقرير المصروفات حسب الشهر'!$C$261:$AD$368,28,FALSE),0)</f>
        <v>0</v>
      </c>
      <c r="G51" s="362">
        <f>IFERROR(VLOOKUP(C51,'تقرير المصروفات حسب الشهر'!$C$387:$AD$495,28,FALSE),0)</f>
        <v>0</v>
      </c>
      <c r="H51" s="362">
        <f>IFERROR(VLOOKUP(C51,'تقرير المصروفات حسب الشهر'!$C$512:$AD$620,28,FALSE),0)</f>
        <v>0</v>
      </c>
      <c r="I51" s="362">
        <f>IFERROR(VLOOKUP(C51,'تقرير المصروفات حسب الشهر'!$C$637:$AD$746,28,FALSE),0)</f>
        <v>0</v>
      </c>
      <c r="J51" s="362">
        <f>IFERROR(VLOOKUP(C51,'تقرير المصروفات حسب الشهر'!$C$763:$AD$872,28,FALSE),0)</f>
        <v>0</v>
      </c>
      <c r="K51" s="362">
        <f>IFERROR(VLOOKUP(C51,'تقرير المصروفات حسب الشهر'!$C$890:$AD$999,28,FALSE),0)</f>
        <v>0</v>
      </c>
      <c r="L51" s="362">
        <f>IFERROR(VLOOKUP(C51,'تقرير المصروفات حسب الشهر'!$C$1016:$AD$1126,28,FALSE),0)</f>
        <v>0</v>
      </c>
      <c r="M51" s="376">
        <f>IFERROR(VLOOKUP(C51,'تقرير المصروفات حسب الشهر'!$C$1143:$AD$1254,28,FALSE),0)</f>
        <v>0</v>
      </c>
      <c r="N51" s="384"/>
      <c r="O51" s="384"/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الشهر'!$C$10:$AD$119,28,FALSE),0)</f>
        <v>0</v>
      </c>
      <c r="E52" s="362">
        <f>IFERROR(VLOOKUP(C52,'تقرير المصروفات حسب الشهر'!$C$135:$AD$244,28,FALSE),0)</f>
        <v>0</v>
      </c>
      <c r="F52" s="362">
        <f>IFERROR(VLOOKUP(C52,'تقرير المصروفات حسب الشهر'!$C$261:$AD$368,28,FALSE),0)</f>
        <v>0</v>
      </c>
      <c r="G52" s="362">
        <f>IFERROR(VLOOKUP(C52,'تقرير المصروفات حسب الشهر'!$C$387:$AD$495,28,FALSE),0)</f>
        <v>0</v>
      </c>
      <c r="H52" s="362">
        <f>IFERROR(VLOOKUP(C52,'تقرير المصروفات حسب الشهر'!$C$512:$AD$620,28,FALSE),0)</f>
        <v>0</v>
      </c>
      <c r="I52" s="362">
        <f>IFERROR(VLOOKUP(C52,'تقرير المصروفات حسب الشهر'!$C$637:$AD$746,28,FALSE),0)</f>
        <v>0</v>
      </c>
      <c r="J52" s="362">
        <f>IFERROR(VLOOKUP(C52,'تقرير المصروفات حسب الشهر'!$C$763:$AD$872,28,FALSE),0)</f>
        <v>0</v>
      </c>
      <c r="K52" s="362">
        <f>IFERROR(VLOOKUP(C52,'تقرير المصروفات حسب الشهر'!$C$890:$AD$999,28,FALSE),0)</f>
        <v>0</v>
      </c>
      <c r="L52" s="362">
        <f>IFERROR(VLOOKUP(C52,'تقرير المصروفات حسب الشهر'!$C$1016:$AD$1126,28,FALSE),0)</f>
        <v>0</v>
      </c>
      <c r="M52" s="376">
        <f>IFERROR(VLOOKUP(C52,'تقرير المصروفات حسب الشهر'!$C$1143:$AD$1254,28,FALSE),0)</f>
        <v>0</v>
      </c>
      <c r="N52" s="384"/>
      <c r="O52" s="384"/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الشهر'!$C$10:$AD$119,28,FALSE),0)</f>
        <v>0</v>
      </c>
      <c r="E53" s="362">
        <f>IFERROR(VLOOKUP(C53,'تقرير المصروفات حسب الشهر'!$C$135:$AD$244,28,FALSE),0)</f>
        <v>0</v>
      </c>
      <c r="F53" s="362">
        <f>IFERROR(VLOOKUP(C53,'تقرير المصروفات حسب الشهر'!$C$261:$AD$368,28,FALSE),0)</f>
        <v>0</v>
      </c>
      <c r="G53" s="362">
        <f>IFERROR(VLOOKUP(C53,'تقرير المصروفات حسب الشهر'!$C$387:$AD$495,28,FALSE),0)</f>
        <v>0</v>
      </c>
      <c r="H53" s="362">
        <f>IFERROR(VLOOKUP(C53,'تقرير المصروفات حسب الشهر'!$C$512:$AD$620,28,FALSE),0)</f>
        <v>0</v>
      </c>
      <c r="I53" s="362">
        <f>IFERROR(VLOOKUP(C53,'تقرير المصروفات حسب الشهر'!$C$637:$AD$746,28,FALSE),0)</f>
        <v>0</v>
      </c>
      <c r="J53" s="362">
        <f>IFERROR(VLOOKUP(C53,'تقرير المصروفات حسب الشهر'!$C$763:$AD$872,28,FALSE),0)</f>
        <v>0</v>
      </c>
      <c r="K53" s="362">
        <f>IFERROR(VLOOKUP(C53,'تقرير المصروفات حسب الشهر'!$C$890:$AD$999,28,FALSE),0)</f>
        <v>0</v>
      </c>
      <c r="L53" s="362">
        <f>IFERROR(VLOOKUP(C53,'تقرير المصروفات حسب الشهر'!$C$1016:$AD$1126,28,FALSE),0)</f>
        <v>0</v>
      </c>
      <c r="M53" s="376">
        <f>IFERROR(VLOOKUP(C53,'تقرير المصروفات حسب الشهر'!$C$1143:$AD$1254,28,FALSE),0)</f>
        <v>0</v>
      </c>
      <c r="N53" s="384"/>
      <c r="O53" s="384"/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الشهر'!$C$10:$AD$119,28,FALSE),0)</f>
        <v>0</v>
      </c>
      <c r="E54" s="362">
        <f>IFERROR(VLOOKUP(C54,'تقرير المصروفات حسب الشهر'!$C$135:$AD$244,28,FALSE),0)</f>
        <v>0</v>
      </c>
      <c r="F54" s="362">
        <f>IFERROR(VLOOKUP(C54,'تقرير المصروفات حسب الشهر'!$C$261:$AD$368,28,FALSE),0)</f>
        <v>0</v>
      </c>
      <c r="G54" s="362">
        <f>IFERROR(VLOOKUP(C54,'تقرير المصروفات حسب الشهر'!$C$387:$AD$495,28,FALSE),0)</f>
        <v>0</v>
      </c>
      <c r="H54" s="362">
        <f>IFERROR(VLOOKUP(C54,'تقرير المصروفات حسب الشهر'!$C$512:$AD$620,28,FALSE),0)</f>
        <v>0</v>
      </c>
      <c r="I54" s="362">
        <f>IFERROR(VLOOKUP(C54,'تقرير المصروفات حسب الشهر'!$C$637:$AD$746,28,FALSE),0)</f>
        <v>0</v>
      </c>
      <c r="J54" s="362">
        <f>IFERROR(VLOOKUP(C54,'تقرير المصروفات حسب الشهر'!$C$763:$AD$872,28,FALSE),0)</f>
        <v>0</v>
      </c>
      <c r="K54" s="362">
        <f>IFERROR(VLOOKUP(C54,'تقرير المصروفات حسب الشهر'!$C$890:$AD$999,28,FALSE),0)</f>
        <v>0</v>
      </c>
      <c r="L54" s="362">
        <f>IFERROR(VLOOKUP(C54,'تقرير المصروفات حسب الشهر'!$C$1016:$AD$1126,28,FALSE),0)</f>
        <v>0</v>
      </c>
      <c r="M54" s="376">
        <f>IFERROR(VLOOKUP(C54,'تقرير المصروفات حسب الشهر'!$C$1143:$AD$1254,28,FALSE),0)</f>
        <v>0</v>
      </c>
      <c r="N54" s="384"/>
      <c r="O54" s="384"/>
      <c r="P54" s="364">
        <f t="shared" si="5"/>
        <v>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الشهر'!$C$10:$AD$119,28,FALSE),0)</f>
        <v>0</v>
      </c>
      <c r="E55" s="362">
        <f>IFERROR(VLOOKUP(C55,'تقرير المصروفات حسب الشهر'!$C$135:$AD$244,28,FALSE),0)</f>
        <v>0</v>
      </c>
      <c r="F55" s="362">
        <f>IFERROR(VLOOKUP(C55,'تقرير المصروفات حسب الشهر'!$C$261:$AD$368,28,FALSE),0)</f>
        <v>0</v>
      </c>
      <c r="G55" s="362">
        <f>IFERROR(VLOOKUP(C55,'تقرير المصروفات حسب الشهر'!$C$387:$AD$495,28,FALSE),0)</f>
        <v>0</v>
      </c>
      <c r="H55" s="362">
        <f>IFERROR(VLOOKUP(C55,'تقرير المصروفات حسب الشهر'!$C$512:$AD$620,28,FALSE),0)</f>
        <v>0</v>
      </c>
      <c r="I55" s="362">
        <f>IFERROR(VLOOKUP(C55,'تقرير المصروفات حسب الشهر'!$C$637:$AD$746,28,FALSE),0)</f>
        <v>0</v>
      </c>
      <c r="J55" s="362">
        <f>IFERROR(VLOOKUP(C55,'تقرير المصروفات حسب الشهر'!$C$763:$AD$872,28,FALSE),0)</f>
        <v>0</v>
      </c>
      <c r="K55" s="362">
        <f>IFERROR(VLOOKUP(C55,'تقرير المصروفات حسب الشهر'!$C$890:$AD$999,28,FALSE),0)</f>
        <v>0</v>
      </c>
      <c r="L55" s="362">
        <f>IFERROR(VLOOKUP(C55,'تقرير المصروفات حسب الشهر'!$C$1016:$AD$1126,28,FALSE),0)</f>
        <v>0</v>
      </c>
      <c r="M55" s="376">
        <f>IFERROR(VLOOKUP(C55,'تقرير المصروفات حسب الشهر'!$C$1143:$AD$1254,28,FALSE),0)</f>
        <v>0</v>
      </c>
      <c r="N55" s="384"/>
      <c r="O55" s="384"/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الشهر'!$C$10:$AD$119,28,FALSE),0)</f>
        <v>0</v>
      </c>
      <c r="E56" s="362">
        <f>IFERROR(VLOOKUP(C56,'تقرير المصروفات حسب الشهر'!$C$135:$AD$244,28,FALSE),0)</f>
        <v>0</v>
      </c>
      <c r="F56" s="362">
        <f>IFERROR(VLOOKUP(C56,'تقرير المصروفات حسب الشهر'!$C$261:$AD$368,28,FALSE),0)</f>
        <v>0</v>
      </c>
      <c r="G56" s="362">
        <f>IFERROR(VLOOKUP(C56,'تقرير المصروفات حسب الشهر'!$C$387:$AD$495,28,FALSE),0)</f>
        <v>0</v>
      </c>
      <c r="H56" s="362">
        <f>IFERROR(VLOOKUP(C56,'تقرير المصروفات حسب الشهر'!$C$512:$AD$620,28,FALSE),0)</f>
        <v>0</v>
      </c>
      <c r="I56" s="362">
        <f>IFERROR(VLOOKUP(C56,'تقرير المصروفات حسب الشهر'!$C$637:$AD$746,28,FALSE),0)</f>
        <v>0</v>
      </c>
      <c r="J56" s="362">
        <f>IFERROR(VLOOKUP(C56,'تقرير المصروفات حسب الشهر'!$C$763:$AD$872,28,FALSE),0)</f>
        <v>0</v>
      </c>
      <c r="K56" s="362">
        <f>IFERROR(VLOOKUP(C56,'تقرير المصروفات حسب الشهر'!$C$890:$AD$999,28,FALSE),0)</f>
        <v>0</v>
      </c>
      <c r="L56" s="362">
        <f>IFERROR(VLOOKUP(C56,'تقرير المصروفات حسب الشهر'!$C$1016:$AD$1126,28,FALSE),0)</f>
        <v>0</v>
      </c>
      <c r="M56" s="376">
        <f>IFERROR(VLOOKUP(C56,'تقرير المصروفات حسب الشهر'!$C$1143:$AD$1254,28,FALSE),0)</f>
        <v>0</v>
      </c>
      <c r="N56" s="384"/>
      <c r="O56" s="384"/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الشهر'!$C$10:$AD$119,28,FALSE),0)</f>
        <v>0</v>
      </c>
      <c r="E57" s="362">
        <f>IFERROR(VLOOKUP(C57,'تقرير المصروفات حسب الشهر'!$C$135:$AD$244,28,FALSE),0)</f>
        <v>0</v>
      </c>
      <c r="F57" s="362">
        <f>IFERROR(VLOOKUP(C57,'تقرير المصروفات حسب الشهر'!$C$261:$AD$368,28,FALSE),0)</f>
        <v>0</v>
      </c>
      <c r="G57" s="362">
        <f>IFERROR(VLOOKUP(C57,'تقرير المصروفات حسب الشهر'!$C$387:$AD$495,28,FALSE),0)</f>
        <v>0</v>
      </c>
      <c r="H57" s="362">
        <f>IFERROR(VLOOKUP(C57,'تقرير المصروفات حسب الشهر'!$C$512:$AD$620,28,FALSE),0)</f>
        <v>0</v>
      </c>
      <c r="I57" s="362">
        <f>IFERROR(VLOOKUP(C57,'تقرير المصروفات حسب الشهر'!$C$637:$AD$746,28,FALSE),0)</f>
        <v>0</v>
      </c>
      <c r="J57" s="362">
        <f>IFERROR(VLOOKUP(C57,'تقرير المصروفات حسب الشهر'!$C$763:$AD$872,28,FALSE),0)</f>
        <v>0</v>
      </c>
      <c r="K57" s="362">
        <f>IFERROR(VLOOKUP(C57,'تقرير المصروفات حسب الشهر'!$C$890:$AD$999,28,FALSE),0)</f>
        <v>0</v>
      </c>
      <c r="L57" s="362">
        <f>IFERROR(VLOOKUP(C57,'تقرير المصروفات حسب الشهر'!$C$1016:$AD$1126,28,FALSE),0)</f>
        <v>0</v>
      </c>
      <c r="M57" s="376">
        <f>IFERROR(VLOOKUP(C57,'تقرير المصروفات حسب الشهر'!$C$1143:$AD$1254,28,FALSE),0)</f>
        <v>0</v>
      </c>
      <c r="N57" s="384"/>
      <c r="O57" s="384"/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الشهر'!$C$10:$AD$119,28,FALSE),0)</f>
        <v>0</v>
      </c>
      <c r="E58" s="362">
        <f>IFERROR(VLOOKUP(C58,'تقرير المصروفات حسب الشهر'!$C$135:$AD$244,28,FALSE),0)</f>
        <v>0</v>
      </c>
      <c r="F58" s="362">
        <f>IFERROR(VLOOKUP(C58,'تقرير المصروفات حسب الشهر'!$C$261:$AD$368,28,FALSE),0)</f>
        <v>0</v>
      </c>
      <c r="G58" s="362">
        <f>IFERROR(VLOOKUP(C58,'تقرير المصروفات حسب الشهر'!$C$387:$AD$495,28,FALSE),0)</f>
        <v>0</v>
      </c>
      <c r="H58" s="362">
        <f>IFERROR(VLOOKUP(C58,'تقرير المصروفات حسب الشهر'!$C$512:$AD$620,28,FALSE),0)</f>
        <v>0</v>
      </c>
      <c r="I58" s="362">
        <f>IFERROR(VLOOKUP(C58,'تقرير المصروفات حسب الشهر'!$C$637:$AD$746,28,FALSE),0)</f>
        <v>0</v>
      </c>
      <c r="J58" s="362">
        <f>IFERROR(VLOOKUP(C58,'تقرير المصروفات حسب الشهر'!$C$763:$AD$872,28,FALSE),0)</f>
        <v>0</v>
      </c>
      <c r="K58" s="362">
        <f>IFERROR(VLOOKUP(C58,'تقرير المصروفات حسب الشهر'!$C$890:$AD$999,28,FALSE),0)</f>
        <v>0</v>
      </c>
      <c r="L58" s="362">
        <f>IFERROR(VLOOKUP(C58,'تقرير المصروفات حسب الشهر'!$C$1016:$AD$1126,28,FALSE),0)</f>
        <v>0</v>
      </c>
      <c r="M58" s="376">
        <f>IFERROR(VLOOKUP(C58,'تقرير المصروفات حسب الشهر'!$C$1143:$AD$1254,28,FALSE),0)</f>
        <v>0</v>
      </c>
      <c r="N58" s="384"/>
      <c r="O58" s="384"/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الشهر'!$C$10:$AD$119,28,FALSE),0)</f>
        <v>0</v>
      </c>
      <c r="E59" s="362">
        <f>IFERROR(VLOOKUP(C59,'تقرير المصروفات حسب الشهر'!$C$135:$AD$244,28,FALSE),0)</f>
        <v>0</v>
      </c>
      <c r="F59" s="362">
        <f>IFERROR(VLOOKUP(C59,'تقرير المصروفات حسب الشهر'!$C$261:$AD$368,28,FALSE),0)</f>
        <v>0</v>
      </c>
      <c r="G59" s="362">
        <f>IFERROR(VLOOKUP(C59,'تقرير المصروفات حسب الشهر'!$C$387:$AD$495,28,FALSE),0)</f>
        <v>0</v>
      </c>
      <c r="H59" s="362">
        <f>IFERROR(VLOOKUP(C59,'تقرير المصروفات حسب الشهر'!$C$512:$AD$620,28,FALSE),0)</f>
        <v>0</v>
      </c>
      <c r="I59" s="362">
        <f>IFERROR(VLOOKUP(C59,'تقرير المصروفات حسب الشهر'!$C$637:$AD$746,28,FALSE),0)</f>
        <v>0</v>
      </c>
      <c r="J59" s="362">
        <f>IFERROR(VLOOKUP(C59,'تقرير المصروفات حسب الشهر'!$C$763:$AD$872,28,FALSE),0)</f>
        <v>0</v>
      </c>
      <c r="K59" s="362">
        <f>IFERROR(VLOOKUP(C59,'تقرير المصروفات حسب الشهر'!$C$890:$AD$999,28,FALSE),0)</f>
        <v>0</v>
      </c>
      <c r="L59" s="362">
        <f>IFERROR(VLOOKUP(C59,'تقرير المصروفات حسب الشهر'!$C$1016:$AD$1126,28,FALSE),0)</f>
        <v>0</v>
      </c>
      <c r="M59" s="376">
        <f>IFERROR(VLOOKUP(C59,'تقرير المصروفات حسب الشهر'!$C$1143:$AD$1254,28,FALSE),0)</f>
        <v>0</v>
      </c>
      <c r="N59" s="384"/>
      <c r="O59" s="384"/>
      <c r="P59" s="364">
        <f t="shared" si="5"/>
        <v>0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الشهر'!$C$10:$AD$119,28,FALSE),0)</f>
        <v>0</v>
      </c>
      <c r="E60" s="362">
        <f>IFERROR(VLOOKUP(C60,'تقرير المصروفات حسب الشهر'!$C$135:$AD$244,28,FALSE),0)</f>
        <v>0</v>
      </c>
      <c r="F60" s="362">
        <f>IFERROR(VLOOKUP(C60,'تقرير المصروفات حسب الشهر'!$C$261:$AD$368,28,FALSE),0)</f>
        <v>0</v>
      </c>
      <c r="G60" s="362">
        <f>IFERROR(VLOOKUP(C60,'تقرير المصروفات حسب الشهر'!$C$387:$AD$495,28,FALSE),0)</f>
        <v>0</v>
      </c>
      <c r="H60" s="362">
        <f>IFERROR(VLOOKUP(C60,'تقرير المصروفات حسب الشهر'!$C$512:$AD$620,28,FALSE),0)</f>
        <v>0</v>
      </c>
      <c r="I60" s="362">
        <f>IFERROR(VLOOKUP(C60,'تقرير المصروفات حسب الشهر'!$C$637:$AD$746,28,FALSE),0)</f>
        <v>0</v>
      </c>
      <c r="J60" s="362">
        <f>IFERROR(VLOOKUP(C60,'تقرير المصروفات حسب الشهر'!$C$763:$AD$872,28,FALSE),0)</f>
        <v>0</v>
      </c>
      <c r="K60" s="362">
        <f>IFERROR(VLOOKUP(C60,'تقرير المصروفات حسب الشهر'!$C$890:$AD$999,28,FALSE),0)</f>
        <v>0</v>
      </c>
      <c r="L60" s="362">
        <f>IFERROR(VLOOKUP(C60,'تقرير المصروفات حسب الشهر'!$C$1016:$AD$1126,28,FALSE),0)</f>
        <v>0</v>
      </c>
      <c r="M60" s="376">
        <f>IFERROR(VLOOKUP(C60,'تقرير المصروفات حسب الشهر'!$C$1143:$AD$1254,28,FALSE),0)</f>
        <v>0</v>
      </c>
      <c r="N60" s="384"/>
      <c r="O60" s="384"/>
      <c r="P60" s="364">
        <f t="shared" si="5"/>
        <v>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الشهر'!$C$10:$AD$119,28,FALSE),0)</f>
        <v>0</v>
      </c>
      <c r="E61" s="362">
        <f>IFERROR(VLOOKUP(C61,'تقرير المصروفات حسب الشهر'!$C$135:$AD$244,28,FALSE),0)</f>
        <v>0</v>
      </c>
      <c r="F61" s="362">
        <f>IFERROR(VLOOKUP(C61,'تقرير المصروفات حسب الشهر'!$C$261:$AD$368,28,FALSE),0)</f>
        <v>0</v>
      </c>
      <c r="G61" s="362">
        <f>IFERROR(VLOOKUP(C61,'تقرير المصروفات حسب الشهر'!$C$387:$AD$495,28,FALSE),0)</f>
        <v>0</v>
      </c>
      <c r="H61" s="362">
        <f>IFERROR(VLOOKUP(C61,'تقرير المصروفات حسب الشهر'!$C$512:$AD$620,28,FALSE),0)</f>
        <v>0</v>
      </c>
      <c r="I61" s="362">
        <f>IFERROR(VLOOKUP(C61,'تقرير المصروفات حسب الشهر'!$C$637:$AD$746,28,FALSE),0)</f>
        <v>0</v>
      </c>
      <c r="J61" s="362">
        <f>IFERROR(VLOOKUP(C61,'تقرير المصروفات حسب الشهر'!$C$763:$AD$872,28,FALSE),0)</f>
        <v>0</v>
      </c>
      <c r="K61" s="362">
        <f>IFERROR(VLOOKUP(C61,'تقرير المصروفات حسب الشهر'!$C$890:$AD$999,28,FALSE),0)</f>
        <v>0</v>
      </c>
      <c r="L61" s="362">
        <f>IFERROR(VLOOKUP(C61,'تقرير المصروفات حسب الشهر'!$C$1016:$AD$1126,28,FALSE),0)</f>
        <v>0</v>
      </c>
      <c r="M61" s="376">
        <f>IFERROR(VLOOKUP(C61,'تقرير المصروفات حسب الشهر'!$C$1143:$AD$1254,28,FALSE),0)</f>
        <v>0</v>
      </c>
      <c r="N61" s="384"/>
      <c r="O61" s="384"/>
      <c r="P61" s="364">
        <f t="shared" si="5"/>
        <v>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الشهر'!$C$10:$AD$119,28,FALSE),0)</f>
        <v>0</v>
      </c>
      <c r="E62" s="362">
        <f>IFERROR(VLOOKUP(C62,'تقرير المصروفات حسب الشهر'!$C$135:$AD$244,28,FALSE),0)</f>
        <v>0</v>
      </c>
      <c r="F62" s="362">
        <f>IFERROR(VLOOKUP(C62,'تقرير المصروفات حسب الشهر'!$C$261:$AD$368,28,FALSE),0)</f>
        <v>0</v>
      </c>
      <c r="G62" s="362">
        <f>IFERROR(VLOOKUP(C62,'تقرير المصروفات حسب الشهر'!$C$387:$AD$495,28,FALSE),0)</f>
        <v>0</v>
      </c>
      <c r="H62" s="362">
        <f>IFERROR(VLOOKUP(C62,'تقرير المصروفات حسب الشهر'!$C$512:$AD$620,28,FALSE),0)</f>
        <v>0</v>
      </c>
      <c r="I62" s="362">
        <f>IFERROR(VLOOKUP(C62,'تقرير المصروفات حسب الشهر'!$C$637:$AD$746,28,FALSE),0)</f>
        <v>0</v>
      </c>
      <c r="J62" s="362">
        <f>IFERROR(VLOOKUP(C62,'تقرير المصروفات حسب الشهر'!$C$763:$AD$872,28,FALSE),0)</f>
        <v>0</v>
      </c>
      <c r="K62" s="362">
        <f>IFERROR(VLOOKUP(C62,'تقرير المصروفات حسب الشهر'!$C$890:$AD$999,28,FALSE),0)</f>
        <v>0</v>
      </c>
      <c r="L62" s="362">
        <f>IFERROR(VLOOKUP(C62,'تقرير المصروفات حسب الشهر'!$C$1016:$AD$1126,28,FALSE),0)</f>
        <v>0</v>
      </c>
      <c r="M62" s="376">
        <f>IFERROR(VLOOKUP(C62,'تقرير المصروفات حسب الشهر'!$C$1143:$AD$1254,28,FALSE),0)</f>
        <v>0</v>
      </c>
      <c r="N62" s="384"/>
      <c r="O62" s="384"/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الشهر'!$C$10:$AD$119,28,FALSE),0)</f>
        <v>0</v>
      </c>
      <c r="E63" s="362">
        <f>IFERROR(VLOOKUP(C63,'تقرير المصروفات حسب الشهر'!$C$135:$AD$244,28,FALSE),0)</f>
        <v>0</v>
      </c>
      <c r="F63" s="362">
        <f>IFERROR(VLOOKUP(C63,'تقرير المصروفات حسب الشهر'!$C$261:$AD$368,28,FALSE),0)</f>
        <v>0</v>
      </c>
      <c r="G63" s="362">
        <f>IFERROR(VLOOKUP(C63,'تقرير المصروفات حسب الشهر'!$C$387:$AD$495,28,FALSE),0)</f>
        <v>0</v>
      </c>
      <c r="H63" s="362">
        <f>IFERROR(VLOOKUP(C63,'تقرير المصروفات حسب الشهر'!$C$512:$AD$620,28,FALSE),0)</f>
        <v>0</v>
      </c>
      <c r="I63" s="362">
        <f>IFERROR(VLOOKUP(C63,'تقرير المصروفات حسب الشهر'!$C$637:$AD$746,28,FALSE),0)</f>
        <v>0</v>
      </c>
      <c r="J63" s="362">
        <f>IFERROR(VLOOKUP(C63,'تقرير المصروفات حسب الشهر'!$C$763:$AD$872,28,FALSE),0)</f>
        <v>0</v>
      </c>
      <c r="K63" s="362">
        <f>IFERROR(VLOOKUP(C63,'تقرير المصروفات حسب الشهر'!$C$890:$AD$999,28,FALSE),0)</f>
        <v>0</v>
      </c>
      <c r="L63" s="362">
        <f>IFERROR(VLOOKUP(C63,'تقرير المصروفات حسب الشهر'!$C$1016:$AD$1126,28,FALSE),0)</f>
        <v>0</v>
      </c>
      <c r="M63" s="376">
        <f>IFERROR(VLOOKUP(C63,'تقرير المصروفات حسب الشهر'!$C$1143:$AD$1254,28,FALSE),0)</f>
        <v>0</v>
      </c>
      <c r="N63" s="384"/>
      <c r="O63" s="384"/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الشهر'!$C$10:$AD$119,28,FALSE),0)</f>
        <v>0</v>
      </c>
      <c r="E64" s="362">
        <f>IFERROR(VLOOKUP(C64,'تقرير المصروفات حسب الشهر'!$C$135:$AD$244,28,FALSE),0)</f>
        <v>0</v>
      </c>
      <c r="F64" s="362">
        <f>IFERROR(VLOOKUP(C64,'تقرير المصروفات حسب الشهر'!$C$261:$AD$368,28,FALSE),0)</f>
        <v>0</v>
      </c>
      <c r="G64" s="362">
        <f>IFERROR(VLOOKUP(C64,'تقرير المصروفات حسب الشهر'!$C$387:$AD$495,28,FALSE),0)</f>
        <v>0</v>
      </c>
      <c r="H64" s="362">
        <f>IFERROR(VLOOKUP(C64,'تقرير المصروفات حسب الشهر'!$C$512:$AD$620,28,FALSE),0)</f>
        <v>0</v>
      </c>
      <c r="I64" s="362">
        <f>IFERROR(VLOOKUP(C64,'تقرير المصروفات حسب الشهر'!$C$637:$AD$746,28,FALSE),0)</f>
        <v>0</v>
      </c>
      <c r="J64" s="362">
        <f>IFERROR(VLOOKUP(C64,'تقرير المصروفات حسب الشهر'!$C$763:$AD$872,28,FALSE),0)</f>
        <v>0</v>
      </c>
      <c r="K64" s="362">
        <f>IFERROR(VLOOKUP(C64,'تقرير المصروفات حسب الشهر'!$C$890:$AD$999,28,FALSE),0)</f>
        <v>0</v>
      </c>
      <c r="L64" s="362">
        <f>IFERROR(VLOOKUP(C64,'تقرير المصروفات حسب الشهر'!$C$1016:$AD$1126,28,FALSE),0)</f>
        <v>0</v>
      </c>
      <c r="M64" s="376">
        <f>IFERROR(VLOOKUP(C64,'تقرير المصروفات حسب الشهر'!$C$1143:$AD$1254,28,FALSE),0)</f>
        <v>0</v>
      </c>
      <c r="N64" s="384"/>
      <c r="O64" s="384"/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الشهر'!$C$10:$AD$119,28,FALSE),0)</f>
        <v>0</v>
      </c>
      <c r="E65" s="362">
        <f>IFERROR(VLOOKUP(C65,'تقرير المصروفات حسب الشهر'!$C$135:$AD$244,28,FALSE),0)</f>
        <v>0</v>
      </c>
      <c r="F65" s="362">
        <f>IFERROR(VLOOKUP(C65,'تقرير المصروفات حسب الشهر'!$C$261:$AD$368,28,FALSE),0)</f>
        <v>0</v>
      </c>
      <c r="G65" s="362">
        <f>IFERROR(VLOOKUP(C65,'تقرير المصروفات حسب الشهر'!$C$387:$AD$495,28,FALSE),0)</f>
        <v>0</v>
      </c>
      <c r="H65" s="362">
        <f>IFERROR(VLOOKUP(C65,'تقرير المصروفات حسب الشهر'!$C$512:$AD$620,28,FALSE),0)</f>
        <v>0</v>
      </c>
      <c r="I65" s="362">
        <f>IFERROR(VLOOKUP(C65,'تقرير المصروفات حسب الشهر'!$C$637:$AD$746,28,FALSE),0)</f>
        <v>0</v>
      </c>
      <c r="J65" s="362">
        <f>IFERROR(VLOOKUP(C65,'تقرير المصروفات حسب الشهر'!$C$763:$AD$872,28,FALSE),0)</f>
        <v>0</v>
      </c>
      <c r="K65" s="362">
        <f>IFERROR(VLOOKUP(C65,'تقرير المصروفات حسب الشهر'!$C$890:$AD$999,28,FALSE),0)</f>
        <v>0</v>
      </c>
      <c r="L65" s="362">
        <f>IFERROR(VLOOKUP(C65,'تقرير المصروفات حسب الشهر'!$C$1016:$AD$1126,28,FALSE),0)</f>
        <v>0</v>
      </c>
      <c r="M65" s="376">
        <f>IFERROR(VLOOKUP(C65,'تقرير المصروفات حسب الشهر'!$C$1143:$AD$1254,28,FALSE),0)</f>
        <v>0</v>
      </c>
      <c r="N65" s="384"/>
      <c r="O65" s="384"/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الشهر'!$C$10:$AD$119,28,FALSE),0)</f>
        <v>0</v>
      </c>
      <c r="E66" s="362">
        <f>IFERROR(VLOOKUP(C66,'تقرير المصروفات حسب الشهر'!$C$135:$AD$244,28,FALSE),0)</f>
        <v>0</v>
      </c>
      <c r="F66" s="362">
        <f>IFERROR(VLOOKUP(C66,'تقرير المصروفات حسب الشهر'!$C$261:$AD$368,28,FALSE),0)</f>
        <v>0</v>
      </c>
      <c r="G66" s="362">
        <f>IFERROR(VLOOKUP(C66,'تقرير المصروفات حسب الشهر'!$C$387:$AD$495,28,FALSE),0)</f>
        <v>0</v>
      </c>
      <c r="H66" s="362">
        <f>IFERROR(VLOOKUP(C66,'تقرير المصروفات حسب الشهر'!$C$512:$AD$620,28,FALSE),0)</f>
        <v>0</v>
      </c>
      <c r="I66" s="362">
        <f>IFERROR(VLOOKUP(C66,'تقرير المصروفات حسب الشهر'!$C$637:$AD$746,28,FALSE),0)</f>
        <v>0</v>
      </c>
      <c r="J66" s="362">
        <f>IFERROR(VLOOKUP(C66,'تقرير المصروفات حسب الشهر'!$C$763:$AD$872,28,FALSE),0)</f>
        <v>0</v>
      </c>
      <c r="K66" s="362">
        <f>IFERROR(VLOOKUP(C66,'تقرير المصروفات حسب الشهر'!$C$890:$AD$999,28,FALSE),0)</f>
        <v>0</v>
      </c>
      <c r="L66" s="362">
        <f>IFERROR(VLOOKUP(C66,'تقرير المصروفات حسب الشهر'!$C$1016:$AD$1126,28,FALSE),0)</f>
        <v>0</v>
      </c>
      <c r="M66" s="376">
        <f>IFERROR(VLOOKUP(C66,'تقرير المصروفات حسب الشهر'!$C$1143:$AD$1254,28,FALSE),0)</f>
        <v>0</v>
      </c>
      <c r="N66" s="384"/>
      <c r="O66" s="384"/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الشهر'!$C$10:$AD$119,28,FALSE),0)</f>
        <v>0</v>
      </c>
      <c r="E67" s="362">
        <f>IFERROR(VLOOKUP(C67,'تقرير المصروفات حسب الشهر'!$C$135:$AD$244,28,FALSE),0)</f>
        <v>0</v>
      </c>
      <c r="F67" s="362">
        <f>IFERROR(VLOOKUP(C67,'تقرير المصروفات حسب الشهر'!$C$261:$AD$368,28,FALSE),0)</f>
        <v>0</v>
      </c>
      <c r="G67" s="362">
        <f>IFERROR(VLOOKUP(C67,'تقرير المصروفات حسب الشهر'!$C$387:$AD$495,28,FALSE),0)</f>
        <v>0</v>
      </c>
      <c r="H67" s="362">
        <f>IFERROR(VLOOKUP(C67,'تقرير المصروفات حسب الشهر'!$C$512:$AD$620,28,FALSE),0)</f>
        <v>0</v>
      </c>
      <c r="I67" s="362">
        <f>IFERROR(VLOOKUP(C67,'تقرير المصروفات حسب الشهر'!$C$637:$AD$746,28,FALSE),0)</f>
        <v>0</v>
      </c>
      <c r="J67" s="362">
        <f>IFERROR(VLOOKUP(C67,'تقرير المصروفات حسب الشهر'!$C$763:$AD$872,28,FALSE),0)</f>
        <v>0</v>
      </c>
      <c r="K67" s="362">
        <f>IFERROR(VLOOKUP(C67,'تقرير المصروفات حسب الشهر'!$C$890:$AD$999,28,FALSE),0)</f>
        <v>0</v>
      </c>
      <c r="L67" s="362">
        <f>IFERROR(VLOOKUP(C67,'تقرير المصروفات حسب الشهر'!$C$1016:$AD$1126,28,FALSE),0)</f>
        <v>0</v>
      </c>
      <c r="M67" s="376">
        <f>IFERROR(VLOOKUP(C67,'تقرير المصروفات حسب الشهر'!$C$1143:$AD$1254,28,FALSE),0)</f>
        <v>0</v>
      </c>
      <c r="N67" s="384"/>
      <c r="O67" s="384"/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الشهر'!$C$10:$AD$119,28,FALSE),0)</f>
        <v>0</v>
      </c>
      <c r="E68" s="362">
        <f>IFERROR(VLOOKUP(C68,'تقرير المصروفات حسب الشهر'!$C$135:$AD$244,28,FALSE),0)</f>
        <v>0</v>
      </c>
      <c r="F68" s="362">
        <f>IFERROR(VLOOKUP(C68,'تقرير المصروفات حسب الشهر'!$C$261:$AD$368,28,FALSE),0)</f>
        <v>0</v>
      </c>
      <c r="G68" s="362">
        <f>IFERROR(VLOOKUP(C68,'تقرير المصروفات حسب الشهر'!$C$387:$AD$495,28,FALSE),0)</f>
        <v>0</v>
      </c>
      <c r="H68" s="362">
        <f>IFERROR(VLOOKUP(C68,'تقرير المصروفات حسب الشهر'!$C$512:$AD$620,28,FALSE),0)</f>
        <v>0</v>
      </c>
      <c r="I68" s="362">
        <f>IFERROR(VLOOKUP(C68,'تقرير المصروفات حسب الشهر'!$C$637:$AD$746,28,FALSE),0)</f>
        <v>0</v>
      </c>
      <c r="J68" s="362">
        <f>IFERROR(VLOOKUP(C68,'تقرير المصروفات حسب الشهر'!$C$763:$AD$872,28,FALSE),0)</f>
        <v>0</v>
      </c>
      <c r="K68" s="362">
        <f>IFERROR(VLOOKUP(C68,'تقرير المصروفات حسب الشهر'!$C$890:$AD$999,28,FALSE),0)</f>
        <v>0</v>
      </c>
      <c r="L68" s="362">
        <f>IFERROR(VLOOKUP(C68,'تقرير المصروفات حسب الشهر'!$C$1016:$AD$1126,28,FALSE),0)</f>
        <v>0</v>
      </c>
      <c r="M68" s="376">
        <f>IFERROR(VLOOKUP(C68,'تقرير المصروفات حسب الشهر'!$C$1143:$AD$1254,28,FALSE),0)</f>
        <v>0</v>
      </c>
      <c r="N68" s="384"/>
      <c r="O68" s="384"/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الشهر'!$C$10:$AD$119,28,FALSE),0)</f>
        <v>0</v>
      </c>
      <c r="E69" s="362">
        <f>IFERROR(VLOOKUP(C69,'تقرير المصروفات حسب الشهر'!$C$135:$AD$244,28,FALSE),0)</f>
        <v>0</v>
      </c>
      <c r="F69" s="362">
        <f>IFERROR(VLOOKUP(C69,'تقرير المصروفات حسب الشهر'!$C$261:$AD$368,28,FALSE),0)</f>
        <v>0</v>
      </c>
      <c r="G69" s="362">
        <f>IFERROR(VLOOKUP(C69,'تقرير المصروفات حسب الشهر'!$C$387:$AD$495,28,FALSE),0)</f>
        <v>0</v>
      </c>
      <c r="H69" s="362">
        <f>IFERROR(VLOOKUP(C69,'تقرير المصروفات حسب الشهر'!$C$512:$AD$620,28,FALSE),0)</f>
        <v>0</v>
      </c>
      <c r="I69" s="362">
        <f>IFERROR(VLOOKUP(C69,'تقرير المصروفات حسب الشهر'!$C$637:$AD$746,28,FALSE),0)</f>
        <v>0</v>
      </c>
      <c r="J69" s="362">
        <f>IFERROR(VLOOKUP(C69,'تقرير المصروفات حسب الشهر'!$C$763:$AD$872,28,FALSE),0)</f>
        <v>0</v>
      </c>
      <c r="K69" s="362">
        <f>IFERROR(VLOOKUP(C69,'تقرير المصروفات حسب الشهر'!$C$890:$AD$999,28,FALSE),0)</f>
        <v>0</v>
      </c>
      <c r="L69" s="362">
        <f>IFERROR(VLOOKUP(C69,'تقرير المصروفات حسب الشهر'!$C$1016:$AD$1126,28,FALSE),0)</f>
        <v>0</v>
      </c>
      <c r="M69" s="376">
        <f>IFERROR(VLOOKUP(C69,'تقرير المصروفات حسب الشهر'!$C$1143:$AD$1254,28,FALSE),0)</f>
        <v>0</v>
      </c>
      <c r="N69" s="384"/>
      <c r="O69" s="384"/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الشهر'!$C$10:$AD$119,28,FALSE),0)</f>
        <v>0</v>
      </c>
      <c r="E70" s="362">
        <f>IFERROR(VLOOKUP(C70,'تقرير المصروفات حسب الشهر'!$C$135:$AD$244,28,FALSE),0)</f>
        <v>0</v>
      </c>
      <c r="F70" s="362">
        <f>IFERROR(VLOOKUP(C70,'تقرير المصروفات حسب الشهر'!$C$261:$AD$368,28,FALSE),0)</f>
        <v>0</v>
      </c>
      <c r="G70" s="362">
        <f>IFERROR(VLOOKUP(C70,'تقرير المصروفات حسب الشهر'!$C$387:$AD$495,28,FALSE),0)</f>
        <v>0</v>
      </c>
      <c r="H70" s="362">
        <f>IFERROR(VLOOKUP(C70,'تقرير المصروفات حسب الشهر'!$C$512:$AD$620,28,FALSE),0)</f>
        <v>0</v>
      </c>
      <c r="I70" s="362">
        <f>IFERROR(VLOOKUP(C70,'تقرير المصروفات حسب الشهر'!$C$637:$AD$746,28,FALSE),0)</f>
        <v>0</v>
      </c>
      <c r="J70" s="362">
        <f>IFERROR(VLOOKUP(C70,'تقرير المصروفات حسب الشهر'!$C$763:$AD$872,28,FALSE),0)</f>
        <v>0</v>
      </c>
      <c r="K70" s="362">
        <f>IFERROR(VLOOKUP(C70,'تقرير المصروفات حسب الشهر'!$C$890:$AD$999,28,FALSE),0)</f>
        <v>0</v>
      </c>
      <c r="L70" s="362">
        <f>IFERROR(VLOOKUP(C70,'تقرير المصروفات حسب الشهر'!$C$1016:$AD$1126,28,FALSE),0)</f>
        <v>0</v>
      </c>
      <c r="M70" s="376">
        <f>IFERROR(VLOOKUP(C70,'تقرير المصروفات حسب الشهر'!$C$1143:$AD$1254,28,FALSE),0)</f>
        <v>0</v>
      </c>
      <c r="N70" s="384"/>
      <c r="O70" s="384"/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الشهر'!$C$10:$AD$119,28,FALSE),0)</f>
        <v>0</v>
      </c>
      <c r="E71" s="362">
        <f>IFERROR(VLOOKUP(C71,'تقرير المصروفات حسب الشهر'!$C$135:$AD$244,28,FALSE),0)</f>
        <v>0</v>
      </c>
      <c r="F71" s="362">
        <f>IFERROR(VLOOKUP(C71,'تقرير المصروفات حسب الشهر'!$C$261:$AD$368,28,FALSE),0)</f>
        <v>0</v>
      </c>
      <c r="G71" s="362">
        <f>IFERROR(VLOOKUP(C71,'تقرير المصروفات حسب الشهر'!$C$387:$AD$495,28,FALSE),0)</f>
        <v>0</v>
      </c>
      <c r="H71" s="362">
        <f>IFERROR(VLOOKUP(C71,'تقرير المصروفات حسب الشهر'!$C$512:$AD$620,28,FALSE),0)</f>
        <v>0</v>
      </c>
      <c r="I71" s="362">
        <f>IFERROR(VLOOKUP(C71,'تقرير المصروفات حسب الشهر'!$C$637:$AD$746,28,FALSE),0)</f>
        <v>0</v>
      </c>
      <c r="J71" s="362">
        <f>IFERROR(VLOOKUP(C71,'تقرير المصروفات حسب الشهر'!$C$763:$AD$872,28,FALSE),0)</f>
        <v>0</v>
      </c>
      <c r="K71" s="362">
        <f>IFERROR(VLOOKUP(C71,'تقرير المصروفات حسب الشهر'!$C$890:$AD$999,28,FALSE),0)</f>
        <v>0</v>
      </c>
      <c r="L71" s="362">
        <f>IFERROR(VLOOKUP(C71,'تقرير المصروفات حسب الشهر'!$C$1016:$AD$1126,28,FALSE),0)</f>
        <v>0</v>
      </c>
      <c r="M71" s="376">
        <f>IFERROR(VLOOKUP(C71,'تقرير المصروفات حسب الشهر'!$C$1143:$AD$1254,28,FALSE),0)</f>
        <v>0</v>
      </c>
      <c r="N71" s="384"/>
      <c r="O71" s="384"/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الشهر'!$C$10:$AD$119,28,FALSE),0)</f>
        <v>0</v>
      </c>
      <c r="E72" s="362">
        <f>IFERROR(VLOOKUP(C72,'تقرير المصروفات حسب الشهر'!$C$135:$AD$244,28,FALSE),0)</f>
        <v>0</v>
      </c>
      <c r="F72" s="362">
        <f>IFERROR(VLOOKUP(C72,'تقرير المصروفات حسب الشهر'!$C$261:$AD$368,28,FALSE),0)</f>
        <v>0</v>
      </c>
      <c r="G72" s="362">
        <f>IFERROR(VLOOKUP(C72,'تقرير المصروفات حسب الشهر'!$C$387:$AD$495,28,FALSE),0)</f>
        <v>0</v>
      </c>
      <c r="H72" s="362">
        <f>IFERROR(VLOOKUP(C72,'تقرير المصروفات حسب الشهر'!$C$512:$AD$620,28,FALSE),0)</f>
        <v>0</v>
      </c>
      <c r="I72" s="362">
        <f>IFERROR(VLOOKUP(C72,'تقرير المصروفات حسب الشهر'!$C$637:$AD$746,28,FALSE),0)</f>
        <v>0</v>
      </c>
      <c r="J72" s="362">
        <f>IFERROR(VLOOKUP(C72,'تقرير المصروفات حسب الشهر'!$C$763:$AD$872,28,FALSE),0)</f>
        <v>0</v>
      </c>
      <c r="K72" s="362">
        <f>IFERROR(VLOOKUP(C72,'تقرير المصروفات حسب الشهر'!$C$890:$AD$999,28,FALSE),0)</f>
        <v>0</v>
      </c>
      <c r="L72" s="362">
        <f>IFERROR(VLOOKUP(C72,'تقرير المصروفات حسب الشهر'!$C$1016:$AD$1126,28,FALSE),0)</f>
        <v>0</v>
      </c>
      <c r="M72" s="376">
        <f>IFERROR(VLOOKUP(C72,'تقرير المصروفات حسب الشهر'!$C$1143:$AD$1254,28,FALSE),0)</f>
        <v>0</v>
      </c>
      <c r="N72" s="384"/>
      <c r="O72" s="384"/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الشهر'!$C$10:$AD$119,28,FALSE),0)</f>
        <v>0</v>
      </c>
      <c r="E73" s="362">
        <f>IFERROR(VLOOKUP(C73,'تقرير المصروفات حسب الشهر'!$C$135:$AD$244,28,FALSE),0)</f>
        <v>0</v>
      </c>
      <c r="F73" s="362">
        <f>IFERROR(VLOOKUP(C73,'تقرير المصروفات حسب الشهر'!$C$261:$AD$368,28,FALSE),0)</f>
        <v>0</v>
      </c>
      <c r="G73" s="362">
        <f>IFERROR(VLOOKUP(C73,'تقرير المصروفات حسب الشهر'!$C$387:$AD$495,28,FALSE),0)</f>
        <v>0</v>
      </c>
      <c r="H73" s="362">
        <f>IFERROR(VLOOKUP(C73,'تقرير المصروفات حسب الشهر'!$C$512:$AD$620,28,FALSE),0)</f>
        <v>0</v>
      </c>
      <c r="I73" s="362">
        <f>IFERROR(VLOOKUP(C73,'تقرير المصروفات حسب الشهر'!$C$637:$AD$746,28,FALSE),0)</f>
        <v>0</v>
      </c>
      <c r="J73" s="362">
        <f>IFERROR(VLOOKUP(C73,'تقرير المصروفات حسب الشهر'!$C$763:$AD$872,28,FALSE),0)</f>
        <v>0</v>
      </c>
      <c r="K73" s="362">
        <f>IFERROR(VLOOKUP(C73,'تقرير المصروفات حسب الشهر'!$C$890:$AD$999,28,FALSE),0)</f>
        <v>0</v>
      </c>
      <c r="L73" s="362">
        <f>IFERROR(VLOOKUP(C73,'تقرير المصروفات حسب الشهر'!$C$1016:$AD$1126,28,FALSE),0)</f>
        <v>0</v>
      </c>
      <c r="M73" s="376">
        <f>IFERROR(VLOOKUP(C73,'تقرير المصروفات حسب الشهر'!$C$1143:$AD$1254,28,FALSE),0)</f>
        <v>0</v>
      </c>
      <c r="N73" s="384"/>
      <c r="O73" s="384"/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الشهر'!$C$10:$AD$119,28,FALSE),0)</f>
        <v>0</v>
      </c>
      <c r="E74" s="362">
        <f>IFERROR(VLOOKUP(C74,'تقرير المصروفات حسب الشهر'!$C$135:$AD$244,28,FALSE),0)</f>
        <v>0</v>
      </c>
      <c r="F74" s="362">
        <f>IFERROR(VLOOKUP(C74,'تقرير المصروفات حسب الشهر'!$C$261:$AD$368,28,FALSE),0)</f>
        <v>0</v>
      </c>
      <c r="G74" s="362">
        <f>IFERROR(VLOOKUP(C74,'تقرير المصروفات حسب الشهر'!$C$387:$AD$495,28,FALSE),0)</f>
        <v>0</v>
      </c>
      <c r="H74" s="362">
        <f>IFERROR(VLOOKUP(C74,'تقرير المصروفات حسب الشهر'!$C$512:$AD$620,28,FALSE),0)</f>
        <v>0</v>
      </c>
      <c r="I74" s="362">
        <f>IFERROR(VLOOKUP(C74,'تقرير المصروفات حسب الشهر'!$C$637:$AD$746,28,FALSE),0)</f>
        <v>0</v>
      </c>
      <c r="J74" s="362">
        <f>IFERROR(VLOOKUP(C74,'تقرير المصروفات حسب الشهر'!$C$763:$AD$872,28,FALSE),0)</f>
        <v>0</v>
      </c>
      <c r="K74" s="362">
        <f>IFERROR(VLOOKUP(C74,'تقرير المصروفات حسب الشهر'!$C$890:$AD$999,28,FALSE),0)</f>
        <v>0</v>
      </c>
      <c r="L74" s="362">
        <f>IFERROR(VLOOKUP(C74,'تقرير المصروفات حسب الشهر'!$C$1016:$AD$1126,28,FALSE),0)</f>
        <v>0</v>
      </c>
      <c r="M74" s="376">
        <f>IFERROR(VLOOKUP(C74,'تقرير المصروفات حسب الشهر'!$C$1143:$AD$1254,28,FALSE),0)</f>
        <v>0</v>
      </c>
      <c r="N74" s="384"/>
      <c r="O74" s="384"/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الشهر'!$C$10:$AD$119,28,FALSE),0)</f>
        <v>0</v>
      </c>
      <c r="E75" s="362">
        <f>IFERROR(VLOOKUP(C75,'تقرير المصروفات حسب الشهر'!$C$135:$AD$244,28,FALSE),0)</f>
        <v>0</v>
      </c>
      <c r="F75" s="362">
        <f>IFERROR(VLOOKUP(C75,'تقرير المصروفات حسب الشهر'!$C$261:$AD$368,28,FALSE),0)</f>
        <v>0</v>
      </c>
      <c r="G75" s="362">
        <f>IFERROR(VLOOKUP(C75,'تقرير المصروفات حسب الشهر'!$C$387:$AD$495,28,FALSE),0)</f>
        <v>0</v>
      </c>
      <c r="H75" s="362">
        <f>IFERROR(VLOOKUP(C75,'تقرير المصروفات حسب الشهر'!$C$512:$AD$620,28,FALSE),0)</f>
        <v>0</v>
      </c>
      <c r="I75" s="362">
        <f>IFERROR(VLOOKUP(C75,'تقرير المصروفات حسب الشهر'!$C$637:$AD$746,28,FALSE),0)</f>
        <v>0</v>
      </c>
      <c r="J75" s="362">
        <f>IFERROR(VLOOKUP(C75,'تقرير المصروفات حسب الشهر'!$C$763:$AD$872,28,FALSE),0)</f>
        <v>0</v>
      </c>
      <c r="K75" s="362">
        <f>IFERROR(VLOOKUP(C75,'تقرير المصروفات حسب الشهر'!$C$890:$AD$999,28,FALSE),0)</f>
        <v>0</v>
      </c>
      <c r="L75" s="362">
        <f>IFERROR(VLOOKUP(C75,'تقرير المصروفات حسب الشهر'!$C$1016:$AD$1126,28,FALSE),0)</f>
        <v>0</v>
      </c>
      <c r="M75" s="376">
        <f>IFERROR(VLOOKUP(C75,'تقرير المصروفات حسب الشهر'!$C$1143:$AD$1254,28,FALSE),0)</f>
        <v>0</v>
      </c>
      <c r="N75" s="384"/>
      <c r="O75" s="384"/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الشهر'!$C$10:$AD$119,28,FALSE),0)</f>
        <v>0</v>
      </c>
      <c r="E76" s="362">
        <f>IFERROR(VLOOKUP(C76,'تقرير المصروفات حسب الشهر'!$C$135:$AD$244,28,FALSE),0)</f>
        <v>0</v>
      </c>
      <c r="F76" s="362">
        <f>IFERROR(VLOOKUP(C76,'تقرير المصروفات حسب الشهر'!$C$261:$AD$368,28,FALSE),0)</f>
        <v>0</v>
      </c>
      <c r="G76" s="362">
        <f>IFERROR(VLOOKUP(C76,'تقرير المصروفات حسب الشهر'!$C$387:$AD$495,28,FALSE),0)</f>
        <v>0</v>
      </c>
      <c r="H76" s="362">
        <f>IFERROR(VLOOKUP(C76,'تقرير المصروفات حسب الشهر'!$C$512:$AD$620,28,FALSE),0)</f>
        <v>0</v>
      </c>
      <c r="I76" s="362">
        <f>IFERROR(VLOOKUP(C76,'تقرير المصروفات حسب الشهر'!$C$637:$AD$746,28,FALSE),0)</f>
        <v>0</v>
      </c>
      <c r="J76" s="362">
        <f>IFERROR(VLOOKUP(C76,'تقرير المصروفات حسب الشهر'!$C$763:$AD$872,28,FALSE),0)</f>
        <v>0</v>
      </c>
      <c r="K76" s="362">
        <f>IFERROR(VLOOKUP(C76,'تقرير المصروفات حسب الشهر'!$C$890:$AD$999,28,FALSE),0)</f>
        <v>0</v>
      </c>
      <c r="L76" s="362">
        <f>IFERROR(VLOOKUP(C76,'تقرير المصروفات حسب الشهر'!$C$1016:$AD$1126,28,FALSE),0)</f>
        <v>0</v>
      </c>
      <c r="M76" s="376">
        <f>IFERROR(VLOOKUP(C76,'تقرير المصروفات حسب الشهر'!$C$1143:$AD$1254,28,FALSE),0)</f>
        <v>0</v>
      </c>
      <c r="N76" s="384"/>
      <c r="O76" s="384"/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الشهر'!$C$10:$AD$119,28,FALSE),0)</f>
        <v>0</v>
      </c>
      <c r="E77" s="362">
        <f>IFERROR(VLOOKUP(C77,'تقرير المصروفات حسب الشهر'!$C$135:$AD$244,28,FALSE),0)</f>
        <v>0</v>
      </c>
      <c r="F77" s="362">
        <f>IFERROR(VLOOKUP(C77,'تقرير المصروفات حسب الشهر'!$C$261:$AD$368,28,FALSE),0)</f>
        <v>0</v>
      </c>
      <c r="G77" s="362">
        <f>IFERROR(VLOOKUP(C77,'تقرير المصروفات حسب الشهر'!$C$387:$AD$495,28,FALSE),0)</f>
        <v>0</v>
      </c>
      <c r="H77" s="362">
        <f>IFERROR(VLOOKUP(C77,'تقرير المصروفات حسب الشهر'!$C$512:$AD$620,28,FALSE),0)</f>
        <v>0</v>
      </c>
      <c r="I77" s="362">
        <f>IFERROR(VLOOKUP(C77,'تقرير المصروفات حسب الشهر'!$C$637:$AD$746,28,FALSE),0)</f>
        <v>0</v>
      </c>
      <c r="J77" s="362">
        <f>IFERROR(VLOOKUP(C77,'تقرير المصروفات حسب الشهر'!$C$763:$AD$872,28,FALSE),0)</f>
        <v>0</v>
      </c>
      <c r="K77" s="362">
        <f>IFERROR(VLOOKUP(C77,'تقرير المصروفات حسب الشهر'!$C$890:$AD$999,28,FALSE),0)</f>
        <v>0</v>
      </c>
      <c r="L77" s="362">
        <f>IFERROR(VLOOKUP(C77,'تقرير المصروفات حسب الشهر'!$C$1016:$AD$1126,28,FALSE),0)</f>
        <v>0</v>
      </c>
      <c r="M77" s="376">
        <f>IFERROR(VLOOKUP(C77,'تقرير المصروفات حسب الشهر'!$C$1143:$AD$1254,28,FALSE),0)</f>
        <v>0</v>
      </c>
      <c r="N77" s="384"/>
      <c r="O77" s="384"/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الشهر'!$C$10:$AD$119,28,FALSE),0)</f>
        <v>0</v>
      </c>
      <c r="E78" s="362">
        <f>IFERROR(VLOOKUP(C78,'تقرير المصروفات حسب الشهر'!$C$135:$AD$244,28,FALSE),0)</f>
        <v>0</v>
      </c>
      <c r="F78" s="362">
        <f>IFERROR(VLOOKUP(C78,'تقرير المصروفات حسب الشهر'!$C$261:$AD$368,28,FALSE),0)</f>
        <v>0</v>
      </c>
      <c r="G78" s="362">
        <f>IFERROR(VLOOKUP(C78,'تقرير المصروفات حسب الشهر'!$C$387:$AD$495,28,FALSE),0)</f>
        <v>0</v>
      </c>
      <c r="H78" s="362">
        <f>IFERROR(VLOOKUP(C78,'تقرير المصروفات حسب الشهر'!$C$512:$AD$620,28,FALSE),0)</f>
        <v>0</v>
      </c>
      <c r="I78" s="362">
        <f>IFERROR(VLOOKUP(C78,'تقرير المصروفات حسب الشهر'!$C$637:$AD$746,28,FALSE),0)</f>
        <v>0</v>
      </c>
      <c r="J78" s="362">
        <f>IFERROR(VLOOKUP(C78,'تقرير المصروفات حسب الشهر'!$C$763:$AD$872,28,FALSE),0)</f>
        <v>0</v>
      </c>
      <c r="K78" s="362">
        <f>IFERROR(VLOOKUP(C78,'تقرير المصروفات حسب الشهر'!$C$890:$AD$999,28,FALSE),0)</f>
        <v>0</v>
      </c>
      <c r="L78" s="362">
        <f>IFERROR(VLOOKUP(C78,'تقرير المصروفات حسب الشهر'!$C$1016:$AD$1126,28,FALSE),0)</f>
        <v>0</v>
      </c>
      <c r="M78" s="376">
        <f>IFERROR(VLOOKUP(C78,'تقرير المصروفات حسب الشهر'!$C$1143:$AD$1254,28,FALSE),0)</f>
        <v>0</v>
      </c>
      <c r="N78" s="384"/>
      <c r="O78" s="384"/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الشهر'!$C$10:$AD$119,28,FALSE),0)</f>
        <v>0</v>
      </c>
      <c r="E79" s="362">
        <f>IFERROR(VLOOKUP(C79,'تقرير المصروفات حسب الشهر'!$C$135:$AD$244,28,FALSE),0)</f>
        <v>0</v>
      </c>
      <c r="F79" s="362">
        <f>IFERROR(VLOOKUP(C79,'تقرير المصروفات حسب الشهر'!$C$261:$AD$368,28,FALSE),0)</f>
        <v>0</v>
      </c>
      <c r="G79" s="362">
        <f>IFERROR(VLOOKUP(C79,'تقرير المصروفات حسب الشهر'!$C$387:$AD$495,28,FALSE),0)</f>
        <v>0</v>
      </c>
      <c r="H79" s="362">
        <f>IFERROR(VLOOKUP(C79,'تقرير المصروفات حسب الشهر'!$C$512:$AD$620,28,FALSE),0)</f>
        <v>0</v>
      </c>
      <c r="I79" s="362">
        <f>IFERROR(VLOOKUP(C79,'تقرير المصروفات حسب الشهر'!$C$637:$AD$746,28,FALSE),0)</f>
        <v>0</v>
      </c>
      <c r="J79" s="362">
        <f>IFERROR(VLOOKUP(C79,'تقرير المصروفات حسب الشهر'!$C$763:$AD$872,28,FALSE),0)</f>
        <v>0</v>
      </c>
      <c r="K79" s="362">
        <f>IFERROR(VLOOKUP(C79,'تقرير المصروفات حسب الشهر'!$C$890:$AD$999,28,FALSE),0)</f>
        <v>0</v>
      </c>
      <c r="L79" s="362">
        <f>IFERROR(VLOOKUP(C79,'تقرير المصروفات حسب الشهر'!$C$1016:$AD$1126,28,FALSE),0)</f>
        <v>0</v>
      </c>
      <c r="M79" s="376">
        <f>IFERROR(VLOOKUP(C79,'تقرير المصروفات حسب الشهر'!$C$1143:$AD$1254,28,FALSE),0)</f>
        <v>0</v>
      </c>
      <c r="N79" s="384"/>
      <c r="O79" s="384"/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الشهر'!$C$10:$AD$119,28,FALSE),0)</f>
        <v>0</v>
      </c>
      <c r="E80" s="362">
        <f>IFERROR(VLOOKUP(C80,'تقرير المصروفات حسب الشهر'!$C$135:$AD$244,28,FALSE),0)</f>
        <v>0</v>
      </c>
      <c r="F80" s="362">
        <f>IFERROR(VLOOKUP(C80,'تقرير المصروفات حسب الشهر'!$C$261:$AD$368,28,FALSE),0)</f>
        <v>0</v>
      </c>
      <c r="G80" s="362">
        <f>IFERROR(VLOOKUP(C80,'تقرير المصروفات حسب الشهر'!$C$387:$AD$495,28,FALSE),0)</f>
        <v>0</v>
      </c>
      <c r="H80" s="362">
        <f>IFERROR(VLOOKUP(C80,'تقرير المصروفات حسب الشهر'!$C$512:$AD$620,28,FALSE),0)</f>
        <v>0</v>
      </c>
      <c r="I80" s="362">
        <f>IFERROR(VLOOKUP(C80,'تقرير المصروفات حسب الشهر'!$C$637:$AD$746,28,FALSE),0)</f>
        <v>0</v>
      </c>
      <c r="J80" s="362">
        <f>IFERROR(VLOOKUP(C80,'تقرير المصروفات حسب الشهر'!$C$763:$AD$872,28,FALSE),0)</f>
        <v>0</v>
      </c>
      <c r="K80" s="362">
        <f>IFERROR(VLOOKUP(C80,'تقرير المصروفات حسب الشهر'!$C$890:$AD$999,28,FALSE),0)</f>
        <v>0</v>
      </c>
      <c r="L80" s="362">
        <f>IFERROR(VLOOKUP(C80,'تقرير المصروفات حسب الشهر'!$C$1016:$AD$1126,28,FALSE),0)</f>
        <v>0</v>
      </c>
      <c r="M80" s="376">
        <f>IFERROR(VLOOKUP(C80,'تقرير المصروفات حسب الشهر'!$C$1143:$AD$1254,28,FALSE),0)</f>
        <v>0</v>
      </c>
      <c r="N80" s="384"/>
      <c r="O80" s="384"/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الشهر'!$C$10:$AD$119,28,FALSE),0)</f>
        <v>0</v>
      </c>
      <c r="E81" s="362">
        <f>IFERROR(VLOOKUP(C81,'تقرير المصروفات حسب الشهر'!$C$135:$AD$244,28,FALSE),0)</f>
        <v>0</v>
      </c>
      <c r="F81" s="362">
        <f>IFERROR(VLOOKUP(C81,'تقرير المصروفات حسب الشهر'!$C$261:$AD$368,28,FALSE),0)</f>
        <v>0</v>
      </c>
      <c r="G81" s="362">
        <f>IFERROR(VLOOKUP(C81,'تقرير المصروفات حسب الشهر'!$C$387:$AD$495,28,FALSE),0)</f>
        <v>0</v>
      </c>
      <c r="H81" s="362">
        <f>IFERROR(VLOOKUP(C81,'تقرير المصروفات حسب الشهر'!$C$512:$AD$620,28,FALSE),0)</f>
        <v>0</v>
      </c>
      <c r="I81" s="362">
        <f>IFERROR(VLOOKUP(C81,'تقرير المصروفات حسب الشهر'!$C$637:$AD$746,28,FALSE),0)</f>
        <v>0</v>
      </c>
      <c r="J81" s="362">
        <f>IFERROR(VLOOKUP(C81,'تقرير المصروفات حسب الشهر'!$C$763:$AD$872,28,FALSE),0)</f>
        <v>0</v>
      </c>
      <c r="K81" s="362">
        <f>IFERROR(VLOOKUP(C81,'تقرير المصروفات حسب الشهر'!$C$890:$AD$999,28,FALSE),0)</f>
        <v>0</v>
      </c>
      <c r="L81" s="362">
        <f>IFERROR(VLOOKUP(C81,'تقرير المصروفات حسب الشهر'!$C$1016:$AD$1126,28,FALSE),0)</f>
        <v>0</v>
      </c>
      <c r="M81" s="376">
        <f>IFERROR(VLOOKUP(C81,'تقرير المصروفات حسب الشهر'!$C$1143:$AD$1254,28,FALSE),0)</f>
        <v>0</v>
      </c>
      <c r="N81" s="384"/>
      <c r="O81" s="384"/>
      <c r="P81" s="364">
        <f t="shared" si="5"/>
        <v>0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الشهر'!$C$10:$AD$119,28,FALSE),0)</f>
        <v>0</v>
      </c>
      <c r="E82" s="362">
        <f>IFERROR(VLOOKUP(C82,'تقرير المصروفات حسب الشهر'!$C$135:$AD$244,28,FALSE),0)</f>
        <v>0</v>
      </c>
      <c r="F82" s="362">
        <f>IFERROR(VLOOKUP(C82,'تقرير المصروفات حسب الشهر'!$C$261:$AD$368,28,FALSE),0)</f>
        <v>0</v>
      </c>
      <c r="G82" s="362">
        <f>IFERROR(VLOOKUP(C82,'تقرير المصروفات حسب الشهر'!$C$387:$AD$495,28,FALSE),0)</f>
        <v>0</v>
      </c>
      <c r="H82" s="362">
        <f>IFERROR(VLOOKUP(C82,'تقرير المصروفات حسب الشهر'!$C$512:$AD$620,28,FALSE),0)</f>
        <v>0</v>
      </c>
      <c r="I82" s="362">
        <f>IFERROR(VLOOKUP(C82,'تقرير المصروفات حسب الشهر'!$C$637:$AD$746,28,FALSE),0)</f>
        <v>0</v>
      </c>
      <c r="J82" s="362">
        <f>IFERROR(VLOOKUP(C82,'تقرير المصروفات حسب الشهر'!$C$763:$AD$872,28,FALSE),0)</f>
        <v>0</v>
      </c>
      <c r="K82" s="362">
        <f>IFERROR(VLOOKUP(C82,'تقرير المصروفات حسب الشهر'!$C$890:$AD$999,28,FALSE),0)</f>
        <v>0</v>
      </c>
      <c r="L82" s="362">
        <f>IFERROR(VLOOKUP(C82,'تقرير المصروفات حسب الشهر'!$C$1016:$AD$1126,28,FALSE),0)</f>
        <v>0</v>
      </c>
      <c r="M82" s="376">
        <f>IFERROR(VLOOKUP(C82,'تقرير المصروفات حسب الشهر'!$C$1143:$AD$1254,28,FALSE),0)</f>
        <v>0</v>
      </c>
      <c r="N82" s="384"/>
      <c r="O82" s="384"/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الشهر'!$C$10:$AD$119,28,FALSE),0)</f>
        <v>0</v>
      </c>
      <c r="E83" s="362">
        <f>IFERROR(VLOOKUP(C83,'تقرير المصروفات حسب الشهر'!$C$135:$AD$244,28,FALSE),0)</f>
        <v>0</v>
      </c>
      <c r="F83" s="362">
        <f>IFERROR(VLOOKUP(C83,'تقرير المصروفات حسب الشهر'!$C$261:$AD$368,28,FALSE),0)</f>
        <v>0</v>
      </c>
      <c r="G83" s="362">
        <f>IFERROR(VLOOKUP(C83,'تقرير المصروفات حسب الشهر'!$C$387:$AD$495,28,FALSE),0)</f>
        <v>0</v>
      </c>
      <c r="H83" s="362">
        <f>IFERROR(VLOOKUP(C83,'تقرير المصروفات حسب الشهر'!$C$512:$AD$620,28,FALSE),0)</f>
        <v>0</v>
      </c>
      <c r="I83" s="362">
        <f>IFERROR(VLOOKUP(C83,'تقرير المصروفات حسب الشهر'!$C$637:$AD$746,28,FALSE),0)</f>
        <v>0</v>
      </c>
      <c r="J83" s="362">
        <f>IFERROR(VLOOKUP(C83,'تقرير المصروفات حسب الشهر'!$C$763:$AD$872,28,FALSE),0)</f>
        <v>0</v>
      </c>
      <c r="K83" s="362">
        <f>IFERROR(VLOOKUP(C83,'تقرير المصروفات حسب الشهر'!$C$890:$AD$999,28,FALSE),0)</f>
        <v>0</v>
      </c>
      <c r="L83" s="362">
        <f>IFERROR(VLOOKUP(C83,'تقرير المصروفات حسب الشهر'!$C$1016:$AD$1126,28,FALSE),0)</f>
        <v>0</v>
      </c>
      <c r="M83" s="376">
        <f>IFERROR(VLOOKUP(C83,'تقرير المصروفات حسب الشهر'!$C$1143:$AD$1254,28,FALSE),0)</f>
        <v>0</v>
      </c>
      <c r="N83" s="384"/>
      <c r="O83" s="384"/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الشهر'!$C$10:$AD$119,28,FALSE),0)</f>
        <v>0</v>
      </c>
      <c r="E84" s="362">
        <f>IFERROR(VLOOKUP(C84,'تقرير المصروفات حسب الشهر'!$C$135:$AD$244,28,FALSE),0)</f>
        <v>0</v>
      </c>
      <c r="F84" s="362">
        <f>IFERROR(VLOOKUP(C84,'تقرير المصروفات حسب الشهر'!$C$261:$AD$368,28,FALSE),0)</f>
        <v>0</v>
      </c>
      <c r="G84" s="362">
        <f>IFERROR(VLOOKUP(C84,'تقرير المصروفات حسب الشهر'!$C$387:$AD$495,28,FALSE),0)</f>
        <v>0</v>
      </c>
      <c r="H84" s="362">
        <f>IFERROR(VLOOKUP(C84,'تقرير المصروفات حسب الشهر'!$C$512:$AD$620,28,FALSE),0)</f>
        <v>0</v>
      </c>
      <c r="I84" s="362">
        <f>IFERROR(VLOOKUP(C84,'تقرير المصروفات حسب الشهر'!$C$637:$AD$746,28,FALSE),0)</f>
        <v>0</v>
      </c>
      <c r="J84" s="362">
        <f>IFERROR(VLOOKUP(C84,'تقرير المصروفات حسب الشهر'!$C$763:$AD$872,28,FALSE),0)</f>
        <v>0</v>
      </c>
      <c r="K84" s="362">
        <f>IFERROR(VLOOKUP(C84,'تقرير المصروفات حسب الشهر'!$C$890:$AD$999,28,FALSE),0)</f>
        <v>0</v>
      </c>
      <c r="L84" s="362">
        <f>IFERROR(VLOOKUP(C84,'تقرير المصروفات حسب الشهر'!$C$1016:$AD$1126,28,FALSE),0)</f>
        <v>0</v>
      </c>
      <c r="M84" s="376">
        <f>IFERROR(VLOOKUP(C84,'تقرير المصروفات حسب الشهر'!$C$1143:$AD$1254,28,FALSE),0)</f>
        <v>0</v>
      </c>
      <c r="N84" s="384"/>
      <c r="O84" s="384"/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الشهر'!$C$10:$AD$119,28,FALSE),0)</f>
        <v>0</v>
      </c>
      <c r="E85" s="362">
        <f>IFERROR(VLOOKUP(C85,'تقرير المصروفات حسب الشهر'!$C$135:$AD$244,28,FALSE),0)</f>
        <v>0</v>
      </c>
      <c r="F85" s="362">
        <f>IFERROR(VLOOKUP(C85,'تقرير المصروفات حسب الشهر'!$C$261:$AD$368,28,FALSE),0)</f>
        <v>0</v>
      </c>
      <c r="G85" s="362">
        <f>IFERROR(VLOOKUP(C85,'تقرير المصروفات حسب الشهر'!$C$387:$AD$495,28,FALSE),0)</f>
        <v>0</v>
      </c>
      <c r="H85" s="362">
        <f>IFERROR(VLOOKUP(C85,'تقرير المصروفات حسب الشهر'!$C$512:$AD$620,28,FALSE),0)</f>
        <v>0</v>
      </c>
      <c r="I85" s="362">
        <f>IFERROR(VLOOKUP(C85,'تقرير المصروفات حسب الشهر'!$C$637:$AD$746,28,FALSE),0)</f>
        <v>0</v>
      </c>
      <c r="J85" s="362">
        <f>IFERROR(VLOOKUP(C85,'تقرير المصروفات حسب الشهر'!$C$763:$AD$872,28,FALSE),0)</f>
        <v>0</v>
      </c>
      <c r="K85" s="362">
        <f>IFERROR(VLOOKUP(C85,'تقرير المصروفات حسب الشهر'!$C$890:$AD$999,28,FALSE),0)</f>
        <v>0</v>
      </c>
      <c r="L85" s="362">
        <f>IFERROR(VLOOKUP(C85,'تقرير المصروفات حسب الشهر'!$C$1016:$AD$1126,28,FALSE),0)</f>
        <v>0</v>
      </c>
      <c r="M85" s="376">
        <f>IFERROR(VLOOKUP(C85,'تقرير المصروفات حسب الشهر'!$C$1143:$AD$1254,28,FALSE),0)</f>
        <v>0</v>
      </c>
      <c r="N85" s="384"/>
      <c r="O85" s="384"/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الشهر'!$C$10:$AD$119,28,FALSE),0)</f>
        <v>0</v>
      </c>
      <c r="E86" s="362">
        <f>IFERROR(VLOOKUP(C86,'تقرير المصروفات حسب الشهر'!$C$135:$AD$244,28,FALSE),0)</f>
        <v>0</v>
      </c>
      <c r="F86" s="362">
        <f>IFERROR(VLOOKUP(C86,'تقرير المصروفات حسب الشهر'!$C$261:$AD$368,28,FALSE),0)</f>
        <v>0</v>
      </c>
      <c r="G86" s="362">
        <f>IFERROR(VLOOKUP(C86,'تقرير المصروفات حسب الشهر'!$C$387:$AD$495,28,FALSE),0)</f>
        <v>0</v>
      </c>
      <c r="H86" s="362">
        <f>IFERROR(VLOOKUP(C86,'تقرير المصروفات حسب الشهر'!$C$512:$AD$620,28,FALSE),0)</f>
        <v>0</v>
      </c>
      <c r="I86" s="362">
        <f>IFERROR(VLOOKUP(C86,'تقرير المصروفات حسب الشهر'!$C$637:$AD$746,28,FALSE),0)</f>
        <v>0</v>
      </c>
      <c r="J86" s="362">
        <f>IFERROR(VLOOKUP(C86,'تقرير المصروفات حسب الشهر'!$C$763:$AD$872,28,FALSE),0)</f>
        <v>0</v>
      </c>
      <c r="K86" s="362">
        <f>IFERROR(VLOOKUP(C86,'تقرير المصروفات حسب الشهر'!$C$890:$AD$999,28,FALSE),0)</f>
        <v>0</v>
      </c>
      <c r="L86" s="362">
        <f>IFERROR(VLOOKUP(C86,'تقرير المصروفات حسب الشهر'!$C$1016:$AD$1126,28,FALSE),0)</f>
        <v>0</v>
      </c>
      <c r="M86" s="376">
        <f>IFERROR(VLOOKUP(C86,'تقرير المصروفات حسب الشهر'!$C$1143:$AD$1254,28,FALSE),0)</f>
        <v>0</v>
      </c>
      <c r="N86" s="384"/>
      <c r="O86" s="384"/>
      <c r="P86" s="364">
        <f t="shared" si="5"/>
        <v>0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الشهر'!$C$10:$AD$119,28,FALSE),0)</f>
        <v>0</v>
      </c>
      <c r="E87" s="362">
        <f>IFERROR(VLOOKUP(C87,'تقرير المصروفات حسب الشهر'!$C$135:$AD$244,28,FALSE),0)</f>
        <v>0</v>
      </c>
      <c r="F87" s="362">
        <f>IFERROR(VLOOKUP(C87,'تقرير المصروفات حسب الشهر'!$C$261:$AD$368,28,FALSE),0)</f>
        <v>0</v>
      </c>
      <c r="G87" s="362">
        <f>IFERROR(VLOOKUP(C87,'تقرير المصروفات حسب الشهر'!$C$387:$AD$495,28,FALSE),0)</f>
        <v>0</v>
      </c>
      <c r="H87" s="362">
        <f>IFERROR(VLOOKUP(C87,'تقرير المصروفات حسب الشهر'!$C$512:$AD$620,28,FALSE),0)</f>
        <v>0</v>
      </c>
      <c r="I87" s="362">
        <f>IFERROR(VLOOKUP(C87,'تقرير المصروفات حسب الشهر'!$C$637:$AD$746,28,FALSE),0)</f>
        <v>0</v>
      </c>
      <c r="J87" s="362">
        <f>IFERROR(VLOOKUP(C87,'تقرير المصروفات حسب الشهر'!$C$763:$AD$872,28,FALSE),0)</f>
        <v>0</v>
      </c>
      <c r="K87" s="362">
        <f>IFERROR(VLOOKUP(C87,'تقرير المصروفات حسب الشهر'!$C$890:$AD$999,28,FALSE),0)</f>
        <v>0</v>
      </c>
      <c r="L87" s="362">
        <f>IFERROR(VLOOKUP(C87,'تقرير المصروفات حسب الشهر'!$C$1016:$AD$1126,28,FALSE),0)</f>
        <v>0</v>
      </c>
      <c r="M87" s="376">
        <f>IFERROR(VLOOKUP(C87,'تقرير المصروفات حسب الشهر'!$C$1143:$AD$1254,28,FALSE),0)</f>
        <v>0</v>
      </c>
      <c r="N87" s="384"/>
      <c r="O87" s="384"/>
      <c r="P87" s="364">
        <f t="shared" ref="P87:P134" si="6">SUM(D87:O87)</f>
        <v>0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الشهر'!$C$10:$AD$119,28,FALSE),0)</f>
        <v>0</v>
      </c>
      <c r="E88" s="362">
        <f>IFERROR(VLOOKUP(C88,'تقرير المصروفات حسب الشهر'!$C$135:$AD$244,28,FALSE),0)</f>
        <v>0</v>
      </c>
      <c r="F88" s="362">
        <f>IFERROR(VLOOKUP(C88,'تقرير المصروفات حسب الشهر'!$C$261:$AD$368,28,FALSE),0)</f>
        <v>0</v>
      </c>
      <c r="G88" s="362">
        <f>IFERROR(VLOOKUP(C88,'تقرير المصروفات حسب الشهر'!$C$387:$AD$495,28,FALSE),0)</f>
        <v>0</v>
      </c>
      <c r="H88" s="362">
        <f>IFERROR(VLOOKUP(C88,'تقرير المصروفات حسب الشهر'!$C$512:$AD$620,28,FALSE),0)</f>
        <v>0</v>
      </c>
      <c r="I88" s="362">
        <f>IFERROR(VLOOKUP(C88,'تقرير المصروفات حسب الشهر'!$C$637:$AD$746,28,FALSE),0)</f>
        <v>0</v>
      </c>
      <c r="J88" s="362">
        <f>IFERROR(VLOOKUP(C88,'تقرير المصروفات حسب الشهر'!$C$763:$AD$872,28,FALSE),0)</f>
        <v>0</v>
      </c>
      <c r="K88" s="362">
        <f>IFERROR(VLOOKUP(C88,'تقرير المصروفات حسب الشهر'!$C$890:$AD$999,28,FALSE),0)</f>
        <v>0</v>
      </c>
      <c r="L88" s="362">
        <f>IFERROR(VLOOKUP(C88,'تقرير المصروفات حسب الشهر'!$C$1016:$AD$1126,28,FALSE),0)</f>
        <v>0</v>
      </c>
      <c r="M88" s="376">
        <f>IFERROR(VLOOKUP(C88,'تقرير المصروفات حسب الشهر'!$C$1143:$AD$1254,28,FALSE),0)</f>
        <v>0</v>
      </c>
      <c r="N88" s="384"/>
      <c r="O88" s="384"/>
      <c r="P88" s="364">
        <f t="shared" si="6"/>
        <v>0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الشهر'!$C$10:$AD$119,28,FALSE),0)</f>
        <v>0</v>
      </c>
      <c r="E89" s="362">
        <f>IFERROR(VLOOKUP(C89,'تقرير المصروفات حسب الشهر'!$C$135:$AD$244,28,FALSE),0)</f>
        <v>0</v>
      </c>
      <c r="F89" s="362">
        <f>IFERROR(VLOOKUP(C89,'تقرير المصروفات حسب الشهر'!$C$261:$AD$368,28,FALSE),0)</f>
        <v>0</v>
      </c>
      <c r="G89" s="362">
        <f>IFERROR(VLOOKUP(C89,'تقرير المصروفات حسب الشهر'!$C$387:$AD$495,28,FALSE),0)</f>
        <v>0</v>
      </c>
      <c r="H89" s="362">
        <f>IFERROR(VLOOKUP(C89,'تقرير المصروفات حسب الشهر'!$C$512:$AD$620,28,FALSE),0)</f>
        <v>0</v>
      </c>
      <c r="I89" s="362">
        <f>IFERROR(VLOOKUP(C89,'تقرير المصروفات حسب الشهر'!$C$637:$AD$746,28,FALSE),0)</f>
        <v>0</v>
      </c>
      <c r="J89" s="362">
        <f>IFERROR(VLOOKUP(C89,'تقرير المصروفات حسب الشهر'!$C$763:$AD$872,28,FALSE),0)</f>
        <v>0</v>
      </c>
      <c r="K89" s="362">
        <f>IFERROR(VLOOKUP(C89,'تقرير المصروفات حسب الشهر'!$C$890:$AD$999,28,FALSE),0)</f>
        <v>0</v>
      </c>
      <c r="L89" s="362">
        <f>IFERROR(VLOOKUP(C89,'تقرير المصروفات حسب الشهر'!$C$1016:$AD$1126,28,FALSE),0)</f>
        <v>0</v>
      </c>
      <c r="M89" s="376">
        <f>IFERROR(VLOOKUP(C89,'تقرير المصروفات حسب الشهر'!$C$1143:$AD$1254,28,FALSE),0)</f>
        <v>0</v>
      </c>
      <c r="N89" s="384"/>
      <c r="O89" s="384"/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الشهر'!$C$10:$AD$119,28,FALSE),0)</f>
        <v>0</v>
      </c>
      <c r="E90" s="362">
        <f>IFERROR(VLOOKUP(C90,'تقرير المصروفات حسب الشهر'!$C$135:$AD$244,28,FALSE),0)</f>
        <v>0</v>
      </c>
      <c r="F90" s="362">
        <f>IFERROR(VLOOKUP(C90,'تقرير المصروفات حسب الشهر'!$C$261:$AD$368,28,FALSE),0)</f>
        <v>0</v>
      </c>
      <c r="G90" s="362">
        <f>IFERROR(VLOOKUP(C90,'تقرير المصروفات حسب الشهر'!$C$387:$AD$495,28,FALSE),0)</f>
        <v>0</v>
      </c>
      <c r="H90" s="362">
        <f>IFERROR(VLOOKUP(C90,'تقرير المصروفات حسب الشهر'!$C$512:$AD$620,28,FALSE),0)</f>
        <v>0</v>
      </c>
      <c r="I90" s="362">
        <f>IFERROR(VLOOKUP(C90,'تقرير المصروفات حسب الشهر'!$C$637:$AD$746,28,FALSE),0)</f>
        <v>0</v>
      </c>
      <c r="J90" s="362">
        <f>IFERROR(VLOOKUP(C90,'تقرير المصروفات حسب الشهر'!$C$763:$AD$872,28,FALSE),0)</f>
        <v>0</v>
      </c>
      <c r="K90" s="362">
        <f>IFERROR(VLOOKUP(C90,'تقرير المصروفات حسب الشهر'!$C$890:$AD$999,28,FALSE),0)</f>
        <v>0</v>
      </c>
      <c r="L90" s="362">
        <f>IFERROR(VLOOKUP(C90,'تقرير المصروفات حسب الشهر'!$C$1016:$AD$1126,28,FALSE),0)</f>
        <v>0</v>
      </c>
      <c r="M90" s="376">
        <f>IFERROR(VLOOKUP(C90,'تقرير المصروفات حسب الشهر'!$C$1143:$AD$1254,28,FALSE),0)</f>
        <v>0</v>
      </c>
      <c r="N90" s="384"/>
      <c r="O90" s="384"/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الشهر'!$C$10:$AD$119,28,FALSE),0)</f>
        <v>0</v>
      </c>
      <c r="E91" s="362">
        <f>IFERROR(VLOOKUP(C91,'تقرير المصروفات حسب الشهر'!$C$135:$AD$244,28,FALSE),0)</f>
        <v>0</v>
      </c>
      <c r="F91" s="362">
        <f>IFERROR(VLOOKUP(C91,'تقرير المصروفات حسب الشهر'!$C$261:$AD$368,28,FALSE),0)</f>
        <v>0</v>
      </c>
      <c r="G91" s="362">
        <f>IFERROR(VLOOKUP(C91,'تقرير المصروفات حسب الشهر'!$C$387:$AD$495,28,FALSE),0)</f>
        <v>0</v>
      </c>
      <c r="H91" s="362">
        <f>IFERROR(VLOOKUP(C91,'تقرير المصروفات حسب الشهر'!$C$512:$AD$620,28,FALSE),0)</f>
        <v>0</v>
      </c>
      <c r="I91" s="362">
        <f>IFERROR(VLOOKUP(C91,'تقرير المصروفات حسب الشهر'!$C$637:$AD$746,28,FALSE),0)</f>
        <v>0</v>
      </c>
      <c r="J91" s="362">
        <f>IFERROR(VLOOKUP(C91,'تقرير المصروفات حسب الشهر'!$C$763:$AD$872,28,FALSE),0)</f>
        <v>0</v>
      </c>
      <c r="K91" s="362">
        <f>IFERROR(VLOOKUP(C91,'تقرير المصروفات حسب الشهر'!$C$890:$AD$999,28,FALSE),0)</f>
        <v>0</v>
      </c>
      <c r="L91" s="362">
        <f>IFERROR(VLOOKUP(C91,'تقرير المصروفات حسب الشهر'!$C$1016:$AD$1126,28,FALSE),0)</f>
        <v>0</v>
      </c>
      <c r="M91" s="376">
        <f>IFERROR(VLOOKUP(C91,'تقرير المصروفات حسب الشهر'!$C$1143:$AD$1254,28,FALSE),0)</f>
        <v>0</v>
      </c>
      <c r="N91" s="384"/>
      <c r="O91" s="384"/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الشهر'!$C$10:$AD$119,28,FALSE),0)</f>
        <v>0</v>
      </c>
      <c r="E92" s="362">
        <f>IFERROR(VLOOKUP(C92,'تقرير المصروفات حسب الشهر'!$C$135:$AD$244,28,FALSE),0)</f>
        <v>0</v>
      </c>
      <c r="F92" s="362">
        <f>IFERROR(VLOOKUP(C92,'تقرير المصروفات حسب الشهر'!$C$261:$AD$368,28,FALSE),0)</f>
        <v>0</v>
      </c>
      <c r="G92" s="362">
        <f>IFERROR(VLOOKUP(C92,'تقرير المصروفات حسب الشهر'!$C$387:$AD$495,28,FALSE),0)</f>
        <v>0</v>
      </c>
      <c r="H92" s="362">
        <f>IFERROR(VLOOKUP(C92,'تقرير المصروفات حسب الشهر'!$C$512:$AD$620,28,FALSE),0)</f>
        <v>0</v>
      </c>
      <c r="I92" s="362">
        <f>IFERROR(VLOOKUP(C92,'تقرير المصروفات حسب الشهر'!$C$637:$AD$746,28,FALSE),0)</f>
        <v>0</v>
      </c>
      <c r="J92" s="362">
        <f>IFERROR(VLOOKUP(C92,'تقرير المصروفات حسب الشهر'!$C$763:$AD$872,28,FALSE),0)</f>
        <v>0</v>
      </c>
      <c r="K92" s="362">
        <f>IFERROR(VLOOKUP(C92,'تقرير المصروفات حسب الشهر'!$C$890:$AD$999,28,FALSE),0)</f>
        <v>0</v>
      </c>
      <c r="L92" s="362">
        <f>IFERROR(VLOOKUP(C92,'تقرير المصروفات حسب الشهر'!$C$1016:$AD$1126,28,FALSE),0)</f>
        <v>0</v>
      </c>
      <c r="M92" s="376">
        <f>IFERROR(VLOOKUP(C92,'تقرير المصروفات حسب الشهر'!$C$1143:$AD$1254,28,FALSE),0)</f>
        <v>0</v>
      </c>
      <c r="N92" s="384"/>
      <c r="O92" s="384"/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الشهر'!$C$10:$AD$119,28,FALSE),0)</f>
        <v>0</v>
      </c>
      <c r="E93" s="362">
        <f>IFERROR(VLOOKUP(C93,'تقرير المصروفات حسب الشهر'!$C$135:$AD$244,28,FALSE),0)</f>
        <v>0</v>
      </c>
      <c r="F93" s="362">
        <f>IFERROR(VLOOKUP(C93,'تقرير المصروفات حسب الشهر'!$C$261:$AD$368,28,FALSE),0)</f>
        <v>0</v>
      </c>
      <c r="G93" s="362">
        <f>IFERROR(VLOOKUP(C93,'تقرير المصروفات حسب الشهر'!$C$387:$AD$495,28,FALSE),0)</f>
        <v>0</v>
      </c>
      <c r="H93" s="362">
        <f>IFERROR(VLOOKUP(C93,'تقرير المصروفات حسب الشهر'!$C$512:$AD$620,28,FALSE),0)</f>
        <v>0</v>
      </c>
      <c r="I93" s="362">
        <f>IFERROR(VLOOKUP(C93,'تقرير المصروفات حسب الشهر'!$C$637:$AD$746,28,FALSE),0)</f>
        <v>0</v>
      </c>
      <c r="J93" s="362">
        <f>IFERROR(VLOOKUP(C93,'تقرير المصروفات حسب الشهر'!$C$763:$AD$872,28,FALSE),0)</f>
        <v>0</v>
      </c>
      <c r="K93" s="362">
        <f>IFERROR(VLOOKUP(C93,'تقرير المصروفات حسب الشهر'!$C$890:$AD$999,28,FALSE),0)</f>
        <v>0</v>
      </c>
      <c r="L93" s="362">
        <f>IFERROR(VLOOKUP(C93,'تقرير المصروفات حسب الشهر'!$C$1016:$AD$1126,28,FALSE),0)</f>
        <v>0</v>
      </c>
      <c r="M93" s="376">
        <f>IFERROR(VLOOKUP(C93,'تقرير المصروفات حسب الشهر'!$C$1143:$AD$1254,28,FALSE),0)</f>
        <v>0</v>
      </c>
      <c r="N93" s="384"/>
      <c r="O93" s="384"/>
      <c r="P93" s="364">
        <f t="shared" si="6"/>
        <v>0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الشهر'!$C$10:$AD$119,28,FALSE),0)</f>
        <v>0</v>
      </c>
      <c r="E94" s="362">
        <f>IFERROR(VLOOKUP(C94,'تقرير المصروفات حسب الشهر'!$C$135:$AD$244,28,FALSE),0)</f>
        <v>0</v>
      </c>
      <c r="F94" s="362">
        <f>IFERROR(VLOOKUP(C94,'تقرير المصروفات حسب الشهر'!$C$261:$AD$368,28,FALSE),0)</f>
        <v>0</v>
      </c>
      <c r="G94" s="362">
        <f>IFERROR(VLOOKUP(C94,'تقرير المصروفات حسب الشهر'!$C$387:$AD$495,28,FALSE),0)</f>
        <v>0</v>
      </c>
      <c r="H94" s="362">
        <f>IFERROR(VLOOKUP(C94,'تقرير المصروفات حسب الشهر'!$C$512:$AD$620,28,FALSE),0)</f>
        <v>0</v>
      </c>
      <c r="I94" s="362">
        <f>IFERROR(VLOOKUP(C94,'تقرير المصروفات حسب الشهر'!$C$637:$AD$746,28,FALSE),0)</f>
        <v>0</v>
      </c>
      <c r="J94" s="362">
        <f>IFERROR(VLOOKUP(C94,'تقرير المصروفات حسب الشهر'!$C$763:$AD$872,28,FALSE),0)</f>
        <v>0</v>
      </c>
      <c r="K94" s="362">
        <f>IFERROR(VLOOKUP(C94,'تقرير المصروفات حسب الشهر'!$C$890:$AD$999,28,FALSE),0)</f>
        <v>0</v>
      </c>
      <c r="L94" s="362">
        <f>IFERROR(VLOOKUP(C94,'تقرير المصروفات حسب الشهر'!$C$1016:$AD$1126,28,FALSE),0)</f>
        <v>0</v>
      </c>
      <c r="M94" s="376">
        <f>IFERROR(VLOOKUP(C94,'تقرير المصروفات حسب الشهر'!$C$1143:$AD$1254,28,FALSE),0)</f>
        <v>0</v>
      </c>
      <c r="N94" s="384"/>
      <c r="O94" s="384"/>
      <c r="P94" s="364">
        <f t="shared" si="6"/>
        <v>0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الشهر'!$C$10:$AD$119,28,FALSE),0)</f>
        <v>0</v>
      </c>
      <c r="E95" s="362">
        <f>IFERROR(VLOOKUP(C95,'تقرير المصروفات حسب الشهر'!$C$135:$AD$244,28,FALSE),0)</f>
        <v>0</v>
      </c>
      <c r="F95" s="362">
        <f>IFERROR(VLOOKUP(C95,'تقرير المصروفات حسب الشهر'!$C$261:$AD$368,28,FALSE),0)</f>
        <v>0</v>
      </c>
      <c r="G95" s="362">
        <f>IFERROR(VLOOKUP(C95,'تقرير المصروفات حسب الشهر'!$C$387:$AD$495,28,FALSE),0)</f>
        <v>0</v>
      </c>
      <c r="H95" s="362">
        <f>IFERROR(VLOOKUP(C95,'تقرير المصروفات حسب الشهر'!$C$512:$AD$620,28,FALSE),0)</f>
        <v>0</v>
      </c>
      <c r="I95" s="362">
        <f>IFERROR(VLOOKUP(C95,'تقرير المصروفات حسب الشهر'!$C$637:$AD$746,28,FALSE),0)</f>
        <v>0</v>
      </c>
      <c r="J95" s="362">
        <f>IFERROR(VLOOKUP(C95,'تقرير المصروفات حسب الشهر'!$C$763:$AD$872,28,FALSE),0)</f>
        <v>0</v>
      </c>
      <c r="K95" s="362">
        <f>IFERROR(VLOOKUP(C95,'تقرير المصروفات حسب الشهر'!$C$890:$AD$999,28,FALSE),0)</f>
        <v>0</v>
      </c>
      <c r="L95" s="362">
        <f>IFERROR(VLOOKUP(C95,'تقرير المصروفات حسب الشهر'!$C$1016:$AD$1126,28,FALSE),0)</f>
        <v>0</v>
      </c>
      <c r="M95" s="376">
        <f>IFERROR(VLOOKUP(C95,'تقرير المصروفات حسب الشهر'!$C$1143:$AD$1254,28,FALSE),0)</f>
        <v>0</v>
      </c>
      <c r="N95" s="384"/>
      <c r="O95" s="384"/>
      <c r="P95" s="364">
        <f t="shared" si="6"/>
        <v>0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الشهر'!$C$10:$AD$119,28,FALSE),0)</f>
        <v>0</v>
      </c>
      <c r="E96" s="362">
        <f>IFERROR(VLOOKUP(C96,'تقرير المصروفات حسب الشهر'!$C$135:$AD$244,28,FALSE),0)</f>
        <v>0</v>
      </c>
      <c r="F96" s="362">
        <f>IFERROR(VLOOKUP(C96,'تقرير المصروفات حسب الشهر'!$C$261:$AD$368,28,FALSE),0)</f>
        <v>0</v>
      </c>
      <c r="G96" s="362">
        <f>IFERROR(VLOOKUP(C96,'تقرير المصروفات حسب الشهر'!$C$387:$AD$495,28,FALSE),0)</f>
        <v>0</v>
      </c>
      <c r="H96" s="362">
        <f>IFERROR(VLOOKUP(C96,'تقرير المصروفات حسب الشهر'!$C$512:$AD$620,28,FALSE),0)</f>
        <v>0</v>
      </c>
      <c r="I96" s="362">
        <f>IFERROR(VLOOKUP(C96,'تقرير المصروفات حسب الشهر'!$C$637:$AD$746,28,FALSE),0)</f>
        <v>0</v>
      </c>
      <c r="J96" s="362">
        <f>IFERROR(VLOOKUP(C96,'تقرير المصروفات حسب الشهر'!$C$763:$AD$872,28,FALSE),0)</f>
        <v>0</v>
      </c>
      <c r="K96" s="362">
        <f>IFERROR(VLOOKUP(C96,'تقرير المصروفات حسب الشهر'!$C$890:$AD$999,28,FALSE),0)</f>
        <v>0</v>
      </c>
      <c r="L96" s="362">
        <f>IFERROR(VLOOKUP(C96,'تقرير المصروفات حسب الشهر'!$C$1016:$AD$1126,28,FALSE),0)</f>
        <v>0</v>
      </c>
      <c r="M96" s="376">
        <f>IFERROR(VLOOKUP(C96,'تقرير المصروفات حسب الشهر'!$C$1143:$AD$1254,28,FALSE),0)</f>
        <v>0</v>
      </c>
      <c r="N96" s="384"/>
      <c r="O96" s="384"/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الشهر'!$C$10:$AD$119,28,FALSE),0)</f>
        <v>0</v>
      </c>
      <c r="E97" s="362">
        <f>IFERROR(VLOOKUP(C97,'تقرير المصروفات حسب الشهر'!$C$135:$AD$244,28,FALSE),0)</f>
        <v>0</v>
      </c>
      <c r="F97" s="362">
        <f>IFERROR(VLOOKUP(C97,'تقرير المصروفات حسب الشهر'!$C$261:$AD$368,28,FALSE),0)</f>
        <v>0</v>
      </c>
      <c r="G97" s="362">
        <f>IFERROR(VLOOKUP(C97,'تقرير المصروفات حسب الشهر'!$C$387:$AD$495,28,FALSE),0)</f>
        <v>0</v>
      </c>
      <c r="H97" s="362">
        <f>IFERROR(VLOOKUP(C97,'تقرير المصروفات حسب الشهر'!$C$512:$AD$620,28,FALSE),0)</f>
        <v>0</v>
      </c>
      <c r="I97" s="362">
        <f>IFERROR(VLOOKUP(C97,'تقرير المصروفات حسب الشهر'!$C$637:$AD$746,28,FALSE),0)</f>
        <v>0</v>
      </c>
      <c r="J97" s="362">
        <f>IFERROR(VLOOKUP(C97,'تقرير المصروفات حسب الشهر'!$C$763:$AD$872,28,FALSE),0)</f>
        <v>0</v>
      </c>
      <c r="K97" s="362">
        <f>IFERROR(VLOOKUP(C97,'تقرير المصروفات حسب الشهر'!$C$890:$AD$999,28,FALSE),0)</f>
        <v>0</v>
      </c>
      <c r="L97" s="362">
        <f>IFERROR(VLOOKUP(C97,'تقرير المصروفات حسب الشهر'!$C$1016:$AD$1126,28,FALSE),0)</f>
        <v>0</v>
      </c>
      <c r="M97" s="376">
        <f>IFERROR(VLOOKUP(C97,'تقرير المصروفات حسب الشهر'!$C$1143:$AD$1254,28,FALSE),0)</f>
        <v>0</v>
      </c>
      <c r="N97" s="384"/>
      <c r="O97" s="384"/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الشهر'!$C$10:$AD$119,28,FALSE),0)</f>
        <v>0</v>
      </c>
      <c r="E98" s="362">
        <f>IFERROR(VLOOKUP(C98,'تقرير المصروفات حسب الشهر'!$C$135:$AD$244,28,FALSE),0)</f>
        <v>0</v>
      </c>
      <c r="F98" s="362">
        <f>IFERROR(VLOOKUP(C98,'تقرير المصروفات حسب الشهر'!$C$261:$AD$368,28,FALSE),0)</f>
        <v>0</v>
      </c>
      <c r="G98" s="362">
        <f>IFERROR(VLOOKUP(C98,'تقرير المصروفات حسب الشهر'!$C$387:$AD$495,28,FALSE),0)</f>
        <v>0</v>
      </c>
      <c r="H98" s="362">
        <f>IFERROR(VLOOKUP(C98,'تقرير المصروفات حسب الشهر'!$C$512:$AD$620,28,FALSE),0)</f>
        <v>0</v>
      </c>
      <c r="I98" s="362">
        <f>IFERROR(VLOOKUP(C98,'تقرير المصروفات حسب الشهر'!$C$637:$AD$746,28,FALSE),0)</f>
        <v>0</v>
      </c>
      <c r="J98" s="362">
        <f>IFERROR(VLOOKUP(C98,'تقرير المصروفات حسب الشهر'!$C$763:$AD$872,28,FALSE),0)</f>
        <v>0</v>
      </c>
      <c r="K98" s="362">
        <f>IFERROR(VLOOKUP(C98,'تقرير المصروفات حسب الشهر'!$C$890:$AD$999,28,FALSE),0)</f>
        <v>0</v>
      </c>
      <c r="L98" s="362">
        <f>IFERROR(VLOOKUP(C98,'تقرير المصروفات حسب الشهر'!$C$1016:$AD$1126,28,FALSE),0)</f>
        <v>0</v>
      </c>
      <c r="M98" s="376">
        <f>IFERROR(VLOOKUP(C98,'تقرير المصروفات حسب الشهر'!$C$1143:$AD$1254,28,FALSE),0)</f>
        <v>0</v>
      </c>
      <c r="N98" s="384"/>
      <c r="O98" s="384"/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الشهر'!$C$10:$AD$119,28,FALSE),0)</f>
        <v>0</v>
      </c>
      <c r="E99" s="362">
        <f>IFERROR(VLOOKUP(C99,'تقرير المصروفات حسب الشهر'!$C$135:$AD$244,28,FALSE),0)</f>
        <v>0</v>
      </c>
      <c r="F99" s="362">
        <f>IFERROR(VLOOKUP(C99,'تقرير المصروفات حسب الشهر'!$C$261:$AD$368,28,FALSE),0)</f>
        <v>0</v>
      </c>
      <c r="G99" s="362">
        <f>IFERROR(VLOOKUP(C99,'تقرير المصروفات حسب الشهر'!$C$387:$AD$495,28,FALSE),0)</f>
        <v>0</v>
      </c>
      <c r="H99" s="362">
        <f>IFERROR(VLOOKUP(C99,'تقرير المصروفات حسب الشهر'!$C$512:$AD$620,28,FALSE),0)</f>
        <v>0</v>
      </c>
      <c r="I99" s="362">
        <f>IFERROR(VLOOKUP(C99,'تقرير المصروفات حسب الشهر'!$C$637:$AD$746,28,FALSE),0)</f>
        <v>0</v>
      </c>
      <c r="J99" s="362">
        <f>IFERROR(VLOOKUP(C99,'تقرير المصروفات حسب الشهر'!$C$763:$AD$872,28,FALSE),0)</f>
        <v>0</v>
      </c>
      <c r="K99" s="362">
        <f>IFERROR(VLOOKUP(C99,'تقرير المصروفات حسب الشهر'!$C$890:$AD$999,28,FALSE),0)</f>
        <v>0</v>
      </c>
      <c r="L99" s="362">
        <f>IFERROR(VLOOKUP(C99,'تقرير المصروفات حسب الشهر'!$C$1016:$AD$1126,28,FALSE),0)</f>
        <v>0</v>
      </c>
      <c r="M99" s="376">
        <f>IFERROR(VLOOKUP(C99,'تقرير المصروفات حسب الشهر'!$C$1143:$AD$1254,28,FALSE),0)</f>
        <v>0</v>
      </c>
      <c r="N99" s="384"/>
      <c r="O99" s="384"/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الشهر'!$C$10:$AD$119,28,FALSE),0)</f>
        <v>0</v>
      </c>
      <c r="E100" s="362">
        <f>IFERROR(VLOOKUP(C100,'تقرير المصروفات حسب الشهر'!$C$135:$AD$244,28,FALSE),0)</f>
        <v>0</v>
      </c>
      <c r="F100" s="362">
        <f>IFERROR(VLOOKUP(C100,'تقرير المصروفات حسب الشهر'!$C$261:$AD$368,28,FALSE),0)</f>
        <v>0</v>
      </c>
      <c r="G100" s="362">
        <f>IFERROR(VLOOKUP(C100,'تقرير المصروفات حسب الشهر'!$C$387:$AD$495,28,FALSE),0)</f>
        <v>0</v>
      </c>
      <c r="H100" s="362">
        <f>IFERROR(VLOOKUP(C100,'تقرير المصروفات حسب الشهر'!$C$512:$AD$620,28,FALSE),0)</f>
        <v>0</v>
      </c>
      <c r="I100" s="362">
        <f>IFERROR(VLOOKUP(C100,'تقرير المصروفات حسب الشهر'!$C$637:$AD$746,28,FALSE),0)</f>
        <v>0</v>
      </c>
      <c r="J100" s="362">
        <f>IFERROR(VLOOKUP(C100,'تقرير المصروفات حسب الشهر'!$C$763:$AD$872,28,FALSE),0)</f>
        <v>0</v>
      </c>
      <c r="K100" s="362">
        <f>IFERROR(VLOOKUP(C100,'تقرير المصروفات حسب الشهر'!$C$890:$AD$999,28,FALSE),0)</f>
        <v>0</v>
      </c>
      <c r="L100" s="362">
        <f>IFERROR(VLOOKUP(C100,'تقرير المصروفات حسب الشهر'!$C$1016:$AD$1126,28,FALSE),0)</f>
        <v>0</v>
      </c>
      <c r="M100" s="376">
        <f>IFERROR(VLOOKUP(C100,'تقرير المصروفات حسب الشهر'!$C$1143:$AD$1254,28,FALSE),0)</f>
        <v>0</v>
      </c>
      <c r="N100" s="384"/>
      <c r="O100" s="384"/>
      <c r="P100" s="364">
        <f t="shared" si="6"/>
        <v>0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الشهر'!$C$10:$AD$119,28,FALSE),0)</f>
        <v>0</v>
      </c>
      <c r="E101" s="362">
        <f>IFERROR(VLOOKUP(C101,'تقرير المصروفات حسب الشهر'!$C$135:$AD$244,28,FALSE),0)</f>
        <v>0</v>
      </c>
      <c r="F101" s="362">
        <f>IFERROR(VLOOKUP(C101,'تقرير المصروفات حسب الشهر'!$C$261:$AD$368,28,FALSE),0)</f>
        <v>0</v>
      </c>
      <c r="G101" s="362">
        <f>IFERROR(VLOOKUP(C101,'تقرير المصروفات حسب الشهر'!$C$387:$AD$495,28,FALSE),0)</f>
        <v>0</v>
      </c>
      <c r="H101" s="362">
        <f>IFERROR(VLOOKUP(C101,'تقرير المصروفات حسب الشهر'!$C$512:$AD$620,28,FALSE),0)</f>
        <v>0</v>
      </c>
      <c r="I101" s="362">
        <f>IFERROR(VLOOKUP(C101,'تقرير المصروفات حسب الشهر'!$C$637:$AD$746,28,FALSE),0)</f>
        <v>0</v>
      </c>
      <c r="J101" s="362">
        <f>IFERROR(VLOOKUP(C101,'تقرير المصروفات حسب الشهر'!$C$763:$AD$872,28,FALSE),0)</f>
        <v>0</v>
      </c>
      <c r="K101" s="362">
        <f>IFERROR(VLOOKUP(C101,'تقرير المصروفات حسب الشهر'!$C$890:$AD$999,28,FALSE),0)</f>
        <v>0</v>
      </c>
      <c r="L101" s="362">
        <f>IFERROR(VLOOKUP(C101,'تقرير المصروفات حسب الشهر'!$C$1016:$AD$1126,28,FALSE),0)</f>
        <v>0</v>
      </c>
      <c r="M101" s="376">
        <f>IFERROR(VLOOKUP(C101,'تقرير المصروفات حسب الشهر'!$C$1143:$AD$1254,28,FALSE),0)</f>
        <v>0</v>
      </c>
      <c r="N101" s="384"/>
      <c r="O101" s="384"/>
      <c r="P101" s="364">
        <f t="shared" si="6"/>
        <v>0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الشهر'!$C$10:$AD$119,28,FALSE),0)</f>
        <v>0</v>
      </c>
      <c r="E102" s="362">
        <f>IFERROR(VLOOKUP(C102,'تقرير المصروفات حسب الشهر'!$C$135:$AD$244,28,FALSE),0)</f>
        <v>0</v>
      </c>
      <c r="F102" s="362">
        <f>IFERROR(VLOOKUP(C102,'تقرير المصروفات حسب الشهر'!$C$261:$AD$368,28,FALSE),0)</f>
        <v>0</v>
      </c>
      <c r="G102" s="362">
        <f>IFERROR(VLOOKUP(C102,'تقرير المصروفات حسب الشهر'!$C$387:$AD$495,28,FALSE),0)</f>
        <v>0</v>
      </c>
      <c r="H102" s="362">
        <f>IFERROR(VLOOKUP(C102,'تقرير المصروفات حسب الشهر'!$C$512:$AD$620,28,FALSE),0)</f>
        <v>0</v>
      </c>
      <c r="I102" s="362">
        <f>IFERROR(VLOOKUP(C102,'تقرير المصروفات حسب الشهر'!$C$637:$AD$746,28,FALSE),0)</f>
        <v>0</v>
      </c>
      <c r="J102" s="362">
        <f>IFERROR(VLOOKUP(C102,'تقرير المصروفات حسب الشهر'!$C$763:$AD$872,28,FALSE),0)</f>
        <v>0</v>
      </c>
      <c r="K102" s="362">
        <f>IFERROR(VLOOKUP(C102,'تقرير المصروفات حسب الشهر'!$C$890:$AD$999,28,FALSE),0)</f>
        <v>0</v>
      </c>
      <c r="L102" s="362">
        <f>IFERROR(VLOOKUP(C102,'تقرير المصروفات حسب الشهر'!$C$1016:$AD$1126,28,FALSE),0)</f>
        <v>0</v>
      </c>
      <c r="M102" s="376">
        <f>IFERROR(VLOOKUP(C102,'تقرير المصروفات حسب الشهر'!$C$1143:$AD$1254,28,FALSE),0)</f>
        <v>0</v>
      </c>
      <c r="N102" s="384"/>
      <c r="O102" s="384"/>
      <c r="P102" s="364">
        <f t="shared" si="6"/>
        <v>0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الشهر'!$C$10:$AD$119,28,FALSE),0)</f>
        <v>0</v>
      </c>
      <c r="E103" s="362">
        <f>IFERROR(VLOOKUP(C103,'تقرير المصروفات حسب الشهر'!$C$135:$AD$244,28,FALSE),0)</f>
        <v>0</v>
      </c>
      <c r="F103" s="362">
        <f>IFERROR(VLOOKUP(C103,'تقرير المصروفات حسب الشهر'!$C$261:$AD$368,28,FALSE),0)</f>
        <v>0</v>
      </c>
      <c r="G103" s="362">
        <f>IFERROR(VLOOKUP(C103,'تقرير المصروفات حسب الشهر'!$C$387:$AD$495,28,FALSE),0)</f>
        <v>0</v>
      </c>
      <c r="H103" s="362">
        <f>IFERROR(VLOOKUP(C103,'تقرير المصروفات حسب الشهر'!$C$512:$AD$620,28,FALSE),0)</f>
        <v>0</v>
      </c>
      <c r="I103" s="362">
        <f>IFERROR(VLOOKUP(C103,'تقرير المصروفات حسب الشهر'!$C$637:$AD$746,28,FALSE),0)</f>
        <v>0</v>
      </c>
      <c r="J103" s="362">
        <f>IFERROR(VLOOKUP(C103,'تقرير المصروفات حسب الشهر'!$C$763:$AD$872,28,FALSE),0)</f>
        <v>0</v>
      </c>
      <c r="K103" s="362">
        <f>IFERROR(VLOOKUP(C103,'تقرير المصروفات حسب الشهر'!$C$890:$AD$999,28,FALSE),0)</f>
        <v>0</v>
      </c>
      <c r="L103" s="362">
        <f>IFERROR(VLOOKUP(C103,'تقرير المصروفات حسب الشهر'!$C$1016:$AD$1126,28,FALSE),0)</f>
        <v>0</v>
      </c>
      <c r="M103" s="376">
        <f>IFERROR(VLOOKUP(C103,'تقرير المصروفات حسب الشهر'!$C$1143:$AD$1254,28,FALSE),0)</f>
        <v>0</v>
      </c>
      <c r="N103" s="384"/>
      <c r="O103" s="384"/>
      <c r="P103" s="364">
        <f t="shared" si="6"/>
        <v>0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الشهر'!$C$10:$AD$119,28,FALSE),0)</f>
        <v>0</v>
      </c>
      <c r="E104" s="362">
        <f>IFERROR(VLOOKUP(C104,'تقرير المصروفات حسب الشهر'!$C$135:$AD$244,28,FALSE),0)</f>
        <v>0</v>
      </c>
      <c r="F104" s="362">
        <f>IFERROR(VLOOKUP(C104,'تقرير المصروفات حسب الشهر'!$C$261:$AD$368,28,FALSE),0)</f>
        <v>0</v>
      </c>
      <c r="G104" s="362">
        <f>IFERROR(VLOOKUP(C104,'تقرير المصروفات حسب الشهر'!$C$387:$AD$495,28,FALSE),0)</f>
        <v>0</v>
      </c>
      <c r="H104" s="362">
        <f>IFERROR(VLOOKUP(C104,'تقرير المصروفات حسب الشهر'!$C$512:$AD$620,28,FALSE),0)</f>
        <v>0</v>
      </c>
      <c r="I104" s="362">
        <f>IFERROR(VLOOKUP(C104,'تقرير المصروفات حسب الشهر'!$C$637:$AD$746,28,FALSE),0)</f>
        <v>0</v>
      </c>
      <c r="J104" s="362">
        <f>IFERROR(VLOOKUP(C104,'تقرير المصروفات حسب الشهر'!$C$763:$AD$872,28,FALSE),0)</f>
        <v>0</v>
      </c>
      <c r="K104" s="362">
        <f>IFERROR(VLOOKUP(C104,'تقرير المصروفات حسب الشهر'!$C$890:$AD$999,28,FALSE),0)</f>
        <v>0</v>
      </c>
      <c r="L104" s="362">
        <f>IFERROR(VLOOKUP(C104,'تقرير المصروفات حسب الشهر'!$C$1016:$AD$1126,28,FALSE),0)</f>
        <v>0</v>
      </c>
      <c r="M104" s="376">
        <f>IFERROR(VLOOKUP(C104,'تقرير المصروفات حسب الشهر'!$C$1143:$AD$1254,28,FALSE),0)</f>
        <v>0</v>
      </c>
      <c r="N104" s="384"/>
      <c r="O104" s="384"/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الشهر'!$C$10:$AD$119,28,FALSE),0)</f>
        <v>0</v>
      </c>
      <c r="E105" s="362">
        <f>IFERROR(VLOOKUP(C105,'تقرير المصروفات حسب الشهر'!$C$135:$AD$244,28,FALSE),0)</f>
        <v>0</v>
      </c>
      <c r="F105" s="362">
        <f>IFERROR(VLOOKUP(C105,'تقرير المصروفات حسب الشهر'!$C$261:$AD$368,28,FALSE),0)</f>
        <v>0</v>
      </c>
      <c r="G105" s="362">
        <f>IFERROR(VLOOKUP(C105,'تقرير المصروفات حسب الشهر'!$C$387:$AD$495,28,FALSE),0)</f>
        <v>0</v>
      </c>
      <c r="H105" s="362">
        <f>IFERROR(VLOOKUP(C105,'تقرير المصروفات حسب الشهر'!$C$512:$AD$620,28,FALSE),0)</f>
        <v>0</v>
      </c>
      <c r="I105" s="362">
        <f>IFERROR(VLOOKUP(C105,'تقرير المصروفات حسب الشهر'!$C$637:$AD$746,28,FALSE),0)</f>
        <v>0</v>
      </c>
      <c r="J105" s="362">
        <f>IFERROR(VLOOKUP(C105,'تقرير المصروفات حسب الشهر'!$C$763:$AD$872,28,FALSE),0)</f>
        <v>0</v>
      </c>
      <c r="K105" s="362">
        <f>IFERROR(VLOOKUP(C105,'تقرير المصروفات حسب الشهر'!$C$890:$AD$999,28,FALSE),0)</f>
        <v>0</v>
      </c>
      <c r="L105" s="362">
        <f>IFERROR(VLOOKUP(C105,'تقرير المصروفات حسب الشهر'!$C$1016:$AD$1126,28,FALSE),0)</f>
        <v>0</v>
      </c>
      <c r="M105" s="376">
        <f>IFERROR(VLOOKUP(C105,'تقرير المصروفات حسب الشهر'!$C$1143:$AD$1254,28,FALSE),0)</f>
        <v>0</v>
      </c>
      <c r="N105" s="384"/>
      <c r="O105" s="384"/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الشهر'!$C$10:$AD$119,28,FALSE),0)</f>
        <v>0</v>
      </c>
      <c r="E106" s="362">
        <f>IFERROR(VLOOKUP(C106,'تقرير المصروفات حسب الشهر'!$C$135:$AD$244,28,FALSE),0)</f>
        <v>0</v>
      </c>
      <c r="F106" s="362">
        <f>IFERROR(VLOOKUP(C106,'تقرير المصروفات حسب الشهر'!$C$261:$AD$368,28,FALSE),0)</f>
        <v>0</v>
      </c>
      <c r="G106" s="362">
        <f>IFERROR(VLOOKUP(C106,'تقرير المصروفات حسب الشهر'!$C$387:$AD$495,28,FALSE),0)</f>
        <v>0</v>
      </c>
      <c r="H106" s="362">
        <f>IFERROR(VLOOKUP(C106,'تقرير المصروفات حسب الشهر'!$C$512:$AD$620,28,FALSE),0)</f>
        <v>0</v>
      </c>
      <c r="I106" s="362">
        <f>IFERROR(VLOOKUP(C106,'تقرير المصروفات حسب الشهر'!$C$637:$AD$746,28,FALSE),0)</f>
        <v>0</v>
      </c>
      <c r="J106" s="362">
        <f>IFERROR(VLOOKUP(C106,'تقرير المصروفات حسب الشهر'!$C$763:$AD$872,28,FALSE),0)</f>
        <v>0</v>
      </c>
      <c r="K106" s="362">
        <f>IFERROR(VLOOKUP(C106,'تقرير المصروفات حسب الشهر'!$C$890:$AD$999,28,FALSE),0)</f>
        <v>0</v>
      </c>
      <c r="L106" s="362">
        <f>IFERROR(VLOOKUP(C106,'تقرير المصروفات حسب الشهر'!$C$1016:$AD$1126,28,FALSE),0)</f>
        <v>0</v>
      </c>
      <c r="M106" s="376">
        <f>IFERROR(VLOOKUP(C106,'تقرير المصروفات حسب الشهر'!$C$1143:$AD$1254,28,FALSE),0)</f>
        <v>0</v>
      </c>
      <c r="N106" s="384"/>
      <c r="O106" s="384"/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الشهر'!$C$10:$AD$119,28,FALSE),0)</f>
        <v>0</v>
      </c>
      <c r="E107" s="362">
        <f>IFERROR(VLOOKUP(C107,'تقرير المصروفات حسب الشهر'!$C$135:$AD$244,28,FALSE),0)</f>
        <v>0</v>
      </c>
      <c r="F107" s="362">
        <f>IFERROR(VLOOKUP(C107,'تقرير المصروفات حسب الشهر'!$C$261:$AD$368,28,FALSE),0)</f>
        <v>0</v>
      </c>
      <c r="G107" s="362">
        <f>IFERROR(VLOOKUP(C107,'تقرير المصروفات حسب الشهر'!$C$387:$AD$495,28,FALSE),0)</f>
        <v>0</v>
      </c>
      <c r="H107" s="362">
        <f>IFERROR(VLOOKUP(C107,'تقرير المصروفات حسب الشهر'!$C$512:$AD$620,28,FALSE),0)</f>
        <v>0</v>
      </c>
      <c r="I107" s="362">
        <f>IFERROR(VLOOKUP(C107,'تقرير المصروفات حسب الشهر'!$C$637:$AD$746,28,FALSE),0)</f>
        <v>0</v>
      </c>
      <c r="J107" s="362">
        <f>IFERROR(VLOOKUP(C107,'تقرير المصروفات حسب الشهر'!$C$763:$AD$872,28,FALSE),0)</f>
        <v>0</v>
      </c>
      <c r="K107" s="362">
        <f>IFERROR(VLOOKUP(C107,'تقرير المصروفات حسب الشهر'!$C$890:$AD$999,28,FALSE),0)</f>
        <v>0</v>
      </c>
      <c r="L107" s="362">
        <f>IFERROR(VLOOKUP(C107,'تقرير المصروفات حسب الشهر'!$C$1016:$AD$1126,28,FALSE),0)</f>
        <v>0</v>
      </c>
      <c r="M107" s="376">
        <f>IFERROR(VLOOKUP(C107,'تقرير المصروفات حسب الشهر'!$C$1143:$AD$1254,28,FALSE),0)</f>
        <v>0</v>
      </c>
      <c r="N107" s="384"/>
      <c r="O107" s="384"/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الشهر'!$C$10:$AD$119,28,FALSE),0)</f>
        <v>0</v>
      </c>
      <c r="E108" s="362">
        <f>IFERROR(VLOOKUP(C108,'تقرير المصروفات حسب الشهر'!$C$135:$AD$244,28,FALSE),0)</f>
        <v>0</v>
      </c>
      <c r="F108" s="362">
        <f>IFERROR(VLOOKUP(C108,'تقرير المصروفات حسب الشهر'!$C$261:$AD$368,28,FALSE),0)</f>
        <v>0</v>
      </c>
      <c r="G108" s="362">
        <f>IFERROR(VLOOKUP(C108,'تقرير المصروفات حسب الشهر'!$C$387:$AD$495,28,FALSE),0)</f>
        <v>0</v>
      </c>
      <c r="H108" s="362">
        <f>IFERROR(VLOOKUP(C108,'تقرير المصروفات حسب الشهر'!$C$512:$AD$620,28,FALSE),0)</f>
        <v>0</v>
      </c>
      <c r="I108" s="362">
        <f>IFERROR(VLOOKUP(C108,'تقرير المصروفات حسب الشهر'!$C$637:$AD$746,28,FALSE),0)</f>
        <v>0</v>
      </c>
      <c r="J108" s="362">
        <f>IFERROR(VLOOKUP(C108,'تقرير المصروفات حسب الشهر'!$C$763:$AD$872,28,FALSE),0)</f>
        <v>0</v>
      </c>
      <c r="K108" s="362">
        <f>IFERROR(VLOOKUP(C108,'تقرير المصروفات حسب الشهر'!$C$890:$AD$999,28,FALSE),0)</f>
        <v>0</v>
      </c>
      <c r="L108" s="362">
        <f>IFERROR(VLOOKUP(C108,'تقرير المصروفات حسب الشهر'!$C$1016:$AD$1126,28,FALSE),0)</f>
        <v>0</v>
      </c>
      <c r="M108" s="376">
        <f>IFERROR(VLOOKUP(C108,'تقرير المصروفات حسب الشهر'!$C$1143:$AD$1254,28,FALSE),0)</f>
        <v>0</v>
      </c>
      <c r="N108" s="384"/>
      <c r="O108" s="384"/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الشهر'!$C$10:$AD$119,28,FALSE),0)</f>
        <v>0</v>
      </c>
      <c r="E109" s="362">
        <f>IFERROR(VLOOKUP(C109,'تقرير المصروفات حسب الشهر'!$C$135:$AD$244,28,FALSE),0)</f>
        <v>0</v>
      </c>
      <c r="F109" s="362">
        <f>IFERROR(VLOOKUP(C109,'تقرير المصروفات حسب الشهر'!$C$261:$AD$368,28,FALSE),0)</f>
        <v>0</v>
      </c>
      <c r="G109" s="362">
        <f>IFERROR(VLOOKUP(C109,'تقرير المصروفات حسب الشهر'!$C$387:$AD$495,28,FALSE),0)</f>
        <v>0</v>
      </c>
      <c r="H109" s="362">
        <f>IFERROR(VLOOKUP(C109,'تقرير المصروفات حسب الشهر'!$C$512:$AD$620,28,FALSE),0)</f>
        <v>0</v>
      </c>
      <c r="I109" s="362">
        <f>IFERROR(VLOOKUP(C109,'تقرير المصروفات حسب الشهر'!$C$637:$AD$746,28,FALSE),0)</f>
        <v>0</v>
      </c>
      <c r="J109" s="362">
        <f>IFERROR(VLOOKUP(C109,'تقرير المصروفات حسب الشهر'!$C$763:$AD$872,28,FALSE),0)</f>
        <v>0</v>
      </c>
      <c r="K109" s="362">
        <f>IFERROR(VLOOKUP(C109,'تقرير المصروفات حسب الشهر'!$C$890:$AD$999,28,FALSE),0)</f>
        <v>0</v>
      </c>
      <c r="L109" s="362">
        <f>IFERROR(VLOOKUP(C109,'تقرير المصروفات حسب الشهر'!$C$1016:$AD$1126,28,FALSE),0)</f>
        <v>0</v>
      </c>
      <c r="M109" s="376">
        <f>IFERROR(VLOOKUP(C109,'تقرير المصروفات حسب الشهر'!$C$1143:$AD$1254,28,FALSE),0)</f>
        <v>0</v>
      </c>
      <c r="N109" s="384"/>
      <c r="O109" s="384"/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الشهر'!$C$10:$AD$119,28,FALSE),0)</f>
        <v>0</v>
      </c>
      <c r="E110" s="362">
        <f>IFERROR(VLOOKUP(C110,'تقرير المصروفات حسب الشهر'!$C$135:$AD$244,28,FALSE),0)</f>
        <v>0</v>
      </c>
      <c r="F110" s="362">
        <f>IFERROR(VLOOKUP(C110,'تقرير المصروفات حسب الشهر'!$C$261:$AD$368,28,FALSE),0)</f>
        <v>0</v>
      </c>
      <c r="G110" s="362">
        <f>IFERROR(VLOOKUP(C110,'تقرير المصروفات حسب الشهر'!$C$387:$AD$495,28,FALSE),0)</f>
        <v>0</v>
      </c>
      <c r="H110" s="362">
        <f>IFERROR(VLOOKUP(C110,'تقرير المصروفات حسب الشهر'!$C$512:$AD$620,28,FALSE),0)</f>
        <v>0</v>
      </c>
      <c r="I110" s="362">
        <f>IFERROR(VLOOKUP(C110,'تقرير المصروفات حسب الشهر'!$C$637:$AD$746,28,FALSE),0)</f>
        <v>0</v>
      </c>
      <c r="J110" s="362">
        <f>IFERROR(VLOOKUP(C110,'تقرير المصروفات حسب الشهر'!$C$763:$AD$872,28,FALSE),0)</f>
        <v>0</v>
      </c>
      <c r="K110" s="362">
        <f>IFERROR(VLOOKUP(C110,'تقرير المصروفات حسب الشهر'!$C$890:$AD$999,28,FALSE),0)</f>
        <v>0</v>
      </c>
      <c r="L110" s="362">
        <f>IFERROR(VLOOKUP(C110,'تقرير المصروفات حسب الشهر'!$C$1016:$AD$1126,28,FALSE),0)</f>
        <v>0</v>
      </c>
      <c r="M110" s="376">
        <f>IFERROR(VLOOKUP(C110,'تقرير المصروفات حسب الشهر'!$C$1143:$AD$1254,28,FALSE),0)</f>
        <v>0</v>
      </c>
      <c r="N110" s="384"/>
      <c r="O110" s="384"/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الشهر'!$C$10:$AD$119,28,FALSE),0)</f>
        <v>0</v>
      </c>
      <c r="E111" s="362">
        <f>IFERROR(VLOOKUP(C111,'تقرير المصروفات حسب الشهر'!$C$135:$AD$244,28,FALSE),0)</f>
        <v>0</v>
      </c>
      <c r="F111" s="362">
        <f>IFERROR(VLOOKUP(C111,'تقرير المصروفات حسب الشهر'!$C$261:$AD$368,28,FALSE),0)</f>
        <v>0</v>
      </c>
      <c r="G111" s="362">
        <f>IFERROR(VLOOKUP(C111,'تقرير المصروفات حسب الشهر'!$C$387:$AD$495,28,FALSE),0)</f>
        <v>0</v>
      </c>
      <c r="H111" s="362">
        <f>IFERROR(VLOOKUP(C111,'تقرير المصروفات حسب الشهر'!$C$512:$AD$620,28,FALSE),0)</f>
        <v>0</v>
      </c>
      <c r="I111" s="362">
        <f>IFERROR(VLOOKUP(C111,'تقرير المصروفات حسب الشهر'!$C$637:$AD$746,28,FALSE),0)</f>
        <v>0</v>
      </c>
      <c r="J111" s="362">
        <f>IFERROR(VLOOKUP(C111,'تقرير المصروفات حسب الشهر'!$C$763:$AD$872,28,FALSE),0)</f>
        <v>0</v>
      </c>
      <c r="K111" s="362">
        <f>IFERROR(VLOOKUP(C111,'تقرير المصروفات حسب الشهر'!$C$890:$AD$999,28,FALSE),0)</f>
        <v>0</v>
      </c>
      <c r="L111" s="362">
        <f>IFERROR(VLOOKUP(C111,'تقرير المصروفات حسب الشهر'!$C$1016:$AD$1126,28,FALSE),0)</f>
        <v>0</v>
      </c>
      <c r="M111" s="376">
        <f>IFERROR(VLOOKUP(C111,'تقرير المصروفات حسب الشهر'!$C$1143:$AD$1254,28,FALSE),0)</f>
        <v>0</v>
      </c>
      <c r="N111" s="384"/>
      <c r="O111" s="384"/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الشهر'!$C$10:$AD$119,28,FALSE),0)</f>
        <v>0</v>
      </c>
      <c r="E112" s="362">
        <f>IFERROR(VLOOKUP(C112,'تقرير المصروفات حسب الشهر'!$C$135:$AD$244,28,FALSE),0)</f>
        <v>0</v>
      </c>
      <c r="F112" s="362">
        <f>IFERROR(VLOOKUP(C112,'تقرير المصروفات حسب الشهر'!$C$261:$AD$368,28,FALSE),0)</f>
        <v>0</v>
      </c>
      <c r="G112" s="362">
        <f>IFERROR(VLOOKUP(C112,'تقرير المصروفات حسب الشهر'!$C$387:$AD$495,28,FALSE),0)</f>
        <v>0</v>
      </c>
      <c r="H112" s="362">
        <f>IFERROR(VLOOKUP(C112,'تقرير المصروفات حسب الشهر'!$C$512:$AD$620,28,FALSE),0)</f>
        <v>0</v>
      </c>
      <c r="I112" s="362">
        <f>IFERROR(VLOOKUP(C112,'تقرير المصروفات حسب الشهر'!$C$637:$AD$746,28,FALSE),0)</f>
        <v>0</v>
      </c>
      <c r="J112" s="362">
        <f>IFERROR(VLOOKUP(C112,'تقرير المصروفات حسب الشهر'!$C$763:$AD$872,28,FALSE),0)</f>
        <v>0</v>
      </c>
      <c r="K112" s="362">
        <f>IFERROR(VLOOKUP(C112,'تقرير المصروفات حسب الشهر'!$C$890:$AD$999,28,FALSE),0)</f>
        <v>0</v>
      </c>
      <c r="L112" s="362">
        <f>IFERROR(VLOOKUP(C112,'تقرير المصروفات حسب الشهر'!$C$1016:$AD$1126,28,FALSE),0)</f>
        <v>0</v>
      </c>
      <c r="M112" s="376">
        <f>IFERROR(VLOOKUP(C112,'تقرير المصروفات حسب الشهر'!$C$1143:$AD$1254,28,FALSE),0)</f>
        <v>0</v>
      </c>
      <c r="N112" s="384"/>
      <c r="O112" s="384"/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الشهر'!$C$10:$AD$119,28,FALSE),0)</f>
        <v>0</v>
      </c>
      <c r="E113" s="362">
        <f>IFERROR(VLOOKUP(C113,'تقرير المصروفات حسب الشهر'!$C$135:$AD$244,28,FALSE),0)</f>
        <v>0</v>
      </c>
      <c r="F113" s="362">
        <f>IFERROR(VLOOKUP(C113,'تقرير المصروفات حسب الشهر'!$C$261:$AD$368,28,FALSE),0)</f>
        <v>0</v>
      </c>
      <c r="G113" s="362">
        <f>IFERROR(VLOOKUP(C113,'تقرير المصروفات حسب الشهر'!$C$387:$AD$495,28,FALSE),0)</f>
        <v>0</v>
      </c>
      <c r="H113" s="362">
        <f>IFERROR(VLOOKUP(C113,'تقرير المصروفات حسب الشهر'!$C$512:$AD$620,28,FALSE),0)</f>
        <v>0</v>
      </c>
      <c r="I113" s="362">
        <f>IFERROR(VLOOKUP(C113,'تقرير المصروفات حسب الشهر'!$C$637:$AD$746,28,FALSE),0)</f>
        <v>0</v>
      </c>
      <c r="J113" s="362">
        <f>IFERROR(VLOOKUP(C113,'تقرير المصروفات حسب الشهر'!$C$763:$AD$872,28,FALSE),0)</f>
        <v>0</v>
      </c>
      <c r="K113" s="362">
        <f>IFERROR(VLOOKUP(C113,'تقرير المصروفات حسب الشهر'!$C$890:$AD$999,28,FALSE),0)</f>
        <v>0</v>
      </c>
      <c r="L113" s="362">
        <f>IFERROR(VLOOKUP(C113,'تقرير المصروفات حسب الشهر'!$C$1016:$AD$1126,28,FALSE),0)</f>
        <v>0</v>
      </c>
      <c r="M113" s="376">
        <f>IFERROR(VLOOKUP(C113,'تقرير المصروفات حسب الشهر'!$C$1143:$AD$1254,28,FALSE),0)</f>
        <v>0</v>
      </c>
      <c r="N113" s="384"/>
      <c r="O113" s="384"/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الشهر'!$C$10:$AD$119,28,FALSE),0)</f>
        <v>0</v>
      </c>
      <c r="E114" s="362">
        <f>IFERROR(VLOOKUP(C114,'تقرير المصروفات حسب الشهر'!$C$135:$AD$244,28,FALSE),0)</f>
        <v>0</v>
      </c>
      <c r="F114" s="362">
        <f>IFERROR(VLOOKUP(C114,'تقرير المصروفات حسب الشهر'!$C$261:$AD$368,28,FALSE),0)</f>
        <v>0</v>
      </c>
      <c r="G114" s="362">
        <f>IFERROR(VLOOKUP(C114,'تقرير المصروفات حسب الشهر'!$C$387:$AD$495,28,FALSE),0)</f>
        <v>0</v>
      </c>
      <c r="H114" s="362">
        <f>IFERROR(VLOOKUP(C114,'تقرير المصروفات حسب الشهر'!$C$512:$AD$620,28,FALSE),0)</f>
        <v>0</v>
      </c>
      <c r="I114" s="362">
        <f>IFERROR(VLOOKUP(C114,'تقرير المصروفات حسب الشهر'!$C$637:$AD$746,28,FALSE),0)</f>
        <v>0</v>
      </c>
      <c r="J114" s="362">
        <f>IFERROR(VLOOKUP(C114,'تقرير المصروفات حسب الشهر'!$C$763:$AD$872,28,FALSE),0)</f>
        <v>0</v>
      </c>
      <c r="K114" s="362">
        <f>IFERROR(VLOOKUP(C114,'تقرير المصروفات حسب الشهر'!$C$890:$AD$999,28,FALSE),0)</f>
        <v>0</v>
      </c>
      <c r="L114" s="362">
        <f>IFERROR(VLOOKUP(C114,'تقرير المصروفات حسب الشهر'!$C$1016:$AD$1126,28,FALSE),0)</f>
        <v>0</v>
      </c>
      <c r="M114" s="376">
        <f>IFERROR(VLOOKUP(C114,'تقرير المصروفات حسب الشهر'!$C$1143:$AD$1254,28,FALSE),0)</f>
        <v>0</v>
      </c>
      <c r="N114" s="384"/>
      <c r="O114" s="384"/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الشهر'!$C$10:$AD$119,28,FALSE),0)</f>
        <v>0</v>
      </c>
      <c r="E115" s="362">
        <f>IFERROR(VLOOKUP(C115,'تقرير المصروفات حسب الشهر'!$C$135:$AD$244,28,FALSE),0)</f>
        <v>0</v>
      </c>
      <c r="F115" s="362">
        <f>IFERROR(VLOOKUP(C115,'تقرير المصروفات حسب الشهر'!$C$261:$AD$368,28,FALSE),0)</f>
        <v>0</v>
      </c>
      <c r="G115" s="362">
        <f>IFERROR(VLOOKUP(C115,'تقرير المصروفات حسب الشهر'!$C$387:$AD$495,28,FALSE),0)</f>
        <v>0</v>
      </c>
      <c r="H115" s="362">
        <f>IFERROR(VLOOKUP(C115,'تقرير المصروفات حسب الشهر'!$C$512:$AD$620,28,FALSE),0)</f>
        <v>0</v>
      </c>
      <c r="I115" s="362">
        <f>IFERROR(VLOOKUP(C115,'تقرير المصروفات حسب الشهر'!$C$637:$AD$746,28,FALSE),0)</f>
        <v>0</v>
      </c>
      <c r="J115" s="362">
        <f>IFERROR(VLOOKUP(C115,'تقرير المصروفات حسب الشهر'!$C$763:$AD$872,28,FALSE),0)</f>
        <v>0</v>
      </c>
      <c r="K115" s="362">
        <f>IFERROR(VLOOKUP(C115,'تقرير المصروفات حسب الشهر'!$C$890:$AD$999,28,FALSE),0)</f>
        <v>0</v>
      </c>
      <c r="L115" s="362">
        <f>IFERROR(VLOOKUP(C115,'تقرير المصروفات حسب الشهر'!$C$1016:$AD$1126,28,FALSE),0)</f>
        <v>0</v>
      </c>
      <c r="M115" s="376">
        <f>IFERROR(VLOOKUP(C115,'تقرير المصروفات حسب الشهر'!$C$1143:$AD$1254,28,FALSE),0)</f>
        <v>0</v>
      </c>
      <c r="N115" s="384"/>
      <c r="O115" s="384"/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الشهر'!$C$10:$AD$119,28,FALSE),0)</f>
        <v>0</v>
      </c>
      <c r="E116" s="362">
        <f>IFERROR(VLOOKUP(C116,'تقرير المصروفات حسب الشهر'!$C$135:$AD$244,28,FALSE),0)</f>
        <v>0</v>
      </c>
      <c r="F116" s="362">
        <f>IFERROR(VLOOKUP(C116,'تقرير المصروفات حسب الشهر'!$C$261:$AD$368,28,FALSE),0)</f>
        <v>0</v>
      </c>
      <c r="G116" s="362">
        <f>IFERROR(VLOOKUP(C116,'تقرير المصروفات حسب الشهر'!$C$387:$AD$495,28,FALSE),0)</f>
        <v>0</v>
      </c>
      <c r="H116" s="362">
        <f>IFERROR(VLOOKUP(C116,'تقرير المصروفات حسب الشهر'!$C$512:$AD$620,28,FALSE),0)</f>
        <v>0</v>
      </c>
      <c r="I116" s="362">
        <f>IFERROR(VLOOKUP(C116,'تقرير المصروفات حسب الشهر'!$C$637:$AD$746,28,FALSE),0)</f>
        <v>0</v>
      </c>
      <c r="J116" s="362">
        <f>IFERROR(VLOOKUP(C116,'تقرير المصروفات حسب الشهر'!$C$763:$AD$872,28,FALSE),0)</f>
        <v>0</v>
      </c>
      <c r="K116" s="362">
        <f>IFERROR(VLOOKUP(C116,'تقرير المصروفات حسب الشهر'!$C$890:$AD$999,28,FALSE),0)</f>
        <v>0</v>
      </c>
      <c r="L116" s="362">
        <f>IFERROR(VLOOKUP(C116,'تقرير المصروفات حسب الشهر'!$C$1016:$AD$1126,28,FALSE),0)</f>
        <v>0</v>
      </c>
      <c r="M116" s="376">
        <f>IFERROR(VLOOKUP(C116,'تقرير المصروفات حسب الشهر'!$C$1143:$AD$1254,28,FALSE),0)</f>
        <v>0</v>
      </c>
      <c r="N116" s="384"/>
      <c r="O116" s="384"/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الشهر'!$C$10:$AD$119,28,FALSE),0)</f>
        <v>0</v>
      </c>
      <c r="E117" s="362">
        <f>IFERROR(VLOOKUP(C117,'تقرير المصروفات حسب الشهر'!$C$135:$AD$244,28,FALSE),0)</f>
        <v>0</v>
      </c>
      <c r="F117" s="362">
        <f>IFERROR(VLOOKUP(C117,'تقرير المصروفات حسب الشهر'!$C$261:$AD$368,28,FALSE),0)</f>
        <v>0</v>
      </c>
      <c r="G117" s="362">
        <f>IFERROR(VLOOKUP(C117,'تقرير المصروفات حسب الشهر'!$C$387:$AD$495,28,FALSE),0)</f>
        <v>0</v>
      </c>
      <c r="H117" s="362">
        <f>IFERROR(VLOOKUP(C117,'تقرير المصروفات حسب الشهر'!$C$512:$AD$620,28,FALSE),0)</f>
        <v>0</v>
      </c>
      <c r="I117" s="362">
        <f>IFERROR(VLOOKUP(C117,'تقرير المصروفات حسب الشهر'!$C$637:$AD$746,28,FALSE),0)</f>
        <v>0</v>
      </c>
      <c r="J117" s="362">
        <f>IFERROR(VLOOKUP(C117,'تقرير المصروفات حسب الشهر'!$C$763:$AD$872,28,FALSE),0)</f>
        <v>0</v>
      </c>
      <c r="K117" s="362">
        <f>IFERROR(VLOOKUP(C117,'تقرير المصروفات حسب الشهر'!$C$890:$AD$999,28,FALSE),0)</f>
        <v>0</v>
      </c>
      <c r="L117" s="362">
        <f>IFERROR(VLOOKUP(C117,'تقرير المصروفات حسب الشهر'!$C$1016:$AD$1126,28,FALSE),0)</f>
        <v>0</v>
      </c>
      <c r="M117" s="376">
        <f>IFERROR(VLOOKUP(C117,'تقرير المصروفات حسب الشهر'!$C$1143:$AD$1254,28,FALSE),0)</f>
        <v>0</v>
      </c>
      <c r="N117" s="384"/>
      <c r="O117" s="384"/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الشهر'!$C$10:$AD$119,28,FALSE),0)</f>
        <v>0</v>
      </c>
      <c r="E118" s="362">
        <f>IFERROR(VLOOKUP(C118,'تقرير المصروفات حسب الشهر'!$C$135:$AD$244,28,FALSE),0)</f>
        <v>0</v>
      </c>
      <c r="F118" s="362">
        <f>IFERROR(VLOOKUP(C118,'تقرير المصروفات حسب الشهر'!$C$261:$AD$368,28,FALSE),0)</f>
        <v>0</v>
      </c>
      <c r="G118" s="362">
        <f>IFERROR(VLOOKUP(C118,'تقرير المصروفات حسب الشهر'!$C$387:$AD$495,28,FALSE),0)</f>
        <v>0</v>
      </c>
      <c r="H118" s="362">
        <f>IFERROR(VLOOKUP(C118,'تقرير المصروفات حسب الشهر'!$C$512:$AD$620,28,FALSE),0)</f>
        <v>0</v>
      </c>
      <c r="I118" s="362">
        <f>IFERROR(VLOOKUP(C118,'تقرير المصروفات حسب الشهر'!$C$637:$AD$746,28,FALSE),0)</f>
        <v>0</v>
      </c>
      <c r="J118" s="362">
        <f>IFERROR(VLOOKUP(C118,'تقرير المصروفات حسب الشهر'!$C$763:$AD$872,28,FALSE),0)</f>
        <v>0</v>
      </c>
      <c r="K118" s="362">
        <f>IFERROR(VLOOKUP(C118,'تقرير المصروفات حسب الشهر'!$C$890:$AD$999,28,FALSE),0)</f>
        <v>0</v>
      </c>
      <c r="L118" s="362">
        <f>IFERROR(VLOOKUP(C118,'تقرير المصروفات حسب الشهر'!$C$1016:$AD$1126,28,FALSE),0)</f>
        <v>0</v>
      </c>
      <c r="M118" s="376">
        <f>IFERROR(VLOOKUP(C118,'تقرير المصروفات حسب الشهر'!$C$1143:$AD$1254,28,FALSE),0)</f>
        <v>0</v>
      </c>
      <c r="N118" s="384"/>
      <c r="O118" s="384"/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الشهر'!$C$10:$AD$119,28,FALSE),0)</f>
        <v>0</v>
      </c>
      <c r="E119" s="362">
        <f>IFERROR(VLOOKUP(C119,'تقرير المصروفات حسب الشهر'!$C$135:$AD$244,28,FALSE),0)</f>
        <v>0</v>
      </c>
      <c r="F119" s="362">
        <f>IFERROR(VLOOKUP(C119,'تقرير المصروفات حسب الشهر'!$C$261:$AD$368,28,FALSE),0)</f>
        <v>0</v>
      </c>
      <c r="G119" s="362">
        <f>IFERROR(VLOOKUP(C119,'تقرير المصروفات حسب الشهر'!$C$387:$AD$495,28,FALSE),0)</f>
        <v>0</v>
      </c>
      <c r="H119" s="362">
        <f>IFERROR(VLOOKUP(C119,'تقرير المصروفات حسب الشهر'!$C$512:$AD$620,28,FALSE),0)</f>
        <v>0</v>
      </c>
      <c r="I119" s="362">
        <f>IFERROR(VLOOKUP(C119,'تقرير المصروفات حسب الشهر'!$C$637:$AD$746,28,FALSE),0)</f>
        <v>0</v>
      </c>
      <c r="J119" s="362">
        <f>IFERROR(VLOOKUP(C119,'تقرير المصروفات حسب الشهر'!$C$763:$AD$872,28,FALSE),0)</f>
        <v>0</v>
      </c>
      <c r="K119" s="362">
        <f>IFERROR(VLOOKUP(C119,'تقرير المصروفات حسب الشهر'!$C$890:$AD$999,28,FALSE),0)</f>
        <v>0</v>
      </c>
      <c r="L119" s="362">
        <f>IFERROR(VLOOKUP(C119,'تقرير المصروفات حسب الشهر'!$C$1016:$AD$1126,28,FALSE),0)</f>
        <v>0</v>
      </c>
      <c r="M119" s="376">
        <f>IFERROR(VLOOKUP(C119,'تقرير المصروفات حسب الشهر'!$C$1143:$AD$1254,28,FALSE),0)</f>
        <v>0</v>
      </c>
      <c r="N119" s="384"/>
      <c r="O119" s="384"/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الشهر'!$C$10:$AD$119,28,FALSE),0)</f>
        <v>0</v>
      </c>
      <c r="E120" s="362">
        <f>IFERROR(VLOOKUP(C120,'تقرير المصروفات حسب الشهر'!$C$135:$AD$244,28,FALSE),0)</f>
        <v>0</v>
      </c>
      <c r="F120" s="362">
        <f>IFERROR(VLOOKUP(C120,'تقرير المصروفات حسب الشهر'!$C$261:$AD$368,28,FALSE),0)</f>
        <v>0</v>
      </c>
      <c r="G120" s="362">
        <f>IFERROR(VLOOKUP(C120,'تقرير المصروفات حسب الشهر'!$C$387:$AD$495,28,FALSE),0)</f>
        <v>0</v>
      </c>
      <c r="H120" s="362">
        <f>IFERROR(VLOOKUP(C120,'تقرير المصروفات حسب الشهر'!$C$512:$AD$620,28,FALSE),0)</f>
        <v>0</v>
      </c>
      <c r="I120" s="362">
        <f>IFERROR(VLOOKUP(C120,'تقرير المصروفات حسب الشهر'!$C$637:$AD$746,28,FALSE),0)</f>
        <v>0</v>
      </c>
      <c r="J120" s="362">
        <f>IFERROR(VLOOKUP(C120,'تقرير المصروفات حسب الشهر'!$C$763:$AD$872,28,FALSE),0)</f>
        <v>0</v>
      </c>
      <c r="K120" s="362">
        <f>IFERROR(VLOOKUP(C120,'تقرير المصروفات حسب الشهر'!$C$890:$AD$999,28,FALSE),0)</f>
        <v>0</v>
      </c>
      <c r="L120" s="362">
        <f>IFERROR(VLOOKUP(C120,'تقرير المصروفات حسب الشهر'!$C$1016:$AD$1126,28,FALSE),0)</f>
        <v>0</v>
      </c>
      <c r="M120" s="376">
        <f>IFERROR(VLOOKUP(C120,'تقرير المصروفات حسب الشهر'!$C$1143:$AD$1254,28,FALSE),0)</f>
        <v>0</v>
      </c>
      <c r="N120" s="384"/>
      <c r="O120" s="384"/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الشهر'!$C$10:$AD$119,28,FALSE),0)</f>
        <v>0</v>
      </c>
      <c r="E121" s="362">
        <f>IFERROR(VLOOKUP(C121,'تقرير المصروفات حسب الشهر'!$C$135:$AD$244,28,FALSE),0)</f>
        <v>0</v>
      </c>
      <c r="F121" s="362">
        <f>IFERROR(VLOOKUP(C121,'تقرير المصروفات حسب الشهر'!$C$261:$AD$368,28,FALSE),0)</f>
        <v>0</v>
      </c>
      <c r="G121" s="362">
        <f>IFERROR(VLOOKUP(C121,'تقرير المصروفات حسب الشهر'!$C$387:$AD$495,28,FALSE),0)</f>
        <v>0</v>
      </c>
      <c r="H121" s="362">
        <f>IFERROR(VLOOKUP(C121,'تقرير المصروفات حسب الشهر'!$C$512:$AD$620,28,FALSE),0)</f>
        <v>0</v>
      </c>
      <c r="I121" s="362">
        <f>IFERROR(VLOOKUP(C121,'تقرير المصروفات حسب الشهر'!$C$637:$AD$746,28,FALSE),0)</f>
        <v>0</v>
      </c>
      <c r="J121" s="362">
        <f>IFERROR(VLOOKUP(C121,'تقرير المصروفات حسب الشهر'!$C$763:$AD$872,28,FALSE),0)</f>
        <v>0</v>
      </c>
      <c r="K121" s="362">
        <f>IFERROR(VLOOKUP(C121,'تقرير المصروفات حسب الشهر'!$C$890:$AD$999,28,FALSE),0)</f>
        <v>0</v>
      </c>
      <c r="L121" s="362">
        <f>IFERROR(VLOOKUP(C121,'تقرير المصروفات حسب الشهر'!$C$1016:$AD$1126,28,FALSE),0)</f>
        <v>0</v>
      </c>
      <c r="M121" s="376">
        <f>IFERROR(VLOOKUP(C121,'تقرير المصروفات حسب الشهر'!$C$1143:$AD$1254,28,FALSE),0)</f>
        <v>0</v>
      </c>
      <c r="N121" s="384"/>
      <c r="O121" s="384"/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الشهر'!$C$10:$AD$119,28,FALSE),0)</f>
        <v>0</v>
      </c>
      <c r="E122" s="362">
        <f>IFERROR(VLOOKUP(C122,'تقرير المصروفات حسب الشهر'!$C$135:$AD$244,28,FALSE),0)</f>
        <v>0</v>
      </c>
      <c r="F122" s="362">
        <f>IFERROR(VLOOKUP(C122,'تقرير المصروفات حسب الشهر'!$C$261:$AD$368,28,FALSE),0)</f>
        <v>0</v>
      </c>
      <c r="G122" s="362">
        <f>IFERROR(VLOOKUP(C122,'تقرير المصروفات حسب الشهر'!$C$387:$AD$495,28,FALSE),0)</f>
        <v>0</v>
      </c>
      <c r="H122" s="362">
        <f>IFERROR(VLOOKUP(C122,'تقرير المصروفات حسب الشهر'!$C$512:$AD$620,28,FALSE),0)</f>
        <v>0</v>
      </c>
      <c r="I122" s="362">
        <f>IFERROR(VLOOKUP(C122,'تقرير المصروفات حسب الشهر'!$C$637:$AD$746,28,FALSE),0)</f>
        <v>0</v>
      </c>
      <c r="J122" s="362">
        <f>IFERROR(VLOOKUP(C122,'تقرير المصروفات حسب الشهر'!$C$763:$AD$872,28,FALSE),0)</f>
        <v>0</v>
      </c>
      <c r="K122" s="362">
        <f>IFERROR(VLOOKUP(C122,'تقرير المصروفات حسب الشهر'!$C$890:$AD$999,28,FALSE),0)</f>
        <v>0</v>
      </c>
      <c r="L122" s="362">
        <f>IFERROR(VLOOKUP(C122,'تقرير المصروفات حسب الشهر'!$C$1016:$AD$1126,28,FALSE),0)</f>
        <v>0</v>
      </c>
      <c r="M122" s="376">
        <f>IFERROR(VLOOKUP(C122,'تقرير المصروفات حسب الشهر'!$C$1143:$AD$1254,28,FALSE),0)</f>
        <v>0</v>
      </c>
      <c r="N122" s="384"/>
      <c r="O122" s="384"/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الشهر'!$C$10:$AD$119,28,FALSE),0)</f>
        <v>0</v>
      </c>
      <c r="E123" s="362">
        <f>IFERROR(VLOOKUP(C123,'تقرير المصروفات حسب الشهر'!$C$135:$AD$244,28,FALSE),0)</f>
        <v>0</v>
      </c>
      <c r="F123" s="362">
        <f>IFERROR(VLOOKUP(C123,'تقرير المصروفات حسب الشهر'!$C$261:$AD$368,28,FALSE),0)</f>
        <v>0</v>
      </c>
      <c r="G123" s="362">
        <f>IFERROR(VLOOKUP(C123,'تقرير المصروفات حسب الشهر'!$C$387:$AD$495,28,FALSE),0)</f>
        <v>0</v>
      </c>
      <c r="H123" s="362">
        <f>IFERROR(VLOOKUP(C123,'تقرير المصروفات حسب الشهر'!$C$512:$AD$620,28,FALSE),0)</f>
        <v>0</v>
      </c>
      <c r="I123" s="362">
        <f>IFERROR(VLOOKUP(C123,'تقرير المصروفات حسب الشهر'!$C$637:$AD$746,28,FALSE),0)</f>
        <v>0</v>
      </c>
      <c r="J123" s="362">
        <f>IFERROR(VLOOKUP(C123,'تقرير المصروفات حسب الشهر'!$C$763:$AD$872,28,FALSE),0)</f>
        <v>0</v>
      </c>
      <c r="K123" s="362">
        <f>IFERROR(VLOOKUP(C123,'تقرير المصروفات حسب الشهر'!$C$890:$AD$999,28,FALSE),0)</f>
        <v>0</v>
      </c>
      <c r="L123" s="362">
        <f>IFERROR(VLOOKUP(C123,'تقرير المصروفات حسب الشهر'!$C$1016:$AD$1126,28,FALSE),0)</f>
        <v>0</v>
      </c>
      <c r="M123" s="376">
        <f>IFERROR(VLOOKUP(C123,'تقرير المصروفات حسب الشهر'!$C$1143:$AD$1254,28,FALSE),0)</f>
        <v>0</v>
      </c>
      <c r="N123" s="384"/>
      <c r="O123" s="384"/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الشهر'!$C$10:$AD$119,28,FALSE),0)</f>
        <v>0</v>
      </c>
      <c r="E124" s="362">
        <f>IFERROR(VLOOKUP(C124,'تقرير المصروفات حسب الشهر'!$C$135:$AD$244,28,FALSE),0)</f>
        <v>0</v>
      </c>
      <c r="F124" s="362">
        <f>IFERROR(VLOOKUP(C124,'تقرير المصروفات حسب الشهر'!$C$261:$AD$368,28,FALSE),0)</f>
        <v>0</v>
      </c>
      <c r="G124" s="362">
        <f>IFERROR(VLOOKUP(C124,'تقرير المصروفات حسب الشهر'!$C$387:$AD$495,28,FALSE),0)</f>
        <v>0</v>
      </c>
      <c r="H124" s="362">
        <f>IFERROR(VLOOKUP(C124,'تقرير المصروفات حسب الشهر'!$C$512:$AD$620,28,FALSE),0)</f>
        <v>0</v>
      </c>
      <c r="I124" s="362">
        <f>IFERROR(VLOOKUP(C124,'تقرير المصروفات حسب الشهر'!$C$637:$AD$746,28,FALSE),0)</f>
        <v>0</v>
      </c>
      <c r="J124" s="362">
        <f>IFERROR(VLOOKUP(C124,'تقرير المصروفات حسب الشهر'!$C$763:$AD$872,28,FALSE),0)</f>
        <v>0</v>
      </c>
      <c r="K124" s="362">
        <f>IFERROR(VLOOKUP(C124,'تقرير المصروفات حسب الشهر'!$C$890:$AD$999,28,FALSE),0)</f>
        <v>0</v>
      </c>
      <c r="L124" s="362">
        <f>IFERROR(VLOOKUP(C124,'تقرير المصروفات حسب الشهر'!$C$1016:$AD$1126,28,FALSE),0)</f>
        <v>0</v>
      </c>
      <c r="M124" s="376">
        <f>IFERROR(VLOOKUP(C124,'تقرير المصروفات حسب الشهر'!$C$1143:$AD$1254,28,FALSE),0)</f>
        <v>0</v>
      </c>
      <c r="N124" s="384"/>
      <c r="O124" s="384"/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الشهر'!$C$10:$AD$119,28,FALSE),0)</f>
        <v>0</v>
      </c>
      <c r="E125" s="362">
        <f>IFERROR(VLOOKUP(C125,'تقرير المصروفات حسب الشهر'!$C$135:$AD$244,28,FALSE),0)</f>
        <v>0</v>
      </c>
      <c r="F125" s="362">
        <f>IFERROR(VLOOKUP(C125,'تقرير المصروفات حسب الشهر'!$C$261:$AD$368,28,FALSE),0)</f>
        <v>0</v>
      </c>
      <c r="G125" s="362">
        <f>IFERROR(VLOOKUP(C125,'تقرير المصروفات حسب الشهر'!$C$387:$AD$495,28,FALSE),0)</f>
        <v>0</v>
      </c>
      <c r="H125" s="362">
        <f>IFERROR(VLOOKUP(C125,'تقرير المصروفات حسب الشهر'!$C$512:$AD$620,28,FALSE),0)</f>
        <v>0</v>
      </c>
      <c r="I125" s="362">
        <f>IFERROR(VLOOKUP(C125,'تقرير المصروفات حسب الشهر'!$C$637:$AD$746,28,FALSE),0)</f>
        <v>0</v>
      </c>
      <c r="J125" s="362">
        <f>IFERROR(VLOOKUP(C125,'تقرير المصروفات حسب الشهر'!$C$763:$AD$872,28,FALSE),0)</f>
        <v>0</v>
      </c>
      <c r="K125" s="362">
        <f>IFERROR(VLOOKUP(C125,'تقرير المصروفات حسب الشهر'!$C$890:$AD$999,28,FALSE),0)</f>
        <v>0</v>
      </c>
      <c r="L125" s="362">
        <f>IFERROR(VLOOKUP(C125,'تقرير المصروفات حسب الشهر'!$C$1016:$AD$1126,28,FALSE),0)</f>
        <v>0</v>
      </c>
      <c r="M125" s="376">
        <f>IFERROR(VLOOKUP(C125,'تقرير المصروفات حسب الشهر'!$C$1143:$AD$1254,28,FALSE),0)</f>
        <v>0</v>
      </c>
      <c r="N125" s="384"/>
      <c r="O125" s="384"/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الشهر'!$C$10:$AD$119,28,FALSE),0)</f>
        <v>0</v>
      </c>
      <c r="E126" s="362">
        <f>IFERROR(VLOOKUP(C126,'تقرير المصروفات حسب الشهر'!$C$135:$AD$244,28,FALSE),0)</f>
        <v>0</v>
      </c>
      <c r="F126" s="362">
        <f>IFERROR(VLOOKUP(C126,'تقرير المصروفات حسب الشهر'!$C$261:$AD$368,28,FALSE),0)</f>
        <v>0</v>
      </c>
      <c r="G126" s="362">
        <f>IFERROR(VLOOKUP(C126,'تقرير المصروفات حسب الشهر'!$C$387:$AD$495,28,FALSE),0)</f>
        <v>0</v>
      </c>
      <c r="H126" s="362">
        <f>IFERROR(VLOOKUP(C126,'تقرير المصروفات حسب الشهر'!$C$512:$AD$620,28,FALSE),0)</f>
        <v>0</v>
      </c>
      <c r="I126" s="362">
        <f>IFERROR(VLOOKUP(C126,'تقرير المصروفات حسب الشهر'!$C$637:$AD$746,28,FALSE),0)</f>
        <v>0</v>
      </c>
      <c r="J126" s="362">
        <f>IFERROR(VLOOKUP(C126,'تقرير المصروفات حسب الشهر'!$C$763:$AD$872,28,FALSE),0)</f>
        <v>0</v>
      </c>
      <c r="K126" s="362">
        <f>IFERROR(VLOOKUP(C126,'تقرير المصروفات حسب الشهر'!$C$890:$AD$999,28,FALSE),0)</f>
        <v>0</v>
      </c>
      <c r="L126" s="362">
        <f>IFERROR(VLOOKUP(C126,'تقرير المصروفات حسب الشهر'!$C$1016:$AD$1126,28,FALSE),0)</f>
        <v>0</v>
      </c>
      <c r="M126" s="376">
        <f>IFERROR(VLOOKUP(C126,'تقرير المصروفات حسب الشهر'!$C$1143:$AD$1254,28,FALSE),0)</f>
        <v>0</v>
      </c>
      <c r="N126" s="384"/>
      <c r="O126" s="384"/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الشهر'!$C$10:$AD$119,28,FALSE),0)</f>
        <v>0</v>
      </c>
      <c r="E127" s="362">
        <f>IFERROR(VLOOKUP(C127,'تقرير المصروفات حسب الشهر'!$C$135:$AD$244,28,FALSE),0)</f>
        <v>0</v>
      </c>
      <c r="F127" s="362">
        <f>IFERROR(VLOOKUP(C127,'تقرير المصروفات حسب الشهر'!$C$261:$AD$368,28,FALSE),0)</f>
        <v>0</v>
      </c>
      <c r="G127" s="362">
        <f>IFERROR(VLOOKUP(C127,'تقرير المصروفات حسب الشهر'!$C$387:$AD$495,28,FALSE),0)</f>
        <v>0</v>
      </c>
      <c r="H127" s="362">
        <f>IFERROR(VLOOKUP(C127,'تقرير المصروفات حسب الشهر'!$C$512:$AD$620,28,FALSE),0)</f>
        <v>0</v>
      </c>
      <c r="I127" s="362">
        <f>IFERROR(VLOOKUP(C127,'تقرير المصروفات حسب الشهر'!$C$637:$AD$746,28,FALSE),0)</f>
        <v>0</v>
      </c>
      <c r="J127" s="362">
        <f>IFERROR(VLOOKUP(C127,'تقرير المصروفات حسب الشهر'!$C$763:$AD$872,28,FALSE),0)</f>
        <v>0</v>
      </c>
      <c r="K127" s="362">
        <f>IFERROR(VLOOKUP(C127,'تقرير المصروفات حسب الشهر'!$C$890:$AD$999,28,FALSE),0)</f>
        <v>0</v>
      </c>
      <c r="L127" s="362">
        <f>IFERROR(VLOOKUP(C127,'تقرير المصروفات حسب الشهر'!$C$1016:$AD$1126,28,FALSE),0)</f>
        <v>0</v>
      </c>
      <c r="M127" s="376">
        <f>IFERROR(VLOOKUP(C127,'تقرير المصروفات حسب الشهر'!$C$1143:$AD$1254,28,FALSE),0)</f>
        <v>0</v>
      </c>
      <c r="N127" s="384"/>
      <c r="O127" s="384"/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الشهر'!$C$10:$AD$119,28,FALSE),0)</f>
        <v>0</v>
      </c>
      <c r="E128" s="362">
        <f>IFERROR(VLOOKUP(C128,'تقرير المصروفات حسب الشهر'!$C$135:$AD$244,28,FALSE),0)</f>
        <v>0</v>
      </c>
      <c r="F128" s="362">
        <f>IFERROR(VLOOKUP(C128,'تقرير المصروفات حسب الشهر'!$C$261:$AD$368,28,FALSE),0)</f>
        <v>0</v>
      </c>
      <c r="G128" s="362">
        <f>IFERROR(VLOOKUP(C128,'تقرير المصروفات حسب الشهر'!$C$387:$AD$495,28,FALSE),0)</f>
        <v>0</v>
      </c>
      <c r="H128" s="362">
        <f>IFERROR(VLOOKUP(C128,'تقرير المصروفات حسب الشهر'!$C$512:$AD$620,28,FALSE),0)</f>
        <v>0</v>
      </c>
      <c r="I128" s="362">
        <f>IFERROR(VLOOKUP(C128,'تقرير المصروفات حسب الشهر'!$C$637:$AD$746,28,FALSE),0)</f>
        <v>0</v>
      </c>
      <c r="J128" s="362">
        <f>IFERROR(VLOOKUP(C128,'تقرير المصروفات حسب الشهر'!$C$763:$AD$872,28,FALSE),0)</f>
        <v>0</v>
      </c>
      <c r="K128" s="362">
        <f>IFERROR(VLOOKUP(C128,'تقرير المصروفات حسب الشهر'!$C$890:$AD$999,28,FALSE),0)</f>
        <v>0</v>
      </c>
      <c r="L128" s="362">
        <f>IFERROR(VLOOKUP(C128,'تقرير المصروفات حسب الشهر'!$C$1016:$AD$1126,28,FALSE),0)</f>
        <v>0</v>
      </c>
      <c r="M128" s="376">
        <f>IFERROR(VLOOKUP(C128,'تقرير المصروفات حسب الشهر'!$C$1143:$AD$1254,28,FALSE),0)</f>
        <v>0</v>
      </c>
      <c r="N128" s="384"/>
      <c r="O128" s="384"/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الشهر'!$C$10:$AD$119,28,FALSE),0)</f>
        <v>0</v>
      </c>
      <c r="E129" s="362">
        <f>IFERROR(VLOOKUP(C129,'تقرير المصروفات حسب الشهر'!$C$135:$AD$244,28,FALSE),0)</f>
        <v>0</v>
      </c>
      <c r="F129" s="362">
        <f>IFERROR(VLOOKUP(C129,'تقرير المصروفات حسب الشهر'!$C$261:$AD$368,28,FALSE),0)</f>
        <v>0</v>
      </c>
      <c r="G129" s="362">
        <f>IFERROR(VLOOKUP(C129,'تقرير المصروفات حسب الشهر'!$C$387:$AD$495,28,FALSE),0)</f>
        <v>0</v>
      </c>
      <c r="H129" s="362">
        <f>IFERROR(VLOOKUP(C129,'تقرير المصروفات حسب الشهر'!$C$512:$AD$620,28,FALSE),0)</f>
        <v>0</v>
      </c>
      <c r="I129" s="362">
        <f>IFERROR(VLOOKUP(C129,'تقرير المصروفات حسب الشهر'!$C$637:$AD$746,28,FALSE),0)</f>
        <v>0</v>
      </c>
      <c r="J129" s="362">
        <f>IFERROR(VLOOKUP(C129,'تقرير المصروفات حسب الشهر'!$C$763:$AD$872,28,FALSE),0)</f>
        <v>0</v>
      </c>
      <c r="K129" s="362">
        <f>IFERROR(VLOOKUP(C129,'تقرير المصروفات حسب الشهر'!$C$890:$AD$999,28,FALSE),0)</f>
        <v>0</v>
      </c>
      <c r="L129" s="362">
        <f>IFERROR(VLOOKUP(C129,'تقرير المصروفات حسب الشهر'!$C$1016:$AD$1126,28,FALSE),0)</f>
        <v>0</v>
      </c>
      <c r="M129" s="376">
        <f>IFERROR(VLOOKUP(C129,'تقرير المصروفات حسب الشهر'!$C$1143:$AD$1254,28,FALSE),0)</f>
        <v>0</v>
      </c>
      <c r="N129" s="384"/>
      <c r="O129" s="384"/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الشهر'!$C$10:$AD$119,28,FALSE),0)</f>
        <v>0</v>
      </c>
      <c r="E130" s="362">
        <f>IFERROR(VLOOKUP(C130,'تقرير المصروفات حسب الشهر'!$C$135:$AD$244,28,FALSE),0)</f>
        <v>0</v>
      </c>
      <c r="F130" s="362">
        <f>IFERROR(VLOOKUP(C130,'تقرير المصروفات حسب الشهر'!$C$261:$AD$368,28,FALSE),0)</f>
        <v>0</v>
      </c>
      <c r="G130" s="362">
        <f>IFERROR(VLOOKUP(C130,'تقرير المصروفات حسب الشهر'!$C$387:$AD$495,28,FALSE),0)</f>
        <v>0</v>
      </c>
      <c r="H130" s="362">
        <f>IFERROR(VLOOKUP(C130,'تقرير المصروفات حسب الشهر'!$C$512:$AD$620,28,FALSE),0)</f>
        <v>0</v>
      </c>
      <c r="I130" s="362">
        <f>IFERROR(VLOOKUP(C130,'تقرير المصروفات حسب الشهر'!$C$637:$AD$746,28,FALSE),0)</f>
        <v>0</v>
      </c>
      <c r="J130" s="362">
        <f>IFERROR(VLOOKUP(C130,'تقرير المصروفات حسب الشهر'!$C$763:$AD$872,28,FALSE),0)</f>
        <v>0</v>
      </c>
      <c r="K130" s="362">
        <f>IFERROR(VLOOKUP(C130,'تقرير المصروفات حسب الشهر'!$C$890:$AD$999,28,FALSE),0)</f>
        <v>0</v>
      </c>
      <c r="L130" s="362">
        <f>IFERROR(VLOOKUP(C130,'تقرير المصروفات حسب الشهر'!$C$1016:$AD$1126,28,FALSE),0)</f>
        <v>0</v>
      </c>
      <c r="M130" s="376">
        <f>IFERROR(VLOOKUP(C130,'تقرير المصروفات حسب الشهر'!$C$1143:$AD$1254,28,FALSE),0)</f>
        <v>0</v>
      </c>
      <c r="N130" s="384"/>
      <c r="O130" s="384"/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الشهر'!$C$10:$AD$119,28,FALSE),0)</f>
        <v>0</v>
      </c>
      <c r="E131" s="362">
        <f>IFERROR(VLOOKUP(C131,'تقرير المصروفات حسب الشهر'!$C$135:$AD$244,28,FALSE),0)</f>
        <v>0</v>
      </c>
      <c r="F131" s="362">
        <f>IFERROR(VLOOKUP(C131,'تقرير المصروفات حسب الشهر'!$C$261:$AD$368,28,FALSE),0)</f>
        <v>0</v>
      </c>
      <c r="G131" s="362">
        <f>IFERROR(VLOOKUP(C131,'تقرير المصروفات حسب الشهر'!$C$387:$AD$495,28,FALSE),0)</f>
        <v>0</v>
      </c>
      <c r="H131" s="362">
        <f>IFERROR(VLOOKUP(C131,'تقرير المصروفات حسب الشهر'!$C$512:$AD$620,28,FALSE),0)</f>
        <v>0</v>
      </c>
      <c r="I131" s="362">
        <f>IFERROR(VLOOKUP(C131,'تقرير المصروفات حسب الشهر'!$C$637:$AD$746,28,FALSE),0)</f>
        <v>0</v>
      </c>
      <c r="J131" s="362">
        <f>IFERROR(VLOOKUP(C131,'تقرير المصروفات حسب الشهر'!$C$763:$AD$872,28,FALSE),0)</f>
        <v>0</v>
      </c>
      <c r="K131" s="362">
        <f>IFERROR(VLOOKUP(C131,'تقرير المصروفات حسب الشهر'!$C$890:$AD$999,28,FALSE),0)</f>
        <v>0</v>
      </c>
      <c r="L131" s="362">
        <f>IFERROR(VLOOKUP(C131,'تقرير المصروفات حسب الشهر'!$C$1016:$AD$1126,28,FALSE),0)</f>
        <v>0</v>
      </c>
      <c r="M131" s="376">
        <f>IFERROR(VLOOKUP(C131,'تقرير المصروفات حسب الشهر'!$C$1143:$AD$1254,28,FALSE),0)</f>
        <v>0</v>
      </c>
      <c r="N131" s="384"/>
      <c r="O131" s="384"/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0</v>
      </c>
      <c r="E132" s="146">
        <f t="shared" si="7"/>
        <v>0</v>
      </c>
      <c r="F132" s="146">
        <f t="shared" si="7"/>
        <v>0</v>
      </c>
      <c r="G132" s="146">
        <f t="shared" si="7"/>
        <v>0</v>
      </c>
      <c r="H132" s="146">
        <f t="shared" si="7"/>
        <v>0</v>
      </c>
      <c r="I132" s="146">
        <f t="shared" si="7"/>
        <v>0</v>
      </c>
      <c r="J132" s="146">
        <f t="shared" si="7"/>
        <v>0</v>
      </c>
      <c r="K132" s="146">
        <f t="shared" si="7"/>
        <v>0</v>
      </c>
      <c r="L132" s="146">
        <f t="shared" si="7"/>
        <v>0</v>
      </c>
      <c r="M132" s="146">
        <f t="shared" si="7"/>
        <v>0</v>
      </c>
      <c r="N132" s="146">
        <f t="shared" si="7"/>
        <v>0</v>
      </c>
      <c r="O132" s="146">
        <f t="shared" si="7"/>
        <v>0</v>
      </c>
      <c r="P132" s="388">
        <f t="shared" si="6"/>
        <v>0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0</v>
      </c>
      <c r="E134" s="392">
        <f t="shared" si="8"/>
        <v>0</v>
      </c>
      <c r="F134" s="392">
        <f t="shared" si="8"/>
        <v>0</v>
      </c>
      <c r="G134" s="392">
        <f t="shared" si="8"/>
        <v>0</v>
      </c>
      <c r="H134" s="392">
        <f t="shared" si="8"/>
        <v>0</v>
      </c>
      <c r="I134" s="392">
        <f t="shared" si="8"/>
        <v>0</v>
      </c>
      <c r="J134" s="392">
        <f t="shared" si="8"/>
        <v>0</v>
      </c>
      <c r="K134" s="392">
        <f t="shared" si="8"/>
        <v>0</v>
      </c>
      <c r="L134" s="392">
        <f t="shared" si="8"/>
        <v>0</v>
      </c>
      <c r="M134" s="392">
        <f t="shared" si="8"/>
        <v>0</v>
      </c>
      <c r="N134" s="392">
        <f t="shared" si="8"/>
        <v>0</v>
      </c>
      <c r="O134" s="392">
        <f t="shared" si="8"/>
        <v>0</v>
      </c>
      <c r="P134" s="388">
        <f t="shared" si="6"/>
        <v>0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0</v>
      </c>
      <c r="E137" s="383">
        <f t="shared" ref="E137:O137" si="9">E134-E132</f>
        <v>0</v>
      </c>
      <c r="F137" s="383">
        <f t="shared" si="9"/>
        <v>0</v>
      </c>
      <c r="G137" s="383">
        <f t="shared" si="9"/>
        <v>0</v>
      </c>
      <c r="H137" s="383">
        <f t="shared" si="9"/>
        <v>0</v>
      </c>
      <c r="I137" s="383">
        <f t="shared" si="9"/>
        <v>0</v>
      </c>
      <c r="J137" s="383">
        <f t="shared" si="9"/>
        <v>0</v>
      </c>
      <c r="K137" s="383">
        <f t="shared" si="9"/>
        <v>0</v>
      </c>
      <c r="L137" s="383">
        <f t="shared" si="9"/>
        <v>0</v>
      </c>
      <c r="M137" s="383">
        <f t="shared" si="9"/>
        <v>0</v>
      </c>
      <c r="N137" s="383">
        <f t="shared" si="9"/>
        <v>0</v>
      </c>
      <c r="O137" s="383">
        <f t="shared" si="9"/>
        <v>0</v>
      </c>
      <c r="P137" s="387">
        <f>SUM(D137:O137)</f>
        <v>0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EA20-C963-4E39-BC94-FA0189B62563}">
  <sheetPr>
    <tabColor rgb="FFFFC000"/>
  </sheetPr>
  <dimension ref="A1:T143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0" width="13" style="113" customWidth="1"/>
    <col min="11" max="11" width="11.33203125" style="113" bestFit="1" customWidth="1"/>
    <col min="12" max="15" width="13" style="113" customWidth="1"/>
    <col min="16" max="16" width="15.33203125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365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357</v>
      </c>
      <c r="B8" s="390"/>
      <c r="C8" s="369" t="s">
        <v>114</v>
      </c>
      <c r="D8" s="364">
        <f>IFERROR(D9+D10+D11,0)</f>
        <v>1637563.82</v>
      </c>
      <c r="E8" s="364">
        <f>IFERROR(E9+E10+E11,0)</f>
        <v>1972110.25</v>
      </c>
      <c r="F8" s="364">
        <f>IFERROR(F9+F10+F11,0)</f>
        <v>2788461.25</v>
      </c>
      <c r="G8" s="364">
        <f>IFERROR(G9+G10+G11,0)</f>
        <v>2302404.46</v>
      </c>
      <c r="H8" s="364">
        <f t="shared" ref="H8:O8" si="0">H9+H10+H11</f>
        <v>2093941.22</v>
      </c>
      <c r="I8" s="364">
        <f t="shared" si="0"/>
        <v>2226955.65</v>
      </c>
      <c r="J8" s="364">
        <f t="shared" si="0"/>
        <v>2845986.95</v>
      </c>
      <c r="K8" s="364">
        <f t="shared" si="0"/>
        <v>3040988.69</v>
      </c>
      <c r="L8" s="364">
        <f t="shared" si="0"/>
        <v>3020644.28</v>
      </c>
      <c r="M8" s="364">
        <f t="shared" si="0"/>
        <v>4042664.2299999995</v>
      </c>
      <c r="N8" s="364">
        <f>N9+N10+N11</f>
        <v>3621438.02</v>
      </c>
      <c r="O8" s="364">
        <f t="shared" si="0"/>
        <v>3846654.27</v>
      </c>
      <c r="P8" s="364">
        <f>SUM(D8:O8)</f>
        <v>33439813.090000004</v>
      </c>
    </row>
    <row r="9" spans="1:20" ht="18" customHeight="1">
      <c r="B9" s="124"/>
      <c r="C9" s="370" t="s">
        <v>115</v>
      </c>
      <c r="D9" s="365">
        <f>IFERROR(VLOOKUP($A$8,'تقرير إحصائية بحجم المبيعات'!$B$7:$L$37,2,FALSE),0)</f>
        <v>1503024.24</v>
      </c>
      <c r="E9" s="365">
        <f>IFERROR(VLOOKUP($A$8,'تقرير إحصائية بحجم المبيعات'!$B$42:$G$73,2,FALSE),0)</f>
        <v>1825580.88</v>
      </c>
      <c r="F9" s="365">
        <v>2612974.33</v>
      </c>
      <c r="G9" s="365">
        <f>IFERROR(VLOOKUP($A$8,'تقرير إحصائية بحجم المبيعات'!$B$112:$L$145,2,FALSE),0)</f>
        <v>2220746.15</v>
      </c>
      <c r="H9" s="365">
        <f>VLOOKUP($A$8,'تقرير إحصائية بحجم المبيعات'!$B$147:$G$195,2,FALSE)</f>
        <v>2026615.29</v>
      </c>
      <c r="I9" s="365">
        <f>VLOOKUP($A$8,'تقرير إحصائية بحجم المبيعات'!$B$182:$G$212,2,FALSE)</f>
        <v>2097718.2600000002</v>
      </c>
      <c r="J9" s="365">
        <f>VLOOKUP($A$8,'تقرير إحصائية بحجم المبيعات'!$B$217:$L$245,2,FALSE)</f>
        <v>2597159.31</v>
      </c>
      <c r="K9" s="365">
        <f>VLOOKUP($A$8,'تقرير إحصائية بحجم المبيعات'!$B$252:$L$290,2,FALSE)</f>
        <v>2823780.13</v>
      </c>
      <c r="L9" s="365">
        <f>VLOOKUP($A$8,'تقرير إحصائية بحجم المبيعات'!$B$287:$L$334,2,FALSE)</f>
        <v>2691633.9899999998</v>
      </c>
      <c r="M9" s="365">
        <f>VLOOKUP($A$8,'تقرير إحصائية بحجم المبيعات'!$B$322:$L$347,2,FALSE)</f>
        <v>3459079.11</v>
      </c>
      <c r="N9" s="365">
        <f>VLOOKUP($A$8,'تقرير إحصائية بحجم المبيعات'!$B$357:$L$386,2,FALSE)</f>
        <v>2909057.32</v>
      </c>
      <c r="O9" s="365">
        <f>VLOOKUP($A$8,'تقرير إحصائية بحجم المبيعات'!$B$391:$L$420,2,FALSE)</f>
        <v>3004583.73</v>
      </c>
      <c r="P9" s="364">
        <f t="shared" ref="P9:P18" si="1">SUM(D9:O9)</f>
        <v>29771952.739999998</v>
      </c>
    </row>
    <row r="10" spans="1:20" ht="18" customHeight="1">
      <c r="B10" s="124"/>
      <c r="C10" s="370" t="s">
        <v>21</v>
      </c>
      <c r="D10" s="365">
        <f>IFERROR(VLOOKUP($A$8,'تقرير إحصائية بحجم المبيعات'!$B$7:$L$37,3,FALSE),0)</f>
        <v>41649.01</v>
      </c>
      <c r="E10" s="365">
        <f>IFERROR(VLOOKUP($A$8,'تقرير إحصائية بحجم المبيعات'!$B$42:$G$73,3,FALSE),0)</f>
        <v>48357.09</v>
      </c>
      <c r="F10" s="365">
        <v>45376.38</v>
      </c>
      <c r="G10" s="365">
        <f>IFERROR(VLOOKUP($A$8,'تقرير إحصائية بحجم المبيعات'!$B$112:$G$145,3,FALSE),0)</f>
        <v>36683.9</v>
      </c>
      <c r="H10" s="365">
        <f>VLOOKUP($A$8,'تقرير إحصائية بحجم المبيعات'!$B$147:$G$177,3,FALSE)</f>
        <v>10045.879999999999</v>
      </c>
      <c r="I10" s="365">
        <f>VLOOKUP($A$8,'تقرير إحصائية بحجم المبيعات'!$B$182:$G$212,3,FALSE)</f>
        <v>45066.59</v>
      </c>
      <c r="J10" s="365">
        <f>VLOOKUP($A$8,'تقرير إحصائية بحجم المبيعات'!$B$217:$L$245,3,FALSE)</f>
        <v>99065.23</v>
      </c>
      <c r="K10" s="365">
        <f>VLOOKUP($A$8,'تقرير إحصائية بحجم المبيعات'!$B$252:$L$290,3,FALSE)</f>
        <v>99400.35</v>
      </c>
      <c r="L10" s="365">
        <f>VLOOKUP($A$8,'تقرير إحصائية بحجم المبيعات'!$B$287:$L$334,3,FALSE)</f>
        <v>174262.98</v>
      </c>
      <c r="M10" s="365">
        <f>VLOOKUP($A$8,'تقرير إحصائية بحجم المبيعات'!$B$322:$L$347,3,FALSE)</f>
        <v>383997.61</v>
      </c>
      <c r="N10" s="365">
        <f>VLOOKUP($A$8,'تقرير إحصائية بحجم المبيعات'!$B$357:$L$386,3,FALSE)</f>
        <v>450539.45</v>
      </c>
      <c r="O10" s="365">
        <f>VLOOKUP($A$8,'تقرير إحصائية بحجم المبيعات'!$B$391:$L$420,3,FALSE)</f>
        <v>496278.64</v>
      </c>
      <c r="P10" s="364">
        <f t="shared" si="1"/>
        <v>1930723.1099999999</v>
      </c>
    </row>
    <row r="11" spans="1:20" ht="18" customHeight="1">
      <c r="B11" s="124"/>
      <c r="C11" s="370" t="s">
        <v>116</v>
      </c>
      <c r="D11" s="365">
        <f>IFERROR(VLOOKUP($A$8,'تقرير إحصائية بحجم المبيعات'!$B$7:$L$37,4,FALSE),0)</f>
        <v>92890.57</v>
      </c>
      <c r="E11" s="365">
        <f>IFERROR(VLOOKUP($A$8,'تقرير إحصائية بحجم المبيعات'!$B$42:$G$73,4,FALSE),0)</f>
        <v>98172.28</v>
      </c>
      <c r="F11" s="365">
        <v>130110.54</v>
      </c>
      <c r="G11" s="365">
        <f>IFERROR(VLOOKUP($A$8,'تقرير إحصائية بحجم المبيعات'!$B$112:$G$145,4,FALSE),0)</f>
        <v>44974.41</v>
      </c>
      <c r="H11" s="365">
        <f>VLOOKUP($A$8,'تقرير إحصائية بحجم المبيعات'!$B$147:$G$177,4,FALSE)</f>
        <v>57280.05</v>
      </c>
      <c r="I11" s="365">
        <f>VLOOKUP($A$8,'تقرير إحصائية بحجم المبيعات'!$B$182:$G$212,4,FALSE)</f>
        <v>84170.8</v>
      </c>
      <c r="J11" s="365">
        <f>VLOOKUP($A$8,'تقرير إحصائية بحجم المبيعات'!$B$217:$L$245,4,FALSE)</f>
        <v>149762.41</v>
      </c>
      <c r="K11" s="365">
        <f>VLOOKUP($A$8,'تقرير إحصائية بحجم المبيعات'!$B$252:$L$290,4,FALSE)</f>
        <v>117808.21</v>
      </c>
      <c r="L11" s="365">
        <f>VLOOKUP($A$8,'تقرير إحصائية بحجم المبيعات'!$B$287:$L$334,4,FALSE)</f>
        <v>154747.31</v>
      </c>
      <c r="M11" s="365">
        <f>VLOOKUP($A$8,'تقرير إحصائية بحجم المبيعات'!$B$322:$L$347,4,FALSE)</f>
        <v>199587.51</v>
      </c>
      <c r="N11" s="365">
        <f>VLOOKUP($A$8,'تقرير إحصائية بحجم المبيعات'!$B$357:$L$386,4,FALSE)</f>
        <v>261841.25</v>
      </c>
      <c r="O11" s="365">
        <f>VLOOKUP($A$8,'تقرير إحصائية بحجم المبيعات'!$B$391:$L$420,4,FALSE)</f>
        <v>345791.9</v>
      </c>
      <c r="P11" s="364">
        <f t="shared" si="1"/>
        <v>1737137.2400000002</v>
      </c>
    </row>
    <row r="12" spans="1:20" ht="18" customHeight="1">
      <c r="B12" s="124"/>
      <c r="C12" s="369" t="s">
        <v>120</v>
      </c>
      <c r="D12" s="364">
        <f>IFERROR(VLOOKUP($A$8,'تقرير إحصائية بحجم المبيعات'!$B$7:$L$37,11,FALSE),0)</f>
        <v>1257821.1499999999</v>
      </c>
      <c r="E12" s="364">
        <f>IFERROR(VLOOKUP($A$8,'تقرير إحصائية بحجم المبيعات'!$B$42:$L$73,11,FALSE),0)</f>
        <v>1515775.01</v>
      </c>
      <c r="F12" s="364">
        <v>2141396.33</v>
      </c>
      <c r="G12" s="364">
        <f>IFERROR(VLOOKUP($A$8,'تقرير إحصائية بحجم المبيعات'!$B$112:$L$145,11,FALSE),0)</f>
        <v>1777170.28</v>
      </c>
      <c r="H12" s="364">
        <f>VLOOKUP($A$8,'تقرير إحصائية بحجم المبيعات'!$B$147:$L$177,11,FALSE)</f>
        <v>1617235.72</v>
      </c>
      <c r="I12" s="364">
        <f>VLOOKUP($A$8,'تقرير إحصائية بحجم المبيعات'!$B$182:$L$212,11,FALSE)</f>
        <v>1704329.73</v>
      </c>
      <c r="J12" s="365">
        <f>VLOOKUP($A$8,'تقرير إحصائية بحجم المبيعات'!$B$217:$L$245,11,FALSE)</f>
        <v>2203643.06</v>
      </c>
      <c r="K12" s="364">
        <f>VLOOKUP($A$8,'تقرير إحصائية بحجم المبيعات'!$B$252:$L$290,11,FALSE)</f>
        <v>2288601.2400000002</v>
      </c>
      <c r="L12" s="364">
        <f>VLOOKUP($A$8,'تقرير إحصائية بحجم المبيعات'!$B$287:$L$334,11,FALSE)</f>
        <v>2279914.67</v>
      </c>
      <c r="M12" s="365">
        <f>VLOOKUP($A$8,'تقرير إحصائية بحجم المبيعات'!$B$322:$L$347,11,FALSE)</f>
        <v>3142231.3</v>
      </c>
      <c r="N12" s="365">
        <f>VLOOKUP($A$8,'تقرير إحصائية بحجم المبيعات'!$B$357:$L$386,11,FALSE)</f>
        <v>2795222.19</v>
      </c>
      <c r="O12" s="365">
        <f>VLOOKUP($A$8,'تقرير إحصائية بحجم المبيعات'!$B$391:$L$420,11,FALSE)</f>
        <v>3020516.38</v>
      </c>
      <c r="P12" s="364">
        <f t="shared" si="1"/>
        <v>25743857.060000002</v>
      </c>
    </row>
    <row r="13" spans="1:20" ht="18" customHeight="1">
      <c r="B13" s="124"/>
      <c r="C13" s="371" t="s">
        <v>14</v>
      </c>
      <c r="D13" s="366">
        <f t="shared" ref="D13:O13" si="2">D8-D12</f>
        <v>379742.67000000016</v>
      </c>
      <c r="E13" s="366">
        <f t="shared" si="2"/>
        <v>456335.24</v>
      </c>
      <c r="F13" s="366">
        <f t="shared" si="2"/>
        <v>647064.91999999993</v>
      </c>
      <c r="G13" s="366">
        <f t="shared" si="2"/>
        <v>525234.17999999993</v>
      </c>
      <c r="H13" s="366">
        <f t="shared" si="2"/>
        <v>476705.5</v>
      </c>
      <c r="I13" s="366">
        <f t="shared" si="2"/>
        <v>522625.91999999993</v>
      </c>
      <c r="J13" s="366">
        <f t="shared" si="2"/>
        <v>642343.89000000013</v>
      </c>
      <c r="K13" s="366">
        <f t="shared" si="2"/>
        <v>752387.44999999972</v>
      </c>
      <c r="L13" s="366">
        <f t="shared" si="2"/>
        <v>740729.60999999987</v>
      </c>
      <c r="M13" s="366">
        <f t="shared" si="2"/>
        <v>900432.9299999997</v>
      </c>
      <c r="N13" s="366">
        <f>N8-N12</f>
        <v>826215.83000000007</v>
      </c>
      <c r="O13" s="366">
        <f t="shared" si="2"/>
        <v>826137.89000000013</v>
      </c>
      <c r="P13" s="366">
        <f t="shared" si="1"/>
        <v>7695956.0299999993</v>
      </c>
    </row>
    <row r="14" spans="1:20" ht="18" customHeight="1">
      <c r="B14" s="124"/>
      <c r="C14" s="369" t="s">
        <v>117</v>
      </c>
      <c r="D14" s="461"/>
      <c r="E14" s="461"/>
      <c r="F14" s="461"/>
      <c r="G14" s="461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467"/>
      <c r="E15" s="467"/>
      <c r="F15" s="467"/>
      <c r="G15" s="4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>
        <v>17.540000000000873</v>
      </c>
      <c r="I16" s="367"/>
      <c r="J16" s="367">
        <v>244.89999999999873</v>
      </c>
      <c r="K16" s="367">
        <v>1891.48</v>
      </c>
      <c r="L16" s="367"/>
      <c r="M16" s="367"/>
      <c r="N16" s="367">
        <v>16274.280000000013</v>
      </c>
      <c r="O16" s="367">
        <v>24709.010000000002</v>
      </c>
      <c r="P16" s="364">
        <f t="shared" si="1"/>
        <v>43137.210000000014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>
        <v>6800</v>
      </c>
      <c r="K17" s="367"/>
      <c r="L17" s="367"/>
      <c r="M17" s="367"/>
      <c r="N17" s="367"/>
      <c r="O17" s="367"/>
      <c r="P17" s="364">
        <f t="shared" si="1"/>
        <v>6800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17.540000000000873</v>
      </c>
      <c r="I18" s="363">
        <f t="shared" si="3"/>
        <v>0</v>
      </c>
      <c r="J18" s="363">
        <f t="shared" si="3"/>
        <v>7044.8999999999987</v>
      </c>
      <c r="K18" s="363">
        <f t="shared" si="3"/>
        <v>1891.48</v>
      </c>
      <c r="L18" s="363">
        <f t="shared" si="3"/>
        <v>0</v>
      </c>
      <c r="M18" s="368">
        <f t="shared" si="3"/>
        <v>0</v>
      </c>
      <c r="N18" s="368">
        <f>SUM(N14:N17)</f>
        <v>16274.280000000013</v>
      </c>
      <c r="O18" s="368">
        <f t="shared" si="3"/>
        <v>24709.010000000002</v>
      </c>
      <c r="P18" s="364">
        <f t="shared" si="1"/>
        <v>49937.210000000014</v>
      </c>
    </row>
    <row r="19" spans="2:16" ht="18" customHeight="1">
      <c r="B19" s="124"/>
      <c r="C19" s="386" t="s">
        <v>14</v>
      </c>
      <c r="D19" s="374">
        <f t="shared" ref="D19:O19" si="4">D13+D18</f>
        <v>379742.67000000016</v>
      </c>
      <c r="E19" s="374">
        <f t="shared" si="4"/>
        <v>456335.24</v>
      </c>
      <c r="F19" s="374">
        <f t="shared" si="4"/>
        <v>647064.91999999993</v>
      </c>
      <c r="G19" s="374">
        <f t="shared" si="4"/>
        <v>525234.17999999993</v>
      </c>
      <c r="H19" s="374">
        <f t="shared" si="4"/>
        <v>476723.04</v>
      </c>
      <c r="I19" s="374">
        <f t="shared" si="4"/>
        <v>522625.91999999993</v>
      </c>
      <c r="J19" s="374">
        <f t="shared" si="4"/>
        <v>649388.79000000015</v>
      </c>
      <c r="K19" s="374">
        <f t="shared" si="4"/>
        <v>754278.9299999997</v>
      </c>
      <c r="L19" s="374">
        <f t="shared" si="4"/>
        <v>740729.60999999987</v>
      </c>
      <c r="M19" s="374">
        <f t="shared" si="4"/>
        <v>900432.9299999997</v>
      </c>
      <c r="N19" s="374">
        <f t="shared" si="4"/>
        <v>842490.1100000001</v>
      </c>
      <c r="O19" s="374">
        <f t="shared" si="4"/>
        <v>850846.90000000014</v>
      </c>
      <c r="P19" s="382">
        <f>SUM(D19:O19)</f>
        <v>7745893.2399999993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466">
        <f>D23/D8</f>
        <v>0.13705441416017605</v>
      </c>
      <c r="E21" s="466">
        <f>E23/E8</f>
        <v>0.15753656774513494</v>
      </c>
      <c r="F21" s="466">
        <f>F23/F8</f>
        <v>0.11202436827838293</v>
      </c>
      <c r="G21" s="466">
        <f>G23/G8</f>
        <v>0.13644405466448759</v>
      </c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الشهر'!$C$10:$AL$119,29,FALSE),0)</f>
        <v>0</v>
      </c>
      <c r="E22" s="362">
        <f>IFERROR(VLOOKUP(C22,'تقرير المصروفات حسب الشهر'!$C$135:$AL$252,29,FALSE),0)</f>
        <v>0</v>
      </c>
      <c r="F22" s="362">
        <v>0</v>
      </c>
      <c r="G22" s="362">
        <f>IFERROR(VLOOKUP(C22,'تقرير المصروفات حسب الشهر'!C386:AH497,29,0),0)</f>
        <v>0</v>
      </c>
      <c r="H22" s="362">
        <f>IFERROR(VLOOKUP(C22,'تقرير المصروفات حسب الشهر'!$C$512:$AH$620,29,FALSE),0)</f>
        <v>0</v>
      </c>
      <c r="I22" s="362">
        <f>IFERROR(VLOOKUP(C22,'تقرير المصروفات حسب الشهر'!$C$637:$AI$750,29,FALSE),0)</f>
        <v>0</v>
      </c>
      <c r="J22" s="362">
        <f>IFERROR(VLOOKUP(C22,'تقرير المصروفات حسب الشهر'!$C$763:$AL$877,29,FALSE),0)</f>
        <v>0</v>
      </c>
      <c r="K22" s="362">
        <f>IFERROR(VLOOKUP(C22,'تقرير المصروفات حسب الشهر'!$C$890:$AI$1007,29,FALSE),0)</f>
        <v>0</v>
      </c>
      <c r="L22" s="362">
        <f>IFERROR(VLOOKUP(C22,'تقرير المصروفات حسب الشهر'!$C$1016:$AI$1131,29,FALSE),0)</f>
        <v>0</v>
      </c>
      <c r="M22" s="376">
        <f>IFERROR(VLOOKUP(C22,'تقرير المصروفات حسب الشهر'!$C$1143:$AI$1259,29,FALSE),0)</f>
        <v>0</v>
      </c>
      <c r="N22" s="376">
        <f>IFERROR(VLOOKUP(C22,'تقرير المصروفات حسب الشهر'!$C$1271:$AI$1385,29,FALSE),0)</f>
        <v>0</v>
      </c>
      <c r="O22" s="376">
        <f>IFERROR(VLOOKUP(C22,'تقرير المصروفات حسب الشهر'!$C$1397:$AI$1512,29,FALSE),0)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الشهر'!$C$10:$AL$119,29,FALSE),0)</f>
        <v>224435.35</v>
      </c>
      <c r="E23" s="362">
        <f>IFERROR(VLOOKUP(C23,'تقرير المصروفات حسب الشهر'!$C$135:$AL$252,29,FALSE),0)</f>
        <v>310679.48</v>
      </c>
      <c r="F23" s="362">
        <v>312375.61</v>
      </c>
      <c r="G23" s="362">
        <f>IFERROR(VLOOKUP(C23,'تقرير المصروفات حسب الشهر'!C387:AH499,29,0),0)</f>
        <v>314149.40000000002</v>
      </c>
      <c r="H23" s="362">
        <f>IFERROR(VLOOKUP(C23,'تقرير المصروفات حسب الشهر'!$C$512:$AH$620,29,FALSE),0)</f>
        <v>278776.8</v>
      </c>
      <c r="I23" s="362">
        <f>IFERROR(VLOOKUP(C23,'تقرير المصروفات حسب الشهر'!$C$637:$AI$750,29,FALSE),0)</f>
        <v>240386.48</v>
      </c>
      <c r="J23" s="362">
        <f>IFERROR(VLOOKUP(C23,'تقرير المصروفات حسب الشهر'!$C$763:$AL$877,29,FALSE),0)</f>
        <v>344092.93</v>
      </c>
      <c r="K23" s="362">
        <f>IFERROR(VLOOKUP(C23,'تقرير المصروفات حسب الشهر'!$C$890:$AI$1007,29,FALSE),0)</f>
        <v>311197.58</v>
      </c>
      <c r="L23" s="362">
        <f>IFERROR(VLOOKUP(C23,'تقرير المصروفات حسب الشهر'!$C$1016:$AI$1131,29,FALSE),0)</f>
        <v>326394.56</v>
      </c>
      <c r="M23" s="376">
        <f>IFERROR(VLOOKUP(C23,'تقرير المصروفات حسب الشهر'!$C$1143:$AI$1259,29,FALSE),0)</f>
        <v>445792.12</v>
      </c>
      <c r="N23" s="376">
        <f>IFERROR(VLOOKUP(C23,'تقرير المصروفات حسب الشهر'!$C$1271:$AI$1385,29,FALSE),0)</f>
        <v>399356.21</v>
      </c>
      <c r="O23" s="376">
        <f>IFERROR(VLOOKUP(C23,'تقرير المصروفات حسب الشهر'!$C$1397:$AI$1512,29,FALSE),0)</f>
        <v>474882.01999999996</v>
      </c>
      <c r="P23" s="364">
        <f t="shared" ref="P23:P86" si="5">SUM(D23:O23)</f>
        <v>3982518.54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الشهر'!$C$10:$AL$119,29,FALSE),0)</f>
        <v>2000</v>
      </c>
      <c r="E24" s="362">
        <f>IFERROR(VLOOKUP(C24,'تقرير المصروفات حسب الشهر'!$C$135:$AL$252,29,FALSE),0)</f>
        <v>1000</v>
      </c>
      <c r="F24" s="362">
        <v>1000</v>
      </c>
      <c r="G24" s="362">
        <f>IFERROR(VLOOKUP(C24,'تقرير المصروفات حسب الشهر'!C388:AH500,29,0),0)</f>
        <v>1000</v>
      </c>
      <c r="H24" s="362">
        <f>IFERROR(VLOOKUP(C24,'تقرير المصروفات حسب الشهر'!$C$512:$AH$620,29,FALSE),0)</f>
        <v>4000</v>
      </c>
      <c r="I24" s="362">
        <f>IFERROR(VLOOKUP(C24,'تقرير المصروفات حسب الشهر'!$C$637:$AI$750,29,FALSE),0)</f>
        <v>2000</v>
      </c>
      <c r="J24" s="362">
        <f>IFERROR(VLOOKUP(C24,'تقرير المصروفات حسب الشهر'!$C$763:$AL$877,29,FALSE),0)</f>
        <v>4030</v>
      </c>
      <c r="K24" s="362">
        <f>IFERROR(VLOOKUP(C24,'تقرير المصروفات حسب الشهر'!$C$890:$AI$1007,29,FALSE),0)</f>
        <v>3200</v>
      </c>
      <c r="L24" s="362">
        <f>IFERROR(VLOOKUP(C24,'تقرير المصروفات حسب الشهر'!$C$1016:$AI$1131,29,FALSE),0)</f>
        <v>4420</v>
      </c>
      <c r="M24" s="376">
        <f>IFERROR(VLOOKUP(C24,'تقرير المصروفات حسب الشهر'!$C$1143:$AI$1259,29,FALSE),0)</f>
        <v>4000</v>
      </c>
      <c r="N24" s="376">
        <f>IFERROR(VLOOKUP(C24,'تقرير المصروفات حسب الشهر'!$C$1271:$AI$1385,29,FALSE),0)</f>
        <v>2202</v>
      </c>
      <c r="O24" s="376">
        <f>IFERROR(VLOOKUP(C24,'تقرير المصروفات حسب الشهر'!$C$1397:$AI$1512,29,FALSE),0)</f>
        <v>3000</v>
      </c>
      <c r="P24" s="364">
        <f t="shared" si="5"/>
        <v>31852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الشهر'!$C$10:$AL$119,29,FALSE),0)</f>
        <v>0</v>
      </c>
      <c r="E25" s="362">
        <f>IFERROR(VLOOKUP(C25,'تقرير المصروفات حسب الشهر'!$C$135:$AL$252,29,FALSE),0)</f>
        <v>0</v>
      </c>
      <c r="F25" s="362">
        <v>680</v>
      </c>
      <c r="G25" s="362">
        <f>IFERROR(VLOOKUP(C25,'تقرير المصروفات حسب الشهر'!C389:AH501,29,0),0)</f>
        <v>0</v>
      </c>
      <c r="H25" s="362">
        <f>IFERROR(VLOOKUP(C25,'تقرير المصروفات حسب الشهر'!$C$512:$AH$620,29,FALSE),0)</f>
        <v>0</v>
      </c>
      <c r="I25" s="362">
        <f>IFERROR(VLOOKUP(C25,'تقرير المصروفات حسب الشهر'!$C$637:$AI$750,29,FALSE),0)</f>
        <v>0</v>
      </c>
      <c r="J25" s="362">
        <f>IFERROR(VLOOKUP(C25,'تقرير المصروفات حسب الشهر'!$C$763:$AL$877,29,FALSE),0)</f>
        <v>0</v>
      </c>
      <c r="K25" s="362">
        <f>IFERROR(VLOOKUP(C25,'تقرير المصروفات حسب الشهر'!$C$890:$AI$1007,29,FALSE),0)</f>
        <v>0</v>
      </c>
      <c r="L25" s="362">
        <f>IFERROR(VLOOKUP(C25,'تقرير المصروفات حسب الشهر'!$C$1016:$AI$1131,29,FALSE),0)</f>
        <v>450</v>
      </c>
      <c r="M25" s="376">
        <f>IFERROR(VLOOKUP(C25,'تقرير المصروفات حسب الشهر'!$C$1143:$AI$1259,29,FALSE),0)</f>
        <v>0</v>
      </c>
      <c r="N25" s="376">
        <f>IFERROR(VLOOKUP(C25,'تقرير المصروفات حسب الشهر'!$C$1271:$AI$1385,29,FALSE),0)</f>
        <v>0</v>
      </c>
      <c r="O25" s="376">
        <f>IFERROR(VLOOKUP(C25,'تقرير المصروفات حسب الشهر'!$C$1397:$AI$1512,29,FALSE),0)</f>
        <v>0</v>
      </c>
      <c r="P25" s="364">
        <f t="shared" si="5"/>
        <v>1130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الشهر'!$C$10:$AL$119,29,FALSE),0)</f>
        <v>81</v>
      </c>
      <c r="E26" s="362">
        <f>IFERROR(VLOOKUP(C26,'تقرير المصروفات حسب الشهر'!$C$135:$AL$252,29,FALSE),0)</f>
        <v>0</v>
      </c>
      <c r="F26" s="362">
        <v>0</v>
      </c>
      <c r="G26" s="362">
        <f>IFERROR(VLOOKUP(C26,'تقرير المصروفات حسب الشهر'!C390:AH502,29,0),0)</f>
        <v>0</v>
      </c>
      <c r="H26" s="362">
        <f>IFERROR(VLOOKUP(C26,'تقرير المصروفات حسب الشهر'!$C$512:$AH$620,29,FALSE),0)</f>
        <v>110</v>
      </c>
      <c r="I26" s="362">
        <f>IFERROR(VLOOKUP(C26,'تقرير المصروفات حسب الشهر'!$C$637:$AI$750,29,FALSE),0)</f>
        <v>1000</v>
      </c>
      <c r="J26" s="362">
        <f>IFERROR(VLOOKUP(C26,'تقرير المصروفات حسب الشهر'!$C$763:$AL$877,29,FALSE),0)</f>
        <v>0</v>
      </c>
      <c r="K26" s="362">
        <f>IFERROR(VLOOKUP(C26,'تقرير المصروفات حسب الشهر'!$C$890:$AI$1007,29,FALSE),0)</f>
        <v>0</v>
      </c>
      <c r="L26" s="362">
        <f>IFERROR(VLOOKUP(C26,'تقرير المصروفات حسب الشهر'!$C$1016:$AI$1131,29,FALSE),0)</f>
        <v>0</v>
      </c>
      <c r="M26" s="376">
        <f>IFERROR(VLOOKUP(C26,'تقرير المصروفات حسب الشهر'!$C$1143:$AI$1259,29,FALSE),0)</f>
        <v>0</v>
      </c>
      <c r="N26" s="376">
        <f>IFERROR(VLOOKUP(C26,'تقرير المصروفات حسب الشهر'!$C$1271:$AI$1385,29,FALSE),0)</f>
        <v>100</v>
      </c>
      <c r="O26" s="376">
        <f>IFERROR(VLOOKUP(C26,'تقرير المصروفات حسب الشهر'!$C$1397:$AI$1512,29,FALSE),0)</f>
        <v>0</v>
      </c>
      <c r="P26" s="364">
        <f t="shared" si="5"/>
        <v>1291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الشهر'!$C$10:$AL$119,29,FALSE),0)</f>
        <v>0</v>
      </c>
      <c r="E27" s="362">
        <f>IFERROR(VLOOKUP(C27,'تقرير المصروفات حسب الشهر'!$C$135:$AL$252,29,FALSE),0)</f>
        <v>0</v>
      </c>
      <c r="F27" s="362">
        <v>0</v>
      </c>
      <c r="G27" s="362">
        <f>IFERROR(VLOOKUP(C27,'تقرير المصروفات حسب الشهر'!C391:AH503,29,0),0)</f>
        <v>0</v>
      </c>
      <c r="H27" s="362">
        <f>IFERROR(VLOOKUP(C27,'تقرير المصروفات حسب الشهر'!$C$512:$AH$620,29,FALSE),0)</f>
        <v>0</v>
      </c>
      <c r="I27" s="362">
        <f>IFERROR(VLOOKUP(C27,'تقرير المصروفات حسب الشهر'!$C$637:$AI$750,29,FALSE),0)</f>
        <v>0</v>
      </c>
      <c r="J27" s="362">
        <f>IFERROR(VLOOKUP(C27,'تقرير المصروفات حسب الشهر'!$C$763:$AL$877,29,FALSE),0)</f>
        <v>0</v>
      </c>
      <c r="K27" s="362">
        <f>IFERROR(VLOOKUP(C27,'تقرير المصروفات حسب الشهر'!$C$890:$AI$1007,29,FALSE),0)</f>
        <v>0</v>
      </c>
      <c r="L27" s="362">
        <f>IFERROR(VLOOKUP(C27,'تقرير المصروفات حسب الشهر'!$C$1016:$AI$1131,29,FALSE),0)</f>
        <v>0</v>
      </c>
      <c r="M27" s="376">
        <f>IFERROR(VLOOKUP(C27,'تقرير المصروفات حسب الشهر'!$C$1143:$AI$1259,29,FALSE),0)</f>
        <v>0</v>
      </c>
      <c r="N27" s="376">
        <f>IFERROR(VLOOKUP(C27,'تقرير المصروفات حسب الشهر'!$C$1271:$AI$1385,29,FALSE),0)</f>
        <v>0</v>
      </c>
      <c r="O27" s="376">
        <f>IFERROR(VLOOKUP(C27,'تقرير المصروفات حسب الشهر'!$C$1397:$AI$1512,29,FALSE),0)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الشهر'!$C$10:$AL$119,29,FALSE),0)</f>
        <v>0</v>
      </c>
      <c r="E28" s="362">
        <f>IFERROR(VLOOKUP(C28,'تقرير المصروفات حسب الشهر'!$C$135:$AL$252,29,FALSE),0)</f>
        <v>0</v>
      </c>
      <c r="F28" s="362">
        <v>0</v>
      </c>
      <c r="G28" s="362">
        <f>IFERROR(VLOOKUP(C28,'تقرير المصروفات حسب الشهر'!C392:AH504,29,0),0)</f>
        <v>0</v>
      </c>
      <c r="H28" s="362">
        <f>IFERROR(VLOOKUP(C28,'تقرير المصروفات حسب الشهر'!$C$512:$AH$620,29,FALSE),0)</f>
        <v>0</v>
      </c>
      <c r="I28" s="362">
        <f>IFERROR(VLOOKUP(C28,'تقرير المصروفات حسب الشهر'!$C$637:$AI$750,29,FALSE),0)</f>
        <v>0</v>
      </c>
      <c r="J28" s="362">
        <f>IFERROR(VLOOKUP(C28,'تقرير المصروفات حسب الشهر'!$C$763:$AL$877,29,FALSE),0)</f>
        <v>0</v>
      </c>
      <c r="K28" s="362">
        <f>IFERROR(VLOOKUP(C28,'تقرير المصروفات حسب الشهر'!$C$890:$AI$1007,29,FALSE),0)</f>
        <v>0</v>
      </c>
      <c r="L28" s="362">
        <f>IFERROR(VLOOKUP(C28,'تقرير المصروفات حسب الشهر'!$C$1016:$AI$1131,29,FALSE),0)</f>
        <v>0</v>
      </c>
      <c r="M28" s="376">
        <f>IFERROR(VLOOKUP(C28,'تقرير المصروفات حسب الشهر'!$C$1143:$AI$1259,29,FALSE),0)</f>
        <v>0</v>
      </c>
      <c r="N28" s="376">
        <f>IFERROR(VLOOKUP(C28,'تقرير المصروفات حسب الشهر'!$C$1271:$AI$1385,29,FALSE),0)</f>
        <v>0</v>
      </c>
      <c r="O28" s="376">
        <f>IFERROR(VLOOKUP(C28,'تقرير المصروفات حسب الشهر'!$C$1397:$AI$1512,29,FALSE),0)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الشهر'!$C$10:$AL$119,29,FALSE),0)</f>
        <v>44100</v>
      </c>
      <c r="E29" s="362">
        <f>IFERROR(VLOOKUP(C29,'تقرير المصروفات حسب الشهر'!$C$135:$AL$252,29,FALSE),0)</f>
        <v>42750</v>
      </c>
      <c r="F29" s="362">
        <v>42925</v>
      </c>
      <c r="G29" s="362">
        <f>IFERROR(VLOOKUP(C29,'تقرير المصروفات حسب الشهر'!C393:AH505,29,0),0)</f>
        <v>42800</v>
      </c>
      <c r="H29" s="362">
        <f>IFERROR(VLOOKUP(C29,'تقرير المصروفات حسب الشهر'!$C$512:$AH$620,29,FALSE),0)</f>
        <v>48250</v>
      </c>
      <c r="I29" s="362">
        <f>IFERROR(VLOOKUP(C29,'تقرير المصروفات حسب الشهر'!$C$637:$AI$750,29,FALSE),0)</f>
        <v>48100</v>
      </c>
      <c r="J29" s="362">
        <f>IFERROR(VLOOKUP(C29,'تقرير المصروفات حسب الشهر'!$C$763:$AL$877,29,FALSE),0)</f>
        <v>42025</v>
      </c>
      <c r="K29" s="362">
        <f>IFERROR(VLOOKUP(C29,'تقرير المصروفات حسب الشهر'!$C$890:$AI$1007,29,FALSE),0)</f>
        <v>44025</v>
      </c>
      <c r="L29" s="362">
        <f>IFERROR(VLOOKUP(C29,'تقرير المصروفات حسب الشهر'!$C$1016:$AI$1131,29,FALSE),0)</f>
        <v>44025</v>
      </c>
      <c r="M29" s="376">
        <f>IFERROR(VLOOKUP(C29,'تقرير المصروفات حسب الشهر'!$C$1143:$AI$1259,29,FALSE),0)</f>
        <v>48050</v>
      </c>
      <c r="N29" s="376">
        <f>IFERROR(VLOOKUP(C29,'تقرير المصروفات حسب الشهر'!$C$1271:$AI$1385,29,FALSE),0)</f>
        <v>48050</v>
      </c>
      <c r="O29" s="376">
        <f>IFERROR(VLOOKUP(C29,'تقرير المصروفات حسب الشهر'!$C$1397:$AI$1512,29,FALSE),0)</f>
        <v>48000</v>
      </c>
      <c r="P29" s="364">
        <f t="shared" si="5"/>
        <v>543100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الشهر'!$C$10:$AL$119,29,FALSE),0)</f>
        <v>0</v>
      </c>
      <c r="E30" s="362">
        <f>IFERROR(VLOOKUP(C30,'تقرير المصروفات حسب الشهر'!$C$135:$AL$252,29,FALSE),0)</f>
        <v>0</v>
      </c>
      <c r="F30" s="362">
        <v>230</v>
      </c>
      <c r="G30" s="362">
        <f>IFERROR(VLOOKUP(C30,'تقرير المصروفات حسب الشهر'!C394:AH506,29,0),0)</f>
        <v>50</v>
      </c>
      <c r="H30" s="362">
        <f>IFERROR(VLOOKUP(C30,'تقرير المصروفات حسب الشهر'!$C$512:$AH$620,29,FALSE),0)</f>
        <v>0</v>
      </c>
      <c r="I30" s="362">
        <f>IFERROR(VLOOKUP(C30,'تقرير المصروفات حسب الشهر'!$C$637:$AI$750,29,FALSE),0)</f>
        <v>0</v>
      </c>
      <c r="J30" s="362">
        <f>IFERROR(VLOOKUP(C30,'تقرير المصروفات حسب الشهر'!$C$763:$AL$877,29,FALSE),0)</f>
        <v>0</v>
      </c>
      <c r="K30" s="362">
        <f>IFERROR(VLOOKUP(C30,'تقرير المصروفات حسب الشهر'!$C$890:$AI$1007,29,FALSE),0)</f>
        <v>101</v>
      </c>
      <c r="L30" s="362">
        <f>IFERROR(VLOOKUP(C30,'تقرير المصروفات حسب الشهر'!$C$1016:$AI$1131,29,FALSE),0)</f>
        <v>180</v>
      </c>
      <c r="M30" s="376">
        <f>IFERROR(VLOOKUP(C30,'تقرير المصروفات حسب الشهر'!$C$1143:$AI$1259,29,FALSE),0)</f>
        <v>755.25</v>
      </c>
      <c r="N30" s="376">
        <f>IFERROR(VLOOKUP(C30,'تقرير المصروفات حسب الشهر'!$C$1271:$AI$1385,29,FALSE),0)</f>
        <v>0</v>
      </c>
      <c r="O30" s="376">
        <f>IFERROR(VLOOKUP(C30,'تقرير المصروفات حسب الشهر'!$C$1397:$AI$1512,29,FALSE),0)</f>
        <v>580</v>
      </c>
      <c r="P30" s="364">
        <f t="shared" si="5"/>
        <v>1896.25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الشهر'!$C$10:$AL$119,29,FALSE),0)</f>
        <v>270.86</v>
      </c>
      <c r="E31" s="362">
        <f>IFERROR(VLOOKUP(C31,'تقرير المصروفات حسب الشهر'!$C$135:$AL$252,29,FALSE),0)</f>
        <v>270.86</v>
      </c>
      <c r="F31" s="362">
        <v>385.86</v>
      </c>
      <c r="G31" s="362">
        <f>IFERROR(VLOOKUP(C31,'تقرير المصروفات حسب الشهر'!C395:AH507,29,0),0)</f>
        <v>270.86</v>
      </c>
      <c r="H31" s="362">
        <f>IFERROR(VLOOKUP(C31,'تقرير المصروفات حسب الشهر'!$C$512:$AH$620,29,FALSE),0)</f>
        <v>270.86</v>
      </c>
      <c r="I31" s="362">
        <f>IFERROR(VLOOKUP(C31,'تقرير المصروفات حسب الشهر'!$C$637:$AI$750,29,FALSE),0)</f>
        <v>270.86</v>
      </c>
      <c r="J31" s="362">
        <f>IFERROR(VLOOKUP(C31,'تقرير المصروفات حسب الشهر'!$C$763:$AL$877,29,FALSE),0)</f>
        <v>270.86</v>
      </c>
      <c r="K31" s="362">
        <f>IFERROR(VLOOKUP(C31,'تقرير المصروفات حسب الشهر'!$C$890:$AI$1007,29,FALSE),0)</f>
        <v>370.86</v>
      </c>
      <c r="L31" s="362">
        <f>IFERROR(VLOOKUP(C31,'تقرير المصروفات حسب الشهر'!$C$1016:$AI$1131,29,FALSE),0)</f>
        <v>270.86</v>
      </c>
      <c r="M31" s="376">
        <f>IFERROR(VLOOKUP(C31,'تقرير المصروفات حسب الشهر'!$C$1143:$AI$1259,29,FALSE),0)</f>
        <v>270.86</v>
      </c>
      <c r="N31" s="376">
        <f>IFERROR(VLOOKUP(C31,'تقرير المصروفات حسب الشهر'!$C$1271:$AI$1385,29,FALSE),0)</f>
        <v>795.86</v>
      </c>
      <c r="O31" s="376">
        <f>IFERROR(VLOOKUP(C31,'تقرير المصروفات حسب الشهر'!$C$1397:$AI$1512,29,FALSE),0)</f>
        <v>270.86</v>
      </c>
      <c r="P31" s="364">
        <f t="shared" si="5"/>
        <v>3990.3200000000011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الشهر'!$C$10:$AL$119,29,FALSE),0)</f>
        <v>0</v>
      </c>
      <c r="E32" s="362">
        <f>IFERROR(VLOOKUP(C32,'تقرير المصروفات حسب الشهر'!$C$135:$AL$252,29,FALSE),0)</f>
        <v>0</v>
      </c>
      <c r="F32" s="362">
        <v>0</v>
      </c>
      <c r="G32" s="362">
        <f>IFERROR(VLOOKUP(C32,'تقرير المصروفات حسب الشهر'!C396:AH508,29,0),0)</f>
        <v>0</v>
      </c>
      <c r="H32" s="362">
        <f>IFERROR(VLOOKUP(C32,'تقرير المصروفات حسب الشهر'!$C$512:$AH$620,29,FALSE),0)</f>
        <v>0</v>
      </c>
      <c r="I32" s="362">
        <f>IFERROR(VLOOKUP(C32,'تقرير المصروفات حسب الشهر'!$C$637:$AI$750,29,FALSE),0)</f>
        <v>0</v>
      </c>
      <c r="J32" s="362">
        <f>IFERROR(VLOOKUP(C32,'تقرير المصروفات حسب الشهر'!$C$763:$AL$877,29,FALSE),0)</f>
        <v>0</v>
      </c>
      <c r="K32" s="362">
        <f>IFERROR(VLOOKUP(C32,'تقرير المصروفات حسب الشهر'!$C$890:$AI$1007,29,FALSE),0)</f>
        <v>0</v>
      </c>
      <c r="L32" s="362">
        <f>IFERROR(VLOOKUP(C32,'تقرير المصروفات حسب الشهر'!$C$1016:$AI$1131,29,FALSE),0)</f>
        <v>0</v>
      </c>
      <c r="M32" s="376">
        <f>IFERROR(VLOOKUP(C32,'تقرير المصروفات حسب الشهر'!$C$1143:$AI$1259,29,FALSE),0)</f>
        <v>0</v>
      </c>
      <c r="N32" s="376">
        <f>IFERROR(VLOOKUP(C32,'تقرير المصروفات حسب الشهر'!$C$1271:$AI$1385,29,FALSE),0)</f>
        <v>0</v>
      </c>
      <c r="O32" s="376">
        <f>IFERROR(VLOOKUP(C32,'تقرير المصروفات حسب الشهر'!$C$1397:$AI$1512,29,FALSE),0)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الشهر'!$C$10:$AL$119,29,FALSE),0)</f>
        <v>250</v>
      </c>
      <c r="E33" s="362">
        <f>IFERROR(VLOOKUP(C33,'تقرير المصروفات حسب الشهر'!$C$135:$AL$252,29,FALSE),0)</f>
        <v>0</v>
      </c>
      <c r="F33" s="362">
        <v>650</v>
      </c>
      <c r="G33" s="362">
        <f>IFERROR(VLOOKUP(C33,'تقرير المصروفات حسب الشهر'!C397:AH509,29,0),0)</f>
        <v>900</v>
      </c>
      <c r="H33" s="362">
        <f>IFERROR(VLOOKUP(C33,'تقرير المصروفات حسب الشهر'!$C$512:$AH$620,29,FALSE),0)</f>
        <v>0</v>
      </c>
      <c r="I33" s="362">
        <f>IFERROR(VLOOKUP(C33,'تقرير المصروفات حسب الشهر'!$C$637:$AI$750,29,FALSE),0)</f>
        <v>700</v>
      </c>
      <c r="J33" s="362">
        <f>IFERROR(VLOOKUP(C33,'تقرير المصروفات حسب الشهر'!$C$763:$AL$877,29,FALSE),0)</f>
        <v>0</v>
      </c>
      <c r="K33" s="362">
        <f>IFERROR(VLOOKUP(C33,'تقرير المصروفات حسب الشهر'!$C$890:$AI$1007,29,FALSE),0)</f>
        <v>500</v>
      </c>
      <c r="L33" s="362">
        <f>IFERROR(VLOOKUP(C33,'تقرير المصروفات حسب الشهر'!$C$1016:$AI$1131,29,FALSE),0)</f>
        <v>500</v>
      </c>
      <c r="M33" s="376">
        <f>IFERROR(VLOOKUP(C33,'تقرير المصروفات حسب الشهر'!$C$1143:$AI$1259,29,FALSE),0)</f>
        <v>0</v>
      </c>
      <c r="N33" s="376">
        <f>IFERROR(VLOOKUP(C33,'تقرير المصروفات حسب الشهر'!$C$1271:$AI$1385,29,FALSE),0)</f>
        <v>0</v>
      </c>
      <c r="O33" s="376">
        <f>IFERROR(VLOOKUP(C33,'تقرير المصروفات حسب الشهر'!$C$1397:$AI$1512,29,FALSE),0)</f>
        <v>0</v>
      </c>
      <c r="P33" s="364">
        <f t="shared" si="5"/>
        <v>3500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الشهر'!$C$10:$AL$119,29,FALSE),0)</f>
        <v>0</v>
      </c>
      <c r="E34" s="362">
        <f>IFERROR(VLOOKUP(C34,'تقرير المصروفات حسب الشهر'!$C$135:$AL$252,29,FALSE),0)</f>
        <v>0</v>
      </c>
      <c r="F34" s="362">
        <v>0</v>
      </c>
      <c r="G34" s="362">
        <f>IFERROR(VLOOKUP(C34,'تقرير المصروفات حسب الشهر'!C398:AH510,29,0),0)</f>
        <v>0</v>
      </c>
      <c r="H34" s="362">
        <f>IFERROR(VLOOKUP(C34,'تقرير المصروفات حسب الشهر'!$C$512:$AH$620,29,FALSE),0)</f>
        <v>0</v>
      </c>
      <c r="I34" s="362">
        <f>IFERROR(VLOOKUP(C34,'تقرير المصروفات حسب الشهر'!$C$637:$AI$750,29,FALSE),0)</f>
        <v>0</v>
      </c>
      <c r="J34" s="362">
        <f>IFERROR(VLOOKUP(C34,'تقرير المصروفات حسب الشهر'!$C$763:$AL$877,29,FALSE),0)</f>
        <v>0</v>
      </c>
      <c r="K34" s="362">
        <f>IFERROR(VLOOKUP(C34,'تقرير المصروفات حسب الشهر'!$C$890:$AI$1007,29,FALSE),0)</f>
        <v>0</v>
      </c>
      <c r="L34" s="362">
        <f>IFERROR(VLOOKUP(C34,'تقرير المصروفات حسب الشهر'!$C$1016:$AI$1131,29,FALSE),0)</f>
        <v>0</v>
      </c>
      <c r="M34" s="376">
        <f>IFERROR(VLOOKUP(C34,'تقرير المصروفات حسب الشهر'!$C$1143:$AI$1259,29,FALSE),0)</f>
        <v>0</v>
      </c>
      <c r="N34" s="376">
        <f>IFERROR(VLOOKUP(C34,'تقرير المصروفات حسب الشهر'!$C$1271:$AI$1385,29,FALSE),0)</f>
        <v>0</v>
      </c>
      <c r="O34" s="376">
        <f>IFERROR(VLOOKUP(C34,'تقرير المصروفات حسب الشهر'!$C$1397:$AI$1512,29,FALSE),0)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الشهر'!$C$10:$AL$119,29,FALSE),0)</f>
        <v>0</v>
      </c>
      <c r="E35" s="362">
        <f>IFERROR(VLOOKUP(C35,'تقرير المصروفات حسب الشهر'!$C$135:$AL$252,29,FALSE),0)</f>
        <v>0</v>
      </c>
      <c r="F35" s="362">
        <v>205</v>
      </c>
      <c r="G35" s="362">
        <f>IFERROR(VLOOKUP(C35,'تقرير المصروفات حسب الشهر'!C399:AH511,29,0),0)</f>
        <v>0</v>
      </c>
      <c r="H35" s="362">
        <f>IFERROR(VLOOKUP(C35,'تقرير المصروفات حسب الشهر'!$C$512:$AH$620,29,FALSE),0)</f>
        <v>200</v>
      </c>
      <c r="I35" s="362">
        <f>IFERROR(VLOOKUP(C35,'تقرير المصروفات حسب الشهر'!$C$637:$AI$750,29,FALSE),0)</f>
        <v>0</v>
      </c>
      <c r="J35" s="362">
        <f>IFERROR(VLOOKUP(C35,'تقرير المصروفات حسب الشهر'!$C$763:$AL$877,29,FALSE),0)</f>
        <v>0</v>
      </c>
      <c r="K35" s="362">
        <f>IFERROR(VLOOKUP(C35,'تقرير المصروفات حسب الشهر'!$C$890:$AI$1007,29,FALSE),0)</f>
        <v>250</v>
      </c>
      <c r="L35" s="362">
        <f>IFERROR(VLOOKUP(C35,'تقرير المصروفات حسب الشهر'!$C$1016:$AI$1131,29,FALSE),0)</f>
        <v>0</v>
      </c>
      <c r="M35" s="376">
        <f>IFERROR(VLOOKUP(C35,'تقرير المصروفات حسب الشهر'!$C$1143:$AI$1259,29,FALSE),0)</f>
        <v>0</v>
      </c>
      <c r="N35" s="376">
        <f>IFERROR(VLOOKUP(C35,'تقرير المصروفات حسب الشهر'!$C$1271:$AI$1385,29,FALSE),0)</f>
        <v>0</v>
      </c>
      <c r="O35" s="376">
        <f>IFERROR(VLOOKUP(C35,'تقرير المصروفات حسب الشهر'!$C$1397:$AI$1512,29,FALSE),0)</f>
        <v>915</v>
      </c>
      <c r="P35" s="364">
        <f t="shared" si="5"/>
        <v>1570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الشهر'!$C$10:$AL$119,29,FALSE),0)</f>
        <v>0</v>
      </c>
      <c r="E36" s="362">
        <f>IFERROR(VLOOKUP(C36,'تقرير المصروفات حسب الشهر'!$C$135:$AL$252,29,FALSE),0)</f>
        <v>0</v>
      </c>
      <c r="F36" s="362">
        <v>750</v>
      </c>
      <c r="G36" s="362">
        <f>IFERROR(VLOOKUP(C36,'تقرير المصروفات حسب الشهر'!C400:AH512,29,0),0)</f>
        <v>750</v>
      </c>
      <c r="H36" s="362">
        <f>IFERROR(VLOOKUP(C36,'تقرير المصروفات حسب الشهر'!$C$512:$AH$620,29,FALSE),0)</f>
        <v>0</v>
      </c>
      <c r="I36" s="362">
        <f>IFERROR(VLOOKUP(C36,'تقرير المصروفات حسب الشهر'!$C$637:$AI$750,29,FALSE),0)</f>
        <v>0</v>
      </c>
      <c r="J36" s="362">
        <f>IFERROR(VLOOKUP(C36,'تقرير المصروفات حسب الشهر'!$C$763:$AL$877,29,FALSE),0)</f>
        <v>0</v>
      </c>
      <c r="K36" s="362">
        <f>IFERROR(VLOOKUP(C36,'تقرير المصروفات حسب الشهر'!$C$890:$AI$1007,29,FALSE),0)</f>
        <v>0</v>
      </c>
      <c r="L36" s="362">
        <f>IFERROR(VLOOKUP(C36,'تقرير المصروفات حسب الشهر'!$C$1016:$AI$1131,29,FALSE),0)</f>
        <v>0</v>
      </c>
      <c r="M36" s="376">
        <f>IFERROR(VLOOKUP(C36,'تقرير المصروفات حسب الشهر'!$C$1143:$AI$1259,29,FALSE),0)</f>
        <v>0</v>
      </c>
      <c r="N36" s="376">
        <f>IFERROR(VLOOKUP(C36,'تقرير المصروفات حسب الشهر'!$C$1271:$AI$1385,29,FALSE),0)</f>
        <v>0</v>
      </c>
      <c r="O36" s="376">
        <f>IFERROR(VLOOKUP(C36,'تقرير المصروفات حسب الشهر'!$C$1397:$AI$1512,29,FALSE),0)</f>
        <v>2310</v>
      </c>
      <c r="P36" s="364">
        <f t="shared" si="5"/>
        <v>3810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الشهر'!$C$10:$AL$119,29,FALSE),0)</f>
        <v>2250</v>
      </c>
      <c r="E37" s="362">
        <f>IFERROR(VLOOKUP(C37,'تقرير المصروفات حسب الشهر'!$C$135:$AL$252,29,FALSE),0)</f>
        <v>0</v>
      </c>
      <c r="F37" s="362">
        <v>6750</v>
      </c>
      <c r="G37" s="362">
        <f>IFERROR(VLOOKUP(C37,'تقرير المصروفات حسب الشهر'!C401:AH513,29,0),0)</f>
        <v>2250</v>
      </c>
      <c r="H37" s="362">
        <f>IFERROR(VLOOKUP(C37,'تقرير المصروفات حسب الشهر'!$C$512:$AH$620,29,FALSE),0)</f>
        <v>0</v>
      </c>
      <c r="I37" s="362">
        <f>IFERROR(VLOOKUP(C37,'تقرير المصروفات حسب الشهر'!$C$637:$AI$750,29,FALSE),0)</f>
        <v>2250</v>
      </c>
      <c r="J37" s="362">
        <f>IFERROR(VLOOKUP(C37,'تقرير المصروفات حسب الشهر'!$C$763:$AL$877,29,FALSE),0)</f>
        <v>0</v>
      </c>
      <c r="K37" s="362">
        <f>IFERROR(VLOOKUP(C37,'تقرير المصروفات حسب الشهر'!$C$890:$AI$1007,29,FALSE),0)</f>
        <v>4500</v>
      </c>
      <c r="L37" s="362">
        <f>IFERROR(VLOOKUP(C37,'تقرير المصروفات حسب الشهر'!$C$1016:$AI$1131,29,FALSE),0)</f>
        <v>0</v>
      </c>
      <c r="M37" s="376">
        <f>IFERROR(VLOOKUP(C37,'تقرير المصروفات حسب الشهر'!$C$1143:$AI$1259,29,FALSE),0)</f>
        <v>4500</v>
      </c>
      <c r="N37" s="376">
        <f>IFERROR(VLOOKUP(C37,'تقرير المصروفات حسب الشهر'!$C$1271:$AI$1385,29,FALSE),0)</f>
        <v>130</v>
      </c>
      <c r="O37" s="376">
        <f>IFERROR(VLOOKUP(C37,'تقرير المصروفات حسب الشهر'!$C$1397:$AI$1512,29,FALSE),0)</f>
        <v>4520</v>
      </c>
      <c r="P37" s="364">
        <f t="shared" si="5"/>
        <v>27150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الشهر'!$C$10:$AL$119,29,FALSE),0)</f>
        <v>0</v>
      </c>
      <c r="E38" s="362">
        <f>IFERROR(VLOOKUP(C38,'تقرير المصروفات حسب الشهر'!$C$135:$AL$252,29,FALSE),0)</f>
        <v>0</v>
      </c>
      <c r="F38" s="362">
        <v>0</v>
      </c>
      <c r="G38" s="362">
        <f>IFERROR(VLOOKUP(C38,'تقرير المصروفات حسب الشهر'!C402:AH514,29,0),0)</f>
        <v>0</v>
      </c>
      <c r="H38" s="362">
        <f>IFERROR(VLOOKUP(C38,'تقرير المصروفات حسب الشهر'!$C$512:$AH$620,29,FALSE),0)</f>
        <v>0</v>
      </c>
      <c r="I38" s="362">
        <f>IFERROR(VLOOKUP(C38,'تقرير المصروفات حسب الشهر'!$C$637:$AI$750,29,FALSE),0)</f>
        <v>0</v>
      </c>
      <c r="J38" s="362">
        <f>IFERROR(VLOOKUP(C38,'تقرير المصروفات حسب الشهر'!$C$763:$AL$877,29,FALSE),0)</f>
        <v>0</v>
      </c>
      <c r="K38" s="362">
        <f>IFERROR(VLOOKUP(C38,'تقرير المصروفات حسب الشهر'!$C$890:$AI$1007,29,FALSE),0)</f>
        <v>0</v>
      </c>
      <c r="L38" s="362">
        <f>IFERROR(VLOOKUP(C38,'تقرير المصروفات حسب الشهر'!$C$1016:$AI$1131,29,FALSE),0)</f>
        <v>0</v>
      </c>
      <c r="M38" s="376">
        <f>IFERROR(VLOOKUP(C38,'تقرير المصروفات حسب الشهر'!$C$1143:$AI$1259,29,FALSE),0)</f>
        <v>0</v>
      </c>
      <c r="N38" s="376">
        <f>IFERROR(VLOOKUP(C38,'تقرير المصروفات حسب الشهر'!$C$1271:$AI$1385,29,FALSE),0)</f>
        <v>0</v>
      </c>
      <c r="O38" s="376">
        <f>IFERROR(VLOOKUP(C38,'تقرير المصروفات حسب الشهر'!$C$1397:$AI$1512,29,FALSE),0)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الشهر'!$C$10:$AL$119,29,FALSE),0)</f>
        <v>0</v>
      </c>
      <c r="E39" s="362">
        <f>IFERROR(VLOOKUP(C39,'تقرير المصروفات حسب الشهر'!$C$135:$AL$252,29,FALSE),0)</f>
        <v>833</v>
      </c>
      <c r="F39" s="362">
        <v>648</v>
      </c>
      <c r="G39" s="362">
        <f>IFERROR(VLOOKUP(C39,'تقرير المصروفات حسب الشهر'!C403:AH515,29,0),0)</f>
        <v>793</v>
      </c>
      <c r="H39" s="362">
        <f>IFERROR(VLOOKUP(C39,'تقرير المصروفات حسب الشهر'!$C$512:$AH$620,29,FALSE),0)</f>
        <v>728</v>
      </c>
      <c r="I39" s="362">
        <f>IFERROR(VLOOKUP(C39,'تقرير المصروفات حسب الشهر'!$C$637:$AI$750,29,FALSE),0)</f>
        <v>2237</v>
      </c>
      <c r="J39" s="362">
        <f>IFERROR(VLOOKUP(C39,'تقرير المصروفات حسب الشهر'!$C$763:$AL$877,29,FALSE),0)</f>
        <v>740</v>
      </c>
      <c r="K39" s="362">
        <f>IFERROR(VLOOKUP(C39,'تقرير المصروفات حسب الشهر'!$C$890:$AI$1007,29,FALSE),0)</f>
        <v>2070</v>
      </c>
      <c r="L39" s="362">
        <f>IFERROR(VLOOKUP(C39,'تقرير المصروفات حسب الشهر'!$C$1016:$AI$1131,29,FALSE),0)</f>
        <v>1866</v>
      </c>
      <c r="M39" s="376">
        <f>IFERROR(VLOOKUP(C39,'تقرير المصروفات حسب الشهر'!$C$1143:$AI$1259,29,FALSE),0)</f>
        <v>1382</v>
      </c>
      <c r="N39" s="376">
        <f>IFERROR(VLOOKUP(C39,'تقرير المصروفات حسب الشهر'!$C$1271:$AI$1385,29,FALSE),0)</f>
        <v>2906</v>
      </c>
      <c r="O39" s="376">
        <f>IFERROR(VLOOKUP(C39,'تقرير المصروفات حسب الشهر'!$C$1397:$AI$1512,29,FALSE),0)</f>
        <v>4605</v>
      </c>
      <c r="P39" s="364">
        <f t="shared" si="5"/>
        <v>18808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الشهر'!$C$10:$AL$119,29,FALSE),0)</f>
        <v>8800</v>
      </c>
      <c r="E40" s="362">
        <f>IFERROR(VLOOKUP(C40,'تقرير المصروفات حسب الشهر'!$C$135:$AL$252,29,FALSE),0)</f>
        <v>0</v>
      </c>
      <c r="F40" s="362">
        <v>0</v>
      </c>
      <c r="G40" s="362">
        <f>IFERROR(VLOOKUP(C40,'تقرير المصروفات حسب الشهر'!C404:AH516,29,0),0)</f>
        <v>0</v>
      </c>
      <c r="H40" s="362">
        <f>IFERROR(VLOOKUP(C40,'تقرير المصروفات حسب الشهر'!$C$512:$AH$620,29,FALSE),0)</f>
        <v>0</v>
      </c>
      <c r="I40" s="362">
        <f>IFERROR(VLOOKUP(C40,'تقرير المصروفات حسب الشهر'!$C$637:$AI$750,29,FALSE),0)</f>
        <v>6000</v>
      </c>
      <c r="J40" s="362">
        <f>IFERROR(VLOOKUP(C40,'تقرير المصروفات حسب الشهر'!$C$763:$AL$877,29,FALSE),0)</f>
        <v>0</v>
      </c>
      <c r="K40" s="362">
        <f>IFERROR(VLOOKUP(C40,'تقرير المصروفات حسب الشهر'!$C$890:$AI$1007,29,FALSE),0)</f>
        <v>0</v>
      </c>
      <c r="L40" s="362">
        <f>IFERROR(VLOOKUP(C40,'تقرير المصروفات حسب الشهر'!$C$1016:$AI$1131,29,FALSE),0)</f>
        <v>0</v>
      </c>
      <c r="M40" s="376">
        <f>IFERROR(VLOOKUP(C40,'تقرير المصروفات حسب الشهر'!$C$1143:$AI$1259,29,FALSE),0)</f>
        <v>0</v>
      </c>
      <c r="N40" s="376">
        <f>IFERROR(VLOOKUP(C40,'تقرير المصروفات حسب الشهر'!$C$1271:$AI$1385,29,FALSE),0)</f>
        <v>0</v>
      </c>
      <c r="O40" s="376">
        <f>IFERROR(VLOOKUP(C40,'تقرير المصروفات حسب الشهر'!$C$1397:$AI$1512,29,FALSE),0)</f>
        <v>0</v>
      </c>
      <c r="P40" s="364">
        <f t="shared" si="5"/>
        <v>14800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الشهر'!$C$10:$AL$119,29,FALSE),0)</f>
        <v>0</v>
      </c>
      <c r="E41" s="362">
        <f>IFERROR(VLOOKUP(C41,'تقرير المصروفات حسب الشهر'!$C$135:$AL$252,29,FALSE),0)</f>
        <v>0</v>
      </c>
      <c r="F41" s="362">
        <v>0</v>
      </c>
      <c r="G41" s="362">
        <f>IFERROR(VLOOKUP(C41,'تقرير المصروفات حسب الشهر'!C405:AH517,29,0),0)</f>
        <v>0</v>
      </c>
      <c r="H41" s="362">
        <f>IFERROR(VLOOKUP(C41,'تقرير المصروفات حسب الشهر'!$C$512:$AH$620,29,FALSE),0)</f>
        <v>0</v>
      </c>
      <c r="I41" s="362">
        <f>IFERROR(VLOOKUP(C41,'تقرير المصروفات حسب الشهر'!$C$637:$AI$750,29,FALSE),0)</f>
        <v>0</v>
      </c>
      <c r="J41" s="362">
        <f>IFERROR(VLOOKUP(C41,'تقرير المصروفات حسب الشهر'!$C$763:$AL$877,29,FALSE),0)</f>
        <v>0</v>
      </c>
      <c r="K41" s="362">
        <f>IFERROR(VLOOKUP(C41,'تقرير المصروفات حسب الشهر'!$C$890:$AI$1007,29,FALSE),0)</f>
        <v>0</v>
      </c>
      <c r="L41" s="362">
        <f>IFERROR(VLOOKUP(C41,'تقرير المصروفات حسب الشهر'!$C$1016:$AI$1131,29,FALSE),0)</f>
        <v>0</v>
      </c>
      <c r="M41" s="376">
        <f>IFERROR(VLOOKUP(C41,'تقرير المصروفات حسب الشهر'!$C$1143:$AI$1259,29,FALSE),0)</f>
        <v>0</v>
      </c>
      <c r="N41" s="376">
        <f>IFERROR(VLOOKUP(C41,'تقرير المصروفات حسب الشهر'!$C$1271:$AI$1385,29,FALSE),0)</f>
        <v>0</v>
      </c>
      <c r="O41" s="376">
        <f>IFERROR(VLOOKUP(C41,'تقرير المصروفات حسب الشهر'!$C$1397:$AI$1512,29,FALSE),0)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الشهر'!$C$10:$AL$119,29,FALSE),0)</f>
        <v>0</v>
      </c>
      <c r="E42" s="362">
        <f>IFERROR(VLOOKUP(C42,'تقرير المصروفات حسب الشهر'!$C$135:$AL$252,29,FALSE),0)</f>
        <v>25</v>
      </c>
      <c r="F42" s="362">
        <v>0</v>
      </c>
      <c r="G42" s="362">
        <f>IFERROR(VLOOKUP(C42,'تقرير المصروفات حسب الشهر'!C406:AH518,29,0),0)</f>
        <v>0</v>
      </c>
      <c r="H42" s="362">
        <f>IFERROR(VLOOKUP(C42,'تقرير المصروفات حسب الشهر'!$C$512:$AH$620,29,FALSE),0)</f>
        <v>0</v>
      </c>
      <c r="I42" s="362">
        <f>IFERROR(VLOOKUP(C42,'تقرير المصروفات حسب الشهر'!$C$637:$AI$750,29,FALSE),0)</f>
        <v>0</v>
      </c>
      <c r="J42" s="362">
        <f>IFERROR(VLOOKUP(C42,'تقرير المصروفات حسب الشهر'!$C$763:$AL$877,29,FALSE),0)</f>
        <v>0</v>
      </c>
      <c r="K42" s="362">
        <f>IFERROR(VLOOKUP(C42,'تقرير المصروفات حسب الشهر'!$C$890:$AI$1007,29,FALSE),0)</f>
        <v>0</v>
      </c>
      <c r="L42" s="362">
        <f>IFERROR(VLOOKUP(C42,'تقرير المصروفات حسب الشهر'!$C$1016:$AI$1131,29,FALSE),0)</f>
        <v>0</v>
      </c>
      <c r="M42" s="376">
        <f>IFERROR(VLOOKUP(C42,'تقرير المصروفات حسب الشهر'!$C$1143:$AI$1259,29,FALSE),0)</f>
        <v>0</v>
      </c>
      <c r="N42" s="376">
        <f>IFERROR(VLOOKUP(C42,'تقرير المصروفات حسب الشهر'!$C$1271:$AI$1385,29,FALSE),0)</f>
        <v>344</v>
      </c>
      <c r="O42" s="376">
        <f>IFERROR(VLOOKUP(C42,'تقرير المصروفات حسب الشهر'!$C$1397:$AI$1512,29,FALSE),0)</f>
        <v>0</v>
      </c>
      <c r="P42" s="364">
        <f t="shared" si="5"/>
        <v>369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الشهر'!$C$10:$AL$119,29,FALSE),0)</f>
        <v>0</v>
      </c>
      <c r="E43" s="362">
        <f>IFERROR(VLOOKUP(C43,'تقرير المصروفات حسب الشهر'!$C$135:$AL$252,29,FALSE),0)</f>
        <v>0</v>
      </c>
      <c r="F43" s="362">
        <v>0</v>
      </c>
      <c r="G43" s="362">
        <f>IFERROR(VLOOKUP(C43,'تقرير المصروفات حسب الشهر'!C407:AH519,29,0),0)</f>
        <v>0</v>
      </c>
      <c r="H43" s="362">
        <f>IFERROR(VLOOKUP(C43,'تقرير المصروفات حسب الشهر'!$C$512:$AH$620,29,FALSE),0)</f>
        <v>0</v>
      </c>
      <c r="I43" s="362">
        <f>IFERROR(VLOOKUP(C43,'تقرير المصروفات حسب الشهر'!$C$637:$AI$750,29,FALSE),0)</f>
        <v>0</v>
      </c>
      <c r="J43" s="362">
        <f>IFERROR(VLOOKUP(C43,'تقرير المصروفات حسب الشهر'!$C$763:$AL$877,29,FALSE),0)</f>
        <v>0</v>
      </c>
      <c r="K43" s="362">
        <f>IFERROR(VLOOKUP(C43,'تقرير المصروفات حسب الشهر'!$C$890:$AI$1007,29,FALSE),0)</f>
        <v>0</v>
      </c>
      <c r="L43" s="362">
        <f>IFERROR(VLOOKUP(C43,'تقرير المصروفات حسب الشهر'!$C$1016:$AI$1131,29,FALSE),0)</f>
        <v>0</v>
      </c>
      <c r="M43" s="376">
        <f>IFERROR(VLOOKUP(C43,'تقرير المصروفات حسب الشهر'!$C$1143:$AI$1259,29,FALSE),0)</f>
        <v>0</v>
      </c>
      <c r="N43" s="376">
        <f>IFERROR(VLOOKUP(C43,'تقرير المصروفات حسب الشهر'!$C$1271:$AI$1385,29,FALSE),0)</f>
        <v>0</v>
      </c>
      <c r="O43" s="376">
        <f>IFERROR(VLOOKUP(C43,'تقرير المصروفات حسب الشهر'!$C$1397:$AI$1512,29,FALSE),0)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الشهر'!$C$10:$AL$119,29,FALSE),0)</f>
        <v>175</v>
      </c>
      <c r="E44" s="362">
        <f>IFERROR(VLOOKUP(C44,'تقرير المصروفات حسب الشهر'!$C$135:$AL$252,29,FALSE),0)</f>
        <v>85</v>
      </c>
      <c r="F44" s="362">
        <v>307</v>
      </c>
      <c r="G44" s="362">
        <f>IFERROR(VLOOKUP(C44,'تقرير المصروفات حسب الشهر'!C408:AH520,29,0),0)</f>
        <v>0</v>
      </c>
      <c r="H44" s="362">
        <f>IFERROR(VLOOKUP(C44,'تقرير المصروفات حسب الشهر'!$C$512:$AH$620,29,FALSE),0)</f>
        <v>215</v>
      </c>
      <c r="I44" s="362">
        <f>IFERROR(VLOOKUP(C44,'تقرير المصروفات حسب الشهر'!$C$637:$AI$750,29,FALSE),0)</f>
        <v>695</v>
      </c>
      <c r="J44" s="362">
        <f>IFERROR(VLOOKUP(C44,'تقرير المصروفات حسب الشهر'!$C$763:$AL$877,29,FALSE),0)</f>
        <v>50</v>
      </c>
      <c r="K44" s="362">
        <f>IFERROR(VLOOKUP(C44,'تقرير المصروفات حسب الشهر'!$C$890:$AI$1007,29,FALSE),0)</f>
        <v>210</v>
      </c>
      <c r="L44" s="362">
        <f>IFERROR(VLOOKUP(C44,'تقرير المصروفات حسب الشهر'!$C$1016:$AI$1131,29,FALSE),0)</f>
        <v>0</v>
      </c>
      <c r="M44" s="376">
        <f>IFERROR(VLOOKUP(C44,'تقرير المصروفات حسب الشهر'!$C$1143:$AI$1259,29,FALSE),0)</f>
        <v>285</v>
      </c>
      <c r="N44" s="376">
        <f>IFERROR(VLOOKUP(C44,'تقرير المصروفات حسب الشهر'!$C$1271:$AI$1385,29,FALSE),0)</f>
        <v>0</v>
      </c>
      <c r="O44" s="376">
        <f>IFERROR(VLOOKUP(C44,'تقرير المصروفات حسب الشهر'!$C$1397:$AI$1512,29,FALSE),0)</f>
        <v>375</v>
      </c>
      <c r="P44" s="364">
        <f t="shared" si="5"/>
        <v>2397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الشهر'!$C$10:$AL$119,29,FALSE),0)</f>
        <v>0</v>
      </c>
      <c r="E45" s="362">
        <f>IFERROR(VLOOKUP(C45,'تقرير المصروفات حسب الشهر'!$C$135:$AL$252,29,FALSE),0)</f>
        <v>0</v>
      </c>
      <c r="F45" s="362">
        <v>0</v>
      </c>
      <c r="G45" s="362">
        <f>IFERROR(VLOOKUP(C45,'تقرير المصروفات حسب الشهر'!C409:AH521,29,0),0)</f>
        <v>0</v>
      </c>
      <c r="H45" s="362">
        <f>IFERROR(VLOOKUP(C45,'تقرير المصروفات حسب الشهر'!$C$512:$AH$620,29,FALSE),0)</f>
        <v>0</v>
      </c>
      <c r="I45" s="362">
        <f>IFERROR(VLOOKUP(C45,'تقرير المصروفات حسب الشهر'!$C$637:$AI$750,29,FALSE),0)</f>
        <v>0</v>
      </c>
      <c r="J45" s="362">
        <f>IFERROR(VLOOKUP(C45,'تقرير المصروفات حسب الشهر'!$C$763:$AL$877,29,FALSE),0)</f>
        <v>0</v>
      </c>
      <c r="K45" s="362">
        <f>IFERROR(VLOOKUP(C45,'تقرير المصروفات حسب الشهر'!$C$890:$AI$1007,29,FALSE),0)</f>
        <v>0</v>
      </c>
      <c r="L45" s="362">
        <f>IFERROR(VLOOKUP(C45,'تقرير المصروفات حسب الشهر'!$C$1016:$AI$1131,29,FALSE),0)</f>
        <v>0</v>
      </c>
      <c r="M45" s="376">
        <f>IFERROR(VLOOKUP(C45,'تقرير المصروفات حسب الشهر'!$C$1143:$AI$1259,29,FALSE),0)</f>
        <v>0</v>
      </c>
      <c r="N45" s="376">
        <f>IFERROR(VLOOKUP(C45,'تقرير المصروفات حسب الشهر'!$C$1271:$AI$1385,29,FALSE),0)</f>
        <v>0</v>
      </c>
      <c r="O45" s="376">
        <f>IFERROR(VLOOKUP(C45,'تقرير المصروفات حسب الشهر'!$C$1397:$AI$1512,29,FALSE),0)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الشهر'!$C$10:$AL$119,29,FALSE),0)</f>
        <v>0</v>
      </c>
      <c r="E46" s="362">
        <f>IFERROR(VLOOKUP(C46,'تقرير المصروفات حسب الشهر'!$C$135:$AL$252,29,FALSE),0)</f>
        <v>0</v>
      </c>
      <c r="F46" s="362">
        <v>0</v>
      </c>
      <c r="G46" s="362">
        <f>IFERROR(VLOOKUP(C46,'تقرير المصروفات حسب الشهر'!C410:AH522,29,0),0)</f>
        <v>0</v>
      </c>
      <c r="H46" s="362">
        <f>IFERROR(VLOOKUP(C46,'تقرير المصروفات حسب الشهر'!$C$512:$AH$620,29,FALSE),0)</f>
        <v>0</v>
      </c>
      <c r="I46" s="362">
        <f>IFERROR(VLOOKUP(C46,'تقرير المصروفات حسب الشهر'!$C$637:$AI$750,29,FALSE),0)</f>
        <v>0</v>
      </c>
      <c r="J46" s="362">
        <f>IFERROR(VLOOKUP(C46,'تقرير المصروفات حسب الشهر'!$C$763:$AL$877,29,FALSE),0)</f>
        <v>0</v>
      </c>
      <c r="K46" s="362">
        <f>IFERROR(VLOOKUP(C46,'تقرير المصروفات حسب الشهر'!$C$890:$AI$1007,29,FALSE),0)</f>
        <v>0</v>
      </c>
      <c r="L46" s="362">
        <f>IFERROR(VLOOKUP(C46,'تقرير المصروفات حسب الشهر'!$C$1016:$AI$1131,29,FALSE),0)</f>
        <v>0</v>
      </c>
      <c r="M46" s="376">
        <f>IFERROR(VLOOKUP(C46,'تقرير المصروفات حسب الشهر'!$C$1143:$AI$1259,29,FALSE),0)</f>
        <v>0</v>
      </c>
      <c r="N46" s="376">
        <f>IFERROR(VLOOKUP(C46,'تقرير المصروفات حسب الشهر'!$C$1271:$AI$1385,29,FALSE),0)</f>
        <v>0</v>
      </c>
      <c r="O46" s="376">
        <f>IFERROR(VLOOKUP(C46,'تقرير المصروفات حسب الشهر'!$C$1397:$AI$1512,29,FALSE),0)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الشهر'!$C$10:$AL$119,29,FALSE),0)</f>
        <v>0</v>
      </c>
      <c r="E47" s="362">
        <f>IFERROR(VLOOKUP(C47,'تقرير المصروفات حسب الشهر'!$C$135:$AL$252,29,FALSE),0)</f>
        <v>0</v>
      </c>
      <c r="F47" s="362">
        <v>0</v>
      </c>
      <c r="G47" s="362">
        <f>IFERROR(VLOOKUP(C47,'تقرير المصروفات حسب الشهر'!C411:AH523,29,0),0)</f>
        <v>0</v>
      </c>
      <c r="H47" s="362">
        <f>IFERROR(VLOOKUP(C47,'تقرير المصروفات حسب الشهر'!$C$512:$AH$620,29,FALSE),0)</f>
        <v>0</v>
      </c>
      <c r="I47" s="362">
        <f>IFERROR(VLOOKUP(C47,'تقرير المصروفات حسب الشهر'!$C$637:$AI$750,29,FALSE),0)</f>
        <v>0</v>
      </c>
      <c r="J47" s="362">
        <f>IFERROR(VLOOKUP(C47,'تقرير المصروفات حسب الشهر'!$C$763:$AL$877,29,FALSE),0)</f>
        <v>0</v>
      </c>
      <c r="K47" s="362">
        <f>IFERROR(VLOOKUP(C47,'تقرير المصروفات حسب الشهر'!$C$890:$AI$1007,29,FALSE),0)</f>
        <v>0</v>
      </c>
      <c r="L47" s="362">
        <f>IFERROR(VLOOKUP(C47,'تقرير المصروفات حسب الشهر'!$C$1016:$AI$1131,29,FALSE),0)</f>
        <v>0</v>
      </c>
      <c r="M47" s="376">
        <f>IFERROR(VLOOKUP(C47,'تقرير المصروفات حسب الشهر'!$C$1143:$AI$1259,29,FALSE),0)</f>
        <v>0</v>
      </c>
      <c r="N47" s="376">
        <f>IFERROR(VLOOKUP(C47,'تقرير المصروفات حسب الشهر'!$C$1271:$AI$1385,29,FALSE),0)</f>
        <v>0</v>
      </c>
      <c r="O47" s="376">
        <f>IFERROR(VLOOKUP(C47,'تقرير المصروفات حسب الشهر'!$C$1397:$AI$1512,29,FALSE),0)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الشهر'!$C$10:$AL$119,29,FALSE),0)</f>
        <v>0</v>
      </c>
      <c r="E48" s="362">
        <f>IFERROR(VLOOKUP(C48,'تقرير المصروفات حسب الشهر'!$C$135:$AL$252,29,FALSE),0)</f>
        <v>0</v>
      </c>
      <c r="F48" s="362">
        <v>0</v>
      </c>
      <c r="G48" s="362">
        <f>IFERROR(VLOOKUP(C48,'تقرير المصروفات حسب الشهر'!C412:AH524,29,0),0)</f>
        <v>0</v>
      </c>
      <c r="H48" s="362">
        <f>IFERROR(VLOOKUP(C48,'تقرير المصروفات حسب الشهر'!$C$512:$AH$620,29,FALSE),0)</f>
        <v>0</v>
      </c>
      <c r="I48" s="362">
        <f>IFERROR(VLOOKUP(C48,'تقرير المصروفات حسب الشهر'!$C$637:$AI$750,29,FALSE),0)</f>
        <v>760</v>
      </c>
      <c r="J48" s="362">
        <f>IFERROR(VLOOKUP(C48,'تقرير المصروفات حسب الشهر'!$C$763:$AL$877,29,FALSE),0)</f>
        <v>0</v>
      </c>
      <c r="K48" s="362">
        <f>IFERROR(VLOOKUP(C48,'تقرير المصروفات حسب الشهر'!$C$890:$AI$1007,29,FALSE),0)</f>
        <v>0</v>
      </c>
      <c r="L48" s="362">
        <f>IFERROR(VLOOKUP(C48,'تقرير المصروفات حسب الشهر'!$C$1016:$AI$1131,29,FALSE),0)</f>
        <v>0</v>
      </c>
      <c r="M48" s="376">
        <f>IFERROR(VLOOKUP(C48,'تقرير المصروفات حسب الشهر'!$C$1143:$AI$1259,29,FALSE),0)</f>
        <v>0</v>
      </c>
      <c r="N48" s="376">
        <f>IFERROR(VLOOKUP(C48,'تقرير المصروفات حسب الشهر'!$C$1271:$AI$1385,29,FALSE),0)</f>
        <v>0</v>
      </c>
      <c r="O48" s="376">
        <f>IFERROR(VLOOKUP(C48,'تقرير المصروفات حسب الشهر'!$C$1397:$AI$1512,29,FALSE),0)</f>
        <v>0</v>
      </c>
      <c r="P48" s="364">
        <f t="shared" si="5"/>
        <v>760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الشهر'!$C$10:$AL$119,29,FALSE),0)</f>
        <v>0</v>
      </c>
      <c r="E49" s="362">
        <f>IFERROR(VLOOKUP(C49,'تقرير المصروفات حسب الشهر'!$C$135:$AL$252,29,FALSE),0)</f>
        <v>0</v>
      </c>
      <c r="F49" s="362">
        <v>0</v>
      </c>
      <c r="G49" s="362">
        <f>IFERROR(VLOOKUP(C49,'تقرير المصروفات حسب الشهر'!C413:AH525,29,0),0)</f>
        <v>0</v>
      </c>
      <c r="H49" s="362">
        <f>IFERROR(VLOOKUP(C49,'تقرير المصروفات حسب الشهر'!$C$512:$AH$620,29,FALSE),0)</f>
        <v>0</v>
      </c>
      <c r="I49" s="362">
        <f>IFERROR(VLOOKUP(C49,'تقرير المصروفات حسب الشهر'!$C$637:$AI$750,29,FALSE),0)</f>
        <v>0</v>
      </c>
      <c r="J49" s="362">
        <f>IFERROR(VLOOKUP(C49,'تقرير المصروفات حسب الشهر'!$C$763:$AL$877,29,FALSE),0)</f>
        <v>920</v>
      </c>
      <c r="K49" s="362">
        <f>IFERROR(VLOOKUP(C49,'تقرير المصروفات حسب الشهر'!$C$890:$AI$1007,29,FALSE),0)</f>
        <v>0</v>
      </c>
      <c r="L49" s="362">
        <f>IFERROR(VLOOKUP(C49,'تقرير المصروفات حسب الشهر'!$C$1016:$AI$1131,29,FALSE),0)</f>
        <v>0</v>
      </c>
      <c r="M49" s="376">
        <f>IFERROR(VLOOKUP(C49,'تقرير المصروفات حسب الشهر'!$C$1143:$AI$1259,29,FALSE),0)</f>
        <v>0</v>
      </c>
      <c r="N49" s="376">
        <f>IFERROR(VLOOKUP(C49,'تقرير المصروفات حسب الشهر'!$C$1271:$AI$1385,29,FALSE),0)</f>
        <v>0</v>
      </c>
      <c r="O49" s="376">
        <f>IFERROR(VLOOKUP(C49,'تقرير المصروفات حسب الشهر'!$C$1397:$AI$1512,29,FALSE),0)</f>
        <v>0</v>
      </c>
      <c r="P49" s="364">
        <f t="shared" si="5"/>
        <v>920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الشهر'!$C$10:$AL$119,29,FALSE),0)</f>
        <v>0</v>
      </c>
      <c r="E50" s="362">
        <f>IFERROR(VLOOKUP(C50,'تقرير المصروفات حسب الشهر'!$C$135:$AL$252,29,FALSE),0)</f>
        <v>0</v>
      </c>
      <c r="F50" s="362">
        <v>0</v>
      </c>
      <c r="G50" s="362">
        <f>IFERROR(VLOOKUP(C50,'تقرير المصروفات حسب الشهر'!C414:AH526,29,0),0)</f>
        <v>0</v>
      </c>
      <c r="H50" s="362">
        <f>IFERROR(VLOOKUP(C50,'تقرير المصروفات حسب الشهر'!$C$512:$AH$620,29,FALSE),0)</f>
        <v>0</v>
      </c>
      <c r="I50" s="362">
        <f>IFERROR(VLOOKUP(C50,'تقرير المصروفات حسب الشهر'!$C$637:$AI$750,29,FALSE),0)</f>
        <v>0</v>
      </c>
      <c r="J50" s="362">
        <f>IFERROR(VLOOKUP(C50,'تقرير المصروفات حسب الشهر'!$C$763:$AL$877,29,FALSE),0)</f>
        <v>0</v>
      </c>
      <c r="K50" s="362">
        <f>IFERROR(VLOOKUP(C50,'تقرير المصروفات حسب الشهر'!$C$890:$AI$1007,29,FALSE),0)</f>
        <v>0</v>
      </c>
      <c r="L50" s="362">
        <f>IFERROR(VLOOKUP(C50,'تقرير المصروفات حسب الشهر'!$C$1016:$AI$1131,29,FALSE),0)</f>
        <v>0</v>
      </c>
      <c r="M50" s="376">
        <f>IFERROR(VLOOKUP(C50,'تقرير المصروفات حسب الشهر'!$C$1143:$AI$1259,29,FALSE),0)</f>
        <v>0</v>
      </c>
      <c r="N50" s="376">
        <f>IFERROR(VLOOKUP(C50,'تقرير المصروفات حسب الشهر'!$C$1271:$AI$1385,29,FALSE),0)</f>
        <v>0</v>
      </c>
      <c r="O50" s="376">
        <f>IFERROR(VLOOKUP(C50,'تقرير المصروفات حسب الشهر'!$C$1397:$AI$1512,29,FALSE),0)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الشهر'!$C$10:$AL$119,29,FALSE),0)</f>
        <v>635</v>
      </c>
      <c r="E51" s="362">
        <f>IFERROR(VLOOKUP(C51,'تقرير المصروفات حسب الشهر'!$C$135:$AL$252,29,FALSE),0)</f>
        <v>4000</v>
      </c>
      <c r="F51" s="362">
        <v>1000</v>
      </c>
      <c r="G51" s="362">
        <f>IFERROR(VLOOKUP(C51,'تقرير المصروفات حسب الشهر'!C415:AH527,29,0),0)</f>
        <v>4055</v>
      </c>
      <c r="H51" s="362">
        <f>IFERROR(VLOOKUP(C51,'تقرير المصروفات حسب الشهر'!$C$512:$AH$620,29,FALSE),0)</f>
        <v>1000</v>
      </c>
      <c r="I51" s="362">
        <f>IFERROR(VLOOKUP(C51,'تقرير المصروفات حسب الشهر'!$C$637:$AI$750,29,FALSE),0)</f>
        <v>1640</v>
      </c>
      <c r="J51" s="362">
        <f>IFERROR(VLOOKUP(C51,'تقرير المصروفات حسب الشهر'!$C$763:$AL$877,29,FALSE),0)</f>
        <v>1520</v>
      </c>
      <c r="K51" s="362">
        <f>IFERROR(VLOOKUP(C51,'تقرير المصروفات حسب الشهر'!$C$890:$AI$1007,29,FALSE),0)</f>
        <v>1500</v>
      </c>
      <c r="L51" s="362">
        <f>IFERROR(VLOOKUP(C51,'تقرير المصروفات حسب الشهر'!$C$1016:$AI$1131,29,FALSE),0)</f>
        <v>5310</v>
      </c>
      <c r="M51" s="376">
        <f>IFERROR(VLOOKUP(C51,'تقرير المصروفات حسب الشهر'!$C$1143:$AI$1259,29,FALSE),0)</f>
        <v>2100</v>
      </c>
      <c r="N51" s="376">
        <f>IFERROR(VLOOKUP(C51,'تقرير المصروفات حسب الشهر'!$C$1271:$AI$1385,29,FALSE),0)</f>
        <v>1500</v>
      </c>
      <c r="O51" s="376">
        <f>IFERROR(VLOOKUP(C51,'تقرير المصروفات حسب الشهر'!$C$1397:$AI$1512,29,FALSE),0)</f>
        <v>1500</v>
      </c>
      <c r="P51" s="364">
        <f t="shared" si="5"/>
        <v>25760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الشهر'!$C$10:$AL$119,29,FALSE),0)</f>
        <v>9300</v>
      </c>
      <c r="E52" s="362">
        <f>IFERROR(VLOOKUP(C52,'تقرير المصروفات حسب الشهر'!$C$135:$AL$252,29,FALSE),0)</f>
        <v>0</v>
      </c>
      <c r="F52" s="362">
        <v>0</v>
      </c>
      <c r="G52" s="362">
        <f>IFERROR(VLOOKUP(C52,'تقرير المصروفات حسب الشهر'!C416:AH528,29,0),0)</f>
        <v>0</v>
      </c>
      <c r="H52" s="362">
        <f>IFERROR(VLOOKUP(C52,'تقرير المصروفات حسب الشهر'!$C$512:$AH$620,29,FALSE),0)</f>
        <v>0</v>
      </c>
      <c r="I52" s="362">
        <f>IFERROR(VLOOKUP(C52,'تقرير المصروفات حسب الشهر'!$C$637:$AI$750,29,FALSE),0)</f>
        <v>0</v>
      </c>
      <c r="J52" s="362">
        <f>IFERROR(VLOOKUP(C52,'تقرير المصروفات حسب الشهر'!$C$763:$AL$877,29,FALSE),0)</f>
        <v>0</v>
      </c>
      <c r="K52" s="362">
        <f>IFERROR(VLOOKUP(C52,'تقرير المصروفات حسب الشهر'!$C$890:$AI$1007,29,FALSE),0)</f>
        <v>5000</v>
      </c>
      <c r="L52" s="362">
        <f>IFERROR(VLOOKUP(C52,'تقرير المصروفات حسب الشهر'!$C$1016:$AI$1131,29,FALSE),0)</f>
        <v>0</v>
      </c>
      <c r="M52" s="376">
        <f>IFERROR(VLOOKUP(C52,'تقرير المصروفات حسب الشهر'!$C$1143:$AI$1259,29,FALSE),0)</f>
        <v>0</v>
      </c>
      <c r="N52" s="376">
        <f>IFERROR(VLOOKUP(C52,'تقرير المصروفات حسب الشهر'!$C$1271:$AI$1385,29,FALSE),0)</f>
        <v>0</v>
      </c>
      <c r="O52" s="376">
        <f>IFERROR(VLOOKUP(C52,'تقرير المصروفات حسب الشهر'!$C$1397:$AI$1512,29,FALSE),0)</f>
        <v>0</v>
      </c>
      <c r="P52" s="364">
        <f t="shared" si="5"/>
        <v>14300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الشهر'!$C$10:$AL$119,29,FALSE),0)</f>
        <v>0</v>
      </c>
      <c r="E53" s="362">
        <f>IFERROR(VLOOKUP(C53,'تقرير المصروفات حسب الشهر'!$C$135:$AL$252,29,FALSE),0)</f>
        <v>0</v>
      </c>
      <c r="F53" s="362">
        <v>0</v>
      </c>
      <c r="G53" s="362">
        <f>IFERROR(VLOOKUP(C53,'تقرير المصروفات حسب الشهر'!C417:AH529,29,0),0)</f>
        <v>0</v>
      </c>
      <c r="H53" s="362">
        <f>IFERROR(VLOOKUP(C53,'تقرير المصروفات حسب الشهر'!$C$512:$AH$620,29,FALSE),0)</f>
        <v>0</v>
      </c>
      <c r="I53" s="362">
        <f>IFERROR(VLOOKUP(C53,'تقرير المصروفات حسب الشهر'!$C$637:$AI$750,29,FALSE),0)</f>
        <v>0</v>
      </c>
      <c r="J53" s="362">
        <f>IFERROR(VLOOKUP(C53,'تقرير المصروفات حسب الشهر'!$C$763:$AL$877,29,FALSE),0)</f>
        <v>0</v>
      </c>
      <c r="K53" s="362">
        <f>IFERROR(VLOOKUP(C53,'تقرير المصروفات حسب الشهر'!$C$890:$AI$1007,29,FALSE),0)</f>
        <v>0</v>
      </c>
      <c r="L53" s="362">
        <f>IFERROR(VLOOKUP(C53,'تقرير المصروفات حسب الشهر'!$C$1016:$AI$1131,29,FALSE),0)</f>
        <v>0</v>
      </c>
      <c r="M53" s="376">
        <f>IFERROR(VLOOKUP(C53,'تقرير المصروفات حسب الشهر'!$C$1143:$AI$1259,29,FALSE),0)</f>
        <v>0</v>
      </c>
      <c r="N53" s="376">
        <f>IFERROR(VLOOKUP(C53,'تقرير المصروفات حسب الشهر'!$C$1271:$AI$1385,29,FALSE),0)</f>
        <v>0</v>
      </c>
      <c r="O53" s="376">
        <f>IFERROR(VLOOKUP(C53,'تقرير المصروفات حسب الشهر'!$C$1397:$AI$1512,29,FALSE),0)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الشهر'!$C$10:$AL$119,29,FALSE),0)</f>
        <v>0</v>
      </c>
      <c r="E54" s="362">
        <f>IFERROR(VLOOKUP(C54,'تقرير المصروفات حسب الشهر'!$C$135:$AL$252,29,FALSE),0)</f>
        <v>0</v>
      </c>
      <c r="F54" s="362">
        <v>12200</v>
      </c>
      <c r="G54" s="362">
        <f>IFERROR(VLOOKUP(C54,'تقرير المصروفات حسب الشهر'!C418:AH530,29,0),0)</f>
        <v>9000</v>
      </c>
      <c r="H54" s="362">
        <f>IFERROR(VLOOKUP(C54,'تقرير المصروفات حسب الشهر'!$C$512:$AH$620,29,FALSE),0)</f>
        <v>0</v>
      </c>
      <c r="I54" s="362">
        <f>IFERROR(VLOOKUP(C54,'تقرير المصروفات حسب الشهر'!$C$637:$AI$750,29,FALSE),0)</f>
        <v>6800</v>
      </c>
      <c r="J54" s="362">
        <f>IFERROR(VLOOKUP(C54,'تقرير المصروفات حسب الشهر'!$C$763:$AL$877,29,FALSE),0)</f>
        <v>0</v>
      </c>
      <c r="K54" s="362">
        <f>IFERROR(VLOOKUP(C54,'تقرير المصروفات حسب الشهر'!$C$890:$AI$1007,29,FALSE),0)</f>
        <v>9100</v>
      </c>
      <c r="L54" s="362">
        <f>IFERROR(VLOOKUP(C54,'تقرير المصروفات حسب الشهر'!$C$1016:$AI$1131,29,FALSE),0)</f>
        <v>0</v>
      </c>
      <c r="M54" s="376">
        <f>IFERROR(VLOOKUP(C54,'تقرير المصروفات حسب الشهر'!$C$1143:$AI$1259,29,FALSE),0)</f>
        <v>0</v>
      </c>
      <c r="N54" s="376">
        <f>IFERROR(VLOOKUP(C54,'تقرير المصروفات حسب الشهر'!$C$1271:$AI$1385,29,FALSE),0)</f>
        <v>0</v>
      </c>
      <c r="O54" s="376">
        <f>IFERROR(VLOOKUP(C54,'تقرير المصروفات حسب الشهر'!$C$1397:$AI$1512,29,FALSE),0)</f>
        <v>23900</v>
      </c>
      <c r="P54" s="364">
        <f t="shared" si="5"/>
        <v>61000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الشهر'!$C$10:$AL$119,29,FALSE),0)</f>
        <v>0</v>
      </c>
      <c r="E55" s="362">
        <f>IFERROR(VLOOKUP(C55,'تقرير المصروفات حسب الشهر'!$C$135:$AL$252,29,FALSE),0)</f>
        <v>0</v>
      </c>
      <c r="F55" s="362">
        <v>0</v>
      </c>
      <c r="G55" s="362">
        <f>IFERROR(VLOOKUP(C55,'تقرير المصروفات حسب الشهر'!C419:AH531,29,0),0)</f>
        <v>0</v>
      </c>
      <c r="H55" s="362">
        <f>IFERROR(VLOOKUP(C55,'تقرير المصروفات حسب الشهر'!$C$512:$AH$620,29,FALSE),0)</f>
        <v>0</v>
      </c>
      <c r="I55" s="362">
        <f>IFERROR(VLOOKUP(C55,'تقرير المصروفات حسب الشهر'!$C$637:$AI$750,29,FALSE),0)</f>
        <v>0</v>
      </c>
      <c r="J55" s="362">
        <f>IFERROR(VLOOKUP(C55,'تقرير المصروفات حسب الشهر'!$C$763:$AL$877,29,FALSE),0)</f>
        <v>0</v>
      </c>
      <c r="K55" s="362">
        <f>IFERROR(VLOOKUP(C55,'تقرير المصروفات حسب الشهر'!$C$890:$AI$1007,29,FALSE),0)</f>
        <v>0</v>
      </c>
      <c r="L55" s="362">
        <f>IFERROR(VLOOKUP(C55,'تقرير المصروفات حسب الشهر'!$C$1016:$AI$1131,29,FALSE),0)</f>
        <v>0</v>
      </c>
      <c r="M55" s="376">
        <f>IFERROR(VLOOKUP(C55,'تقرير المصروفات حسب الشهر'!$C$1143:$AI$1259,29,FALSE),0)</f>
        <v>0</v>
      </c>
      <c r="N55" s="376">
        <f>IFERROR(VLOOKUP(C55,'تقرير المصروفات حسب الشهر'!$C$1271:$AI$1385,29,FALSE),0)</f>
        <v>0</v>
      </c>
      <c r="O55" s="376">
        <f>IFERROR(VLOOKUP(C55,'تقرير المصروفات حسب الشهر'!$C$1397:$AI$1512,29,FALSE),0)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الشهر'!$C$10:$AL$119,29,FALSE),0)</f>
        <v>0</v>
      </c>
      <c r="E56" s="362">
        <f>IFERROR(VLOOKUP(C56,'تقرير المصروفات حسب الشهر'!$C$135:$AL$252,29,FALSE),0)</f>
        <v>0</v>
      </c>
      <c r="F56" s="362">
        <v>0</v>
      </c>
      <c r="G56" s="362">
        <f>IFERROR(VLOOKUP(C56,'تقرير المصروفات حسب الشهر'!C420:AH532,29,0),0)</f>
        <v>0</v>
      </c>
      <c r="H56" s="362">
        <f>IFERROR(VLOOKUP(C56,'تقرير المصروفات حسب الشهر'!$C$512:$AH$620,29,FALSE),0)</f>
        <v>91.63</v>
      </c>
      <c r="I56" s="362">
        <f>IFERROR(VLOOKUP(C56,'تقرير المصروفات حسب الشهر'!$C$637:$AI$750,29,FALSE),0)</f>
        <v>143.91999999999999</v>
      </c>
      <c r="J56" s="362">
        <f>IFERROR(VLOOKUP(C56,'تقرير المصروفات حسب الشهر'!$C$763:$AL$877,29,FALSE),0)</f>
        <v>0</v>
      </c>
      <c r="K56" s="362">
        <f>IFERROR(VLOOKUP(C56,'تقرير المصروفات حسب الشهر'!$C$890:$AI$1007,29,FALSE),0)</f>
        <v>71.59</v>
      </c>
      <c r="L56" s="362">
        <f>IFERROR(VLOOKUP(C56,'تقرير المصروفات حسب الشهر'!$C$1016:$AI$1131,29,FALSE),0)</f>
        <v>340</v>
      </c>
      <c r="M56" s="376">
        <f>IFERROR(VLOOKUP(C56,'تقرير المصروفات حسب الشهر'!$C$1143:$AI$1259,29,FALSE),0)</f>
        <v>0</v>
      </c>
      <c r="N56" s="376">
        <f>IFERROR(VLOOKUP(C56,'تقرير المصروفات حسب الشهر'!$C$1271:$AI$1385,29,FALSE),0)</f>
        <v>0</v>
      </c>
      <c r="O56" s="376">
        <f>IFERROR(VLOOKUP(C56,'تقرير المصروفات حسب الشهر'!$C$1397:$AI$1512,29,FALSE),0)</f>
        <v>210.43</v>
      </c>
      <c r="P56" s="364">
        <f t="shared" si="5"/>
        <v>857.56999999999994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الشهر'!$C$10:$AL$119,29,FALSE),0)</f>
        <v>0</v>
      </c>
      <c r="E57" s="362">
        <f>IFERROR(VLOOKUP(C57,'تقرير المصروفات حسب الشهر'!$C$135:$AL$252,29,FALSE),0)</f>
        <v>0</v>
      </c>
      <c r="F57" s="362">
        <v>0</v>
      </c>
      <c r="G57" s="362">
        <f>IFERROR(VLOOKUP(C57,'تقرير المصروفات حسب الشهر'!C421:AH533,29,0),0)</f>
        <v>0</v>
      </c>
      <c r="H57" s="362">
        <f>IFERROR(VLOOKUP(C57,'تقرير المصروفات حسب الشهر'!$C$512:$AH$620,29,FALSE),0)</f>
        <v>0</v>
      </c>
      <c r="I57" s="362">
        <f>IFERROR(VLOOKUP(C57,'تقرير المصروفات حسب الشهر'!$C$637:$AI$750,29,FALSE),0)</f>
        <v>0</v>
      </c>
      <c r="J57" s="362">
        <f>IFERROR(VLOOKUP(C57,'تقرير المصروفات حسب الشهر'!$C$763:$AL$877,29,FALSE),0)</f>
        <v>0</v>
      </c>
      <c r="K57" s="362">
        <f>IFERROR(VLOOKUP(C57,'تقرير المصروفات حسب الشهر'!$C$890:$AI$1007,29,FALSE),0)</f>
        <v>0</v>
      </c>
      <c r="L57" s="362">
        <f>IFERROR(VLOOKUP(C57,'تقرير المصروفات حسب الشهر'!$C$1016:$AI$1131,29,FALSE),0)</f>
        <v>0</v>
      </c>
      <c r="M57" s="376">
        <f>IFERROR(VLOOKUP(C57,'تقرير المصروفات حسب الشهر'!$C$1143:$AI$1259,29,FALSE),0)</f>
        <v>0</v>
      </c>
      <c r="N57" s="376">
        <f>IFERROR(VLOOKUP(C57,'تقرير المصروفات حسب الشهر'!$C$1271:$AI$1385,29,FALSE),0)</f>
        <v>0</v>
      </c>
      <c r="O57" s="376">
        <f>IFERROR(VLOOKUP(C57,'تقرير المصروفات حسب الشهر'!$C$1397:$AI$1512,29,FALSE),0)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الشهر'!$C$10:$AL$119,29,FALSE),0)</f>
        <v>0</v>
      </c>
      <c r="E58" s="362">
        <f>IFERROR(VLOOKUP(C58,'تقرير المصروفات حسب الشهر'!$C$135:$AL$252,29,FALSE),0)</f>
        <v>0</v>
      </c>
      <c r="F58" s="362">
        <v>0</v>
      </c>
      <c r="G58" s="362">
        <f>IFERROR(VLOOKUP(C58,'تقرير المصروفات حسب الشهر'!C422:AH534,29,0),0)</f>
        <v>0</v>
      </c>
      <c r="H58" s="362">
        <f>IFERROR(VLOOKUP(C58,'تقرير المصروفات حسب الشهر'!$C$512:$AH$620,29,FALSE),0)</f>
        <v>0</v>
      </c>
      <c r="I58" s="362">
        <f>IFERROR(VLOOKUP(C58,'تقرير المصروفات حسب الشهر'!$C$637:$AI$750,29,FALSE),0)</f>
        <v>0</v>
      </c>
      <c r="J58" s="362">
        <f>IFERROR(VLOOKUP(C58,'تقرير المصروفات حسب الشهر'!$C$763:$AL$877,29,FALSE),0)</f>
        <v>0</v>
      </c>
      <c r="K58" s="362">
        <f>IFERROR(VLOOKUP(C58,'تقرير المصروفات حسب الشهر'!$C$890:$AI$1007,29,FALSE),0)</f>
        <v>0</v>
      </c>
      <c r="L58" s="362">
        <f>IFERROR(VLOOKUP(C58,'تقرير المصروفات حسب الشهر'!$C$1016:$AI$1131,29,FALSE),0)</f>
        <v>0</v>
      </c>
      <c r="M58" s="376">
        <f>IFERROR(VLOOKUP(C58,'تقرير المصروفات حسب الشهر'!$C$1143:$AI$1259,29,FALSE),0)</f>
        <v>0</v>
      </c>
      <c r="N58" s="376">
        <f>IFERROR(VLOOKUP(C58,'تقرير المصروفات حسب الشهر'!$C$1271:$AI$1385,29,FALSE),0)</f>
        <v>0</v>
      </c>
      <c r="O58" s="376">
        <f>IFERROR(VLOOKUP(C58,'تقرير المصروفات حسب الشهر'!$C$1397:$AI$1512,29,FALSE),0)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الشهر'!$C$10:$AL$119,29,FALSE),0)</f>
        <v>0</v>
      </c>
      <c r="E59" s="362">
        <f>IFERROR(VLOOKUP(C59,'تقرير المصروفات حسب الشهر'!$C$135:$AL$252,29,FALSE),0)</f>
        <v>1900.25</v>
      </c>
      <c r="F59" s="362">
        <v>3900.25</v>
      </c>
      <c r="G59" s="362">
        <f>IFERROR(VLOOKUP(C59,'تقرير المصروفات حسب الشهر'!C423:AH535,29,0),0)</f>
        <v>4555.25</v>
      </c>
      <c r="H59" s="362">
        <f>IFERROR(VLOOKUP(C59,'تقرير المصروفات حسب الشهر'!$C$512:$AH$620,29,FALSE),0)</f>
        <v>0</v>
      </c>
      <c r="I59" s="362">
        <f>IFERROR(VLOOKUP(C59,'تقرير المصروفات حسب الشهر'!$C$637:$AI$750,29,FALSE),0)</f>
        <v>4966.5</v>
      </c>
      <c r="J59" s="362">
        <f>IFERROR(VLOOKUP(C59,'تقرير المصروفات حسب الشهر'!$C$763:$AL$877,29,FALSE),0)</f>
        <v>4555.25</v>
      </c>
      <c r="K59" s="362">
        <f>IFERROR(VLOOKUP(C59,'تقرير المصروفات حسب الشهر'!$C$890:$AI$1007,29,FALSE),0)</f>
        <v>0</v>
      </c>
      <c r="L59" s="362">
        <f>IFERROR(VLOOKUP(C59,'تقرير المصروفات حسب الشهر'!$C$1016:$AI$1131,29,FALSE),0)</f>
        <v>6777.75</v>
      </c>
      <c r="M59" s="376">
        <f>IFERROR(VLOOKUP(C59,'تقرير المصروفات حسب الشهر'!$C$1143:$AI$1259,29,FALSE),0)</f>
        <v>7900.25</v>
      </c>
      <c r="N59" s="376">
        <f>IFERROR(VLOOKUP(C59,'تقرير المصروفات حسب الشهر'!$C$1271:$AI$1385,29,FALSE),0)</f>
        <v>9997.25</v>
      </c>
      <c r="O59" s="376">
        <f>IFERROR(VLOOKUP(C59,'تقرير المصروفات حسب الشهر'!$C$1397:$AI$1512,29,FALSE),0)</f>
        <v>7800.9</v>
      </c>
      <c r="P59" s="364">
        <f t="shared" si="5"/>
        <v>52353.65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الشهر'!$C$10:$AL$119,29,FALSE),0)</f>
        <v>4160</v>
      </c>
      <c r="E60" s="362">
        <f>IFERROR(VLOOKUP(C60,'تقرير المصروفات حسب الشهر'!$C$135:$AL$252,29,FALSE),0)</f>
        <v>0</v>
      </c>
      <c r="F60" s="362">
        <v>3950</v>
      </c>
      <c r="G60" s="362">
        <f>IFERROR(VLOOKUP(C60,'تقرير المصروفات حسب الشهر'!C424:AH536,29,0),0)</f>
        <v>0</v>
      </c>
      <c r="H60" s="362">
        <f>IFERROR(VLOOKUP(C60,'تقرير المصروفات حسب الشهر'!$C$512:$AH$620,29,FALSE),0)</f>
        <v>0</v>
      </c>
      <c r="I60" s="362">
        <f>IFERROR(VLOOKUP(C60,'تقرير المصروفات حسب الشهر'!$C$637:$AI$750,29,FALSE),0)</f>
        <v>9300</v>
      </c>
      <c r="J60" s="362">
        <f>IFERROR(VLOOKUP(C60,'تقرير المصروفات حسب الشهر'!$C$763:$AL$877,29,FALSE),0)</f>
        <v>0</v>
      </c>
      <c r="K60" s="362">
        <f>IFERROR(VLOOKUP(C60,'تقرير المصروفات حسب الشهر'!$C$890:$AI$1007,29,FALSE),0)</f>
        <v>3300</v>
      </c>
      <c r="L60" s="362">
        <f>IFERROR(VLOOKUP(C60,'تقرير المصروفات حسب الشهر'!$C$1016:$AI$1131,29,FALSE),0)</f>
        <v>0</v>
      </c>
      <c r="M60" s="376">
        <f>IFERROR(VLOOKUP(C60,'تقرير المصروفات حسب الشهر'!$C$1143:$AI$1259,29,FALSE),0)</f>
        <v>9900</v>
      </c>
      <c r="N60" s="376">
        <f>IFERROR(VLOOKUP(C60,'تقرير المصروفات حسب الشهر'!$C$1271:$AI$1385,29,FALSE),0)</f>
        <v>0</v>
      </c>
      <c r="O60" s="376">
        <f>IFERROR(VLOOKUP(C60,'تقرير المصروفات حسب الشهر'!$C$1397:$AI$1512,29,FALSE),0)</f>
        <v>11550</v>
      </c>
      <c r="P60" s="364">
        <f t="shared" si="5"/>
        <v>42160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الشهر'!$C$10:$AL$119,29,FALSE),0)</f>
        <v>200</v>
      </c>
      <c r="E61" s="362">
        <f>IFERROR(VLOOKUP(C61,'تقرير المصروفات حسب الشهر'!$C$135:$AL$252,29,FALSE),0)</f>
        <v>1100</v>
      </c>
      <c r="F61" s="362">
        <v>700</v>
      </c>
      <c r="G61" s="362">
        <f>IFERROR(VLOOKUP(C61,'تقرير المصروفات حسب الشهر'!C425:AH537,29,0),0)</f>
        <v>900</v>
      </c>
      <c r="H61" s="362">
        <f>IFERROR(VLOOKUP(C61,'تقرير المصروفات حسب الشهر'!$C$512:$AH$620,29,FALSE),0)</f>
        <v>500</v>
      </c>
      <c r="I61" s="362">
        <f>IFERROR(VLOOKUP(C61,'تقرير المصروفات حسب الشهر'!$C$637:$AI$750,29,FALSE),0)</f>
        <v>600</v>
      </c>
      <c r="J61" s="362">
        <f>IFERROR(VLOOKUP(C61,'تقرير المصروفات حسب الشهر'!$C$763:$AL$877,29,FALSE),0)</f>
        <v>700</v>
      </c>
      <c r="K61" s="362">
        <f>IFERROR(VLOOKUP(C61,'تقرير المصروفات حسب الشهر'!$C$890:$AI$1007,29,FALSE),0)</f>
        <v>300</v>
      </c>
      <c r="L61" s="362">
        <f>IFERROR(VLOOKUP(C61,'تقرير المصروفات حسب الشهر'!$C$1016:$AI$1131,29,FALSE),0)</f>
        <v>350</v>
      </c>
      <c r="M61" s="376">
        <f>IFERROR(VLOOKUP(C61,'تقرير المصروفات حسب الشهر'!$C$1143:$AI$1259,29,FALSE),0)</f>
        <v>200</v>
      </c>
      <c r="N61" s="376">
        <f>IFERROR(VLOOKUP(C61,'تقرير المصروفات حسب الشهر'!$C$1271:$AI$1385,29,FALSE),0)</f>
        <v>300.14999999999964</v>
      </c>
      <c r="O61" s="376">
        <f>IFERROR(VLOOKUP(C61,'تقرير المصروفات حسب الشهر'!$C$1397:$AI$1512,29,FALSE),0)</f>
        <v>300</v>
      </c>
      <c r="P61" s="364">
        <f t="shared" si="5"/>
        <v>6150.15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الشهر'!$C$10:$AL$119,29,FALSE),0)</f>
        <v>0</v>
      </c>
      <c r="E62" s="362">
        <f>IFERROR(VLOOKUP(C62,'تقرير المصروفات حسب الشهر'!$C$135:$AL$252,29,FALSE),0)</f>
        <v>0</v>
      </c>
      <c r="F62" s="362">
        <v>0</v>
      </c>
      <c r="G62" s="362">
        <f>IFERROR(VLOOKUP(C62,'تقرير المصروفات حسب الشهر'!C426:AH538,29,0),0)</f>
        <v>0</v>
      </c>
      <c r="H62" s="362">
        <f>IFERROR(VLOOKUP(C62,'تقرير المصروفات حسب الشهر'!$C$512:$AH$620,29,FALSE),0)</f>
        <v>3110</v>
      </c>
      <c r="I62" s="362">
        <f>IFERROR(VLOOKUP(C62,'تقرير المصروفات حسب الشهر'!$C$637:$AI$750,29,FALSE),0)</f>
        <v>0</v>
      </c>
      <c r="J62" s="362">
        <f>IFERROR(VLOOKUP(C62,'تقرير المصروفات حسب الشهر'!$C$763:$AL$877,29,FALSE),0)</f>
        <v>0</v>
      </c>
      <c r="K62" s="362">
        <f>IFERROR(VLOOKUP(C62,'تقرير المصروفات حسب الشهر'!$C$890:$AI$1007,29,FALSE),0)</f>
        <v>0</v>
      </c>
      <c r="L62" s="362">
        <f>IFERROR(VLOOKUP(C62,'تقرير المصروفات حسب الشهر'!$C$1016:$AI$1131,29,FALSE),0)</f>
        <v>3608</v>
      </c>
      <c r="M62" s="376">
        <f>IFERROR(VLOOKUP(C62,'تقرير المصروفات حسب الشهر'!$C$1143:$AI$1259,29,FALSE),0)</f>
        <v>0</v>
      </c>
      <c r="N62" s="376">
        <f>IFERROR(VLOOKUP(C62,'تقرير المصروفات حسب الشهر'!$C$1271:$AI$1385,29,FALSE),0)</f>
        <v>0</v>
      </c>
      <c r="O62" s="376">
        <f>IFERROR(VLOOKUP(C62,'تقرير المصروفات حسب الشهر'!$C$1397:$AI$1512,29,FALSE),0)</f>
        <v>0</v>
      </c>
      <c r="P62" s="364">
        <f t="shared" si="5"/>
        <v>6718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الشهر'!$C$10:$AL$119,29,FALSE),0)</f>
        <v>1600</v>
      </c>
      <c r="E63" s="362">
        <f>IFERROR(VLOOKUP(C63,'تقرير المصروفات حسب الشهر'!$C$135:$AL$252,29,FALSE),0)</f>
        <v>0</v>
      </c>
      <c r="F63" s="362">
        <v>0</v>
      </c>
      <c r="G63" s="362">
        <f>IFERROR(VLOOKUP(C63,'تقرير المصروفات حسب الشهر'!C427:AH539,29,0),0)</f>
        <v>0</v>
      </c>
      <c r="H63" s="362">
        <f>IFERROR(VLOOKUP(C63,'تقرير المصروفات حسب الشهر'!$C$512:$AH$620,29,FALSE),0)</f>
        <v>0</v>
      </c>
      <c r="I63" s="362">
        <f>IFERROR(VLOOKUP(C63,'تقرير المصروفات حسب الشهر'!$C$637:$AI$750,29,FALSE),0)</f>
        <v>0</v>
      </c>
      <c r="J63" s="362">
        <f>IFERROR(VLOOKUP(C63,'تقرير المصروفات حسب الشهر'!$C$763:$AL$877,29,FALSE),0)</f>
        <v>0</v>
      </c>
      <c r="K63" s="362">
        <f>IFERROR(VLOOKUP(C63,'تقرير المصروفات حسب الشهر'!$C$890:$AI$1007,29,FALSE),0)</f>
        <v>0</v>
      </c>
      <c r="L63" s="362">
        <f>IFERROR(VLOOKUP(C63,'تقرير المصروفات حسب الشهر'!$C$1016:$AI$1131,29,FALSE),0)</f>
        <v>0</v>
      </c>
      <c r="M63" s="376">
        <f>IFERROR(VLOOKUP(C63,'تقرير المصروفات حسب الشهر'!$C$1143:$AI$1259,29,FALSE),0)</f>
        <v>0</v>
      </c>
      <c r="N63" s="376">
        <f>IFERROR(VLOOKUP(C63,'تقرير المصروفات حسب الشهر'!$C$1271:$AI$1385,29,FALSE),0)</f>
        <v>700</v>
      </c>
      <c r="O63" s="376">
        <f>IFERROR(VLOOKUP(C63,'تقرير المصروفات حسب الشهر'!$C$1397:$AI$1512,29,FALSE),0)</f>
        <v>0</v>
      </c>
      <c r="P63" s="364">
        <f t="shared" si="5"/>
        <v>2300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الشهر'!$C$10:$AL$119,29,FALSE),0)</f>
        <v>0</v>
      </c>
      <c r="E64" s="362">
        <f>IFERROR(VLOOKUP(C64,'تقرير المصروفات حسب الشهر'!$C$135:$AL$252,29,FALSE),0)</f>
        <v>0</v>
      </c>
      <c r="F64" s="362">
        <v>10800</v>
      </c>
      <c r="G64" s="362">
        <f>IFERROR(VLOOKUP(C64,'تقرير المصروفات حسب الشهر'!C428:AH540,29,0),0)</f>
        <v>1920</v>
      </c>
      <c r="H64" s="362">
        <f>IFERROR(VLOOKUP(C64,'تقرير المصروفات حسب الشهر'!$C$512:$AH$620,29,FALSE),0)</f>
        <v>0</v>
      </c>
      <c r="I64" s="362">
        <f>IFERROR(VLOOKUP(C64,'تقرير المصروفات حسب الشهر'!$C$637:$AI$750,29,FALSE),0)</f>
        <v>0</v>
      </c>
      <c r="J64" s="362">
        <f>IFERROR(VLOOKUP(C64,'تقرير المصروفات حسب الشهر'!$C$763:$AL$877,29,FALSE),0)</f>
        <v>0</v>
      </c>
      <c r="K64" s="362">
        <f>IFERROR(VLOOKUP(C64,'تقرير المصروفات حسب الشهر'!$C$890:$AI$1007,29,FALSE),0)</f>
        <v>0</v>
      </c>
      <c r="L64" s="362">
        <f>IFERROR(VLOOKUP(C64,'تقرير المصروفات حسب الشهر'!$C$1016:$AI$1131,29,FALSE),0)</f>
        <v>0</v>
      </c>
      <c r="M64" s="376">
        <f>IFERROR(VLOOKUP(C64,'تقرير المصروفات حسب الشهر'!$C$1143:$AI$1259,29,FALSE),0)</f>
        <v>0</v>
      </c>
      <c r="N64" s="376">
        <f>IFERROR(VLOOKUP(C64,'تقرير المصروفات حسب الشهر'!$C$1271:$AI$1385,29,FALSE),0)</f>
        <v>0</v>
      </c>
      <c r="O64" s="376">
        <f>IFERROR(VLOOKUP(C64,'تقرير المصروفات حسب الشهر'!$C$1397:$AI$1512,29,FALSE),0)</f>
        <v>2375</v>
      </c>
      <c r="P64" s="364">
        <f t="shared" si="5"/>
        <v>15095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الشهر'!$C$10:$AL$119,29,FALSE),0)</f>
        <v>0</v>
      </c>
      <c r="E65" s="362">
        <f>IFERROR(VLOOKUP(C65,'تقرير المصروفات حسب الشهر'!$C$135:$AL$252,29,FALSE),0)</f>
        <v>0</v>
      </c>
      <c r="F65" s="362">
        <v>0</v>
      </c>
      <c r="G65" s="362">
        <f>IFERROR(VLOOKUP(C65,'تقرير المصروفات حسب الشهر'!C429:AH541,29,0),0)</f>
        <v>0</v>
      </c>
      <c r="H65" s="362">
        <f>IFERROR(VLOOKUP(C65,'تقرير المصروفات حسب الشهر'!$C$512:$AH$620,29,FALSE),0)</f>
        <v>0</v>
      </c>
      <c r="I65" s="362">
        <f>IFERROR(VLOOKUP(C65,'تقرير المصروفات حسب الشهر'!$C$637:$AI$750,29,FALSE),0)</f>
        <v>0</v>
      </c>
      <c r="J65" s="362">
        <f>IFERROR(VLOOKUP(C65,'تقرير المصروفات حسب الشهر'!$C$763:$AL$877,29,FALSE),0)</f>
        <v>0</v>
      </c>
      <c r="K65" s="362">
        <f>IFERROR(VLOOKUP(C65,'تقرير المصروفات حسب الشهر'!$C$890:$AI$1007,29,FALSE),0)</f>
        <v>0</v>
      </c>
      <c r="L65" s="362">
        <f>IFERROR(VLOOKUP(C65,'تقرير المصروفات حسب الشهر'!$C$1016:$AI$1131,29,FALSE),0)</f>
        <v>0</v>
      </c>
      <c r="M65" s="376">
        <f>IFERROR(VLOOKUP(C65,'تقرير المصروفات حسب الشهر'!$C$1143:$AI$1259,29,FALSE),0)</f>
        <v>0</v>
      </c>
      <c r="N65" s="376">
        <f>IFERROR(VLOOKUP(C65,'تقرير المصروفات حسب الشهر'!$C$1271:$AI$1385,29,FALSE),0)</f>
        <v>0</v>
      </c>
      <c r="O65" s="376">
        <f>IFERROR(VLOOKUP(C65,'تقرير المصروفات حسب الشهر'!$C$1397:$AI$1512,29,FALSE),0)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الشهر'!$C$10:$AL$119,29,FALSE),0)</f>
        <v>0</v>
      </c>
      <c r="E66" s="362">
        <f>IFERROR(VLOOKUP(C66,'تقرير المصروفات حسب الشهر'!$C$135:$AL$252,29,FALSE),0)</f>
        <v>0</v>
      </c>
      <c r="F66" s="362">
        <v>0</v>
      </c>
      <c r="G66" s="362">
        <f>IFERROR(VLOOKUP(C66,'تقرير المصروفات حسب الشهر'!C430:AH542,29,0),0)</f>
        <v>0</v>
      </c>
      <c r="H66" s="362">
        <f>IFERROR(VLOOKUP(C66,'تقرير المصروفات حسب الشهر'!$C$512:$AH$620,29,FALSE),0)</f>
        <v>0</v>
      </c>
      <c r="I66" s="362">
        <f>IFERROR(VLOOKUP(C66,'تقرير المصروفات حسب الشهر'!$C$637:$AI$750,29,FALSE),0)</f>
        <v>0</v>
      </c>
      <c r="J66" s="362">
        <f>IFERROR(VLOOKUP(C66,'تقرير المصروفات حسب الشهر'!$C$763:$AL$877,29,FALSE),0)</f>
        <v>0</v>
      </c>
      <c r="K66" s="362">
        <f>IFERROR(VLOOKUP(C66,'تقرير المصروفات حسب الشهر'!$C$890:$AI$1007,29,FALSE),0)</f>
        <v>0</v>
      </c>
      <c r="L66" s="362">
        <f>IFERROR(VLOOKUP(C66,'تقرير المصروفات حسب الشهر'!$C$1016:$AI$1131,29,FALSE),0)</f>
        <v>0</v>
      </c>
      <c r="M66" s="376">
        <f>IFERROR(VLOOKUP(C66,'تقرير المصروفات حسب الشهر'!$C$1143:$AI$1259,29,FALSE),0)</f>
        <v>0</v>
      </c>
      <c r="N66" s="376">
        <f>IFERROR(VLOOKUP(C66,'تقرير المصروفات حسب الشهر'!$C$1271:$AI$1385,29,FALSE),0)</f>
        <v>0</v>
      </c>
      <c r="O66" s="376">
        <f>IFERROR(VLOOKUP(C66,'تقرير المصروفات حسب الشهر'!$C$1397:$AI$1512,29,FALSE),0)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الشهر'!$C$10:$AL$119,29,FALSE),0)</f>
        <v>0</v>
      </c>
      <c r="E67" s="362">
        <f>IFERROR(VLOOKUP(C67,'تقرير المصروفات حسب الشهر'!$C$135:$AL$252,29,FALSE),0)</f>
        <v>0</v>
      </c>
      <c r="F67" s="362">
        <v>0</v>
      </c>
      <c r="G67" s="362">
        <f>IFERROR(VLOOKUP(C67,'تقرير المصروفات حسب الشهر'!C431:AH543,29,0),0)</f>
        <v>0</v>
      </c>
      <c r="H67" s="362">
        <f>IFERROR(VLOOKUP(C67,'تقرير المصروفات حسب الشهر'!$C$512:$AH$620,29,FALSE),0)</f>
        <v>0</v>
      </c>
      <c r="I67" s="362">
        <f>IFERROR(VLOOKUP(C67,'تقرير المصروفات حسب الشهر'!$C$637:$AI$750,29,FALSE),0)</f>
        <v>0</v>
      </c>
      <c r="J67" s="362">
        <f>IFERROR(VLOOKUP(C67,'تقرير المصروفات حسب الشهر'!$C$763:$AL$877,29,FALSE),0)</f>
        <v>0</v>
      </c>
      <c r="K67" s="362">
        <f>IFERROR(VLOOKUP(C67,'تقرير المصروفات حسب الشهر'!$C$890:$AI$1007,29,FALSE),0)</f>
        <v>0</v>
      </c>
      <c r="L67" s="362">
        <f>IFERROR(VLOOKUP(C67,'تقرير المصروفات حسب الشهر'!$C$1016:$AI$1131,29,FALSE),0)</f>
        <v>0</v>
      </c>
      <c r="M67" s="376">
        <f>IFERROR(VLOOKUP(C67,'تقرير المصروفات حسب الشهر'!$C$1143:$AI$1259,29,FALSE),0)</f>
        <v>0</v>
      </c>
      <c r="N67" s="376">
        <f>IFERROR(VLOOKUP(C67,'تقرير المصروفات حسب الشهر'!$C$1271:$AI$1385,29,FALSE),0)</f>
        <v>0</v>
      </c>
      <c r="O67" s="376">
        <f>IFERROR(VLOOKUP(C67,'تقرير المصروفات حسب الشهر'!$C$1397:$AI$1512,29,FALSE),0)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الشهر'!$C$10:$AL$119,29,FALSE),0)</f>
        <v>0</v>
      </c>
      <c r="E68" s="362">
        <f>IFERROR(VLOOKUP(C68,'تقرير المصروفات حسب الشهر'!$C$135:$AL$252,29,FALSE),0)</f>
        <v>0</v>
      </c>
      <c r="F68" s="362">
        <v>0</v>
      </c>
      <c r="G68" s="362">
        <f>IFERROR(VLOOKUP(C68,'تقرير المصروفات حسب الشهر'!C432:AH544,29,0),0)</f>
        <v>0</v>
      </c>
      <c r="H68" s="362">
        <f>IFERROR(VLOOKUP(C68,'تقرير المصروفات حسب الشهر'!$C$512:$AH$620,29,FALSE),0)</f>
        <v>0</v>
      </c>
      <c r="I68" s="362">
        <f>IFERROR(VLOOKUP(C68,'تقرير المصروفات حسب الشهر'!$C$637:$AI$750,29,FALSE),0)</f>
        <v>0</v>
      </c>
      <c r="J68" s="362">
        <f>IFERROR(VLOOKUP(C68,'تقرير المصروفات حسب الشهر'!$C$763:$AL$877,29,FALSE),0)</f>
        <v>0</v>
      </c>
      <c r="K68" s="362">
        <f>IFERROR(VLOOKUP(C68,'تقرير المصروفات حسب الشهر'!$C$890:$AI$1007,29,FALSE),0)</f>
        <v>0</v>
      </c>
      <c r="L68" s="362">
        <f>IFERROR(VLOOKUP(C68,'تقرير المصروفات حسب الشهر'!$C$1016:$AI$1131,29,FALSE),0)</f>
        <v>0</v>
      </c>
      <c r="M68" s="376">
        <f>IFERROR(VLOOKUP(C68,'تقرير المصروفات حسب الشهر'!$C$1143:$AI$1259,29,FALSE),0)</f>
        <v>0</v>
      </c>
      <c r="N68" s="376">
        <f>IFERROR(VLOOKUP(C68,'تقرير المصروفات حسب الشهر'!$C$1271:$AI$1385,29,FALSE),0)</f>
        <v>0</v>
      </c>
      <c r="O68" s="376">
        <f>IFERROR(VLOOKUP(C68,'تقرير المصروفات حسب الشهر'!$C$1397:$AI$1512,29,FALSE),0)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الشهر'!$C$10:$AL$119,29,FALSE),0)</f>
        <v>0</v>
      </c>
      <c r="E69" s="362">
        <f>IFERROR(VLOOKUP(C69,'تقرير المصروفات حسب الشهر'!$C$135:$AL$252,29,FALSE),0)</f>
        <v>0</v>
      </c>
      <c r="F69" s="362">
        <v>0</v>
      </c>
      <c r="G69" s="362">
        <f>IFERROR(VLOOKUP(C69,'تقرير المصروفات حسب الشهر'!C433:AH545,29,0),0)</f>
        <v>0</v>
      </c>
      <c r="H69" s="362">
        <f>IFERROR(VLOOKUP(C69,'تقرير المصروفات حسب الشهر'!$C$512:$AH$620,29,FALSE),0)</f>
        <v>0</v>
      </c>
      <c r="I69" s="362">
        <f>IFERROR(VLOOKUP(C69,'تقرير المصروفات حسب الشهر'!$C$637:$AI$750,29,FALSE),0)</f>
        <v>0</v>
      </c>
      <c r="J69" s="362">
        <f>IFERROR(VLOOKUP(C69,'تقرير المصروفات حسب الشهر'!$C$763:$AL$877,29,FALSE),0)</f>
        <v>0</v>
      </c>
      <c r="K69" s="362">
        <f>IFERROR(VLOOKUP(C69,'تقرير المصروفات حسب الشهر'!$C$890:$AI$1007,29,FALSE),0)</f>
        <v>0</v>
      </c>
      <c r="L69" s="362">
        <f>IFERROR(VLOOKUP(C69,'تقرير المصروفات حسب الشهر'!$C$1016:$AI$1131,29,FALSE),0)</f>
        <v>0</v>
      </c>
      <c r="M69" s="376">
        <f>IFERROR(VLOOKUP(C69,'تقرير المصروفات حسب الشهر'!$C$1143:$AI$1259,29,FALSE),0)</f>
        <v>0</v>
      </c>
      <c r="N69" s="376">
        <f>IFERROR(VLOOKUP(C69,'تقرير المصروفات حسب الشهر'!$C$1271:$AI$1385,29,FALSE),0)</f>
        <v>0</v>
      </c>
      <c r="O69" s="376">
        <f>IFERROR(VLOOKUP(C69,'تقرير المصروفات حسب الشهر'!$C$1397:$AI$1512,29,FALSE),0)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الشهر'!$C$10:$AL$119,29,FALSE),0)</f>
        <v>0</v>
      </c>
      <c r="E70" s="362">
        <f>IFERROR(VLOOKUP(C70,'تقرير المصروفات حسب الشهر'!$C$135:$AL$252,29,FALSE),0)</f>
        <v>0</v>
      </c>
      <c r="F70" s="362">
        <v>0</v>
      </c>
      <c r="G70" s="362">
        <f>IFERROR(VLOOKUP(C70,'تقرير المصروفات حسب الشهر'!C434:AH546,29,0),0)</f>
        <v>0</v>
      </c>
      <c r="H70" s="362">
        <f>IFERROR(VLOOKUP(C70,'تقرير المصروفات حسب الشهر'!$C$512:$AH$620,29,FALSE),0)</f>
        <v>0</v>
      </c>
      <c r="I70" s="362">
        <f>IFERROR(VLOOKUP(C70,'تقرير المصروفات حسب الشهر'!$C$637:$AI$750,29,FALSE),0)</f>
        <v>0</v>
      </c>
      <c r="J70" s="362">
        <f>IFERROR(VLOOKUP(C70,'تقرير المصروفات حسب الشهر'!$C$763:$AL$877,29,FALSE),0)</f>
        <v>0</v>
      </c>
      <c r="K70" s="362">
        <f>IFERROR(VLOOKUP(C70,'تقرير المصروفات حسب الشهر'!$C$890:$AI$1007,29,FALSE),0)</f>
        <v>0</v>
      </c>
      <c r="L70" s="362">
        <f>IFERROR(VLOOKUP(C70,'تقرير المصروفات حسب الشهر'!$C$1016:$AI$1131,29,FALSE),0)</f>
        <v>0</v>
      </c>
      <c r="M70" s="376">
        <f>IFERROR(VLOOKUP(C70,'تقرير المصروفات حسب الشهر'!$C$1143:$AI$1259,29,FALSE),0)</f>
        <v>0</v>
      </c>
      <c r="N70" s="376">
        <f>IFERROR(VLOOKUP(C70,'تقرير المصروفات حسب الشهر'!$C$1271:$AI$1385,29,FALSE),0)</f>
        <v>0</v>
      </c>
      <c r="O70" s="376">
        <f>IFERROR(VLOOKUP(C70,'تقرير المصروفات حسب الشهر'!$C$1397:$AI$1512,29,FALSE),0)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الشهر'!$C$10:$AL$119,29,FALSE),0)</f>
        <v>0</v>
      </c>
      <c r="E71" s="362">
        <f>IFERROR(VLOOKUP(C71,'تقرير المصروفات حسب الشهر'!$C$135:$AL$252,29,FALSE),0)</f>
        <v>0</v>
      </c>
      <c r="F71" s="362">
        <v>0</v>
      </c>
      <c r="G71" s="362">
        <f>IFERROR(VLOOKUP(C71,'تقرير المصروفات حسب الشهر'!C435:AH547,29,0),0)</f>
        <v>0</v>
      </c>
      <c r="H71" s="362">
        <f>IFERROR(VLOOKUP(C71,'تقرير المصروفات حسب الشهر'!$C$512:$AH$620,29,FALSE),0)</f>
        <v>0</v>
      </c>
      <c r="I71" s="362">
        <f>IFERROR(VLOOKUP(C71,'تقرير المصروفات حسب الشهر'!$C$637:$AI$750,29,FALSE),0)</f>
        <v>0</v>
      </c>
      <c r="J71" s="362">
        <f>IFERROR(VLOOKUP(C71,'تقرير المصروفات حسب الشهر'!$C$763:$AL$877,29,FALSE),0)</f>
        <v>0</v>
      </c>
      <c r="K71" s="362">
        <f>IFERROR(VLOOKUP(C71,'تقرير المصروفات حسب الشهر'!$C$890:$AI$1007,29,FALSE),0)</f>
        <v>0</v>
      </c>
      <c r="L71" s="362">
        <f>IFERROR(VLOOKUP(C71,'تقرير المصروفات حسب الشهر'!$C$1016:$AI$1131,29,FALSE),0)</f>
        <v>0</v>
      </c>
      <c r="M71" s="376">
        <f>IFERROR(VLOOKUP(C71,'تقرير المصروفات حسب الشهر'!$C$1143:$AI$1259,29,FALSE),0)</f>
        <v>0</v>
      </c>
      <c r="N71" s="376">
        <f>IFERROR(VLOOKUP(C71,'تقرير المصروفات حسب الشهر'!$C$1271:$AI$1385,29,FALSE),0)</f>
        <v>0</v>
      </c>
      <c r="O71" s="376">
        <f>IFERROR(VLOOKUP(C71,'تقرير المصروفات حسب الشهر'!$C$1397:$AI$1512,29,FALSE),0)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الشهر'!$C$10:$AL$119,29,FALSE),0)</f>
        <v>0</v>
      </c>
      <c r="E72" s="362">
        <f>IFERROR(VLOOKUP(C72,'تقرير المصروفات حسب الشهر'!$C$135:$AL$252,29,FALSE),0)</f>
        <v>0</v>
      </c>
      <c r="F72" s="362">
        <v>0</v>
      </c>
      <c r="G72" s="362">
        <f>IFERROR(VLOOKUP(C72,'تقرير المصروفات حسب الشهر'!C436:AH548,29,0),0)</f>
        <v>0</v>
      </c>
      <c r="H72" s="362">
        <f>IFERROR(VLOOKUP(C72,'تقرير المصروفات حسب الشهر'!$C$512:$AH$620,29,FALSE),0)</f>
        <v>0</v>
      </c>
      <c r="I72" s="362">
        <f>IFERROR(VLOOKUP(C72,'تقرير المصروفات حسب الشهر'!$C$637:$AI$750,29,FALSE),0)</f>
        <v>0</v>
      </c>
      <c r="J72" s="362">
        <f>IFERROR(VLOOKUP(C72,'تقرير المصروفات حسب الشهر'!$C$763:$AL$877,29,FALSE),0)</f>
        <v>0</v>
      </c>
      <c r="K72" s="362">
        <f>IFERROR(VLOOKUP(C72,'تقرير المصروفات حسب الشهر'!$C$890:$AI$1007,29,FALSE),0)</f>
        <v>0</v>
      </c>
      <c r="L72" s="362">
        <f>IFERROR(VLOOKUP(C72,'تقرير المصروفات حسب الشهر'!$C$1016:$AI$1131,29,FALSE),0)</f>
        <v>0</v>
      </c>
      <c r="M72" s="376">
        <f>IFERROR(VLOOKUP(C72,'تقرير المصروفات حسب الشهر'!$C$1143:$AI$1259,29,FALSE),0)</f>
        <v>0</v>
      </c>
      <c r="N72" s="376">
        <f>IFERROR(VLOOKUP(C72,'تقرير المصروفات حسب الشهر'!$C$1271:$AI$1385,29,FALSE),0)</f>
        <v>0</v>
      </c>
      <c r="O72" s="376">
        <f>IFERROR(VLOOKUP(C72,'تقرير المصروفات حسب الشهر'!$C$1397:$AI$1512,29,FALSE),0)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الشهر'!$C$10:$AL$119,29,FALSE),0)</f>
        <v>0</v>
      </c>
      <c r="E73" s="362">
        <f>IFERROR(VLOOKUP(C73,'تقرير المصروفات حسب الشهر'!$C$135:$AL$252,29,FALSE),0)</f>
        <v>0</v>
      </c>
      <c r="F73" s="362">
        <v>0</v>
      </c>
      <c r="G73" s="362">
        <f>IFERROR(VLOOKUP(C73,'تقرير المصروفات حسب الشهر'!C437:AH549,29,0),0)</f>
        <v>0</v>
      </c>
      <c r="H73" s="362">
        <f>IFERROR(VLOOKUP(C73,'تقرير المصروفات حسب الشهر'!$C$512:$AH$620,29,FALSE),0)</f>
        <v>0</v>
      </c>
      <c r="I73" s="362">
        <f>IFERROR(VLOOKUP(C73,'تقرير المصروفات حسب الشهر'!$C$637:$AI$750,29,FALSE),0)</f>
        <v>0</v>
      </c>
      <c r="J73" s="362">
        <f>IFERROR(VLOOKUP(C73,'تقرير المصروفات حسب الشهر'!$C$763:$AL$877,29,FALSE),0)</f>
        <v>0</v>
      </c>
      <c r="K73" s="362">
        <f>IFERROR(VLOOKUP(C73,'تقرير المصروفات حسب الشهر'!$C$890:$AI$1007,29,FALSE),0)</f>
        <v>0</v>
      </c>
      <c r="L73" s="362">
        <f>IFERROR(VLOOKUP(C73,'تقرير المصروفات حسب الشهر'!$C$1016:$AI$1131,29,FALSE),0)</f>
        <v>0</v>
      </c>
      <c r="M73" s="376">
        <f>IFERROR(VLOOKUP(C73,'تقرير المصروفات حسب الشهر'!$C$1143:$AI$1259,29,FALSE),0)</f>
        <v>0</v>
      </c>
      <c r="N73" s="376">
        <f>IFERROR(VLOOKUP(C73,'تقرير المصروفات حسب الشهر'!$C$1271:$AI$1385,29,FALSE),0)</f>
        <v>0</v>
      </c>
      <c r="O73" s="376">
        <f>IFERROR(VLOOKUP(C73,'تقرير المصروفات حسب الشهر'!$C$1397:$AI$1512,29,FALSE),0)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الشهر'!$C$10:$AL$119,29,FALSE),0)</f>
        <v>0</v>
      </c>
      <c r="E74" s="362">
        <f>IFERROR(VLOOKUP(C74,'تقرير المصروفات حسب الشهر'!$C$135:$AL$252,29,FALSE),0)</f>
        <v>0</v>
      </c>
      <c r="F74" s="362">
        <v>0</v>
      </c>
      <c r="G74" s="362">
        <f>IFERROR(VLOOKUP(C74,'تقرير المصروفات حسب الشهر'!C438:AH550,29,0),0)</f>
        <v>0</v>
      </c>
      <c r="H74" s="362">
        <f>IFERROR(VLOOKUP(C74,'تقرير المصروفات حسب الشهر'!$C$512:$AH$620,29,FALSE),0)</f>
        <v>0</v>
      </c>
      <c r="I74" s="362">
        <f>IFERROR(VLOOKUP(C74,'تقرير المصروفات حسب الشهر'!$C$637:$AI$750,29,FALSE),0)</f>
        <v>0</v>
      </c>
      <c r="J74" s="362">
        <f>IFERROR(VLOOKUP(C74,'تقرير المصروفات حسب الشهر'!$C$763:$AL$877,29,FALSE),0)</f>
        <v>0</v>
      </c>
      <c r="K74" s="362">
        <f>IFERROR(VLOOKUP(C74,'تقرير المصروفات حسب الشهر'!$C$890:$AI$1007,29,FALSE),0)</f>
        <v>0</v>
      </c>
      <c r="L74" s="362">
        <f>IFERROR(VLOOKUP(C74,'تقرير المصروفات حسب الشهر'!$C$1016:$AI$1131,29,FALSE),0)</f>
        <v>0</v>
      </c>
      <c r="M74" s="376">
        <f>IFERROR(VLOOKUP(C74,'تقرير المصروفات حسب الشهر'!$C$1143:$AI$1259,29,FALSE),0)</f>
        <v>0</v>
      </c>
      <c r="N74" s="376">
        <f>IFERROR(VLOOKUP(C74,'تقرير المصروفات حسب الشهر'!$C$1271:$AI$1385,29,FALSE),0)</f>
        <v>0</v>
      </c>
      <c r="O74" s="376">
        <f>IFERROR(VLOOKUP(C74,'تقرير المصروفات حسب الشهر'!$C$1397:$AI$1512,29,FALSE),0)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الشهر'!$C$10:$AL$119,29,FALSE),0)</f>
        <v>0</v>
      </c>
      <c r="E75" s="362">
        <f>IFERROR(VLOOKUP(C75,'تقرير المصروفات حسب الشهر'!$C$135:$AL$252,29,FALSE),0)</f>
        <v>0</v>
      </c>
      <c r="F75" s="362">
        <v>0</v>
      </c>
      <c r="G75" s="362">
        <f>IFERROR(VLOOKUP(C75,'تقرير المصروفات حسب الشهر'!C439:AH551,29,0),0)</f>
        <v>0</v>
      </c>
      <c r="H75" s="362">
        <f>IFERROR(VLOOKUP(C75,'تقرير المصروفات حسب الشهر'!$C$512:$AH$620,29,FALSE),0)</f>
        <v>0</v>
      </c>
      <c r="I75" s="362">
        <f>IFERROR(VLOOKUP(C75,'تقرير المصروفات حسب الشهر'!$C$637:$AI$750,29,FALSE),0)</f>
        <v>0</v>
      </c>
      <c r="J75" s="362">
        <f>IFERROR(VLOOKUP(C75,'تقرير المصروفات حسب الشهر'!$C$763:$AL$877,29,FALSE),0)</f>
        <v>0</v>
      </c>
      <c r="K75" s="362">
        <f>IFERROR(VLOOKUP(C75,'تقرير المصروفات حسب الشهر'!$C$890:$AI$1007,29,FALSE),0)</f>
        <v>0</v>
      </c>
      <c r="L75" s="362">
        <f>IFERROR(VLOOKUP(C75,'تقرير المصروفات حسب الشهر'!$C$1016:$AI$1131,29,FALSE),0)</f>
        <v>0</v>
      </c>
      <c r="M75" s="376">
        <f>IFERROR(VLOOKUP(C75,'تقرير المصروفات حسب الشهر'!$C$1143:$AI$1259,29,FALSE),0)</f>
        <v>0</v>
      </c>
      <c r="N75" s="376">
        <f>IFERROR(VLOOKUP(C75,'تقرير المصروفات حسب الشهر'!$C$1271:$AI$1385,29,FALSE),0)</f>
        <v>0</v>
      </c>
      <c r="O75" s="376">
        <f>IFERROR(VLOOKUP(C75,'تقرير المصروفات حسب الشهر'!$C$1397:$AI$1512,29,FALSE),0)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الشهر'!$C$10:$AL$119,29,FALSE),0)</f>
        <v>0</v>
      </c>
      <c r="E76" s="362">
        <f>IFERROR(VLOOKUP(C76,'تقرير المصروفات حسب الشهر'!$C$135:$AL$252,29,FALSE),0)</f>
        <v>0</v>
      </c>
      <c r="F76" s="362">
        <v>0</v>
      </c>
      <c r="G76" s="362">
        <f>IFERROR(VLOOKUP(C76,'تقرير المصروفات حسب الشهر'!C440:AH552,29,0),0)</f>
        <v>0</v>
      </c>
      <c r="H76" s="362">
        <f>IFERROR(VLOOKUP(C76,'تقرير المصروفات حسب الشهر'!$C$512:$AH$620,29,FALSE),0)</f>
        <v>0</v>
      </c>
      <c r="I76" s="362">
        <f>IFERROR(VLOOKUP(C76,'تقرير المصروفات حسب الشهر'!$C$637:$AI$750,29,FALSE),0)</f>
        <v>0</v>
      </c>
      <c r="J76" s="362">
        <f>IFERROR(VLOOKUP(C76,'تقرير المصروفات حسب الشهر'!$C$763:$AL$877,29,FALSE),0)</f>
        <v>0</v>
      </c>
      <c r="K76" s="362">
        <f>IFERROR(VLOOKUP(C76,'تقرير المصروفات حسب الشهر'!$C$890:$AI$1007,29,FALSE),0)</f>
        <v>0</v>
      </c>
      <c r="L76" s="362">
        <f>IFERROR(VLOOKUP(C76,'تقرير المصروفات حسب الشهر'!$C$1016:$AI$1131,29,FALSE),0)</f>
        <v>0</v>
      </c>
      <c r="M76" s="376">
        <f>IFERROR(VLOOKUP(C76,'تقرير المصروفات حسب الشهر'!$C$1143:$AI$1259,29,FALSE),0)</f>
        <v>0</v>
      </c>
      <c r="N76" s="376">
        <f>IFERROR(VLOOKUP(C76,'تقرير المصروفات حسب الشهر'!$C$1271:$AI$1385,29,FALSE),0)</f>
        <v>0</v>
      </c>
      <c r="O76" s="376">
        <f>IFERROR(VLOOKUP(C76,'تقرير المصروفات حسب الشهر'!$C$1397:$AI$1512,29,FALSE),0)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الشهر'!$C$10:$AL$119,29,FALSE),0)</f>
        <v>0</v>
      </c>
      <c r="E77" s="362">
        <f>IFERROR(VLOOKUP(C77,'تقرير المصروفات حسب الشهر'!$C$135:$AL$252,29,FALSE),0)</f>
        <v>0</v>
      </c>
      <c r="F77" s="362" t="s">
        <v>200</v>
      </c>
      <c r="G77" s="362">
        <f>IFERROR(VLOOKUP(C77,'تقرير المصروفات حسب الشهر'!C441:AH553,29,0),0)</f>
        <v>0</v>
      </c>
      <c r="H77" s="362">
        <f>IFERROR(VLOOKUP(C77,'تقرير المصروفات حسب الشهر'!$C$512:$AH$620,29,FALSE),0)</f>
        <v>0</v>
      </c>
      <c r="I77" s="362">
        <f>IFERROR(VLOOKUP(C77,'تقرير المصروفات حسب الشهر'!$C$637:$AI$750,29,FALSE),0)</f>
        <v>0</v>
      </c>
      <c r="J77" s="362">
        <f>IFERROR(VLOOKUP(C77,'تقرير المصروفات حسب الشهر'!$C$763:$AL$877,29,FALSE),0)</f>
        <v>0</v>
      </c>
      <c r="K77" s="362">
        <f>IFERROR(VLOOKUP(C77,'تقرير المصروفات حسب الشهر'!$C$890:$AI$1007,29,FALSE),0)</f>
        <v>0</v>
      </c>
      <c r="L77" s="362">
        <f>IFERROR(VLOOKUP(C77,'تقرير المصروفات حسب الشهر'!$C$1016:$AI$1131,29,FALSE),0)</f>
        <v>0</v>
      </c>
      <c r="M77" s="376">
        <f>IFERROR(VLOOKUP(C77,'تقرير المصروفات حسب الشهر'!$C$1143:$AI$1259,29,FALSE),0)</f>
        <v>0</v>
      </c>
      <c r="N77" s="376">
        <f>IFERROR(VLOOKUP(C77,'تقرير المصروفات حسب الشهر'!$C$1271:$AI$1385,29,FALSE),0)</f>
        <v>0</v>
      </c>
      <c r="O77" s="376">
        <f>IFERROR(VLOOKUP(C77,'تقرير المصروفات حسب الشهر'!$C$1397:$AI$1512,29,FALSE),0)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الشهر'!$C$10:$AL$119,29,FALSE),0)</f>
        <v>0</v>
      </c>
      <c r="E78" s="362">
        <f>IFERROR(VLOOKUP(C78,'تقرير المصروفات حسب الشهر'!$C$135:$AL$252,29,FALSE),0)</f>
        <v>0</v>
      </c>
      <c r="F78" s="362">
        <v>0</v>
      </c>
      <c r="G78" s="362">
        <f>IFERROR(VLOOKUP(C78,'تقرير المصروفات حسب الشهر'!C442:AH554,29,0),0)</f>
        <v>0</v>
      </c>
      <c r="H78" s="362">
        <f>IFERROR(VLOOKUP(C78,'تقرير المصروفات حسب الشهر'!$C$512:$AH$620,29,FALSE),0)</f>
        <v>0</v>
      </c>
      <c r="I78" s="362">
        <f>IFERROR(VLOOKUP(C78,'تقرير المصروفات حسب الشهر'!$C$637:$AI$750,29,FALSE),0)</f>
        <v>0</v>
      </c>
      <c r="J78" s="362">
        <f>IFERROR(VLOOKUP(C78,'تقرير المصروفات حسب الشهر'!$C$763:$AL$877,29,FALSE),0)</f>
        <v>0</v>
      </c>
      <c r="K78" s="362">
        <f>IFERROR(VLOOKUP(C78,'تقرير المصروفات حسب الشهر'!$C$890:$AI$1007,29,FALSE),0)</f>
        <v>0</v>
      </c>
      <c r="L78" s="362">
        <f>IFERROR(VLOOKUP(C78,'تقرير المصروفات حسب الشهر'!$C$1016:$AI$1131,29,FALSE),0)</f>
        <v>0</v>
      </c>
      <c r="M78" s="376">
        <f>IFERROR(VLOOKUP(C78,'تقرير المصروفات حسب الشهر'!$C$1143:$AI$1259,29,FALSE),0)</f>
        <v>0</v>
      </c>
      <c r="N78" s="376">
        <f>IFERROR(VLOOKUP(C78,'تقرير المصروفات حسب الشهر'!$C$1271:$AI$1385,29,FALSE),0)</f>
        <v>0</v>
      </c>
      <c r="O78" s="376">
        <f>IFERROR(VLOOKUP(C78,'تقرير المصروفات حسب الشهر'!$C$1397:$AI$1512,29,FALSE),0)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الشهر'!$C$10:$AL$119,29,FALSE),0)</f>
        <v>0</v>
      </c>
      <c r="E79" s="362">
        <f>IFERROR(VLOOKUP(C79,'تقرير المصروفات حسب الشهر'!$C$135:$AL$252,29,FALSE),0)</f>
        <v>0</v>
      </c>
      <c r="F79" s="362">
        <v>0</v>
      </c>
      <c r="G79" s="362">
        <f>IFERROR(VLOOKUP(C79,'تقرير المصروفات حسب الشهر'!C443:AH555,29,0),0)</f>
        <v>0</v>
      </c>
      <c r="H79" s="362">
        <f>IFERROR(VLOOKUP(C79,'تقرير المصروفات حسب الشهر'!$C$512:$AH$620,29,FALSE),0)</f>
        <v>0</v>
      </c>
      <c r="I79" s="362">
        <f>IFERROR(VLOOKUP(C79,'تقرير المصروفات حسب الشهر'!$C$637:$AI$750,29,FALSE),0)</f>
        <v>0</v>
      </c>
      <c r="J79" s="362">
        <f>IFERROR(VLOOKUP(C79,'تقرير المصروفات حسب الشهر'!$C$763:$AL$877,29,FALSE),0)</f>
        <v>0</v>
      </c>
      <c r="K79" s="362">
        <f>IFERROR(VLOOKUP(C79,'تقرير المصروفات حسب الشهر'!$C$890:$AI$1007,29,FALSE),0)</f>
        <v>0</v>
      </c>
      <c r="L79" s="362">
        <f>IFERROR(VLOOKUP(C79,'تقرير المصروفات حسب الشهر'!$C$1016:$AI$1131,29,FALSE),0)</f>
        <v>0</v>
      </c>
      <c r="M79" s="376">
        <f>IFERROR(VLOOKUP(C79,'تقرير المصروفات حسب الشهر'!$C$1143:$AI$1259,29,FALSE),0)</f>
        <v>0</v>
      </c>
      <c r="N79" s="376">
        <f>IFERROR(VLOOKUP(C79,'تقرير المصروفات حسب الشهر'!$C$1271:$AI$1385,29,FALSE),0)</f>
        <v>0</v>
      </c>
      <c r="O79" s="376">
        <f>IFERROR(VLOOKUP(C79,'تقرير المصروفات حسب الشهر'!$C$1397:$AI$1512,29,FALSE),0)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الشهر'!$C$10:$AL$119,29,FALSE),0)</f>
        <v>0</v>
      </c>
      <c r="E80" s="362">
        <f>IFERROR(VLOOKUP(C80,'تقرير المصروفات حسب الشهر'!$C$135:$AL$252,29,FALSE),0)</f>
        <v>0</v>
      </c>
      <c r="F80" s="362">
        <v>0</v>
      </c>
      <c r="G80" s="362">
        <f>IFERROR(VLOOKUP(C80,'تقرير المصروفات حسب الشهر'!C444:AH556,29,0),0)</f>
        <v>0</v>
      </c>
      <c r="H80" s="362">
        <f>IFERROR(VLOOKUP(C80,'تقرير المصروفات حسب الشهر'!$C$512:$AH$620,29,FALSE),0)</f>
        <v>0</v>
      </c>
      <c r="I80" s="362">
        <f>IFERROR(VLOOKUP(C80,'تقرير المصروفات حسب الشهر'!$C$637:$AI$750,29,FALSE),0)</f>
        <v>0</v>
      </c>
      <c r="J80" s="362">
        <f>IFERROR(VLOOKUP(C80,'تقرير المصروفات حسب الشهر'!$C$763:$AL$877,29,FALSE),0)</f>
        <v>0</v>
      </c>
      <c r="K80" s="362">
        <f>IFERROR(VLOOKUP(C80,'تقرير المصروفات حسب الشهر'!$C$890:$AI$1007,29,FALSE),0)</f>
        <v>0</v>
      </c>
      <c r="L80" s="362">
        <f>IFERROR(VLOOKUP(C80,'تقرير المصروفات حسب الشهر'!$C$1016:$AI$1131,29,FALSE),0)</f>
        <v>0</v>
      </c>
      <c r="M80" s="376">
        <f>IFERROR(VLOOKUP(C80,'تقرير المصروفات حسب الشهر'!$C$1143:$AI$1259,29,FALSE),0)</f>
        <v>0</v>
      </c>
      <c r="N80" s="376">
        <f>IFERROR(VLOOKUP(C80,'تقرير المصروفات حسب الشهر'!$C$1271:$AI$1385,29,FALSE),0)</f>
        <v>0</v>
      </c>
      <c r="O80" s="376">
        <f>IFERROR(VLOOKUP(C80,'تقرير المصروفات حسب الشهر'!$C$1397:$AI$1512,29,FALSE),0)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الشهر'!$C$10:$AL$119,29,FALSE),0)</f>
        <v>0</v>
      </c>
      <c r="E81" s="362">
        <f>IFERROR(VLOOKUP(C81,'تقرير المصروفات حسب الشهر'!$C$135:$AL$252,29,FALSE),0)</f>
        <v>100</v>
      </c>
      <c r="F81" s="362">
        <v>100</v>
      </c>
      <c r="G81" s="362">
        <f>IFERROR(VLOOKUP(C81,'تقرير المصروفات حسب الشهر'!C445:AH557,29,0),0)</f>
        <v>100</v>
      </c>
      <c r="H81" s="362">
        <f>IFERROR(VLOOKUP(C81,'تقرير المصروفات حسب الشهر'!$C$512:$AH$620,29,FALSE),0)</f>
        <v>100</v>
      </c>
      <c r="I81" s="362">
        <f>IFERROR(VLOOKUP(C81,'تقرير المصروفات حسب الشهر'!$C$637:$AI$750,29,FALSE),0)</f>
        <v>3834</v>
      </c>
      <c r="J81" s="362">
        <f>IFERROR(VLOOKUP(C81,'تقرير المصروفات حسب الشهر'!$C$763:$AL$877,29,FALSE),0)</f>
        <v>1666</v>
      </c>
      <c r="K81" s="362">
        <f>IFERROR(VLOOKUP(C81,'تقرير المصروفات حسب الشهر'!$C$890:$AI$1007,29,FALSE),0)</f>
        <v>300</v>
      </c>
      <c r="L81" s="362">
        <f>IFERROR(VLOOKUP(C81,'تقرير المصروفات حسب الشهر'!$C$1016:$AI$1131,29,FALSE),0)</f>
        <v>200</v>
      </c>
      <c r="M81" s="376">
        <f>IFERROR(VLOOKUP(C81,'تقرير المصروفات حسب الشهر'!$C$1143:$AI$1259,29,FALSE),0)</f>
        <v>200</v>
      </c>
      <c r="N81" s="376">
        <f>IFERROR(VLOOKUP(C81,'تقرير المصروفات حسب الشهر'!$C$1271:$AI$1385,29,FALSE),0)</f>
        <v>3095</v>
      </c>
      <c r="O81" s="376">
        <f>IFERROR(VLOOKUP(C81,'تقرير المصروفات حسب الشهر'!$C$1397:$AI$1512,29,FALSE),0)</f>
        <v>3535</v>
      </c>
      <c r="P81" s="364">
        <f t="shared" si="5"/>
        <v>13230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الشهر'!$C$10:$AL$119,29,FALSE),0)</f>
        <v>0</v>
      </c>
      <c r="E82" s="362">
        <f>IFERROR(VLOOKUP(C82,'تقرير المصروفات حسب الشهر'!$C$135:$AL$252,29,FALSE),0)</f>
        <v>0</v>
      </c>
      <c r="F82" s="362">
        <v>0</v>
      </c>
      <c r="G82" s="362">
        <f>IFERROR(VLOOKUP(C82,'تقرير المصروفات حسب الشهر'!C446:AH558,29,0),0)</f>
        <v>0</v>
      </c>
      <c r="H82" s="362">
        <f>IFERROR(VLOOKUP(C82,'تقرير المصروفات حسب الشهر'!$C$512:$AH$620,29,FALSE),0)</f>
        <v>0</v>
      </c>
      <c r="I82" s="362">
        <f>IFERROR(VLOOKUP(C82,'تقرير المصروفات حسب الشهر'!$C$637:$AI$750,29,FALSE),0)</f>
        <v>0</v>
      </c>
      <c r="J82" s="362">
        <f>IFERROR(VLOOKUP(C82,'تقرير المصروفات حسب الشهر'!$C$763:$AL$877,29,FALSE),0)</f>
        <v>0</v>
      </c>
      <c r="K82" s="362">
        <f>IFERROR(VLOOKUP(C82,'تقرير المصروفات حسب الشهر'!$C$890:$AI$1007,29,FALSE),0)</f>
        <v>0</v>
      </c>
      <c r="L82" s="362">
        <f>IFERROR(VLOOKUP(C82,'تقرير المصروفات حسب الشهر'!$C$1016:$AI$1131,29,FALSE),0)</f>
        <v>0</v>
      </c>
      <c r="M82" s="376">
        <f>IFERROR(VLOOKUP(C82,'تقرير المصروفات حسب الشهر'!$C$1143:$AI$1259,29,FALSE),0)</f>
        <v>0</v>
      </c>
      <c r="N82" s="376">
        <f>IFERROR(VLOOKUP(C82,'تقرير المصروفات حسب الشهر'!$C$1271:$AI$1385,29,FALSE),0)</f>
        <v>0</v>
      </c>
      <c r="O82" s="376">
        <f>IFERROR(VLOOKUP(C82,'تقرير المصروفات حسب الشهر'!$C$1397:$AI$1512,29,FALSE),0)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الشهر'!$C$10:$AL$119,29,FALSE),0)</f>
        <v>0</v>
      </c>
      <c r="E83" s="362">
        <f>IFERROR(VLOOKUP(C83,'تقرير المصروفات حسب الشهر'!$C$135:$AL$252,29,FALSE),0)</f>
        <v>0</v>
      </c>
      <c r="F83" s="362">
        <v>0</v>
      </c>
      <c r="G83" s="362">
        <f>IFERROR(VLOOKUP(C83,'تقرير المصروفات حسب الشهر'!C447:AH559,29,0),0)</f>
        <v>0</v>
      </c>
      <c r="H83" s="362">
        <f>IFERROR(VLOOKUP(C83,'تقرير المصروفات حسب الشهر'!$C$512:$AH$620,29,FALSE),0)</f>
        <v>0</v>
      </c>
      <c r="I83" s="362">
        <f>IFERROR(VLOOKUP(C83,'تقرير المصروفات حسب الشهر'!$C$637:$AI$750,29,FALSE),0)</f>
        <v>5075</v>
      </c>
      <c r="J83" s="362">
        <f>IFERROR(VLOOKUP(C83,'تقرير المصروفات حسب الشهر'!$C$763:$AL$877,29,FALSE),0)</f>
        <v>0</v>
      </c>
      <c r="K83" s="362">
        <f>IFERROR(VLOOKUP(C83,'تقرير المصروفات حسب الشهر'!$C$890:$AI$1007,29,FALSE),0)</f>
        <v>0</v>
      </c>
      <c r="L83" s="362">
        <f>IFERROR(VLOOKUP(C83,'تقرير المصروفات حسب الشهر'!$C$1016:$AI$1131,29,FALSE),0)</f>
        <v>0</v>
      </c>
      <c r="M83" s="376">
        <f>IFERROR(VLOOKUP(C83,'تقرير المصروفات حسب الشهر'!$C$1143:$AI$1259,29,FALSE),0)</f>
        <v>0</v>
      </c>
      <c r="N83" s="376">
        <f>IFERROR(VLOOKUP(C83,'تقرير المصروفات حسب الشهر'!$C$1271:$AI$1385,29,FALSE),0)</f>
        <v>0</v>
      </c>
      <c r="O83" s="376">
        <f>IFERROR(VLOOKUP(C83,'تقرير المصروفات حسب الشهر'!$C$1397:$AI$1512,29,FALSE),0)</f>
        <v>0</v>
      </c>
      <c r="P83" s="364">
        <f t="shared" si="5"/>
        <v>5075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الشهر'!$C$10:$AL$119,29,FALSE),0)</f>
        <v>0</v>
      </c>
      <c r="E84" s="362">
        <f>IFERROR(VLOOKUP(C84,'تقرير المصروفات حسب الشهر'!$C$135:$AL$252,29,FALSE),0)</f>
        <v>0</v>
      </c>
      <c r="F84" s="362">
        <v>0</v>
      </c>
      <c r="G84" s="362">
        <f>IFERROR(VLOOKUP(C84,'تقرير المصروفات حسب الشهر'!C448:AH560,29,0),0)</f>
        <v>0</v>
      </c>
      <c r="H84" s="362">
        <f>IFERROR(VLOOKUP(C84,'تقرير المصروفات حسب الشهر'!$C$512:$AH$620,29,FALSE),0)</f>
        <v>0</v>
      </c>
      <c r="I84" s="362">
        <f>IFERROR(VLOOKUP(C84,'تقرير المصروفات حسب الشهر'!$C$637:$AI$750,29,FALSE),0)</f>
        <v>0</v>
      </c>
      <c r="J84" s="362">
        <f>IFERROR(VLOOKUP(C84,'تقرير المصروفات حسب الشهر'!$C$763:$AL$877,29,FALSE),0)</f>
        <v>0</v>
      </c>
      <c r="K84" s="362">
        <f>IFERROR(VLOOKUP(C84,'تقرير المصروفات حسب الشهر'!$C$890:$AI$1007,29,FALSE),0)</f>
        <v>0</v>
      </c>
      <c r="L84" s="362">
        <f>IFERROR(VLOOKUP(C84,'تقرير المصروفات حسب الشهر'!$C$1016:$AI$1131,29,FALSE),0)</f>
        <v>0</v>
      </c>
      <c r="M84" s="376">
        <f>IFERROR(VLOOKUP(C84,'تقرير المصروفات حسب الشهر'!$C$1143:$AI$1259,29,FALSE),0)</f>
        <v>0</v>
      </c>
      <c r="N84" s="376">
        <f>IFERROR(VLOOKUP(C84,'تقرير المصروفات حسب الشهر'!$C$1271:$AI$1385,29,FALSE),0)</f>
        <v>0</v>
      </c>
      <c r="O84" s="376">
        <f>IFERROR(VLOOKUP(C84,'تقرير المصروفات حسب الشهر'!$C$1397:$AI$1512,29,FALSE),0)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الشهر'!$C$10:$AL$119,29,FALSE),0)</f>
        <v>0</v>
      </c>
      <c r="E85" s="362">
        <f>IFERROR(VLOOKUP(C85,'تقرير المصروفات حسب الشهر'!$C$135:$AL$252,29,FALSE),0)</f>
        <v>0</v>
      </c>
      <c r="F85" s="362">
        <v>0</v>
      </c>
      <c r="G85" s="362">
        <f>IFERROR(VLOOKUP(C85,'تقرير المصروفات حسب الشهر'!C449:AH561,29,0),0)</f>
        <v>0</v>
      </c>
      <c r="H85" s="362">
        <f>IFERROR(VLOOKUP(C85,'تقرير المصروفات حسب الشهر'!$C$512:$AH$620,29,FALSE),0)</f>
        <v>0</v>
      </c>
      <c r="I85" s="362">
        <f>IFERROR(VLOOKUP(C85,'تقرير المصروفات حسب الشهر'!$C$637:$AI$750,29,FALSE),0)</f>
        <v>0</v>
      </c>
      <c r="J85" s="362">
        <f>IFERROR(VLOOKUP(C85,'تقرير المصروفات حسب الشهر'!$C$763:$AL$877,29,FALSE),0)</f>
        <v>0</v>
      </c>
      <c r="K85" s="362">
        <f>IFERROR(VLOOKUP(C85,'تقرير المصروفات حسب الشهر'!$C$890:$AI$1007,29,FALSE),0)</f>
        <v>0</v>
      </c>
      <c r="L85" s="362">
        <f>IFERROR(VLOOKUP(C85,'تقرير المصروفات حسب الشهر'!$C$1016:$AI$1131,29,FALSE),0)</f>
        <v>0</v>
      </c>
      <c r="M85" s="376">
        <f>IFERROR(VLOOKUP(C85,'تقرير المصروفات حسب الشهر'!$C$1143:$AI$1259,29,FALSE),0)</f>
        <v>0</v>
      </c>
      <c r="N85" s="376">
        <f>IFERROR(VLOOKUP(C85,'تقرير المصروفات حسب الشهر'!$C$1271:$AI$1385,29,FALSE),0)</f>
        <v>0</v>
      </c>
      <c r="O85" s="376">
        <f>IFERROR(VLOOKUP(C85,'تقرير المصروفات حسب الشهر'!$C$1397:$AI$1512,29,FALSE),0)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الشهر'!$C$10:$AL$119,29,FALSE),0)</f>
        <v>0</v>
      </c>
      <c r="E86" s="362">
        <f>IFERROR(VLOOKUP(C86,'تقرير المصروفات حسب الشهر'!$C$135:$AL$252,29,FALSE),0)</f>
        <v>1959.65</v>
      </c>
      <c r="F86" s="362">
        <v>0</v>
      </c>
      <c r="G86" s="362">
        <f>IFERROR(VLOOKUP(C86,'تقرير المصروفات حسب الشهر'!C450:AH562,29,0),0)</f>
        <v>1633</v>
      </c>
      <c r="H86" s="362">
        <f>IFERROR(VLOOKUP(C86,'تقرير المصروفات حسب الشهر'!$C$512:$AH$620,29,FALSE),0)</f>
        <v>2072</v>
      </c>
      <c r="I86" s="362">
        <f>IFERROR(VLOOKUP(C86,'تقرير المصروفات حسب الشهر'!$C$637:$AI$750,29,FALSE),0)</f>
        <v>1073.5</v>
      </c>
      <c r="J86" s="362">
        <f>IFERROR(VLOOKUP(C86,'تقرير المصروفات حسب الشهر'!$C$763:$AL$877,29,FALSE),0)</f>
        <v>979</v>
      </c>
      <c r="K86" s="362">
        <f>IFERROR(VLOOKUP(C86,'تقرير المصروفات حسب الشهر'!$C$890:$AI$1007,29,FALSE),0)</f>
        <v>0</v>
      </c>
      <c r="L86" s="362">
        <f>IFERROR(VLOOKUP(C86,'تقرير المصروفات حسب الشهر'!$C$1016:$AI$1131,29,FALSE),0)</f>
        <v>0</v>
      </c>
      <c r="M86" s="376">
        <f>IFERROR(VLOOKUP(C86,'تقرير المصروفات حسب الشهر'!$C$1143:$AI$1259,29,FALSE),0)</f>
        <v>1335.76</v>
      </c>
      <c r="N86" s="376">
        <f>IFERROR(VLOOKUP(C86,'تقرير المصروفات حسب الشهر'!$C$1271:$AI$1385,29,FALSE),0)</f>
        <v>1105.82</v>
      </c>
      <c r="O86" s="376">
        <f>IFERROR(VLOOKUP(C86,'تقرير المصروفات حسب الشهر'!$C$1397:$AI$1512,29,FALSE),0)</f>
        <v>0</v>
      </c>
      <c r="P86" s="364">
        <f t="shared" si="5"/>
        <v>10158.73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الشهر'!$C$10:$AL$119,29,FALSE),0)</f>
        <v>0</v>
      </c>
      <c r="E87" s="362">
        <f>IFERROR(VLOOKUP(C87,'تقرير المصروفات حسب الشهر'!$C$135:$AL$252,29,FALSE),0)</f>
        <v>0</v>
      </c>
      <c r="F87" s="362">
        <v>0</v>
      </c>
      <c r="G87" s="362">
        <f>IFERROR(VLOOKUP(C87,'تقرير المصروفات حسب الشهر'!C451:AH563,29,0),0)</f>
        <v>0</v>
      </c>
      <c r="H87" s="362">
        <f>IFERROR(VLOOKUP(C87,'تقرير المصروفات حسب الشهر'!$C$512:$AH$620,29,FALSE),0)</f>
        <v>0</v>
      </c>
      <c r="I87" s="362">
        <f>IFERROR(VLOOKUP(C87,'تقرير المصروفات حسب الشهر'!$C$637:$AI$750,29,FALSE),0)</f>
        <v>0</v>
      </c>
      <c r="J87" s="362">
        <f>IFERROR(VLOOKUP(C87,'تقرير المصروفات حسب الشهر'!$C$763:$AL$877,29,FALSE),0)</f>
        <v>0</v>
      </c>
      <c r="K87" s="362">
        <f>IFERROR(VLOOKUP(C87,'تقرير المصروفات حسب الشهر'!$C$890:$AI$1007,29,FALSE),0)</f>
        <v>0</v>
      </c>
      <c r="L87" s="362">
        <f>IFERROR(VLOOKUP(C87,'تقرير المصروفات حسب الشهر'!$C$1016:$AI$1131,29,FALSE),0)</f>
        <v>0</v>
      </c>
      <c r="M87" s="376">
        <f>IFERROR(VLOOKUP(C87,'تقرير المصروفات حسب الشهر'!$C$1143:$AI$1259,29,FALSE),0)</f>
        <v>0</v>
      </c>
      <c r="N87" s="376">
        <f>IFERROR(VLOOKUP(C87,'تقرير المصروفات حسب الشهر'!$C$1271:$AI$1385,29,FALSE),0)</f>
        <v>0</v>
      </c>
      <c r="O87" s="376">
        <f>IFERROR(VLOOKUP(C87,'تقرير المصروفات حسب الشهر'!$C$1397:$AI$1512,29,FALSE),0)</f>
        <v>4372</v>
      </c>
      <c r="P87" s="364">
        <f t="shared" ref="P87:P136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الشهر'!$C$10:$AL$119,29,FALSE),0)</f>
        <v>0</v>
      </c>
      <c r="E88" s="362">
        <f>IFERROR(VLOOKUP(C88,'تقرير المصروفات حسب الشهر'!$C$135:$AL$252,29,FALSE),0)</f>
        <v>0</v>
      </c>
      <c r="F88" s="362">
        <v>0</v>
      </c>
      <c r="G88" s="362">
        <f>IFERROR(VLOOKUP(C88,'تقرير المصروفات حسب الشهر'!C452:AH564,29,0),0)</f>
        <v>0</v>
      </c>
      <c r="H88" s="362">
        <f>IFERROR(VLOOKUP(C88,'تقرير المصروفات حسب الشهر'!$C$512:$AH$620,29,FALSE),0)</f>
        <v>333</v>
      </c>
      <c r="I88" s="362">
        <f>IFERROR(VLOOKUP(C88,'تقرير المصروفات حسب الشهر'!$C$637:$AI$750,29,FALSE),0)</f>
        <v>120</v>
      </c>
      <c r="J88" s="362">
        <f>IFERROR(VLOOKUP(C88,'تقرير المصروفات حسب الشهر'!$C$763:$AL$877,29,FALSE),0)</f>
        <v>0</v>
      </c>
      <c r="K88" s="362">
        <f>IFERROR(VLOOKUP(C88,'تقرير المصروفات حسب الشهر'!$C$890:$AI$1007,29,FALSE),0)</f>
        <v>0</v>
      </c>
      <c r="L88" s="362">
        <f>IFERROR(VLOOKUP(C88,'تقرير المصروفات حسب الشهر'!$C$1016:$AI$1131,29,FALSE),0)</f>
        <v>0</v>
      </c>
      <c r="M88" s="376">
        <f>IFERROR(VLOOKUP(C88,'تقرير المصروفات حسب الشهر'!$C$1143:$AI$1259,29,FALSE),0)</f>
        <v>0</v>
      </c>
      <c r="N88" s="376">
        <f>IFERROR(VLOOKUP(C88,'تقرير المصروفات حسب الشهر'!$C$1271:$AI$1385,29,FALSE),0)</f>
        <v>0</v>
      </c>
      <c r="O88" s="376">
        <f>IFERROR(VLOOKUP(C88,'تقرير المصروفات حسب الشهر'!$C$1397:$AI$1512,29,FALSE),0)</f>
        <v>0</v>
      </c>
      <c r="P88" s="364">
        <f t="shared" si="6"/>
        <v>453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الشهر'!$C$10:$AL$119,29,FALSE),0)</f>
        <v>0</v>
      </c>
      <c r="E89" s="362">
        <f>IFERROR(VLOOKUP(C89,'تقرير المصروفات حسب الشهر'!$C$135:$AL$252,29,FALSE),0)</f>
        <v>0</v>
      </c>
      <c r="F89" s="362">
        <v>0</v>
      </c>
      <c r="G89" s="362">
        <f>IFERROR(VLOOKUP(C89,'تقرير المصروفات حسب الشهر'!C453:AH565,29,0),0)</f>
        <v>0</v>
      </c>
      <c r="H89" s="362">
        <f>IFERROR(VLOOKUP(C89,'تقرير المصروفات حسب الشهر'!$C$512:$AH$620,29,FALSE),0)</f>
        <v>0</v>
      </c>
      <c r="I89" s="362">
        <f>IFERROR(VLOOKUP(C89,'تقرير المصروفات حسب الشهر'!$C$637:$AI$750,29,FALSE),0)</f>
        <v>0</v>
      </c>
      <c r="J89" s="362">
        <f>IFERROR(VLOOKUP(C89,'تقرير المصروفات حسب الشهر'!$C$763:$AL$877,29,FALSE),0)</f>
        <v>0</v>
      </c>
      <c r="K89" s="362">
        <f>IFERROR(VLOOKUP(C89,'تقرير المصروفات حسب الشهر'!$C$890:$AI$1007,29,FALSE),0)</f>
        <v>0</v>
      </c>
      <c r="L89" s="362">
        <f>IFERROR(VLOOKUP(C89,'تقرير المصروفات حسب الشهر'!$C$1016:$AI$1131,29,FALSE),0)</f>
        <v>0</v>
      </c>
      <c r="M89" s="376">
        <f>IFERROR(VLOOKUP(C89,'تقرير المصروفات حسب الشهر'!$C$1143:$AI$1259,29,FALSE),0)</f>
        <v>0</v>
      </c>
      <c r="N89" s="376">
        <f>IFERROR(VLOOKUP(C89,'تقرير المصروفات حسب الشهر'!$C$1271:$AI$1385,29,FALSE),0)</f>
        <v>0</v>
      </c>
      <c r="O89" s="376">
        <f>IFERROR(VLOOKUP(C89,'تقرير المصروفات حسب الشهر'!$C$1397:$AI$1512,29,FALSE),0)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الشهر'!$C$10:$AL$119,29,FALSE),0)</f>
        <v>0</v>
      </c>
      <c r="E90" s="362">
        <f>IFERROR(VLOOKUP(C90,'تقرير المصروفات حسب الشهر'!$C$135:$AL$252,29,FALSE),0)</f>
        <v>0</v>
      </c>
      <c r="F90" s="362">
        <v>0</v>
      </c>
      <c r="G90" s="362">
        <f>IFERROR(VLOOKUP(C90,'تقرير المصروفات حسب الشهر'!C454:AH566,29,0),0)</f>
        <v>0</v>
      </c>
      <c r="H90" s="362">
        <f>IFERROR(VLOOKUP(C90,'تقرير المصروفات حسب الشهر'!$C$512:$AH$620,29,FALSE),0)</f>
        <v>0</v>
      </c>
      <c r="I90" s="362">
        <f>IFERROR(VLOOKUP(C90,'تقرير المصروفات حسب الشهر'!$C$637:$AI$750,29,FALSE),0)</f>
        <v>0</v>
      </c>
      <c r="J90" s="362">
        <f>IFERROR(VLOOKUP(C90,'تقرير المصروفات حسب الشهر'!$C$763:$AL$877,29,FALSE),0)</f>
        <v>0</v>
      </c>
      <c r="K90" s="362">
        <f>IFERROR(VLOOKUP(C90,'تقرير المصروفات حسب الشهر'!$C$890:$AI$1007,29,FALSE),0)</f>
        <v>0</v>
      </c>
      <c r="L90" s="362">
        <f>IFERROR(VLOOKUP(C90,'تقرير المصروفات حسب الشهر'!$C$1016:$AI$1131,29,FALSE),0)</f>
        <v>0</v>
      </c>
      <c r="M90" s="376">
        <f>IFERROR(VLOOKUP(C90,'تقرير المصروفات حسب الشهر'!$C$1143:$AI$1259,29,FALSE),0)</f>
        <v>0</v>
      </c>
      <c r="N90" s="376">
        <f>IFERROR(VLOOKUP(C90,'تقرير المصروفات حسب الشهر'!$C$1271:$AI$1385,29,FALSE),0)</f>
        <v>0</v>
      </c>
      <c r="O90" s="376">
        <f>IFERROR(VLOOKUP(C90,'تقرير المصروفات حسب الشهر'!$C$1397:$AI$1512,29,FALSE),0)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الشهر'!$C$10:$AL$119,29,FALSE),0)</f>
        <v>0</v>
      </c>
      <c r="E91" s="362">
        <f>IFERROR(VLOOKUP(C91,'تقرير المصروفات حسب الشهر'!$C$135:$AL$252,29,FALSE),0)</f>
        <v>230</v>
      </c>
      <c r="F91" s="362">
        <v>2200</v>
      </c>
      <c r="G91" s="362">
        <f>IFERROR(VLOOKUP(C91,'تقرير المصروفات حسب الشهر'!C455:AH567,29,0),0)</f>
        <v>0</v>
      </c>
      <c r="H91" s="362">
        <f>IFERROR(VLOOKUP(C91,'تقرير المصروفات حسب الشهر'!$C$512:$AH$620,29,FALSE),0)</f>
        <v>3000</v>
      </c>
      <c r="I91" s="362">
        <f>IFERROR(VLOOKUP(C91,'تقرير المصروفات حسب الشهر'!$C$637:$AI$750,29,FALSE),0)</f>
        <v>6000</v>
      </c>
      <c r="J91" s="362">
        <f>IFERROR(VLOOKUP(C91,'تقرير المصروفات حسب الشهر'!$C$763:$AL$877,29,FALSE),0)</f>
        <v>3384</v>
      </c>
      <c r="K91" s="362">
        <f>IFERROR(VLOOKUP(C91,'تقرير المصروفات حسب الشهر'!$C$890:$AI$1007,29,FALSE),0)</f>
        <v>0</v>
      </c>
      <c r="L91" s="362">
        <f>IFERROR(VLOOKUP(C91,'تقرير المصروفات حسب الشهر'!$C$1016:$AI$1131,29,FALSE),0)</f>
        <v>6000</v>
      </c>
      <c r="M91" s="376">
        <f>IFERROR(VLOOKUP(C91,'تقرير المصروفات حسب الشهر'!$C$1143:$AI$1259,29,FALSE),0)</f>
        <v>3000</v>
      </c>
      <c r="N91" s="376">
        <f>IFERROR(VLOOKUP(C91,'تقرير المصروفات حسب الشهر'!$C$1271:$AI$1385,29,FALSE),0)</f>
        <v>3000</v>
      </c>
      <c r="O91" s="376">
        <f>IFERROR(VLOOKUP(C91,'تقرير المصروفات حسب الشهر'!$C$1397:$AI$1512,29,FALSE),0)</f>
        <v>3000</v>
      </c>
      <c r="P91" s="364">
        <f t="shared" si="6"/>
        <v>29814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الشهر'!$C$10:$AL$119,29,FALSE),0)</f>
        <v>12100</v>
      </c>
      <c r="E92" s="362">
        <f>IFERROR(VLOOKUP(C92,'تقرير المصروفات حسب الشهر'!$C$135:$AL$252,29,FALSE),0)</f>
        <v>1410</v>
      </c>
      <c r="F92" s="362">
        <v>7650</v>
      </c>
      <c r="G92" s="362">
        <f>IFERROR(VLOOKUP(C92,'تقرير المصروفات حسب الشهر'!C456:AH568,29,0),0)</f>
        <v>0</v>
      </c>
      <c r="H92" s="362">
        <f>IFERROR(VLOOKUP(C92,'تقرير المصروفات حسب الشهر'!$C$512:$AH$620,29,FALSE),0)</f>
        <v>0</v>
      </c>
      <c r="I92" s="362">
        <f>IFERROR(VLOOKUP(C92,'تقرير المصروفات حسب الشهر'!$C$637:$AI$750,29,FALSE),0)</f>
        <v>2395</v>
      </c>
      <c r="J92" s="362">
        <f>IFERROR(VLOOKUP(C92,'تقرير المصروفات حسب الشهر'!$C$763:$AL$877,29,FALSE),0)</f>
        <v>0</v>
      </c>
      <c r="K92" s="362">
        <f>IFERROR(VLOOKUP(C92,'تقرير المصروفات حسب الشهر'!$C$890:$AI$1007,29,FALSE),0)</f>
        <v>880</v>
      </c>
      <c r="L92" s="362">
        <f>IFERROR(VLOOKUP(C92,'تقرير المصروفات حسب الشهر'!$C$1016:$AI$1131,29,FALSE),0)</f>
        <v>0</v>
      </c>
      <c r="M92" s="376">
        <f>IFERROR(VLOOKUP(C92,'تقرير المصروفات حسب الشهر'!$C$1143:$AI$1259,29,FALSE),0)</f>
        <v>0</v>
      </c>
      <c r="N92" s="376">
        <f>IFERROR(VLOOKUP(C92,'تقرير المصروفات حسب الشهر'!$C$1271:$AI$1385,29,FALSE),0)</f>
        <v>0</v>
      </c>
      <c r="O92" s="376">
        <f>IFERROR(VLOOKUP(C92,'تقرير المصروفات حسب الشهر'!$C$1397:$AI$1512,29,FALSE),0)</f>
        <v>0</v>
      </c>
      <c r="P92" s="364">
        <f t="shared" si="6"/>
        <v>24435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الشهر'!$C$10:$AL$119,29,FALSE),0)</f>
        <v>0</v>
      </c>
      <c r="E93" s="362">
        <f>IFERROR(VLOOKUP(C93,'تقرير المصروفات حسب الشهر'!$C$135:$AL$252,29,FALSE),0)</f>
        <v>0</v>
      </c>
      <c r="F93" s="362">
        <v>0</v>
      </c>
      <c r="G93" s="362">
        <f>IFERROR(VLOOKUP(C93,'تقرير المصروفات حسب الشهر'!C457:AH569,29,0),0)</f>
        <v>621.5</v>
      </c>
      <c r="H93" s="362">
        <f>IFERROR(VLOOKUP(C93,'تقرير المصروفات حسب الشهر'!$C$512:$AH$620,29,FALSE),0)</f>
        <v>1865</v>
      </c>
      <c r="I93" s="362">
        <f>IFERROR(VLOOKUP(C93,'تقرير المصروفات حسب الشهر'!$C$637:$AI$750,29,FALSE),0)</f>
        <v>0</v>
      </c>
      <c r="J93" s="362">
        <f>IFERROR(VLOOKUP(C93,'تقرير المصروفات حسب الشهر'!$C$763:$AL$877,29,FALSE),0)</f>
        <v>668</v>
      </c>
      <c r="K93" s="362">
        <f>IFERROR(VLOOKUP(C93,'تقرير المصروفات حسب الشهر'!$C$890:$AI$1007,29,FALSE),0)</f>
        <v>0</v>
      </c>
      <c r="L93" s="362">
        <f>IFERROR(VLOOKUP(C93,'تقرير المصروفات حسب الشهر'!$C$1016:$AI$1131,29,FALSE),0)</f>
        <v>0</v>
      </c>
      <c r="M93" s="376">
        <f>IFERROR(VLOOKUP(C93,'تقرير المصروفات حسب الشهر'!$C$1143:$AI$1259,29,FALSE),0)</f>
        <v>0</v>
      </c>
      <c r="N93" s="376">
        <f>IFERROR(VLOOKUP(C93,'تقرير المصروفات حسب الشهر'!$C$1271:$AI$1385,29,FALSE),0)</f>
        <v>0</v>
      </c>
      <c r="O93" s="376">
        <f>IFERROR(VLOOKUP(C93,'تقرير المصروفات حسب الشهر'!$C$1397:$AI$1512,29,FALSE),0)</f>
        <v>0</v>
      </c>
      <c r="P93" s="364">
        <f t="shared" si="6"/>
        <v>3154.5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الشهر'!$C$10:$AL$119,29,FALSE),0)</f>
        <v>397</v>
      </c>
      <c r="E94" s="362">
        <f>IFERROR(VLOOKUP(C94,'تقرير المصروفات حسب الشهر'!$C$135:$AL$252,29,FALSE),0)</f>
        <v>400</v>
      </c>
      <c r="F94" s="362">
        <v>0</v>
      </c>
      <c r="G94" s="362">
        <f>IFERROR(VLOOKUP(C94,'تقرير المصروفات حسب الشهر'!C458:AH570,29,0),0)</f>
        <v>861</v>
      </c>
      <c r="H94" s="362">
        <f>IFERROR(VLOOKUP(C94,'تقرير المصروفات حسب الشهر'!$C$512:$AH$620,29,FALSE),0)</f>
        <v>400</v>
      </c>
      <c r="I94" s="362">
        <f>IFERROR(VLOOKUP(C94,'تقرير المصروفات حسب الشهر'!$C$637:$AI$750,29,FALSE),0)</f>
        <v>360</v>
      </c>
      <c r="J94" s="362">
        <f>IFERROR(VLOOKUP(C94,'تقرير المصروفات حسب الشهر'!$C$763:$AL$877,29,FALSE),0)</f>
        <v>400</v>
      </c>
      <c r="K94" s="362">
        <f>IFERROR(VLOOKUP(C94,'تقرير المصروفات حسب الشهر'!$C$890:$AI$1007,29,FALSE),0)</f>
        <v>526</v>
      </c>
      <c r="L94" s="362">
        <f>IFERROR(VLOOKUP(C94,'تقرير المصروفات حسب الشهر'!$C$1016:$AI$1131,29,FALSE),0)</f>
        <v>400</v>
      </c>
      <c r="M94" s="376">
        <f>IFERROR(VLOOKUP(C94,'تقرير المصروفات حسب الشهر'!$C$1143:$AI$1259,29,FALSE),0)</f>
        <v>826</v>
      </c>
      <c r="N94" s="376">
        <f>IFERROR(VLOOKUP(C94,'تقرير المصروفات حسب الشهر'!$C$1271:$AI$1385,29,FALSE),0)</f>
        <v>400</v>
      </c>
      <c r="O94" s="376">
        <f>IFERROR(VLOOKUP(C94,'تقرير المصروفات حسب الشهر'!$C$1397:$AI$1512,29,FALSE),0)</f>
        <v>433</v>
      </c>
      <c r="P94" s="364">
        <f t="shared" si="6"/>
        <v>5403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الشهر'!$C$10:$AL$119,29,FALSE),0)</f>
        <v>0</v>
      </c>
      <c r="E95" s="362">
        <f>IFERROR(VLOOKUP(C95,'تقرير المصروفات حسب الشهر'!$C$135:$AL$252,29,FALSE),0)</f>
        <v>0</v>
      </c>
      <c r="F95" s="362">
        <v>0</v>
      </c>
      <c r="G95" s="362">
        <f>IFERROR(VLOOKUP(C95,'تقرير المصروفات حسب الشهر'!C459:AH571,29,0),0)</f>
        <v>0</v>
      </c>
      <c r="H95" s="362">
        <f>IFERROR(VLOOKUP(C95,'تقرير المصروفات حسب الشهر'!$C$512:$AH$620,29,FALSE),0)</f>
        <v>0</v>
      </c>
      <c r="I95" s="362">
        <f>IFERROR(VLOOKUP(C95,'تقرير المصروفات حسب الشهر'!$C$637:$AI$750,29,FALSE),0)</f>
        <v>0</v>
      </c>
      <c r="J95" s="362">
        <f>IFERROR(VLOOKUP(C95,'تقرير المصروفات حسب الشهر'!$C$763:$AL$877,29,FALSE),0)</f>
        <v>0</v>
      </c>
      <c r="K95" s="362">
        <f>IFERROR(VLOOKUP(C95,'تقرير المصروفات حسب الشهر'!$C$890:$AI$1007,29,FALSE),0)</f>
        <v>0</v>
      </c>
      <c r="L95" s="362">
        <f>IFERROR(VLOOKUP(C95,'تقرير المصروفات حسب الشهر'!$C$1016:$AI$1131,29,FALSE),0)</f>
        <v>2130</v>
      </c>
      <c r="M95" s="376">
        <f>IFERROR(VLOOKUP(C95,'تقرير المصروفات حسب الشهر'!$C$1143:$AI$1259,29,FALSE),0)</f>
        <v>1065</v>
      </c>
      <c r="N95" s="376">
        <f>IFERROR(VLOOKUP(C95,'تقرير المصروفات حسب الشهر'!$C$1271:$AI$1385,29,FALSE),0)</f>
        <v>1065</v>
      </c>
      <c r="O95" s="376">
        <f>IFERROR(VLOOKUP(C95,'تقرير المصروفات حسب الشهر'!$C$1397:$AI$1512,29,FALSE),0)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الشهر'!$C$10:$AL$119,29,FALSE),0)</f>
        <v>0</v>
      </c>
      <c r="E96" s="362">
        <f>IFERROR(VLOOKUP(C96,'تقرير المصروفات حسب الشهر'!$C$135:$AL$252,29,FALSE),0)</f>
        <v>0</v>
      </c>
      <c r="F96" s="362">
        <v>0</v>
      </c>
      <c r="G96" s="362">
        <f>IFERROR(VLOOKUP(C96,'تقرير المصروفات حسب الشهر'!C460:AH572,29,0),0)</f>
        <v>0</v>
      </c>
      <c r="H96" s="362">
        <f>IFERROR(VLOOKUP(C96,'تقرير المصروفات حسب الشهر'!$C$512:$AH$620,29,FALSE),0)</f>
        <v>0</v>
      </c>
      <c r="I96" s="362">
        <f>IFERROR(VLOOKUP(C96,'تقرير المصروفات حسب الشهر'!$C$637:$AI$750,29,FALSE),0)</f>
        <v>0</v>
      </c>
      <c r="J96" s="362">
        <f>IFERROR(VLOOKUP(C96,'تقرير المصروفات حسب الشهر'!$C$763:$AL$877,29,FALSE),0)</f>
        <v>0</v>
      </c>
      <c r="K96" s="362">
        <f>IFERROR(VLOOKUP(C96,'تقرير المصروفات حسب الشهر'!$C$890:$AI$1007,29,FALSE),0)</f>
        <v>0</v>
      </c>
      <c r="L96" s="362">
        <f>IFERROR(VLOOKUP(C96,'تقرير المصروفات حسب الشهر'!$C$1016:$AI$1131,29,FALSE),0)</f>
        <v>0</v>
      </c>
      <c r="M96" s="376">
        <f>IFERROR(VLOOKUP(C96,'تقرير المصروفات حسب الشهر'!$C$1143:$AI$1259,29,FALSE),0)</f>
        <v>0</v>
      </c>
      <c r="N96" s="376">
        <f>IFERROR(VLOOKUP(C96,'تقرير المصروفات حسب الشهر'!$C$1271:$AI$1385,29,FALSE),0)</f>
        <v>0</v>
      </c>
      <c r="O96" s="376">
        <f>IFERROR(VLOOKUP(C96,'تقرير المصروفات حسب الشهر'!$C$1397:$AI$1512,29,FALSE),0)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الشهر'!$C$10:$AL$119,29,FALSE),0)</f>
        <v>0</v>
      </c>
      <c r="E97" s="362">
        <f>IFERROR(VLOOKUP(C97,'تقرير المصروفات حسب الشهر'!$C$135:$AL$252,29,FALSE),0)</f>
        <v>0</v>
      </c>
      <c r="F97" s="362">
        <v>0</v>
      </c>
      <c r="G97" s="362">
        <f>IFERROR(VLOOKUP(C97,'تقرير المصروفات حسب الشهر'!C461:AH573,29,0),0)</f>
        <v>0</v>
      </c>
      <c r="H97" s="362">
        <f>IFERROR(VLOOKUP(C97,'تقرير المصروفات حسب الشهر'!$C$512:$AH$620,29,FALSE),0)</f>
        <v>0</v>
      </c>
      <c r="I97" s="362">
        <f>IFERROR(VLOOKUP(C97,'تقرير المصروفات حسب الشهر'!$C$637:$AI$750,29,FALSE),0)</f>
        <v>0</v>
      </c>
      <c r="J97" s="362">
        <f>IFERROR(VLOOKUP(C97,'تقرير المصروفات حسب الشهر'!$C$763:$AL$877,29,FALSE),0)</f>
        <v>0</v>
      </c>
      <c r="K97" s="362">
        <f>IFERROR(VLOOKUP(C97,'تقرير المصروفات حسب الشهر'!$C$890:$AI$1007,29,FALSE),0)</f>
        <v>0</v>
      </c>
      <c r="L97" s="362">
        <f>IFERROR(VLOOKUP(C97,'تقرير المصروفات حسب الشهر'!$C$1016:$AI$1131,29,FALSE),0)</f>
        <v>0</v>
      </c>
      <c r="M97" s="376">
        <f>IFERROR(VLOOKUP(C97,'تقرير المصروفات حسب الشهر'!$C$1143:$AI$1259,29,FALSE),0)</f>
        <v>0</v>
      </c>
      <c r="N97" s="376">
        <f>IFERROR(VLOOKUP(C97,'تقرير المصروفات حسب الشهر'!$C$1271:$AI$1385,29,FALSE),0)</f>
        <v>0</v>
      </c>
      <c r="O97" s="376">
        <f>IFERROR(VLOOKUP(C97,'تقرير المصروفات حسب الشهر'!$C$1397:$AI$1512,29,FALSE),0)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الشهر'!$C$10:$AL$119,29,FALSE),0)</f>
        <v>76.67</v>
      </c>
      <c r="E98" s="362">
        <f>IFERROR(VLOOKUP(C98,'تقرير المصروفات حسب الشهر'!$C$135:$AL$252,29,FALSE),0)</f>
        <v>76.67</v>
      </c>
      <c r="F98" s="362">
        <v>76.67</v>
      </c>
      <c r="G98" s="362">
        <f>IFERROR(VLOOKUP(C98,'تقرير المصروفات حسب الشهر'!C462:AH574,29,0),0)</f>
        <v>76.67</v>
      </c>
      <c r="H98" s="362">
        <f>IFERROR(VLOOKUP(C98,'تقرير المصروفات حسب الشهر'!$C$512:$AH$620,29,FALSE),0)</f>
        <v>104.61</v>
      </c>
      <c r="I98" s="362">
        <f>IFERROR(VLOOKUP(C98,'تقرير المصروفات حسب الشهر'!$C$637:$AI$750,29,FALSE),0)</f>
        <v>143.34</v>
      </c>
      <c r="J98" s="362">
        <f>IFERROR(VLOOKUP(C98,'تقرير المصروفات حسب الشهر'!$C$763:$AL$877,29,FALSE),0)</f>
        <v>143.34</v>
      </c>
      <c r="K98" s="362">
        <f>IFERROR(VLOOKUP(C98,'تقرير المصروفات حسب الشهر'!$C$890:$AI$1007,29,FALSE),0)</f>
        <v>143.34</v>
      </c>
      <c r="L98" s="362">
        <f>IFERROR(VLOOKUP(C98,'تقرير المصروفات حسب الشهر'!$C$1016:$AI$1131,29,FALSE),0)</f>
        <v>143.34</v>
      </c>
      <c r="M98" s="376">
        <f>IFERROR(VLOOKUP(C98,'تقرير المصروفات حسب الشهر'!$C$1143:$AI$1259,29,FALSE),0)</f>
        <v>143.34</v>
      </c>
      <c r="N98" s="376">
        <f>IFERROR(VLOOKUP(C98,'تقرير المصروفات حسب الشهر'!$C$1271:$AI$1385,29,FALSE),0)</f>
        <v>143.30000000000001</v>
      </c>
      <c r="O98" s="376">
        <f>IFERROR(VLOOKUP(C98,'تقرير المصروفات حسب الشهر'!$C$1397:$AI$1512,29,FALSE),0)</f>
        <v>66.67</v>
      </c>
      <c r="P98" s="364">
        <f t="shared" si="6"/>
        <v>1337.96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الشهر'!$C$10:$AL$119,29,FALSE),0)</f>
        <v>0</v>
      </c>
      <c r="E99" s="362">
        <f>IFERROR(VLOOKUP(C99,'تقرير المصروفات حسب الشهر'!$C$135:$AL$252,29,FALSE),0)</f>
        <v>0</v>
      </c>
      <c r="F99" s="362">
        <v>0</v>
      </c>
      <c r="G99" s="362">
        <f>IFERROR(VLOOKUP(C99,'تقرير المصروفات حسب الشهر'!C463:AH575,29,0),0)</f>
        <v>0</v>
      </c>
      <c r="H99" s="362">
        <f>IFERROR(VLOOKUP(C99,'تقرير المصروفات حسب الشهر'!$C$512:$AH$620,29,FALSE),0)</f>
        <v>0</v>
      </c>
      <c r="I99" s="362">
        <f>IFERROR(VLOOKUP(C99,'تقرير المصروفات حسب الشهر'!$C$637:$AI$750,29,FALSE),0)</f>
        <v>0</v>
      </c>
      <c r="J99" s="362">
        <f>IFERROR(VLOOKUP(C99,'تقرير المصروفات حسب الشهر'!$C$763:$AL$877,29,FALSE),0)</f>
        <v>0</v>
      </c>
      <c r="K99" s="362">
        <f>IFERROR(VLOOKUP(C99,'تقرير المصروفات حسب الشهر'!$C$890:$AI$1007,29,FALSE),0)</f>
        <v>0</v>
      </c>
      <c r="L99" s="362">
        <f>IFERROR(VLOOKUP(C99,'تقرير المصروفات حسب الشهر'!$C$1016:$AI$1131,29,FALSE),0)</f>
        <v>0</v>
      </c>
      <c r="M99" s="376">
        <f>IFERROR(VLOOKUP(C99,'تقرير المصروفات حسب الشهر'!$C$1143:$AI$1259,29,FALSE),0)</f>
        <v>0</v>
      </c>
      <c r="N99" s="376">
        <f>IFERROR(VLOOKUP(C99,'تقرير المصروفات حسب الشهر'!$C$1271:$AI$1385,29,FALSE),0)</f>
        <v>0</v>
      </c>
      <c r="O99" s="376">
        <f>IFERROR(VLOOKUP(C99,'تقرير المصروفات حسب الشهر'!$C$1397:$AI$1512,29,FALSE),0)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الشهر'!$C$10:$AL$119,29,FALSE),0)</f>
        <v>3549.46</v>
      </c>
      <c r="E100" s="362">
        <f>IFERROR(VLOOKUP(C100,'تقرير المصروفات حسب الشهر'!$C$135:$AL$252,29,FALSE),0)</f>
        <v>3549.46</v>
      </c>
      <c r="F100" s="362">
        <v>3549.46</v>
      </c>
      <c r="G100" s="362">
        <f>IFERROR(VLOOKUP(C100,'تقرير المصروفات حسب الشهر'!C464:AH576,29,0),0)</f>
        <v>3597.52</v>
      </c>
      <c r="H100" s="362">
        <f>IFERROR(VLOOKUP(C100,'تقرير المصروفات حسب الشهر'!$C$512:$AH$620,29,FALSE),0)</f>
        <v>3789.58</v>
      </c>
      <c r="I100" s="362">
        <f>IFERROR(VLOOKUP(C100,'تقرير المصروفات حسب الشهر'!$C$637:$AI$750,29,FALSE),0)</f>
        <v>3789.58</v>
      </c>
      <c r="J100" s="362">
        <f>IFERROR(VLOOKUP(C100,'تقرير المصروفات حسب الشهر'!$C$763:$AL$877,29,FALSE),0)</f>
        <v>3789.58</v>
      </c>
      <c r="K100" s="362">
        <f>IFERROR(VLOOKUP(C100,'تقرير المصروفات حسب الشهر'!$C$890:$AI$1007,29,FALSE),0)</f>
        <v>3789.58</v>
      </c>
      <c r="L100" s="362">
        <f>IFERROR(VLOOKUP(C100,'تقرير المصروفات حسب الشهر'!$C$1016:$AI$1131,29,FALSE),0)</f>
        <v>3789.58</v>
      </c>
      <c r="M100" s="376">
        <f>IFERROR(VLOOKUP(C100,'تقرير المصروفات حسب الشهر'!$C$1143:$AI$1259,29,FALSE),0)</f>
        <v>3878.32</v>
      </c>
      <c r="N100" s="376">
        <f>IFERROR(VLOOKUP(C100,'تقرير المصروفات حسب الشهر'!$C$1271:$AI$1385,29,FALSE),0)</f>
        <v>4132.91</v>
      </c>
      <c r="O100" s="376">
        <f>IFERROR(VLOOKUP(C100,'تقرير المصروفات حسب الشهر'!$C$1397:$AI$1512,29,FALSE),0)</f>
        <v>584.05999999999995</v>
      </c>
      <c r="P100" s="364">
        <f t="shared" si="6"/>
        <v>41789.090000000011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الشهر'!$C$10:$AL$119,29,FALSE),0)</f>
        <v>1402.26</v>
      </c>
      <c r="E101" s="362">
        <f>IFERROR(VLOOKUP(C101,'تقرير المصروفات حسب الشهر'!$C$135:$AL$252,29,FALSE),0)</f>
        <v>1402.26</v>
      </c>
      <c r="F101" s="362">
        <v>1402.26</v>
      </c>
      <c r="G101" s="362">
        <f>IFERROR(VLOOKUP(C101,'تقرير المصروفات حسب الشهر'!C465:AH577,29,0),0)</f>
        <v>1402.26</v>
      </c>
      <c r="H101" s="362">
        <f>IFERROR(VLOOKUP(C101,'تقرير المصروفات حسب الشهر'!$C$512:$AH$620,29,FALSE),0)</f>
        <v>1402.26</v>
      </c>
      <c r="I101" s="362">
        <f>IFERROR(VLOOKUP(C101,'تقرير المصروفات حسب الشهر'!$C$637:$AI$750,29,FALSE),0)</f>
        <v>1402.26</v>
      </c>
      <c r="J101" s="362">
        <f>IFERROR(VLOOKUP(C101,'تقرير المصروفات حسب الشهر'!$C$763:$AL$877,29,FALSE),0)</f>
        <v>1402.26</v>
      </c>
      <c r="K101" s="362">
        <f>IFERROR(VLOOKUP(C101,'تقرير المصروفات حسب الشهر'!$C$890:$AI$1007,29,FALSE),0)</f>
        <v>1402.26</v>
      </c>
      <c r="L101" s="362">
        <f>IFERROR(VLOOKUP(C101,'تقرير المصروفات حسب الشهر'!$C$1016:$AI$1131,29,FALSE),0)</f>
        <v>1402.26</v>
      </c>
      <c r="M101" s="376">
        <f>IFERROR(VLOOKUP(C101,'تقرير المصروفات حسب الشهر'!$C$1143:$AI$1259,29,FALSE),0)</f>
        <v>1402.26</v>
      </c>
      <c r="N101" s="376">
        <f>IFERROR(VLOOKUP(C101,'تقرير المصروفات حسب الشهر'!$C$1271:$AI$1385,29,FALSE),0)</f>
        <v>1402.14</v>
      </c>
      <c r="O101" s="376">
        <f>IFERROR(VLOOKUP(C101,'تقرير المصروفات حسب الشهر'!$C$1397:$AI$1512,29,FALSE),0)</f>
        <v>0</v>
      </c>
      <c r="P101" s="364">
        <f t="shared" si="6"/>
        <v>15424.74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الشهر'!$C$10:$AL$119,29,FALSE),0)</f>
        <v>261.63</v>
      </c>
      <c r="E102" s="362">
        <f>IFERROR(VLOOKUP(C102,'تقرير المصروفات حسب الشهر'!$C$135:$AL$252,29,FALSE),0)</f>
        <v>327.29000000000002</v>
      </c>
      <c r="F102" s="362">
        <v>327.29000000000002</v>
      </c>
      <c r="G102" s="362">
        <f>IFERROR(VLOOKUP(C102,'تقرير المصروفات حسب الشهر'!C466:AH578,29,0),0)</f>
        <v>327.29000000000002</v>
      </c>
      <c r="H102" s="362">
        <f>IFERROR(VLOOKUP(C102,'تقرير المصروفات حسب الشهر'!$C$512:$AH$620,29,FALSE),0)</f>
        <v>327.29000000000002</v>
      </c>
      <c r="I102" s="362">
        <f>IFERROR(VLOOKUP(C102,'تقرير المصروفات حسب الشهر'!$C$637:$AI$750,29,FALSE),0)</f>
        <v>329.41</v>
      </c>
      <c r="J102" s="362">
        <f>IFERROR(VLOOKUP(C102,'تقرير المصروفات حسب الشهر'!$C$763:$AL$877,29,FALSE),0)</f>
        <v>573.57000000000005</v>
      </c>
      <c r="K102" s="362">
        <f>IFERROR(VLOOKUP(C102,'تقرير المصروفات حسب الشهر'!$C$890:$AI$1007,29,FALSE),0)</f>
        <v>593.25</v>
      </c>
      <c r="L102" s="362">
        <f>IFERROR(VLOOKUP(C102,'تقرير المصروفات حسب الشهر'!$C$1016:$AI$1131,29,FALSE),0)</f>
        <v>593.25</v>
      </c>
      <c r="M102" s="376">
        <f>IFERROR(VLOOKUP(C102,'تقرير المصروفات حسب الشهر'!$C$1143:$AI$1259,29,FALSE),0)</f>
        <v>593.25</v>
      </c>
      <c r="N102" s="376">
        <f>IFERROR(VLOOKUP(C102,'تقرير المصروفات حسب الشهر'!$C$1271:$AI$1385,29,FALSE),0)</f>
        <v>593.23</v>
      </c>
      <c r="O102" s="376">
        <f>IFERROR(VLOOKUP(C102,'تقرير المصروفات حسب الشهر'!$C$1397:$AI$1512,29,FALSE),0)</f>
        <v>331.62</v>
      </c>
      <c r="P102" s="364">
        <f t="shared" si="6"/>
        <v>5178.37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الشهر'!$C$10:$AL$119,29,FALSE),0)</f>
        <v>120.24</v>
      </c>
      <c r="E103" s="362">
        <f>IFERROR(VLOOKUP(C103,'تقرير المصروفات حسب الشهر'!$C$135:$AL$252,29,FALSE),0)</f>
        <v>456.76</v>
      </c>
      <c r="F103" s="362">
        <v>1072.1199999999999</v>
      </c>
      <c r="G103" s="362">
        <f>IFERROR(VLOOKUP(C103,'تقرير المصروفات حسب الشهر'!C467:AH579,29,0),0)</f>
        <v>1072.1199999999999</v>
      </c>
      <c r="H103" s="362">
        <f>IFERROR(VLOOKUP(C103,'تقرير المصروفات حسب الشهر'!$C$512:$AH$620,29,FALSE),0)</f>
        <v>1072.1199999999999</v>
      </c>
      <c r="I103" s="362">
        <f>IFERROR(VLOOKUP(C103,'تقرير المصروفات حسب الشهر'!$C$637:$AI$750,29,FALSE),0)</f>
        <v>1072.1199999999999</v>
      </c>
      <c r="J103" s="362">
        <f>IFERROR(VLOOKUP(C103,'تقرير المصروفات حسب الشهر'!$C$763:$AL$877,29,FALSE),0)</f>
        <v>1072.1199999999999</v>
      </c>
      <c r="K103" s="362">
        <f>IFERROR(VLOOKUP(C103,'تقرير المصروفات حسب الشهر'!$C$890:$AI$1007,29,FALSE),0)</f>
        <v>1072.1199999999999</v>
      </c>
      <c r="L103" s="362">
        <f>IFERROR(VLOOKUP(C103,'تقرير المصروفات حسب الشهر'!$C$1016:$AI$1131,29,FALSE),0)</f>
        <v>1072.1199999999999</v>
      </c>
      <c r="M103" s="376">
        <f>IFERROR(VLOOKUP(C103,'تقرير المصروفات حسب الشهر'!$C$1143:$AI$1259,29,FALSE),0)</f>
        <v>1072.1199999999999</v>
      </c>
      <c r="N103" s="376">
        <f>IFERROR(VLOOKUP(C103,'تقرير المصروفات حسب الشهر'!$C$1271:$AI$1385,29,FALSE),0)</f>
        <v>1071.97</v>
      </c>
      <c r="O103" s="376">
        <f>IFERROR(VLOOKUP(C103,'تقرير المصروفات حسب الشهر'!$C$1397:$AI$1512,29,FALSE),0)</f>
        <v>951.94</v>
      </c>
      <c r="P103" s="364">
        <f t="shared" si="6"/>
        <v>11177.869999999999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الشهر'!$C$10:$AL$119,29,FALSE),0)</f>
        <v>0</v>
      </c>
      <c r="E104" s="362">
        <f>IFERROR(VLOOKUP(C104,'تقرير المصروفات حسب الشهر'!$C$135:$AL$252,29,FALSE),0)</f>
        <v>0</v>
      </c>
      <c r="F104" s="362">
        <v>0</v>
      </c>
      <c r="G104" s="362">
        <f>IFERROR(VLOOKUP(C104,'تقرير المصروفات حسب الشهر'!C468:AH580,29,0),0)</f>
        <v>0</v>
      </c>
      <c r="H104" s="362">
        <f>IFERROR(VLOOKUP(C104,'تقرير المصروفات حسب الشهر'!$C$512:$AH$620,29,FALSE),0)</f>
        <v>0</v>
      </c>
      <c r="I104" s="362">
        <f>IFERROR(VLOOKUP(C104,'تقرير المصروفات حسب الشهر'!$C$637:$AI$750,29,FALSE),0)</f>
        <v>0</v>
      </c>
      <c r="J104" s="362">
        <f>IFERROR(VLOOKUP(C104,'تقرير المصروفات حسب الشهر'!$C$763:$AL$877,29,FALSE),0)</f>
        <v>0</v>
      </c>
      <c r="K104" s="362">
        <f>IFERROR(VLOOKUP(C104,'تقرير المصروفات حسب الشهر'!$C$890:$AI$1007,29,FALSE),0)</f>
        <v>0</v>
      </c>
      <c r="L104" s="362">
        <f>IFERROR(VLOOKUP(C104,'تقرير المصروفات حسب الشهر'!$C$1016:$AI$1131,29,FALSE),0)</f>
        <v>0</v>
      </c>
      <c r="M104" s="376">
        <f>IFERROR(VLOOKUP(C104,'تقرير المصروفات حسب الشهر'!$C$1143:$AI$1259,29,FALSE),0)</f>
        <v>0</v>
      </c>
      <c r="N104" s="376">
        <f>IFERROR(VLOOKUP(C104,'تقرير المصروفات حسب الشهر'!$C$1271:$AI$1385,29,FALSE),0)</f>
        <v>0</v>
      </c>
      <c r="O104" s="376">
        <f>IFERROR(VLOOKUP(C104,'تقرير المصروفات حسب الشهر'!$C$1397:$AI$1512,29,FALSE),0)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الشهر'!$C$10:$AL$119,29,FALSE),0)</f>
        <v>0</v>
      </c>
      <c r="E105" s="362">
        <f>IFERROR(VLOOKUP(C105,'تقرير المصروفات حسب الشهر'!$C$135:$AL$252,29,FALSE),0)</f>
        <v>0</v>
      </c>
      <c r="F105" s="362">
        <v>0</v>
      </c>
      <c r="G105" s="362">
        <f>IFERROR(VLOOKUP(C105,'تقرير المصروفات حسب الشهر'!C469:AH581,29,0),0)</f>
        <v>0</v>
      </c>
      <c r="H105" s="362">
        <f>IFERROR(VLOOKUP(C105,'تقرير المصروفات حسب الشهر'!$C$512:$AH$620,29,FALSE),0)</f>
        <v>0</v>
      </c>
      <c r="I105" s="362">
        <f>IFERROR(VLOOKUP(C105,'تقرير المصروفات حسب الشهر'!$C$637:$AI$750,29,FALSE),0)</f>
        <v>0</v>
      </c>
      <c r="J105" s="362">
        <f>IFERROR(VLOOKUP(C105,'تقرير المصروفات حسب الشهر'!$C$763:$AL$877,29,FALSE),0)</f>
        <v>0</v>
      </c>
      <c r="K105" s="362">
        <f>IFERROR(VLOOKUP(C105,'تقرير المصروفات حسب الشهر'!$C$890:$AI$1007,29,FALSE),0)</f>
        <v>0</v>
      </c>
      <c r="L105" s="362">
        <f>IFERROR(VLOOKUP(C105,'تقرير المصروفات حسب الشهر'!$C$1016:$AI$1131,29,FALSE),0)</f>
        <v>0</v>
      </c>
      <c r="M105" s="376">
        <f>IFERROR(VLOOKUP(C105,'تقرير المصروفات حسب الشهر'!$C$1143:$AI$1259,29,FALSE),0)</f>
        <v>0</v>
      </c>
      <c r="N105" s="376">
        <f>IFERROR(VLOOKUP(C105,'تقرير المصروفات حسب الشهر'!$C$1271:$AI$1385,29,FALSE),0)</f>
        <v>0</v>
      </c>
      <c r="O105" s="376">
        <f>IFERROR(VLOOKUP(C105,'تقرير المصروفات حسب الشهر'!$C$1397:$AI$1512,29,FALSE),0)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الشهر'!$C$10:$AL$119,29,FALSE),0)</f>
        <v>975.39</v>
      </c>
      <c r="E106" s="362">
        <f>IFERROR(VLOOKUP(C106,'تقرير المصروفات حسب الشهر'!$C$135:$AL$252,29,FALSE),0)</f>
        <v>507</v>
      </c>
      <c r="F106" s="362">
        <v>890.52</v>
      </c>
      <c r="G106" s="362">
        <f>IFERROR(VLOOKUP(C106,'تقرير المصروفات حسب الشهر'!C470:AH582,29,0),0)</f>
        <v>691</v>
      </c>
      <c r="H106" s="362">
        <f>IFERROR(VLOOKUP(C106,'تقرير المصروفات حسب الشهر'!$C$512:$AH$620,29,FALSE),0)</f>
        <v>363.76</v>
      </c>
      <c r="I106" s="362">
        <f>IFERROR(VLOOKUP(C106,'تقرير المصروفات حسب الشهر'!$C$637:$AI$750,29,FALSE),0)</f>
        <v>899</v>
      </c>
      <c r="J106" s="517">
        <f>IFERROR(VLOOKUP(C106,'تقرير المصروفات حسب الشهر'!$C$763:$AL$877,29,FALSE),0)</f>
        <v>1126</v>
      </c>
      <c r="K106" s="362">
        <f>IFERROR(VLOOKUP(C106,'تقرير المصروفات حسب الشهر'!$C$890:$AI$1007,29,FALSE),0)</f>
        <v>429</v>
      </c>
      <c r="L106" s="362">
        <f>IFERROR(VLOOKUP(C106,'تقرير المصروفات حسب الشهر'!$C$1016:$AI$1131,29,FALSE),0)</f>
        <v>709.42</v>
      </c>
      <c r="M106" s="376">
        <f>IFERROR(VLOOKUP(C106,'تقرير المصروفات حسب الشهر'!$C$1143:$AI$1259,29,FALSE),0)</f>
        <v>713</v>
      </c>
      <c r="N106" s="376">
        <f>IFERROR(VLOOKUP(C106,'تقرير المصروفات حسب الشهر'!$C$1271:$AI$1385,29,FALSE),0)</f>
        <v>299.94</v>
      </c>
      <c r="O106" s="376">
        <f>IFERROR(VLOOKUP(C106,'تقرير المصروفات حسب الشهر'!$C$1397:$AI$1512,29,FALSE),0)</f>
        <v>216.66</v>
      </c>
      <c r="P106" s="364">
        <f t="shared" si="6"/>
        <v>7820.69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الشهر'!$C$10:$AL$119,29,FALSE),0)</f>
        <v>0</v>
      </c>
      <c r="E107" s="362">
        <f>IFERROR(VLOOKUP(C107,'تقرير المصروفات حسب الشهر'!$C$135:$AL$252,29,FALSE),0)</f>
        <v>0</v>
      </c>
      <c r="F107" s="362">
        <v>0</v>
      </c>
      <c r="G107" s="362">
        <f>IFERROR(VLOOKUP(C107,'تقرير المصروفات حسب الشهر'!C471:AH583,29,0),0)</f>
        <v>0</v>
      </c>
      <c r="H107" s="362">
        <f>IFERROR(VLOOKUP(C107,'تقرير المصروفات حسب الشهر'!$C$512:$AH$620,29,FALSE),0)</f>
        <v>0</v>
      </c>
      <c r="I107" s="362">
        <f>IFERROR(VLOOKUP(C107,'تقرير المصروفات حسب الشهر'!$C$637:$AI$750,29,FALSE),0)</f>
        <v>0</v>
      </c>
      <c r="J107" s="362">
        <f>IFERROR(VLOOKUP(C107,'تقرير المصروفات حسب الشهر'!$C$763:$AL$877,29,FALSE),0)</f>
        <v>0</v>
      </c>
      <c r="K107" s="362">
        <f>IFERROR(VLOOKUP(C107,'تقرير المصروفات حسب الشهر'!$C$890:$AI$1007,29,FALSE),0)</f>
        <v>0</v>
      </c>
      <c r="L107" s="362">
        <f>IFERROR(VLOOKUP(C107,'تقرير المصروفات حسب الشهر'!$C$1016:$AI$1131,29,FALSE),0)</f>
        <v>0</v>
      </c>
      <c r="M107" s="376">
        <f>IFERROR(VLOOKUP(C107,'تقرير المصروفات حسب الشهر'!$C$1143:$AI$1259,29,FALSE),0)</f>
        <v>0</v>
      </c>
      <c r="N107" s="376">
        <f>IFERROR(VLOOKUP(C107,'تقرير المصروفات حسب الشهر'!$C$1271:$AI$1385,29,FALSE),0)</f>
        <v>0</v>
      </c>
      <c r="O107" s="376">
        <f>IFERROR(VLOOKUP(C107,'تقرير المصروفات حسب الشهر'!$C$1397:$AI$1512,29,FALSE),0)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الشهر'!$C$10:$AL$119,29,FALSE),0)</f>
        <v>0</v>
      </c>
      <c r="E108" s="362">
        <f>IFERROR(VLOOKUP(C108,'تقرير المصروفات حسب الشهر'!$C$135:$AL$252,29,FALSE),0)</f>
        <v>0</v>
      </c>
      <c r="F108" s="362">
        <v>0</v>
      </c>
      <c r="G108" s="362">
        <f>IFERROR(VLOOKUP(C108,'تقرير المصروفات حسب الشهر'!C472:AH584,29,0),0)</f>
        <v>0</v>
      </c>
      <c r="H108" s="362">
        <f>IFERROR(VLOOKUP(C108,'تقرير المصروفات حسب الشهر'!$C$512:$AH$620,29,FALSE),0)</f>
        <v>0</v>
      </c>
      <c r="I108" s="362">
        <f>IFERROR(VLOOKUP(C108,'تقرير المصروفات حسب الشهر'!$C$637:$AI$750,29,FALSE),0)</f>
        <v>0</v>
      </c>
      <c r="J108" s="362">
        <f>IFERROR(VLOOKUP(C108,'تقرير المصروفات حسب الشهر'!$C$763:$AL$877,29,FALSE),0)</f>
        <v>0</v>
      </c>
      <c r="K108" s="362">
        <f>IFERROR(VLOOKUP(C108,'تقرير المصروفات حسب الشهر'!$C$890:$AI$1007,29,FALSE),0)</f>
        <v>0</v>
      </c>
      <c r="L108" s="362">
        <f>IFERROR(VLOOKUP(C108,'تقرير المصروفات حسب الشهر'!$C$1016:$AI$1131,29,FALSE),0)</f>
        <v>0</v>
      </c>
      <c r="M108" s="376">
        <f>IFERROR(VLOOKUP(C108,'تقرير المصروفات حسب الشهر'!$C$1143:$AI$1259,29,FALSE),0)</f>
        <v>0</v>
      </c>
      <c r="N108" s="376">
        <f>IFERROR(VLOOKUP(C108,'تقرير المصروفات حسب الشهر'!$C$1271:$AI$1385,29,FALSE),0)</f>
        <v>0</v>
      </c>
      <c r="O108" s="376">
        <f>IFERROR(VLOOKUP(C108,'تقرير المصروفات حسب الشهر'!$C$1397:$AI$1512,29,FALSE),0)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الشهر'!$C$10:$AL$119,29,FALSE),0)</f>
        <v>0</v>
      </c>
      <c r="E109" s="362">
        <f>IFERROR(VLOOKUP(C109,'تقرير المصروفات حسب الشهر'!$C$135:$AL$252,29,FALSE),0)</f>
        <v>0</v>
      </c>
      <c r="F109" s="362">
        <v>0</v>
      </c>
      <c r="G109" s="362">
        <f>IFERROR(VLOOKUP(C109,'تقرير المصروفات حسب الشهر'!C473:AH585,29,0),0)</f>
        <v>0</v>
      </c>
      <c r="H109" s="362">
        <f>IFERROR(VLOOKUP(C109,'تقرير المصروفات حسب الشهر'!$C$512:$AH$620,29,FALSE),0)</f>
        <v>0</v>
      </c>
      <c r="I109" s="362">
        <f>IFERROR(VLOOKUP(C109,'تقرير المصروفات حسب الشهر'!$C$637:$AI$750,29,FALSE),0)</f>
        <v>0</v>
      </c>
      <c r="J109" s="362">
        <f>IFERROR(VLOOKUP(C109,'تقرير المصروفات حسب الشهر'!$C$763:$AL$877,29,FALSE),0)</f>
        <v>0</v>
      </c>
      <c r="K109" s="362">
        <f>IFERROR(VLOOKUP(C109,'تقرير المصروفات حسب الشهر'!$C$890:$AI$1007,29,FALSE),0)</f>
        <v>0</v>
      </c>
      <c r="L109" s="362">
        <f>IFERROR(VLOOKUP(C109,'تقرير المصروفات حسب الشهر'!$C$1016:$AI$1131,29,FALSE),0)</f>
        <v>0</v>
      </c>
      <c r="M109" s="376">
        <f>IFERROR(VLOOKUP(C109,'تقرير المصروفات حسب الشهر'!$C$1143:$AI$1259,29,FALSE),0)</f>
        <v>0</v>
      </c>
      <c r="N109" s="376">
        <f>IFERROR(VLOOKUP(C109,'تقرير المصروفات حسب الشهر'!$C$1271:$AI$1385,29,FALSE),0)</f>
        <v>0</v>
      </c>
      <c r="O109" s="376">
        <f>IFERROR(VLOOKUP(C109,'تقرير المصروفات حسب الشهر'!$C$1397:$AI$1512,29,FALSE),0)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الشهر'!$C$10:$AL$119,29,FALSE),0)</f>
        <v>0</v>
      </c>
      <c r="E110" s="362">
        <f>IFERROR(VLOOKUP(C110,'تقرير المصروفات حسب الشهر'!$C$135:$AL$252,29,FALSE),0)</f>
        <v>0</v>
      </c>
      <c r="F110" s="362">
        <v>0</v>
      </c>
      <c r="G110" s="362">
        <f>IFERROR(VLOOKUP(C110,'تقرير المصروفات حسب الشهر'!C474:AH586,29,0),0)</f>
        <v>443</v>
      </c>
      <c r="H110" s="362">
        <f>IFERROR(VLOOKUP(C110,'تقرير المصروفات حسب الشهر'!$C$512:$AH$620,29,FALSE),0)</f>
        <v>0</v>
      </c>
      <c r="I110" s="362">
        <f>IFERROR(VLOOKUP(C110,'تقرير المصروفات حسب الشهر'!$C$637:$AI$750,29,FALSE),0)</f>
        <v>36536.800000000003</v>
      </c>
      <c r="J110" s="362">
        <f>IFERROR(VLOOKUP(C110,'تقرير المصروفات حسب الشهر'!$C$763:$AL$877,29,FALSE),0)</f>
        <v>0</v>
      </c>
      <c r="K110" s="362">
        <f>IFERROR(VLOOKUP(C110,'تقرير المصروفات حسب الشهر'!$C$890:$AI$1007,29,FALSE),0)</f>
        <v>0</v>
      </c>
      <c r="L110" s="362">
        <f>IFERROR(VLOOKUP(C110,'تقرير المصروفات حسب الشهر'!$C$1016:$AI$1131,29,FALSE),0)</f>
        <v>550.26999999999941</v>
      </c>
      <c r="M110" s="376">
        <f>IFERROR(VLOOKUP(C110,'تقرير المصروفات حسب الشهر'!$C$1143:$AI$1259,29,FALSE),0)</f>
        <v>0</v>
      </c>
      <c r="N110" s="376">
        <f>IFERROR(VLOOKUP(C110,'تقرير المصروفات حسب الشهر'!$C$1271:$AI$1385,29,FALSE),0)</f>
        <v>0</v>
      </c>
      <c r="O110" s="376">
        <f>IFERROR(VLOOKUP(C110,'تقرير المصروفات حسب الشهر'!$C$1397:$AI$1512,29,FALSE),0)</f>
        <v>0</v>
      </c>
      <c r="P110" s="364">
        <f t="shared" si="6"/>
        <v>37530.07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الشهر'!$C$10:$AL$119,29,FALSE),0)</f>
        <v>0</v>
      </c>
      <c r="E111" s="362">
        <f>IFERROR(VLOOKUP(C111,'تقرير المصروفات حسب الشهر'!$C$135:$AL$252,29,FALSE),0)</f>
        <v>0</v>
      </c>
      <c r="F111" s="362">
        <v>0</v>
      </c>
      <c r="G111" s="362">
        <f>IFERROR(VLOOKUP(C111,'تقرير المصروفات حسب الشهر'!C475:AH587,29,0),0)</f>
        <v>0</v>
      </c>
      <c r="H111" s="362">
        <f>IFERROR(VLOOKUP(C111,'تقرير المصروفات حسب الشهر'!$C$512:$AH$620,29,FALSE),0)</f>
        <v>0</v>
      </c>
      <c r="I111" s="362">
        <f>IFERROR(VLOOKUP(C111,'تقرير المصروفات حسب الشهر'!$C$637:$AI$750,29,FALSE),0)</f>
        <v>0</v>
      </c>
      <c r="J111" s="362">
        <f>IFERROR(VLOOKUP(C111,'تقرير المصروفات حسب الشهر'!$C$763:$AL$877,29,FALSE),0)</f>
        <v>0</v>
      </c>
      <c r="K111" s="362">
        <f>IFERROR(VLOOKUP(C111,'تقرير المصروفات حسب الشهر'!$C$890:$AI$1007,29,FALSE),0)</f>
        <v>0</v>
      </c>
      <c r="L111" s="362">
        <f>IFERROR(VLOOKUP(C111,'تقرير المصروفات حسب الشهر'!$C$1016:$AI$1131,29,FALSE),0)</f>
        <v>0</v>
      </c>
      <c r="M111" s="376">
        <f>IFERROR(VLOOKUP(C111,'تقرير المصروفات حسب الشهر'!$C$1143:$AI$1259,29,FALSE),0)</f>
        <v>0</v>
      </c>
      <c r="N111" s="376">
        <f>IFERROR(VLOOKUP(C111,'تقرير المصروفات حسب الشهر'!$C$1271:$AI$1385,29,FALSE),0)</f>
        <v>0</v>
      </c>
      <c r="O111" s="376">
        <f>IFERROR(VLOOKUP(C111,'تقرير المصروفات حسب الشهر'!$C$1397:$AI$1512,29,FALSE),0)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الشهر'!$C$10:$AL$119,29,FALSE),0)</f>
        <v>0</v>
      </c>
      <c r="E112" s="362">
        <f>IFERROR(VLOOKUP(C112,'تقرير المصروفات حسب الشهر'!$C$135:$AL$252,29,FALSE),0)</f>
        <v>0</v>
      </c>
      <c r="F112" s="362">
        <v>800</v>
      </c>
      <c r="G112" s="362">
        <f>IFERROR(VLOOKUP(C112,'تقرير المصروفات حسب الشهر'!C476:AH588,29,0),0)</f>
        <v>0</v>
      </c>
      <c r="H112" s="362">
        <f>IFERROR(VLOOKUP(C112,'تقرير المصروفات حسب الشهر'!$C$512:$AH$620,29,FALSE),0)</f>
        <v>0</v>
      </c>
      <c r="I112" s="362">
        <f>IFERROR(VLOOKUP(C112,'تقرير المصروفات حسب الشهر'!$C$637:$AI$750,29,FALSE),0)</f>
        <v>0</v>
      </c>
      <c r="J112" s="362">
        <f>IFERROR(VLOOKUP(C112,'تقرير المصروفات حسب الشهر'!$C$763:$AL$877,29,FALSE),0)</f>
        <v>0</v>
      </c>
      <c r="K112" s="362">
        <f>IFERROR(VLOOKUP(C112,'تقرير المصروفات حسب الشهر'!$C$890:$AI$1007,29,FALSE),0)</f>
        <v>0</v>
      </c>
      <c r="L112" s="362">
        <f>IFERROR(VLOOKUP(C112,'تقرير المصروفات حسب الشهر'!$C$1016:$AI$1131,29,FALSE),0)</f>
        <v>0</v>
      </c>
      <c r="M112" s="376">
        <f>IFERROR(VLOOKUP(C112,'تقرير المصروفات حسب الشهر'!$C$1143:$AI$1259,29,FALSE),0)</f>
        <v>0</v>
      </c>
      <c r="N112" s="376">
        <f>IFERROR(VLOOKUP(C112,'تقرير المصروفات حسب الشهر'!$C$1271:$AI$1385,29,FALSE),0)</f>
        <v>0</v>
      </c>
      <c r="O112" s="376">
        <f>IFERROR(VLOOKUP(C112,'تقرير المصروفات حسب الشهر'!$C$1397:$AI$1512,29,FALSE),0)</f>
        <v>0</v>
      </c>
      <c r="P112" s="364">
        <f t="shared" si="6"/>
        <v>800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الشهر'!$C$10:$AL$119,29,FALSE),0)</f>
        <v>0</v>
      </c>
      <c r="E113" s="362">
        <f>IFERROR(VLOOKUP(C113,'تقرير المصروفات حسب الشهر'!$C$135:$AL$252,29,FALSE),0)</f>
        <v>0</v>
      </c>
      <c r="F113" s="362">
        <v>0</v>
      </c>
      <c r="G113" s="362">
        <f>IFERROR(VLOOKUP(C113,'تقرير المصروفات حسب الشهر'!C477:AH589,29,0),0)</f>
        <v>0</v>
      </c>
      <c r="H113" s="362">
        <f>IFERROR(VLOOKUP(C113,'تقرير المصروفات حسب الشهر'!$C$512:$AH$620,29,FALSE),0)</f>
        <v>0</v>
      </c>
      <c r="I113" s="362">
        <f>IFERROR(VLOOKUP(C113,'تقرير المصروفات حسب الشهر'!$C$637:$AI$750,29,FALSE),0)</f>
        <v>0</v>
      </c>
      <c r="J113" s="362">
        <f>IFERROR(VLOOKUP(C113,'تقرير المصروفات حسب الشهر'!$C$763:$AL$877,29,FALSE),0)</f>
        <v>0</v>
      </c>
      <c r="K113" s="362">
        <f>IFERROR(VLOOKUP(C113,'تقرير المصروفات حسب الشهر'!$C$890:$AI$1007,29,FALSE),0)</f>
        <v>0</v>
      </c>
      <c r="L113" s="362">
        <f>IFERROR(VLOOKUP(C113,'تقرير المصروفات حسب الشهر'!$C$1016:$AI$1131,29,FALSE),0)</f>
        <v>0</v>
      </c>
      <c r="M113" s="376">
        <f>IFERROR(VLOOKUP(C113,'تقرير المصروفات حسب الشهر'!$C$1143:$AI$1259,29,FALSE),0)</f>
        <v>0</v>
      </c>
      <c r="N113" s="376">
        <f>IFERROR(VLOOKUP(C113,'تقرير المصروفات حسب الشهر'!$C$1271:$AI$1385,29,FALSE),0)</f>
        <v>0</v>
      </c>
      <c r="O113" s="376">
        <f>IFERROR(VLOOKUP(C113,'تقرير المصروفات حسب الشهر'!$C$1397:$AI$1512,29,FALSE),0)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الشهر'!$C$10:$AL$119,29,FALSE),0)</f>
        <v>0</v>
      </c>
      <c r="E114" s="362">
        <f>IFERROR(VLOOKUP(C114,'تقرير المصروفات حسب الشهر'!$C$135:$AL$252,29,FALSE),0)</f>
        <v>0</v>
      </c>
      <c r="F114" s="362">
        <v>0</v>
      </c>
      <c r="G114" s="362">
        <f>IFERROR(VLOOKUP(C114,'تقرير المصروفات حسب الشهر'!C478:AH590,29,0),0)</f>
        <v>0</v>
      </c>
      <c r="H114" s="362">
        <f>IFERROR(VLOOKUP(C114,'تقرير المصروفات حسب الشهر'!$C$512:$AH$620,29,FALSE),0)</f>
        <v>0</v>
      </c>
      <c r="I114" s="362">
        <f>IFERROR(VLOOKUP(C114,'تقرير المصروفات حسب الشهر'!$C$637:$AI$750,29,FALSE),0)</f>
        <v>0</v>
      </c>
      <c r="J114" s="362">
        <f>IFERROR(VLOOKUP(C114,'تقرير المصروفات حسب الشهر'!$C$763:$AL$877,29,FALSE),0)</f>
        <v>0</v>
      </c>
      <c r="K114" s="362">
        <f>IFERROR(VLOOKUP(C114,'تقرير المصروفات حسب الشهر'!$C$890:$AI$1007,29,FALSE),0)</f>
        <v>0</v>
      </c>
      <c r="L114" s="362">
        <f>IFERROR(VLOOKUP(C114,'تقرير المصروفات حسب الشهر'!$C$1016:$AI$1131,29,FALSE),0)</f>
        <v>0</v>
      </c>
      <c r="M114" s="376">
        <f>IFERROR(VLOOKUP(C114,'تقرير المصروفات حسب الشهر'!$C$1143:$AI$1259,29,FALSE),0)</f>
        <v>0</v>
      </c>
      <c r="N114" s="376">
        <f>IFERROR(VLOOKUP(C114,'تقرير المصروفات حسب الشهر'!$C$1271:$AI$1385,29,FALSE),0)</f>
        <v>0</v>
      </c>
      <c r="O114" s="376">
        <f>IFERROR(VLOOKUP(C114,'تقرير المصروفات حسب الشهر'!$C$1397:$AI$1512,29,FALSE),0)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الشهر'!$C$10:$AL$119,29,FALSE),0)</f>
        <v>0</v>
      </c>
      <c r="E115" s="362">
        <f>IFERROR(VLOOKUP(C115,'تقرير المصروفات حسب الشهر'!$C$135:$AL$252,29,FALSE),0)</f>
        <v>0</v>
      </c>
      <c r="F115" s="362">
        <v>0</v>
      </c>
      <c r="G115" s="362">
        <f>IFERROR(VLOOKUP(C115,'تقرير المصروفات حسب الشهر'!C479:AH591,29,0),0)</f>
        <v>0</v>
      </c>
      <c r="H115" s="362">
        <f>IFERROR(VLOOKUP(C115,'تقرير المصروفات حسب الشهر'!$C$512:$AH$620,29,FALSE),0)</f>
        <v>0</v>
      </c>
      <c r="I115" s="362">
        <f>IFERROR(VLOOKUP(C115,'تقرير المصروفات حسب الشهر'!$C$637:$AI$750,29,FALSE),0)</f>
        <v>0</v>
      </c>
      <c r="J115" s="362">
        <f>IFERROR(VLOOKUP(C115,'تقرير المصروفات حسب الشهر'!$C$763:$AL$877,29,FALSE),0)</f>
        <v>0</v>
      </c>
      <c r="K115" s="362">
        <f>IFERROR(VLOOKUP(C115,'تقرير المصروفات حسب الشهر'!$C$890:$AI$1007,29,FALSE),0)</f>
        <v>0</v>
      </c>
      <c r="L115" s="362">
        <f>IFERROR(VLOOKUP(C115,'تقرير المصروفات حسب الشهر'!$C$1016:$AI$1131,29,FALSE),0)</f>
        <v>0</v>
      </c>
      <c r="M115" s="376">
        <f>IFERROR(VLOOKUP(C115,'تقرير المصروفات حسب الشهر'!$C$1143:$AI$1259,29,FALSE),0)</f>
        <v>0</v>
      </c>
      <c r="N115" s="376">
        <f>IFERROR(VLOOKUP(C115,'تقرير المصروفات حسب الشهر'!$C$1271:$AI$1385,29,FALSE),0)</f>
        <v>0</v>
      </c>
      <c r="O115" s="376">
        <f>IFERROR(VLOOKUP(C115,'تقرير المصروفات حسب الشهر'!$C$1397:$AI$1512,29,FALSE),0)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الشهر'!$C$10:$AL$119,29,FALSE),0)</f>
        <v>0</v>
      </c>
      <c r="E116" s="362">
        <f>IFERROR(VLOOKUP(C116,'تقرير المصروفات حسب الشهر'!$C$135:$AL$252,29,FALSE),0)</f>
        <v>0</v>
      </c>
      <c r="F116" s="362">
        <v>0</v>
      </c>
      <c r="G116" s="362">
        <f>IFERROR(VLOOKUP(C116,'تقرير المصروفات حسب الشهر'!C480:AH592,29,0),0)</f>
        <v>0</v>
      </c>
      <c r="H116" s="362">
        <f>IFERROR(VLOOKUP(C116,'تقرير المصروفات حسب الشهر'!$C$512:$AH$620,29,FALSE),0)</f>
        <v>0</v>
      </c>
      <c r="I116" s="362">
        <f>IFERROR(VLOOKUP(C116,'تقرير المصروفات حسب الشهر'!$C$637:$AI$750,29,FALSE),0)</f>
        <v>0</v>
      </c>
      <c r="J116" s="362">
        <f>IFERROR(VLOOKUP(C116,'تقرير المصروفات حسب الشهر'!$C$763:$AL$877,29,FALSE),0)</f>
        <v>0</v>
      </c>
      <c r="K116" s="362">
        <f>IFERROR(VLOOKUP(C116,'تقرير المصروفات حسب الشهر'!$C$890:$AI$1007,29,FALSE),0)</f>
        <v>0</v>
      </c>
      <c r="L116" s="362">
        <f>IFERROR(VLOOKUP(C116,'تقرير المصروفات حسب الشهر'!$C$1016:$AI$1131,29,FALSE),0)</f>
        <v>0</v>
      </c>
      <c r="M116" s="376">
        <f>IFERROR(VLOOKUP(C116,'تقرير المصروفات حسب الشهر'!$C$1143:$AI$1259,29,FALSE),0)</f>
        <v>0</v>
      </c>
      <c r="N116" s="376">
        <f>IFERROR(VLOOKUP(C116,'تقرير المصروفات حسب الشهر'!$C$1271:$AI$1385,29,FALSE),0)</f>
        <v>0</v>
      </c>
      <c r="O116" s="376">
        <f>IFERROR(VLOOKUP(C116,'تقرير المصروفات حسب الشهر'!$C$1397:$AI$1512,29,FALSE),0)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الشهر'!$C$10:$AL$119,29,FALSE),0)</f>
        <v>0</v>
      </c>
      <c r="E117" s="362">
        <f>IFERROR(VLOOKUP(C117,'تقرير المصروفات حسب الشهر'!$C$135:$AL$252,29,FALSE),0)</f>
        <v>0</v>
      </c>
      <c r="F117" s="362">
        <v>0</v>
      </c>
      <c r="G117" s="362">
        <f>IFERROR(VLOOKUP(C117,'تقرير المصروفات حسب الشهر'!C481:AH593,29,0),0)</f>
        <v>0</v>
      </c>
      <c r="H117" s="362">
        <f>IFERROR(VLOOKUP(C117,'تقرير المصروفات حسب الشهر'!$C$512:$AH$620,29,FALSE),0)</f>
        <v>0</v>
      </c>
      <c r="I117" s="362">
        <f>IFERROR(VLOOKUP(C117,'تقرير المصروفات حسب الشهر'!$C$637:$AI$750,29,FALSE),0)</f>
        <v>0</v>
      </c>
      <c r="J117" s="362">
        <f>IFERROR(VLOOKUP(C117,'تقرير المصروفات حسب الشهر'!$C$763:$AL$877,29,FALSE),0)</f>
        <v>0</v>
      </c>
      <c r="K117" s="362">
        <f>IFERROR(VLOOKUP(C117,'تقرير المصروفات حسب الشهر'!$C$890:$AI$1007,29,FALSE),0)</f>
        <v>0</v>
      </c>
      <c r="L117" s="362">
        <f>IFERROR(VLOOKUP(C117,'تقرير المصروفات حسب الشهر'!$C$1016:$AI$1131,29,FALSE),0)</f>
        <v>0</v>
      </c>
      <c r="M117" s="376">
        <f>IFERROR(VLOOKUP(C117,'تقرير المصروفات حسب الشهر'!$C$1143:$AI$1259,29,FALSE),0)</f>
        <v>0</v>
      </c>
      <c r="N117" s="376">
        <f>IFERROR(VLOOKUP(C117,'تقرير المصروفات حسب الشهر'!$C$1271:$AI$1385,29,FALSE),0)</f>
        <v>0</v>
      </c>
      <c r="O117" s="376">
        <f>IFERROR(VLOOKUP(C117,'تقرير المصروفات حسب الشهر'!$C$1397:$AI$1512,29,FALSE),0)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الشهر'!$C$10:$AL$119,29,FALSE),0)</f>
        <v>0</v>
      </c>
      <c r="E118" s="362">
        <f>IFERROR(VLOOKUP(C118,'تقرير المصروفات حسب الشهر'!$C$135:$AL$252,29,FALSE),0)</f>
        <v>0</v>
      </c>
      <c r="F118" s="362">
        <v>0</v>
      </c>
      <c r="G118" s="362">
        <f>IFERROR(VLOOKUP(C118,'تقرير المصروفات حسب الشهر'!C482:AH594,29,0),0)</f>
        <v>0</v>
      </c>
      <c r="H118" s="362">
        <f>IFERROR(VLOOKUP(C118,'تقرير المصروفات حسب الشهر'!$C$512:$AH$620,29,FALSE),0)</f>
        <v>0</v>
      </c>
      <c r="I118" s="362">
        <f>IFERROR(VLOOKUP(C118,'تقرير المصروفات حسب الشهر'!$C$637:$AI$750,29,FALSE),0)</f>
        <v>0</v>
      </c>
      <c r="J118" s="362">
        <f>IFERROR(VLOOKUP(C118,'تقرير المصروفات حسب الشهر'!$C$763:$AL$877,29,FALSE),0)</f>
        <v>0</v>
      </c>
      <c r="K118" s="362">
        <f>IFERROR(VLOOKUP(C118,'تقرير المصروفات حسب الشهر'!$C$890:$AI$1007,29,FALSE),0)</f>
        <v>0</v>
      </c>
      <c r="L118" s="362">
        <f>IFERROR(VLOOKUP(C118,'تقرير المصروفات حسب الشهر'!$C$1016:$AI$1131,29,FALSE),0)</f>
        <v>0</v>
      </c>
      <c r="M118" s="376">
        <f>IFERROR(VLOOKUP(C118,'تقرير المصروفات حسب الشهر'!$C$1143:$AI$1259,29,FALSE),0)</f>
        <v>0</v>
      </c>
      <c r="N118" s="376">
        <f>IFERROR(VLOOKUP(C118,'تقرير المصروفات حسب الشهر'!$C$1271:$AI$1385,29,FALSE),0)</f>
        <v>0</v>
      </c>
      <c r="O118" s="376">
        <f>IFERROR(VLOOKUP(C118,'تقرير المصروفات حسب الشهر'!$C$1397:$AI$1512,29,FALSE),0)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الشهر'!$C$10:$AL$119,29,FALSE),0)</f>
        <v>0</v>
      </c>
      <c r="E119" s="362">
        <f>IFERROR(VLOOKUP(C119,'تقرير المصروفات حسب الشهر'!$C$135:$AL$252,29,FALSE),0)</f>
        <v>0</v>
      </c>
      <c r="F119" s="362">
        <v>0</v>
      </c>
      <c r="G119" s="362">
        <f>IFERROR(VLOOKUP(C119,'تقرير المصروفات حسب الشهر'!C483:AH595,29,0),0)</f>
        <v>0</v>
      </c>
      <c r="H119" s="362">
        <f>IFERROR(VLOOKUP(C119,'تقرير المصروفات حسب الشهر'!$C$512:$AH$620,29,FALSE),0)</f>
        <v>0</v>
      </c>
      <c r="I119" s="362">
        <f>IFERROR(VLOOKUP(C119,'تقرير المصروفات حسب الشهر'!$C$637:$AI$750,29,FALSE),0)</f>
        <v>526.70000000000005</v>
      </c>
      <c r="J119" s="362">
        <f>IFERROR(VLOOKUP(C119,'تقرير المصروفات حسب الشهر'!$C$763:$AL$877,29,FALSE),0)</f>
        <v>627</v>
      </c>
      <c r="K119" s="362">
        <f>IFERROR(VLOOKUP(C119,'تقرير المصروفات حسب الشهر'!$C$890:$AI$1007,29,FALSE),0)</f>
        <v>0</v>
      </c>
      <c r="L119" s="362">
        <f>IFERROR(VLOOKUP(C119,'تقرير المصروفات حسب الشهر'!$C$1016:$AI$1131,29,FALSE),0)</f>
        <v>0</v>
      </c>
      <c r="M119" s="376">
        <f>IFERROR(VLOOKUP(C119,'تقرير المصروفات حسب الشهر'!$C$1143:$AI$1259,29,FALSE),0)</f>
        <v>0</v>
      </c>
      <c r="N119" s="376">
        <f>IFERROR(VLOOKUP(C119,'تقرير المصروفات حسب الشهر'!$C$1271:$AI$1385,29,FALSE),0)</f>
        <v>0</v>
      </c>
      <c r="O119" s="376">
        <f>IFERROR(VLOOKUP(C119,'تقرير المصروفات حسب الشهر'!$C$1397:$AI$1512,29,FALSE),0)</f>
        <v>0</v>
      </c>
      <c r="P119" s="364">
        <f t="shared" si="6"/>
        <v>1153.7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الشهر'!$C$10:$AL$119,29,FALSE),0)</f>
        <v>0</v>
      </c>
      <c r="E120" s="362">
        <f>IFERROR(VLOOKUP(C120,'تقرير المصروفات حسب الشهر'!$C$135:$AL$252,29,FALSE),0)</f>
        <v>0</v>
      </c>
      <c r="F120" s="362">
        <v>0</v>
      </c>
      <c r="G120" s="362">
        <f>IFERROR(VLOOKUP(C120,'تقرير المصروفات حسب الشهر'!C484:AH596,29,0),0)</f>
        <v>0</v>
      </c>
      <c r="H120" s="362">
        <f>IFERROR(VLOOKUP(C120,'تقرير المصروفات حسب الشهر'!$C$512:$AH$620,29,FALSE),0)</f>
        <v>0</v>
      </c>
      <c r="I120" s="362">
        <f>IFERROR(VLOOKUP(C120,'تقرير المصروفات حسب الشهر'!$C$637:$AI$750,29,FALSE),0)</f>
        <v>0</v>
      </c>
      <c r="J120" s="362">
        <f>IFERROR(VLOOKUP(C120,'تقرير المصروفات حسب الشهر'!$C$763:$AL$877,29,FALSE),0)</f>
        <v>0</v>
      </c>
      <c r="K120" s="362">
        <f>IFERROR(VLOOKUP(C120,'تقرير المصروفات حسب الشهر'!$C$890:$AI$1007,29,FALSE),0)</f>
        <v>0</v>
      </c>
      <c r="L120" s="362">
        <f>IFERROR(VLOOKUP(C120,'تقرير المصروفات حسب الشهر'!$C$1016:$AI$1131,29,FALSE),0)</f>
        <v>0</v>
      </c>
      <c r="M120" s="376">
        <f>IFERROR(VLOOKUP(C120,'تقرير المصروفات حسب الشهر'!$C$1143:$AI$1259,29,FALSE),0)</f>
        <v>0</v>
      </c>
      <c r="N120" s="376">
        <f>IFERROR(VLOOKUP(C120,'تقرير المصروفات حسب الشهر'!$C$1271:$AI$1385,29,FALSE),0)</f>
        <v>0</v>
      </c>
      <c r="O120" s="376">
        <f>IFERROR(VLOOKUP(C120,'تقرير المصروفات حسب الشهر'!$C$1397:$AI$1512,29,FALSE),0)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الشهر'!$C$10:$AL$119,29,FALSE),0)</f>
        <v>0</v>
      </c>
      <c r="E121" s="362">
        <f>IFERROR(VLOOKUP(C121,'تقرير المصروفات حسب الشهر'!$C$135:$AL$252,29,FALSE),0)</f>
        <v>0</v>
      </c>
      <c r="F121" s="362">
        <v>0</v>
      </c>
      <c r="G121" s="362">
        <f>IFERROR(VLOOKUP(C121,'تقرير المصروفات حسب الشهر'!C485:AH597,29,0),0)</f>
        <v>0</v>
      </c>
      <c r="H121" s="362">
        <f>IFERROR(VLOOKUP(C121,'تقرير المصروفات حسب الشهر'!$C$512:$AH$620,29,FALSE),0)</f>
        <v>0</v>
      </c>
      <c r="I121" s="362">
        <f>IFERROR(VLOOKUP(C121,'تقرير المصروفات حسب الشهر'!$C$637:$AI$750,29,FALSE),0)</f>
        <v>0</v>
      </c>
      <c r="J121" s="362">
        <f>IFERROR(VLOOKUP(C121,'تقرير المصروفات حسب الشهر'!$C$763:$AL$877,29,FALSE),0)</f>
        <v>0</v>
      </c>
      <c r="K121" s="362">
        <f>IFERROR(VLOOKUP(C121,'تقرير المصروفات حسب الشهر'!$C$890:$AI$1007,29,FALSE),0)</f>
        <v>0</v>
      </c>
      <c r="L121" s="362">
        <f>IFERROR(VLOOKUP(C121,'تقرير المصروفات حسب الشهر'!$C$1016:$AI$1131,29,FALSE),0)</f>
        <v>0</v>
      </c>
      <c r="M121" s="376">
        <f>IFERROR(VLOOKUP(C121,'تقرير المصروفات حسب الشهر'!$C$1143:$AI$1259,29,FALSE),0)</f>
        <v>0</v>
      </c>
      <c r="N121" s="376">
        <f>IFERROR(VLOOKUP(C121,'تقرير المصروفات حسب الشهر'!$C$1271:$AI$1385,29,FALSE),0)</f>
        <v>0</v>
      </c>
      <c r="O121" s="376">
        <f>IFERROR(VLOOKUP(C121,'تقرير المصروفات حسب الشهر'!$C$1397:$AI$1512,29,FALSE),0)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الشهر'!$C$10:$AL$119,29,FALSE),0)</f>
        <v>0</v>
      </c>
      <c r="E122" s="362">
        <f>IFERROR(VLOOKUP(C122,'تقرير المصروفات حسب الشهر'!$C$135:$AL$252,29,FALSE),0)</f>
        <v>0</v>
      </c>
      <c r="F122" s="362">
        <v>0</v>
      </c>
      <c r="G122" s="362">
        <f>IFERROR(VLOOKUP(C122,'تقرير المصروفات حسب الشهر'!C486:AH598,29,0),0)</f>
        <v>0</v>
      </c>
      <c r="H122" s="362">
        <f>IFERROR(VLOOKUP(C122,'تقرير المصروفات حسب الشهر'!$C$512:$AH$620,29,FALSE),0)</f>
        <v>0</v>
      </c>
      <c r="I122" s="362">
        <f>IFERROR(VLOOKUP(C122,'تقرير المصروفات حسب الشهر'!$C$637:$AI$750,29,FALSE),0)</f>
        <v>0</v>
      </c>
      <c r="J122" s="362">
        <f>IFERROR(VLOOKUP(C122,'تقرير المصروفات حسب الشهر'!$C$763:$AL$877,29,FALSE),0)</f>
        <v>0</v>
      </c>
      <c r="K122" s="362">
        <f>IFERROR(VLOOKUP(C122,'تقرير المصروفات حسب الشهر'!$C$890:$AI$1007,29,FALSE),0)</f>
        <v>0</v>
      </c>
      <c r="L122" s="362">
        <f>IFERROR(VLOOKUP(C122,'تقرير المصروفات حسب الشهر'!$C$1016:$AI$1131,29,FALSE),0)</f>
        <v>0</v>
      </c>
      <c r="M122" s="376">
        <f>IFERROR(VLOOKUP(C122,'تقرير المصروفات حسب الشهر'!$C$1143:$AI$1259,29,FALSE),0)</f>
        <v>0</v>
      </c>
      <c r="N122" s="376">
        <f>IFERROR(VLOOKUP(C122,'تقرير المصروفات حسب الشهر'!$C$1271:$AI$1385,29,FALSE),0)</f>
        <v>0</v>
      </c>
      <c r="O122" s="376">
        <f>IFERROR(VLOOKUP(C122,'تقرير المصروفات حسب الشهر'!$C$1397:$AI$1512,29,FALSE),0)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الشهر'!$C$10:$AL$119,29,FALSE),0)</f>
        <v>0</v>
      </c>
      <c r="E123" s="362">
        <f>IFERROR(VLOOKUP(C123,'تقرير المصروفات حسب الشهر'!$C$135:$AL$252,29,FALSE),0)</f>
        <v>0</v>
      </c>
      <c r="F123" s="362">
        <v>0</v>
      </c>
      <c r="G123" s="362">
        <f>IFERROR(VLOOKUP(C123,'تقرير المصروفات حسب الشهر'!C487:AH599,29,0),0)</f>
        <v>0</v>
      </c>
      <c r="H123" s="362">
        <f>IFERROR(VLOOKUP(C123,'تقرير المصروفات حسب الشهر'!$C$512:$AH$620,29,FALSE),0)</f>
        <v>0</v>
      </c>
      <c r="I123" s="362">
        <f>IFERROR(VLOOKUP(C123,'تقرير المصروفات حسب الشهر'!$C$637:$AI$750,29,FALSE),0)</f>
        <v>0</v>
      </c>
      <c r="J123" s="362">
        <f>IFERROR(VLOOKUP(C123,'تقرير المصروفات حسب الشهر'!$C$763:$AL$877,29,FALSE),0)</f>
        <v>0</v>
      </c>
      <c r="K123" s="362">
        <f>IFERROR(VLOOKUP(C123,'تقرير المصروفات حسب الشهر'!$C$890:$AI$1007,29,FALSE),0)</f>
        <v>0</v>
      </c>
      <c r="L123" s="362">
        <f>IFERROR(VLOOKUP(C123,'تقرير المصروفات حسب الشهر'!$C$1016:$AI$1131,29,FALSE),0)</f>
        <v>0</v>
      </c>
      <c r="M123" s="376">
        <f>IFERROR(VLOOKUP(C123,'تقرير المصروفات حسب الشهر'!$C$1143:$AI$1259,29,FALSE),0)</f>
        <v>0</v>
      </c>
      <c r="N123" s="376">
        <f>IFERROR(VLOOKUP(C123,'تقرير المصروفات حسب الشهر'!$C$1271:$AI$1385,29,FALSE),0)</f>
        <v>0</v>
      </c>
      <c r="O123" s="376">
        <f>IFERROR(VLOOKUP(C123,'تقرير المصروفات حسب الشهر'!$C$1397:$AI$1512,29,FALSE),0)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الشهر'!$C$10:$AL$119,29,FALSE),0)</f>
        <v>0</v>
      </c>
      <c r="E124" s="362">
        <f>IFERROR(VLOOKUP(C124,'تقرير المصروفات حسب الشهر'!$C$135:$AL$252,29,FALSE),0)</f>
        <v>0</v>
      </c>
      <c r="F124" s="362">
        <v>0</v>
      </c>
      <c r="G124" s="362">
        <f>IFERROR(VLOOKUP(C124,'تقرير المصروفات حسب الشهر'!C488:AH600,29,0),0)</f>
        <v>0</v>
      </c>
      <c r="H124" s="362">
        <f>IFERROR(VLOOKUP(C124,'تقرير المصروفات حسب الشهر'!$C$512:$AH$620,29,FALSE),0)</f>
        <v>0</v>
      </c>
      <c r="I124" s="362">
        <f>IFERROR(VLOOKUP(C124,'تقرير المصروفات حسب الشهر'!$C$637:$AI$750,29,FALSE),0)</f>
        <v>0</v>
      </c>
      <c r="J124" s="362">
        <f>IFERROR(VLOOKUP(C124,'تقرير المصروفات حسب الشهر'!$C$763:$AL$877,29,FALSE),0)</f>
        <v>0</v>
      </c>
      <c r="K124" s="362">
        <f>IFERROR(VLOOKUP(C124,'تقرير المصروفات حسب الشهر'!$C$890:$AI$1007,29,FALSE),0)</f>
        <v>0</v>
      </c>
      <c r="L124" s="362">
        <f>IFERROR(VLOOKUP(C124,'تقرير المصروفات حسب الشهر'!$C$1016:$AI$1131,29,FALSE),0)</f>
        <v>0</v>
      </c>
      <c r="M124" s="376">
        <f>IFERROR(VLOOKUP(C124,'تقرير المصروفات حسب الشهر'!$C$1143:$AI$1259,29,FALSE),0)</f>
        <v>0</v>
      </c>
      <c r="N124" s="376">
        <f>IFERROR(VLOOKUP(C124,'تقرير المصروفات حسب الشهر'!$C$1271:$AI$1385,29,FALSE),0)</f>
        <v>0</v>
      </c>
      <c r="O124" s="376">
        <f>IFERROR(VLOOKUP(C124,'تقرير المصروفات حسب الشهر'!$C$1397:$AI$1512,29,FALSE),0)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الشهر'!$C$10:$AL$119,29,FALSE),0)</f>
        <v>0</v>
      </c>
      <c r="E125" s="362">
        <f>IFERROR(VLOOKUP(C125,'تقرير المصروفات حسب الشهر'!$C$135:$AL$252,29,FALSE),0)</f>
        <v>0</v>
      </c>
      <c r="F125" s="362">
        <v>0</v>
      </c>
      <c r="G125" s="362">
        <f>IFERROR(VLOOKUP(C125,'تقرير المصروفات حسب الشهر'!C489:AH601,29,0),0)</f>
        <v>0</v>
      </c>
      <c r="H125" s="362">
        <f>IFERROR(VLOOKUP(C125,'تقرير المصروفات حسب الشهر'!$C$512:$AH$620,29,FALSE),0)</f>
        <v>0</v>
      </c>
      <c r="I125" s="362">
        <f>IFERROR(VLOOKUP(C125,'تقرير المصروفات حسب الشهر'!$C$637:$AI$750,29,FALSE),0)</f>
        <v>0</v>
      </c>
      <c r="J125" s="362">
        <f>IFERROR(VLOOKUP(C125,'تقرير المصروفات حسب الشهر'!$C$763:$AL$877,29,FALSE),0)</f>
        <v>0</v>
      </c>
      <c r="K125" s="362">
        <f>IFERROR(VLOOKUP(C125,'تقرير المصروفات حسب الشهر'!$C$890:$AI$1007,29,FALSE),0)</f>
        <v>0</v>
      </c>
      <c r="L125" s="362">
        <f>IFERROR(VLOOKUP(C125,'تقرير المصروفات حسب الشهر'!$C$1016:$AI$1131,29,FALSE),0)</f>
        <v>0</v>
      </c>
      <c r="M125" s="376">
        <f>IFERROR(VLOOKUP(C125,'تقرير المصروفات حسب الشهر'!$C$1143:$AI$1259,29,FALSE),0)</f>
        <v>0</v>
      </c>
      <c r="N125" s="376">
        <f>IFERROR(VLOOKUP(C125,'تقرير المصروفات حسب الشهر'!$C$1271:$AI$1385,29,FALSE),0)</f>
        <v>0</v>
      </c>
      <c r="O125" s="376">
        <f>IFERROR(VLOOKUP(C125,'تقرير المصروفات حسب الشهر'!$C$1397:$AI$1512,29,FALSE),0)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الشهر'!$C$10:$AL$119,29,FALSE),0)</f>
        <v>0</v>
      </c>
      <c r="E126" s="362">
        <f>IFERROR(VLOOKUP(C126,'تقرير المصروفات حسب الشهر'!$C$135:$AL$252,29,FALSE),0)</f>
        <v>0</v>
      </c>
      <c r="F126" s="362">
        <v>0</v>
      </c>
      <c r="G126" s="362">
        <f>IFERROR(VLOOKUP(C126,'تقرير المصروفات حسب الشهر'!C490:AH602,29,0),0)</f>
        <v>0</v>
      </c>
      <c r="H126" s="362">
        <f>IFERROR(VLOOKUP(C126,'تقرير المصروفات حسب الشهر'!$C$512:$AH$620,29,FALSE),0)</f>
        <v>0</v>
      </c>
      <c r="I126" s="362">
        <f>IFERROR(VLOOKUP(C126,'تقرير المصروفات حسب الشهر'!$C$637:$AI$750,29,FALSE),0)</f>
        <v>0</v>
      </c>
      <c r="J126" s="362">
        <f>IFERROR(VLOOKUP(C126,'تقرير المصروفات حسب الشهر'!$C$763:$AL$877,29,FALSE),0)</f>
        <v>0</v>
      </c>
      <c r="K126" s="362">
        <f>IFERROR(VLOOKUP(C126,'تقرير المصروفات حسب الشهر'!$C$890:$AI$1007,29,FALSE),0)</f>
        <v>0</v>
      </c>
      <c r="L126" s="362">
        <f>IFERROR(VLOOKUP(C126,'تقرير المصروفات حسب الشهر'!$C$1016:$AI$1131,29,FALSE),0)</f>
        <v>0</v>
      </c>
      <c r="M126" s="376">
        <f>IFERROR(VLOOKUP(C126,'تقرير المصروفات حسب الشهر'!$C$1143:$AI$1259,29,FALSE),0)</f>
        <v>0</v>
      </c>
      <c r="N126" s="376">
        <f>IFERROR(VLOOKUP(C126,'تقرير المصروفات حسب الشهر'!$C$1271:$AI$1385,29,FALSE),0)</f>
        <v>0</v>
      </c>
      <c r="O126" s="376">
        <f>IFERROR(VLOOKUP(C126,'تقرير المصروفات حسب الشهر'!$C$1397:$AI$1512,29,FALSE),0)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الشهر'!$C$10:$AL$119,29,FALSE),0)</f>
        <v>0</v>
      </c>
      <c r="E127" s="362">
        <f>IFERROR(VLOOKUP(C127,'تقرير المصروفات حسب الشهر'!$C$135:$AL$252,29,FALSE),0)</f>
        <v>0</v>
      </c>
      <c r="F127" s="362">
        <v>0</v>
      </c>
      <c r="G127" s="362">
        <f>IFERROR(VLOOKUP(C127,'تقرير المصروفات حسب الشهر'!C491:AH603,29,0),0)</f>
        <v>0</v>
      </c>
      <c r="H127" s="362">
        <f>IFERROR(VLOOKUP(C127,'تقرير المصروفات حسب الشهر'!$C$512:$AH$620,29,FALSE),0)</f>
        <v>0</v>
      </c>
      <c r="I127" s="362">
        <f>IFERROR(VLOOKUP(C127,'تقرير المصروفات حسب الشهر'!$C$637:$AI$750,29,FALSE),0)</f>
        <v>0</v>
      </c>
      <c r="J127" s="362">
        <f>IFERROR(VLOOKUP(C127,'تقرير المصروفات حسب الشهر'!$C$763:$AL$877,29,FALSE),0)</f>
        <v>0</v>
      </c>
      <c r="K127" s="362">
        <f>IFERROR(VLOOKUP(C127,'تقرير المصروفات حسب الشهر'!$C$890:$AI$1007,29,FALSE),0)</f>
        <v>0</v>
      </c>
      <c r="L127" s="362">
        <f>IFERROR(VLOOKUP(C127,'تقرير المصروفات حسب الشهر'!$C$1016:$AI$1131,29,FALSE),0)</f>
        <v>0</v>
      </c>
      <c r="M127" s="376">
        <f>IFERROR(VLOOKUP(C127,'تقرير المصروفات حسب الشهر'!$C$1143:$AI$1259,29,FALSE),0)</f>
        <v>0</v>
      </c>
      <c r="N127" s="376">
        <f>IFERROR(VLOOKUP(C127,'تقرير المصروفات حسب الشهر'!$C$1271:$AI$1385,29,FALSE),0)</f>
        <v>0</v>
      </c>
      <c r="O127" s="376">
        <f>IFERROR(VLOOKUP(C127,'تقرير المصروفات حسب الشهر'!$C$1397:$AI$1512,29,FALSE),0)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الشهر'!$C$10:$AL$119,29,FALSE),0)</f>
        <v>0</v>
      </c>
      <c r="E128" s="362">
        <f>IFERROR(VLOOKUP(C128,'تقرير المصروفات حسب الشهر'!$C$135:$AL$252,29,FALSE),0)</f>
        <v>0</v>
      </c>
      <c r="F128" s="362">
        <v>0</v>
      </c>
      <c r="G128" s="362">
        <f>IFERROR(VLOOKUP(C128,'تقرير المصروفات حسب الشهر'!C492:AH604,29,0),0)</f>
        <v>0</v>
      </c>
      <c r="H128" s="362">
        <f>IFERROR(VLOOKUP(C128,'تقرير المصروفات حسب الشهر'!$C$512:$AH$620,29,FALSE),0)</f>
        <v>0</v>
      </c>
      <c r="I128" s="362">
        <f>IFERROR(VLOOKUP(C128,'تقرير المصروفات حسب الشهر'!$C$637:$AI$750,29,FALSE),0)</f>
        <v>0</v>
      </c>
      <c r="J128" s="362">
        <f>IFERROR(VLOOKUP(C128,'تقرير المصروفات حسب الشهر'!$C$763:$AL$877,29,FALSE),0)</f>
        <v>0</v>
      </c>
      <c r="K128" s="362">
        <f>IFERROR(VLOOKUP(C128,'تقرير المصروفات حسب الشهر'!$C$890:$AI$1007,29,FALSE),0)</f>
        <v>0</v>
      </c>
      <c r="L128" s="362">
        <f>IFERROR(VLOOKUP(C128,'تقرير المصروفات حسب الشهر'!$C$1016:$AI$1131,29,FALSE),0)</f>
        <v>0</v>
      </c>
      <c r="M128" s="376">
        <f>IFERROR(VLOOKUP(C128,'تقرير المصروفات حسب الشهر'!$C$1143:$AI$1259,29,FALSE),0)</f>
        <v>0</v>
      </c>
      <c r="N128" s="376">
        <f>IFERROR(VLOOKUP(C128,'تقرير المصروفات حسب الشهر'!$C$1271:$AI$1385,29,FALSE),0)</f>
        <v>0</v>
      </c>
      <c r="O128" s="376">
        <f>IFERROR(VLOOKUP(C128,'تقرير المصروفات حسب الشهر'!$C$1397:$AI$1512,29,FALSE),0)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الشهر'!$C$10:$AL$119,29,FALSE),0)</f>
        <v>431.25</v>
      </c>
      <c r="E129" s="362">
        <f>IFERROR(VLOOKUP(C129,'تقرير المصروفات حسب الشهر'!$C$135:$AL$252,29,FALSE),0)</f>
        <v>431.25</v>
      </c>
      <c r="F129" s="362">
        <v>431.25</v>
      </c>
      <c r="G129" s="362">
        <f>IFERROR(VLOOKUP(C129,'تقرير المصروفات حسب الشهر'!C493:AH605,29,0),0)</f>
        <v>431.25</v>
      </c>
      <c r="H129" s="362">
        <f>IFERROR(VLOOKUP(C129,'تقرير المصروفات حسب الشهر'!$C$512:$AH$620,29,FALSE),0)</f>
        <v>431.25</v>
      </c>
      <c r="I129" s="362">
        <f>IFERROR(VLOOKUP(C129,'تقرير المصروفات حسب الشهر'!$C$637:$AI$750,29,FALSE),0)</f>
        <v>431</v>
      </c>
      <c r="J129" s="362">
        <f>IFERROR(VLOOKUP(C129,'تقرير المصروفات حسب الشهر'!$C$763:$AL$877,29,FALSE),0)</f>
        <v>431.25</v>
      </c>
      <c r="K129" s="362">
        <f>IFERROR(VLOOKUP(C129,'تقرير المصروفات حسب الشهر'!$C$890:$AI$1007,29,FALSE),0)</f>
        <v>431.25</v>
      </c>
      <c r="L129" s="362">
        <f>IFERROR(VLOOKUP(C129,'تقرير المصروفات حسب الشهر'!$C$1016:$AI$1131,29,FALSE),0)</f>
        <v>431.25</v>
      </c>
      <c r="M129" s="376">
        <f>IFERROR(VLOOKUP(C129,'تقرير المصروفات حسب الشهر'!$C$1143:$AI$1259,29,FALSE),0)</f>
        <v>431.25</v>
      </c>
      <c r="N129" s="376">
        <f>IFERROR(VLOOKUP(C129,'تقرير المصروفات حسب الشهر'!$C$1271:$AI$1385,29,FALSE),0)</f>
        <v>431.25</v>
      </c>
      <c r="O129" s="376">
        <f>IFERROR(VLOOKUP(C129,'تقرير المصروفات حسب الشهر'!$C$1397:$AI$1512,29,FALSE),0)</f>
        <v>431.25</v>
      </c>
      <c r="P129" s="364">
        <f t="shared" si="6"/>
        <v>5174.75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الشهر'!$C$10:$AL$119,29,FALSE),0)</f>
        <v>0</v>
      </c>
      <c r="E130" s="362">
        <f>IFERROR(VLOOKUP(C130,'تقرير المصروفات حسب الشهر'!$C$135:$AL$252,29,FALSE),0)</f>
        <v>0</v>
      </c>
      <c r="F130" s="362">
        <v>0</v>
      </c>
      <c r="G130" s="362">
        <f>IFERROR(VLOOKUP(C130,'تقرير المصروفات حسب الشهر'!C494:AH606,29,0),0)</f>
        <v>0</v>
      </c>
      <c r="H130" s="362">
        <f>IFERROR(VLOOKUP(C130,'تقرير المصروفات حسب الشهر'!$C$512:$AH$620,29,FALSE),0)</f>
        <v>0</v>
      </c>
      <c r="I130" s="362">
        <f>IFERROR(VLOOKUP(C130,'تقرير المصروفات حسب الشهر'!$C$637:$AI$750,29,FALSE),0)</f>
        <v>0</v>
      </c>
      <c r="J130" s="362">
        <f>IFERROR(VLOOKUP(C130,'تقرير المصروفات حسب الشهر'!$C$763:$AL$877,29,FALSE),0)</f>
        <v>0</v>
      </c>
      <c r="K130" s="362">
        <f>IFERROR(VLOOKUP(C130,'تقرير المصروفات حسب الشهر'!$C$890:$AI$1007,29,FALSE),0)</f>
        <v>0</v>
      </c>
      <c r="L130" s="362">
        <f>IFERROR(VLOOKUP(C130,'تقرير المصروفات حسب الشهر'!$C$1016:$AI$1131,29,FALSE),0)</f>
        <v>0</v>
      </c>
      <c r="M130" s="376">
        <f>IFERROR(VLOOKUP(C130,'تقرير المصروفات حسب الشهر'!$C$1143:$AI$1259,29,FALSE),0)</f>
        <v>0</v>
      </c>
      <c r="N130" s="376">
        <f>IFERROR(VLOOKUP(C130,'تقرير المصروفات حسب الشهر'!$C$1271:$AI$1385,29,FALSE),0)</f>
        <v>0</v>
      </c>
      <c r="O130" s="376">
        <f>IFERROR(VLOOKUP(C130,'تقرير المصروفات حسب الشهر'!$C$1397:$AI$1512,29,FALSE),0)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الشهر'!$C$10:$AL$119,29,FALSE),0)</f>
        <v>0</v>
      </c>
      <c r="E131" s="362">
        <f>IFERROR(VLOOKUP(C131,'تقرير المصروفات حسب الشهر'!$C$135:$AL$252,29,FALSE),0)</f>
        <v>0</v>
      </c>
      <c r="F131" s="362">
        <v>0</v>
      </c>
      <c r="G131" s="362">
        <f>IFERROR(VLOOKUP(C131,'تقرير المصروفات حسب الشهر'!C495:AH607,29,0),0)</f>
        <v>0</v>
      </c>
      <c r="H131" s="362">
        <f>IFERROR(VLOOKUP(C131,'تقرير المصروفات حسب الشهر'!$C$512:$AH$620,29,FALSE),0)</f>
        <v>0</v>
      </c>
      <c r="I131" s="362">
        <f>IFERROR(VLOOKUP(C131,'تقرير المصروفات حسب الشهر'!$C$637:$AI$750,29,FALSE),0)</f>
        <v>0</v>
      </c>
      <c r="J131" s="362">
        <f>IFERROR(VLOOKUP(C131,'تقرير المصروفات حسب الشهر'!$C$763:$AL$877,29,FALSE),0)</f>
        <v>0</v>
      </c>
      <c r="K131" s="362">
        <f>IFERROR(VLOOKUP(C131,'تقرير المصروفات حسب الشهر'!$C$890:$AI$1007,29,FALSE),0)</f>
        <v>0</v>
      </c>
      <c r="L131" s="362">
        <f>IFERROR(VLOOKUP(C131,'تقرير المصروفات حسب الشهر'!$C$1016:$AI$1131,29,FALSE),0)</f>
        <v>0</v>
      </c>
      <c r="M131" s="376">
        <f>IFERROR(VLOOKUP(C131,'تقرير المصروفات حسب الشهر'!$C$1143:$AI$1259,29,FALSE),0)</f>
        <v>0</v>
      </c>
      <c r="N131" s="376">
        <f>IFERROR(VLOOKUP(C131,'تقرير المصروفات حسب الشهر'!$C$1271:$AI$1385,29,FALSE),0)</f>
        <v>0</v>
      </c>
      <c r="O131" s="376">
        <f>IFERROR(VLOOKUP(C131,'تقرير المصروفات حسب الشهر'!$C$1397:$AI$1512,29,FALSE),0)</f>
        <v>0</v>
      </c>
      <c r="P131" s="364">
        <f t="shared" si="6"/>
        <v>0</v>
      </c>
    </row>
    <row r="132" spans="1:17" ht="18" customHeight="1">
      <c r="B132" s="124"/>
      <c r="C132" s="341" t="s">
        <v>360</v>
      </c>
      <c r="D132" s="362">
        <f>IFERROR(VLOOKUP(C132,'تقرير المصروفات حسب الشهر'!$C$10:$AL$124,29,FALSE),0)</f>
        <v>48640.43</v>
      </c>
      <c r="E132" s="362">
        <f>IFERROR(VLOOKUP(C132,'تقرير المصروفات حسب الشهر'!$C$135:$AL$252,29,FALSE),0)</f>
        <v>162681.54</v>
      </c>
      <c r="F132" s="362">
        <v>215298.46000000002</v>
      </c>
      <c r="G132" s="362">
        <f>IFERROR(VLOOKUP(C132,'تقرير المصروفات حسب الشهر'!C496:AH608,29,0),0)</f>
        <v>398274.36</v>
      </c>
      <c r="H132" s="362">
        <f>IFERROR(VLOOKUP(C132,'تقرير المصروفات حسب الشهر'!$C$512:$AH$622,29,FALSE),0)</f>
        <v>293468.21000000002</v>
      </c>
      <c r="I132" s="362">
        <f>IFERROR(VLOOKUP(C132,'تقرير المصروفات حسب الشهر'!$C$637:$AI$750,29,FALSE),0)</f>
        <v>338412.45</v>
      </c>
      <c r="J132" s="362">
        <f>IFERROR(VLOOKUP(C132,'تقرير المصروفات حسب الشهر'!$C$763:$AL$877,29,FALSE),0)</f>
        <v>222669.11</v>
      </c>
      <c r="K132" s="362">
        <f>IFERROR(VLOOKUP(C132,'تقرير المصروفات حسب الشهر'!$C$890:$AI$1007,29,FALSE),0)</f>
        <v>270073.89</v>
      </c>
      <c r="L132" s="362">
        <f>IFERROR(VLOOKUP(C132,'تقرير المصروفات حسب الشهر'!$C$1016:$AI$1131,29,FALSE),0)</f>
        <v>338431.84</v>
      </c>
      <c r="M132" s="376">
        <f>IFERROR(VLOOKUP(C132,'تقرير المصروفات حسب الشهر'!$C$1143:$AI$1259,29,FALSE),0)</f>
        <v>355391.64</v>
      </c>
      <c r="N132" s="376">
        <f>IFERROR(VLOOKUP(C132,'تقرير المصروفات حسب الشهر'!$C$1271:$AI$1385,29,FALSE),0)</f>
        <v>365366.48</v>
      </c>
      <c r="O132" s="376">
        <f>IFERROR(VLOOKUP(C132,'تقرير المصروفات حسب الشهر'!$C$1397:$AI$1512,29,FALSE),0)</f>
        <v>371197.95</v>
      </c>
      <c r="P132" s="364">
        <f>SUM(D132:O132)</f>
        <v>3379906.3600000003</v>
      </c>
    </row>
    <row r="133" spans="1:17" ht="18" customHeight="1">
      <c r="B133" s="124"/>
      <c r="C133" s="516" t="s">
        <v>392</v>
      </c>
      <c r="D133" s="499"/>
      <c r="E133" s="499"/>
      <c r="F133" s="499"/>
      <c r="G133" s="499"/>
      <c r="H133" s="499"/>
      <c r="I133" s="499"/>
      <c r="J133" s="362">
        <f>IFERROR(VLOOKUP(C133,'تقرير المصروفات حسب الشهر'!$C$763:$AL$877,29,FALSE),0)</f>
        <v>49139.47</v>
      </c>
      <c r="K133" s="362">
        <f>IFERROR(VLOOKUP(C133,'تقرير المصروفات حسب الشهر'!$C$890:$AI$1007,29,FALSE),0)</f>
        <v>82431.47</v>
      </c>
      <c r="L133" s="362">
        <f>IFERROR(VLOOKUP(C133,'تقرير المصروفات حسب الشهر'!$C$1016:$AI$1131,29,FALSE),0)</f>
        <v>150502.84</v>
      </c>
      <c r="M133" s="376">
        <f>IFERROR(VLOOKUP(C133,'تقرير المصروفات حسب الشهر'!$C$1143:$AI$1259,29,FALSE),0)</f>
        <v>125825.71</v>
      </c>
      <c r="N133" s="376">
        <f>IFERROR(VLOOKUP(C133,'تقرير المصروفات حسب الشهر'!$C$1271:$AI$1385,29,FALSE),0)</f>
        <v>53831.82</v>
      </c>
      <c r="O133" s="376">
        <f>IFERROR(VLOOKUP(C133,'تقرير المصروفات حسب الشهر'!$C$1397:$AI$1512,29,FALSE),0)</f>
        <v>91862.790000000008</v>
      </c>
      <c r="P133" s="436"/>
    </row>
    <row r="134" spans="1:17" ht="18" customHeight="1">
      <c r="B134" s="124"/>
      <c r="C134" s="149" t="s">
        <v>270</v>
      </c>
      <c r="D134" s="146">
        <f t="shared" ref="D134:I134" si="7">SUM(D22:D132)</f>
        <v>366211.54</v>
      </c>
      <c r="E134" s="146">
        <f t="shared" si="7"/>
        <v>536175.47</v>
      </c>
      <c r="F134" s="146">
        <f t="shared" si="7"/>
        <v>633254.75</v>
      </c>
      <c r="G134" s="146">
        <f t="shared" si="7"/>
        <v>792924.48</v>
      </c>
      <c r="H134" s="146">
        <f t="shared" si="7"/>
        <v>645981.37</v>
      </c>
      <c r="I134" s="146">
        <f t="shared" si="7"/>
        <v>730249.91999999993</v>
      </c>
      <c r="J134" s="146">
        <f t="shared" ref="J134:O134" si="8">SUM(J22:J133)</f>
        <v>686974.74</v>
      </c>
      <c r="K134" s="146">
        <f t="shared" si="8"/>
        <v>747768.19000000006</v>
      </c>
      <c r="L134" s="146">
        <f t="shared" si="8"/>
        <v>900848.34</v>
      </c>
      <c r="M134" s="146">
        <f t="shared" si="8"/>
        <v>1021013.1299999999</v>
      </c>
      <c r="N134" s="146">
        <f t="shared" si="8"/>
        <v>902320.33</v>
      </c>
      <c r="O134" s="146">
        <f t="shared" si="8"/>
        <v>1065142.1500000001</v>
      </c>
      <c r="P134" s="388">
        <f t="shared" si="6"/>
        <v>9028864.4100000001</v>
      </c>
    </row>
    <row r="135" spans="1:17" ht="18" customHeight="1">
      <c r="B135" s="124"/>
      <c r="C135" s="134"/>
      <c r="D135" s="135"/>
      <c r="E135" s="135"/>
      <c r="F135" s="135"/>
      <c r="G135" s="462">
        <f>G134/G8</f>
        <v>0.34438974288644314</v>
      </c>
      <c r="H135" s="135"/>
      <c r="I135" s="135"/>
      <c r="J135" s="135"/>
      <c r="K135" s="135"/>
      <c r="L135" s="135"/>
      <c r="M135" s="135"/>
      <c r="N135" s="135"/>
      <c r="O135" s="135"/>
      <c r="P135" s="128"/>
    </row>
    <row r="136" spans="1:17" ht="24.75" customHeight="1">
      <c r="B136" s="124"/>
      <c r="C136" s="148" t="s">
        <v>14</v>
      </c>
      <c r="D136" s="392">
        <f t="shared" ref="D136:O136" si="9">D19</f>
        <v>379742.67000000016</v>
      </c>
      <c r="E136" s="392">
        <f t="shared" si="9"/>
        <v>456335.24</v>
      </c>
      <c r="F136" s="392">
        <f t="shared" si="9"/>
        <v>647064.91999999993</v>
      </c>
      <c r="G136" s="392">
        <f t="shared" si="9"/>
        <v>525234.17999999993</v>
      </c>
      <c r="H136" s="392">
        <f t="shared" si="9"/>
        <v>476723.04</v>
      </c>
      <c r="I136" s="392">
        <f t="shared" si="9"/>
        <v>522625.91999999993</v>
      </c>
      <c r="J136" s="392">
        <f t="shared" si="9"/>
        <v>649388.79000000015</v>
      </c>
      <c r="K136" s="392">
        <f t="shared" si="9"/>
        <v>754278.9299999997</v>
      </c>
      <c r="L136" s="392">
        <f t="shared" si="9"/>
        <v>740729.60999999987</v>
      </c>
      <c r="M136" s="392">
        <f t="shared" si="9"/>
        <v>900432.9299999997</v>
      </c>
      <c r="N136" s="392">
        <f t="shared" si="9"/>
        <v>842490.1100000001</v>
      </c>
      <c r="O136" s="392">
        <f t="shared" si="9"/>
        <v>850846.90000000014</v>
      </c>
      <c r="P136" s="388">
        <f t="shared" si="6"/>
        <v>7745893.2399999993</v>
      </c>
    </row>
    <row r="137" spans="1:17" ht="10.95" customHeight="1">
      <c r="B137" s="124"/>
      <c r="C137" s="136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28"/>
    </row>
    <row r="138" spans="1:17" ht="18" customHeight="1">
      <c r="B138" s="124"/>
      <c r="C138" s="136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28"/>
    </row>
    <row r="139" spans="1:17" s="139" customFormat="1" ht="22.5" customHeight="1">
      <c r="A139" s="113"/>
      <c r="B139" s="138"/>
      <c r="C139" s="147" t="s">
        <v>271</v>
      </c>
      <c r="D139" s="383">
        <f>D136-D134</f>
        <v>13531.130000000179</v>
      </c>
      <c r="E139" s="383">
        <f t="shared" ref="E139:O139" si="10">E136-E134</f>
        <v>-79840.229999999981</v>
      </c>
      <c r="F139" s="383">
        <f t="shared" si="10"/>
        <v>13810.169999999925</v>
      </c>
      <c r="G139" s="383">
        <f t="shared" si="10"/>
        <v>-267690.30000000005</v>
      </c>
      <c r="H139" s="383">
        <f t="shared" si="10"/>
        <v>-169258.33000000002</v>
      </c>
      <c r="I139" s="383">
        <f t="shared" si="10"/>
        <v>-207624</v>
      </c>
      <c r="J139" s="383">
        <f t="shared" si="10"/>
        <v>-37585.949999999837</v>
      </c>
      <c r="K139" s="383">
        <f t="shared" si="10"/>
        <v>6510.7399999996414</v>
      </c>
      <c r="L139" s="383">
        <f t="shared" si="10"/>
        <v>-160118.7300000001</v>
      </c>
      <c r="M139" s="383">
        <f t="shared" si="10"/>
        <v>-120580.20000000019</v>
      </c>
      <c r="N139" s="383">
        <f t="shared" si="10"/>
        <v>-59830.219999999856</v>
      </c>
      <c r="O139" s="383">
        <f t="shared" si="10"/>
        <v>-214295.25</v>
      </c>
      <c r="P139" s="387">
        <f>SUM(D139:O139)</f>
        <v>-1282971.1700000004</v>
      </c>
      <c r="Q139" s="113"/>
    </row>
    <row r="140" spans="1:17" ht="7.5" customHeight="1">
      <c r="B140" s="140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28"/>
    </row>
    <row r="141" spans="1:17" ht="7.35" customHeight="1">
      <c r="B141" s="12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22"/>
    </row>
    <row r="142" spans="1:17" s="112" customFormat="1" ht="23.1" customHeight="1">
      <c r="A142" s="113"/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4"/>
      <c r="P142" s="144"/>
      <c r="Q142" s="145"/>
    </row>
    <row r="143" spans="1:17">
      <c r="J143" s="233">
        <f>-37585.89-J139</f>
        <v>5.9999999837600626E-2</v>
      </c>
      <c r="K143" s="523">
        <f>6510.74-K139</f>
        <v>3.5834091249853373E-10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0D8F-75BF-47E6-9AD2-334FD501CABC}">
  <sheetPr>
    <tabColor rgb="FFFFC000"/>
  </sheetPr>
  <dimension ref="A1:T141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1" width="13" style="113" customWidth="1"/>
    <col min="12" max="12" width="10.6640625" style="113" customWidth="1"/>
    <col min="13" max="13" width="18.109375" style="113" customWidth="1"/>
    <col min="14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366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362</v>
      </c>
      <c r="B8" s="390"/>
      <c r="C8" s="369" t="s">
        <v>114</v>
      </c>
      <c r="D8" s="364">
        <f>IFERROR(D9+D10+D11,0)</f>
        <v>129041.34</v>
      </c>
      <c r="E8" s="364">
        <f>IFERROR(E9+E10+E11,0)</f>
        <v>396714.6</v>
      </c>
      <c r="F8" s="364">
        <f>IFERROR(F9+F10+F11,0)</f>
        <v>318347.92</v>
      </c>
      <c r="G8" s="364">
        <f>IFERROR(G9+G10+G11,0)</f>
        <v>437570.67000000004</v>
      </c>
      <c r="H8" s="364">
        <f t="shared" ref="H8:O8" si="0">H9+H10+H11</f>
        <v>674791.57000000007</v>
      </c>
      <c r="I8" s="364">
        <f t="shared" si="0"/>
        <v>629327.98</v>
      </c>
      <c r="J8" s="364">
        <f t="shared" si="0"/>
        <v>533666.67999999993</v>
      </c>
      <c r="K8" s="364">
        <f t="shared" si="0"/>
        <v>619791.88</v>
      </c>
      <c r="L8" s="364">
        <f t="shared" si="0"/>
        <v>609308.47</v>
      </c>
      <c r="M8" s="364">
        <f t="shared" si="0"/>
        <v>628851.09</v>
      </c>
      <c r="N8" s="364">
        <f>N9+N10+N11</f>
        <v>658301.06000000006</v>
      </c>
      <c r="O8" s="364">
        <f t="shared" si="0"/>
        <v>1059002.06</v>
      </c>
      <c r="P8" s="364">
        <f>SUM(D8:O8)</f>
        <v>6694715.3200000003</v>
      </c>
    </row>
    <row r="9" spans="1:20" ht="18" customHeight="1">
      <c r="B9" s="124"/>
      <c r="C9" s="370" t="s">
        <v>115</v>
      </c>
      <c r="D9" s="365">
        <f>IFERROR(VLOOKUP($A$8,'تقرير إحصائية بحجم المبيعات'!$B$7:$L$38,2,FALSE),0)</f>
        <v>3502.940000000006</v>
      </c>
      <c r="E9" s="365">
        <f>IFERROR(VLOOKUP($A$8,'تقرير إحصائية بحجم المبيعات'!$B$42:$G$73,2,FALSE),0)</f>
        <v>37936.899999999965</v>
      </c>
      <c r="F9" s="365">
        <v>24456.839999999967</v>
      </c>
      <c r="G9" s="365">
        <f>IFERROR(VLOOKUP($A$8,'تقرير إحصائية بحجم المبيعات'!$B$112:$L$145,2,FALSE),0)</f>
        <v>48207.76999999999</v>
      </c>
      <c r="H9" s="365">
        <f>VLOOKUP($A$8,'تقرير إحصائية بحجم المبيعات'!$B$147:$G$177,2,FALSE)</f>
        <v>119763.18000000005</v>
      </c>
      <c r="I9" s="365">
        <f>VLOOKUP($A$8,'تقرير إحصائية بحجم المبيعات'!$B$182:$G$212,2,FALSE)</f>
        <v>97142.599999999977</v>
      </c>
      <c r="J9" s="365">
        <f>VLOOKUP($A$8,'تقرير إحصائية بحجم المبيعات'!$B$217:$L$245,2,FALSE)</f>
        <v>72147.079999999958</v>
      </c>
      <c r="K9" s="365">
        <f>VLOOKUP($A$8,'تقرير إحصائية بحجم المبيعات'!$B$252:$L$290,2,FALSE)</f>
        <v>94078.219999999972</v>
      </c>
      <c r="L9" s="365">
        <f>VLOOKUP($A$8,'تقرير إحصائية بحجم المبيعات'!$B$287:$L$334,2,FALSE)</f>
        <v>97083.139999999956</v>
      </c>
      <c r="M9" s="365">
        <f>VLOOKUP($A$8,'تقرير إحصائية بحجم المبيعات'!$B$322:$L$347,2,FALSE)</f>
        <v>83263.929999999935</v>
      </c>
      <c r="N9" s="365">
        <f>VLOOKUP($A$8,'تقرير إحصائية بحجم المبيعات'!$B$357:$L$386,2,FALSE)</f>
        <v>111824.39000000006</v>
      </c>
      <c r="O9" s="365">
        <f>VLOOKUP($A$8,'تقرير إحصائية بحجم المبيعات'!$B$391:$L$420,2,FALSE)</f>
        <v>107883.99000000011</v>
      </c>
      <c r="P9" s="364">
        <f t="shared" ref="P9:P18" si="1">SUM(D9:O9)</f>
        <v>897290.98</v>
      </c>
    </row>
    <row r="10" spans="1:20" ht="18" customHeight="1">
      <c r="B10" s="124"/>
      <c r="C10" s="370" t="s">
        <v>21</v>
      </c>
      <c r="D10" s="365">
        <f>IFERROR(VLOOKUP($A$8,'تقرير إحصائية بحجم المبيعات'!$B$7:$L$38,3,FALSE),0)</f>
        <v>0</v>
      </c>
      <c r="E10" s="365">
        <f>IFERROR(VLOOKUP($A$8,'تقرير إحصائية بحجم المبيعات'!$B$42:$G$73,3,FALSE),0)</f>
        <v>0</v>
      </c>
      <c r="F10" s="365">
        <v>0</v>
      </c>
      <c r="G10" s="365">
        <f>IFERROR(VLOOKUP($A$8,'تقرير إحصائية بحجم المبيعات'!$B$112:$G$145,3,FALSE),0)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المبيعات'!$B$217:$L$245,3,FALSE)</f>
        <v>0</v>
      </c>
      <c r="K10" s="365">
        <f>VLOOKUP($A$8,'تقرير إحصائية بحجم المبيعات'!$B$252:$L$290,3,FALSE)</f>
        <v>0</v>
      </c>
      <c r="L10" s="365">
        <f>VLOOKUP($A$8,'تقرير إحصائية بحجم المبيعات'!$B$287:$L$334,3,FALSE)</f>
        <v>0</v>
      </c>
      <c r="M10" s="365">
        <f>VLOOKUP($A$8,'تقرير إحصائية بحجم المبيعات'!$B$322:$L$347,3,FALSE)</f>
        <v>0</v>
      </c>
      <c r="N10" s="365">
        <f>VLOOKUP($A$8,'تقرير إحصائية بحجم المبيعات'!$B$357:$L$386,3,FALSE)</f>
        <v>0</v>
      </c>
      <c r="O10" s="365">
        <f>VLOOKUP($A$8,'تقرير إحصائية بحجم المبيعات'!$B$391:$L$420,3,FALSE)</f>
        <v>0</v>
      </c>
      <c r="P10" s="364">
        <f t="shared" si="1"/>
        <v>0</v>
      </c>
    </row>
    <row r="11" spans="1:20" ht="18" customHeight="1">
      <c r="B11" s="124"/>
      <c r="C11" s="370" t="s">
        <v>116</v>
      </c>
      <c r="D11" s="365">
        <f>IFERROR(VLOOKUP($A$8,'تقرير إحصائية بحجم المبيعات'!$B$7:$L$38,4,FALSE),0)</f>
        <v>125538.4</v>
      </c>
      <c r="E11" s="365">
        <f>IFERROR(VLOOKUP($A$8,'تقرير إحصائية بحجم المبيعات'!$B$42:$G$73,4,FALSE),0)</f>
        <v>358777.7</v>
      </c>
      <c r="F11" s="365">
        <v>293891.08</v>
      </c>
      <c r="G11" s="365">
        <f>IFERROR(VLOOKUP($A$8,'تقرير إحصائية بحجم المبيعات'!$B$112:$G$145,4,FALSE),0)</f>
        <v>389362.9</v>
      </c>
      <c r="H11" s="365">
        <f>VLOOKUP($A$8,'تقرير إحصائية بحجم المبيعات'!$B$147:$G$177,4,FALSE)</f>
        <v>555028.39</v>
      </c>
      <c r="I11" s="365">
        <f>VLOOKUP($A$8,'تقرير إحصائية بحجم المبيعات'!$B$182:$G$212,4,FALSE)</f>
        <v>532185.38</v>
      </c>
      <c r="J11" s="365">
        <f>VLOOKUP($A$8,'تقرير إحصائية بحجم المبيعات'!$B$217:$L$245,4,FALSE)</f>
        <v>461519.6</v>
      </c>
      <c r="K11" s="365">
        <f>VLOOKUP($A$8,'تقرير إحصائية بحجم المبيعات'!$B$252:$L$290,4,FALSE)</f>
        <v>525713.66</v>
      </c>
      <c r="L11" s="365">
        <f>VLOOKUP($A$8,'تقرير إحصائية بحجم المبيعات'!$B$287:$L$334,4,FALSE)</f>
        <v>512225.33</v>
      </c>
      <c r="M11" s="365">
        <f>VLOOKUP($A$8,'تقرير إحصائية بحجم المبيعات'!$B$322:$L$347,4,FALSE)</f>
        <v>545587.16</v>
      </c>
      <c r="N11" s="365">
        <f>VLOOKUP($A$8,'تقرير إحصائية بحجم المبيعات'!$B$357:$L$386,4,FALSE)</f>
        <v>546476.67000000004</v>
      </c>
      <c r="O11" s="365">
        <f>VLOOKUP($A$8,'تقرير إحصائية بحجم المبيعات'!$B$391:$L$420,4,FALSE)</f>
        <v>951118.07</v>
      </c>
      <c r="P11" s="364">
        <f t="shared" si="1"/>
        <v>5797424.3400000008</v>
      </c>
    </row>
    <row r="12" spans="1:20" ht="18" customHeight="1">
      <c r="B12" s="124"/>
      <c r="C12" s="369" t="s">
        <v>120</v>
      </c>
      <c r="D12" s="364">
        <f>IFERROR(VLOOKUP($A$8,'تقرير إحصائية بحجم المبيعات'!$B$7:$L$38,11,FALSE),0)</f>
        <v>105495.96</v>
      </c>
      <c r="E12" s="364">
        <f>IFERROR(VLOOKUP($A$8,'تقرير إحصائية بحجم المبيعات'!$B$42:$L$73,11,FALSE),0)</f>
        <v>338948.78</v>
      </c>
      <c r="F12" s="364">
        <v>275586.96000000002</v>
      </c>
      <c r="G12" s="364">
        <f>IFERROR(VLOOKUP($A$8,'تقرير إحصائية بحجم المبيعات'!$B$112:$L$145,11,FALSE),0)</f>
        <v>377434.47</v>
      </c>
      <c r="H12" s="364">
        <f>VLOOKUP($A$8,'تقرير إحصائية بحجم المبيعات'!$B$147:$L$177,11,FALSE)</f>
        <v>513920.99</v>
      </c>
      <c r="I12" s="364">
        <f>VLOOKUP($A$8,'تقرير إحصائية بحجم المبيعات'!$B$182:$L$212,11,FALSE)</f>
        <v>523148.23</v>
      </c>
      <c r="J12" s="365">
        <f>VLOOKUP($A$8,'تقرير إحصائية بحجم المبيعات'!$B$217:$L$245,11,FALSE)</f>
        <v>426133.3</v>
      </c>
      <c r="K12" s="364">
        <f>VLOOKUP($A$8,'تقرير إحصائية بحجم المبيعات'!$B$252:$L$290,11,FALSE)</f>
        <v>503069.35</v>
      </c>
      <c r="L12" s="364">
        <f>VLOOKUP($A$8,'تقرير إحصائية بحجم المبيعات'!$B$287:$L$334,11,FALSE)</f>
        <v>492562.17</v>
      </c>
      <c r="M12" s="365">
        <f>VLOOKUP($A$8,'تقرير إحصائية بحجم المبيعات'!$B$322:$L$347,11,FALSE)</f>
        <v>509805.33</v>
      </c>
      <c r="N12" s="365">
        <f>VLOOKUP($A$8,'تقرير إحصائية بحجم المبيعات'!$B$357:$L$386,11,FALSE)</f>
        <v>537113.57999999996</v>
      </c>
      <c r="O12" s="365">
        <f>VLOOKUP($A$8,'تقرير إحصائية بحجم المبيعات'!$B$391:$L$420,11,FALSE)</f>
        <v>641455.21</v>
      </c>
      <c r="P12" s="364">
        <f t="shared" si="1"/>
        <v>5244674.3299999991</v>
      </c>
    </row>
    <row r="13" spans="1:20" ht="18" customHeight="1">
      <c r="B13" s="124"/>
      <c r="C13" s="371" t="s">
        <v>14</v>
      </c>
      <c r="D13" s="366">
        <f t="shared" ref="D13:O13" si="2">D8-D12</f>
        <v>23545.37999999999</v>
      </c>
      <c r="E13" s="366">
        <f t="shared" si="2"/>
        <v>57765.819999999949</v>
      </c>
      <c r="F13" s="366">
        <f t="shared" si="2"/>
        <v>42760.959999999963</v>
      </c>
      <c r="G13" s="366">
        <f t="shared" si="2"/>
        <v>60136.20000000007</v>
      </c>
      <c r="H13" s="366">
        <f t="shared" si="2"/>
        <v>160870.58000000007</v>
      </c>
      <c r="I13" s="366">
        <f t="shared" si="2"/>
        <v>106179.75</v>
      </c>
      <c r="J13" s="366">
        <f t="shared" si="2"/>
        <v>107533.37999999995</v>
      </c>
      <c r="K13" s="366">
        <f t="shared" si="2"/>
        <v>116722.53000000003</v>
      </c>
      <c r="L13" s="366">
        <f t="shared" si="2"/>
        <v>116746.29999999999</v>
      </c>
      <c r="M13" s="366">
        <f t="shared" si="2"/>
        <v>119045.75999999995</v>
      </c>
      <c r="N13" s="366">
        <f>N8-N12</f>
        <v>121187.4800000001</v>
      </c>
      <c r="O13" s="366">
        <f t="shared" si="2"/>
        <v>417546.85000000009</v>
      </c>
      <c r="P13" s="366">
        <f t="shared" si="1"/>
        <v>1450040.9900000002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>
        <v>3.51</v>
      </c>
      <c r="G16" s="367">
        <v>14705.970000000001</v>
      </c>
      <c r="H16" s="367">
        <v>52.939999999999912</v>
      </c>
      <c r="I16" s="367">
        <v>2.8</v>
      </c>
      <c r="J16" s="367"/>
      <c r="K16" s="367">
        <v>3526.3500000000054</v>
      </c>
      <c r="L16" s="367">
        <v>0.24</v>
      </c>
      <c r="M16" s="367"/>
      <c r="N16" s="367">
        <v>21268.330000000009</v>
      </c>
      <c r="O16" s="367">
        <v>0.6</v>
      </c>
      <c r="P16" s="364">
        <f t="shared" si="1"/>
        <v>39560.740000000013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3.51</v>
      </c>
      <c r="G18" s="363">
        <f t="shared" si="3"/>
        <v>14705.970000000001</v>
      </c>
      <c r="H18" s="363">
        <f t="shared" si="3"/>
        <v>52.939999999999912</v>
      </c>
      <c r="I18" s="363">
        <f t="shared" si="3"/>
        <v>2.8</v>
      </c>
      <c r="J18" s="363">
        <f t="shared" si="3"/>
        <v>0</v>
      </c>
      <c r="K18" s="363">
        <f t="shared" si="3"/>
        <v>3526.3500000000054</v>
      </c>
      <c r="L18" s="363">
        <f t="shared" si="3"/>
        <v>0.24</v>
      </c>
      <c r="M18" s="368">
        <f t="shared" si="3"/>
        <v>0</v>
      </c>
      <c r="N18" s="368">
        <f t="shared" si="3"/>
        <v>21268.330000000009</v>
      </c>
      <c r="O18" s="368">
        <f t="shared" si="3"/>
        <v>0.6</v>
      </c>
      <c r="P18" s="364">
        <f t="shared" si="1"/>
        <v>39560.740000000013</v>
      </c>
    </row>
    <row r="19" spans="2:16" ht="18" customHeight="1">
      <c r="B19" s="124"/>
      <c r="C19" s="386" t="s">
        <v>14</v>
      </c>
      <c r="D19" s="374">
        <f t="shared" ref="D19:O19" si="4">D13+D18</f>
        <v>23545.37999999999</v>
      </c>
      <c r="E19" s="374">
        <f t="shared" si="4"/>
        <v>57765.819999999949</v>
      </c>
      <c r="F19" s="374">
        <f t="shared" si="4"/>
        <v>42764.469999999965</v>
      </c>
      <c r="G19" s="374">
        <f t="shared" si="4"/>
        <v>74842.170000000071</v>
      </c>
      <c r="H19" s="374">
        <f t="shared" si="4"/>
        <v>160923.52000000008</v>
      </c>
      <c r="I19" s="374">
        <f t="shared" si="4"/>
        <v>106182.55</v>
      </c>
      <c r="J19" s="374">
        <f t="shared" si="4"/>
        <v>107533.37999999995</v>
      </c>
      <c r="K19" s="374">
        <f t="shared" si="4"/>
        <v>120248.88000000003</v>
      </c>
      <c r="L19" s="374">
        <f t="shared" si="4"/>
        <v>116746.54</v>
      </c>
      <c r="M19" s="374">
        <f t="shared" si="4"/>
        <v>119045.75999999995</v>
      </c>
      <c r="N19" s="374">
        <f t="shared" si="4"/>
        <v>142455.81000000011</v>
      </c>
      <c r="O19" s="374">
        <f t="shared" si="4"/>
        <v>417547.45000000007</v>
      </c>
      <c r="P19" s="382">
        <f>SUM(D19:O19)</f>
        <v>1489601.73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الشهر'!$C$10:$AL$124,30,FALSE),0)</f>
        <v>0</v>
      </c>
      <c r="E22" s="362">
        <f>IFERROR(VLOOKUP(C22,'تقرير المصروفات حسب الشهر'!$C$135:$AL$252,30,FALSE),0)</f>
        <v>0</v>
      </c>
      <c r="F22" s="362">
        <v>0</v>
      </c>
      <c r="G22" s="362">
        <f>IFERROR(VLOOKUP(C22,'تقرير المصروفات حسب الشهر'!C386:AI499,30,0),0)</f>
        <v>0</v>
      </c>
      <c r="H22" s="362">
        <f>IFERROR(VLOOKUP(C22,'تقرير المصروفات حسب الشهر'!$C$512:$AL$620,30,FALSE),0)</f>
        <v>0</v>
      </c>
      <c r="I22" s="362">
        <f>IFERROR(VLOOKUP(C22,'تقرير المصروفات حسب الشهر'!$C$637:$AI$748,30,FALSE),0)</f>
        <v>0</v>
      </c>
      <c r="J22" s="362">
        <f>IFERROR(VLOOKUP(C22,'تقرير المصروفات حسب الشهر'!$C$763:$AI$877,30,FALSE),0)</f>
        <v>0</v>
      </c>
      <c r="K22" s="362">
        <f>IFERROR(VLOOKUP(C22,'تقرير المصروفات حسب الشهر'!$C$890:$AI$1007,30,FALSE),0)</f>
        <v>0</v>
      </c>
      <c r="L22" s="362">
        <f>IFERROR(VLOOKUP(C22,'تقرير المصروفات حسب الشهر'!$C$1016:$AI$1131,30,FALSE),0)</f>
        <v>0</v>
      </c>
      <c r="M22" s="376">
        <f>IFERROR(VLOOKUP(C22,'تقرير المصروفات حسب الشهر'!$C$1143:$AI$1259,30,FALSE),0)</f>
        <v>0</v>
      </c>
      <c r="N22" s="376">
        <f>IFERROR(VLOOKUP(C22,'تقرير المصروفات حسب الشهر'!$C$1271:$AI$1385,30,FALSE),0)</f>
        <v>0</v>
      </c>
      <c r="O22" s="376">
        <f>IFERROR(VLOOKUP(C22,'تقرير المصروفات حسب الشهر'!$C$1397:$AI$1512,30,FALSE),0)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الشهر'!$C$10:$AL$124,30,FALSE),0)</f>
        <v>0</v>
      </c>
      <c r="E23" s="362">
        <f>IFERROR(VLOOKUP(C23,'تقرير المصروفات حسب الشهر'!$C$135:$AL$252,30,FALSE),0)</f>
        <v>4835.46</v>
      </c>
      <c r="F23" s="362">
        <v>9376.64</v>
      </c>
      <c r="G23" s="362">
        <f>IFERROR(VLOOKUP(C23,'تقرير المصروفات حسب الشهر'!C387:AI500,30,0),0)</f>
        <v>8355.59</v>
      </c>
      <c r="H23" s="362">
        <f>IFERROR(VLOOKUP(C23,'تقرير المصروفات حسب الشهر'!$C$512:$AL$620,30,FALSE),0)</f>
        <v>6530.77</v>
      </c>
      <c r="I23" s="362">
        <f>IFERROR(VLOOKUP(C23,'تقرير المصروفات حسب الشهر'!$C$637:$AI$748,30,FALSE),0)</f>
        <v>6698.11</v>
      </c>
      <c r="J23" s="362">
        <f>IFERROR(VLOOKUP(C23,'تقرير المصروفات حسب الشهر'!$C$763:$AI$877,30,FALSE),0)</f>
        <v>10630.150000000001</v>
      </c>
      <c r="K23" s="362">
        <f>IFERROR(VLOOKUP(C23,'تقرير المصروفات حسب الشهر'!$C$890:$AI$1007,30,FALSE),0)</f>
        <v>6893.79</v>
      </c>
      <c r="L23" s="362">
        <f>IFERROR(VLOOKUP(C23,'تقرير المصروفات حسب الشهر'!$C$1016:$AI$1131,30,FALSE),0)</f>
        <v>6398.34</v>
      </c>
      <c r="M23" s="376">
        <f>IFERROR(VLOOKUP(C23,'تقرير المصروفات حسب الشهر'!$C$1143:$AI$1259,30,FALSE),0)</f>
        <v>6702.7</v>
      </c>
      <c r="N23" s="376">
        <f>IFERROR(VLOOKUP(C23,'تقرير المصروفات حسب الشهر'!$C$1271:$AI$1385,30,FALSE),0)</f>
        <v>6914.5499999999993</v>
      </c>
      <c r="O23" s="376">
        <f>IFERROR(VLOOKUP(C23,'تقرير المصروفات حسب الشهر'!$C$1397:$AI$1512,30,FALSE),0)</f>
        <v>6758.31</v>
      </c>
      <c r="P23" s="364">
        <f t="shared" ref="P23:P86" si="5">SUM(D23:O23)</f>
        <v>80094.41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الشهر'!$C$10:$AL$124,30,FALSE),0)</f>
        <v>0</v>
      </c>
      <c r="E24" s="362">
        <f>IFERROR(VLOOKUP(C24,'تقرير المصروفات حسب الشهر'!$C$135:$AL$252,30,FALSE),0)</f>
        <v>0</v>
      </c>
      <c r="F24" s="362">
        <v>0</v>
      </c>
      <c r="G24" s="362">
        <f>IFERROR(VLOOKUP(C24,'تقرير المصروفات حسب الشهر'!C388:AI501,30,0),0)</f>
        <v>0</v>
      </c>
      <c r="H24" s="362">
        <f>IFERROR(VLOOKUP(C24,'تقرير المصروفات حسب الشهر'!$C$512:$AL$620,30,FALSE),0)</f>
        <v>0</v>
      </c>
      <c r="I24" s="362">
        <f>IFERROR(VLOOKUP(C24,'تقرير المصروفات حسب الشهر'!$C$637:$AI$748,30,FALSE),0)</f>
        <v>0</v>
      </c>
      <c r="J24" s="362">
        <f>IFERROR(VLOOKUP(C24,'تقرير المصروفات حسب الشهر'!$C$763:$AI$877,30,FALSE),0)</f>
        <v>0</v>
      </c>
      <c r="K24" s="362">
        <f>IFERROR(VLOOKUP(C24,'تقرير المصروفات حسب الشهر'!$C$890:$AI$1007,30,FALSE),0)</f>
        <v>0</v>
      </c>
      <c r="L24" s="362">
        <f>IFERROR(VLOOKUP(C24,'تقرير المصروفات حسب الشهر'!$C$1016:$AI$1131,30,FALSE),0)</f>
        <v>0</v>
      </c>
      <c r="M24" s="376">
        <f>IFERROR(VLOOKUP(C24,'تقرير المصروفات حسب الشهر'!$C$1143:$AI$1259,30,FALSE),0)</f>
        <v>0</v>
      </c>
      <c r="N24" s="376">
        <f>IFERROR(VLOOKUP(C24,'تقرير المصروفات حسب الشهر'!$C$1271:$AI$1385,30,FALSE),0)</f>
        <v>0</v>
      </c>
      <c r="O24" s="376">
        <f>IFERROR(VLOOKUP(C24,'تقرير المصروفات حسب الشهر'!$C$1397:$AI$1512,30,FALSE),0)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الشهر'!$C$10:$AL$124,30,FALSE),0)</f>
        <v>0</v>
      </c>
      <c r="E25" s="362">
        <f>IFERROR(VLOOKUP(C25,'تقرير المصروفات حسب الشهر'!$C$135:$AL$252,30,FALSE),0)</f>
        <v>0</v>
      </c>
      <c r="F25" s="362">
        <v>0</v>
      </c>
      <c r="G25" s="362">
        <f>IFERROR(VLOOKUP(C25,'تقرير المصروفات حسب الشهر'!C389:AI502,30,0),0)</f>
        <v>0</v>
      </c>
      <c r="H25" s="362">
        <f>IFERROR(VLOOKUP(C25,'تقرير المصروفات حسب الشهر'!$C$512:$AL$620,30,FALSE),0)</f>
        <v>0</v>
      </c>
      <c r="I25" s="362">
        <f>IFERROR(VLOOKUP(C25,'تقرير المصروفات حسب الشهر'!$C$637:$AI$748,30,FALSE),0)</f>
        <v>0</v>
      </c>
      <c r="J25" s="362">
        <f>IFERROR(VLOOKUP(C25,'تقرير المصروفات حسب الشهر'!$C$763:$AI$877,30,FALSE),0)</f>
        <v>0</v>
      </c>
      <c r="K25" s="362">
        <f>IFERROR(VLOOKUP(C25,'تقرير المصروفات حسب الشهر'!$C$890:$AI$1007,30,FALSE),0)</f>
        <v>0</v>
      </c>
      <c r="L25" s="362">
        <f>IFERROR(VLOOKUP(C25,'تقرير المصروفات حسب الشهر'!$C$1016:$AI$1131,30,FALSE),0)</f>
        <v>0</v>
      </c>
      <c r="M25" s="376">
        <f>IFERROR(VLOOKUP(C25,'تقرير المصروفات حسب الشهر'!$C$1143:$AI$1259,30,FALSE),0)</f>
        <v>0</v>
      </c>
      <c r="N25" s="376">
        <f>IFERROR(VLOOKUP(C25,'تقرير المصروفات حسب الشهر'!$C$1271:$AI$1385,30,FALSE),0)</f>
        <v>0</v>
      </c>
      <c r="O25" s="376">
        <f>IFERROR(VLOOKUP(C25,'تقرير المصروفات حسب الشهر'!$C$1397:$AI$1512,30,FALSE),0)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الشهر'!$C$10:$AL$124,30,FALSE),0)</f>
        <v>0</v>
      </c>
      <c r="E26" s="362">
        <f>IFERROR(VLOOKUP(C26,'تقرير المصروفات حسب الشهر'!$C$135:$AL$252,30,FALSE),0)</f>
        <v>0</v>
      </c>
      <c r="F26" s="362">
        <v>0</v>
      </c>
      <c r="G26" s="362">
        <f>IFERROR(VLOOKUP(C26,'تقرير المصروفات حسب الشهر'!C390:AI503,30,0),0)</f>
        <v>0</v>
      </c>
      <c r="H26" s="362">
        <f>IFERROR(VLOOKUP(C26,'تقرير المصروفات حسب الشهر'!$C$512:$AL$620,30,FALSE),0)</f>
        <v>0</v>
      </c>
      <c r="I26" s="362">
        <f>IFERROR(VLOOKUP(C26,'تقرير المصروفات حسب الشهر'!$C$637:$AI$748,30,FALSE),0)</f>
        <v>0</v>
      </c>
      <c r="J26" s="362">
        <f>IFERROR(VLOOKUP(C26,'تقرير المصروفات حسب الشهر'!$C$763:$AI$877,30,FALSE),0)</f>
        <v>0</v>
      </c>
      <c r="K26" s="362">
        <f>IFERROR(VLOOKUP(C26,'تقرير المصروفات حسب الشهر'!$C$890:$AI$1007,30,FALSE),0)</f>
        <v>0</v>
      </c>
      <c r="L26" s="362">
        <f>IFERROR(VLOOKUP(C26,'تقرير المصروفات حسب الشهر'!$C$1016:$AI$1131,30,FALSE),0)</f>
        <v>0</v>
      </c>
      <c r="M26" s="376">
        <f>IFERROR(VLOOKUP(C26,'تقرير المصروفات حسب الشهر'!$C$1143:$AI$1259,30,FALSE),0)</f>
        <v>0</v>
      </c>
      <c r="N26" s="376">
        <f>IFERROR(VLOOKUP(C26,'تقرير المصروفات حسب الشهر'!$C$1271:$AI$1385,30,FALSE),0)</f>
        <v>0</v>
      </c>
      <c r="O26" s="376">
        <f>IFERROR(VLOOKUP(C26,'تقرير المصروفات حسب الشهر'!$C$1397:$AI$1512,30,FALSE),0)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الشهر'!$C$10:$AL$124,30,FALSE),0)</f>
        <v>0</v>
      </c>
      <c r="E27" s="362">
        <f>IFERROR(VLOOKUP(C27,'تقرير المصروفات حسب الشهر'!$C$135:$AL$252,30,FALSE),0)</f>
        <v>0</v>
      </c>
      <c r="F27" s="362">
        <v>0</v>
      </c>
      <c r="G27" s="362">
        <f>IFERROR(VLOOKUP(C27,'تقرير المصروفات حسب الشهر'!C391:AI504,30,0),0)</f>
        <v>0</v>
      </c>
      <c r="H27" s="362">
        <f>IFERROR(VLOOKUP(C27,'تقرير المصروفات حسب الشهر'!$C$512:$AL$620,30,FALSE),0)</f>
        <v>0</v>
      </c>
      <c r="I27" s="362">
        <f>IFERROR(VLOOKUP(C27,'تقرير المصروفات حسب الشهر'!$C$637:$AI$748,30,FALSE),0)</f>
        <v>0</v>
      </c>
      <c r="J27" s="362">
        <f>IFERROR(VLOOKUP(C27,'تقرير المصروفات حسب الشهر'!$C$763:$AI$877,30,FALSE),0)</f>
        <v>0</v>
      </c>
      <c r="K27" s="362">
        <f>IFERROR(VLOOKUP(C27,'تقرير المصروفات حسب الشهر'!$C$890:$AI$1007,30,FALSE),0)</f>
        <v>0</v>
      </c>
      <c r="L27" s="362">
        <f>IFERROR(VLOOKUP(C27,'تقرير المصروفات حسب الشهر'!$C$1016:$AI$1131,30,FALSE),0)</f>
        <v>0</v>
      </c>
      <c r="M27" s="376">
        <f>IFERROR(VLOOKUP(C27,'تقرير المصروفات حسب الشهر'!$C$1143:$AI$1259,30,FALSE),0)</f>
        <v>0</v>
      </c>
      <c r="N27" s="376">
        <f>IFERROR(VLOOKUP(C27,'تقرير المصروفات حسب الشهر'!$C$1271:$AI$1385,30,FALSE),0)</f>
        <v>0</v>
      </c>
      <c r="O27" s="376">
        <f>IFERROR(VLOOKUP(C27,'تقرير المصروفات حسب الشهر'!$C$1397:$AI$1512,30,FALSE),0)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الشهر'!$C$10:$AL$124,30,FALSE),0)</f>
        <v>0</v>
      </c>
      <c r="E28" s="362">
        <f>IFERROR(VLOOKUP(C28,'تقرير المصروفات حسب الشهر'!$C$135:$AL$252,30,FALSE),0)</f>
        <v>0</v>
      </c>
      <c r="F28" s="362">
        <v>0</v>
      </c>
      <c r="G28" s="362">
        <f>IFERROR(VLOOKUP(C28,'تقرير المصروفات حسب الشهر'!C392:AI505,30,0),0)</f>
        <v>0</v>
      </c>
      <c r="H28" s="362">
        <f>IFERROR(VLOOKUP(C28,'تقرير المصروفات حسب الشهر'!$C$512:$AL$620,30,FALSE),0)</f>
        <v>0</v>
      </c>
      <c r="I28" s="362">
        <f>IFERROR(VLOOKUP(C28,'تقرير المصروفات حسب الشهر'!$C$637:$AI$748,30,FALSE),0)</f>
        <v>0</v>
      </c>
      <c r="J28" s="362">
        <f>IFERROR(VLOOKUP(C28,'تقرير المصروفات حسب الشهر'!$C$763:$AI$877,30,FALSE),0)</f>
        <v>0</v>
      </c>
      <c r="K28" s="362">
        <f>IFERROR(VLOOKUP(C28,'تقرير المصروفات حسب الشهر'!$C$890:$AI$1007,30,FALSE),0)</f>
        <v>0</v>
      </c>
      <c r="L28" s="362">
        <f>IFERROR(VLOOKUP(C28,'تقرير المصروفات حسب الشهر'!$C$1016:$AI$1131,30,FALSE),0)</f>
        <v>0</v>
      </c>
      <c r="M28" s="376">
        <f>IFERROR(VLOOKUP(C28,'تقرير المصروفات حسب الشهر'!$C$1143:$AI$1259,30,FALSE),0)</f>
        <v>0</v>
      </c>
      <c r="N28" s="376">
        <f>IFERROR(VLOOKUP(C28,'تقرير المصروفات حسب الشهر'!$C$1271:$AI$1385,30,FALSE),0)</f>
        <v>0</v>
      </c>
      <c r="O28" s="376">
        <f>IFERROR(VLOOKUP(C28,'تقرير المصروفات حسب الشهر'!$C$1397:$AI$1512,30,FALSE),0)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الشهر'!$C$10:$AL$124,30,FALSE),0)</f>
        <v>0</v>
      </c>
      <c r="E29" s="362">
        <f>IFERROR(VLOOKUP(C29,'تقرير المصروفات حسب الشهر'!$C$135:$AL$252,30,FALSE),0)</f>
        <v>0</v>
      </c>
      <c r="F29" s="362">
        <v>0</v>
      </c>
      <c r="G29" s="362">
        <f>IFERROR(VLOOKUP(C29,'تقرير المصروفات حسب الشهر'!C393:AI506,30,0),0)</f>
        <v>0</v>
      </c>
      <c r="H29" s="362">
        <f>IFERROR(VLOOKUP(C29,'تقرير المصروفات حسب الشهر'!$C$512:$AL$620,30,FALSE),0)</f>
        <v>0</v>
      </c>
      <c r="I29" s="362">
        <f>IFERROR(VLOOKUP(C29,'تقرير المصروفات حسب الشهر'!$C$637:$AI$748,30,FALSE),0)</f>
        <v>0</v>
      </c>
      <c r="J29" s="362">
        <f>IFERROR(VLOOKUP(C29,'تقرير المصروفات حسب الشهر'!$C$763:$AI$877,30,FALSE),0)</f>
        <v>0</v>
      </c>
      <c r="K29" s="362">
        <f>IFERROR(VLOOKUP(C29,'تقرير المصروفات حسب الشهر'!$C$890:$AI$1007,30,FALSE),0)</f>
        <v>0</v>
      </c>
      <c r="L29" s="362">
        <f>IFERROR(VLOOKUP(C29,'تقرير المصروفات حسب الشهر'!$C$1016:$AI$1131,30,FALSE),0)</f>
        <v>0</v>
      </c>
      <c r="M29" s="376">
        <f>IFERROR(VLOOKUP(C29,'تقرير المصروفات حسب الشهر'!$C$1143:$AI$1259,30,FALSE),0)</f>
        <v>0</v>
      </c>
      <c r="N29" s="376">
        <f>IFERROR(VLOOKUP(C29,'تقرير المصروفات حسب الشهر'!$C$1271:$AI$1385,30,FALSE),0)</f>
        <v>0</v>
      </c>
      <c r="O29" s="376">
        <f>IFERROR(VLOOKUP(C29,'تقرير المصروفات حسب الشهر'!$C$1397:$AI$1512,30,FALSE),0)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الشهر'!$C$10:$AL$124,30,FALSE),0)</f>
        <v>0</v>
      </c>
      <c r="E30" s="362">
        <f>IFERROR(VLOOKUP(C30,'تقرير المصروفات حسب الشهر'!$C$135:$AL$252,30,FALSE),0)</f>
        <v>0</v>
      </c>
      <c r="F30" s="362">
        <v>0</v>
      </c>
      <c r="G30" s="362">
        <f>IFERROR(VLOOKUP(C30,'تقرير المصروفات حسب الشهر'!C394:AI507,30,0),0)</f>
        <v>0</v>
      </c>
      <c r="H30" s="362">
        <f>IFERROR(VLOOKUP(C30,'تقرير المصروفات حسب الشهر'!$C$512:$AL$620,30,FALSE),0)</f>
        <v>0</v>
      </c>
      <c r="I30" s="362">
        <f>IFERROR(VLOOKUP(C30,'تقرير المصروفات حسب الشهر'!$C$637:$AI$748,30,FALSE),0)</f>
        <v>0</v>
      </c>
      <c r="J30" s="362">
        <f>IFERROR(VLOOKUP(C30,'تقرير المصروفات حسب الشهر'!$C$763:$AI$877,30,FALSE),0)</f>
        <v>0</v>
      </c>
      <c r="K30" s="362">
        <f>IFERROR(VLOOKUP(C30,'تقرير المصروفات حسب الشهر'!$C$890:$AI$1007,30,FALSE),0)</f>
        <v>0</v>
      </c>
      <c r="L30" s="362">
        <f>IFERROR(VLOOKUP(C30,'تقرير المصروفات حسب الشهر'!$C$1016:$AI$1131,30,FALSE),0)</f>
        <v>0</v>
      </c>
      <c r="M30" s="376">
        <f>IFERROR(VLOOKUP(C30,'تقرير المصروفات حسب الشهر'!$C$1143:$AI$1259,30,FALSE),0)</f>
        <v>0</v>
      </c>
      <c r="N30" s="376">
        <f>IFERROR(VLOOKUP(C30,'تقرير المصروفات حسب الشهر'!$C$1271:$AI$1385,30,FALSE),0)</f>
        <v>0</v>
      </c>
      <c r="O30" s="376">
        <f>IFERROR(VLOOKUP(C30,'تقرير المصروفات حسب الشهر'!$C$1397:$AI$1512,30,FALSE),0)</f>
        <v>220</v>
      </c>
      <c r="P30" s="364">
        <f t="shared" si="5"/>
        <v>220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الشهر'!$C$10:$AL$124,30,FALSE),0)</f>
        <v>600</v>
      </c>
      <c r="E31" s="362">
        <f>IFERROR(VLOOKUP(C31,'تقرير المصروفات حسب الشهر'!$C$135:$AL$252,30,FALSE),0)</f>
        <v>0</v>
      </c>
      <c r="F31" s="362">
        <v>200</v>
      </c>
      <c r="G31" s="362">
        <f>IFERROR(VLOOKUP(C31,'تقرير المصروفات حسب الشهر'!C395:AI508,30,0),0)</f>
        <v>84</v>
      </c>
      <c r="H31" s="362">
        <f>IFERROR(VLOOKUP(C31,'تقرير المصروفات حسب الشهر'!$C$512:$AL$620,30,FALSE),0)</f>
        <v>124</v>
      </c>
      <c r="I31" s="362">
        <f>IFERROR(VLOOKUP(C31,'تقرير المصروفات حسب الشهر'!$C$637:$AI$748,30,FALSE),0)</f>
        <v>150</v>
      </c>
      <c r="J31" s="362">
        <f>IFERROR(VLOOKUP(C31,'تقرير المصروفات حسب الشهر'!$C$763:$AI$877,30,FALSE),0)</f>
        <v>200</v>
      </c>
      <c r="K31" s="362">
        <f>IFERROR(VLOOKUP(C31,'تقرير المصروفات حسب الشهر'!$C$890:$AI$1007,30,FALSE),0)</f>
        <v>185</v>
      </c>
      <c r="L31" s="362">
        <f>IFERROR(VLOOKUP(C31,'تقرير المصروفات حسب الشهر'!$C$1016:$AI$1131,30,FALSE),0)</f>
        <v>0</v>
      </c>
      <c r="M31" s="376">
        <f>IFERROR(VLOOKUP(C31,'تقرير المصروفات حسب الشهر'!$C$1143:$AI$1259,30,FALSE),0)</f>
        <v>371</v>
      </c>
      <c r="N31" s="376">
        <f>IFERROR(VLOOKUP(C31,'تقرير المصروفات حسب الشهر'!$C$1271:$AI$1385,30,FALSE),0)</f>
        <v>185.5</v>
      </c>
      <c r="O31" s="376">
        <f>IFERROR(VLOOKUP(C31,'تقرير المصروفات حسب الشهر'!$C$1397:$AI$1512,30,FALSE),0)</f>
        <v>0</v>
      </c>
      <c r="P31" s="364">
        <f t="shared" si="5"/>
        <v>2099.5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الشهر'!$C$10:$AL$124,30,FALSE),0)</f>
        <v>0</v>
      </c>
      <c r="E32" s="362">
        <f>IFERROR(VLOOKUP(C32,'تقرير المصروفات حسب الشهر'!$C$135:$AL$252,30,FALSE),0)</f>
        <v>0</v>
      </c>
      <c r="F32" s="362">
        <v>0</v>
      </c>
      <c r="G32" s="362">
        <f>IFERROR(VLOOKUP(C32,'تقرير المصروفات حسب الشهر'!C396:AI509,30,0),0)</f>
        <v>0</v>
      </c>
      <c r="H32" s="362">
        <f>IFERROR(VLOOKUP(C32,'تقرير المصروفات حسب الشهر'!$C$512:$AL$620,30,FALSE),0)</f>
        <v>0</v>
      </c>
      <c r="I32" s="362">
        <f>IFERROR(VLOOKUP(C32,'تقرير المصروفات حسب الشهر'!$C$637:$AI$748,30,FALSE),0)</f>
        <v>0</v>
      </c>
      <c r="J32" s="362">
        <f>IFERROR(VLOOKUP(C32,'تقرير المصروفات حسب الشهر'!$C$763:$AI$877,30,FALSE),0)</f>
        <v>0</v>
      </c>
      <c r="K32" s="362">
        <f>IFERROR(VLOOKUP(C32,'تقرير المصروفات حسب الشهر'!$C$890:$AI$1007,30,FALSE),0)</f>
        <v>0</v>
      </c>
      <c r="L32" s="362">
        <f>IFERROR(VLOOKUP(C32,'تقرير المصروفات حسب الشهر'!$C$1016:$AI$1131,30,FALSE),0)</f>
        <v>0</v>
      </c>
      <c r="M32" s="376">
        <f>IFERROR(VLOOKUP(C32,'تقرير المصروفات حسب الشهر'!$C$1143:$AI$1259,30,FALSE),0)</f>
        <v>0</v>
      </c>
      <c r="N32" s="376">
        <f>IFERROR(VLOOKUP(C32,'تقرير المصروفات حسب الشهر'!$C$1271:$AI$1385,30,FALSE),0)</f>
        <v>0</v>
      </c>
      <c r="O32" s="376">
        <f>IFERROR(VLOOKUP(C32,'تقرير المصروفات حسب الشهر'!$C$1397:$AI$1512,30,FALSE),0)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الشهر'!$C$10:$AL$124,30,FALSE),0)</f>
        <v>0</v>
      </c>
      <c r="E33" s="362">
        <f>IFERROR(VLOOKUP(C33,'تقرير المصروفات حسب الشهر'!$C$135:$AL$252,30,FALSE),0)</f>
        <v>0</v>
      </c>
      <c r="F33" s="362">
        <v>0</v>
      </c>
      <c r="G33" s="362">
        <f>IFERROR(VLOOKUP(C33,'تقرير المصروفات حسب الشهر'!C397:AI510,30,0),0)</f>
        <v>0</v>
      </c>
      <c r="H33" s="362">
        <f>IFERROR(VLOOKUP(C33,'تقرير المصروفات حسب الشهر'!$C$512:$AL$620,30,FALSE),0)</f>
        <v>0</v>
      </c>
      <c r="I33" s="362">
        <f>IFERROR(VLOOKUP(C33,'تقرير المصروفات حسب الشهر'!$C$637:$AI$748,30,FALSE),0)</f>
        <v>0</v>
      </c>
      <c r="J33" s="362">
        <f>IFERROR(VLOOKUP(C33,'تقرير المصروفات حسب الشهر'!$C$763:$AI$877,30,FALSE),0)</f>
        <v>0</v>
      </c>
      <c r="K33" s="362">
        <f>IFERROR(VLOOKUP(C33,'تقرير المصروفات حسب الشهر'!$C$890:$AI$1007,30,FALSE),0)</f>
        <v>0</v>
      </c>
      <c r="L33" s="362">
        <f>IFERROR(VLOOKUP(C33,'تقرير المصروفات حسب الشهر'!$C$1016:$AI$1131,30,FALSE),0)</f>
        <v>0</v>
      </c>
      <c r="M33" s="376">
        <f>IFERROR(VLOOKUP(C33,'تقرير المصروفات حسب الشهر'!$C$1143:$AI$1259,30,FALSE),0)</f>
        <v>0</v>
      </c>
      <c r="N33" s="376">
        <f>IFERROR(VLOOKUP(C33,'تقرير المصروفات حسب الشهر'!$C$1271:$AI$1385,30,FALSE),0)</f>
        <v>0</v>
      </c>
      <c r="O33" s="376">
        <f>IFERROR(VLOOKUP(C33,'تقرير المصروفات حسب الشهر'!$C$1397:$AI$1512,30,FALSE),0)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الشهر'!$C$10:$AL$124,30,FALSE),0)</f>
        <v>0</v>
      </c>
      <c r="E34" s="362">
        <f>IFERROR(VLOOKUP(C34,'تقرير المصروفات حسب الشهر'!$C$135:$AL$252,30,FALSE),0)</f>
        <v>0</v>
      </c>
      <c r="F34" s="362">
        <v>0</v>
      </c>
      <c r="G34" s="362">
        <f>IFERROR(VLOOKUP(C34,'تقرير المصروفات حسب الشهر'!C398:AI511,30,0),0)</f>
        <v>0</v>
      </c>
      <c r="H34" s="362">
        <f>IFERROR(VLOOKUP(C34,'تقرير المصروفات حسب الشهر'!$C$512:$AL$620,30,FALSE),0)</f>
        <v>0</v>
      </c>
      <c r="I34" s="362">
        <f>IFERROR(VLOOKUP(C34,'تقرير المصروفات حسب الشهر'!$C$637:$AI$748,30,FALSE),0)</f>
        <v>0</v>
      </c>
      <c r="J34" s="362">
        <f>IFERROR(VLOOKUP(C34,'تقرير المصروفات حسب الشهر'!$C$763:$AI$877,30,FALSE),0)</f>
        <v>0</v>
      </c>
      <c r="K34" s="362">
        <f>IFERROR(VLOOKUP(C34,'تقرير المصروفات حسب الشهر'!$C$890:$AI$1007,30,FALSE),0)</f>
        <v>0</v>
      </c>
      <c r="L34" s="362">
        <f>IFERROR(VLOOKUP(C34,'تقرير المصروفات حسب الشهر'!$C$1016:$AI$1131,30,FALSE),0)</f>
        <v>0</v>
      </c>
      <c r="M34" s="376">
        <f>IFERROR(VLOOKUP(C34,'تقرير المصروفات حسب الشهر'!$C$1143:$AI$1259,30,FALSE),0)</f>
        <v>0</v>
      </c>
      <c r="N34" s="376">
        <f>IFERROR(VLOOKUP(C34,'تقرير المصروفات حسب الشهر'!$C$1271:$AI$1385,30,FALSE),0)</f>
        <v>0</v>
      </c>
      <c r="O34" s="376">
        <f>IFERROR(VLOOKUP(C34,'تقرير المصروفات حسب الشهر'!$C$1397:$AI$1512,30,FALSE),0)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الشهر'!$C$10:$AL$124,30,FALSE),0)</f>
        <v>0</v>
      </c>
      <c r="E35" s="362">
        <f>IFERROR(VLOOKUP(C35,'تقرير المصروفات حسب الشهر'!$C$135:$AL$252,30,FALSE),0)</f>
        <v>0</v>
      </c>
      <c r="F35" s="362">
        <v>0</v>
      </c>
      <c r="G35" s="362">
        <f>IFERROR(VLOOKUP(C35,'تقرير المصروفات حسب الشهر'!C399:AI512,30,0),0)</f>
        <v>0</v>
      </c>
      <c r="H35" s="362">
        <f>IFERROR(VLOOKUP(C35,'تقرير المصروفات حسب الشهر'!$C$512:$AL$620,30,FALSE),0)</f>
        <v>0</v>
      </c>
      <c r="I35" s="362">
        <f>IFERROR(VLOOKUP(C35,'تقرير المصروفات حسب الشهر'!$C$637:$AI$748,30,FALSE),0)</f>
        <v>0</v>
      </c>
      <c r="J35" s="362">
        <f>IFERROR(VLOOKUP(C35,'تقرير المصروفات حسب الشهر'!$C$763:$AI$877,30,FALSE),0)</f>
        <v>0</v>
      </c>
      <c r="K35" s="362">
        <f>IFERROR(VLOOKUP(C35,'تقرير المصروفات حسب الشهر'!$C$890:$AI$1007,30,FALSE),0)</f>
        <v>0</v>
      </c>
      <c r="L35" s="362">
        <f>IFERROR(VLOOKUP(C35,'تقرير المصروفات حسب الشهر'!$C$1016:$AI$1131,30,FALSE),0)</f>
        <v>0</v>
      </c>
      <c r="M35" s="376">
        <f>IFERROR(VLOOKUP(C35,'تقرير المصروفات حسب الشهر'!$C$1143:$AI$1259,30,FALSE),0)</f>
        <v>0</v>
      </c>
      <c r="N35" s="376">
        <f>IFERROR(VLOOKUP(C35,'تقرير المصروفات حسب الشهر'!$C$1271:$AI$1385,30,FALSE),0)</f>
        <v>0</v>
      </c>
      <c r="O35" s="376">
        <f>IFERROR(VLOOKUP(C35,'تقرير المصروفات حسب الشهر'!$C$1397:$AI$1512,30,FALSE),0)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الشهر'!$C$10:$AL$124,30,FALSE),0)</f>
        <v>750</v>
      </c>
      <c r="E36" s="362">
        <f>IFERROR(VLOOKUP(C36,'تقرير المصروفات حسب الشهر'!$C$135:$AL$252,30,FALSE),0)</f>
        <v>0</v>
      </c>
      <c r="F36" s="362">
        <v>0</v>
      </c>
      <c r="G36" s="362">
        <f>IFERROR(VLOOKUP(C36,'تقرير المصروفات حسب الشهر'!C400:AI513,30,0),0)</f>
        <v>750</v>
      </c>
      <c r="H36" s="362">
        <f>IFERROR(VLOOKUP(C36,'تقرير المصروفات حسب الشهر'!$C$512:$AL$620,30,FALSE),0)</f>
        <v>0</v>
      </c>
      <c r="I36" s="362">
        <f>IFERROR(VLOOKUP(C36,'تقرير المصروفات حسب الشهر'!$C$637:$AI$748,30,FALSE),0)</f>
        <v>0</v>
      </c>
      <c r="J36" s="362">
        <f>IFERROR(VLOOKUP(C36,'تقرير المصروفات حسب الشهر'!$C$763:$AI$877,30,FALSE),0)</f>
        <v>0</v>
      </c>
      <c r="K36" s="362">
        <f>IFERROR(VLOOKUP(C36,'تقرير المصروفات حسب الشهر'!$C$890:$AI$1007,30,FALSE),0)</f>
        <v>770</v>
      </c>
      <c r="L36" s="362">
        <f>IFERROR(VLOOKUP(C36,'تقرير المصروفات حسب الشهر'!$C$1016:$AI$1131,30,FALSE),0)</f>
        <v>0</v>
      </c>
      <c r="M36" s="376">
        <f>IFERROR(VLOOKUP(C36,'تقرير المصروفات حسب الشهر'!$C$1143:$AI$1259,30,FALSE),0)</f>
        <v>770</v>
      </c>
      <c r="N36" s="376">
        <f>IFERROR(VLOOKUP(C36,'تقرير المصروفات حسب الشهر'!$C$1271:$AI$1385,30,FALSE),0)</f>
        <v>0</v>
      </c>
      <c r="O36" s="376">
        <f>IFERROR(VLOOKUP(C36,'تقرير المصروفات حسب الشهر'!$C$1397:$AI$1512,30,FALSE),0)</f>
        <v>770</v>
      </c>
      <c r="P36" s="364">
        <f t="shared" si="5"/>
        <v>3810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الشهر'!$C$10:$AL$124,30,FALSE),0)</f>
        <v>2250</v>
      </c>
      <c r="E37" s="362">
        <f>IFERROR(VLOOKUP(C37,'تقرير المصروفات حسب الشهر'!$C$135:$AL$252,30,FALSE),0)</f>
        <v>0</v>
      </c>
      <c r="F37" s="362">
        <v>0</v>
      </c>
      <c r="G37" s="362">
        <f>IFERROR(VLOOKUP(C37,'تقرير المصروفات حسب الشهر'!C401:AI514,30,0),0)</f>
        <v>2250</v>
      </c>
      <c r="H37" s="362">
        <f>IFERROR(VLOOKUP(C37,'تقرير المصروفات حسب الشهر'!$C$512:$AL$620,30,FALSE),0)</f>
        <v>0</v>
      </c>
      <c r="I37" s="362">
        <f>IFERROR(VLOOKUP(C37,'تقرير المصروفات حسب الشهر'!$C$637:$AI$748,30,FALSE),0)</f>
        <v>0</v>
      </c>
      <c r="J37" s="362">
        <f>IFERROR(VLOOKUP(C37,'تقرير المصروفات حسب الشهر'!$C$763:$AI$877,30,FALSE),0)</f>
        <v>0</v>
      </c>
      <c r="K37" s="362">
        <f>IFERROR(VLOOKUP(C37,'تقرير المصروفات حسب الشهر'!$C$890:$AI$1007,30,FALSE),0)</f>
        <v>0</v>
      </c>
      <c r="L37" s="362">
        <f>IFERROR(VLOOKUP(C37,'تقرير المصروفات حسب الشهر'!$C$1016:$AI$1131,30,FALSE),0)</f>
        <v>0</v>
      </c>
      <c r="M37" s="376">
        <f>IFERROR(VLOOKUP(C37,'تقرير المصروفات حسب الشهر'!$C$1143:$AI$1259,30,FALSE),0)</f>
        <v>2250</v>
      </c>
      <c r="N37" s="376">
        <f>IFERROR(VLOOKUP(C37,'تقرير المصروفات حسب الشهر'!$C$1271:$AI$1385,30,FALSE),0)</f>
        <v>0</v>
      </c>
      <c r="O37" s="376">
        <f>IFERROR(VLOOKUP(C37,'تقرير المصروفات حسب الشهر'!$C$1397:$AI$1512,30,FALSE),0)</f>
        <v>0</v>
      </c>
      <c r="P37" s="364">
        <f t="shared" si="5"/>
        <v>6750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الشهر'!$C$10:$AL$124,30,FALSE),0)</f>
        <v>0</v>
      </c>
      <c r="E38" s="362">
        <f>IFERROR(VLOOKUP(C38,'تقرير المصروفات حسب الشهر'!$C$135:$AL$252,30,FALSE),0)</f>
        <v>0</v>
      </c>
      <c r="F38" s="362">
        <v>0</v>
      </c>
      <c r="G38" s="362">
        <f>IFERROR(VLOOKUP(C38,'تقرير المصروفات حسب الشهر'!C402:AI515,30,0),0)</f>
        <v>0</v>
      </c>
      <c r="H38" s="362">
        <f>IFERROR(VLOOKUP(C38,'تقرير المصروفات حسب الشهر'!$C$512:$AL$620,30,FALSE),0)</f>
        <v>0</v>
      </c>
      <c r="I38" s="362">
        <f>IFERROR(VLOOKUP(C38,'تقرير المصروفات حسب الشهر'!$C$637:$AI$748,30,FALSE),0)</f>
        <v>0</v>
      </c>
      <c r="J38" s="362">
        <f>IFERROR(VLOOKUP(C38,'تقرير المصروفات حسب الشهر'!$C$763:$AI$877,30,FALSE),0)</f>
        <v>0</v>
      </c>
      <c r="K38" s="362">
        <f>IFERROR(VLOOKUP(C38,'تقرير المصروفات حسب الشهر'!$C$890:$AI$1007,30,FALSE),0)</f>
        <v>0</v>
      </c>
      <c r="L38" s="362">
        <f>IFERROR(VLOOKUP(C38,'تقرير المصروفات حسب الشهر'!$C$1016:$AI$1131,30,FALSE),0)</f>
        <v>0</v>
      </c>
      <c r="M38" s="376">
        <f>IFERROR(VLOOKUP(C38,'تقرير المصروفات حسب الشهر'!$C$1143:$AI$1259,30,FALSE),0)</f>
        <v>0</v>
      </c>
      <c r="N38" s="376">
        <f>IFERROR(VLOOKUP(C38,'تقرير المصروفات حسب الشهر'!$C$1271:$AI$1385,30,FALSE),0)</f>
        <v>0</v>
      </c>
      <c r="O38" s="376">
        <f>IFERROR(VLOOKUP(C38,'تقرير المصروفات حسب الشهر'!$C$1397:$AI$1512,30,FALSE),0)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الشهر'!$C$10:$AL$124,30,FALSE),0)</f>
        <v>0</v>
      </c>
      <c r="E39" s="362">
        <f>IFERROR(VLOOKUP(C39,'تقرير المصروفات حسب الشهر'!$C$135:$AL$252,30,FALSE),0)</f>
        <v>833</v>
      </c>
      <c r="F39" s="362">
        <v>648</v>
      </c>
      <c r="G39" s="362">
        <f>IFERROR(VLOOKUP(C39,'تقرير المصروفات حسب الشهر'!C403:AI516,30,0),0)</f>
        <v>793</v>
      </c>
      <c r="H39" s="362">
        <f>IFERROR(VLOOKUP(C39,'تقرير المصروفات حسب الشهر'!$C$512:$AL$620,30,FALSE),0)</f>
        <v>0</v>
      </c>
      <c r="I39" s="362">
        <f>IFERROR(VLOOKUP(C39,'تقرير المصروفات حسب الشهر'!$C$637:$AI$748,30,FALSE),0)</f>
        <v>0</v>
      </c>
      <c r="J39" s="362">
        <f>IFERROR(VLOOKUP(C39,'تقرير المصروفات حسب الشهر'!$C$763:$AI$877,30,FALSE),0)</f>
        <v>0</v>
      </c>
      <c r="K39" s="362">
        <f>IFERROR(VLOOKUP(C39,'تقرير المصروفات حسب الشهر'!$C$890:$AI$1007,30,FALSE),0)</f>
        <v>0</v>
      </c>
      <c r="L39" s="362">
        <f>IFERROR(VLOOKUP(C39,'تقرير المصروفات حسب الشهر'!$C$1016:$AI$1131,30,FALSE),0)</f>
        <v>0</v>
      </c>
      <c r="M39" s="376">
        <f>IFERROR(VLOOKUP(C39,'تقرير المصروفات حسب الشهر'!$C$1143:$AI$1259,30,FALSE),0)</f>
        <v>0</v>
      </c>
      <c r="N39" s="376">
        <f>IFERROR(VLOOKUP(C39,'تقرير المصروفات حسب الشهر'!$C$1271:$AI$1385,30,FALSE),0)</f>
        <v>506</v>
      </c>
      <c r="O39" s="376">
        <f>IFERROR(VLOOKUP(C39,'تقرير المصروفات حسب الشهر'!$C$1397:$AI$1512,30,FALSE),0)</f>
        <v>831</v>
      </c>
      <c r="P39" s="364">
        <f t="shared" si="5"/>
        <v>3611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الشهر'!$C$10:$AL$124,30,FALSE),0)</f>
        <v>0</v>
      </c>
      <c r="E40" s="362">
        <f>IFERROR(VLOOKUP(C40,'تقرير المصروفات حسب الشهر'!$C$135:$AL$252,30,FALSE),0)</f>
        <v>0</v>
      </c>
      <c r="F40" s="362">
        <v>0</v>
      </c>
      <c r="G40" s="362">
        <f>IFERROR(VLOOKUP(C40,'تقرير المصروفات حسب الشهر'!C404:AI517,30,0),0)</f>
        <v>0</v>
      </c>
      <c r="H40" s="362">
        <f>IFERROR(VLOOKUP(C40,'تقرير المصروفات حسب الشهر'!$C$512:$AL$620,30,FALSE),0)</f>
        <v>0</v>
      </c>
      <c r="I40" s="362">
        <f>IFERROR(VLOOKUP(C40,'تقرير المصروفات حسب الشهر'!$C$637:$AI$748,30,FALSE),0)</f>
        <v>0</v>
      </c>
      <c r="J40" s="362">
        <f>IFERROR(VLOOKUP(C40,'تقرير المصروفات حسب الشهر'!$C$763:$AI$877,30,FALSE),0)</f>
        <v>0</v>
      </c>
      <c r="K40" s="362">
        <f>IFERROR(VLOOKUP(C40,'تقرير المصروفات حسب الشهر'!$C$890:$AI$1007,30,FALSE),0)</f>
        <v>0</v>
      </c>
      <c r="L40" s="362">
        <f>IFERROR(VLOOKUP(C40,'تقرير المصروفات حسب الشهر'!$C$1016:$AI$1131,30,FALSE),0)</f>
        <v>0</v>
      </c>
      <c r="M40" s="376">
        <f>IFERROR(VLOOKUP(C40,'تقرير المصروفات حسب الشهر'!$C$1143:$AI$1259,30,FALSE),0)</f>
        <v>0</v>
      </c>
      <c r="N40" s="376">
        <f>IFERROR(VLOOKUP(C40,'تقرير المصروفات حسب الشهر'!$C$1271:$AI$1385,30,FALSE),0)</f>
        <v>0</v>
      </c>
      <c r="O40" s="376">
        <f>IFERROR(VLOOKUP(C40,'تقرير المصروفات حسب الشهر'!$C$1397:$AI$1512,30,FALSE),0)</f>
        <v>0</v>
      </c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الشهر'!$C$10:$AL$124,30,FALSE),0)</f>
        <v>0</v>
      </c>
      <c r="E41" s="362">
        <f>IFERROR(VLOOKUP(C41,'تقرير المصروفات حسب الشهر'!$C$135:$AL$252,30,FALSE),0)</f>
        <v>0</v>
      </c>
      <c r="F41" s="362">
        <v>0</v>
      </c>
      <c r="G41" s="362">
        <f>IFERROR(VLOOKUP(C41,'تقرير المصروفات حسب الشهر'!C405:AI518,30,0),0)</f>
        <v>0</v>
      </c>
      <c r="H41" s="362">
        <f>IFERROR(VLOOKUP(C41,'تقرير المصروفات حسب الشهر'!$C$512:$AL$620,30,FALSE),0)</f>
        <v>0</v>
      </c>
      <c r="I41" s="362">
        <f>IFERROR(VLOOKUP(C41,'تقرير المصروفات حسب الشهر'!$C$637:$AI$748,30,FALSE),0)</f>
        <v>0</v>
      </c>
      <c r="J41" s="362">
        <f>IFERROR(VLOOKUP(C41,'تقرير المصروفات حسب الشهر'!$C$763:$AI$877,30,FALSE),0)</f>
        <v>0</v>
      </c>
      <c r="K41" s="362">
        <f>IFERROR(VLOOKUP(C41,'تقرير المصروفات حسب الشهر'!$C$890:$AI$1007,30,FALSE),0)</f>
        <v>0</v>
      </c>
      <c r="L41" s="362">
        <f>IFERROR(VLOOKUP(C41,'تقرير المصروفات حسب الشهر'!$C$1016:$AI$1131,30,FALSE),0)</f>
        <v>0</v>
      </c>
      <c r="M41" s="376">
        <f>IFERROR(VLOOKUP(C41,'تقرير المصروفات حسب الشهر'!$C$1143:$AI$1259,30,FALSE),0)</f>
        <v>0</v>
      </c>
      <c r="N41" s="376">
        <f>IFERROR(VLOOKUP(C41,'تقرير المصروفات حسب الشهر'!$C$1271:$AI$1385,30,FALSE),0)</f>
        <v>0</v>
      </c>
      <c r="O41" s="376">
        <f>IFERROR(VLOOKUP(C41,'تقرير المصروفات حسب الشهر'!$C$1397:$AI$1512,30,FALSE),0)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الشهر'!$C$10:$AL$124,30,FALSE),0)</f>
        <v>0</v>
      </c>
      <c r="E42" s="362">
        <f>IFERROR(VLOOKUP(C42,'تقرير المصروفات حسب الشهر'!$C$135:$AL$252,30,FALSE),0)</f>
        <v>0</v>
      </c>
      <c r="F42" s="362">
        <v>0</v>
      </c>
      <c r="G42" s="362">
        <f>IFERROR(VLOOKUP(C42,'تقرير المصروفات حسب الشهر'!C406:AI519,30,0),0)</f>
        <v>0</v>
      </c>
      <c r="H42" s="362">
        <f>IFERROR(VLOOKUP(C42,'تقرير المصروفات حسب الشهر'!$C$512:$AL$620,30,FALSE),0)</f>
        <v>0</v>
      </c>
      <c r="I42" s="362">
        <f>IFERROR(VLOOKUP(C42,'تقرير المصروفات حسب الشهر'!$C$637:$AI$748,30,FALSE),0)</f>
        <v>0</v>
      </c>
      <c r="J42" s="362">
        <f>IFERROR(VLOOKUP(C42,'تقرير المصروفات حسب الشهر'!$C$763:$AI$877,30,FALSE),0)</f>
        <v>0</v>
      </c>
      <c r="K42" s="362">
        <f>IFERROR(VLOOKUP(C42,'تقرير المصروفات حسب الشهر'!$C$890:$AI$1007,30,FALSE),0)</f>
        <v>0</v>
      </c>
      <c r="L42" s="362">
        <f>IFERROR(VLOOKUP(C42,'تقرير المصروفات حسب الشهر'!$C$1016:$AI$1131,30,FALSE),0)</f>
        <v>0</v>
      </c>
      <c r="M42" s="376">
        <f>IFERROR(VLOOKUP(C42,'تقرير المصروفات حسب الشهر'!$C$1143:$AI$1259,30,FALSE),0)</f>
        <v>0</v>
      </c>
      <c r="N42" s="376">
        <f>IFERROR(VLOOKUP(C42,'تقرير المصروفات حسب الشهر'!$C$1271:$AI$1385,30,FALSE),0)</f>
        <v>0</v>
      </c>
      <c r="O42" s="376">
        <f>IFERROR(VLOOKUP(C42,'تقرير المصروفات حسب الشهر'!$C$1397:$AI$1512,30,FALSE),0)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الشهر'!$C$10:$AL$124,30,FALSE),0)</f>
        <v>0</v>
      </c>
      <c r="E43" s="362">
        <f>IFERROR(VLOOKUP(C43,'تقرير المصروفات حسب الشهر'!$C$135:$AL$252,30,FALSE),0)</f>
        <v>0</v>
      </c>
      <c r="F43" s="362">
        <v>0</v>
      </c>
      <c r="G43" s="362">
        <f>IFERROR(VLOOKUP(C43,'تقرير المصروفات حسب الشهر'!C407:AI520,30,0),0)</f>
        <v>0</v>
      </c>
      <c r="H43" s="362">
        <f>IFERROR(VLOOKUP(C43,'تقرير المصروفات حسب الشهر'!$C$512:$AL$620,30,FALSE),0)</f>
        <v>0</v>
      </c>
      <c r="I43" s="362">
        <f>IFERROR(VLOOKUP(C43,'تقرير المصروفات حسب الشهر'!$C$637:$AI$748,30,FALSE),0)</f>
        <v>0</v>
      </c>
      <c r="J43" s="362">
        <f>IFERROR(VLOOKUP(C43,'تقرير المصروفات حسب الشهر'!$C$763:$AI$877,30,FALSE),0)</f>
        <v>0</v>
      </c>
      <c r="K43" s="362">
        <f>IFERROR(VLOOKUP(C43,'تقرير المصروفات حسب الشهر'!$C$890:$AI$1007,30,FALSE),0)</f>
        <v>0</v>
      </c>
      <c r="L43" s="362">
        <f>IFERROR(VLOOKUP(C43,'تقرير المصروفات حسب الشهر'!$C$1016:$AI$1131,30,FALSE),0)</f>
        <v>0</v>
      </c>
      <c r="M43" s="376">
        <f>IFERROR(VLOOKUP(C43,'تقرير المصروفات حسب الشهر'!$C$1143:$AI$1259,30,FALSE),0)</f>
        <v>0</v>
      </c>
      <c r="N43" s="376">
        <f>IFERROR(VLOOKUP(C43,'تقرير المصروفات حسب الشهر'!$C$1271:$AI$1385,30,FALSE),0)</f>
        <v>0</v>
      </c>
      <c r="O43" s="376">
        <f>IFERROR(VLOOKUP(C43,'تقرير المصروفات حسب الشهر'!$C$1397:$AI$1512,30,FALSE),0)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الشهر'!$C$10:$AL$124,30,FALSE),0)</f>
        <v>0</v>
      </c>
      <c r="E44" s="362">
        <f>IFERROR(VLOOKUP(C44,'تقرير المصروفات حسب الشهر'!$C$135:$AL$252,30,FALSE),0)</f>
        <v>0</v>
      </c>
      <c r="F44" s="362">
        <v>0</v>
      </c>
      <c r="G44" s="362">
        <f>IFERROR(VLOOKUP(C44,'تقرير المصروفات حسب الشهر'!C408:AI521,30,0),0)</f>
        <v>0</v>
      </c>
      <c r="H44" s="362">
        <f>IFERROR(VLOOKUP(C44,'تقرير المصروفات حسب الشهر'!$C$512:$AL$620,30,FALSE),0)</f>
        <v>0</v>
      </c>
      <c r="I44" s="362">
        <f>IFERROR(VLOOKUP(C44,'تقرير المصروفات حسب الشهر'!$C$637:$AI$748,30,FALSE),0)</f>
        <v>0</v>
      </c>
      <c r="J44" s="362">
        <f>IFERROR(VLOOKUP(C44,'تقرير المصروفات حسب الشهر'!$C$763:$AI$877,30,FALSE),0)</f>
        <v>0</v>
      </c>
      <c r="K44" s="362">
        <f>IFERROR(VLOOKUP(C44,'تقرير المصروفات حسب الشهر'!$C$890:$AI$1007,30,FALSE),0)</f>
        <v>0</v>
      </c>
      <c r="L44" s="362">
        <f>IFERROR(VLOOKUP(C44,'تقرير المصروفات حسب الشهر'!$C$1016:$AI$1131,30,FALSE),0)</f>
        <v>0</v>
      </c>
      <c r="M44" s="376">
        <f>IFERROR(VLOOKUP(C44,'تقرير المصروفات حسب الشهر'!$C$1143:$AI$1259,30,FALSE),0)</f>
        <v>0</v>
      </c>
      <c r="N44" s="376">
        <f>IFERROR(VLOOKUP(C44,'تقرير المصروفات حسب الشهر'!$C$1271:$AI$1385,30,FALSE),0)</f>
        <v>0</v>
      </c>
      <c r="O44" s="376">
        <f>IFERROR(VLOOKUP(C44,'تقرير المصروفات حسب الشهر'!$C$1397:$AI$1512,30,FALSE),0)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الشهر'!$C$10:$AL$124,30,FALSE),0)</f>
        <v>0</v>
      </c>
      <c r="E45" s="362">
        <f>IFERROR(VLOOKUP(C45,'تقرير المصروفات حسب الشهر'!$C$135:$AL$252,30,FALSE),0)</f>
        <v>0</v>
      </c>
      <c r="F45" s="362">
        <v>0</v>
      </c>
      <c r="G45" s="362">
        <f>IFERROR(VLOOKUP(C45,'تقرير المصروفات حسب الشهر'!C409:AI522,30,0),0)</f>
        <v>0</v>
      </c>
      <c r="H45" s="362">
        <f>IFERROR(VLOOKUP(C45,'تقرير المصروفات حسب الشهر'!$C$512:$AL$620,30,FALSE),0)</f>
        <v>0</v>
      </c>
      <c r="I45" s="362">
        <f>IFERROR(VLOOKUP(C45,'تقرير المصروفات حسب الشهر'!$C$637:$AI$748,30,FALSE),0)</f>
        <v>0</v>
      </c>
      <c r="J45" s="362">
        <f>IFERROR(VLOOKUP(C45,'تقرير المصروفات حسب الشهر'!$C$763:$AI$877,30,FALSE),0)</f>
        <v>0</v>
      </c>
      <c r="K45" s="362">
        <f>IFERROR(VLOOKUP(C45,'تقرير المصروفات حسب الشهر'!$C$890:$AI$1007,30,FALSE),0)</f>
        <v>0</v>
      </c>
      <c r="L45" s="362">
        <f>IFERROR(VLOOKUP(C45,'تقرير المصروفات حسب الشهر'!$C$1016:$AI$1131,30,FALSE),0)</f>
        <v>0</v>
      </c>
      <c r="M45" s="376">
        <f>IFERROR(VLOOKUP(C45,'تقرير المصروفات حسب الشهر'!$C$1143:$AI$1259,30,FALSE),0)</f>
        <v>0</v>
      </c>
      <c r="N45" s="376">
        <f>IFERROR(VLOOKUP(C45,'تقرير المصروفات حسب الشهر'!$C$1271:$AI$1385,30,FALSE),0)</f>
        <v>0</v>
      </c>
      <c r="O45" s="376">
        <f>IFERROR(VLOOKUP(C45,'تقرير المصروفات حسب الشهر'!$C$1397:$AI$1512,30,FALSE),0)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الشهر'!$C$10:$AL$124,30,FALSE),0)</f>
        <v>0</v>
      </c>
      <c r="E46" s="362">
        <f>IFERROR(VLOOKUP(C46,'تقرير المصروفات حسب الشهر'!$C$135:$AL$252,30,FALSE),0)</f>
        <v>0</v>
      </c>
      <c r="F46" s="362">
        <v>0</v>
      </c>
      <c r="G46" s="362">
        <f>IFERROR(VLOOKUP(C46,'تقرير المصروفات حسب الشهر'!C410:AI523,30,0),0)</f>
        <v>0</v>
      </c>
      <c r="H46" s="362">
        <f>IFERROR(VLOOKUP(C46,'تقرير المصروفات حسب الشهر'!$C$512:$AL$620,30,FALSE),0)</f>
        <v>0</v>
      </c>
      <c r="I46" s="362">
        <f>IFERROR(VLOOKUP(C46,'تقرير المصروفات حسب الشهر'!$C$637:$AI$748,30,FALSE),0)</f>
        <v>0</v>
      </c>
      <c r="J46" s="362">
        <f>IFERROR(VLOOKUP(C46,'تقرير المصروفات حسب الشهر'!$C$763:$AI$877,30,FALSE),0)</f>
        <v>0</v>
      </c>
      <c r="K46" s="362">
        <f>IFERROR(VLOOKUP(C46,'تقرير المصروفات حسب الشهر'!$C$890:$AI$1007,30,FALSE),0)</f>
        <v>0</v>
      </c>
      <c r="L46" s="362">
        <f>IFERROR(VLOOKUP(C46,'تقرير المصروفات حسب الشهر'!$C$1016:$AI$1131,30,FALSE),0)</f>
        <v>0</v>
      </c>
      <c r="M46" s="376">
        <f>IFERROR(VLOOKUP(C46,'تقرير المصروفات حسب الشهر'!$C$1143:$AI$1259,30,FALSE),0)</f>
        <v>0</v>
      </c>
      <c r="N46" s="376">
        <f>IFERROR(VLOOKUP(C46,'تقرير المصروفات حسب الشهر'!$C$1271:$AI$1385,30,FALSE),0)</f>
        <v>0</v>
      </c>
      <c r="O46" s="376">
        <f>IFERROR(VLOOKUP(C46,'تقرير المصروفات حسب الشهر'!$C$1397:$AI$1512,30,FALSE),0)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الشهر'!$C$10:$AL$124,30,FALSE),0)</f>
        <v>0</v>
      </c>
      <c r="E47" s="362">
        <f>IFERROR(VLOOKUP(C47,'تقرير المصروفات حسب الشهر'!$C$135:$AL$252,30,FALSE),0)</f>
        <v>0</v>
      </c>
      <c r="F47" s="362">
        <v>0</v>
      </c>
      <c r="G47" s="362">
        <f>IFERROR(VLOOKUP(C47,'تقرير المصروفات حسب الشهر'!C411:AI524,30,0),0)</f>
        <v>0</v>
      </c>
      <c r="H47" s="362">
        <f>IFERROR(VLOOKUP(C47,'تقرير المصروفات حسب الشهر'!$C$512:$AL$620,30,FALSE),0)</f>
        <v>0</v>
      </c>
      <c r="I47" s="362">
        <f>IFERROR(VLOOKUP(C47,'تقرير المصروفات حسب الشهر'!$C$637:$AI$748,30,FALSE),0)</f>
        <v>0</v>
      </c>
      <c r="J47" s="362">
        <f>IFERROR(VLOOKUP(C47,'تقرير المصروفات حسب الشهر'!$C$763:$AI$877,30,FALSE),0)</f>
        <v>0</v>
      </c>
      <c r="K47" s="362">
        <f>IFERROR(VLOOKUP(C47,'تقرير المصروفات حسب الشهر'!$C$890:$AI$1007,30,FALSE),0)</f>
        <v>0</v>
      </c>
      <c r="L47" s="362">
        <f>IFERROR(VLOOKUP(C47,'تقرير المصروفات حسب الشهر'!$C$1016:$AI$1131,30,FALSE),0)</f>
        <v>0</v>
      </c>
      <c r="M47" s="376">
        <f>IFERROR(VLOOKUP(C47,'تقرير المصروفات حسب الشهر'!$C$1143:$AI$1259,30,FALSE),0)</f>
        <v>0</v>
      </c>
      <c r="N47" s="376">
        <f>IFERROR(VLOOKUP(C47,'تقرير المصروفات حسب الشهر'!$C$1271:$AI$1385,30,FALSE),0)</f>
        <v>0</v>
      </c>
      <c r="O47" s="376">
        <f>IFERROR(VLOOKUP(C47,'تقرير المصروفات حسب الشهر'!$C$1397:$AI$1512,30,FALSE),0)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الشهر'!$C$10:$AL$124,30,FALSE),0)</f>
        <v>0</v>
      </c>
      <c r="E48" s="362">
        <f>IFERROR(VLOOKUP(C48,'تقرير المصروفات حسب الشهر'!$C$135:$AL$252,30,FALSE),0)</f>
        <v>0</v>
      </c>
      <c r="F48" s="362">
        <v>0</v>
      </c>
      <c r="G48" s="362">
        <f>IFERROR(VLOOKUP(C48,'تقرير المصروفات حسب الشهر'!C412:AI525,30,0),0)</f>
        <v>0</v>
      </c>
      <c r="H48" s="362">
        <f>IFERROR(VLOOKUP(C48,'تقرير المصروفات حسب الشهر'!$C$512:$AL$620,30,FALSE),0)</f>
        <v>0</v>
      </c>
      <c r="I48" s="362">
        <f>IFERROR(VLOOKUP(C48,'تقرير المصروفات حسب الشهر'!$C$637:$AI$748,30,FALSE),0)</f>
        <v>0</v>
      </c>
      <c r="J48" s="362">
        <f>IFERROR(VLOOKUP(C48,'تقرير المصروفات حسب الشهر'!$C$763:$AI$877,30,FALSE),0)</f>
        <v>0</v>
      </c>
      <c r="K48" s="362">
        <f>IFERROR(VLOOKUP(C48,'تقرير المصروفات حسب الشهر'!$C$890:$AI$1007,30,FALSE),0)</f>
        <v>0</v>
      </c>
      <c r="L48" s="362">
        <f>IFERROR(VLOOKUP(C48,'تقرير المصروفات حسب الشهر'!$C$1016:$AI$1131,30,FALSE),0)</f>
        <v>0</v>
      </c>
      <c r="M48" s="376">
        <f>IFERROR(VLOOKUP(C48,'تقرير المصروفات حسب الشهر'!$C$1143:$AI$1259,30,FALSE),0)</f>
        <v>0</v>
      </c>
      <c r="N48" s="376">
        <f>IFERROR(VLOOKUP(C48,'تقرير المصروفات حسب الشهر'!$C$1271:$AI$1385,30,FALSE),0)</f>
        <v>0</v>
      </c>
      <c r="O48" s="376">
        <f>IFERROR(VLOOKUP(C48,'تقرير المصروفات حسب الشهر'!$C$1397:$AI$1512,30,FALSE),0)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الشهر'!$C$10:$AL$124,30,FALSE),0)</f>
        <v>0</v>
      </c>
      <c r="E49" s="362">
        <f>IFERROR(VLOOKUP(C49,'تقرير المصروفات حسب الشهر'!$C$135:$AL$252,30,FALSE),0)</f>
        <v>0</v>
      </c>
      <c r="F49" s="362">
        <v>0</v>
      </c>
      <c r="G49" s="362">
        <f>IFERROR(VLOOKUP(C49,'تقرير المصروفات حسب الشهر'!C413:AI526,30,0),0)</f>
        <v>0</v>
      </c>
      <c r="H49" s="362">
        <f>IFERROR(VLOOKUP(C49,'تقرير المصروفات حسب الشهر'!$C$512:$AL$620,30,FALSE),0)</f>
        <v>0</v>
      </c>
      <c r="I49" s="362">
        <f>IFERROR(VLOOKUP(C49,'تقرير المصروفات حسب الشهر'!$C$637:$AI$748,30,FALSE),0)</f>
        <v>0</v>
      </c>
      <c r="J49" s="362">
        <f>IFERROR(VLOOKUP(C49,'تقرير المصروفات حسب الشهر'!$C$763:$AI$877,30,FALSE),0)</f>
        <v>0</v>
      </c>
      <c r="K49" s="362">
        <f>IFERROR(VLOOKUP(C49,'تقرير المصروفات حسب الشهر'!$C$890:$AI$1007,30,FALSE),0)</f>
        <v>0</v>
      </c>
      <c r="L49" s="362">
        <f>IFERROR(VLOOKUP(C49,'تقرير المصروفات حسب الشهر'!$C$1016:$AI$1131,30,FALSE),0)</f>
        <v>0</v>
      </c>
      <c r="M49" s="376">
        <f>IFERROR(VLOOKUP(C49,'تقرير المصروفات حسب الشهر'!$C$1143:$AI$1259,30,FALSE),0)</f>
        <v>0</v>
      </c>
      <c r="N49" s="376">
        <f>IFERROR(VLOOKUP(C49,'تقرير المصروفات حسب الشهر'!$C$1271:$AI$1385,30,FALSE),0)</f>
        <v>0</v>
      </c>
      <c r="O49" s="376">
        <f>IFERROR(VLOOKUP(C49,'تقرير المصروفات حسب الشهر'!$C$1397:$AI$1512,30,FALSE),0)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الشهر'!$C$10:$AL$124,30,FALSE),0)</f>
        <v>0</v>
      </c>
      <c r="E50" s="362">
        <f>IFERROR(VLOOKUP(C50,'تقرير المصروفات حسب الشهر'!$C$135:$AL$252,30,FALSE),0)</f>
        <v>0</v>
      </c>
      <c r="F50" s="362">
        <v>0</v>
      </c>
      <c r="G50" s="362">
        <f>IFERROR(VLOOKUP(C50,'تقرير المصروفات حسب الشهر'!C414:AI527,30,0),0)</f>
        <v>0</v>
      </c>
      <c r="H50" s="362">
        <f>IFERROR(VLOOKUP(C50,'تقرير المصروفات حسب الشهر'!$C$512:$AL$620,30,FALSE),0)</f>
        <v>0</v>
      </c>
      <c r="I50" s="362">
        <f>IFERROR(VLOOKUP(C50,'تقرير المصروفات حسب الشهر'!$C$637:$AI$748,30,FALSE),0)</f>
        <v>0</v>
      </c>
      <c r="J50" s="362">
        <f>IFERROR(VLOOKUP(C50,'تقرير المصروفات حسب الشهر'!$C$763:$AI$877,30,FALSE),0)</f>
        <v>0</v>
      </c>
      <c r="K50" s="362">
        <f>IFERROR(VLOOKUP(C50,'تقرير المصروفات حسب الشهر'!$C$890:$AI$1007,30,FALSE),0)</f>
        <v>0</v>
      </c>
      <c r="L50" s="362">
        <f>IFERROR(VLOOKUP(C50,'تقرير المصروفات حسب الشهر'!$C$1016:$AI$1131,30,FALSE),0)</f>
        <v>0</v>
      </c>
      <c r="M50" s="376">
        <f>IFERROR(VLOOKUP(C50,'تقرير المصروفات حسب الشهر'!$C$1143:$AI$1259,30,FALSE),0)</f>
        <v>0</v>
      </c>
      <c r="N50" s="376">
        <f>IFERROR(VLOOKUP(C50,'تقرير المصروفات حسب الشهر'!$C$1271:$AI$1385,30,FALSE),0)</f>
        <v>0</v>
      </c>
      <c r="O50" s="376">
        <f>IFERROR(VLOOKUP(C50,'تقرير المصروفات حسب الشهر'!$C$1397:$AI$1512,30,FALSE),0)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الشهر'!$C$10:$AL$124,30,FALSE),0)</f>
        <v>0</v>
      </c>
      <c r="E51" s="362">
        <f>IFERROR(VLOOKUP(C51,'تقرير المصروفات حسب الشهر'!$C$135:$AL$252,30,FALSE),0)</f>
        <v>0</v>
      </c>
      <c r="F51" s="362">
        <v>0</v>
      </c>
      <c r="G51" s="362">
        <f>IFERROR(VLOOKUP(C51,'تقرير المصروفات حسب الشهر'!C415:AI528,30,0),0)</f>
        <v>0</v>
      </c>
      <c r="H51" s="362">
        <f>IFERROR(VLOOKUP(C51,'تقرير المصروفات حسب الشهر'!$C$512:$AL$620,30,FALSE),0)</f>
        <v>0</v>
      </c>
      <c r="I51" s="362">
        <f>IFERROR(VLOOKUP(C51,'تقرير المصروفات حسب الشهر'!$C$637:$AI$748,30,FALSE),0)</f>
        <v>0</v>
      </c>
      <c r="J51" s="362">
        <f>IFERROR(VLOOKUP(C51,'تقرير المصروفات حسب الشهر'!$C$763:$AI$877,30,FALSE),0)</f>
        <v>0</v>
      </c>
      <c r="K51" s="362">
        <f>IFERROR(VLOOKUP(C51,'تقرير المصروفات حسب الشهر'!$C$890:$AI$1007,30,FALSE),0)</f>
        <v>0</v>
      </c>
      <c r="L51" s="362">
        <f>IFERROR(VLOOKUP(C51,'تقرير المصروفات حسب الشهر'!$C$1016:$AI$1131,30,FALSE),0)</f>
        <v>0</v>
      </c>
      <c r="M51" s="376">
        <f>IFERROR(VLOOKUP(C51,'تقرير المصروفات حسب الشهر'!$C$1143:$AI$1259,30,FALSE),0)</f>
        <v>0</v>
      </c>
      <c r="N51" s="376">
        <f>IFERROR(VLOOKUP(C51,'تقرير المصروفات حسب الشهر'!$C$1271:$AI$1385,30,FALSE),0)</f>
        <v>0</v>
      </c>
      <c r="O51" s="376">
        <f>IFERROR(VLOOKUP(C51,'تقرير المصروفات حسب الشهر'!$C$1397:$AI$1512,30,FALSE),0)</f>
        <v>0</v>
      </c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الشهر'!$C$10:$AL$124,30,FALSE),0)</f>
        <v>6500</v>
      </c>
      <c r="E52" s="362">
        <f>IFERROR(VLOOKUP(C52,'تقرير المصروفات حسب الشهر'!$C$135:$AL$252,30,FALSE),0)</f>
        <v>0</v>
      </c>
      <c r="F52" s="362">
        <v>0</v>
      </c>
      <c r="G52" s="362">
        <f>IFERROR(VLOOKUP(C52,'تقرير المصروفات حسب الشهر'!C416:AI529,30,0),0)</f>
        <v>0</v>
      </c>
      <c r="H52" s="362">
        <f>IFERROR(VLOOKUP(C52,'تقرير المصروفات حسب الشهر'!$C$512:$AL$620,30,FALSE),0)</f>
        <v>0</v>
      </c>
      <c r="I52" s="362">
        <f>IFERROR(VLOOKUP(C52,'تقرير المصروفات حسب الشهر'!$C$637:$AI$748,30,FALSE),0)</f>
        <v>0</v>
      </c>
      <c r="J52" s="362">
        <f>IFERROR(VLOOKUP(C52,'تقرير المصروفات حسب الشهر'!$C$763:$AI$877,30,FALSE),0)</f>
        <v>0</v>
      </c>
      <c r="K52" s="362">
        <f>IFERROR(VLOOKUP(C52,'تقرير المصروفات حسب الشهر'!$C$890:$AI$1007,30,FALSE),0)</f>
        <v>0</v>
      </c>
      <c r="L52" s="362">
        <f>IFERROR(VLOOKUP(C52,'تقرير المصروفات حسب الشهر'!$C$1016:$AI$1131,30,FALSE),0)</f>
        <v>0</v>
      </c>
      <c r="M52" s="376">
        <f>IFERROR(VLOOKUP(C52,'تقرير المصروفات حسب الشهر'!$C$1143:$AI$1259,30,FALSE),0)</f>
        <v>0</v>
      </c>
      <c r="N52" s="376">
        <f>IFERROR(VLOOKUP(C52,'تقرير المصروفات حسب الشهر'!$C$1271:$AI$1385,30,FALSE),0)</f>
        <v>0</v>
      </c>
      <c r="O52" s="376">
        <f>IFERROR(VLOOKUP(C52,'تقرير المصروفات حسب الشهر'!$C$1397:$AI$1512,30,FALSE),0)</f>
        <v>0</v>
      </c>
      <c r="P52" s="364">
        <f t="shared" si="5"/>
        <v>6500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الشهر'!$C$10:$AL$124,30,FALSE),0)</f>
        <v>0</v>
      </c>
      <c r="E53" s="362">
        <f>IFERROR(VLOOKUP(C53,'تقرير المصروفات حسب الشهر'!$C$135:$AL$252,30,FALSE),0)</f>
        <v>0</v>
      </c>
      <c r="F53" s="362">
        <v>0</v>
      </c>
      <c r="G53" s="362">
        <f>IFERROR(VLOOKUP(C53,'تقرير المصروفات حسب الشهر'!C417:AI530,30,0),0)</f>
        <v>0</v>
      </c>
      <c r="H53" s="362">
        <f>IFERROR(VLOOKUP(C53,'تقرير المصروفات حسب الشهر'!$C$512:$AL$620,30,FALSE),0)</f>
        <v>0</v>
      </c>
      <c r="I53" s="362">
        <f>IFERROR(VLOOKUP(C53,'تقرير المصروفات حسب الشهر'!$C$637:$AI$748,30,FALSE),0)</f>
        <v>0</v>
      </c>
      <c r="J53" s="362">
        <f>IFERROR(VLOOKUP(C53,'تقرير المصروفات حسب الشهر'!$C$763:$AI$877,30,FALSE),0)</f>
        <v>0</v>
      </c>
      <c r="K53" s="362">
        <f>IFERROR(VLOOKUP(C53,'تقرير المصروفات حسب الشهر'!$C$890:$AI$1007,30,FALSE),0)</f>
        <v>0</v>
      </c>
      <c r="L53" s="362">
        <f>IFERROR(VLOOKUP(C53,'تقرير المصروفات حسب الشهر'!$C$1016:$AI$1131,30,FALSE),0)</f>
        <v>0</v>
      </c>
      <c r="M53" s="376">
        <f>IFERROR(VLOOKUP(C53,'تقرير المصروفات حسب الشهر'!$C$1143:$AI$1259,30,FALSE),0)</f>
        <v>0</v>
      </c>
      <c r="N53" s="376">
        <f>IFERROR(VLOOKUP(C53,'تقرير المصروفات حسب الشهر'!$C$1271:$AI$1385,30,FALSE),0)</f>
        <v>0</v>
      </c>
      <c r="O53" s="376">
        <f>IFERROR(VLOOKUP(C53,'تقرير المصروفات حسب الشهر'!$C$1397:$AI$1512,30,FALSE),0)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الشهر'!$C$10:$AL$124,30,FALSE),0)</f>
        <v>0</v>
      </c>
      <c r="E54" s="362">
        <f>IFERROR(VLOOKUP(C54,'تقرير المصروفات حسب الشهر'!$C$135:$AL$252,30,FALSE),0)</f>
        <v>0</v>
      </c>
      <c r="F54" s="362">
        <v>0</v>
      </c>
      <c r="G54" s="362">
        <f>IFERROR(VLOOKUP(C54,'تقرير المصروفات حسب الشهر'!C418:AI531,30,0),0)</f>
        <v>0</v>
      </c>
      <c r="H54" s="362">
        <f>IFERROR(VLOOKUP(C54,'تقرير المصروفات حسب الشهر'!$C$512:$AL$620,30,FALSE),0)</f>
        <v>100</v>
      </c>
      <c r="I54" s="362">
        <f>IFERROR(VLOOKUP(C54,'تقرير المصروفات حسب الشهر'!$C$637:$AI$748,30,FALSE),0)</f>
        <v>0</v>
      </c>
      <c r="J54" s="362">
        <f>IFERROR(VLOOKUP(C54,'تقرير المصروفات حسب الشهر'!$C$763:$AI$877,30,FALSE),0)</f>
        <v>0</v>
      </c>
      <c r="K54" s="362">
        <f>IFERROR(VLOOKUP(C54,'تقرير المصروفات حسب الشهر'!$C$890:$AI$1007,30,FALSE),0)</f>
        <v>0</v>
      </c>
      <c r="L54" s="362">
        <f>IFERROR(VLOOKUP(C54,'تقرير المصروفات حسب الشهر'!$C$1016:$AI$1131,30,FALSE),0)</f>
        <v>0</v>
      </c>
      <c r="M54" s="376">
        <f>IFERROR(VLOOKUP(C54,'تقرير المصروفات حسب الشهر'!$C$1143:$AI$1259,30,FALSE),0)</f>
        <v>0</v>
      </c>
      <c r="N54" s="376">
        <f>IFERROR(VLOOKUP(C54,'تقرير المصروفات حسب الشهر'!$C$1271:$AI$1385,30,FALSE),0)</f>
        <v>0</v>
      </c>
      <c r="O54" s="376">
        <f>IFERROR(VLOOKUP(C54,'تقرير المصروفات حسب الشهر'!$C$1397:$AI$1512,30,FALSE),0)</f>
        <v>0</v>
      </c>
      <c r="P54" s="364">
        <f t="shared" si="5"/>
        <v>100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الشهر'!$C$10:$AL$124,30,FALSE),0)</f>
        <v>0</v>
      </c>
      <c r="E55" s="362">
        <f>IFERROR(VLOOKUP(C55,'تقرير المصروفات حسب الشهر'!$C$135:$AL$252,30,FALSE),0)</f>
        <v>0</v>
      </c>
      <c r="F55" s="362">
        <v>0</v>
      </c>
      <c r="G55" s="362">
        <f>IFERROR(VLOOKUP(C55,'تقرير المصروفات حسب الشهر'!C419:AI532,30,0),0)</f>
        <v>0</v>
      </c>
      <c r="H55" s="362">
        <f>IFERROR(VLOOKUP(C55,'تقرير المصروفات حسب الشهر'!$C$512:$AL$620,30,FALSE),0)</f>
        <v>0</v>
      </c>
      <c r="I55" s="362">
        <f>IFERROR(VLOOKUP(C55,'تقرير المصروفات حسب الشهر'!$C$637:$AI$748,30,FALSE),0)</f>
        <v>0</v>
      </c>
      <c r="J55" s="362">
        <f>IFERROR(VLOOKUP(C55,'تقرير المصروفات حسب الشهر'!$C$763:$AI$877,30,FALSE),0)</f>
        <v>0</v>
      </c>
      <c r="K55" s="362">
        <f>IFERROR(VLOOKUP(C55,'تقرير المصروفات حسب الشهر'!$C$890:$AI$1007,30,FALSE),0)</f>
        <v>0</v>
      </c>
      <c r="L55" s="362">
        <f>IFERROR(VLOOKUP(C55,'تقرير المصروفات حسب الشهر'!$C$1016:$AI$1131,30,FALSE),0)</f>
        <v>0</v>
      </c>
      <c r="M55" s="376">
        <f>IFERROR(VLOOKUP(C55,'تقرير المصروفات حسب الشهر'!$C$1143:$AI$1259,30,FALSE),0)</f>
        <v>0</v>
      </c>
      <c r="N55" s="376">
        <f>IFERROR(VLOOKUP(C55,'تقرير المصروفات حسب الشهر'!$C$1271:$AI$1385,30,FALSE),0)</f>
        <v>0</v>
      </c>
      <c r="O55" s="376">
        <f>IFERROR(VLOOKUP(C55,'تقرير المصروفات حسب الشهر'!$C$1397:$AI$1512,30,FALSE),0)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الشهر'!$C$10:$AL$124,30,FALSE),0)</f>
        <v>0</v>
      </c>
      <c r="E56" s="362">
        <f>IFERROR(VLOOKUP(C56,'تقرير المصروفات حسب الشهر'!$C$135:$AL$252,30,FALSE),0)</f>
        <v>66.5</v>
      </c>
      <c r="F56" s="362">
        <v>0</v>
      </c>
      <c r="G56" s="362">
        <f>IFERROR(VLOOKUP(C56,'تقرير المصروفات حسب الشهر'!C420:AI533,30,0),0)</f>
        <v>0</v>
      </c>
      <c r="H56" s="362">
        <f>IFERROR(VLOOKUP(C56,'تقرير المصروفات حسب الشهر'!$C$512:$AL$620,30,FALSE),0)</f>
        <v>0</v>
      </c>
      <c r="I56" s="362">
        <f>IFERROR(VLOOKUP(C56,'تقرير المصروفات حسب الشهر'!$C$637:$AI$748,30,FALSE),0)</f>
        <v>0</v>
      </c>
      <c r="J56" s="362">
        <f>IFERROR(VLOOKUP(C56,'تقرير المصروفات حسب الشهر'!$C$763:$AI$877,30,FALSE),0)</f>
        <v>0</v>
      </c>
      <c r="K56" s="362">
        <f>IFERROR(VLOOKUP(C56,'تقرير المصروفات حسب الشهر'!$C$890:$AI$1007,30,FALSE),0)</f>
        <v>0</v>
      </c>
      <c r="L56" s="362">
        <f>IFERROR(VLOOKUP(C56,'تقرير المصروفات حسب الشهر'!$C$1016:$AI$1131,30,FALSE),0)</f>
        <v>0</v>
      </c>
      <c r="M56" s="376">
        <f>IFERROR(VLOOKUP(C56,'تقرير المصروفات حسب الشهر'!$C$1143:$AI$1259,30,FALSE),0)</f>
        <v>0</v>
      </c>
      <c r="N56" s="376">
        <f>IFERROR(VLOOKUP(C56,'تقرير المصروفات حسب الشهر'!$C$1271:$AI$1385,30,FALSE),0)</f>
        <v>0</v>
      </c>
      <c r="O56" s="376">
        <f>IFERROR(VLOOKUP(C56,'تقرير المصروفات حسب الشهر'!$C$1397:$AI$1512,30,FALSE),0)</f>
        <v>0</v>
      </c>
      <c r="P56" s="364">
        <f t="shared" si="5"/>
        <v>66.5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الشهر'!$C$10:$AL$124,30,FALSE),0)</f>
        <v>0</v>
      </c>
      <c r="E57" s="362">
        <f>IFERROR(VLOOKUP(C57,'تقرير المصروفات حسب الشهر'!$C$135:$AL$252,30,FALSE),0)</f>
        <v>0</v>
      </c>
      <c r="F57" s="362">
        <v>0</v>
      </c>
      <c r="G57" s="362">
        <f>IFERROR(VLOOKUP(C57,'تقرير المصروفات حسب الشهر'!C421:AI534,30,0),0)</f>
        <v>0</v>
      </c>
      <c r="H57" s="362">
        <f>IFERROR(VLOOKUP(C57,'تقرير المصروفات حسب الشهر'!$C$512:$AL$620,30,FALSE),0)</f>
        <v>0</v>
      </c>
      <c r="I57" s="362">
        <f>IFERROR(VLOOKUP(C57,'تقرير المصروفات حسب الشهر'!$C$637:$AI$748,30,FALSE),0)</f>
        <v>0</v>
      </c>
      <c r="J57" s="362">
        <f>IFERROR(VLOOKUP(C57,'تقرير المصروفات حسب الشهر'!$C$763:$AI$877,30,FALSE),0)</f>
        <v>0</v>
      </c>
      <c r="K57" s="362">
        <f>IFERROR(VLOOKUP(C57,'تقرير المصروفات حسب الشهر'!$C$890:$AI$1007,30,FALSE),0)</f>
        <v>0</v>
      </c>
      <c r="L57" s="362">
        <f>IFERROR(VLOOKUP(C57,'تقرير المصروفات حسب الشهر'!$C$1016:$AI$1131,30,FALSE),0)</f>
        <v>0</v>
      </c>
      <c r="M57" s="376">
        <f>IFERROR(VLOOKUP(C57,'تقرير المصروفات حسب الشهر'!$C$1143:$AI$1259,30,FALSE),0)</f>
        <v>0</v>
      </c>
      <c r="N57" s="376">
        <f>IFERROR(VLOOKUP(C57,'تقرير المصروفات حسب الشهر'!$C$1271:$AI$1385,30,FALSE),0)</f>
        <v>0</v>
      </c>
      <c r="O57" s="376">
        <f>IFERROR(VLOOKUP(C57,'تقرير المصروفات حسب الشهر'!$C$1397:$AI$1512,30,FALSE),0)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الشهر'!$C$10:$AL$124,30,FALSE),0)</f>
        <v>0</v>
      </c>
      <c r="E58" s="362">
        <f>IFERROR(VLOOKUP(C58,'تقرير المصروفات حسب الشهر'!$C$135:$AL$252,30,FALSE),0)</f>
        <v>0</v>
      </c>
      <c r="F58" s="362">
        <v>0</v>
      </c>
      <c r="G58" s="362">
        <f>IFERROR(VLOOKUP(C58,'تقرير المصروفات حسب الشهر'!C422:AI535,30,0),0)</f>
        <v>0</v>
      </c>
      <c r="H58" s="362">
        <f>IFERROR(VLOOKUP(C58,'تقرير المصروفات حسب الشهر'!$C$512:$AL$620,30,FALSE),0)</f>
        <v>0</v>
      </c>
      <c r="I58" s="362">
        <f>IFERROR(VLOOKUP(C58,'تقرير المصروفات حسب الشهر'!$C$637:$AI$748,30,FALSE),0)</f>
        <v>0</v>
      </c>
      <c r="J58" s="362">
        <f>IFERROR(VLOOKUP(C58,'تقرير المصروفات حسب الشهر'!$C$763:$AI$877,30,FALSE),0)</f>
        <v>0</v>
      </c>
      <c r="K58" s="362">
        <f>IFERROR(VLOOKUP(C58,'تقرير المصروفات حسب الشهر'!$C$890:$AI$1007,30,FALSE),0)</f>
        <v>0</v>
      </c>
      <c r="L58" s="362">
        <f>IFERROR(VLOOKUP(C58,'تقرير المصروفات حسب الشهر'!$C$1016:$AI$1131,30,FALSE),0)</f>
        <v>0</v>
      </c>
      <c r="M58" s="376">
        <f>IFERROR(VLOOKUP(C58,'تقرير المصروفات حسب الشهر'!$C$1143:$AI$1259,30,FALSE),0)</f>
        <v>0</v>
      </c>
      <c r="N58" s="376">
        <f>IFERROR(VLOOKUP(C58,'تقرير المصروفات حسب الشهر'!$C$1271:$AI$1385,30,FALSE),0)</f>
        <v>0</v>
      </c>
      <c r="O58" s="376">
        <f>IFERROR(VLOOKUP(C58,'تقرير المصروفات حسب الشهر'!$C$1397:$AI$1512,30,FALSE),0)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الشهر'!$C$10:$AL$124,30,FALSE),0)</f>
        <v>0</v>
      </c>
      <c r="E59" s="362">
        <f>IFERROR(VLOOKUP(C59,'تقرير المصروفات حسب الشهر'!$C$135:$AL$252,30,FALSE),0)</f>
        <v>0</v>
      </c>
      <c r="F59" s="362">
        <v>899.5</v>
      </c>
      <c r="G59" s="362">
        <f>IFERROR(VLOOKUP(C59,'تقرير المصروفات حسب الشهر'!C423:AI536,30,0),0)</f>
        <v>788.5</v>
      </c>
      <c r="H59" s="362">
        <f>IFERROR(VLOOKUP(C59,'تقرير المصروفات حسب الشهر'!$C$512:$AL$620,30,FALSE),0)</f>
        <v>0</v>
      </c>
      <c r="I59" s="362">
        <f>IFERROR(VLOOKUP(C59,'تقرير المصروفات حسب الشهر'!$C$637:$AI$748,30,FALSE),0)</f>
        <v>888.9</v>
      </c>
      <c r="J59" s="362">
        <f>IFERROR(VLOOKUP(C59,'تقرير المصروفات حسب الشهر'!$C$763:$AI$877,30,FALSE),0)</f>
        <v>1200.02</v>
      </c>
      <c r="K59" s="362">
        <f>IFERROR(VLOOKUP(C59,'تقرير المصروفات حسب الشهر'!$C$890:$AI$1007,30,FALSE),0)</f>
        <v>0</v>
      </c>
      <c r="L59" s="362">
        <f>IFERROR(VLOOKUP(C59,'تقرير المصروفات حسب الشهر'!$C$1016:$AI$1131,30,FALSE),0)</f>
        <v>3800.25</v>
      </c>
      <c r="M59" s="376">
        <f>IFERROR(VLOOKUP(C59,'تقرير المصروفات حسب الشهر'!$C$1143:$AI$1259,30,FALSE),0)</f>
        <v>2223.25</v>
      </c>
      <c r="N59" s="376">
        <f>IFERROR(VLOOKUP(C59,'تقرير المصروفات حسب الشهر'!$C$1271:$AI$1385,30,FALSE),0)</f>
        <v>1900.25</v>
      </c>
      <c r="O59" s="376">
        <f>IFERROR(VLOOKUP(C59,'تقرير المصروفات حسب الشهر'!$C$1397:$AI$1512,30,FALSE),0)</f>
        <v>2900</v>
      </c>
      <c r="P59" s="364">
        <f t="shared" si="5"/>
        <v>14600.67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الشهر'!$C$10:$AL$124,30,FALSE),0)</f>
        <v>2652</v>
      </c>
      <c r="E60" s="362">
        <f>IFERROR(VLOOKUP(C60,'تقرير المصروفات حسب الشهر'!$C$135:$AL$252,30,FALSE),0)</f>
        <v>0</v>
      </c>
      <c r="F60" s="362">
        <v>6000</v>
      </c>
      <c r="G60" s="362">
        <f>IFERROR(VLOOKUP(C60,'تقرير المصروفات حسب الشهر'!C424:AI537,30,0),0)</f>
        <v>6200</v>
      </c>
      <c r="H60" s="362">
        <f>IFERROR(VLOOKUP(C60,'تقرير المصروفات حسب الشهر'!$C$512:$AL$620,30,FALSE),0)</f>
        <v>0</v>
      </c>
      <c r="I60" s="362">
        <f>IFERROR(VLOOKUP(C60,'تقرير المصروفات حسب الشهر'!$C$637:$AI$748,30,FALSE),0)</f>
        <v>0</v>
      </c>
      <c r="J60" s="362">
        <f>IFERROR(VLOOKUP(C60,'تقرير المصروفات حسب الشهر'!$C$763:$AI$877,30,FALSE),0)</f>
        <v>0</v>
      </c>
      <c r="K60" s="362">
        <f>IFERROR(VLOOKUP(C60,'تقرير المصروفات حسب الشهر'!$C$890:$AI$1007,30,FALSE),0)</f>
        <v>0</v>
      </c>
      <c r="L60" s="362">
        <f>IFERROR(VLOOKUP(C60,'تقرير المصروفات حسب الشهر'!$C$1016:$AI$1131,30,FALSE),0)</f>
        <v>0</v>
      </c>
      <c r="M60" s="376">
        <f>IFERROR(VLOOKUP(C60,'تقرير المصروفات حسب الشهر'!$C$1143:$AI$1259,30,FALSE),0)</f>
        <v>3300</v>
      </c>
      <c r="N60" s="376">
        <f>IFERROR(VLOOKUP(C60,'تقرير المصروفات حسب الشهر'!$C$1271:$AI$1385,30,FALSE),0)</f>
        <v>0</v>
      </c>
      <c r="O60" s="376">
        <f>IFERROR(VLOOKUP(C60,'تقرير المصروفات حسب الشهر'!$C$1397:$AI$1512,30,FALSE),0)</f>
        <v>3300</v>
      </c>
      <c r="P60" s="364">
        <f t="shared" si="5"/>
        <v>21452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الشهر'!$C$10:$AL$124,30,FALSE),0)</f>
        <v>0</v>
      </c>
      <c r="E61" s="362">
        <f>IFERROR(VLOOKUP(C61,'تقرير المصروفات حسب الشهر'!$C$135:$AL$252,30,FALSE),0)</f>
        <v>0</v>
      </c>
      <c r="F61" s="362">
        <v>0</v>
      </c>
      <c r="G61" s="362">
        <f>IFERROR(VLOOKUP(C61,'تقرير المصروفات حسب الشهر'!C425:AI538,30,0),0)</f>
        <v>0</v>
      </c>
      <c r="H61" s="362">
        <f>IFERROR(VLOOKUP(C61,'تقرير المصروفات حسب الشهر'!$C$512:$AL$620,30,FALSE),0)</f>
        <v>0</v>
      </c>
      <c r="I61" s="362">
        <f>IFERROR(VLOOKUP(C61,'تقرير المصروفات حسب الشهر'!$C$637:$AI$748,30,FALSE),0)</f>
        <v>0</v>
      </c>
      <c r="J61" s="362">
        <f>IFERROR(VLOOKUP(C61,'تقرير المصروفات حسب الشهر'!$C$763:$AI$877,30,FALSE),0)</f>
        <v>0</v>
      </c>
      <c r="K61" s="362">
        <f>IFERROR(VLOOKUP(C61,'تقرير المصروفات حسب الشهر'!$C$890:$AI$1007,30,FALSE),0)</f>
        <v>0</v>
      </c>
      <c r="L61" s="362">
        <f>IFERROR(VLOOKUP(C61,'تقرير المصروفات حسب الشهر'!$C$1016:$AI$1131,30,FALSE),0)</f>
        <v>350</v>
      </c>
      <c r="M61" s="376">
        <f>IFERROR(VLOOKUP(C61,'تقرير المصروفات حسب الشهر'!$C$1143:$AI$1259,30,FALSE),0)</f>
        <v>0</v>
      </c>
      <c r="N61" s="376">
        <f>IFERROR(VLOOKUP(C61,'تقرير المصروفات حسب الشهر'!$C$1271:$AI$1385,30,FALSE),0)</f>
        <v>0</v>
      </c>
      <c r="O61" s="376">
        <f>IFERROR(VLOOKUP(C61,'تقرير المصروفات حسب الشهر'!$C$1397:$AI$1512,30,FALSE),0)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الشهر'!$C$10:$AL$124,30,FALSE),0)</f>
        <v>0</v>
      </c>
      <c r="E62" s="362">
        <f>IFERROR(VLOOKUP(C62,'تقرير المصروفات حسب الشهر'!$C$135:$AL$252,30,FALSE),0)</f>
        <v>0</v>
      </c>
      <c r="F62" s="362">
        <v>0</v>
      </c>
      <c r="G62" s="362">
        <f>IFERROR(VLOOKUP(C62,'تقرير المصروفات حسب الشهر'!C426:AI539,30,0),0)</f>
        <v>0</v>
      </c>
      <c r="H62" s="362">
        <f>IFERROR(VLOOKUP(C62,'تقرير المصروفات حسب الشهر'!$C$512:$AL$620,30,FALSE),0)</f>
        <v>0</v>
      </c>
      <c r="I62" s="362">
        <f>IFERROR(VLOOKUP(C62,'تقرير المصروفات حسب الشهر'!$C$637:$AI$748,30,FALSE),0)</f>
        <v>0</v>
      </c>
      <c r="J62" s="362">
        <f>IFERROR(VLOOKUP(C62,'تقرير المصروفات حسب الشهر'!$C$763:$AI$877,30,FALSE),0)</f>
        <v>0</v>
      </c>
      <c r="K62" s="362">
        <f>IFERROR(VLOOKUP(C62,'تقرير المصروفات حسب الشهر'!$C$890:$AI$1007,30,FALSE),0)</f>
        <v>0</v>
      </c>
      <c r="L62" s="362">
        <f>IFERROR(VLOOKUP(C62,'تقرير المصروفات حسب الشهر'!$C$1016:$AI$1131,30,FALSE),0)</f>
        <v>0</v>
      </c>
      <c r="M62" s="376">
        <f>IFERROR(VLOOKUP(C62,'تقرير المصروفات حسب الشهر'!$C$1143:$AI$1259,30,FALSE),0)</f>
        <v>0</v>
      </c>
      <c r="N62" s="376">
        <f>IFERROR(VLOOKUP(C62,'تقرير المصروفات حسب الشهر'!$C$1271:$AI$1385,30,FALSE),0)</f>
        <v>0</v>
      </c>
      <c r="O62" s="376">
        <f>IFERROR(VLOOKUP(C62,'تقرير المصروفات حسب الشهر'!$C$1397:$AI$1512,30,FALSE),0)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الشهر'!$C$10:$AL$124,30,FALSE),0)</f>
        <v>0</v>
      </c>
      <c r="E63" s="362">
        <f>IFERROR(VLOOKUP(C63,'تقرير المصروفات حسب الشهر'!$C$135:$AL$252,30,FALSE),0)</f>
        <v>0</v>
      </c>
      <c r="F63" s="362">
        <v>0</v>
      </c>
      <c r="G63" s="362">
        <f>IFERROR(VLOOKUP(C63,'تقرير المصروفات حسب الشهر'!C427:AI540,30,0),0)</f>
        <v>0</v>
      </c>
      <c r="H63" s="362">
        <f>IFERROR(VLOOKUP(C63,'تقرير المصروفات حسب الشهر'!$C$512:$AL$620,30,FALSE),0)</f>
        <v>0</v>
      </c>
      <c r="I63" s="362">
        <f>IFERROR(VLOOKUP(C63,'تقرير المصروفات حسب الشهر'!$C$637:$AI$748,30,FALSE),0)</f>
        <v>0</v>
      </c>
      <c r="J63" s="362">
        <f>IFERROR(VLOOKUP(C63,'تقرير المصروفات حسب الشهر'!$C$763:$AI$877,30,FALSE),0)</f>
        <v>0</v>
      </c>
      <c r="K63" s="362">
        <f>IFERROR(VLOOKUP(C63,'تقرير المصروفات حسب الشهر'!$C$890:$AI$1007,30,FALSE),0)</f>
        <v>0</v>
      </c>
      <c r="L63" s="362">
        <f>IFERROR(VLOOKUP(C63,'تقرير المصروفات حسب الشهر'!$C$1016:$AI$1131,30,FALSE),0)</f>
        <v>0</v>
      </c>
      <c r="M63" s="376">
        <f>IFERROR(VLOOKUP(C63,'تقرير المصروفات حسب الشهر'!$C$1143:$AI$1259,30,FALSE),0)</f>
        <v>0</v>
      </c>
      <c r="N63" s="376">
        <f>IFERROR(VLOOKUP(C63,'تقرير المصروفات حسب الشهر'!$C$1271:$AI$1385,30,FALSE),0)</f>
        <v>0</v>
      </c>
      <c r="O63" s="376">
        <f>IFERROR(VLOOKUP(C63,'تقرير المصروفات حسب الشهر'!$C$1397:$AI$1512,30,FALSE),0)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الشهر'!$C$10:$AL$124,30,FALSE),0)</f>
        <v>0</v>
      </c>
      <c r="E64" s="362">
        <f>IFERROR(VLOOKUP(C64,'تقرير المصروفات حسب الشهر'!$C$135:$AL$252,30,FALSE),0)</f>
        <v>0</v>
      </c>
      <c r="F64" s="362">
        <v>0</v>
      </c>
      <c r="G64" s="362">
        <f>IFERROR(VLOOKUP(C64,'تقرير المصروفات حسب الشهر'!C428:AI541,30,0),0)</f>
        <v>0</v>
      </c>
      <c r="H64" s="362">
        <f>IFERROR(VLOOKUP(C64,'تقرير المصروفات حسب الشهر'!$C$512:$AL$620,30,FALSE),0)</f>
        <v>0</v>
      </c>
      <c r="I64" s="362">
        <f>IFERROR(VLOOKUP(C64,'تقرير المصروفات حسب الشهر'!$C$637:$AI$748,30,FALSE),0)</f>
        <v>0</v>
      </c>
      <c r="J64" s="362">
        <f>IFERROR(VLOOKUP(C64,'تقرير المصروفات حسب الشهر'!$C$763:$AI$877,30,FALSE),0)</f>
        <v>0</v>
      </c>
      <c r="K64" s="362">
        <f>IFERROR(VLOOKUP(C64,'تقرير المصروفات حسب الشهر'!$C$890:$AI$1007,30,FALSE),0)</f>
        <v>0</v>
      </c>
      <c r="L64" s="362">
        <f>IFERROR(VLOOKUP(C64,'تقرير المصروفات حسب الشهر'!$C$1016:$AI$1131,30,FALSE),0)</f>
        <v>0</v>
      </c>
      <c r="M64" s="376">
        <f>IFERROR(VLOOKUP(C64,'تقرير المصروفات حسب الشهر'!$C$1143:$AI$1259,30,FALSE),0)</f>
        <v>0</v>
      </c>
      <c r="N64" s="376">
        <f>IFERROR(VLOOKUP(C64,'تقرير المصروفات حسب الشهر'!$C$1271:$AI$1385,30,FALSE),0)</f>
        <v>0</v>
      </c>
      <c r="O64" s="376">
        <f>IFERROR(VLOOKUP(C64,'تقرير المصروفات حسب الشهر'!$C$1397:$AI$1512,30,FALSE),0)</f>
        <v>0</v>
      </c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الشهر'!$C$10:$AL$124,30,FALSE),0)</f>
        <v>0</v>
      </c>
      <c r="E65" s="362">
        <f>IFERROR(VLOOKUP(C65,'تقرير المصروفات حسب الشهر'!$C$135:$AL$252,30,FALSE),0)</f>
        <v>0</v>
      </c>
      <c r="F65" s="362">
        <v>0</v>
      </c>
      <c r="G65" s="362">
        <f>IFERROR(VLOOKUP(C65,'تقرير المصروفات حسب الشهر'!C429:AI542,30,0),0)</f>
        <v>0</v>
      </c>
      <c r="H65" s="362">
        <f>IFERROR(VLOOKUP(C65,'تقرير المصروفات حسب الشهر'!$C$512:$AL$620,30,FALSE),0)</f>
        <v>0</v>
      </c>
      <c r="I65" s="362">
        <f>IFERROR(VLOOKUP(C65,'تقرير المصروفات حسب الشهر'!$C$637:$AI$748,30,FALSE),0)</f>
        <v>0</v>
      </c>
      <c r="J65" s="362">
        <f>IFERROR(VLOOKUP(C65,'تقرير المصروفات حسب الشهر'!$C$763:$AI$877,30,FALSE),0)</f>
        <v>0</v>
      </c>
      <c r="K65" s="362">
        <f>IFERROR(VLOOKUP(C65,'تقرير المصروفات حسب الشهر'!$C$890:$AI$1007,30,FALSE),0)</f>
        <v>0</v>
      </c>
      <c r="L65" s="362">
        <f>IFERROR(VLOOKUP(C65,'تقرير المصروفات حسب الشهر'!$C$1016:$AI$1131,30,FALSE),0)</f>
        <v>0</v>
      </c>
      <c r="M65" s="376">
        <f>IFERROR(VLOOKUP(C65,'تقرير المصروفات حسب الشهر'!$C$1143:$AI$1259,30,FALSE),0)</f>
        <v>0</v>
      </c>
      <c r="N65" s="376">
        <f>IFERROR(VLOOKUP(C65,'تقرير المصروفات حسب الشهر'!$C$1271:$AI$1385,30,FALSE),0)</f>
        <v>0</v>
      </c>
      <c r="O65" s="376">
        <f>IFERROR(VLOOKUP(C65,'تقرير المصروفات حسب الشهر'!$C$1397:$AI$1512,30,FALSE),0)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الشهر'!$C$10:$AL$124,30,FALSE),0)</f>
        <v>0</v>
      </c>
      <c r="E66" s="362">
        <f>IFERROR(VLOOKUP(C66,'تقرير المصروفات حسب الشهر'!$C$135:$AL$252,30,FALSE),0)</f>
        <v>0</v>
      </c>
      <c r="F66" s="362">
        <v>0</v>
      </c>
      <c r="G66" s="362">
        <f>IFERROR(VLOOKUP(C66,'تقرير المصروفات حسب الشهر'!C430:AI543,30,0),0)</f>
        <v>0</v>
      </c>
      <c r="H66" s="362">
        <f>IFERROR(VLOOKUP(C66,'تقرير المصروفات حسب الشهر'!$C$512:$AL$620,30,FALSE),0)</f>
        <v>0</v>
      </c>
      <c r="I66" s="362">
        <f>IFERROR(VLOOKUP(C66,'تقرير المصروفات حسب الشهر'!$C$637:$AI$748,30,FALSE),0)</f>
        <v>0</v>
      </c>
      <c r="J66" s="362">
        <f>IFERROR(VLOOKUP(C66,'تقرير المصروفات حسب الشهر'!$C$763:$AI$877,30,FALSE),0)</f>
        <v>0</v>
      </c>
      <c r="K66" s="362">
        <f>IFERROR(VLOOKUP(C66,'تقرير المصروفات حسب الشهر'!$C$890:$AI$1007,30,FALSE),0)</f>
        <v>0</v>
      </c>
      <c r="L66" s="362">
        <f>IFERROR(VLOOKUP(C66,'تقرير المصروفات حسب الشهر'!$C$1016:$AI$1131,30,FALSE),0)</f>
        <v>0</v>
      </c>
      <c r="M66" s="376">
        <f>IFERROR(VLOOKUP(C66,'تقرير المصروفات حسب الشهر'!$C$1143:$AI$1259,30,FALSE),0)</f>
        <v>0</v>
      </c>
      <c r="N66" s="376">
        <f>IFERROR(VLOOKUP(C66,'تقرير المصروفات حسب الشهر'!$C$1271:$AI$1385,30,FALSE),0)</f>
        <v>0</v>
      </c>
      <c r="O66" s="376">
        <f>IFERROR(VLOOKUP(C66,'تقرير المصروفات حسب الشهر'!$C$1397:$AI$1512,30,FALSE),0)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الشهر'!$C$10:$AL$124,30,FALSE),0)</f>
        <v>0</v>
      </c>
      <c r="E67" s="362">
        <f>IFERROR(VLOOKUP(C67,'تقرير المصروفات حسب الشهر'!$C$135:$AL$252,30,FALSE),0)</f>
        <v>0</v>
      </c>
      <c r="F67" s="362">
        <v>0</v>
      </c>
      <c r="G67" s="362">
        <f>IFERROR(VLOOKUP(C67,'تقرير المصروفات حسب الشهر'!C431:AI544,30,0),0)</f>
        <v>0</v>
      </c>
      <c r="H67" s="362">
        <f>IFERROR(VLOOKUP(C67,'تقرير المصروفات حسب الشهر'!$C$512:$AL$620,30,FALSE),0)</f>
        <v>0</v>
      </c>
      <c r="I67" s="362">
        <f>IFERROR(VLOOKUP(C67,'تقرير المصروفات حسب الشهر'!$C$637:$AI$748,30,FALSE),0)</f>
        <v>0</v>
      </c>
      <c r="J67" s="362">
        <f>IFERROR(VLOOKUP(C67,'تقرير المصروفات حسب الشهر'!$C$763:$AI$877,30,FALSE),0)</f>
        <v>0</v>
      </c>
      <c r="K67" s="362">
        <f>IFERROR(VLOOKUP(C67,'تقرير المصروفات حسب الشهر'!$C$890:$AI$1007,30,FALSE),0)</f>
        <v>0</v>
      </c>
      <c r="L67" s="362">
        <f>IFERROR(VLOOKUP(C67,'تقرير المصروفات حسب الشهر'!$C$1016:$AI$1131,30,FALSE),0)</f>
        <v>0</v>
      </c>
      <c r="M67" s="376">
        <f>IFERROR(VLOOKUP(C67,'تقرير المصروفات حسب الشهر'!$C$1143:$AI$1259,30,FALSE),0)</f>
        <v>0</v>
      </c>
      <c r="N67" s="376">
        <f>IFERROR(VLOOKUP(C67,'تقرير المصروفات حسب الشهر'!$C$1271:$AI$1385,30,FALSE),0)</f>
        <v>0</v>
      </c>
      <c r="O67" s="376">
        <f>IFERROR(VLOOKUP(C67,'تقرير المصروفات حسب الشهر'!$C$1397:$AI$1512,30,FALSE),0)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الشهر'!$C$10:$AL$124,30,FALSE),0)</f>
        <v>0</v>
      </c>
      <c r="E68" s="362">
        <f>IFERROR(VLOOKUP(C68,'تقرير المصروفات حسب الشهر'!$C$135:$AL$252,30,FALSE),0)</f>
        <v>0</v>
      </c>
      <c r="F68" s="362">
        <v>0</v>
      </c>
      <c r="G68" s="362">
        <f>IFERROR(VLOOKUP(C68,'تقرير المصروفات حسب الشهر'!C432:AI545,30,0),0)</f>
        <v>0</v>
      </c>
      <c r="H68" s="362">
        <f>IFERROR(VLOOKUP(C68,'تقرير المصروفات حسب الشهر'!$C$512:$AL$620,30,FALSE),0)</f>
        <v>0</v>
      </c>
      <c r="I68" s="362">
        <f>IFERROR(VLOOKUP(C68,'تقرير المصروفات حسب الشهر'!$C$637:$AI$748,30,FALSE),0)</f>
        <v>0</v>
      </c>
      <c r="J68" s="362">
        <f>IFERROR(VLOOKUP(C68,'تقرير المصروفات حسب الشهر'!$C$763:$AI$877,30,FALSE),0)</f>
        <v>0</v>
      </c>
      <c r="K68" s="362">
        <f>IFERROR(VLOOKUP(C68,'تقرير المصروفات حسب الشهر'!$C$890:$AI$1007,30,FALSE),0)</f>
        <v>0</v>
      </c>
      <c r="L68" s="362">
        <f>IFERROR(VLOOKUP(C68,'تقرير المصروفات حسب الشهر'!$C$1016:$AI$1131,30,FALSE),0)</f>
        <v>0</v>
      </c>
      <c r="M68" s="376">
        <f>IFERROR(VLOOKUP(C68,'تقرير المصروفات حسب الشهر'!$C$1143:$AI$1259,30,FALSE),0)</f>
        <v>0</v>
      </c>
      <c r="N68" s="376">
        <f>IFERROR(VLOOKUP(C68,'تقرير المصروفات حسب الشهر'!$C$1271:$AI$1385,30,FALSE),0)</f>
        <v>0</v>
      </c>
      <c r="O68" s="376">
        <f>IFERROR(VLOOKUP(C68,'تقرير المصروفات حسب الشهر'!$C$1397:$AI$1512,30,FALSE),0)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الشهر'!$C$10:$AL$124,30,FALSE),0)</f>
        <v>0</v>
      </c>
      <c r="E69" s="362">
        <f>IFERROR(VLOOKUP(C69,'تقرير المصروفات حسب الشهر'!$C$135:$AL$252,30,FALSE),0)</f>
        <v>0</v>
      </c>
      <c r="F69" s="362">
        <v>0</v>
      </c>
      <c r="G69" s="362">
        <f>IFERROR(VLOOKUP(C69,'تقرير المصروفات حسب الشهر'!C433:AI546,30,0),0)</f>
        <v>0</v>
      </c>
      <c r="H69" s="362">
        <f>IFERROR(VLOOKUP(C69,'تقرير المصروفات حسب الشهر'!$C$512:$AL$620,30,FALSE),0)</f>
        <v>0</v>
      </c>
      <c r="I69" s="362">
        <f>IFERROR(VLOOKUP(C69,'تقرير المصروفات حسب الشهر'!$C$637:$AI$748,30,FALSE),0)</f>
        <v>0</v>
      </c>
      <c r="J69" s="362">
        <f>IFERROR(VLOOKUP(C69,'تقرير المصروفات حسب الشهر'!$C$763:$AI$877,30,FALSE),0)</f>
        <v>0</v>
      </c>
      <c r="K69" s="362">
        <f>IFERROR(VLOOKUP(C69,'تقرير المصروفات حسب الشهر'!$C$890:$AI$1007,30,FALSE),0)</f>
        <v>0</v>
      </c>
      <c r="L69" s="362">
        <f>IFERROR(VLOOKUP(C69,'تقرير المصروفات حسب الشهر'!$C$1016:$AI$1131,30,FALSE),0)</f>
        <v>0</v>
      </c>
      <c r="M69" s="376">
        <f>IFERROR(VLOOKUP(C69,'تقرير المصروفات حسب الشهر'!$C$1143:$AI$1259,30,FALSE),0)</f>
        <v>0</v>
      </c>
      <c r="N69" s="376">
        <f>IFERROR(VLOOKUP(C69,'تقرير المصروفات حسب الشهر'!$C$1271:$AI$1385,30,FALSE),0)</f>
        <v>0</v>
      </c>
      <c r="O69" s="376">
        <f>IFERROR(VLOOKUP(C69,'تقرير المصروفات حسب الشهر'!$C$1397:$AI$1512,30,FALSE),0)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الشهر'!$C$10:$AL$124,30,FALSE),0)</f>
        <v>0</v>
      </c>
      <c r="E70" s="362">
        <f>IFERROR(VLOOKUP(C70,'تقرير المصروفات حسب الشهر'!$C$135:$AL$252,30,FALSE),0)</f>
        <v>0</v>
      </c>
      <c r="F70" s="362">
        <v>0</v>
      </c>
      <c r="G70" s="362">
        <f>IFERROR(VLOOKUP(C70,'تقرير المصروفات حسب الشهر'!C434:AI547,30,0),0)</f>
        <v>0</v>
      </c>
      <c r="H70" s="362">
        <f>IFERROR(VLOOKUP(C70,'تقرير المصروفات حسب الشهر'!$C$512:$AL$620,30,FALSE),0)</f>
        <v>0</v>
      </c>
      <c r="I70" s="362">
        <f>IFERROR(VLOOKUP(C70,'تقرير المصروفات حسب الشهر'!$C$637:$AI$748,30,FALSE),0)</f>
        <v>0</v>
      </c>
      <c r="J70" s="362">
        <f>IFERROR(VLOOKUP(C70,'تقرير المصروفات حسب الشهر'!$C$763:$AI$877,30,FALSE),0)</f>
        <v>0</v>
      </c>
      <c r="K70" s="362">
        <f>IFERROR(VLOOKUP(C70,'تقرير المصروفات حسب الشهر'!$C$890:$AI$1007,30,FALSE),0)</f>
        <v>0</v>
      </c>
      <c r="L70" s="362">
        <f>IFERROR(VLOOKUP(C70,'تقرير المصروفات حسب الشهر'!$C$1016:$AI$1131,30,FALSE),0)</f>
        <v>0</v>
      </c>
      <c r="M70" s="376">
        <f>IFERROR(VLOOKUP(C70,'تقرير المصروفات حسب الشهر'!$C$1143:$AI$1259,30,FALSE),0)</f>
        <v>0</v>
      </c>
      <c r="N70" s="376">
        <f>IFERROR(VLOOKUP(C70,'تقرير المصروفات حسب الشهر'!$C$1271:$AI$1385,30,FALSE),0)</f>
        <v>0</v>
      </c>
      <c r="O70" s="376">
        <f>IFERROR(VLOOKUP(C70,'تقرير المصروفات حسب الشهر'!$C$1397:$AI$1512,30,FALSE),0)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الشهر'!$C$10:$AL$124,30,FALSE),0)</f>
        <v>0</v>
      </c>
      <c r="E71" s="362">
        <f>IFERROR(VLOOKUP(C71,'تقرير المصروفات حسب الشهر'!$C$135:$AL$252,30,FALSE),0)</f>
        <v>0</v>
      </c>
      <c r="F71" s="362">
        <v>0</v>
      </c>
      <c r="G71" s="362">
        <f>IFERROR(VLOOKUP(C71,'تقرير المصروفات حسب الشهر'!C435:AI548,30,0),0)</f>
        <v>0</v>
      </c>
      <c r="H71" s="362">
        <f>IFERROR(VLOOKUP(C71,'تقرير المصروفات حسب الشهر'!$C$512:$AL$620,30,FALSE),0)</f>
        <v>0</v>
      </c>
      <c r="I71" s="362">
        <f>IFERROR(VLOOKUP(C71,'تقرير المصروفات حسب الشهر'!$C$637:$AI$748,30,FALSE),0)</f>
        <v>0</v>
      </c>
      <c r="J71" s="362">
        <f>IFERROR(VLOOKUP(C71,'تقرير المصروفات حسب الشهر'!$C$763:$AI$877,30,FALSE),0)</f>
        <v>0</v>
      </c>
      <c r="K71" s="362">
        <f>IFERROR(VLOOKUP(C71,'تقرير المصروفات حسب الشهر'!$C$890:$AI$1007,30,FALSE),0)</f>
        <v>0</v>
      </c>
      <c r="L71" s="362">
        <f>IFERROR(VLOOKUP(C71,'تقرير المصروفات حسب الشهر'!$C$1016:$AI$1131,30,FALSE),0)</f>
        <v>0</v>
      </c>
      <c r="M71" s="376">
        <f>IFERROR(VLOOKUP(C71,'تقرير المصروفات حسب الشهر'!$C$1143:$AI$1259,30,FALSE),0)</f>
        <v>0</v>
      </c>
      <c r="N71" s="376">
        <f>IFERROR(VLOOKUP(C71,'تقرير المصروفات حسب الشهر'!$C$1271:$AI$1385,30,FALSE),0)</f>
        <v>0</v>
      </c>
      <c r="O71" s="376">
        <f>IFERROR(VLOOKUP(C71,'تقرير المصروفات حسب الشهر'!$C$1397:$AI$1512,30,FALSE),0)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الشهر'!$C$10:$AL$124,30,FALSE),0)</f>
        <v>0</v>
      </c>
      <c r="E72" s="362">
        <f>IFERROR(VLOOKUP(C72,'تقرير المصروفات حسب الشهر'!$C$135:$AL$252,30,FALSE),0)</f>
        <v>0</v>
      </c>
      <c r="F72" s="362">
        <v>0</v>
      </c>
      <c r="G72" s="362">
        <f>IFERROR(VLOOKUP(C72,'تقرير المصروفات حسب الشهر'!C436:AI549,30,0),0)</f>
        <v>0</v>
      </c>
      <c r="H72" s="362">
        <f>IFERROR(VLOOKUP(C72,'تقرير المصروفات حسب الشهر'!$C$512:$AL$620,30,FALSE),0)</f>
        <v>0</v>
      </c>
      <c r="I72" s="362">
        <f>IFERROR(VLOOKUP(C72,'تقرير المصروفات حسب الشهر'!$C$637:$AI$748,30,FALSE),0)</f>
        <v>0</v>
      </c>
      <c r="J72" s="362">
        <f>IFERROR(VLOOKUP(C72,'تقرير المصروفات حسب الشهر'!$C$763:$AI$877,30,FALSE),0)</f>
        <v>0</v>
      </c>
      <c r="K72" s="362">
        <f>IFERROR(VLOOKUP(C72,'تقرير المصروفات حسب الشهر'!$C$890:$AI$1007,30,FALSE),0)</f>
        <v>0</v>
      </c>
      <c r="L72" s="362">
        <f>IFERROR(VLOOKUP(C72,'تقرير المصروفات حسب الشهر'!$C$1016:$AI$1131,30,FALSE),0)</f>
        <v>0</v>
      </c>
      <c r="M72" s="376">
        <f>IFERROR(VLOOKUP(C72,'تقرير المصروفات حسب الشهر'!$C$1143:$AI$1259,30,FALSE),0)</f>
        <v>0</v>
      </c>
      <c r="N72" s="376">
        <f>IFERROR(VLOOKUP(C72,'تقرير المصروفات حسب الشهر'!$C$1271:$AI$1385,30,FALSE),0)</f>
        <v>0</v>
      </c>
      <c r="O72" s="376">
        <f>IFERROR(VLOOKUP(C72,'تقرير المصروفات حسب الشهر'!$C$1397:$AI$1512,30,FALSE),0)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الشهر'!$C$10:$AL$124,30,FALSE),0)</f>
        <v>0</v>
      </c>
      <c r="E73" s="362">
        <f>IFERROR(VLOOKUP(C73,'تقرير المصروفات حسب الشهر'!$C$135:$AL$252,30,FALSE),0)</f>
        <v>0</v>
      </c>
      <c r="F73" s="362">
        <v>0</v>
      </c>
      <c r="G73" s="362">
        <f>IFERROR(VLOOKUP(C73,'تقرير المصروفات حسب الشهر'!C437:AI550,30,0),0)</f>
        <v>0</v>
      </c>
      <c r="H73" s="362">
        <f>IFERROR(VLOOKUP(C73,'تقرير المصروفات حسب الشهر'!$C$512:$AL$620,30,FALSE),0)</f>
        <v>0</v>
      </c>
      <c r="I73" s="362">
        <f>IFERROR(VLOOKUP(C73,'تقرير المصروفات حسب الشهر'!$C$637:$AI$748,30,FALSE),0)</f>
        <v>0</v>
      </c>
      <c r="J73" s="362">
        <f>IFERROR(VLOOKUP(C73,'تقرير المصروفات حسب الشهر'!$C$763:$AI$877,30,FALSE),0)</f>
        <v>0</v>
      </c>
      <c r="K73" s="362">
        <f>IFERROR(VLOOKUP(C73,'تقرير المصروفات حسب الشهر'!$C$890:$AI$1007,30,FALSE),0)</f>
        <v>0</v>
      </c>
      <c r="L73" s="362">
        <f>IFERROR(VLOOKUP(C73,'تقرير المصروفات حسب الشهر'!$C$1016:$AI$1131,30,FALSE),0)</f>
        <v>0</v>
      </c>
      <c r="M73" s="376">
        <f>IFERROR(VLOOKUP(C73,'تقرير المصروفات حسب الشهر'!$C$1143:$AI$1259,30,FALSE),0)</f>
        <v>0</v>
      </c>
      <c r="N73" s="376">
        <f>IFERROR(VLOOKUP(C73,'تقرير المصروفات حسب الشهر'!$C$1271:$AI$1385,30,FALSE),0)</f>
        <v>0</v>
      </c>
      <c r="O73" s="376">
        <f>IFERROR(VLOOKUP(C73,'تقرير المصروفات حسب الشهر'!$C$1397:$AI$1512,30,FALSE),0)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الشهر'!$C$10:$AL$124,30,FALSE),0)</f>
        <v>0</v>
      </c>
      <c r="E74" s="362">
        <f>IFERROR(VLOOKUP(C74,'تقرير المصروفات حسب الشهر'!$C$135:$AL$252,30,FALSE),0)</f>
        <v>0</v>
      </c>
      <c r="F74" s="362">
        <v>0</v>
      </c>
      <c r="G74" s="362">
        <f>IFERROR(VLOOKUP(C74,'تقرير المصروفات حسب الشهر'!C438:AI551,30,0),0)</f>
        <v>0</v>
      </c>
      <c r="H74" s="362">
        <f>IFERROR(VLOOKUP(C74,'تقرير المصروفات حسب الشهر'!$C$512:$AL$620,30,FALSE),0)</f>
        <v>0</v>
      </c>
      <c r="I74" s="362">
        <f>IFERROR(VLOOKUP(C74,'تقرير المصروفات حسب الشهر'!$C$637:$AI$748,30,FALSE),0)</f>
        <v>0</v>
      </c>
      <c r="J74" s="362">
        <f>IFERROR(VLOOKUP(C74,'تقرير المصروفات حسب الشهر'!$C$763:$AI$877,30,FALSE),0)</f>
        <v>0</v>
      </c>
      <c r="K74" s="362">
        <f>IFERROR(VLOOKUP(C74,'تقرير المصروفات حسب الشهر'!$C$890:$AI$1007,30,FALSE),0)</f>
        <v>0</v>
      </c>
      <c r="L74" s="362">
        <f>IFERROR(VLOOKUP(C74,'تقرير المصروفات حسب الشهر'!$C$1016:$AI$1131,30,FALSE),0)</f>
        <v>0</v>
      </c>
      <c r="M74" s="376">
        <f>IFERROR(VLOOKUP(C74,'تقرير المصروفات حسب الشهر'!$C$1143:$AI$1259,30,FALSE),0)</f>
        <v>0</v>
      </c>
      <c r="N74" s="376">
        <f>IFERROR(VLOOKUP(C74,'تقرير المصروفات حسب الشهر'!$C$1271:$AI$1385,30,FALSE),0)</f>
        <v>0</v>
      </c>
      <c r="O74" s="376">
        <f>IFERROR(VLOOKUP(C74,'تقرير المصروفات حسب الشهر'!$C$1397:$AI$1512,30,FALSE),0)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الشهر'!$C$10:$AL$124,30,FALSE),0)</f>
        <v>0</v>
      </c>
      <c r="E75" s="362">
        <f>IFERROR(VLOOKUP(C75,'تقرير المصروفات حسب الشهر'!$C$135:$AL$252,30,FALSE),0)</f>
        <v>0</v>
      </c>
      <c r="F75" s="362">
        <v>0</v>
      </c>
      <c r="G75" s="362">
        <f>IFERROR(VLOOKUP(C75,'تقرير المصروفات حسب الشهر'!C439:AI552,30,0),0)</f>
        <v>0</v>
      </c>
      <c r="H75" s="362">
        <f>IFERROR(VLOOKUP(C75,'تقرير المصروفات حسب الشهر'!$C$512:$AL$620,30,FALSE),0)</f>
        <v>0</v>
      </c>
      <c r="I75" s="362">
        <f>IFERROR(VLOOKUP(C75,'تقرير المصروفات حسب الشهر'!$C$637:$AI$748,30,FALSE),0)</f>
        <v>0</v>
      </c>
      <c r="J75" s="362">
        <f>IFERROR(VLOOKUP(C75,'تقرير المصروفات حسب الشهر'!$C$763:$AI$877,30,FALSE),0)</f>
        <v>0</v>
      </c>
      <c r="K75" s="362">
        <f>IFERROR(VLOOKUP(C75,'تقرير المصروفات حسب الشهر'!$C$890:$AI$1007,30,FALSE),0)</f>
        <v>0</v>
      </c>
      <c r="L75" s="362">
        <f>IFERROR(VLOOKUP(C75,'تقرير المصروفات حسب الشهر'!$C$1016:$AI$1131,30,FALSE),0)</f>
        <v>0</v>
      </c>
      <c r="M75" s="376">
        <f>IFERROR(VLOOKUP(C75,'تقرير المصروفات حسب الشهر'!$C$1143:$AI$1259,30,FALSE),0)</f>
        <v>0</v>
      </c>
      <c r="N75" s="376">
        <f>IFERROR(VLOOKUP(C75,'تقرير المصروفات حسب الشهر'!$C$1271:$AI$1385,30,FALSE),0)</f>
        <v>0</v>
      </c>
      <c r="O75" s="376">
        <f>IFERROR(VLOOKUP(C75,'تقرير المصروفات حسب الشهر'!$C$1397:$AI$1512,30,FALSE),0)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الشهر'!$C$10:$AL$124,30,FALSE),0)</f>
        <v>0</v>
      </c>
      <c r="E76" s="362">
        <f>IFERROR(VLOOKUP(C76,'تقرير المصروفات حسب الشهر'!$C$135:$AL$252,30,FALSE),0)</f>
        <v>0</v>
      </c>
      <c r="F76" s="362">
        <v>0</v>
      </c>
      <c r="G76" s="362">
        <f>IFERROR(VLOOKUP(C76,'تقرير المصروفات حسب الشهر'!C440:AI553,30,0),0)</f>
        <v>0</v>
      </c>
      <c r="H76" s="362">
        <f>IFERROR(VLOOKUP(C76,'تقرير المصروفات حسب الشهر'!$C$512:$AL$620,30,FALSE),0)</f>
        <v>0</v>
      </c>
      <c r="I76" s="362">
        <f>IFERROR(VLOOKUP(C76,'تقرير المصروفات حسب الشهر'!$C$637:$AI$748,30,FALSE),0)</f>
        <v>0</v>
      </c>
      <c r="J76" s="362">
        <f>IFERROR(VLOOKUP(C76,'تقرير المصروفات حسب الشهر'!$C$763:$AI$877,30,FALSE),0)</f>
        <v>0</v>
      </c>
      <c r="K76" s="362">
        <f>IFERROR(VLOOKUP(C76,'تقرير المصروفات حسب الشهر'!$C$890:$AI$1007,30,FALSE),0)</f>
        <v>0</v>
      </c>
      <c r="L76" s="362">
        <f>IFERROR(VLOOKUP(C76,'تقرير المصروفات حسب الشهر'!$C$1016:$AI$1131,30,FALSE),0)</f>
        <v>0</v>
      </c>
      <c r="M76" s="376">
        <f>IFERROR(VLOOKUP(C76,'تقرير المصروفات حسب الشهر'!$C$1143:$AI$1259,30,FALSE),0)</f>
        <v>0</v>
      </c>
      <c r="N76" s="376">
        <f>IFERROR(VLOOKUP(C76,'تقرير المصروفات حسب الشهر'!$C$1271:$AI$1385,30,FALSE),0)</f>
        <v>0</v>
      </c>
      <c r="O76" s="376">
        <f>IFERROR(VLOOKUP(C76,'تقرير المصروفات حسب الشهر'!$C$1397:$AI$1512,30,FALSE),0)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الشهر'!$C$10:$AL$124,30,FALSE),0)</f>
        <v>0</v>
      </c>
      <c r="E77" s="362">
        <f>IFERROR(VLOOKUP(C77,'تقرير المصروفات حسب الشهر'!$C$135:$AL$252,30,FALSE),0)</f>
        <v>0</v>
      </c>
      <c r="F77" s="362">
        <v>0</v>
      </c>
      <c r="G77" s="362">
        <f>IFERROR(VLOOKUP(C77,'تقرير المصروفات حسب الشهر'!C441:AI554,30,0),0)</f>
        <v>0</v>
      </c>
      <c r="H77" s="362">
        <f>IFERROR(VLOOKUP(C77,'تقرير المصروفات حسب الشهر'!$C$512:$AL$620,30,FALSE),0)</f>
        <v>0</v>
      </c>
      <c r="I77" s="362">
        <f>IFERROR(VLOOKUP(C77,'تقرير المصروفات حسب الشهر'!$C$637:$AI$748,30,FALSE),0)</f>
        <v>0</v>
      </c>
      <c r="J77" s="362">
        <f>IFERROR(VLOOKUP(C77,'تقرير المصروفات حسب الشهر'!$C$763:$AI$877,30,FALSE),0)</f>
        <v>0</v>
      </c>
      <c r="K77" s="362">
        <f>IFERROR(VLOOKUP(C77,'تقرير المصروفات حسب الشهر'!$C$890:$AI$1007,30,FALSE),0)</f>
        <v>0</v>
      </c>
      <c r="L77" s="362">
        <f>IFERROR(VLOOKUP(C77,'تقرير المصروفات حسب الشهر'!$C$1016:$AI$1131,30,FALSE),0)</f>
        <v>0</v>
      </c>
      <c r="M77" s="376">
        <f>IFERROR(VLOOKUP(C77,'تقرير المصروفات حسب الشهر'!$C$1143:$AI$1259,30,FALSE),0)</f>
        <v>0</v>
      </c>
      <c r="N77" s="376">
        <f>IFERROR(VLOOKUP(C77,'تقرير المصروفات حسب الشهر'!$C$1271:$AI$1385,30,FALSE),0)</f>
        <v>0</v>
      </c>
      <c r="O77" s="376">
        <f>IFERROR(VLOOKUP(C77,'تقرير المصروفات حسب الشهر'!$C$1397:$AI$1512,30,FALSE),0)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الشهر'!$C$10:$AL$124,30,FALSE),0)</f>
        <v>0</v>
      </c>
      <c r="E78" s="362">
        <f>IFERROR(VLOOKUP(C78,'تقرير المصروفات حسب الشهر'!$C$135:$AL$252,30,FALSE),0)</f>
        <v>0</v>
      </c>
      <c r="F78" s="362">
        <v>0</v>
      </c>
      <c r="G78" s="362">
        <f>IFERROR(VLOOKUP(C78,'تقرير المصروفات حسب الشهر'!C442:AI555,30,0),0)</f>
        <v>0</v>
      </c>
      <c r="H78" s="362">
        <f>IFERROR(VLOOKUP(C78,'تقرير المصروفات حسب الشهر'!$C$512:$AL$620,30,FALSE),0)</f>
        <v>0</v>
      </c>
      <c r="I78" s="362">
        <f>IFERROR(VLOOKUP(C78,'تقرير المصروفات حسب الشهر'!$C$637:$AI$748,30,FALSE),0)</f>
        <v>0</v>
      </c>
      <c r="J78" s="362">
        <f>IFERROR(VLOOKUP(C78,'تقرير المصروفات حسب الشهر'!$C$763:$AI$877,30,FALSE),0)</f>
        <v>0</v>
      </c>
      <c r="K78" s="362">
        <f>IFERROR(VLOOKUP(C78,'تقرير المصروفات حسب الشهر'!$C$890:$AI$1007,30,FALSE),0)</f>
        <v>0</v>
      </c>
      <c r="L78" s="362">
        <f>IFERROR(VLOOKUP(C78,'تقرير المصروفات حسب الشهر'!$C$1016:$AI$1131,30,FALSE),0)</f>
        <v>0</v>
      </c>
      <c r="M78" s="376">
        <f>IFERROR(VLOOKUP(C78,'تقرير المصروفات حسب الشهر'!$C$1143:$AI$1259,30,FALSE),0)</f>
        <v>0</v>
      </c>
      <c r="N78" s="376">
        <f>IFERROR(VLOOKUP(C78,'تقرير المصروفات حسب الشهر'!$C$1271:$AI$1385,30,FALSE),0)</f>
        <v>0</v>
      </c>
      <c r="O78" s="376">
        <f>IFERROR(VLOOKUP(C78,'تقرير المصروفات حسب الشهر'!$C$1397:$AI$1512,30,FALSE),0)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الشهر'!$C$10:$AL$124,30,FALSE),0)</f>
        <v>0</v>
      </c>
      <c r="E79" s="362">
        <f>IFERROR(VLOOKUP(C79,'تقرير المصروفات حسب الشهر'!$C$135:$AL$252,30,FALSE),0)</f>
        <v>0</v>
      </c>
      <c r="F79" s="362">
        <v>0</v>
      </c>
      <c r="G79" s="362">
        <f>IFERROR(VLOOKUP(C79,'تقرير المصروفات حسب الشهر'!C443:AI556,30,0),0)</f>
        <v>0</v>
      </c>
      <c r="H79" s="362">
        <f>IFERROR(VLOOKUP(C79,'تقرير المصروفات حسب الشهر'!$C$512:$AL$620,30,FALSE),0)</f>
        <v>0</v>
      </c>
      <c r="I79" s="362">
        <f>IFERROR(VLOOKUP(C79,'تقرير المصروفات حسب الشهر'!$C$637:$AI$748,30,FALSE),0)</f>
        <v>0</v>
      </c>
      <c r="J79" s="362">
        <f>IFERROR(VLOOKUP(C79,'تقرير المصروفات حسب الشهر'!$C$763:$AI$877,30,FALSE),0)</f>
        <v>0</v>
      </c>
      <c r="K79" s="362">
        <f>IFERROR(VLOOKUP(C79,'تقرير المصروفات حسب الشهر'!$C$890:$AI$1007,30,FALSE),0)</f>
        <v>0</v>
      </c>
      <c r="L79" s="362">
        <f>IFERROR(VLOOKUP(C79,'تقرير المصروفات حسب الشهر'!$C$1016:$AI$1131,30,FALSE),0)</f>
        <v>0</v>
      </c>
      <c r="M79" s="376">
        <f>IFERROR(VLOOKUP(C79,'تقرير المصروفات حسب الشهر'!$C$1143:$AI$1259,30,FALSE),0)</f>
        <v>0</v>
      </c>
      <c r="N79" s="376">
        <f>IFERROR(VLOOKUP(C79,'تقرير المصروفات حسب الشهر'!$C$1271:$AI$1385,30,FALSE),0)</f>
        <v>0</v>
      </c>
      <c r="O79" s="376">
        <f>IFERROR(VLOOKUP(C79,'تقرير المصروفات حسب الشهر'!$C$1397:$AI$1512,30,FALSE),0)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الشهر'!$C$10:$AL$124,30,FALSE),0)</f>
        <v>0</v>
      </c>
      <c r="E80" s="362">
        <f>IFERROR(VLOOKUP(C80,'تقرير المصروفات حسب الشهر'!$C$135:$AL$252,30,FALSE),0)</f>
        <v>0</v>
      </c>
      <c r="F80" s="362">
        <v>0</v>
      </c>
      <c r="G80" s="362">
        <f>IFERROR(VLOOKUP(C80,'تقرير المصروفات حسب الشهر'!C444:AI557,30,0),0)</f>
        <v>0</v>
      </c>
      <c r="H80" s="362">
        <f>IFERROR(VLOOKUP(C80,'تقرير المصروفات حسب الشهر'!$C$512:$AL$620,30,FALSE),0)</f>
        <v>0</v>
      </c>
      <c r="I80" s="362">
        <f>IFERROR(VLOOKUP(C80,'تقرير المصروفات حسب الشهر'!$C$637:$AI$748,30,FALSE),0)</f>
        <v>0</v>
      </c>
      <c r="J80" s="362">
        <f>IFERROR(VLOOKUP(C80,'تقرير المصروفات حسب الشهر'!$C$763:$AI$877,30,FALSE),0)</f>
        <v>0</v>
      </c>
      <c r="K80" s="362">
        <f>IFERROR(VLOOKUP(C80,'تقرير المصروفات حسب الشهر'!$C$890:$AI$1007,30,FALSE),0)</f>
        <v>0</v>
      </c>
      <c r="L80" s="362">
        <f>IFERROR(VLOOKUP(C80,'تقرير المصروفات حسب الشهر'!$C$1016:$AI$1131,30,FALSE),0)</f>
        <v>0</v>
      </c>
      <c r="M80" s="376">
        <f>IFERROR(VLOOKUP(C80,'تقرير المصروفات حسب الشهر'!$C$1143:$AI$1259,30,FALSE),0)</f>
        <v>0</v>
      </c>
      <c r="N80" s="376">
        <f>IFERROR(VLOOKUP(C80,'تقرير المصروفات حسب الشهر'!$C$1271:$AI$1385,30,FALSE),0)</f>
        <v>0</v>
      </c>
      <c r="O80" s="376">
        <f>IFERROR(VLOOKUP(C80,'تقرير المصروفات حسب الشهر'!$C$1397:$AI$1512,30,FALSE),0)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الشهر'!$C$10:$AL$124,30,FALSE),0)</f>
        <v>0</v>
      </c>
      <c r="E81" s="362">
        <f>IFERROR(VLOOKUP(C81,'تقرير المصروفات حسب الشهر'!$C$135:$AL$252,30,FALSE),0)</f>
        <v>0</v>
      </c>
      <c r="F81" s="362">
        <v>100</v>
      </c>
      <c r="G81" s="362">
        <f>IFERROR(VLOOKUP(C81,'تقرير المصروفات حسب الشهر'!C445:AI558,30,0),0)</f>
        <v>100</v>
      </c>
      <c r="H81" s="362">
        <f>IFERROR(VLOOKUP(C81,'تقرير المصروفات حسب الشهر'!$C$512:$AL$620,30,FALSE),0)</f>
        <v>100</v>
      </c>
      <c r="I81" s="362">
        <f>IFERROR(VLOOKUP(C81,'تقرير المصروفات حسب الشهر'!$C$637:$AI$748,30,FALSE),0)</f>
        <v>1100</v>
      </c>
      <c r="J81" s="362">
        <f>IFERROR(VLOOKUP(C81,'تقرير المصروفات حسب الشهر'!$C$763:$AI$877,30,FALSE),0)</f>
        <v>0</v>
      </c>
      <c r="K81" s="362">
        <f>IFERROR(VLOOKUP(C81,'تقرير المصروفات حسب الشهر'!$C$890:$AI$1007,30,FALSE),0)</f>
        <v>300</v>
      </c>
      <c r="L81" s="362">
        <f>IFERROR(VLOOKUP(C81,'تقرير المصروفات حسب الشهر'!$C$1016:$AI$1131,30,FALSE),0)</f>
        <v>200</v>
      </c>
      <c r="M81" s="376">
        <f>IFERROR(VLOOKUP(C81,'تقرير المصروفات حسب الشهر'!$C$1143:$AI$1259,30,FALSE),0)</f>
        <v>776.75</v>
      </c>
      <c r="N81" s="376">
        <f>IFERROR(VLOOKUP(C81,'تقرير المصروفات حسب الشهر'!$C$1271:$AI$1385,30,FALSE),0)</f>
        <v>200</v>
      </c>
      <c r="O81" s="376">
        <f>IFERROR(VLOOKUP(C81,'تقرير المصروفات حسب الشهر'!$C$1397:$AI$1512,30,FALSE),0)</f>
        <v>200</v>
      </c>
      <c r="P81" s="364">
        <f t="shared" si="5"/>
        <v>3076.75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الشهر'!$C$10:$AL$124,30,FALSE),0)</f>
        <v>0</v>
      </c>
      <c r="E82" s="362">
        <f>IFERROR(VLOOKUP(C82,'تقرير المصروفات حسب الشهر'!$C$135:$AL$252,30,FALSE),0)</f>
        <v>0</v>
      </c>
      <c r="F82" s="362">
        <v>0</v>
      </c>
      <c r="G82" s="362">
        <f>IFERROR(VLOOKUP(C82,'تقرير المصروفات حسب الشهر'!C446:AI559,30,0),0)</f>
        <v>0</v>
      </c>
      <c r="H82" s="362">
        <f>IFERROR(VLOOKUP(C82,'تقرير المصروفات حسب الشهر'!$C$512:$AL$620,30,FALSE),0)</f>
        <v>0</v>
      </c>
      <c r="I82" s="362">
        <f>IFERROR(VLOOKUP(C82,'تقرير المصروفات حسب الشهر'!$C$637:$AI$748,30,FALSE),0)</f>
        <v>0</v>
      </c>
      <c r="J82" s="362">
        <f>IFERROR(VLOOKUP(C82,'تقرير المصروفات حسب الشهر'!$C$763:$AI$877,30,FALSE),0)</f>
        <v>0</v>
      </c>
      <c r="K82" s="362">
        <f>IFERROR(VLOOKUP(C82,'تقرير المصروفات حسب الشهر'!$C$890:$AI$1007,30,FALSE),0)</f>
        <v>0</v>
      </c>
      <c r="L82" s="362">
        <f>IFERROR(VLOOKUP(C82,'تقرير المصروفات حسب الشهر'!$C$1016:$AI$1131,30,FALSE),0)</f>
        <v>0</v>
      </c>
      <c r="M82" s="376">
        <f>IFERROR(VLOOKUP(C82,'تقرير المصروفات حسب الشهر'!$C$1143:$AI$1259,30,FALSE),0)</f>
        <v>0</v>
      </c>
      <c r="N82" s="376">
        <f>IFERROR(VLOOKUP(C82,'تقرير المصروفات حسب الشهر'!$C$1271:$AI$1385,30,FALSE),0)</f>
        <v>0</v>
      </c>
      <c r="O82" s="376">
        <f>IFERROR(VLOOKUP(C82,'تقرير المصروفات حسب الشهر'!$C$1397:$AI$1512,30,FALSE),0)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الشهر'!$C$10:$AL$124,30,FALSE),0)</f>
        <v>0</v>
      </c>
      <c r="E83" s="362">
        <f>IFERROR(VLOOKUP(C83,'تقرير المصروفات حسب الشهر'!$C$135:$AL$252,30,FALSE),0)</f>
        <v>0</v>
      </c>
      <c r="F83" s="362">
        <v>0</v>
      </c>
      <c r="G83" s="362">
        <f>IFERROR(VLOOKUP(C83,'تقرير المصروفات حسب الشهر'!C447:AI560,30,0),0)</f>
        <v>0</v>
      </c>
      <c r="H83" s="362">
        <f>IFERROR(VLOOKUP(C83,'تقرير المصروفات حسب الشهر'!$C$512:$AL$620,30,FALSE),0)</f>
        <v>0</v>
      </c>
      <c r="I83" s="362">
        <f>IFERROR(VLOOKUP(C83,'تقرير المصروفات حسب الشهر'!$C$637:$AI$748,30,FALSE),0)</f>
        <v>0</v>
      </c>
      <c r="J83" s="362">
        <f>IFERROR(VLOOKUP(C83,'تقرير المصروفات حسب الشهر'!$C$763:$AI$877,30,FALSE),0)</f>
        <v>0</v>
      </c>
      <c r="K83" s="362">
        <f>IFERROR(VLOOKUP(C83,'تقرير المصروفات حسب الشهر'!$C$890:$AI$1007,30,FALSE),0)</f>
        <v>0</v>
      </c>
      <c r="L83" s="362">
        <f>IFERROR(VLOOKUP(C83,'تقرير المصروفات حسب الشهر'!$C$1016:$AI$1131,30,FALSE),0)</f>
        <v>0</v>
      </c>
      <c r="M83" s="376">
        <f>IFERROR(VLOOKUP(C83,'تقرير المصروفات حسب الشهر'!$C$1143:$AI$1259,30,FALSE),0)</f>
        <v>0</v>
      </c>
      <c r="N83" s="376">
        <f>IFERROR(VLOOKUP(C83,'تقرير المصروفات حسب الشهر'!$C$1271:$AI$1385,30,FALSE),0)</f>
        <v>0</v>
      </c>
      <c r="O83" s="376">
        <f>IFERROR(VLOOKUP(C83,'تقرير المصروفات حسب الشهر'!$C$1397:$AI$1512,30,FALSE),0)</f>
        <v>0</v>
      </c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الشهر'!$C$10:$AL$124,30,FALSE),0)</f>
        <v>0</v>
      </c>
      <c r="E84" s="362">
        <f>IFERROR(VLOOKUP(C84,'تقرير المصروفات حسب الشهر'!$C$135:$AL$252,30,FALSE),0)</f>
        <v>0</v>
      </c>
      <c r="F84" s="362">
        <v>0</v>
      </c>
      <c r="G84" s="362">
        <f>IFERROR(VLOOKUP(C84,'تقرير المصروفات حسب الشهر'!C448:AI561,30,0),0)</f>
        <v>0</v>
      </c>
      <c r="H84" s="362">
        <f>IFERROR(VLOOKUP(C84,'تقرير المصروفات حسب الشهر'!$C$512:$AL$620,30,FALSE),0)</f>
        <v>0</v>
      </c>
      <c r="I84" s="362">
        <f>IFERROR(VLOOKUP(C84,'تقرير المصروفات حسب الشهر'!$C$637:$AI$748,30,FALSE),0)</f>
        <v>0</v>
      </c>
      <c r="J84" s="362">
        <f>IFERROR(VLOOKUP(C84,'تقرير المصروفات حسب الشهر'!$C$763:$AI$877,30,FALSE),0)</f>
        <v>0</v>
      </c>
      <c r="K84" s="362">
        <f>IFERROR(VLOOKUP(C84,'تقرير المصروفات حسب الشهر'!$C$890:$AI$1007,30,FALSE),0)</f>
        <v>0</v>
      </c>
      <c r="L84" s="362">
        <f>IFERROR(VLOOKUP(C84,'تقرير المصروفات حسب الشهر'!$C$1016:$AI$1131,30,FALSE),0)</f>
        <v>0</v>
      </c>
      <c r="M84" s="376">
        <f>IFERROR(VLOOKUP(C84,'تقرير المصروفات حسب الشهر'!$C$1143:$AI$1259,30,FALSE),0)</f>
        <v>0</v>
      </c>
      <c r="N84" s="376">
        <f>IFERROR(VLOOKUP(C84,'تقرير المصروفات حسب الشهر'!$C$1271:$AI$1385,30,FALSE),0)</f>
        <v>0</v>
      </c>
      <c r="O84" s="376">
        <f>IFERROR(VLOOKUP(C84,'تقرير المصروفات حسب الشهر'!$C$1397:$AI$1512,30,FALSE),0)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الشهر'!$C$10:$AL$124,30,FALSE),0)</f>
        <v>0</v>
      </c>
      <c r="E85" s="362">
        <f>IFERROR(VLOOKUP(C85,'تقرير المصروفات حسب الشهر'!$C$135:$AL$252,30,FALSE),0)</f>
        <v>0</v>
      </c>
      <c r="F85" s="362">
        <v>0</v>
      </c>
      <c r="G85" s="362">
        <f>IFERROR(VLOOKUP(C85,'تقرير المصروفات حسب الشهر'!C449:AI562,30,0),0)</f>
        <v>0</v>
      </c>
      <c r="H85" s="362">
        <f>IFERROR(VLOOKUP(C85,'تقرير المصروفات حسب الشهر'!$C$512:$AL$620,30,FALSE),0)</f>
        <v>0</v>
      </c>
      <c r="I85" s="362">
        <f>IFERROR(VLOOKUP(C85,'تقرير المصروفات حسب الشهر'!$C$637:$AI$748,30,FALSE),0)</f>
        <v>0</v>
      </c>
      <c r="J85" s="362">
        <f>IFERROR(VLOOKUP(C85,'تقرير المصروفات حسب الشهر'!$C$763:$AI$877,30,FALSE),0)</f>
        <v>0</v>
      </c>
      <c r="K85" s="362">
        <f>IFERROR(VLOOKUP(C85,'تقرير المصروفات حسب الشهر'!$C$890:$AI$1007,30,FALSE),0)</f>
        <v>0</v>
      </c>
      <c r="L85" s="362">
        <f>IFERROR(VLOOKUP(C85,'تقرير المصروفات حسب الشهر'!$C$1016:$AI$1131,30,FALSE),0)</f>
        <v>0</v>
      </c>
      <c r="M85" s="376">
        <f>IFERROR(VLOOKUP(C85,'تقرير المصروفات حسب الشهر'!$C$1143:$AI$1259,30,FALSE),0)</f>
        <v>0</v>
      </c>
      <c r="N85" s="376">
        <f>IFERROR(VLOOKUP(C85,'تقرير المصروفات حسب الشهر'!$C$1271:$AI$1385,30,FALSE),0)</f>
        <v>0</v>
      </c>
      <c r="O85" s="376">
        <f>IFERROR(VLOOKUP(C85,'تقرير المصروفات حسب الشهر'!$C$1397:$AI$1512,30,FALSE),0)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الشهر'!$C$10:$AL$124,30,FALSE),0)</f>
        <v>0</v>
      </c>
      <c r="E86" s="362">
        <f>IFERROR(VLOOKUP(C86,'تقرير المصروفات حسب الشهر'!$C$135:$AL$252,30,FALSE),0)</f>
        <v>5421.18</v>
      </c>
      <c r="F86" s="362">
        <v>0</v>
      </c>
      <c r="G86" s="362">
        <f>IFERROR(VLOOKUP(C86,'تقرير المصروفات حسب الشهر'!C450:AI563,30,0),0)</f>
        <v>0</v>
      </c>
      <c r="H86" s="362">
        <f>IFERROR(VLOOKUP(C86,'تقرير المصروفات حسب الشهر'!$C$512:$AL$620,30,FALSE),0)</f>
        <v>0</v>
      </c>
      <c r="I86" s="362">
        <f>IFERROR(VLOOKUP(C86,'تقرير المصروفات حسب الشهر'!$C$637:$AI$748,30,FALSE),0)</f>
        <v>0</v>
      </c>
      <c r="J86" s="362">
        <f>IFERROR(VLOOKUP(C86,'تقرير المصروفات حسب الشهر'!$C$763:$AI$877,30,FALSE),0)</f>
        <v>979</v>
      </c>
      <c r="K86" s="362">
        <f>IFERROR(VLOOKUP(C86,'تقرير المصروفات حسب الشهر'!$C$890:$AI$1007,30,FALSE),0)</f>
        <v>0</v>
      </c>
      <c r="L86" s="362">
        <f>IFERROR(VLOOKUP(C86,'تقرير المصروفات حسب الشهر'!$C$1016:$AI$1131,30,FALSE),0)</f>
        <v>0</v>
      </c>
      <c r="M86" s="376">
        <f>IFERROR(VLOOKUP(C86,'تقرير المصروفات حسب الشهر'!$C$1143:$AI$1259,30,FALSE),0)</f>
        <v>1075.76</v>
      </c>
      <c r="N86" s="376">
        <f>IFERROR(VLOOKUP(C86,'تقرير المصروفات حسب الشهر'!$C$1271:$AI$1385,30,FALSE),0)</f>
        <v>367.25</v>
      </c>
      <c r="O86" s="376">
        <f>IFERROR(VLOOKUP(C86,'تقرير المصروفات حسب الشهر'!$C$1397:$AI$1512,30,FALSE),0)</f>
        <v>1356</v>
      </c>
      <c r="P86" s="364">
        <f t="shared" si="5"/>
        <v>9199.19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الشهر'!$C$10:$AL$124,30,FALSE),0)</f>
        <v>0</v>
      </c>
      <c r="E87" s="362">
        <f>IFERROR(VLOOKUP(C87,'تقرير المصروفات حسب الشهر'!$C$135:$AL$252,30,FALSE),0)</f>
        <v>0</v>
      </c>
      <c r="F87" s="362">
        <v>0</v>
      </c>
      <c r="G87" s="362">
        <f>IFERROR(VLOOKUP(C87,'تقرير المصروفات حسب الشهر'!C451:AI564,30,0),0)</f>
        <v>0</v>
      </c>
      <c r="H87" s="362">
        <f>IFERROR(VLOOKUP(C87,'تقرير المصروفات حسب الشهر'!$C$512:$AL$620,30,FALSE),0)</f>
        <v>0</v>
      </c>
      <c r="I87" s="362">
        <f>IFERROR(VLOOKUP(C87,'تقرير المصروفات حسب الشهر'!$C$637:$AI$748,30,FALSE),0)</f>
        <v>0</v>
      </c>
      <c r="J87" s="362">
        <f>IFERROR(VLOOKUP(C87,'تقرير المصروفات حسب الشهر'!$C$763:$AI$877,30,FALSE),0)</f>
        <v>0</v>
      </c>
      <c r="K87" s="362">
        <f>IFERROR(VLOOKUP(C87,'تقرير المصروفات حسب الشهر'!$C$890:$AI$1007,30,FALSE),0)</f>
        <v>0</v>
      </c>
      <c r="L87" s="362">
        <f>IFERROR(VLOOKUP(C87,'تقرير المصروفات حسب الشهر'!$C$1016:$AI$1131,30,FALSE),0)</f>
        <v>0</v>
      </c>
      <c r="M87" s="376">
        <f>IFERROR(VLOOKUP(C87,'تقرير المصروفات حسب الشهر'!$C$1143:$AI$1259,30,FALSE),0)</f>
        <v>0</v>
      </c>
      <c r="N87" s="376">
        <f>IFERROR(VLOOKUP(C87,'تقرير المصروفات حسب الشهر'!$C$1271:$AI$1385,30,FALSE),0)</f>
        <v>0</v>
      </c>
      <c r="O87" s="376">
        <f>IFERROR(VLOOKUP(C87,'تقرير المصروفات حسب الشهر'!$C$1397:$AI$1512,30,FALSE),0)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الشهر'!$C$10:$AL$124,30,FALSE),0)</f>
        <v>0</v>
      </c>
      <c r="E88" s="362">
        <f>IFERROR(VLOOKUP(C88,'تقرير المصروفات حسب الشهر'!$C$135:$AL$252,30,FALSE),0)</f>
        <v>7875</v>
      </c>
      <c r="F88" s="362">
        <v>0</v>
      </c>
      <c r="G88" s="362">
        <f>IFERROR(VLOOKUP(C88,'تقرير المصروفات حسب الشهر'!C452:AI565,30,0),0)</f>
        <v>0</v>
      </c>
      <c r="H88" s="362">
        <f>IFERROR(VLOOKUP(C88,'تقرير المصروفات حسب الشهر'!$C$512:$AL$620,30,FALSE),0)</f>
        <v>333</v>
      </c>
      <c r="I88" s="362">
        <f>IFERROR(VLOOKUP(C88,'تقرير المصروفات حسب الشهر'!$C$637:$AI$748,30,FALSE),0)</f>
        <v>0</v>
      </c>
      <c r="J88" s="362">
        <f>IFERROR(VLOOKUP(C88,'تقرير المصروفات حسب الشهر'!$C$763:$AI$877,30,FALSE),0)</f>
        <v>0</v>
      </c>
      <c r="K88" s="362">
        <f>IFERROR(VLOOKUP(C88,'تقرير المصروفات حسب الشهر'!$C$890:$AI$1007,30,FALSE),0)</f>
        <v>0</v>
      </c>
      <c r="L88" s="362">
        <f>IFERROR(VLOOKUP(C88,'تقرير المصروفات حسب الشهر'!$C$1016:$AI$1131,30,FALSE),0)</f>
        <v>0</v>
      </c>
      <c r="M88" s="376">
        <f>IFERROR(VLOOKUP(C88,'تقرير المصروفات حسب الشهر'!$C$1143:$AI$1259,30,FALSE),0)</f>
        <v>0</v>
      </c>
      <c r="N88" s="376">
        <f>IFERROR(VLOOKUP(C88,'تقرير المصروفات حسب الشهر'!$C$1271:$AI$1385,30,FALSE),0)</f>
        <v>0</v>
      </c>
      <c r="O88" s="376">
        <f>IFERROR(VLOOKUP(C88,'تقرير المصروفات حسب الشهر'!$C$1397:$AI$1512,30,FALSE),0)</f>
        <v>0</v>
      </c>
      <c r="P88" s="364">
        <f t="shared" si="6"/>
        <v>8208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الشهر'!$C$10:$AL$124,30,FALSE),0)</f>
        <v>0</v>
      </c>
      <c r="E89" s="362">
        <f>IFERROR(VLOOKUP(C89,'تقرير المصروفات حسب الشهر'!$C$135:$AL$252,30,FALSE),0)</f>
        <v>0</v>
      </c>
      <c r="F89" s="362">
        <v>0</v>
      </c>
      <c r="G89" s="362">
        <f>IFERROR(VLOOKUP(C89,'تقرير المصروفات حسب الشهر'!C453:AI566,30,0),0)</f>
        <v>0</v>
      </c>
      <c r="H89" s="362">
        <f>IFERROR(VLOOKUP(C89,'تقرير المصروفات حسب الشهر'!$C$512:$AL$620,30,FALSE),0)</f>
        <v>0</v>
      </c>
      <c r="I89" s="362">
        <f>IFERROR(VLOOKUP(C89,'تقرير المصروفات حسب الشهر'!$C$637:$AI$748,30,FALSE),0)</f>
        <v>0</v>
      </c>
      <c r="J89" s="362">
        <f>IFERROR(VLOOKUP(C89,'تقرير المصروفات حسب الشهر'!$C$763:$AI$877,30,FALSE),0)</f>
        <v>0</v>
      </c>
      <c r="K89" s="362">
        <f>IFERROR(VLOOKUP(C89,'تقرير المصروفات حسب الشهر'!$C$890:$AI$1007,30,FALSE),0)</f>
        <v>0</v>
      </c>
      <c r="L89" s="362">
        <f>IFERROR(VLOOKUP(C89,'تقرير المصروفات حسب الشهر'!$C$1016:$AI$1131,30,FALSE),0)</f>
        <v>0</v>
      </c>
      <c r="M89" s="376">
        <f>IFERROR(VLOOKUP(C89,'تقرير المصروفات حسب الشهر'!$C$1143:$AI$1259,30,FALSE),0)</f>
        <v>0</v>
      </c>
      <c r="N89" s="376">
        <f>IFERROR(VLOOKUP(C89,'تقرير المصروفات حسب الشهر'!$C$1271:$AI$1385,30,FALSE),0)</f>
        <v>0</v>
      </c>
      <c r="O89" s="376">
        <f>IFERROR(VLOOKUP(C89,'تقرير المصروفات حسب الشهر'!$C$1397:$AI$1512,30,FALSE),0)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الشهر'!$C$10:$AL$124,30,FALSE),0)</f>
        <v>0</v>
      </c>
      <c r="E90" s="362">
        <f>IFERROR(VLOOKUP(C90,'تقرير المصروفات حسب الشهر'!$C$135:$AL$252,30,FALSE),0)</f>
        <v>0</v>
      </c>
      <c r="F90" s="362">
        <v>0</v>
      </c>
      <c r="G90" s="362">
        <f>IFERROR(VLOOKUP(C90,'تقرير المصروفات حسب الشهر'!C454:AI567,30,0),0)</f>
        <v>0</v>
      </c>
      <c r="H90" s="362">
        <f>IFERROR(VLOOKUP(C90,'تقرير المصروفات حسب الشهر'!$C$512:$AL$620,30,FALSE),0)</f>
        <v>0</v>
      </c>
      <c r="I90" s="362">
        <f>IFERROR(VLOOKUP(C90,'تقرير المصروفات حسب الشهر'!$C$637:$AI$748,30,FALSE),0)</f>
        <v>0</v>
      </c>
      <c r="J90" s="362">
        <f>IFERROR(VLOOKUP(C90,'تقرير المصروفات حسب الشهر'!$C$763:$AI$877,30,FALSE),0)</f>
        <v>0</v>
      </c>
      <c r="K90" s="362">
        <f>IFERROR(VLOOKUP(C90,'تقرير المصروفات حسب الشهر'!$C$890:$AI$1007,30,FALSE),0)</f>
        <v>0</v>
      </c>
      <c r="L90" s="362">
        <f>IFERROR(VLOOKUP(C90,'تقرير المصروفات حسب الشهر'!$C$1016:$AI$1131,30,FALSE),0)</f>
        <v>0</v>
      </c>
      <c r="M90" s="376">
        <f>IFERROR(VLOOKUP(C90,'تقرير المصروفات حسب الشهر'!$C$1143:$AI$1259,30,FALSE),0)</f>
        <v>0</v>
      </c>
      <c r="N90" s="376">
        <f>IFERROR(VLOOKUP(C90,'تقرير المصروفات حسب الشهر'!$C$1271:$AI$1385,30,FALSE),0)</f>
        <v>0</v>
      </c>
      <c r="O90" s="376">
        <f>IFERROR(VLOOKUP(C90,'تقرير المصروفات حسب الشهر'!$C$1397:$AI$1512,30,FALSE),0)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الشهر'!$C$10:$AL$124,30,FALSE),0)</f>
        <v>0</v>
      </c>
      <c r="E91" s="362">
        <f>IFERROR(VLOOKUP(C91,'تقرير المصروفات حسب الشهر'!$C$135:$AL$252,30,FALSE),0)</f>
        <v>0</v>
      </c>
      <c r="F91" s="362">
        <v>0</v>
      </c>
      <c r="G91" s="362">
        <f>IFERROR(VLOOKUP(C91,'تقرير المصروفات حسب الشهر'!C455:AI568,30,0),0)</f>
        <v>0</v>
      </c>
      <c r="H91" s="362">
        <f>IFERROR(VLOOKUP(C91,'تقرير المصروفات حسب الشهر'!$C$512:$AL$620,30,FALSE),0)</f>
        <v>0</v>
      </c>
      <c r="I91" s="362">
        <f>IFERROR(VLOOKUP(C91,'تقرير المصروفات حسب الشهر'!$C$637:$AI$748,30,FALSE),0)</f>
        <v>0</v>
      </c>
      <c r="J91" s="362">
        <f>IFERROR(VLOOKUP(C91,'تقرير المصروفات حسب الشهر'!$C$763:$AI$877,30,FALSE),0)</f>
        <v>0</v>
      </c>
      <c r="K91" s="362">
        <f>IFERROR(VLOOKUP(C91,'تقرير المصروفات حسب الشهر'!$C$890:$AI$1007,30,FALSE),0)</f>
        <v>0</v>
      </c>
      <c r="L91" s="362">
        <f>IFERROR(VLOOKUP(C91,'تقرير المصروفات حسب الشهر'!$C$1016:$AI$1131,30,FALSE),0)</f>
        <v>0</v>
      </c>
      <c r="M91" s="376">
        <f>IFERROR(VLOOKUP(C91,'تقرير المصروفات حسب الشهر'!$C$1143:$AI$1259,30,FALSE),0)</f>
        <v>0</v>
      </c>
      <c r="N91" s="376">
        <f>IFERROR(VLOOKUP(C91,'تقرير المصروفات حسب الشهر'!$C$1271:$AI$1385,30,FALSE),0)</f>
        <v>0</v>
      </c>
      <c r="O91" s="376">
        <f>IFERROR(VLOOKUP(C91,'تقرير المصروفات حسب الشهر'!$C$1397:$AI$1512,30,FALSE),0)</f>
        <v>0</v>
      </c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الشهر'!$C$10:$AL$124,30,FALSE),0)</f>
        <v>0</v>
      </c>
      <c r="E92" s="362">
        <f>IFERROR(VLOOKUP(C92,'تقرير المصروفات حسب الشهر'!$C$135:$AL$252,30,FALSE),0)</f>
        <v>0</v>
      </c>
      <c r="F92" s="362">
        <v>1200</v>
      </c>
      <c r="G92" s="362">
        <f>IFERROR(VLOOKUP(C92,'تقرير المصروفات حسب الشهر'!C456:AI569,30,0),0)</f>
        <v>0</v>
      </c>
      <c r="H92" s="362">
        <f>IFERROR(VLOOKUP(C92,'تقرير المصروفات حسب الشهر'!$C$512:$AL$620,30,FALSE),0)</f>
        <v>0</v>
      </c>
      <c r="I92" s="362">
        <f>IFERROR(VLOOKUP(C92,'تقرير المصروفات حسب الشهر'!$C$637:$AI$748,30,FALSE),0)</f>
        <v>0</v>
      </c>
      <c r="J92" s="362">
        <f>IFERROR(VLOOKUP(C92,'تقرير المصروفات حسب الشهر'!$C$763:$AI$877,30,FALSE),0)</f>
        <v>0</v>
      </c>
      <c r="K92" s="362">
        <f>IFERROR(VLOOKUP(C92,'تقرير المصروفات حسب الشهر'!$C$890:$AI$1007,30,FALSE),0)</f>
        <v>0</v>
      </c>
      <c r="L92" s="362">
        <f>IFERROR(VLOOKUP(C92,'تقرير المصروفات حسب الشهر'!$C$1016:$AI$1131,30,FALSE),0)</f>
        <v>0</v>
      </c>
      <c r="M92" s="376">
        <f>IFERROR(VLOOKUP(C92,'تقرير المصروفات حسب الشهر'!$C$1143:$AI$1259,30,FALSE),0)</f>
        <v>0</v>
      </c>
      <c r="N92" s="376">
        <f>IFERROR(VLOOKUP(C92,'تقرير المصروفات حسب الشهر'!$C$1271:$AI$1385,30,FALSE),0)</f>
        <v>0</v>
      </c>
      <c r="O92" s="376">
        <f>IFERROR(VLOOKUP(C92,'تقرير المصروفات حسب الشهر'!$C$1397:$AI$1512,30,FALSE),0)</f>
        <v>0</v>
      </c>
      <c r="P92" s="364">
        <f t="shared" si="6"/>
        <v>1200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الشهر'!$C$10:$AL$124,30,FALSE),0)</f>
        <v>0</v>
      </c>
      <c r="E93" s="362">
        <f>IFERROR(VLOOKUP(C93,'تقرير المصروفات حسب الشهر'!$C$135:$AL$252,30,FALSE),0)</f>
        <v>0</v>
      </c>
      <c r="F93" s="362">
        <v>0</v>
      </c>
      <c r="G93" s="362">
        <f>IFERROR(VLOOKUP(C93,'تقرير المصروفات حسب الشهر'!C457:AI570,30,0),0)</f>
        <v>621.5</v>
      </c>
      <c r="H93" s="362">
        <f>IFERROR(VLOOKUP(C93,'تقرير المصروفات حسب الشهر'!$C$512:$AL$620,30,FALSE),0)</f>
        <v>0</v>
      </c>
      <c r="I93" s="362">
        <f>IFERROR(VLOOKUP(C93,'تقرير المصروفات حسب الشهر'!$C$637:$AI$748,30,FALSE),0)</f>
        <v>0</v>
      </c>
      <c r="J93" s="362">
        <f>IFERROR(VLOOKUP(C93,'تقرير المصروفات حسب الشهر'!$C$763:$AI$877,30,FALSE),0)</f>
        <v>668</v>
      </c>
      <c r="K93" s="362">
        <f>IFERROR(VLOOKUP(C93,'تقرير المصروفات حسب الشهر'!$C$890:$AI$1007,30,FALSE),0)</f>
        <v>0</v>
      </c>
      <c r="L93" s="362">
        <f>IFERROR(VLOOKUP(C93,'تقرير المصروفات حسب الشهر'!$C$1016:$AI$1131,30,FALSE),0)</f>
        <v>0</v>
      </c>
      <c r="M93" s="376">
        <f>IFERROR(VLOOKUP(C93,'تقرير المصروفات حسب الشهر'!$C$1143:$AI$1259,30,FALSE),0)</f>
        <v>0</v>
      </c>
      <c r="N93" s="376">
        <f>IFERROR(VLOOKUP(C93,'تقرير المصروفات حسب الشهر'!$C$1271:$AI$1385,30,FALSE),0)</f>
        <v>0</v>
      </c>
      <c r="O93" s="376">
        <f>IFERROR(VLOOKUP(C93,'تقرير المصروفات حسب الشهر'!$C$1397:$AI$1512,30,FALSE),0)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الشهر'!$C$10:$AL$124,30,FALSE),0)</f>
        <v>0</v>
      </c>
      <c r="E94" s="362">
        <f>IFERROR(VLOOKUP(C94,'تقرير المصروفات حسب الشهر'!$C$135:$AL$252,30,FALSE),0)</f>
        <v>0</v>
      </c>
      <c r="F94" s="362">
        <v>0</v>
      </c>
      <c r="G94" s="362">
        <f>IFERROR(VLOOKUP(C94,'تقرير المصروفات حسب الشهر'!C458:AI571,30,0),0)</f>
        <v>0</v>
      </c>
      <c r="H94" s="362">
        <f>IFERROR(VLOOKUP(C94,'تقرير المصروفات حسب الشهر'!$C$512:$AL$620,30,FALSE),0)</f>
        <v>309</v>
      </c>
      <c r="I94" s="362">
        <f>IFERROR(VLOOKUP(C94,'تقرير المصروفات حسب الشهر'!$C$637:$AI$748,30,FALSE),0)</f>
        <v>0</v>
      </c>
      <c r="J94" s="362">
        <f>IFERROR(VLOOKUP(C94,'تقرير المصروفات حسب الشهر'!$C$763:$AI$877,30,FALSE),0)</f>
        <v>0</v>
      </c>
      <c r="K94" s="362">
        <f>IFERROR(VLOOKUP(C94,'تقرير المصروفات حسب الشهر'!$C$890:$AI$1007,30,FALSE),0)</f>
        <v>0</v>
      </c>
      <c r="L94" s="362">
        <f>IFERROR(VLOOKUP(C94,'تقرير المصروفات حسب الشهر'!$C$1016:$AI$1131,30,FALSE),0)</f>
        <v>0</v>
      </c>
      <c r="M94" s="376">
        <f>IFERROR(VLOOKUP(C94,'تقرير المصروفات حسب الشهر'!$C$1143:$AI$1259,30,FALSE),0)</f>
        <v>0</v>
      </c>
      <c r="N94" s="376">
        <f>IFERROR(VLOOKUP(C94,'تقرير المصروفات حسب الشهر'!$C$1271:$AI$1385,30,FALSE),0)</f>
        <v>0</v>
      </c>
      <c r="O94" s="376">
        <f>IFERROR(VLOOKUP(C94,'تقرير المصروفات حسب الشهر'!$C$1397:$AI$1512,30,FALSE),0)</f>
        <v>0</v>
      </c>
      <c r="P94" s="364">
        <f t="shared" si="6"/>
        <v>309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الشهر'!$C$10:$AL$124,30,FALSE),0)</f>
        <v>0</v>
      </c>
      <c r="E95" s="362">
        <f>IFERROR(VLOOKUP(C95,'تقرير المصروفات حسب الشهر'!$C$135:$AL$252,30,FALSE),0)</f>
        <v>0</v>
      </c>
      <c r="F95" s="362">
        <v>0</v>
      </c>
      <c r="G95" s="362">
        <f>IFERROR(VLOOKUP(C95,'تقرير المصروفات حسب الشهر'!C459:AI572,30,0),0)</f>
        <v>0</v>
      </c>
      <c r="H95" s="362">
        <f>IFERROR(VLOOKUP(C95,'تقرير المصروفات حسب الشهر'!$C$512:$AL$620,30,FALSE),0)</f>
        <v>0</v>
      </c>
      <c r="I95" s="362">
        <f>IFERROR(VLOOKUP(C95,'تقرير المصروفات حسب الشهر'!$C$637:$AI$748,30,FALSE),0)</f>
        <v>0</v>
      </c>
      <c r="J95" s="362">
        <f>IFERROR(VLOOKUP(C95,'تقرير المصروفات حسب الشهر'!$C$763:$AI$877,30,FALSE),0)</f>
        <v>0</v>
      </c>
      <c r="K95" s="362">
        <f>IFERROR(VLOOKUP(C95,'تقرير المصروفات حسب الشهر'!$C$890:$AI$1007,30,FALSE),0)</f>
        <v>0</v>
      </c>
      <c r="L95" s="362">
        <f>IFERROR(VLOOKUP(C95,'تقرير المصروفات حسب الشهر'!$C$1016:$AI$1131,30,FALSE),0)</f>
        <v>2130</v>
      </c>
      <c r="M95" s="376">
        <f>IFERROR(VLOOKUP(C95,'تقرير المصروفات حسب الشهر'!$C$1143:$AI$1259,30,FALSE),0)</f>
        <v>1065</v>
      </c>
      <c r="N95" s="376">
        <f>IFERROR(VLOOKUP(C95,'تقرير المصروفات حسب الشهر'!$C$1271:$AI$1385,30,FALSE),0)</f>
        <v>1065</v>
      </c>
      <c r="O95" s="376">
        <f>IFERROR(VLOOKUP(C95,'تقرير المصروفات حسب الشهر'!$C$1397:$AI$1512,30,FALSE),0)</f>
        <v>1065</v>
      </c>
      <c r="P95" s="364">
        <f t="shared" si="6"/>
        <v>5325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الشهر'!$C$10:$AL$124,30,FALSE),0)</f>
        <v>0</v>
      </c>
      <c r="E96" s="362">
        <f>IFERROR(VLOOKUP(C96,'تقرير المصروفات حسب الشهر'!$C$135:$AL$252,30,FALSE),0)</f>
        <v>0</v>
      </c>
      <c r="F96" s="362">
        <v>0</v>
      </c>
      <c r="G96" s="362">
        <f>IFERROR(VLOOKUP(C96,'تقرير المصروفات حسب الشهر'!C460:AI573,30,0),0)</f>
        <v>0</v>
      </c>
      <c r="H96" s="362">
        <f>IFERROR(VLOOKUP(C96,'تقرير المصروفات حسب الشهر'!$C$512:$AL$620,30,FALSE),0)</f>
        <v>0</v>
      </c>
      <c r="I96" s="362">
        <f>IFERROR(VLOOKUP(C96,'تقرير المصروفات حسب الشهر'!$C$637:$AI$748,30,FALSE),0)</f>
        <v>0</v>
      </c>
      <c r="J96" s="362">
        <f>IFERROR(VLOOKUP(C96,'تقرير المصروفات حسب الشهر'!$C$763:$AI$877,30,FALSE),0)</f>
        <v>0</v>
      </c>
      <c r="K96" s="362">
        <f>IFERROR(VLOOKUP(C96,'تقرير المصروفات حسب الشهر'!$C$890:$AI$1007,30,FALSE),0)</f>
        <v>0</v>
      </c>
      <c r="L96" s="362">
        <f>IFERROR(VLOOKUP(C96,'تقرير المصروفات حسب الشهر'!$C$1016:$AI$1131,30,FALSE),0)</f>
        <v>0</v>
      </c>
      <c r="M96" s="376">
        <f>IFERROR(VLOOKUP(C96,'تقرير المصروفات حسب الشهر'!$C$1143:$AI$1259,30,FALSE),0)</f>
        <v>0</v>
      </c>
      <c r="N96" s="376">
        <f>IFERROR(VLOOKUP(C96,'تقرير المصروفات حسب الشهر'!$C$1271:$AI$1385,30,FALSE),0)</f>
        <v>0</v>
      </c>
      <c r="O96" s="376">
        <f>IFERROR(VLOOKUP(C96,'تقرير المصروفات حسب الشهر'!$C$1397:$AI$1512,30,FALSE),0)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الشهر'!$C$10:$AL$124,30,FALSE),0)</f>
        <v>0</v>
      </c>
      <c r="E97" s="362">
        <f>IFERROR(VLOOKUP(C97,'تقرير المصروفات حسب الشهر'!$C$135:$AL$252,30,FALSE),0)</f>
        <v>0</v>
      </c>
      <c r="F97" s="362">
        <v>0</v>
      </c>
      <c r="G97" s="362">
        <f>IFERROR(VLOOKUP(C97,'تقرير المصروفات حسب الشهر'!C461:AI574,30,0),0)</f>
        <v>0</v>
      </c>
      <c r="H97" s="362">
        <f>IFERROR(VLOOKUP(C97,'تقرير المصروفات حسب الشهر'!$C$512:$AL$620,30,FALSE),0)</f>
        <v>0</v>
      </c>
      <c r="I97" s="362">
        <f>IFERROR(VLOOKUP(C97,'تقرير المصروفات حسب الشهر'!$C$637:$AI$748,30,FALSE),0)</f>
        <v>0</v>
      </c>
      <c r="J97" s="362">
        <f>IFERROR(VLOOKUP(C97,'تقرير المصروفات حسب الشهر'!$C$763:$AI$877,30,FALSE),0)</f>
        <v>0</v>
      </c>
      <c r="K97" s="362">
        <f>IFERROR(VLOOKUP(C97,'تقرير المصروفات حسب الشهر'!$C$890:$AI$1007,30,FALSE),0)</f>
        <v>0</v>
      </c>
      <c r="L97" s="362">
        <f>IFERROR(VLOOKUP(C97,'تقرير المصروفات حسب الشهر'!$C$1016:$AI$1131,30,FALSE),0)</f>
        <v>0</v>
      </c>
      <c r="M97" s="376">
        <f>IFERROR(VLOOKUP(C97,'تقرير المصروفات حسب الشهر'!$C$1143:$AI$1259,30,FALSE),0)</f>
        <v>0</v>
      </c>
      <c r="N97" s="376">
        <f>IFERROR(VLOOKUP(C97,'تقرير المصروفات حسب الشهر'!$C$1271:$AI$1385,30,FALSE),0)</f>
        <v>0</v>
      </c>
      <c r="O97" s="376">
        <f>IFERROR(VLOOKUP(C97,'تقرير المصروفات حسب الشهر'!$C$1397:$AI$1512,30,FALSE),0)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الشهر'!$C$10:$AL$124,30,FALSE),0)</f>
        <v>0</v>
      </c>
      <c r="E98" s="362">
        <f>IFERROR(VLOOKUP(C98,'تقرير المصروفات حسب الشهر'!$C$135:$AL$252,30,FALSE),0)</f>
        <v>0</v>
      </c>
      <c r="F98" s="362">
        <v>0</v>
      </c>
      <c r="G98" s="362">
        <f>IFERROR(VLOOKUP(C98,'تقرير المصروفات حسب الشهر'!C462:AI575,30,0),0)</f>
        <v>0</v>
      </c>
      <c r="H98" s="362">
        <f>IFERROR(VLOOKUP(C98,'تقرير المصروفات حسب الشهر'!$C$512:$AL$620,30,FALSE),0)</f>
        <v>0</v>
      </c>
      <c r="I98" s="362">
        <f>IFERROR(VLOOKUP(C98,'تقرير المصروفات حسب الشهر'!$C$637:$AI$748,30,FALSE),0)</f>
        <v>0</v>
      </c>
      <c r="J98" s="362">
        <f>IFERROR(VLOOKUP(C98,'تقرير المصروفات حسب الشهر'!$C$763:$AI$877,30,FALSE),0)</f>
        <v>0</v>
      </c>
      <c r="K98" s="362">
        <f>IFERROR(VLOOKUP(C98,'تقرير المصروفات حسب الشهر'!$C$890:$AI$1007,30,FALSE),0)</f>
        <v>0</v>
      </c>
      <c r="L98" s="362">
        <f>IFERROR(VLOOKUP(C98,'تقرير المصروفات حسب الشهر'!$C$1016:$AI$1131,30,FALSE),0)</f>
        <v>0</v>
      </c>
      <c r="M98" s="376">
        <f>IFERROR(VLOOKUP(C98,'تقرير المصروفات حسب الشهر'!$C$1143:$AI$1259,30,FALSE),0)</f>
        <v>0</v>
      </c>
      <c r="N98" s="376">
        <f>IFERROR(VLOOKUP(C98,'تقرير المصروفات حسب الشهر'!$C$1271:$AI$1385,30,FALSE),0)</f>
        <v>0</v>
      </c>
      <c r="O98" s="376">
        <f>IFERROR(VLOOKUP(C98,'تقرير المصروفات حسب الشهر'!$C$1397:$AI$1512,30,FALSE),0)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الشهر'!$C$10:$AL$124,30,FALSE),0)</f>
        <v>0</v>
      </c>
      <c r="E99" s="362">
        <f>IFERROR(VLOOKUP(C99,'تقرير المصروفات حسب الشهر'!$C$135:$AL$252,30,FALSE),0)</f>
        <v>0</v>
      </c>
      <c r="F99" s="362">
        <v>0</v>
      </c>
      <c r="G99" s="362">
        <f>IFERROR(VLOOKUP(C99,'تقرير المصروفات حسب الشهر'!C463:AI576,30,0),0)</f>
        <v>0</v>
      </c>
      <c r="H99" s="362">
        <f>IFERROR(VLOOKUP(C99,'تقرير المصروفات حسب الشهر'!$C$512:$AL$620,30,FALSE),0)</f>
        <v>0</v>
      </c>
      <c r="I99" s="362">
        <f>IFERROR(VLOOKUP(C99,'تقرير المصروفات حسب الشهر'!$C$637:$AI$748,30,FALSE),0)</f>
        <v>0</v>
      </c>
      <c r="J99" s="362">
        <f>IFERROR(VLOOKUP(C99,'تقرير المصروفات حسب الشهر'!$C$763:$AI$877,30,FALSE),0)</f>
        <v>0</v>
      </c>
      <c r="K99" s="362">
        <f>IFERROR(VLOOKUP(C99,'تقرير المصروفات حسب الشهر'!$C$890:$AI$1007,30,FALSE),0)</f>
        <v>0</v>
      </c>
      <c r="L99" s="362">
        <f>IFERROR(VLOOKUP(C99,'تقرير المصروفات حسب الشهر'!$C$1016:$AI$1131,30,FALSE),0)</f>
        <v>0</v>
      </c>
      <c r="M99" s="376">
        <f>IFERROR(VLOOKUP(C99,'تقرير المصروفات حسب الشهر'!$C$1143:$AI$1259,30,FALSE),0)</f>
        <v>0</v>
      </c>
      <c r="N99" s="376">
        <f>IFERROR(VLOOKUP(C99,'تقرير المصروفات حسب الشهر'!$C$1271:$AI$1385,30,FALSE),0)</f>
        <v>0</v>
      </c>
      <c r="O99" s="376">
        <f>IFERROR(VLOOKUP(C99,'تقرير المصروفات حسب الشهر'!$C$1397:$AI$1512,30,FALSE),0)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الشهر'!$C$10:$AL$124,30,FALSE),0)</f>
        <v>163.69</v>
      </c>
      <c r="E100" s="362">
        <f>IFERROR(VLOOKUP(C100,'تقرير المصروفات حسب الشهر'!$C$135:$AL$252,30,FALSE),0)</f>
        <v>1850.38</v>
      </c>
      <c r="F100" s="362">
        <v>1947.16</v>
      </c>
      <c r="G100" s="362">
        <f>IFERROR(VLOOKUP(C100,'تقرير المصروفات حسب الشهر'!C464:AI577,30,0),0)</f>
        <v>1947.16</v>
      </c>
      <c r="H100" s="362">
        <f>IFERROR(VLOOKUP(C100,'تقرير المصروفات حسب الشهر'!$C$512:$AL$620,30,FALSE),0)</f>
        <v>1947.16</v>
      </c>
      <c r="I100" s="362">
        <f>IFERROR(VLOOKUP(C100,'تقرير المصروفات حسب الشهر'!$C$637:$AI$748,30,FALSE),0)</f>
        <v>1947.14</v>
      </c>
      <c r="J100" s="362">
        <f>IFERROR(VLOOKUP(C100,'تقرير المصروفات حسب الشهر'!$C$763:$AI$877,30,FALSE),0)</f>
        <v>2029.56</v>
      </c>
      <c r="K100" s="362">
        <f>IFERROR(VLOOKUP(C100,'تقرير المصروفات حسب الشهر'!$C$890:$AI$1007,30,FALSE),0)</f>
        <v>2029.56</v>
      </c>
      <c r="L100" s="362">
        <f>IFERROR(VLOOKUP(C100,'تقرير المصروفات حسب الشهر'!$C$1016:$AI$1131,30,FALSE),0)</f>
        <v>2029.56</v>
      </c>
      <c r="M100" s="376">
        <f>IFERROR(VLOOKUP(C100,'تقرير المصروفات حسب الشهر'!$C$1143:$AI$1259,30,FALSE),0)</f>
        <v>2029.56</v>
      </c>
      <c r="N100" s="376">
        <f>IFERROR(VLOOKUP(C100,'تقرير المصروفات حسب الشهر'!$C$1271:$AI$1385,30,FALSE),0)</f>
        <v>2029.56</v>
      </c>
      <c r="O100" s="376">
        <f>IFERROR(VLOOKUP(C100,'تقرير المصروفات حسب الشهر'!$C$1397:$AI$1512,30,FALSE),0)</f>
        <v>2073.04</v>
      </c>
      <c r="P100" s="364">
        <f t="shared" si="6"/>
        <v>22023.530000000002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الشهر'!$C$10:$AL$124,30,FALSE),0)</f>
        <v>0</v>
      </c>
      <c r="E101" s="362">
        <f>IFERROR(VLOOKUP(C101,'تقرير المصروفات حسب الشهر'!$C$135:$AL$252,30,FALSE),0)</f>
        <v>0</v>
      </c>
      <c r="F101" s="362">
        <v>0</v>
      </c>
      <c r="G101" s="362">
        <f>IFERROR(VLOOKUP(C101,'تقرير المصروفات حسب الشهر'!C465:AI578,30,0),0)</f>
        <v>0</v>
      </c>
      <c r="H101" s="362">
        <f>IFERROR(VLOOKUP(C101,'تقرير المصروفات حسب الشهر'!$C$512:$AL$620,30,FALSE),0)</f>
        <v>0</v>
      </c>
      <c r="I101" s="362">
        <f>IFERROR(VLOOKUP(C101,'تقرير المصروفات حسب الشهر'!$C$637:$AI$748,30,FALSE),0)</f>
        <v>0</v>
      </c>
      <c r="J101" s="362">
        <f>IFERROR(VLOOKUP(C101,'تقرير المصروفات حسب الشهر'!$C$763:$AI$877,30,FALSE),0)</f>
        <v>0</v>
      </c>
      <c r="K101" s="362">
        <f>IFERROR(VLOOKUP(C101,'تقرير المصروفات حسب الشهر'!$C$890:$AI$1007,30,FALSE),0)</f>
        <v>0</v>
      </c>
      <c r="L101" s="362">
        <f>IFERROR(VLOOKUP(C101,'تقرير المصروفات حسب الشهر'!$C$1016:$AI$1131,30,FALSE),0)</f>
        <v>0</v>
      </c>
      <c r="M101" s="376">
        <f>IFERROR(VLOOKUP(C101,'تقرير المصروفات حسب الشهر'!$C$1143:$AI$1259,30,FALSE),0)</f>
        <v>0</v>
      </c>
      <c r="N101" s="376">
        <f>IFERROR(VLOOKUP(C101,'تقرير المصروفات حسب الشهر'!$C$1271:$AI$1385,30,FALSE),0)</f>
        <v>0</v>
      </c>
      <c r="O101" s="376">
        <f>IFERROR(VLOOKUP(C101,'تقرير المصروفات حسب الشهر'!$C$1397:$AI$1512,30,FALSE),0)</f>
        <v>0</v>
      </c>
      <c r="P101" s="364">
        <f t="shared" si="6"/>
        <v>0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الشهر'!$C$10:$AL$124,30,FALSE),0)</f>
        <v>48.75</v>
      </c>
      <c r="E102" s="362">
        <f>IFERROR(VLOOKUP(C102,'تقرير المصروفات حسب الشهر'!$C$135:$AL$252,30,FALSE),0)</f>
        <v>302.44</v>
      </c>
      <c r="F102" s="362">
        <v>302.44</v>
      </c>
      <c r="G102" s="362">
        <f>IFERROR(VLOOKUP(C102,'تقرير المصروفات حسب الشهر'!C466:AI579,30,0),0)</f>
        <v>302.44</v>
      </c>
      <c r="H102" s="362">
        <f>IFERROR(VLOOKUP(C102,'تقرير المصروفات حسب الشهر'!$C$512:$AL$620,30,FALSE),0)</f>
        <v>302.44</v>
      </c>
      <c r="I102" s="362">
        <f>IFERROR(VLOOKUP(C102,'تقرير المصروفات حسب الشهر'!$C$637:$AI$748,30,FALSE),0)</f>
        <v>302.44</v>
      </c>
      <c r="J102" s="362">
        <f>IFERROR(VLOOKUP(C102,'تقرير المصروفات حسب الشهر'!$C$763:$AI$877,30,FALSE),0)</f>
        <v>302.44</v>
      </c>
      <c r="K102" s="362">
        <f>IFERROR(VLOOKUP(C102,'تقرير المصروفات حسب الشهر'!$C$890:$AI$1007,30,FALSE),0)</f>
        <v>302.44</v>
      </c>
      <c r="L102" s="362">
        <f>IFERROR(VLOOKUP(C102,'تقرير المصروفات حسب الشهر'!$C$1016:$AI$1131,30,FALSE),0)</f>
        <v>302.44</v>
      </c>
      <c r="M102" s="376">
        <f>IFERROR(VLOOKUP(C102,'تقرير المصروفات حسب الشهر'!$C$1143:$AI$1259,30,FALSE),0)</f>
        <v>302.44</v>
      </c>
      <c r="N102" s="376">
        <f>IFERROR(VLOOKUP(C102,'تقرير المصروفات حسب الشهر'!$C$1271:$AI$1385,30,FALSE),0)</f>
        <v>302.44</v>
      </c>
      <c r="O102" s="376">
        <f>IFERROR(VLOOKUP(C102,'تقرير المصروفات حسب الشهر'!$C$1397:$AI$1512,30,FALSE),0)</f>
        <v>253.69</v>
      </c>
      <c r="P102" s="364">
        <f t="shared" si="6"/>
        <v>3326.84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الشهر'!$C$10:$AL$124,30,FALSE),0)</f>
        <v>49.4</v>
      </c>
      <c r="E103" s="362">
        <f>IFERROR(VLOOKUP(C103,'تقرير المصروفات حسب الشهر'!$C$135:$AL$252,30,FALSE),0)</f>
        <v>328.04</v>
      </c>
      <c r="F103" s="362">
        <v>340.15</v>
      </c>
      <c r="G103" s="362">
        <f>IFERROR(VLOOKUP(C103,'تقرير المصروفات حسب الشهر'!C467:AI580,30,0),0)</f>
        <v>340.15</v>
      </c>
      <c r="H103" s="362">
        <f>IFERROR(VLOOKUP(C103,'تقرير المصروفات حسب الشهر'!$C$512:$AL$620,30,FALSE),0)</f>
        <v>340.15</v>
      </c>
      <c r="I103" s="362">
        <f>IFERROR(VLOOKUP(C103,'تقرير المصروفات حسب الشهر'!$C$637:$AI$748,30,FALSE),0)</f>
        <v>340.15</v>
      </c>
      <c r="J103" s="362">
        <f>IFERROR(VLOOKUP(C103,'تقرير المصروفات حسب الشهر'!$C$763:$AI$877,30,FALSE),0)</f>
        <v>340.15</v>
      </c>
      <c r="K103" s="362">
        <f>IFERROR(VLOOKUP(C103,'تقرير المصروفات حسب الشهر'!$C$890:$AI$1007,30,FALSE),0)</f>
        <v>340.15</v>
      </c>
      <c r="L103" s="362">
        <f>IFERROR(VLOOKUP(C103,'تقرير المصروفات حسب الشهر'!$C$1016:$AI$1131,30,FALSE),0)</f>
        <v>340.14</v>
      </c>
      <c r="M103" s="376">
        <f>IFERROR(VLOOKUP(C103,'تقرير المصروفات حسب الشهر'!$C$1143:$AI$1259,30,FALSE),0)</f>
        <v>375.78</v>
      </c>
      <c r="N103" s="376">
        <f>IFERROR(VLOOKUP(C103,'تقرير المصروفات حسب الشهر'!$C$1271:$AI$1385,30,FALSE),0)</f>
        <v>375.78</v>
      </c>
      <c r="O103" s="376">
        <f>IFERROR(VLOOKUP(C103,'تقرير المصروفات حسب الشهر'!$C$1397:$AI$1512,30,FALSE),0)</f>
        <v>326.38</v>
      </c>
      <c r="P103" s="364">
        <f t="shared" si="6"/>
        <v>3836.42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الشهر'!$C$10:$AL$124,30,FALSE),0)</f>
        <v>0</v>
      </c>
      <c r="E104" s="362">
        <f>IFERROR(VLOOKUP(C104,'تقرير المصروفات حسب الشهر'!$C$135:$AL$252,30,FALSE),0)</f>
        <v>0</v>
      </c>
      <c r="F104" s="362">
        <v>0</v>
      </c>
      <c r="G104" s="362">
        <f>IFERROR(VLOOKUP(C104,'تقرير المصروفات حسب الشهر'!C468:AI581,30,0),0)</f>
        <v>0</v>
      </c>
      <c r="H104" s="362">
        <f>IFERROR(VLOOKUP(C104,'تقرير المصروفات حسب الشهر'!$C$512:$AL$620,30,FALSE),0)</f>
        <v>0</v>
      </c>
      <c r="I104" s="362">
        <f>IFERROR(VLOOKUP(C104,'تقرير المصروفات حسب الشهر'!$C$637:$AI$748,30,FALSE),0)</f>
        <v>0</v>
      </c>
      <c r="J104" s="362">
        <f>IFERROR(VLOOKUP(C104,'تقرير المصروفات حسب الشهر'!$C$763:$AI$877,30,FALSE),0)</f>
        <v>0</v>
      </c>
      <c r="K104" s="362">
        <f>IFERROR(VLOOKUP(C104,'تقرير المصروفات حسب الشهر'!$C$890:$AI$1007,30,FALSE),0)</f>
        <v>0</v>
      </c>
      <c r="L104" s="362">
        <f>IFERROR(VLOOKUP(C104,'تقرير المصروفات حسب الشهر'!$C$1016:$AI$1131,30,FALSE),0)</f>
        <v>0</v>
      </c>
      <c r="M104" s="376">
        <f>IFERROR(VLOOKUP(C104,'تقرير المصروفات حسب الشهر'!$C$1143:$AI$1259,30,FALSE),0)</f>
        <v>0</v>
      </c>
      <c r="N104" s="376">
        <f>IFERROR(VLOOKUP(C104,'تقرير المصروفات حسب الشهر'!$C$1271:$AI$1385,30,FALSE),0)</f>
        <v>0</v>
      </c>
      <c r="O104" s="376">
        <f>IFERROR(VLOOKUP(C104,'تقرير المصروفات حسب الشهر'!$C$1397:$AI$1512,30,FALSE),0)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الشهر'!$C$10:$AL$124,30,FALSE),0)</f>
        <v>0</v>
      </c>
      <c r="E105" s="362">
        <f>IFERROR(VLOOKUP(C105,'تقرير المصروفات حسب الشهر'!$C$135:$AL$252,30,FALSE),0)</f>
        <v>0</v>
      </c>
      <c r="F105" s="362">
        <v>0</v>
      </c>
      <c r="G105" s="362">
        <f>IFERROR(VLOOKUP(C105,'تقرير المصروفات حسب الشهر'!C469:AI582,30,0),0)</f>
        <v>0</v>
      </c>
      <c r="H105" s="362">
        <f>IFERROR(VLOOKUP(C105,'تقرير المصروفات حسب الشهر'!$C$512:$AL$620,30,FALSE),0)</f>
        <v>0</v>
      </c>
      <c r="I105" s="362">
        <f>IFERROR(VLOOKUP(C105,'تقرير المصروفات حسب الشهر'!$C$637:$AI$748,30,FALSE),0)</f>
        <v>0</v>
      </c>
      <c r="J105" s="362">
        <f>IFERROR(VLOOKUP(C105,'تقرير المصروفات حسب الشهر'!$C$763:$AI$877,30,FALSE),0)</f>
        <v>0</v>
      </c>
      <c r="K105" s="362">
        <f>IFERROR(VLOOKUP(C105,'تقرير المصروفات حسب الشهر'!$C$890:$AI$1007,30,FALSE),0)</f>
        <v>0</v>
      </c>
      <c r="L105" s="362">
        <f>IFERROR(VLOOKUP(C105,'تقرير المصروفات حسب الشهر'!$C$1016:$AI$1131,30,FALSE),0)</f>
        <v>0</v>
      </c>
      <c r="M105" s="376">
        <f>IFERROR(VLOOKUP(C105,'تقرير المصروفات حسب الشهر'!$C$1143:$AI$1259,30,FALSE),0)</f>
        <v>0</v>
      </c>
      <c r="N105" s="376">
        <f>IFERROR(VLOOKUP(C105,'تقرير المصروفات حسب الشهر'!$C$1271:$AI$1385,30,FALSE),0)</f>
        <v>0</v>
      </c>
      <c r="O105" s="376">
        <f>IFERROR(VLOOKUP(C105,'تقرير المصروفات حسب الشهر'!$C$1397:$AI$1512,30,FALSE),0)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الشهر'!$C$10:$AL$124,30,FALSE),0)</f>
        <v>0</v>
      </c>
      <c r="E106" s="362">
        <f>IFERROR(VLOOKUP(C106,'تقرير المصروفات حسب الشهر'!$C$135:$AL$252,30,FALSE),0)</f>
        <v>0</v>
      </c>
      <c r="F106" s="362">
        <v>0</v>
      </c>
      <c r="G106" s="362">
        <f>IFERROR(VLOOKUP(C106,'تقرير المصروفات حسب الشهر'!C470:AI583,30,0),0)</f>
        <v>0</v>
      </c>
      <c r="H106" s="362">
        <f>IFERROR(VLOOKUP(C106,'تقرير المصروفات حسب الشهر'!$C$512:$AL$620,30,FALSE),0)</f>
        <v>0</v>
      </c>
      <c r="I106" s="362">
        <f>IFERROR(VLOOKUP(C106,'تقرير المصروفات حسب الشهر'!$C$637:$AI$748,30,FALSE),0)</f>
        <v>0</v>
      </c>
      <c r="J106" s="362">
        <f>IFERROR(VLOOKUP(C106,'تقرير المصروفات حسب الشهر'!$C$763:$AI$877,30,FALSE),0)</f>
        <v>0</v>
      </c>
      <c r="K106" s="362">
        <f>IFERROR(VLOOKUP(C106,'تقرير المصروفات حسب الشهر'!$C$890:$AI$1007,30,FALSE),0)</f>
        <v>0</v>
      </c>
      <c r="L106" s="362">
        <f>IFERROR(VLOOKUP(C106,'تقرير المصروفات حسب الشهر'!$C$1016:$AI$1131,30,FALSE),0)</f>
        <v>0</v>
      </c>
      <c r="M106" s="376">
        <f>IFERROR(VLOOKUP(C106,'تقرير المصروفات حسب الشهر'!$C$1143:$AI$1259,30,FALSE),0)</f>
        <v>0</v>
      </c>
      <c r="N106" s="376">
        <f>IFERROR(VLOOKUP(C106,'تقرير المصروفات حسب الشهر'!$C$1271:$AI$1385,30,FALSE),0)</f>
        <v>0</v>
      </c>
      <c r="O106" s="376">
        <f>IFERROR(VLOOKUP(C106,'تقرير المصروفات حسب الشهر'!$C$1397:$AI$1512,30,FALSE),0)</f>
        <v>0</v>
      </c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الشهر'!$C$10:$AL$124,30,FALSE),0)</f>
        <v>0</v>
      </c>
      <c r="E107" s="362">
        <f>IFERROR(VLOOKUP(C107,'تقرير المصروفات حسب الشهر'!$C$135:$AL$252,30,FALSE),0)</f>
        <v>0</v>
      </c>
      <c r="F107" s="362">
        <v>0</v>
      </c>
      <c r="G107" s="362">
        <f>IFERROR(VLOOKUP(C107,'تقرير المصروفات حسب الشهر'!C471:AI584,30,0),0)</f>
        <v>0</v>
      </c>
      <c r="H107" s="362">
        <f>IFERROR(VLOOKUP(C107,'تقرير المصروفات حسب الشهر'!$C$512:$AL$620,30,FALSE),0)</f>
        <v>0</v>
      </c>
      <c r="I107" s="362">
        <f>IFERROR(VLOOKUP(C107,'تقرير المصروفات حسب الشهر'!$C$637:$AI$748,30,FALSE),0)</f>
        <v>0</v>
      </c>
      <c r="J107" s="362">
        <f>IFERROR(VLOOKUP(C107,'تقرير المصروفات حسب الشهر'!$C$763:$AI$877,30,FALSE),0)</f>
        <v>0</v>
      </c>
      <c r="K107" s="362">
        <f>IFERROR(VLOOKUP(C107,'تقرير المصروفات حسب الشهر'!$C$890:$AI$1007,30,FALSE),0)</f>
        <v>0</v>
      </c>
      <c r="L107" s="362">
        <f>IFERROR(VLOOKUP(C107,'تقرير المصروفات حسب الشهر'!$C$1016:$AI$1131,30,FALSE),0)</f>
        <v>0</v>
      </c>
      <c r="M107" s="376">
        <f>IFERROR(VLOOKUP(C107,'تقرير المصروفات حسب الشهر'!$C$1143:$AI$1259,30,FALSE),0)</f>
        <v>0</v>
      </c>
      <c r="N107" s="376">
        <f>IFERROR(VLOOKUP(C107,'تقرير المصروفات حسب الشهر'!$C$1271:$AI$1385,30,FALSE),0)</f>
        <v>0</v>
      </c>
      <c r="O107" s="376">
        <f>IFERROR(VLOOKUP(C107,'تقرير المصروفات حسب الشهر'!$C$1397:$AI$1512,30,FALSE),0)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الشهر'!$C$10:$AL$124,30,FALSE),0)</f>
        <v>0</v>
      </c>
      <c r="E108" s="362">
        <f>IFERROR(VLOOKUP(C108,'تقرير المصروفات حسب الشهر'!$C$135:$AL$252,30,FALSE),0)</f>
        <v>0</v>
      </c>
      <c r="F108" s="362">
        <v>0</v>
      </c>
      <c r="G108" s="362">
        <f>IFERROR(VLOOKUP(C108,'تقرير المصروفات حسب الشهر'!C472:AI585,30,0),0)</f>
        <v>0</v>
      </c>
      <c r="H108" s="362">
        <f>IFERROR(VLOOKUP(C108,'تقرير المصروفات حسب الشهر'!$C$512:$AL$620,30,FALSE),0)</f>
        <v>0</v>
      </c>
      <c r="I108" s="362">
        <f>IFERROR(VLOOKUP(C108,'تقرير المصروفات حسب الشهر'!$C$637:$AI$748,30,FALSE),0)</f>
        <v>0</v>
      </c>
      <c r="J108" s="362">
        <f>IFERROR(VLOOKUP(C108,'تقرير المصروفات حسب الشهر'!$C$763:$AI$877,30,FALSE),0)</f>
        <v>0</v>
      </c>
      <c r="K108" s="362">
        <f>IFERROR(VLOOKUP(C108,'تقرير المصروفات حسب الشهر'!$C$890:$AI$1007,30,FALSE),0)</f>
        <v>0</v>
      </c>
      <c r="L108" s="362">
        <f>IFERROR(VLOOKUP(C108,'تقرير المصروفات حسب الشهر'!$C$1016:$AI$1131,30,FALSE),0)</f>
        <v>0</v>
      </c>
      <c r="M108" s="376">
        <f>IFERROR(VLOOKUP(C108,'تقرير المصروفات حسب الشهر'!$C$1143:$AI$1259,30,FALSE),0)</f>
        <v>0</v>
      </c>
      <c r="N108" s="376">
        <f>IFERROR(VLOOKUP(C108,'تقرير المصروفات حسب الشهر'!$C$1271:$AI$1385,30,FALSE),0)</f>
        <v>0</v>
      </c>
      <c r="O108" s="376">
        <f>IFERROR(VLOOKUP(C108,'تقرير المصروفات حسب الشهر'!$C$1397:$AI$1512,30,FALSE),0)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الشهر'!$C$10:$AL$124,30,FALSE),0)</f>
        <v>0</v>
      </c>
      <c r="E109" s="362">
        <f>IFERROR(VLOOKUP(C109,'تقرير المصروفات حسب الشهر'!$C$135:$AL$252,30,FALSE),0)</f>
        <v>0</v>
      </c>
      <c r="F109" s="362">
        <v>0</v>
      </c>
      <c r="G109" s="362">
        <f>IFERROR(VLOOKUP(C109,'تقرير المصروفات حسب الشهر'!C473:AI586,30,0),0)</f>
        <v>0</v>
      </c>
      <c r="H109" s="362">
        <f>IFERROR(VLOOKUP(C109,'تقرير المصروفات حسب الشهر'!$C$512:$AL$620,30,FALSE),0)</f>
        <v>0</v>
      </c>
      <c r="I109" s="362">
        <f>IFERROR(VLOOKUP(C109,'تقرير المصروفات حسب الشهر'!$C$637:$AI$748,30,FALSE),0)</f>
        <v>0</v>
      </c>
      <c r="J109" s="362">
        <f>IFERROR(VLOOKUP(C109,'تقرير المصروفات حسب الشهر'!$C$763:$AI$877,30,FALSE),0)</f>
        <v>0</v>
      </c>
      <c r="K109" s="362">
        <f>IFERROR(VLOOKUP(C109,'تقرير المصروفات حسب الشهر'!$C$890:$AI$1007,30,FALSE),0)</f>
        <v>0</v>
      </c>
      <c r="L109" s="362">
        <f>IFERROR(VLOOKUP(C109,'تقرير المصروفات حسب الشهر'!$C$1016:$AI$1131,30,FALSE),0)</f>
        <v>0</v>
      </c>
      <c r="M109" s="376">
        <f>IFERROR(VLOOKUP(C109,'تقرير المصروفات حسب الشهر'!$C$1143:$AI$1259,30,FALSE),0)</f>
        <v>0</v>
      </c>
      <c r="N109" s="376">
        <f>IFERROR(VLOOKUP(C109,'تقرير المصروفات حسب الشهر'!$C$1271:$AI$1385,30,FALSE),0)</f>
        <v>0</v>
      </c>
      <c r="O109" s="376">
        <f>IFERROR(VLOOKUP(C109,'تقرير المصروفات حسب الشهر'!$C$1397:$AI$1512,30,FALSE),0)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الشهر'!$C$10:$AL$124,30,FALSE),0)</f>
        <v>0</v>
      </c>
      <c r="E110" s="362">
        <f>IFERROR(VLOOKUP(C110,'تقرير المصروفات حسب الشهر'!$C$135:$AL$252,30,FALSE),0)</f>
        <v>0</v>
      </c>
      <c r="F110" s="362">
        <v>0</v>
      </c>
      <c r="G110" s="362">
        <f>IFERROR(VLOOKUP(C110,'تقرير المصروفات حسب الشهر'!C474:AI587,30,0),0)</f>
        <v>0</v>
      </c>
      <c r="H110" s="362">
        <f>IFERROR(VLOOKUP(C110,'تقرير المصروفات حسب الشهر'!$C$512:$AL$620,30,FALSE),0)</f>
        <v>0</v>
      </c>
      <c r="I110" s="362">
        <f>IFERROR(VLOOKUP(C110,'تقرير المصروفات حسب الشهر'!$C$637:$AI$748,30,FALSE),0)</f>
        <v>0</v>
      </c>
      <c r="J110" s="362">
        <f>IFERROR(VLOOKUP(C110,'تقرير المصروفات حسب الشهر'!$C$763:$AI$877,30,FALSE),0)</f>
        <v>0</v>
      </c>
      <c r="K110" s="362">
        <f>IFERROR(VLOOKUP(C110,'تقرير المصروفات حسب الشهر'!$C$890:$AI$1007,30,FALSE),0)</f>
        <v>0</v>
      </c>
      <c r="L110" s="362">
        <f>IFERROR(VLOOKUP(C110,'تقرير المصروفات حسب الشهر'!$C$1016:$AI$1131,30,FALSE),0)</f>
        <v>0</v>
      </c>
      <c r="M110" s="376">
        <f>IFERROR(VLOOKUP(C110,'تقرير المصروفات حسب الشهر'!$C$1143:$AI$1259,30,FALSE),0)</f>
        <v>0.44</v>
      </c>
      <c r="N110" s="376">
        <f>IFERROR(VLOOKUP(C110,'تقرير المصروفات حسب الشهر'!$C$1271:$AI$1385,30,FALSE),0)</f>
        <v>0</v>
      </c>
      <c r="O110" s="376">
        <f>IFERROR(VLOOKUP(C110,'تقرير المصروفات حسب الشهر'!$C$1397:$AI$1512,30,FALSE),0)</f>
        <v>0</v>
      </c>
      <c r="P110" s="364">
        <f t="shared" si="6"/>
        <v>0.44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الشهر'!$C$10:$AL$124,30,FALSE),0)</f>
        <v>0</v>
      </c>
      <c r="E111" s="362">
        <f>IFERROR(VLOOKUP(C111,'تقرير المصروفات حسب الشهر'!$C$135:$AL$252,30,FALSE),0)</f>
        <v>0</v>
      </c>
      <c r="F111" s="362">
        <v>0</v>
      </c>
      <c r="G111" s="362">
        <f>IFERROR(VLOOKUP(C111,'تقرير المصروفات حسب الشهر'!C475:AI588,30,0),0)</f>
        <v>0</v>
      </c>
      <c r="H111" s="362">
        <f>IFERROR(VLOOKUP(C111,'تقرير المصروفات حسب الشهر'!$C$512:$AL$620,30,FALSE),0)</f>
        <v>0</v>
      </c>
      <c r="I111" s="362">
        <f>IFERROR(VLOOKUP(C111,'تقرير المصروفات حسب الشهر'!$C$637:$AI$748,30,FALSE),0)</f>
        <v>0</v>
      </c>
      <c r="J111" s="362">
        <f>IFERROR(VLOOKUP(C111,'تقرير المصروفات حسب الشهر'!$C$763:$AI$877,30,FALSE),0)</f>
        <v>0</v>
      </c>
      <c r="K111" s="362">
        <f>IFERROR(VLOOKUP(C111,'تقرير المصروفات حسب الشهر'!$C$890:$AI$1007,30,FALSE),0)</f>
        <v>0</v>
      </c>
      <c r="L111" s="362">
        <f>IFERROR(VLOOKUP(C111,'تقرير المصروفات حسب الشهر'!$C$1016:$AI$1131,30,FALSE),0)</f>
        <v>0</v>
      </c>
      <c r="M111" s="376">
        <f>IFERROR(VLOOKUP(C111,'تقرير المصروفات حسب الشهر'!$C$1143:$AI$1259,30,FALSE),0)</f>
        <v>0</v>
      </c>
      <c r="N111" s="376">
        <f>IFERROR(VLOOKUP(C111,'تقرير المصروفات حسب الشهر'!$C$1271:$AI$1385,30,FALSE),0)</f>
        <v>0</v>
      </c>
      <c r="O111" s="376">
        <f>IFERROR(VLOOKUP(C111,'تقرير المصروفات حسب الشهر'!$C$1397:$AI$1512,30,FALSE),0)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الشهر'!$C$10:$AL$124,30,FALSE),0)</f>
        <v>0</v>
      </c>
      <c r="E112" s="362">
        <f>IFERROR(VLOOKUP(C112,'تقرير المصروفات حسب الشهر'!$C$135:$AL$252,30,FALSE),0)</f>
        <v>0</v>
      </c>
      <c r="F112" s="362">
        <v>0</v>
      </c>
      <c r="G112" s="362">
        <f>IFERROR(VLOOKUP(C112,'تقرير المصروفات حسب الشهر'!C476:AI589,30,0),0)</f>
        <v>0</v>
      </c>
      <c r="H112" s="362">
        <f>IFERROR(VLOOKUP(C112,'تقرير المصروفات حسب الشهر'!$C$512:$AL$620,30,FALSE),0)</f>
        <v>800</v>
      </c>
      <c r="I112" s="362">
        <f>IFERROR(VLOOKUP(C112,'تقرير المصروفات حسب الشهر'!$C$637:$AI$748,30,FALSE),0)</f>
        <v>0</v>
      </c>
      <c r="J112" s="362">
        <f>IFERROR(VLOOKUP(C112,'تقرير المصروفات حسب الشهر'!$C$763:$AI$877,30,FALSE),0)</f>
        <v>0</v>
      </c>
      <c r="K112" s="362">
        <f>IFERROR(VLOOKUP(C112,'تقرير المصروفات حسب الشهر'!$C$890:$AI$1007,30,FALSE),0)</f>
        <v>0</v>
      </c>
      <c r="L112" s="362">
        <f>IFERROR(VLOOKUP(C112,'تقرير المصروفات حسب الشهر'!$C$1016:$AI$1131,30,FALSE),0)</f>
        <v>0</v>
      </c>
      <c r="M112" s="376">
        <f>IFERROR(VLOOKUP(C112,'تقرير المصروفات حسب الشهر'!$C$1143:$AI$1259,30,FALSE),0)</f>
        <v>0</v>
      </c>
      <c r="N112" s="376">
        <f>IFERROR(VLOOKUP(C112,'تقرير المصروفات حسب الشهر'!$C$1271:$AI$1385,30,FALSE),0)</f>
        <v>0</v>
      </c>
      <c r="O112" s="376">
        <f>IFERROR(VLOOKUP(C112,'تقرير المصروفات حسب الشهر'!$C$1397:$AI$1512,30,FALSE),0)</f>
        <v>0</v>
      </c>
      <c r="P112" s="364">
        <f t="shared" si="6"/>
        <v>800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الشهر'!$C$10:$AL$124,30,FALSE),0)</f>
        <v>0</v>
      </c>
      <c r="E113" s="362">
        <f>IFERROR(VLOOKUP(C113,'تقرير المصروفات حسب الشهر'!$C$135:$AL$252,30,FALSE),0)</f>
        <v>0</v>
      </c>
      <c r="F113" s="362">
        <v>0</v>
      </c>
      <c r="G113" s="362">
        <f>IFERROR(VLOOKUP(C113,'تقرير المصروفات حسب الشهر'!C477:AI590,30,0),0)</f>
        <v>0</v>
      </c>
      <c r="H113" s="362">
        <f>IFERROR(VLOOKUP(C113,'تقرير المصروفات حسب الشهر'!$C$512:$AL$620,30,FALSE),0)</f>
        <v>0</v>
      </c>
      <c r="I113" s="362">
        <f>IFERROR(VLOOKUP(C113,'تقرير المصروفات حسب الشهر'!$C$637:$AI$748,30,FALSE),0)</f>
        <v>0</v>
      </c>
      <c r="J113" s="362">
        <f>IFERROR(VLOOKUP(C113,'تقرير المصروفات حسب الشهر'!$C$763:$AI$877,30,FALSE),0)</f>
        <v>0</v>
      </c>
      <c r="K113" s="362">
        <f>IFERROR(VLOOKUP(C113,'تقرير المصروفات حسب الشهر'!$C$890:$AI$1007,30,FALSE),0)</f>
        <v>0</v>
      </c>
      <c r="L113" s="362">
        <f>IFERROR(VLOOKUP(C113,'تقرير المصروفات حسب الشهر'!$C$1016:$AI$1131,30,FALSE),0)</f>
        <v>0</v>
      </c>
      <c r="M113" s="376">
        <f>IFERROR(VLOOKUP(C113,'تقرير المصروفات حسب الشهر'!$C$1143:$AI$1259,30,FALSE),0)</f>
        <v>0</v>
      </c>
      <c r="N113" s="376">
        <f>IFERROR(VLOOKUP(C113,'تقرير المصروفات حسب الشهر'!$C$1271:$AI$1385,30,FALSE),0)</f>
        <v>0</v>
      </c>
      <c r="O113" s="376">
        <f>IFERROR(VLOOKUP(C113,'تقرير المصروفات حسب الشهر'!$C$1397:$AI$1512,30,FALSE),0)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الشهر'!$C$10:$AL$124,30,FALSE),0)</f>
        <v>0</v>
      </c>
      <c r="E114" s="362">
        <f>IFERROR(VLOOKUP(C114,'تقرير المصروفات حسب الشهر'!$C$135:$AL$252,30,FALSE),0)</f>
        <v>0</v>
      </c>
      <c r="F114" s="362">
        <v>0</v>
      </c>
      <c r="G114" s="362">
        <f>IFERROR(VLOOKUP(C114,'تقرير المصروفات حسب الشهر'!C478:AI591,30,0),0)</f>
        <v>0</v>
      </c>
      <c r="H114" s="362">
        <f>IFERROR(VLOOKUP(C114,'تقرير المصروفات حسب الشهر'!$C$512:$AL$620,30,FALSE),0)</f>
        <v>0</v>
      </c>
      <c r="I114" s="362">
        <f>IFERROR(VLOOKUP(C114,'تقرير المصروفات حسب الشهر'!$C$637:$AI$748,30,FALSE),0)</f>
        <v>0</v>
      </c>
      <c r="J114" s="362">
        <f>IFERROR(VLOOKUP(C114,'تقرير المصروفات حسب الشهر'!$C$763:$AI$877,30,FALSE),0)</f>
        <v>0</v>
      </c>
      <c r="K114" s="362">
        <f>IFERROR(VLOOKUP(C114,'تقرير المصروفات حسب الشهر'!$C$890:$AI$1007,30,FALSE),0)</f>
        <v>0</v>
      </c>
      <c r="L114" s="362">
        <f>IFERROR(VLOOKUP(C114,'تقرير المصروفات حسب الشهر'!$C$1016:$AI$1131,30,FALSE),0)</f>
        <v>0</v>
      </c>
      <c r="M114" s="376">
        <f>IFERROR(VLOOKUP(C114,'تقرير المصروفات حسب الشهر'!$C$1143:$AI$1259,30,FALSE),0)</f>
        <v>0</v>
      </c>
      <c r="N114" s="376">
        <f>IFERROR(VLOOKUP(C114,'تقرير المصروفات حسب الشهر'!$C$1271:$AI$1385,30,FALSE),0)</f>
        <v>0</v>
      </c>
      <c r="O114" s="376">
        <f>IFERROR(VLOOKUP(C114,'تقرير المصروفات حسب الشهر'!$C$1397:$AI$1512,30,FALSE),0)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الشهر'!$C$10:$AL$124,30,FALSE),0)</f>
        <v>0</v>
      </c>
      <c r="E115" s="362">
        <f>IFERROR(VLOOKUP(C115,'تقرير المصروفات حسب الشهر'!$C$135:$AL$252,30,FALSE),0)</f>
        <v>0</v>
      </c>
      <c r="F115" s="362">
        <v>0</v>
      </c>
      <c r="G115" s="362">
        <f>IFERROR(VLOOKUP(C115,'تقرير المصروفات حسب الشهر'!C479:AI592,30,0),0)</f>
        <v>0</v>
      </c>
      <c r="H115" s="362">
        <f>IFERROR(VLOOKUP(C115,'تقرير المصروفات حسب الشهر'!$C$512:$AL$620,30,FALSE),0)</f>
        <v>0</v>
      </c>
      <c r="I115" s="362">
        <f>IFERROR(VLOOKUP(C115,'تقرير المصروفات حسب الشهر'!$C$637:$AI$748,30,FALSE),0)</f>
        <v>0</v>
      </c>
      <c r="J115" s="362">
        <f>IFERROR(VLOOKUP(C115,'تقرير المصروفات حسب الشهر'!$C$763:$AI$877,30,FALSE),0)</f>
        <v>0</v>
      </c>
      <c r="K115" s="362">
        <f>IFERROR(VLOOKUP(C115,'تقرير المصروفات حسب الشهر'!$C$890:$AI$1007,30,FALSE),0)</f>
        <v>0</v>
      </c>
      <c r="L115" s="362">
        <f>IFERROR(VLOOKUP(C115,'تقرير المصروفات حسب الشهر'!$C$1016:$AI$1131,30,FALSE),0)</f>
        <v>0</v>
      </c>
      <c r="M115" s="376">
        <f>IFERROR(VLOOKUP(C115,'تقرير المصروفات حسب الشهر'!$C$1143:$AI$1259,30,FALSE),0)</f>
        <v>0</v>
      </c>
      <c r="N115" s="376">
        <f>IFERROR(VLOOKUP(C115,'تقرير المصروفات حسب الشهر'!$C$1271:$AI$1385,30,FALSE),0)</f>
        <v>0</v>
      </c>
      <c r="O115" s="376">
        <f>IFERROR(VLOOKUP(C115,'تقرير المصروفات حسب الشهر'!$C$1397:$AI$1512,30,FALSE),0)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الشهر'!$C$10:$AL$124,30,FALSE),0)</f>
        <v>0</v>
      </c>
      <c r="E116" s="362">
        <f>IFERROR(VLOOKUP(C116,'تقرير المصروفات حسب الشهر'!$C$135:$AL$252,30,FALSE),0)</f>
        <v>0</v>
      </c>
      <c r="F116" s="362">
        <v>0</v>
      </c>
      <c r="G116" s="362">
        <f>IFERROR(VLOOKUP(C116,'تقرير المصروفات حسب الشهر'!C480:AI593,30,0),0)</f>
        <v>0</v>
      </c>
      <c r="H116" s="362">
        <f>IFERROR(VLOOKUP(C116,'تقرير المصروفات حسب الشهر'!$C$512:$AL$620,30,FALSE),0)</f>
        <v>0</v>
      </c>
      <c r="I116" s="362">
        <f>IFERROR(VLOOKUP(C116,'تقرير المصروفات حسب الشهر'!$C$637:$AI$748,30,FALSE),0)</f>
        <v>0</v>
      </c>
      <c r="J116" s="362">
        <f>IFERROR(VLOOKUP(C116,'تقرير المصروفات حسب الشهر'!$C$763:$AI$877,30,FALSE),0)</f>
        <v>0</v>
      </c>
      <c r="K116" s="362">
        <f>IFERROR(VLOOKUP(C116,'تقرير المصروفات حسب الشهر'!$C$890:$AI$1007,30,FALSE),0)</f>
        <v>0</v>
      </c>
      <c r="L116" s="362">
        <f>IFERROR(VLOOKUP(C116,'تقرير المصروفات حسب الشهر'!$C$1016:$AI$1131,30,FALSE),0)</f>
        <v>0</v>
      </c>
      <c r="M116" s="376">
        <f>IFERROR(VLOOKUP(C116,'تقرير المصروفات حسب الشهر'!$C$1143:$AI$1259,30,FALSE),0)</f>
        <v>0</v>
      </c>
      <c r="N116" s="376">
        <f>IFERROR(VLOOKUP(C116,'تقرير المصروفات حسب الشهر'!$C$1271:$AI$1385,30,FALSE),0)</f>
        <v>0</v>
      </c>
      <c r="O116" s="376">
        <f>IFERROR(VLOOKUP(C116,'تقرير المصروفات حسب الشهر'!$C$1397:$AI$1512,30,FALSE),0)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الشهر'!$C$10:$AL$124,30,FALSE),0)</f>
        <v>0</v>
      </c>
      <c r="E117" s="362">
        <f>IFERROR(VLOOKUP(C117,'تقرير المصروفات حسب الشهر'!$C$135:$AL$252,30,FALSE),0)</f>
        <v>0</v>
      </c>
      <c r="F117" s="362">
        <v>0</v>
      </c>
      <c r="G117" s="362">
        <f>IFERROR(VLOOKUP(C117,'تقرير المصروفات حسب الشهر'!C481:AI594,30,0),0)</f>
        <v>0</v>
      </c>
      <c r="H117" s="362">
        <f>IFERROR(VLOOKUP(C117,'تقرير المصروفات حسب الشهر'!$C$512:$AL$620,30,FALSE),0)</f>
        <v>0</v>
      </c>
      <c r="I117" s="362">
        <f>IFERROR(VLOOKUP(C117,'تقرير المصروفات حسب الشهر'!$C$637:$AI$748,30,FALSE),0)</f>
        <v>0</v>
      </c>
      <c r="J117" s="362">
        <f>IFERROR(VLOOKUP(C117,'تقرير المصروفات حسب الشهر'!$C$763:$AI$877,30,FALSE),0)</f>
        <v>0</v>
      </c>
      <c r="K117" s="362">
        <f>IFERROR(VLOOKUP(C117,'تقرير المصروفات حسب الشهر'!$C$890:$AI$1007,30,FALSE),0)</f>
        <v>0</v>
      </c>
      <c r="L117" s="362">
        <f>IFERROR(VLOOKUP(C117,'تقرير المصروفات حسب الشهر'!$C$1016:$AI$1131,30,FALSE),0)</f>
        <v>0</v>
      </c>
      <c r="M117" s="376">
        <f>IFERROR(VLOOKUP(C117,'تقرير المصروفات حسب الشهر'!$C$1143:$AI$1259,30,FALSE),0)</f>
        <v>0</v>
      </c>
      <c r="N117" s="376">
        <f>IFERROR(VLOOKUP(C117,'تقرير المصروفات حسب الشهر'!$C$1271:$AI$1385,30,FALSE),0)</f>
        <v>0</v>
      </c>
      <c r="O117" s="376">
        <f>IFERROR(VLOOKUP(C117,'تقرير المصروفات حسب الشهر'!$C$1397:$AI$1512,30,FALSE),0)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الشهر'!$C$10:$AL$124,30,FALSE),0)</f>
        <v>0</v>
      </c>
      <c r="E118" s="362">
        <f>IFERROR(VLOOKUP(C118,'تقرير المصروفات حسب الشهر'!$C$135:$AL$252,30,FALSE),0)</f>
        <v>0</v>
      </c>
      <c r="F118" s="362">
        <v>0</v>
      </c>
      <c r="G118" s="362">
        <f>IFERROR(VLOOKUP(C118,'تقرير المصروفات حسب الشهر'!C482:AI595,30,0),0)</f>
        <v>0</v>
      </c>
      <c r="H118" s="362">
        <f>IFERROR(VLOOKUP(C118,'تقرير المصروفات حسب الشهر'!$C$512:$AL$620,30,FALSE),0)</f>
        <v>0</v>
      </c>
      <c r="I118" s="362">
        <f>IFERROR(VLOOKUP(C118,'تقرير المصروفات حسب الشهر'!$C$637:$AI$748,30,FALSE),0)</f>
        <v>0</v>
      </c>
      <c r="J118" s="362">
        <f>IFERROR(VLOOKUP(C118,'تقرير المصروفات حسب الشهر'!$C$763:$AI$877,30,FALSE),0)</f>
        <v>0</v>
      </c>
      <c r="K118" s="362">
        <f>IFERROR(VLOOKUP(C118,'تقرير المصروفات حسب الشهر'!$C$890:$AI$1007,30,FALSE),0)</f>
        <v>0</v>
      </c>
      <c r="L118" s="362">
        <f>IFERROR(VLOOKUP(C118,'تقرير المصروفات حسب الشهر'!$C$1016:$AI$1131,30,FALSE),0)</f>
        <v>0</v>
      </c>
      <c r="M118" s="376">
        <f>IFERROR(VLOOKUP(C118,'تقرير المصروفات حسب الشهر'!$C$1143:$AI$1259,30,FALSE),0)</f>
        <v>0</v>
      </c>
      <c r="N118" s="376">
        <f>IFERROR(VLOOKUP(C118,'تقرير المصروفات حسب الشهر'!$C$1271:$AI$1385,30,FALSE),0)</f>
        <v>0</v>
      </c>
      <c r="O118" s="376">
        <f>IFERROR(VLOOKUP(C118,'تقرير المصروفات حسب الشهر'!$C$1397:$AI$1512,30,FALSE),0)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الشهر'!$C$10:$AL$124,30,FALSE),0)</f>
        <v>0</v>
      </c>
      <c r="E119" s="362">
        <f>IFERROR(VLOOKUP(C119,'تقرير المصروفات حسب الشهر'!$C$135:$AL$252,30,FALSE),0)</f>
        <v>0</v>
      </c>
      <c r="F119" s="362">
        <v>0</v>
      </c>
      <c r="G119" s="362">
        <f>IFERROR(VLOOKUP(C119,'تقرير المصروفات حسب الشهر'!C483:AI596,30,0),0)</f>
        <v>0</v>
      </c>
      <c r="H119" s="362">
        <f>IFERROR(VLOOKUP(C119,'تقرير المصروفات حسب الشهر'!$C$512:$AL$620,30,FALSE),0)</f>
        <v>0</v>
      </c>
      <c r="I119" s="362">
        <f>IFERROR(VLOOKUP(C119,'تقرير المصروفات حسب الشهر'!$C$637:$AI$748,30,FALSE),0)</f>
        <v>0</v>
      </c>
      <c r="J119" s="362">
        <f>IFERROR(VLOOKUP(C119,'تقرير المصروفات حسب الشهر'!$C$763:$AI$877,30,FALSE),0)</f>
        <v>0</v>
      </c>
      <c r="K119" s="362">
        <f>IFERROR(VLOOKUP(C119,'تقرير المصروفات حسب الشهر'!$C$890:$AI$1007,30,FALSE),0)</f>
        <v>0</v>
      </c>
      <c r="L119" s="362">
        <f>IFERROR(VLOOKUP(C119,'تقرير المصروفات حسب الشهر'!$C$1016:$AI$1131,30,FALSE),0)</f>
        <v>0</v>
      </c>
      <c r="M119" s="376">
        <f>IFERROR(VLOOKUP(C119,'تقرير المصروفات حسب الشهر'!$C$1143:$AI$1259,30,FALSE),0)</f>
        <v>0</v>
      </c>
      <c r="N119" s="376">
        <f>IFERROR(VLOOKUP(C119,'تقرير المصروفات حسب الشهر'!$C$1271:$AI$1385,30,FALSE),0)</f>
        <v>0</v>
      </c>
      <c r="O119" s="376">
        <f>IFERROR(VLOOKUP(C119,'تقرير المصروفات حسب الشهر'!$C$1397:$AI$1512,30,FALSE),0)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الشهر'!$C$10:$AL$124,30,FALSE),0)</f>
        <v>0</v>
      </c>
      <c r="E120" s="362">
        <f>IFERROR(VLOOKUP(C120,'تقرير المصروفات حسب الشهر'!$C$135:$AL$252,30,FALSE),0)</f>
        <v>0</v>
      </c>
      <c r="F120" s="362">
        <v>0</v>
      </c>
      <c r="G120" s="362">
        <f>IFERROR(VLOOKUP(C120,'تقرير المصروفات حسب الشهر'!C484:AI597,30,0),0)</f>
        <v>0</v>
      </c>
      <c r="H120" s="362">
        <f>IFERROR(VLOOKUP(C120,'تقرير المصروفات حسب الشهر'!$C$512:$AL$620,30,FALSE),0)</f>
        <v>0</v>
      </c>
      <c r="I120" s="362">
        <f>IFERROR(VLOOKUP(C120,'تقرير المصروفات حسب الشهر'!$C$637:$AI$748,30,FALSE),0)</f>
        <v>0</v>
      </c>
      <c r="J120" s="362">
        <f>IFERROR(VLOOKUP(C120,'تقرير المصروفات حسب الشهر'!$C$763:$AI$877,30,FALSE),0)</f>
        <v>0</v>
      </c>
      <c r="K120" s="362">
        <f>IFERROR(VLOOKUP(C120,'تقرير المصروفات حسب الشهر'!$C$890:$AI$1007,30,FALSE),0)</f>
        <v>0</v>
      </c>
      <c r="L120" s="362">
        <f>IFERROR(VLOOKUP(C120,'تقرير المصروفات حسب الشهر'!$C$1016:$AI$1131,30,FALSE),0)</f>
        <v>0</v>
      </c>
      <c r="M120" s="376">
        <f>IFERROR(VLOOKUP(C120,'تقرير المصروفات حسب الشهر'!$C$1143:$AI$1259,30,FALSE),0)</f>
        <v>0</v>
      </c>
      <c r="N120" s="376">
        <f>IFERROR(VLOOKUP(C120,'تقرير المصروفات حسب الشهر'!$C$1271:$AI$1385,30,FALSE),0)</f>
        <v>0</v>
      </c>
      <c r="O120" s="376">
        <f>IFERROR(VLOOKUP(C120,'تقرير المصروفات حسب الشهر'!$C$1397:$AI$1512,30,FALSE),0)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الشهر'!$C$10:$AL$124,30,FALSE),0)</f>
        <v>0</v>
      </c>
      <c r="E121" s="362">
        <f>IFERROR(VLOOKUP(C121,'تقرير المصروفات حسب الشهر'!$C$135:$AL$252,30,FALSE),0)</f>
        <v>0</v>
      </c>
      <c r="F121" s="362">
        <v>0</v>
      </c>
      <c r="G121" s="362">
        <f>IFERROR(VLOOKUP(C121,'تقرير المصروفات حسب الشهر'!C485:AI598,30,0),0)</f>
        <v>0</v>
      </c>
      <c r="H121" s="362">
        <f>IFERROR(VLOOKUP(C121,'تقرير المصروفات حسب الشهر'!$C$512:$AL$620,30,FALSE),0)</f>
        <v>0</v>
      </c>
      <c r="I121" s="362">
        <f>IFERROR(VLOOKUP(C121,'تقرير المصروفات حسب الشهر'!$C$637:$AI$748,30,FALSE),0)</f>
        <v>0</v>
      </c>
      <c r="J121" s="362">
        <f>IFERROR(VLOOKUP(C121,'تقرير المصروفات حسب الشهر'!$C$763:$AI$877,30,FALSE),0)</f>
        <v>0</v>
      </c>
      <c r="K121" s="362">
        <f>IFERROR(VLOOKUP(C121,'تقرير المصروفات حسب الشهر'!$C$890:$AI$1007,30,FALSE),0)</f>
        <v>0</v>
      </c>
      <c r="L121" s="362">
        <f>IFERROR(VLOOKUP(C121,'تقرير المصروفات حسب الشهر'!$C$1016:$AI$1131,30,FALSE),0)</f>
        <v>0</v>
      </c>
      <c r="M121" s="376">
        <f>IFERROR(VLOOKUP(C121,'تقرير المصروفات حسب الشهر'!$C$1143:$AI$1259,30,FALSE),0)</f>
        <v>0</v>
      </c>
      <c r="N121" s="376">
        <f>IFERROR(VLOOKUP(C121,'تقرير المصروفات حسب الشهر'!$C$1271:$AI$1385,30,FALSE),0)</f>
        <v>0</v>
      </c>
      <c r="O121" s="376">
        <f>IFERROR(VLOOKUP(C121,'تقرير المصروفات حسب الشهر'!$C$1397:$AI$1512,30,FALSE),0)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الشهر'!$C$10:$AL$124,30,FALSE),0)</f>
        <v>0</v>
      </c>
      <c r="E122" s="362">
        <f>IFERROR(VLOOKUP(C122,'تقرير المصروفات حسب الشهر'!$C$135:$AL$252,30,FALSE),0)</f>
        <v>0</v>
      </c>
      <c r="F122" s="362">
        <v>0</v>
      </c>
      <c r="G122" s="362">
        <f>IFERROR(VLOOKUP(C122,'تقرير المصروفات حسب الشهر'!C486:AI599,30,0),0)</f>
        <v>0</v>
      </c>
      <c r="H122" s="362">
        <f>IFERROR(VLOOKUP(C122,'تقرير المصروفات حسب الشهر'!$C$512:$AL$620,30,FALSE),0)</f>
        <v>0</v>
      </c>
      <c r="I122" s="362">
        <f>IFERROR(VLOOKUP(C122,'تقرير المصروفات حسب الشهر'!$C$637:$AI$748,30,FALSE),0)</f>
        <v>0</v>
      </c>
      <c r="J122" s="362">
        <f>IFERROR(VLOOKUP(C122,'تقرير المصروفات حسب الشهر'!$C$763:$AI$877,30,FALSE),0)</f>
        <v>0</v>
      </c>
      <c r="K122" s="362">
        <f>IFERROR(VLOOKUP(C122,'تقرير المصروفات حسب الشهر'!$C$890:$AI$1007,30,FALSE),0)</f>
        <v>0</v>
      </c>
      <c r="L122" s="362">
        <f>IFERROR(VLOOKUP(C122,'تقرير المصروفات حسب الشهر'!$C$1016:$AI$1131,30,FALSE),0)</f>
        <v>0</v>
      </c>
      <c r="M122" s="376">
        <f>IFERROR(VLOOKUP(C122,'تقرير المصروفات حسب الشهر'!$C$1143:$AI$1259,30,FALSE),0)</f>
        <v>0</v>
      </c>
      <c r="N122" s="376">
        <f>IFERROR(VLOOKUP(C122,'تقرير المصروفات حسب الشهر'!$C$1271:$AI$1385,30,FALSE),0)</f>
        <v>0</v>
      </c>
      <c r="O122" s="376">
        <f>IFERROR(VLOOKUP(C122,'تقرير المصروفات حسب الشهر'!$C$1397:$AI$1512,30,FALSE),0)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الشهر'!$C$10:$AL$124,30,FALSE),0)</f>
        <v>0</v>
      </c>
      <c r="E123" s="362">
        <f>IFERROR(VLOOKUP(C123,'تقرير المصروفات حسب الشهر'!$C$135:$AL$252,30,FALSE),0)</f>
        <v>0</v>
      </c>
      <c r="F123" s="362">
        <v>0</v>
      </c>
      <c r="G123" s="362">
        <f>IFERROR(VLOOKUP(C123,'تقرير المصروفات حسب الشهر'!C487:AI600,30,0),0)</f>
        <v>0</v>
      </c>
      <c r="H123" s="362">
        <f>IFERROR(VLOOKUP(C123,'تقرير المصروفات حسب الشهر'!$C$512:$AL$620,30,FALSE),0)</f>
        <v>0</v>
      </c>
      <c r="I123" s="362">
        <f>IFERROR(VLOOKUP(C123,'تقرير المصروفات حسب الشهر'!$C$637:$AI$748,30,FALSE),0)</f>
        <v>0</v>
      </c>
      <c r="J123" s="362">
        <f>IFERROR(VLOOKUP(C123,'تقرير المصروفات حسب الشهر'!$C$763:$AI$877,30,FALSE),0)</f>
        <v>0</v>
      </c>
      <c r="K123" s="362">
        <f>IFERROR(VLOOKUP(C123,'تقرير المصروفات حسب الشهر'!$C$890:$AI$1007,30,FALSE),0)</f>
        <v>0</v>
      </c>
      <c r="L123" s="362">
        <f>IFERROR(VLOOKUP(C123,'تقرير المصروفات حسب الشهر'!$C$1016:$AI$1131,30,FALSE),0)</f>
        <v>0</v>
      </c>
      <c r="M123" s="376">
        <f>IFERROR(VLOOKUP(C123,'تقرير المصروفات حسب الشهر'!$C$1143:$AI$1259,30,FALSE),0)</f>
        <v>0</v>
      </c>
      <c r="N123" s="376">
        <f>IFERROR(VLOOKUP(C123,'تقرير المصروفات حسب الشهر'!$C$1271:$AI$1385,30,FALSE),0)</f>
        <v>0</v>
      </c>
      <c r="O123" s="376">
        <f>IFERROR(VLOOKUP(C123,'تقرير المصروفات حسب الشهر'!$C$1397:$AI$1512,30,FALSE),0)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الشهر'!$C$10:$AL$124,30,FALSE),0)</f>
        <v>0</v>
      </c>
      <c r="E124" s="362">
        <f>IFERROR(VLOOKUP(C124,'تقرير المصروفات حسب الشهر'!$C$135:$AL$252,30,FALSE),0)</f>
        <v>0</v>
      </c>
      <c r="F124" s="362">
        <v>0</v>
      </c>
      <c r="G124" s="362">
        <f>IFERROR(VLOOKUP(C124,'تقرير المصروفات حسب الشهر'!C488:AI601,30,0),0)</f>
        <v>0</v>
      </c>
      <c r="H124" s="362">
        <f>IFERROR(VLOOKUP(C124,'تقرير المصروفات حسب الشهر'!$C$512:$AL$620,30,FALSE),0)</f>
        <v>0</v>
      </c>
      <c r="I124" s="362">
        <f>IFERROR(VLOOKUP(C124,'تقرير المصروفات حسب الشهر'!$C$637:$AI$748,30,FALSE),0)</f>
        <v>0</v>
      </c>
      <c r="J124" s="362">
        <f>IFERROR(VLOOKUP(C124,'تقرير المصروفات حسب الشهر'!$C$763:$AI$877,30,FALSE),0)</f>
        <v>0</v>
      </c>
      <c r="K124" s="362">
        <f>IFERROR(VLOOKUP(C124,'تقرير المصروفات حسب الشهر'!$C$890:$AI$1007,30,FALSE),0)</f>
        <v>0</v>
      </c>
      <c r="L124" s="362">
        <f>IFERROR(VLOOKUP(C124,'تقرير المصروفات حسب الشهر'!$C$1016:$AI$1131,30,FALSE),0)</f>
        <v>0</v>
      </c>
      <c r="M124" s="376">
        <f>IFERROR(VLOOKUP(C124,'تقرير المصروفات حسب الشهر'!$C$1143:$AI$1259,30,FALSE),0)</f>
        <v>0</v>
      </c>
      <c r="N124" s="376">
        <f>IFERROR(VLOOKUP(C124,'تقرير المصروفات حسب الشهر'!$C$1271:$AI$1385,30,FALSE),0)</f>
        <v>0</v>
      </c>
      <c r="O124" s="376">
        <f>IFERROR(VLOOKUP(C124,'تقرير المصروفات حسب الشهر'!$C$1397:$AI$1512,30,FALSE),0)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الشهر'!$C$10:$AL$124,30,FALSE),0)</f>
        <v>0</v>
      </c>
      <c r="E125" s="362">
        <f>IFERROR(VLOOKUP(C125,'تقرير المصروفات حسب الشهر'!$C$135:$AL$252,30,FALSE),0)</f>
        <v>0</v>
      </c>
      <c r="F125" s="362">
        <v>0</v>
      </c>
      <c r="G125" s="362">
        <f>IFERROR(VLOOKUP(C125,'تقرير المصروفات حسب الشهر'!C489:AI602,30,0),0)</f>
        <v>0</v>
      </c>
      <c r="H125" s="362">
        <f>IFERROR(VLOOKUP(C125,'تقرير المصروفات حسب الشهر'!$C$512:$AL$620,30,FALSE),0)</f>
        <v>0</v>
      </c>
      <c r="I125" s="362">
        <f>IFERROR(VLOOKUP(C125,'تقرير المصروفات حسب الشهر'!$C$637:$AI$748,30,FALSE),0)</f>
        <v>0</v>
      </c>
      <c r="J125" s="362">
        <f>IFERROR(VLOOKUP(C125,'تقرير المصروفات حسب الشهر'!$C$763:$AI$877,30,FALSE),0)</f>
        <v>0</v>
      </c>
      <c r="K125" s="362">
        <f>IFERROR(VLOOKUP(C125,'تقرير المصروفات حسب الشهر'!$C$890:$AI$1007,30,FALSE),0)</f>
        <v>0</v>
      </c>
      <c r="L125" s="362">
        <f>IFERROR(VLOOKUP(C125,'تقرير المصروفات حسب الشهر'!$C$1016:$AI$1131,30,FALSE),0)</f>
        <v>0</v>
      </c>
      <c r="M125" s="376">
        <f>IFERROR(VLOOKUP(C125,'تقرير المصروفات حسب الشهر'!$C$1143:$AI$1259,30,FALSE),0)</f>
        <v>0</v>
      </c>
      <c r="N125" s="376">
        <f>IFERROR(VLOOKUP(C125,'تقرير المصروفات حسب الشهر'!$C$1271:$AI$1385,30,FALSE),0)</f>
        <v>0</v>
      </c>
      <c r="O125" s="376">
        <f>IFERROR(VLOOKUP(C125,'تقرير المصروفات حسب الشهر'!$C$1397:$AI$1512,30,FALSE),0)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الشهر'!$C$10:$AL$124,30,FALSE),0)</f>
        <v>0</v>
      </c>
      <c r="E126" s="362">
        <f>IFERROR(VLOOKUP(C126,'تقرير المصروفات حسب الشهر'!$C$135:$AL$252,30,FALSE),0)</f>
        <v>0</v>
      </c>
      <c r="F126" s="362">
        <v>0</v>
      </c>
      <c r="G126" s="362">
        <f>IFERROR(VLOOKUP(C126,'تقرير المصروفات حسب الشهر'!C490:AI603,30,0),0)</f>
        <v>0</v>
      </c>
      <c r="H126" s="362">
        <f>IFERROR(VLOOKUP(C126,'تقرير المصروفات حسب الشهر'!$C$512:$AL$620,30,FALSE),0)</f>
        <v>0</v>
      </c>
      <c r="I126" s="362">
        <f>IFERROR(VLOOKUP(C126,'تقرير المصروفات حسب الشهر'!$C$637:$AI$748,30,FALSE),0)</f>
        <v>0</v>
      </c>
      <c r="J126" s="362">
        <f>IFERROR(VLOOKUP(C126,'تقرير المصروفات حسب الشهر'!$C$763:$AI$877,30,FALSE),0)</f>
        <v>0</v>
      </c>
      <c r="K126" s="362">
        <f>IFERROR(VLOOKUP(C126,'تقرير المصروفات حسب الشهر'!$C$890:$AI$1007,30,FALSE),0)</f>
        <v>0</v>
      </c>
      <c r="L126" s="362">
        <f>IFERROR(VLOOKUP(C126,'تقرير المصروفات حسب الشهر'!$C$1016:$AI$1131,30,FALSE),0)</f>
        <v>0</v>
      </c>
      <c r="M126" s="376">
        <f>IFERROR(VLOOKUP(C126,'تقرير المصروفات حسب الشهر'!$C$1143:$AI$1259,30,FALSE),0)</f>
        <v>0</v>
      </c>
      <c r="N126" s="376">
        <f>IFERROR(VLOOKUP(C126,'تقرير المصروفات حسب الشهر'!$C$1271:$AI$1385,30,FALSE),0)</f>
        <v>0</v>
      </c>
      <c r="O126" s="376">
        <f>IFERROR(VLOOKUP(C126,'تقرير المصروفات حسب الشهر'!$C$1397:$AI$1512,30,FALSE),0)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الشهر'!$C$10:$AL$124,30,FALSE),0)</f>
        <v>0</v>
      </c>
      <c r="E127" s="362">
        <f>IFERROR(VLOOKUP(C127,'تقرير المصروفات حسب الشهر'!$C$135:$AL$252,30,FALSE),0)</f>
        <v>0</v>
      </c>
      <c r="F127" s="362">
        <v>0</v>
      </c>
      <c r="G127" s="362">
        <f>IFERROR(VLOOKUP(C127,'تقرير المصروفات حسب الشهر'!C491:AI604,30,0),0)</f>
        <v>0</v>
      </c>
      <c r="H127" s="362">
        <f>IFERROR(VLOOKUP(C127,'تقرير المصروفات حسب الشهر'!$C$512:$AL$620,30,FALSE),0)</f>
        <v>0</v>
      </c>
      <c r="I127" s="362">
        <f>IFERROR(VLOOKUP(C127,'تقرير المصروفات حسب الشهر'!$C$637:$AI$748,30,FALSE),0)</f>
        <v>0</v>
      </c>
      <c r="J127" s="362">
        <f>IFERROR(VLOOKUP(C127,'تقرير المصروفات حسب الشهر'!$C$763:$AI$877,30,FALSE),0)</f>
        <v>0</v>
      </c>
      <c r="K127" s="362">
        <f>IFERROR(VLOOKUP(C127,'تقرير المصروفات حسب الشهر'!$C$890:$AI$1007,30,FALSE),0)</f>
        <v>0</v>
      </c>
      <c r="L127" s="362">
        <f>IFERROR(VLOOKUP(C127,'تقرير المصروفات حسب الشهر'!$C$1016:$AI$1131,30,FALSE),0)</f>
        <v>0</v>
      </c>
      <c r="M127" s="376">
        <f>IFERROR(VLOOKUP(C127,'تقرير المصروفات حسب الشهر'!$C$1143:$AI$1259,30,FALSE),0)</f>
        <v>0</v>
      </c>
      <c r="N127" s="376">
        <f>IFERROR(VLOOKUP(C127,'تقرير المصروفات حسب الشهر'!$C$1271:$AI$1385,30,FALSE),0)</f>
        <v>0</v>
      </c>
      <c r="O127" s="376">
        <f>IFERROR(VLOOKUP(C127,'تقرير المصروفات حسب الشهر'!$C$1397:$AI$1512,30,FALSE),0)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الشهر'!$C$10:$AL$124,30,FALSE),0)</f>
        <v>0</v>
      </c>
      <c r="E128" s="362">
        <f>IFERROR(VLOOKUP(C128,'تقرير المصروفات حسب الشهر'!$C$135:$AL$252,30,FALSE),0)</f>
        <v>0</v>
      </c>
      <c r="F128" s="362">
        <v>0</v>
      </c>
      <c r="G128" s="362">
        <f>IFERROR(VLOOKUP(C128,'تقرير المصروفات حسب الشهر'!C492:AI605,30,0),0)</f>
        <v>0</v>
      </c>
      <c r="H128" s="362">
        <f>IFERROR(VLOOKUP(C128,'تقرير المصروفات حسب الشهر'!$C$512:$AL$620,30,FALSE),0)</f>
        <v>0</v>
      </c>
      <c r="I128" s="362">
        <f>IFERROR(VLOOKUP(C128,'تقرير المصروفات حسب الشهر'!$C$637:$AI$748,30,FALSE),0)</f>
        <v>0</v>
      </c>
      <c r="J128" s="362">
        <f>IFERROR(VLOOKUP(C128,'تقرير المصروفات حسب الشهر'!$C$763:$AI$877,30,FALSE),0)</f>
        <v>0</v>
      </c>
      <c r="K128" s="362">
        <f>IFERROR(VLOOKUP(C128,'تقرير المصروفات حسب الشهر'!$C$890:$AI$1007,30,FALSE),0)</f>
        <v>0</v>
      </c>
      <c r="L128" s="362">
        <f>IFERROR(VLOOKUP(C128,'تقرير المصروفات حسب الشهر'!$C$1016:$AI$1131,30,FALSE),0)</f>
        <v>0</v>
      </c>
      <c r="M128" s="376">
        <f>IFERROR(VLOOKUP(C128,'تقرير المصروفات حسب الشهر'!$C$1143:$AI$1259,30,FALSE),0)</f>
        <v>0</v>
      </c>
      <c r="N128" s="376">
        <f>IFERROR(VLOOKUP(C128,'تقرير المصروفات حسب الشهر'!$C$1271:$AI$1385,30,FALSE),0)</f>
        <v>0</v>
      </c>
      <c r="O128" s="376">
        <f>IFERROR(VLOOKUP(C128,'تقرير المصروفات حسب الشهر'!$C$1397:$AI$1512,30,FALSE),0)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الشهر'!$C$10:$AL$124,30,FALSE),0)</f>
        <v>0</v>
      </c>
      <c r="E129" s="362">
        <f>IFERROR(VLOOKUP(C129,'تقرير المصروفات حسب الشهر'!$C$135:$AL$252,30,FALSE),0)</f>
        <v>0</v>
      </c>
      <c r="F129" s="362">
        <v>0</v>
      </c>
      <c r="G129" s="362">
        <f>IFERROR(VLOOKUP(C129,'تقرير المصروفات حسب الشهر'!C493:AI606,30,0),0)</f>
        <v>0</v>
      </c>
      <c r="H129" s="362">
        <f>IFERROR(VLOOKUP(C129,'تقرير المصروفات حسب الشهر'!$C$512:$AL$620,30,FALSE),0)</f>
        <v>0</v>
      </c>
      <c r="I129" s="362">
        <f>IFERROR(VLOOKUP(C129,'تقرير المصروفات حسب الشهر'!$C$637:$AI$748,30,FALSE),0)</f>
        <v>0</v>
      </c>
      <c r="J129" s="362">
        <f>IFERROR(VLOOKUP(C129,'تقرير المصروفات حسب الشهر'!$C$763:$AI$877,30,FALSE),0)</f>
        <v>0</v>
      </c>
      <c r="K129" s="362">
        <f>IFERROR(VLOOKUP(C129,'تقرير المصروفات حسب الشهر'!$C$890:$AI$1007,30,FALSE),0)</f>
        <v>0</v>
      </c>
      <c r="L129" s="362">
        <f>IFERROR(VLOOKUP(C129,'تقرير المصروفات حسب الشهر'!$C$1016:$AI$1131,30,FALSE),0)</f>
        <v>0</v>
      </c>
      <c r="M129" s="376">
        <f>IFERROR(VLOOKUP(C129,'تقرير المصروفات حسب الشهر'!$C$1143:$AI$1259,30,FALSE),0)</f>
        <v>0</v>
      </c>
      <c r="N129" s="376">
        <f>IFERROR(VLOOKUP(C129,'تقرير المصروفات حسب الشهر'!$C$1271:$AI$1385,30,FALSE),0)</f>
        <v>0</v>
      </c>
      <c r="O129" s="376">
        <f>IFERROR(VLOOKUP(C129,'تقرير المصروفات حسب الشهر'!$C$1397:$AI$1512,30,FALSE),0)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الشهر'!$C$10:$AL$124,30,FALSE),0)</f>
        <v>0</v>
      </c>
      <c r="E130" s="362">
        <f>IFERROR(VLOOKUP(C130,'تقرير المصروفات حسب الشهر'!$C$135:$AL$252,30,FALSE),0)</f>
        <v>0</v>
      </c>
      <c r="F130" s="362">
        <v>0</v>
      </c>
      <c r="G130" s="362">
        <f>IFERROR(VLOOKUP(C130,'تقرير المصروفات حسب الشهر'!C494:AI607,30,0),0)</f>
        <v>0</v>
      </c>
      <c r="H130" s="362">
        <f>IFERROR(VLOOKUP(C130,'تقرير المصروفات حسب الشهر'!$C$512:$AL$620,30,FALSE),0)</f>
        <v>0</v>
      </c>
      <c r="I130" s="362">
        <f>IFERROR(VLOOKUP(C130,'تقرير المصروفات حسب الشهر'!$C$637:$AI$748,30,FALSE),0)</f>
        <v>0</v>
      </c>
      <c r="J130" s="362">
        <f>IFERROR(VLOOKUP(C130,'تقرير المصروفات حسب الشهر'!$C$763:$AI$877,30,FALSE),0)</f>
        <v>0</v>
      </c>
      <c r="K130" s="362">
        <f>IFERROR(VLOOKUP(C130,'تقرير المصروفات حسب الشهر'!$C$890:$AI$1007,30,FALSE),0)</f>
        <v>0</v>
      </c>
      <c r="L130" s="362">
        <f>IFERROR(VLOOKUP(C130,'تقرير المصروفات حسب الشهر'!$C$1016:$AI$1131,30,FALSE),0)</f>
        <v>0</v>
      </c>
      <c r="M130" s="376">
        <f>IFERROR(VLOOKUP(C130,'تقرير المصروفات حسب الشهر'!$C$1143:$AI$1259,30,FALSE),0)</f>
        <v>0</v>
      </c>
      <c r="N130" s="376">
        <f>IFERROR(VLOOKUP(C130,'تقرير المصروفات حسب الشهر'!$C$1271:$AI$1385,30,FALSE),0)</f>
        <v>0</v>
      </c>
      <c r="O130" s="376">
        <f>IFERROR(VLOOKUP(C130,'تقرير المصروفات حسب الشهر'!$C$1397:$AI$1512,30,FALSE),0)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الشهر'!$C$10:$AL$124,30,FALSE),0)</f>
        <v>0</v>
      </c>
      <c r="E131" s="362">
        <f>IFERROR(VLOOKUP(C131,'تقرير المصروفات حسب الشهر'!$C$135:$AL$252,30,FALSE),0)</f>
        <v>0</v>
      </c>
      <c r="F131" s="362">
        <v>0</v>
      </c>
      <c r="G131" s="362">
        <f>IFERROR(VLOOKUP(C131,'تقرير المصروفات حسب الشهر'!C495:AI608,30,0),0)</f>
        <v>0</v>
      </c>
      <c r="H131" s="362">
        <f>IFERROR(VLOOKUP(C131,'تقرير المصروفات حسب الشهر'!$C$512:$AL$620,30,FALSE),0)</f>
        <v>0</v>
      </c>
      <c r="I131" s="362">
        <f>IFERROR(VLOOKUP(C131,'تقرير المصروفات حسب الشهر'!$C$637:$AI$748,30,FALSE),0)</f>
        <v>0</v>
      </c>
      <c r="J131" s="362">
        <f>IFERROR(VLOOKUP(C131,'تقرير المصروفات حسب الشهر'!$C$763:$AI$877,30,FALSE),0)</f>
        <v>0</v>
      </c>
      <c r="K131" s="362">
        <f>IFERROR(VLOOKUP(C131,'تقرير المصروفات حسب الشهر'!$C$890:$AI$1007,30,FALSE),0)</f>
        <v>0</v>
      </c>
      <c r="L131" s="362">
        <f>IFERROR(VLOOKUP(C131,'تقرير المصروفات حسب الشهر'!$C$1016:$AI$1131,30,FALSE),0)</f>
        <v>0</v>
      </c>
      <c r="M131" s="376">
        <f>IFERROR(VLOOKUP(C131,'تقرير المصروفات حسب الشهر'!$C$1143:$AI$1259,30,FALSE),0)</f>
        <v>0</v>
      </c>
      <c r="N131" s="376">
        <f>IFERROR(VLOOKUP(C131,'تقرير المصروفات حسب الشهر'!$C$1271:$AI$1385,30,FALSE),0)</f>
        <v>0</v>
      </c>
      <c r="O131" s="376">
        <f>IFERROR(VLOOKUP(C131,'تقرير المصروفات حسب الشهر'!$C$1397:$AI$1512,30,FALSE),0)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13013.84</v>
      </c>
      <c r="E132" s="146">
        <f t="shared" si="7"/>
        <v>21512</v>
      </c>
      <c r="F132" s="146">
        <f t="shared" si="7"/>
        <v>21013.89</v>
      </c>
      <c r="G132" s="146">
        <f t="shared" si="7"/>
        <v>22532.34</v>
      </c>
      <c r="H132" s="146">
        <f t="shared" si="7"/>
        <v>10886.52</v>
      </c>
      <c r="I132" s="146">
        <f t="shared" si="7"/>
        <v>11426.739999999998</v>
      </c>
      <c r="J132" s="146">
        <f t="shared" si="7"/>
        <v>16349.320000000002</v>
      </c>
      <c r="K132" s="146">
        <f t="shared" si="7"/>
        <v>10820.94</v>
      </c>
      <c r="L132" s="146">
        <f t="shared" si="7"/>
        <v>15550.73</v>
      </c>
      <c r="M132" s="146">
        <f t="shared" si="7"/>
        <v>21242.679999999997</v>
      </c>
      <c r="N132" s="146">
        <f t="shared" si="7"/>
        <v>13846.33</v>
      </c>
      <c r="O132" s="146">
        <f t="shared" si="7"/>
        <v>24425.420000000002</v>
      </c>
      <c r="P132" s="388">
        <f t="shared" si="6"/>
        <v>202620.75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23545.37999999999</v>
      </c>
      <c r="E134" s="392">
        <f t="shared" si="8"/>
        <v>57765.819999999949</v>
      </c>
      <c r="F134" s="392">
        <f t="shared" si="8"/>
        <v>42764.469999999965</v>
      </c>
      <c r="G134" s="392">
        <f t="shared" si="8"/>
        <v>74842.170000000071</v>
      </c>
      <c r="H134" s="392">
        <f t="shared" si="8"/>
        <v>160923.52000000008</v>
      </c>
      <c r="I134" s="392">
        <f t="shared" si="8"/>
        <v>106182.55</v>
      </c>
      <c r="J134" s="392">
        <f t="shared" si="8"/>
        <v>107533.37999999995</v>
      </c>
      <c r="K134" s="392">
        <f t="shared" si="8"/>
        <v>120248.88000000003</v>
      </c>
      <c r="L134" s="392">
        <f t="shared" si="8"/>
        <v>116746.54</v>
      </c>
      <c r="M134" s="392">
        <f t="shared" si="8"/>
        <v>119045.75999999995</v>
      </c>
      <c r="N134" s="392">
        <f t="shared" si="8"/>
        <v>142455.81000000011</v>
      </c>
      <c r="O134" s="392">
        <f t="shared" si="8"/>
        <v>417547.45000000007</v>
      </c>
      <c r="P134" s="388">
        <f t="shared" si="6"/>
        <v>1489601.73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10531.53999999999</v>
      </c>
      <c r="E137" s="383">
        <f t="shared" ref="E137:O137" si="9">E134-E132</f>
        <v>36253.819999999949</v>
      </c>
      <c r="F137" s="383">
        <f t="shared" si="9"/>
        <v>21750.579999999965</v>
      </c>
      <c r="G137" s="383">
        <f t="shared" si="9"/>
        <v>52309.830000000075</v>
      </c>
      <c r="H137" s="383">
        <f t="shared" si="9"/>
        <v>150037.00000000009</v>
      </c>
      <c r="I137" s="383">
        <f t="shared" si="9"/>
        <v>94755.81</v>
      </c>
      <c r="J137" s="383">
        <f t="shared" si="9"/>
        <v>91184.059999999939</v>
      </c>
      <c r="K137" s="383">
        <f t="shared" si="9"/>
        <v>109427.94000000003</v>
      </c>
      <c r="L137" s="383">
        <f t="shared" si="9"/>
        <v>101195.81</v>
      </c>
      <c r="M137" s="383">
        <f t="shared" si="9"/>
        <v>97803.079999999958</v>
      </c>
      <c r="N137" s="383">
        <f t="shared" si="9"/>
        <v>128609.48000000011</v>
      </c>
      <c r="O137" s="383">
        <f t="shared" si="9"/>
        <v>393122.03000000009</v>
      </c>
      <c r="P137" s="387">
        <f>SUM(D137:O137)</f>
        <v>1286980.9800000002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K141" s="459">
        <f>109427.94-K137</f>
        <v>0</v>
      </c>
      <c r="M141" s="545">
        <f>97803.08-M137</f>
        <v>0</v>
      </c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4">
    <tabColor rgb="FFFFC000"/>
  </sheetPr>
  <dimension ref="A1:BP75"/>
  <sheetViews>
    <sheetView rightToLeft="1" topLeftCell="R13" workbookViewId="0">
      <selection activeCell="U35" sqref="U35"/>
    </sheetView>
  </sheetViews>
  <sheetFormatPr defaultColWidth="9.109375" defaultRowHeight="13.2"/>
  <cols>
    <col min="1" max="1" width="25" style="19" customWidth="1"/>
    <col min="2" max="2" width="17.33203125" style="20" customWidth="1"/>
    <col min="3" max="3" width="23.109375" style="6" customWidth="1"/>
    <col min="4" max="4" width="19.33203125" style="6" customWidth="1"/>
    <col min="5" max="5" width="17.6640625" style="6" customWidth="1"/>
    <col min="6" max="6" width="28.5546875" style="6" customWidth="1"/>
    <col min="7" max="7" width="21.109375" style="6" customWidth="1"/>
    <col min="8" max="8" width="22.5546875" style="6" customWidth="1"/>
    <col min="9" max="9" width="21.6640625" style="6" customWidth="1"/>
    <col min="10" max="10" width="16.6640625" style="6" customWidth="1"/>
    <col min="11" max="11" width="19.109375" style="6" customWidth="1"/>
    <col min="12" max="12" width="1.44140625" customWidth="1"/>
    <col min="13" max="13" width="17.88671875" style="6" customWidth="1"/>
    <col min="14" max="14" width="24.109375" style="6" customWidth="1"/>
    <col min="15" max="15" width="20.6640625" style="6" customWidth="1"/>
    <col min="16" max="16" width="21.5546875" style="6" customWidth="1"/>
    <col min="17" max="17" width="20.44140625" style="6" customWidth="1"/>
    <col min="18" max="18" width="18.33203125" style="6" customWidth="1"/>
    <col min="19" max="21" width="16.5546875" style="6" customWidth="1"/>
    <col min="22" max="22" width="26" style="6" customWidth="1"/>
    <col min="23" max="25" width="22.6640625" style="6" customWidth="1"/>
  </cols>
  <sheetData>
    <row r="1" spans="1:68" ht="21">
      <c r="A1" s="56"/>
      <c r="B1" s="70"/>
      <c r="C1" s="54"/>
      <c r="D1" s="54"/>
      <c r="E1" s="632"/>
      <c r="F1" s="632" t="s">
        <v>149</v>
      </c>
      <c r="G1" s="54"/>
      <c r="H1" s="54"/>
      <c r="I1" s="54"/>
      <c r="J1" s="632" t="s">
        <v>149</v>
      </c>
      <c r="K1" s="632" t="s">
        <v>149</v>
      </c>
      <c r="M1" s="50"/>
      <c r="N1" s="630" t="s">
        <v>150</v>
      </c>
      <c r="O1" s="630" t="s">
        <v>150</v>
      </c>
      <c r="P1" s="630" t="s">
        <v>150</v>
      </c>
      <c r="Q1" s="50"/>
      <c r="R1" s="630" t="s">
        <v>150</v>
      </c>
      <c r="S1" s="50"/>
      <c r="T1" s="50"/>
      <c r="U1" s="50"/>
      <c r="V1" s="50"/>
      <c r="W1" s="100" t="s">
        <v>200</v>
      </c>
      <c r="X1" s="51" t="s">
        <v>151</v>
      </c>
      <c r="Y1" s="52"/>
    </row>
    <row r="2" spans="1:68" ht="36.75" customHeight="1" thickBot="1">
      <c r="A2" s="57"/>
      <c r="B2" s="71"/>
      <c r="C2" s="55"/>
      <c r="D2" s="55"/>
      <c r="E2" s="633"/>
      <c r="F2" s="633"/>
      <c r="G2" s="55"/>
      <c r="H2" s="55"/>
      <c r="I2" s="55"/>
      <c r="J2" s="633"/>
      <c r="K2" s="633"/>
      <c r="M2" s="52"/>
      <c r="N2" s="631"/>
      <c r="O2" s="631"/>
      <c r="P2" s="631"/>
      <c r="Q2" s="52"/>
      <c r="R2" s="631"/>
      <c r="S2" s="52"/>
      <c r="T2" s="52"/>
      <c r="U2" s="52"/>
      <c r="V2" s="52"/>
      <c r="W2" s="52" t="s">
        <v>152</v>
      </c>
      <c r="X2" s="53" t="s">
        <v>152</v>
      </c>
      <c r="Y2" s="52"/>
    </row>
    <row r="3" spans="1:68" ht="33" customHeight="1">
      <c r="A3" s="60" t="s">
        <v>34</v>
      </c>
      <c r="B3" s="478" t="s">
        <v>185</v>
      </c>
      <c r="C3" s="64" t="s">
        <v>125</v>
      </c>
      <c r="D3" s="64" t="s">
        <v>126</v>
      </c>
      <c r="E3" s="64" t="s">
        <v>127</v>
      </c>
      <c r="F3" s="62" t="s">
        <v>128</v>
      </c>
      <c r="G3" s="62" t="s">
        <v>142</v>
      </c>
      <c r="H3" s="62" t="s">
        <v>143</v>
      </c>
      <c r="I3" s="62" t="s">
        <v>144</v>
      </c>
      <c r="J3" s="64" t="s">
        <v>129</v>
      </c>
      <c r="K3" s="65" t="s">
        <v>130</v>
      </c>
      <c r="M3" s="60" t="s">
        <v>34</v>
      </c>
      <c r="N3" s="61" t="s">
        <v>146</v>
      </c>
      <c r="O3" s="61" t="s">
        <v>131</v>
      </c>
      <c r="P3" s="61" t="s">
        <v>108</v>
      </c>
      <c r="Q3" s="62" t="s">
        <v>121</v>
      </c>
      <c r="R3" s="63" t="s">
        <v>112</v>
      </c>
      <c r="S3" s="62" t="s">
        <v>132</v>
      </c>
      <c r="T3" s="62" t="s">
        <v>364</v>
      </c>
      <c r="U3" s="62" t="s">
        <v>393</v>
      </c>
      <c r="V3" s="62" t="s">
        <v>190</v>
      </c>
      <c r="W3" s="62" t="s">
        <v>135</v>
      </c>
      <c r="X3" s="63" t="s">
        <v>136</v>
      </c>
      <c r="Y3" s="528"/>
    </row>
    <row r="4" spans="1:68" ht="13.8">
      <c r="A4" s="399" t="s">
        <v>184</v>
      </c>
      <c r="B4" s="468">
        <v>180620.46</v>
      </c>
      <c r="C4" s="469">
        <v>0</v>
      </c>
      <c r="D4" s="469">
        <v>0</v>
      </c>
      <c r="E4" s="469">
        <v>0</v>
      </c>
      <c r="F4" s="469">
        <v>0</v>
      </c>
      <c r="G4" s="469">
        <v>1034.6199999999999</v>
      </c>
      <c r="H4" s="469">
        <v>27586.53</v>
      </c>
      <c r="I4" s="469"/>
      <c r="J4" s="469">
        <f>3731190.38-3507737.09</f>
        <v>223453.29000000004</v>
      </c>
      <c r="K4" s="469">
        <f>400165+532199+19000+162465.45</f>
        <v>1113829.45</v>
      </c>
      <c r="M4" s="400" t="s">
        <v>184</v>
      </c>
      <c r="N4" s="469">
        <v>11831.25</v>
      </c>
      <c r="O4" s="469">
        <v>0</v>
      </c>
      <c r="P4" s="469"/>
      <c r="Q4" s="469">
        <v>197944.51</v>
      </c>
      <c r="R4" s="469">
        <v>0</v>
      </c>
      <c r="S4" s="469"/>
      <c r="T4" s="469"/>
      <c r="U4" s="469"/>
      <c r="V4" s="469">
        <v>200392.23</v>
      </c>
      <c r="W4" s="473">
        <f t="shared" ref="W4:W34" si="0">C4+E4-S4</f>
        <v>0</v>
      </c>
      <c r="X4" s="474">
        <f t="shared" ref="X4:X34" si="1">B4-Q4</f>
        <v>-17324.050000000017</v>
      </c>
      <c r="Y4" s="546">
        <f t="shared" ref="Y4:Y35" si="2">W4+X4</f>
        <v>-17324.050000000017</v>
      </c>
    </row>
    <row r="5" spans="1:68" ht="13.8">
      <c r="A5" s="399" t="s">
        <v>36</v>
      </c>
      <c r="B5" s="468">
        <v>27633.4</v>
      </c>
      <c r="C5" s="469"/>
      <c r="D5" s="469">
        <v>0</v>
      </c>
      <c r="E5" s="469">
        <v>0</v>
      </c>
      <c r="F5" s="469">
        <v>0</v>
      </c>
      <c r="G5" s="469">
        <v>10561.39</v>
      </c>
      <c r="H5" s="469">
        <v>20701.93</v>
      </c>
      <c r="I5" s="469">
        <v>3419.39</v>
      </c>
      <c r="J5" s="469"/>
      <c r="K5" s="469">
        <v>-3200</v>
      </c>
      <c r="M5" s="400" t="s">
        <v>36</v>
      </c>
      <c r="N5" s="469">
        <v>3450</v>
      </c>
      <c r="O5" s="469">
        <v>0</v>
      </c>
      <c r="P5" s="469">
        <f>30921.55-6649.74</f>
        <v>24271.809999999998</v>
      </c>
      <c r="Q5" s="469">
        <v>34363.230000000003</v>
      </c>
      <c r="R5" s="469">
        <v>13241.24</v>
      </c>
      <c r="S5" s="469"/>
      <c r="T5" s="469">
        <v>69983.67</v>
      </c>
      <c r="U5" s="469">
        <v>452349.88</v>
      </c>
      <c r="V5" s="469">
        <v>137379.87</v>
      </c>
      <c r="W5" s="473">
        <f t="shared" si="0"/>
        <v>0</v>
      </c>
      <c r="X5" s="475">
        <f t="shared" si="1"/>
        <v>-6729.8300000000017</v>
      </c>
      <c r="Y5" s="546">
        <f t="shared" si="2"/>
        <v>-6729.8300000000017</v>
      </c>
    </row>
    <row r="6" spans="1:68" ht="13.8">
      <c r="A6" s="401" t="s">
        <v>24</v>
      </c>
      <c r="B6" s="471">
        <v>35731.29</v>
      </c>
      <c r="C6" s="472">
        <v>61015.89</v>
      </c>
      <c r="D6" s="469">
        <v>0</v>
      </c>
      <c r="E6" s="469">
        <v>0</v>
      </c>
      <c r="F6" s="469">
        <v>0</v>
      </c>
      <c r="G6" s="472">
        <v>5755</v>
      </c>
      <c r="H6" s="472">
        <v>38438.07</v>
      </c>
      <c r="I6" s="472">
        <v>4542.18</v>
      </c>
      <c r="J6" s="469"/>
      <c r="K6" s="566"/>
      <c r="M6" s="402" t="s">
        <v>24</v>
      </c>
      <c r="N6" s="469">
        <v>3450</v>
      </c>
      <c r="O6" s="469">
        <v>0</v>
      </c>
      <c r="P6" s="472">
        <f>53613.31-15362.74</f>
        <v>38250.57</v>
      </c>
      <c r="Q6" s="472">
        <v>46515.96</v>
      </c>
      <c r="R6" s="469">
        <v>0</v>
      </c>
      <c r="S6" s="472">
        <v>61015.98</v>
      </c>
      <c r="T6" s="472">
        <v>45501.14</v>
      </c>
      <c r="U6" s="472">
        <v>294103.39</v>
      </c>
      <c r="V6" s="472">
        <v>117080.28</v>
      </c>
      <c r="W6" s="476">
        <f t="shared" si="0"/>
        <v>-9.0000000003783498E-2</v>
      </c>
      <c r="X6" s="477">
        <f t="shared" si="1"/>
        <v>-10784.669999999998</v>
      </c>
      <c r="Y6" s="546">
        <f t="shared" si="2"/>
        <v>-10784.760000000002</v>
      </c>
    </row>
    <row r="7" spans="1:68" ht="13.8">
      <c r="A7" s="399" t="s">
        <v>25</v>
      </c>
      <c r="B7" s="468">
        <v>1283.3399999999999</v>
      </c>
      <c r="C7" s="469">
        <v>1.48</v>
      </c>
      <c r="D7" s="469">
        <v>0</v>
      </c>
      <c r="E7" s="469">
        <v>0</v>
      </c>
      <c r="F7" s="469">
        <v>0</v>
      </c>
      <c r="G7" s="469">
        <v>1935.13</v>
      </c>
      <c r="H7" s="469">
        <v>5658.83</v>
      </c>
      <c r="I7" s="469">
        <v>5341.59</v>
      </c>
      <c r="J7" s="469"/>
      <c r="K7" s="469"/>
      <c r="M7" s="402" t="s">
        <v>25</v>
      </c>
      <c r="N7" s="469">
        <v>3112.5</v>
      </c>
      <c r="O7" s="469">
        <v>0</v>
      </c>
      <c r="P7" s="472">
        <f>34052-2132.31</f>
        <v>31919.69</v>
      </c>
      <c r="Q7" s="472">
        <v>1410</v>
      </c>
      <c r="R7" s="469">
        <v>0</v>
      </c>
      <c r="S7" s="472">
        <v>1.42</v>
      </c>
      <c r="T7" s="472"/>
      <c r="U7" s="472"/>
      <c r="V7" s="472">
        <v>37600.99</v>
      </c>
      <c r="W7" s="473">
        <f t="shared" si="0"/>
        <v>6.0000000000000053E-2</v>
      </c>
      <c r="X7" s="475">
        <f t="shared" si="1"/>
        <v>-126.66000000000008</v>
      </c>
      <c r="Y7" s="546">
        <f t="shared" si="2"/>
        <v>-126.60000000000008</v>
      </c>
    </row>
    <row r="8" spans="1:68" ht="13.8">
      <c r="A8" s="399" t="s">
        <v>160</v>
      </c>
      <c r="B8" s="468">
        <v>31659.75</v>
      </c>
      <c r="C8" s="469"/>
      <c r="D8" s="469">
        <v>0</v>
      </c>
      <c r="E8" s="469">
        <v>0</v>
      </c>
      <c r="F8" s="469">
        <v>0</v>
      </c>
      <c r="G8" s="469">
        <v>6641.3</v>
      </c>
      <c r="H8" s="469">
        <v>8755.39</v>
      </c>
      <c r="I8" s="469"/>
      <c r="J8" s="469"/>
      <c r="K8" s="470"/>
      <c r="M8" s="402" t="s">
        <v>160</v>
      </c>
      <c r="N8" s="469">
        <v>862.5</v>
      </c>
      <c r="O8" s="469">
        <v>0</v>
      </c>
      <c r="P8" s="472">
        <f>5894-1190.71</f>
        <v>4703.29</v>
      </c>
      <c r="Q8" s="472">
        <v>69647.850000000006</v>
      </c>
      <c r="R8" s="469">
        <v>0</v>
      </c>
      <c r="S8" s="472"/>
      <c r="T8" s="472">
        <v>88884.41</v>
      </c>
      <c r="U8" s="472">
        <v>574517.66</v>
      </c>
      <c r="V8" s="472">
        <v>201118.97</v>
      </c>
      <c r="W8" s="473">
        <f t="shared" si="0"/>
        <v>0</v>
      </c>
      <c r="X8" s="475">
        <f t="shared" si="1"/>
        <v>-37988.100000000006</v>
      </c>
      <c r="Y8" s="546">
        <f t="shared" si="2"/>
        <v>-37988.100000000006</v>
      </c>
      <c r="BP8" t="s">
        <v>0</v>
      </c>
    </row>
    <row r="9" spans="1:68" ht="13.8">
      <c r="A9" s="399" t="s">
        <v>139</v>
      </c>
      <c r="B9" s="468">
        <v>627110.02</v>
      </c>
      <c r="C9" s="469"/>
      <c r="D9" s="469">
        <v>0</v>
      </c>
      <c r="E9" s="469">
        <v>0</v>
      </c>
      <c r="F9" s="469">
        <v>0</v>
      </c>
      <c r="G9" s="469">
        <v>1251.93</v>
      </c>
      <c r="H9" s="469">
        <v>1807.69</v>
      </c>
      <c r="I9" s="469"/>
      <c r="J9" s="469"/>
      <c r="K9" s="470"/>
      <c r="M9" s="402" t="s">
        <v>139</v>
      </c>
      <c r="N9" s="469">
        <v>1293.75</v>
      </c>
      <c r="O9" s="469">
        <v>0</v>
      </c>
      <c r="P9" s="472"/>
      <c r="Q9" s="472">
        <v>487066.46</v>
      </c>
      <c r="R9" s="469">
        <v>0</v>
      </c>
      <c r="S9" s="472"/>
      <c r="T9" s="472"/>
      <c r="U9" s="472"/>
      <c r="V9" s="472">
        <v>4300</v>
      </c>
      <c r="W9" s="525">
        <f t="shared" si="0"/>
        <v>0</v>
      </c>
      <c r="X9" s="475">
        <f t="shared" si="1"/>
        <v>140043.56</v>
      </c>
      <c r="Y9" s="546">
        <f t="shared" si="2"/>
        <v>140043.56</v>
      </c>
      <c r="BP9" t="s">
        <v>1</v>
      </c>
    </row>
    <row r="10" spans="1:68" ht="13.8">
      <c r="A10" s="399" t="s">
        <v>37</v>
      </c>
      <c r="B10" s="468">
        <v>39856.53</v>
      </c>
      <c r="C10" s="469"/>
      <c r="D10" s="469">
        <v>0</v>
      </c>
      <c r="E10" s="469">
        <v>0</v>
      </c>
      <c r="F10" s="469">
        <v>0</v>
      </c>
      <c r="G10" s="469">
        <v>430.76</v>
      </c>
      <c r="H10" s="469">
        <v>430.77</v>
      </c>
      <c r="I10" s="469"/>
      <c r="J10" s="469"/>
      <c r="K10" s="470"/>
      <c r="M10" s="402" t="s">
        <v>37</v>
      </c>
      <c r="N10" s="469"/>
      <c r="O10" s="469">
        <v>0</v>
      </c>
      <c r="P10" s="472"/>
      <c r="Q10" s="472">
        <v>23168.23</v>
      </c>
      <c r="R10" s="469">
        <v>0</v>
      </c>
      <c r="S10" s="472"/>
      <c r="T10" s="472"/>
      <c r="U10" s="472"/>
      <c r="V10" s="472">
        <v>5969.57</v>
      </c>
      <c r="W10" s="473">
        <f t="shared" si="0"/>
        <v>0</v>
      </c>
      <c r="X10" s="475">
        <f t="shared" si="1"/>
        <v>16688.3</v>
      </c>
      <c r="Y10" s="546">
        <f t="shared" si="2"/>
        <v>16688.3</v>
      </c>
      <c r="BP10" t="s">
        <v>2</v>
      </c>
    </row>
    <row r="11" spans="1:68" ht="13.8">
      <c r="A11" s="399" t="s">
        <v>133</v>
      </c>
      <c r="B11" s="468">
        <v>0</v>
      </c>
      <c r="C11" s="468"/>
      <c r="D11" s="469">
        <v>0</v>
      </c>
      <c r="E11" s="469">
        <v>0</v>
      </c>
      <c r="F11" s="469">
        <v>0</v>
      </c>
      <c r="G11" s="469"/>
      <c r="H11" s="469"/>
      <c r="I11" s="469"/>
      <c r="J11" s="469"/>
      <c r="K11" s="470"/>
      <c r="M11" s="402" t="s">
        <v>133</v>
      </c>
      <c r="N11" s="469"/>
      <c r="O11" s="469">
        <v>0</v>
      </c>
      <c r="P11" s="472"/>
      <c r="Q11" s="472"/>
      <c r="R11" s="469">
        <v>0</v>
      </c>
      <c r="S11" s="472"/>
      <c r="T11" s="472"/>
      <c r="U11" s="472"/>
      <c r="V11" s="472">
        <v>1993.47</v>
      </c>
      <c r="W11" s="473">
        <f t="shared" si="0"/>
        <v>0</v>
      </c>
      <c r="X11" s="475">
        <f t="shared" si="1"/>
        <v>0</v>
      </c>
      <c r="Y11" s="546">
        <f t="shared" si="2"/>
        <v>0</v>
      </c>
      <c r="BP11" t="s">
        <v>238</v>
      </c>
    </row>
    <row r="12" spans="1:68" ht="13.8">
      <c r="A12" s="399" t="s">
        <v>38</v>
      </c>
      <c r="B12" s="468">
        <v>698.63</v>
      </c>
      <c r="C12" s="469"/>
      <c r="D12" s="469">
        <v>0</v>
      </c>
      <c r="E12" s="469">
        <v>0</v>
      </c>
      <c r="F12" s="469">
        <v>0</v>
      </c>
      <c r="G12" s="469"/>
      <c r="H12" s="469"/>
      <c r="I12" s="469"/>
      <c r="J12" s="469"/>
      <c r="K12" s="470"/>
      <c r="M12" s="402" t="s">
        <v>38</v>
      </c>
      <c r="N12" s="469">
        <v>431.25</v>
      </c>
      <c r="O12" s="469">
        <v>0</v>
      </c>
      <c r="P12" s="472"/>
      <c r="Q12" s="472">
        <v>267.06</v>
      </c>
      <c r="R12" s="469">
        <v>0</v>
      </c>
      <c r="S12" s="472">
        <v>0.9</v>
      </c>
      <c r="T12" s="472"/>
      <c r="U12" s="472"/>
      <c r="V12" s="472">
        <v>730.77</v>
      </c>
      <c r="W12" s="473">
        <f t="shared" si="0"/>
        <v>-0.9</v>
      </c>
      <c r="X12" s="475">
        <f t="shared" si="1"/>
        <v>431.57</v>
      </c>
      <c r="Y12" s="546">
        <f t="shared" si="2"/>
        <v>430.67</v>
      </c>
      <c r="BP12" t="s">
        <v>4</v>
      </c>
    </row>
    <row r="13" spans="1:68" ht="13.8">
      <c r="A13" s="399" t="s">
        <v>145</v>
      </c>
      <c r="B13" s="468">
        <v>68544.63</v>
      </c>
      <c r="C13" s="469"/>
      <c r="D13" s="469">
        <v>0</v>
      </c>
      <c r="E13" s="469">
        <v>0</v>
      </c>
      <c r="F13" s="469">
        <v>0</v>
      </c>
      <c r="G13" s="469">
        <v>3921.3</v>
      </c>
      <c r="H13" s="469">
        <v>2538.46</v>
      </c>
      <c r="I13" s="469">
        <v>4048.47</v>
      </c>
      <c r="J13" s="469"/>
      <c r="K13" s="470"/>
      <c r="M13" s="402" t="s">
        <v>145</v>
      </c>
      <c r="N13" s="469">
        <v>1293.75</v>
      </c>
      <c r="O13" s="469">
        <v>0</v>
      </c>
      <c r="P13" s="472">
        <v>97</v>
      </c>
      <c r="Q13" s="472">
        <v>58454.52</v>
      </c>
      <c r="R13" s="469">
        <v>0</v>
      </c>
      <c r="S13" s="472"/>
      <c r="T13" s="472">
        <v>17817.87</v>
      </c>
      <c r="U13" s="472">
        <v>115168.48</v>
      </c>
      <c r="V13" s="472">
        <v>14481.73</v>
      </c>
      <c r="W13" s="473">
        <f t="shared" si="0"/>
        <v>0</v>
      </c>
      <c r="X13" s="475">
        <f t="shared" si="1"/>
        <v>10090.110000000008</v>
      </c>
      <c r="Y13" s="529">
        <f t="shared" si="2"/>
        <v>10090.110000000008</v>
      </c>
      <c r="BP13" t="s">
        <v>5</v>
      </c>
    </row>
    <row r="14" spans="1:68" ht="13.8">
      <c r="A14" s="399" t="s">
        <v>124</v>
      </c>
      <c r="B14" s="468">
        <v>19570.79</v>
      </c>
      <c r="C14" s="468"/>
      <c r="D14" s="469">
        <v>0</v>
      </c>
      <c r="E14" s="469">
        <v>0</v>
      </c>
      <c r="F14" s="469">
        <v>0</v>
      </c>
      <c r="G14" s="469"/>
      <c r="H14" s="469"/>
      <c r="I14" s="469"/>
      <c r="J14" s="469"/>
      <c r="K14" s="470">
        <v>420</v>
      </c>
      <c r="M14" s="402" t="s">
        <v>124</v>
      </c>
      <c r="N14" s="469">
        <v>431.25</v>
      </c>
      <c r="O14" s="469">
        <v>0</v>
      </c>
      <c r="P14" s="472"/>
      <c r="Q14" s="472">
        <v>23875.21</v>
      </c>
      <c r="R14" s="469">
        <v>0</v>
      </c>
      <c r="S14" s="472"/>
      <c r="T14" s="472">
        <v>45.45</v>
      </c>
      <c r="U14" s="472">
        <v>293.8</v>
      </c>
      <c r="V14" s="472">
        <v>9436.4699999999993</v>
      </c>
      <c r="W14" s="473">
        <f t="shared" si="0"/>
        <v>0</v>
      </c>
      <c r="X14" s="475">
        <f t="shared" si="1"/>
        <v>-4304.4199999999983</v>
      </c>
      <c r="Y14" s="529">
        <f t="shared" si="2"/>
        <v>-4304.4199999999983</v>
      </c>
      <c r="BP14" t="s">
        <v>6</v>
      </c>
    </row>
    <row r="15" spans="1:68" ht="13.8">
      <c r="A15" s="399" t="s">
        <v>134</v>
      </c>
      <c r="B15" s="468">
        <v>66060.83</v>
      </c>
      <c r="C15" s="469"/>
      <c r="D15" s="469">
        <v>0</v>
      </c>
      <c r="E15" s="469">
        <v>0</v>
      </c>
      <c r="F15" s="469">
        <v>0</v>
      </c>
      <c r="G15" s="469">
        <v>5371.21</v>
      </c>
      <c r="H15" s="469">
        <v>3903.84</v>
      </c>
      <c r="I15" s="469">
        <v>2932.91</v>
      </c>
      <c r="J15" s="469"/>
      <c r="K15" s="470"/>
      <c r="M15" s="402" t="s">
        <v>134</v>
      </c>
      <c r="N15" s="469">
        <v>862.5</v>
      </c>
      <c r="O15" s="469">
        <v>0</v>
      </c>
      <c r="P15" s="472">
        <f>2230-102</f>
        <v>2128</v>
      </c>
      <c r="Q15" s="472">
        <v>72135.38</v>
      </c>
      <c r="R15" s="469">
        <v>0</v>
      </c>
      <c r="S15" s="472"/>
      <c r="T15" s="472">
        <v>34910.51</v>
      </c>
      <c r="U15" s="472">
        <v>225649.3</v>
      </c>
      <c r="V15" s="472">
        <v>10521.47</v>
      </c>
      <c r="W15" s="473">
        <f t="shared" si="0"/>
        <v>0</v>
      </c>
      <c r="X15" s="475">
        <f t="shared" si="1"/>
        <v>-6074.5500000000029</v>
      </c>
      <c r="Y15" s="546">
        <f t="shared" si="2"/>
        <v>-6074.5500000000029</v>
      </c>
      <c r="BP15" t="s">
        <v>281</v>
      </c>
    </row>
    <row r="16" spans="1:68" ht="13.8">
      <c r="A16" s="399" t="s">
        <v>243</v>
      </c>
      <c r="B16" s="468">
        <v>163058.84</v>
      </c>
      <c r="C16" s="469">
        <v>7856.21</v>
      </c>
      <c r="D16" s="469">
        <v>0</v>
      </c>
      <c r="E16" s="469">
        <v>0</v>
      </c>
      <c r="F16" s="469">
        <v>0</v>
      </c>
      <c r="G16" s="469">
        <v>2096.1999999999998</v>
      </c>
      <c r="H16" s="469">
        <v>4846.1499999999996</v>
      </c>
      <c r="I16" s="469">
        <v>7482.24</v>
      </c>
      <c r="J16" s="469"/>
      <c r="K16" s="470"/>
      <c r="M16" s="399" t="s">
        <v>243</v>
      </c>
      <c r="N16" s="469">
        <v>431.25</v>
      </c>
      <c r="O16" s="469">
        <v>0</v>
      </c>
      <c r="P16" s="472">
        <f>1772-33</f>
        <v>1739</v>
      </c>
      <c r="Q16" s="472">
        <v>117196.21</v>
      </c>
      <c r="R16" s="469">
        <v>0</v>
      </c>
      <c r="S16" s="472">
        <v>8237.42</v>
      </c>
      <c r="T16" s="472">
        <v>34127.980000000003</v>
      </c>
      <c r="U16" s="472">
        <v>220591.28</v>
      </c>
      <c r="V16" s="472">
        <v>22233.69</v>
      </c>
      <c r="W16" s="473">
        <f t="shared" si="0"/>
        <v>-381.21000000000004</v>
      </c>
      <c r="X16" s="475">
        <f t="shared" si="1"/>
        <v>45862.62999999999</v>
      </c>
      <c r="Y16" s="546">
        <f t="shared" si="2"/>
        <v>45481.419999999991</v>
      </c>
      <c r="BP16" t="s">
        <v>8</v>
      </c>
    </row>
    <row r="17" spans="1:68" ht="13.8">
      <c r="A17" s="399" t="s">
        <v>153</v>
      </c>
      <c r="B17" s="468">
        <v>123237.81</v>
      </c>
      <c r="C17" s="469"/>
      <c r="D17" s="469">
        <v>0</v>
      </c>
      <c r="E17" s="469">
        <v>0</v>
      </c>
      <c r="F17" s="469">
        <v>0</v>
      </c>
      <c r="G17" s="469">
        <v>2247.1</v>
      </c>
      <c r="H17" s="469">
        <v>27976.93</v>
      </c>
      <c r="I17" s="469">
        <v>3800.79</v>
      </c>
      <c r="J17" s="469"/>
      <c r="K17" s="470"/>
      <c r="M17" s="402" t="s">
        <v>153</v>
      </c>
      <c r="N17" s="469">
        <v>431.25</v>
      </c>
      <c r="O17" s="469">
        <v>0</v>
      </c>
      <c r="P17" s="472">
        <f>42086.76-10133.73</f>
        <v>31953.030000000002</v>
      </c>
      <c r="Q17" s="472">
        <v>132490.65</v>
      </c>
      <c r="R17" s="469">
        <v>0</v>
      </c>
      <c r="S17" s="472"/>
      <c r="T17" s="472">
        <v>65037.61</v>
      </c>
      <c r="U17" s="472">
        <v>420380.31</v>
      </c>
      <c r="V17" s="472">
        <v>23215.599999999999</v>
      </c>
      <c r="W17" s="473">
        <f t="shared" si="0"/>
        <v>0</v>
      </c>
      <c r="X17" s="475">
        <f t="shared" si="1"/>
        <v>-9252.8399999999965</v>
      </c>
      <c r="Y17" s="546">
        <f t="shared" si="2"/>
        <v>-9252.8399999999965</v>
      </c>
      <c r="BP17" t="s">
        <v>24</v>
      </c>
    </row>
    <row r="18" spans="1:68" ht="13.8">
      <c r="A18" s="399" t="s">
        <v>147</v>
      </c>
      <c r="B18" s="468">
        <v>51984.959999999999</v>
      </c>
      <c r="C18" s="469"/>
      <c r="D18" s="469">
        <v>0</v>
      </c>
      <c r="E18" s="469">
        <v>0</v>
      </c>
      <c r="F18" s="469">
        <v>0</v>
      </c>
      <c r="G18" s="469"/>
      <c r="H18" s="469">
        <v>7271.54</v>
      </c>
      <c r="I18" s="469"/>
      <c r="J18" s="469"/>
      <c r="K18" s="470"/>
      <c r="M18" s="402" t="s">
        <v>147</v>
      </c>
      <c r="N18" s="469">
        <v>1387.5</v>
      </c>
      <c r="O18" s="469">
        <v>0</v>
      </c>
      <c r="P18" s="472">
        <v>1553</v>
      </c>
      <c r="Q18" s="472">
        <v>65734.320000000007</v>
      </c>
      <c r="R18" s="469">
        <v>0</v>
      </c>
      <c r="S18" s="472">
        <v>13.43</v>
      </c>
      <c r="T18" s="472"/>
      <c r="U18" s="472"/>
      <c r="V18" s="472">
        <v>4489.46</v>
      </c>
      <c r="W18" s="473">
        <f t="shared" si="0"/>
        <v>-13.43</v>
      </c>
      <c r="X18" s="475">
        <f t="shared" si="1"/>
        <v>-13749.360000000008</v>
      </c>
      <c r="Y18" s="546">
        <f t="shared" si="2"/>
        <v>-13762.790000000008</v>
      </c>
      <c r="BP18" t="s">
        <v>10</v>
      </c>
    </row>
    <row r="19" spans="1:68" ht="13.8">
      <c r="A19" s="399" t="s">
        <v>204</v>
      </c>
      <c r="B19" s="468">
        <v>0</v>
      </c>
      <c r="C19" s="469"/>
      <c r="D19" s="469">
        <v>0</v>
      </c>
      <c r="E19" s="469">
        <v>0</v>
      </c>
      <c r="F19" s="469">
        <v>0</v>
      </c>
      <c r="G19" s="469">
        <v>3500.73</v>
      </c>
      <c r="H19" s="469">
        <v>7513.46</v>
      </c>
      <c r="I19" s="469">
        <v>7707.83</v>
      </c>
      <c r="J19" s="469"/>
      <c r="K19" s="470">
        <v>620</v>
      </c>
      <c r="M19" s="402" t="s">
        <v>204</v>
      </c>
      <c r="N19" s="469">
        <v>1293.75</v>
      </c>
      <c r="O19" s="469">
        <v>0</v>
      </c>
      <c r="P19" s="472">
        <f>1799-9</f>
        <v>1790</v>
      </c>
      <c r="Q19" s="472"/>
      <c r="R19" s="469">
        <v>0</v>
      </c>
      <c r="S19" s="472"/>
      <c r="T19" s="472">
        <v>19931.240000000002</v>
      </c>
      <c r="U19" s="472">
        <v>128828.58</v>
      </c>
      <c r="V19" s="472">
        <v>79366.42</v>
      </c>
      <c r="W19" s="473">
        <f t="shared" si="0"/>
        <v>0</v>
      </c>
      <c r="X19" s="475">
        <f t="shared" si="1"/>
        <v>0</v>
      </c>
      <c r="Y19" s="546">
        <f t="shared" si="2"/>
        <v>0</v>
      </c>
      <c r="BP19" t="s">
        <v>11</v>
      </c>
    </row>
    <row r="20" spans="1:68" ht="13.8">
      <c r="A20" s="399" t="s">
        <v>173</v>
      </c>
      <c r="B20" s="468">
        <v>8708.82</v>
      </c>
      <c r="C20" s="469"/>
      <c r="D20" s="469">
        <v>0</v>
      </c>
      <c r="E20" s="469">
        <v>0</v>
      </c>
      <c r="F20" s="469">
        <v>0</v>
      </c>
      <c r="G20" s="469"/>
      <c r="H20" s="469"/>
      <c r="I20" s="469"/>
      <c r="J20" s="469"/>
      <c r="K20" s="470"/>
      <c r="M20" s="402" t="s">
        <v>173</v>
      </c>
      <c r="N20" s="469"/>
      <c r="O20" s="469">
        <v>0</v>
      </c>
      <c r="P20" s="472"/>
      <c r="Q20" s="472">
        <v>8142.7</v>
      </c>
      <c r="R20" s="469">
        <v>0</v>
      </c>
      <c r="S20" s="472"/>
      <c r="T20" s="472"/>
      <c r="U20" s="472"/>
      <c r="V20" s="472">
        <v>1584.62</v>
      </c>
      <c r="W20" s="473">
        <f t="shared" si="0"/>
        <v>0</v>
      </c>
      <c r="X20" s="475">
        <f t="shared" si="1"/>
        <v>566.11999999999989</v>
      </c>
      <c r="Y20" s="529">
        <f t="shared" si="2"/>
        <v>566.11999999999989</v>
      </c>
    </row>
    <row r="21" spans="1:68" ht="13.8">
      <c r="A21" s="399" t="s">
        <v>176</v>
      </c>
      <c r="B21" s="468">
        <v>0</v>
      </c>
      <c r="C21" s="469"/>
      <c r="D21" s="469">
        <v>0</v>
      </c>
      <c r="E21" s="469">
        <v>0</v>
      </c>
      <c r="F21" s="469">
        <v>0</v>
      </c>
      <c r="G21" s="469"/>
      <c r="H21" s="469">
        <v>3323.07</v>
      </c>
      <c r="I21" s="469"/>
      <c r="J21" s="469"/>
      <c r="K21" s="470"/>
      <c r="M21" s="402" t="s">
        <v>176</v>
      </c>
      <c r="N21" s="469"/>
      <c r="O21" s="469">
        <v>0</v>
      </c>
      <c r="P21" s="472"/>
      <c r="Q21" s="472"/>
      <c r="R21" s="469">
        <v>0</v>
      </c>
      <c r="S21" s="472"/>
      <c r="T21" s="472"/>
      <c r="U21" s="472"/>
      <c r="V21" s="472">
        <v>392.31</v>
      </c>
      <c r="W21" s="473">
        <f t="shared" si="0"/>
        <v>0</v>
      </c>
      <c r="X21" s="475">
        <f t="shared" si="1"/>
        <v>0</v>
      </c>
      <c r="Y21" s="546">
        <f t="shared" si="2"/>
        <v>0</v>
      </c>
    </row>
    <row r="22" spans="1:68" ht="13.8">
      <c r="A22" s="399" t="s">
        <v>177</v>
      </c>
      <c r="B22" s="468">
        <v>0</v>
      </c>
      <c r="C22" s="469"/>
      <c r="D22" s="469">
        <v>0</v>
      </c>
      <c r="E22" s="469">
        <v>0</v>
      </c>
      <c r="F22" s="469">
        <v>0</v>
      </c>
      <c r="G22" s="469"/>
      <c r="H22" s="469"/>
      <c r="I22" s="469"/>
      <c r="J22" s="469"/>
      <c r="K22" s="470"/>
      <c r="M22" s="402" t="s">
        <v>177</v>
      </c>
      <c r="N22" s="469"/>
      <c r="O22" s="469">
        <v>0</v>
      </c>
      <c r="P22" s="472"/>
      <c r="Q22" s="472"/>
      <c r="R22" s="469">
        <v>0</v>
      </c>
      <c r="S22" s="472"/>
      <c r="T22" s="472"/>
      <c r="U22" s="472"/>
      <c r="V22" s="472">
        <v>1546.15</v>
      </c>
      <c r="W22" s="473">
        <f t="shared" si="0"/>
        <v>0</v>
      </c>
      <c r="X22" s="475">
        <f t="shared" si="1"/>
        <v>0</v>
      </c>
      <c r="Y22" s="546">
        <f t="shared" si="2"/>
        <v>0</v>
      </c>
    </row>
    <row r="23" spans="1:68" ht="13.8">
      <c r="A23" s="399" t="s">
        <v>178</v>
      </c>
      <c r="B23" s="468">
        <v>0</v>
      </c>
      <c r="C23" s="469">
        <v>0.34</v>
      </c>
      <c r="D23" s="469">
        <v>0</v>
      </c>
      <c r="E23" s="469">
        <v>0</v>
      </c>
      <c r="F23" s="469">
        <v>0</v>
      </c>
      <c r="G23" s="469"/>
      <c r="H23" s="469"/>
      <c r="I23" s="469"/>
      <c r="J23" s="469"/>
      <c r="K23" s="470"/>
      <c r="M23" s="402" t="s">
        <v>178</v>
      </c>
      <c r="N23" s="469"/>
      <c r="O23" s="469">
        <v>0</v>
      </c>
      <c r="P23" s="472"/>
      <c r="Q23" s="472"/>
      <c r="R23" s="469">
        <v>0</v>
      </c>
      <c r="S23" s="472"/>
      <c r="T23" s="472"/>
      <c r="U23" s="472"/>
      <c r="V23" s="472">
        <v>2029.72</v>
      </c>
      <c r="W23" s="473">
        <f t="shared" si="0"/>
        <v>0.34</v>
      </c>
      <c r="X23" s="475">
        <f t="shared" si="1"/>
        <v>0</v>
      </c>
      <c r="Y23" s="546">
        <f t="shared" si="2"/>
        <v>0.34</v>
      </c>
    </row>
    <row r="24" spans="1:68" ht="13.8">
      <c r="A24" s="399" t="s">
        <v>179</v>
      </c>
      <c r="B24" s="468">
        <v>126571.7</v>
      </c>
      <c r="C24" s="469"/>
      <c r="D24" s="469">
        <v>0</v>
      </c>
      <c r="E24" s="469">
        <v>0</v>
      </c>
      <c r="F24" s="469">
        <v>0</v>
      </c>
      <c r="G24" s="469"/>
      <c r="H24" s="469"/>
      <c r="I24" s="469"/>
      <c r="J24" s="469"/>
      <c r="K24" s="470"/>
      <c r="M24" s="402" t="s">
        <v>179</v>
      </c>
      <c r="N24" s="469">
        <v>431.25</v>
      </c>
      <c r="O24" s="469">
        <v>0</v>
      </c>
      <c r="P24" s="472"/>
      <c r="Q24" s="472">
        <v>53064.63</v>
      </c>
      <c r="R24" s="469">
        <v>0</v>
      </c>
      <c r="S24" s="472"/>
      <c r="T24" s="472"/>
      <c r="U24" s="472"/>
      <c r="V24" s="472">
        <v>1242.31</v>
      </c>
      <c r="W24" s="473">
        <f t="shared" si="0"/>
        <v>0</v>
      </c>
      <c r="X24" s="475">
        <f t="shared" si="1"/>
        <v>73507.070000000007</v>
      </c>
      <c r="Y24" s="546">
        <f t="shared" si="2"/>
        <v>73507.070000000007</v>
      </c>
    </row>
    <row r="25" spans="1:68" ht="13.8">
      <c r="A25" s="399" t="s">
        <v>181</v>
      </c>
      <c r="B25" s="468">
        <v>0</v>
      </c>
      <c r="C25" s="469"/>
      <c r="D25" s="469">
        <v>0</v>
      </c>
      <c r="E25" s="469">
        <v>0</v>
      </c>
      <c r="F25" s="469">
        <v>0</v>
      </c>
      <c r="G25" s="469"/>
      <c r="H25" s="469"/>
      <c r="I25" s="469"/>
      <c r="J25" s="469"/>
      <c r="K25" s="470"/>
      <c r="M25" s="402" t="s">
        <v>181</v>
      </c>
      <c r="N25" s="469">
        <v>431.25</v>
      </c>
      <c r="O25" s="469">
        <v>0</v>
      </c>
      <c r="P25" s="472"/>
      <c r="Q25" s="472"/>
      <c r="R25" s="469">
        <v>0</v>
      </c>
      <c r="S25" s="472"/>
      <c r="T25" s="472"/>
      <c r="U25" s="472"/>
      <c r="V25" s="472">
        <v>450</v>
      </c>
      <c r="W25" s="473">
        <f t="shared" si="0"/>
        <v>0</v>
      </c>
      <c r="X25" s="475">
        <f t="shared" si="1"/>
        <v>0</v>
      </c>
      <c r="Y25" s="546">
        <f t="shared" si="2"/>
        <v>0</v>
      </c>
    </row>
    <row r="26" spans="1:68" ht="13.8">
      <c r="A26" s="399" t="s">
        <v>182</v>
      </c>
      <c r="B26" s="468">
        <v>0</v>
      </c>
      <c r="C26" s="469"/>
      <c r="D26" s="469">
        <v>0</v>
      </c>
      <c r="E26" s="469">
        <v>0</v>
      </c>
      <c r="F26" s="469">
        <v>0</v>
      </c>
      <c r="G26" s="469"/>
      <c r="H26" s="469"/>
      <c r="I26" s="469"/>
      <c r="J26" s="469"/>
      <c r="K26" s="470"/>
      <c r="M26" s="402" t="s">
        <v>182</v>
      </c>
      <c r="N26" s="469"/>
      <c r="O26" s="469">
        <v>0</v>
      </c>
      <c r="P26" s="472"/>
      <c r="Q26" s="472"/>
      <c r="R26" s="469">
        <v>0</v>
      </c>
      <c r="S26" s="472"/>
      <c r="T26" s="472"/>
      <c r="U26" s="472"/>
      <c r="V26" s="472">
        <v>145.44999999999999</v>
      </c>
      <c r="W26" s="473">
        <f t="shared" si="0"/>
        <v>0</v>
      </c>
      <c r="X26" s="475">
        <f t="shared" si="1"/>
        <v>0</v>
      </c>
      <c r="Y26" s="529">
        <f t="shared" si="2"/>
        <v>0</v>
      </c>
    </row>
    <row r="27" spans="1:68" ht="13.8">
      <c r="A27" s="399" t="s">
        <v>199</v>
      </c>
      <c r="B27" s="468">
        <v>0</v>
      </c>
      <c r="C27" s="469"/>
      <c r="D27" s="469">
        <v>0</v>
      </c>
      <c r="E27" s="469">
        <v>0</v>
      </c>
      <c r="F27" s="469">
        <v>0</v>
      </c>
      <c r="G27" s="469"/>
      <c r="H27" s="469"/>
      <c r="I27" s="469"/>
      <c r="J27" s="469"/>
      <c r="K27" s="470"/>
      <c r="M27" s="402" t="s">
        <v>199</v>
      </c>
      <c r="N27" s="469">
        <v>431.25</v>
      </c>
      <c r="O27" s="469">
        <v>0</v>
      </c>
      <c r="P27" s="472"/>
      <c r="Q27" s="472"/>
      <c r="R27" s="469">
        <v>0</v>
      </c>
      <c r="S27" s="472"/>
      <c r="T27" s="472"/>
      <c r="U27" s="472"/>
      <c r="V27" s="472">
        <v>846.15</v>
      </c>
      <c r="W27" s="473">
        <f t="shared" si="0"/>
        <v>0</v>
      </c>
      <c r="X27" s="475">
        <f t="shared" si="1"/>
        <v>0</v>
      </c>
      <c r="Y27" s="529">
        <f t="shared" si="2"/>
        <v>0</v>
      </c>
    </row>
    <row r="28" spans="1:68" ht="13.8">
      <c r="A28" s="399" t="s">
        <v>235</v>
      </c>
      <c r="B28" s="468">
        <v>0</v>
      </c>
      <c r="C28" s="469"/>
      <c r="D28" s="469">
        <v>0</v>
      </c>
      <c r="E28" s="469">
        <v>0</v>
      </c>
      <c r="F28" s="469">
        <v>0</v>
      </c>
      <c r="G28" s="469"/>
      <c r="H28" s="469"/>
      <c r="I28" s="469"/>
      <c r="J28" s="469"/>
      <c r="K28" s="470"/>
      <c r="M28" s="402" t="s">
        <v>235</v>
      </c>
      <c r="N28" s="469"/>
      <c r="O28" s="469">
        <v>0</v>
      </c>
      <c r="P28" s="472"/>
      <c r="Q28" s="472">
        <v>15540.32</v>
      </c>
      <c r="R28" s="469">
        <v>0</v>
      </c>
      <c r="S28" s="472"/>
      <c r="T28" s="472"/>
      <c r="U28" s="472"/>
      <c r="V28" s="472">
        <v>1970.63</v>
      </c>
      <c r="W28" s="473">
        <f t="shared" si="0"/>
        <v>0</v>
      </c>
      <c r="X28" s="475">
        <f t="shared" si="1"/>
        <v>-15540.32</v>
      </c>
      <c r="Y28" s="546">
        <f t="shared" si="2"/>
        <v>-15540.32</v>
      </c>
    </row>
    <row r="29" spans="1:68" ht="13.8">
      <c r="A29" s="399" t="s">
        <v>241</v>
      </c>
      <c r="B29" s="468">
        <v>0</v>
      </c>
      <c r="C29" s="469"/>
      <c r="D29" s="469">
        <v>0</v>
      </c>
      <c r="E29" s="469">
        <v>0</v>
      </c>
      <c r="F29" s="469">
        <v>0</v>
      </c>
      <c r="G29" s="469"/>
      <c r="H29" s="469"/>
      <c r="I29" s="469"/>
      <c r="J29" s="469"/>
      <c r="K29" s="470"/>
      <c r="M29" s="399" t="s">
        <v>241</v>
      </c>
      <c r="N29" s="469">
        <v>862.5</v>
      </c>
      <c r="O29" s="469">
        <v>0</v>
      </c>
      <c r="P29" s="472"/>
      <c r="Q29" s="472"/>
      <c r="R29" s="469">
        <v>0</v>
      </c>
      <c r="S29" s="472"/>
      <c r="T29" s="472"/>
      <c r="U29" s="472"/>
      <c r="V29" s="472">
        <v>1418.18</v>
      </c>
      <c r="W29" s="473">
        <f t="shared" si="0"/>
        <v>0</v>
      </c>
      <c r="X29" s="475">
        <f t="shared" si="1"/>
        <v>0</v>
      </c>
      <c r="Y29" s="546">
        <f t="shared" si="2"/>
        <v>0</v>
      </c>
    </row>
    <row r="30" spans="1:68" ht="13.8">
      <c r="A30" s="401"/>
      <c r="B30" s="468">
        <v>0</v>
      </c>
      <c r="C30" s="469"/>
      <c r="D30" s="469">
        <v>0</v>
      </c>
      <c r="E30" s="469">
        <v>0</v>
      </c>
      <c r="F30" s="469">
        <v>0</v>
      </c>
      <c r="G30" s="469"/>
      <c r="H30" s="469"/>
      <c r="I30" s="469"/>
      <c r="J30" s="469"/>
      <c r="K30" s="470"/>
      <c r="M30" s="401"/>
      <c r="N30" s="469"/>
      <c r="O30" s="469">
        <v>0</v>
      </c>
      <c r="P30" s="472"/>
      <c r="Q30" s="472"/>
      <c r="R30" s="469">
        <v>0</v>
      </c>
      <c r="S30" s="472"/>
      <c r="T30" s="472"/>
      <c r="U30" s="472"/>
      <c r="V30" s="472"/>
      <c r="W30" s="473">
        <f t="shared" si="0"/>
        <v>0</v>
      </c>
      <c r="X30" s="475">
        <f t="shared" si="1"/>
        <v>0</v>
      </c>
      <c r="Y30" s="529">
        <f t="shared" si="2"/>
        <v>0</v>
      </c>
    </row>
    <row r="31" spans="1:68" ht="13.8">
      <c r="A31" s="403" t="s">
        <v>357</v>
      </c>
      <c r="B31" s="468">
        <v>34893.14</v>
      </c>
      <c r="C31" s="469">
        <v>47790.5</v>
      </c>
      <c r="D31" s="469">
        <v>0</v>
      </c>
      <c r="E31" s="469">
        <v>0</v>
      </c>
      <c r="F31" s="469">
        <v>0</v>
      </c>
      <c r="G31" s="469">
        <v>1396.2</v>
      </c>
      <c r="H31" s="469"/>
      <c r="I31" s="469">
        <v>2164.2399999999998</v>
      </c>
      <c r="J31" s="469"/>
      <c r="K31" s="470"/>
      <c r="M31" s="401" t="s">
        <v>358</v>
      </c>
      <c r="N31" s="469">
        <v>431.25</v>
      </c>
      <c r="O31" s="469">
        <v>0</v>
      </c>
      <c r="P31" s="472">
        <f>329-112.34</f>
        <v>216.66</v>
      </c>
      <c r="Q31" s="472">
        <v>43572.18</v>
      </c>
      <c r="R31" s="469">
        <v>0</v>
      </c>
      <c r="S31" s="472">
        <v>14402.45</v>
      </c>
      <c r="T31" s="472">
        <v>57428.54</v>
      </c>
      <c r="U31" s="472">
        <v>371197.95</v>
      </c>
      <c r="V31" s="472">
        <v>13866.29</v>
      </c>
      <c r="W31" s="473">
        <f t="shared" si="0"/>
        <v>33388.050000000003</v>
      </c>
      <c r="X31" s="475">
        <f t="shared" si="1"/>
        <v>-8679.0400000000009</v>
      </c>
      <c r="Y31" s="546">
        <f t="shared" si="2"/>
        <v>24709.010000000002</v>
      </c>
    </row>
    <row r="32" spans="1:68" ht="13.8">
      <c r="A32" s="403" t="s">
        <v>362</v>
      </c>
      <c r="B32" s="468">
        <v>0</v>
      </c>
      <c r="C32" s="469">
        <v>0.6</v>
      </c>
      <c r="D32" s="469">
        <v>0</v>
      </c>
      <c r="E32" s="469">
        <v>0</v>
      </c>
      <c r="F32" s="469">
        <v>0</v>
      </c>
      <c r="G32" s="469"/>
      <c r="H32" s="469"/>
      <c r="I32" s="469"/>
      <c r="J32" s="469"/>
      <c r="K32" s="470"/>
      <c r="M32" s="401" t="s">
        <v>362</v>
      </c>
      <c r="N32" s="469"/>
      <c r="O32" s="469">
        <v>0</v>
      </c>
      <c r="P32" s="472"/>
      <c r="Q32" s="472"/>
      <c r="R32" s="469">
        <v>0</v>
      </c>
      <c r="S32" s="472"/>
      <c r="T32" s="472"/>
      <c r="U32" s="472"/>
      <c r="V32" s="472">
        <v>1209.0899999999999</v>
      </c>
      <c r="W32" s="473">
        <f t="shared" si="0"/>
        <v>0.6</v>
      </c>
      <c r="X32" s="475">
        <f t="shared" si="1"/>
        <v>0</v>
      </c>
      <c r="Y32" s="546">
        <f t="shared" si="2"/>
        <v>0.6</v>
      </c>
    </row>
    <row r="33" spans="1:33" ht="13.8">
      <c r="A33" s="403" t="s">
        <v>361</v>
      </c>
      <c r="B33" s="468">
        <v>34415.69</v>
      </c>
      <c r="C33" s="469">
        <v>0</v>
      </c>
      <c r="D33" s="469">
        <v>0</v>
      </c>
      <c r="E33" s="469">
        <v>0</v>
      </c>
      <c r="F33" s="469">
        <v>0</v>
      </c>
      <c r="G33" s="469"/>
      <c r="H33" s="469">
        <v>1421.54</v>
      </c>
      <c r="I33" s="469"/>
      <c r="J33" s="469"/>
      <c r="K33" s="470"/>
      <c r="M33" s="401" t="s">
        <v>361</v>
      </c>
      <c r="N33" s="469"/>
      <c r="O33" s="469">
        <v>0</v>
      </c>
      <c r="P33" s="472">
        <v>159</v>
      </c>
      <c r="Q33" s="472">
        <v>36844</v>
      </c>
      <c r="R33" s="469">
        <v>0</v>
      </c>
      <c r="S33" s="472"/>
      <c r="T33" s="472"/>
      <c r="U33" s="472"/>
      <c r="V33" s="472">
        <v>4073.28</v>
      </c>
      <c r="W33" s="473">
        <f t="shared" si="0"/>
        <v>0</v>
      </c>
      <c r="X33" s="475">
        <f t="shared" si="1"/>
        <v>-2428.3099999999977</v>
      </c>
      <c r="Y33" s="546">
        <f t="shared" si="2"/>
        <v>-2428.3099999999977</v>
      </c>
    </row>
    <row r="34" spans="1:33" ht="13.8">
      <c r="A34" s="403" t="s">
        <v>234</v>
      </c>
      <c r="B34" s="468">
        <v>0</v>
      </c>
      <c r="C34" s="469">
        <v>0</v>
      </c>
      <c r="D34" s="469">
        <v>0</v>
      </c>
      <c r="E34" s="469">
        <v>0</v>
      </c>
      <c r="F34" s="469">
        <v>0</v>
      </c>
      <c r="G34" s="469"/>
      <c r="H34" s="469"/>
      <c r="I34" s="469"/>
      <c r="J34" s="469"/>
      <c r="K34" s="470"/>
      <c r="M34" s="401" t="s">
        <v>234</v>
      </c>
      <c r="N34" s="469"/>
      <c r="O34" s="469">
        <v>0</v>
      </c>
      <c r="P34" s="472"/>
      <c r="Q34" s="472"/>
      <c r="R34" s="469">
        <v>0</v>
      </c>
      <c r="S34" s="472"/>
      <c r="T34" s="472"/>
      <c r="U34" s="472"/>
      <c r="V34" s="472"/>
      <c r="W34" s="473">
        <f t="shared" si="0"/>
        <v>0</v>
      </c>
      <c r="X34" s="475">
        <f t="shared" si="1"/>
        <v>0</v>
      </c>
      <c r="Y34" s="529">
        <f t="shared" si="2"/>
        <v>0</v>
      </c>
    </row>
    <row r="35" spans="1:33" ht="14.4" thickBot="1">
      <c r="A35" s="108" t="s">
        <v>205</v>
      </c>
      <c r="B35" s="109">
        <f>SUM(B4:B34)</f>
        <v>1641640.6300000001</v>
      </c>
      <c r="C35" s="109">
        <f t="shared" ref="C35:K35" si="3">SUM(C4:C34)</f>
        <v>116665.02</v>
      </c>
      <c r="D35" s="109">
        <f t="shared" si="3"/>
        <v>0</v>
      </c>
      <c r="E35" s="109">
        <f t="shared" si="3"/>
        <v>0</v>
      </c>
      <c r="F35" s="109">
        <f t="shared" si="3"/>
        <v>0</v>
      </c>
      <c r="G35" s="109">
        <f t="shared" si="3"/>
        <v>46142.869999999995</v>
      </c>
      <c r="H35" s="109">
        <f t="shared" si="3"/>
        <v>162174.20000000001</v>
      </c>
      <c r="I35" s="109">
        <f t="shared" si="3"/>
        <v>41439.64</v>
      </c>
      <c r="J35" s="109">
        <f t="shared" si="3"/>
        <v>223453.29000000004</v>
      </c>
      <c r="K35" s="109">
        <f t="shared" si="3"/>
        <v>1111669.45</v>
      </c>
      <c r="M35" s="110" t="s">
        <v>194</v>
      </c>
      <c r="N35" s="109">
        <f t="shared" ref="N35:X35" si="4">SUM(N4:N34)</f>
        <v>33150</v>
      </c>
      <c r="O35" s="109">
        <f t="shared" si="4"/>
        <v>0</v>
      </c>
      <c r="P35" s="109">
        <f t="shared" si="4"/>
        <v>138781.04999999999</v>
      </c>
      <c r="Q35" s="109">
        <f t="shared" si="4"/>
        <v>1487433.42</v>
      </c>
      <c r="R35" s="109">
        <f t="shared" si="4"/>
        <v>13241.24</v>
      </c>
      <c r="S35" s="109">
        <f t="shared" si="4"/>
        <v>83671.599999999991</v>
      </c>
      <c r="T35" s="109">
        <f t="shared" si="4"/>
        <v>433668.42</v>
      </c>
      <c r="U35" s="109">
        <f t="shared" si="4"/>
        <v>2803080.6300000004</v>
      </c>
      <c r="V35" s="109">
        <f t="shared" si="4"/>
        <v>901085.16999999993</v>
      </c>
      <c r="W35" s="109">
        <f t="shared" si="4"/>
        <v>32993.42</v>
      </c>
      <c r="X35" s="109">
        <f t="shared" si="4"/>
        <v>154207.20999999996</v>
      </c>
      <c r="Y35" s="529">
        <f t="shared" si="2"/>
        <v>187200.62999999995</v>
      </c>
    </row>
    <row r="36" spans="1:33" ht="13.8">
      <c r="A36" s="14"/>
      <c r="B36" s="72">
        <f>1641640.63-B35</f>
        <v>0</v>
      </c>
      <c r="C36" s="8">
        <f>116665.02-C35</f>
        <v>0</v>
      </c>
      <c r="D36" s="8"/>
      <c r="E36" s="8"/>
      <c r="F36" s="8"/>
      <c r="G36" s="8">
        <f>46142.87-G35</f>
        <v>0</v>
      </c>
      <c r="H36" s="8">
        <f>162174.2-H35</f>
        <v>0</v>
      </c>
      <c r="I36" s="8">
        <f>41439.64-I35</f>
        <v>0</v>
      </c>
      <c r="J36" s="8"/>
      <c r="K36" s="8"/>
      <c r="M36" s="9"/>
      <c r="N36" s="8">
        <f>33150-N35</f>
        <v>0</v>
      </c>
      <c r="O36" s="8"/>
      <c r="P36" s="8">
        <f>174506.62-35725.57-P35</f>
        <v>0</v>
      </c>
      <c r="Q36" s="8">
        <f>1487433.42-Q35</f>
        <v>0</v>
      </c>
      <c r="R36" s="8">
        <f>13241.24-R35</f>
        <v>0</v>
      </c>
      <c r="S36" s="8">
        <f>83671.6-S35</f>
        <v>0</v>
      </c>
      <c r="T36" s="8"/>
      <c r="U36" s="8">
        <f>2803080.63-U35</f>
        <v>0</v>
      </c>
      <c r="V36" s="8">
        <f>901085.17-V35</f>
        <v>0</v>
      </c>
      <c r="W36" s="8"/>
      <c r="X36" s="8"/>
      <c r="Y36" s="8"/>
    </row>
    <row r="37" spans="1:33" ht="13.8">
      <c r="A37" s="14"/>
      <c r="B37" s="72"/>
      <c r="C37" s="8"/>
      <c r="D37" s="8"/>
      <c r="E37" s="8"/>
      <c r="F37" s="8"/>
      <c r="G37" s="8"/>
      <c r="H37" s="8"/>
      <c r="I37" s="8"/>
      <c r="J37" s="8"/>
      <c r="K37" s="8"/>
      <c r="M37" s="50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33" ht="14.4" thickBot="1">
      <c r="A38" s="14"/>
      <c r="B38" s="72"/>
      <c r="C38" s="58" t="s">
        <v>154</v>
      </c>
      <c r="D38" s="58" t="s">
        <v>155</v>
      </c>
      <c r="E38" s="8"/>
      <c r="F38" s="8"/>
      <c r="G38" s="8"/>
      <c r="H38" s="8"/>
      <c r="I38" s="8"/>
      <c r="J38" s="8"/>
      <c r="K38" s="8"/>
      <c r="M38" s="9"/>
      <c r="N38" s="8"/>
      <c r="O38" s="8"/>
      <c r="V38" s="20"/>
      <c r="X38" s="20"/>
      <c r="Y38" s="20"/>
      <c r="Z38" s="6"/>
      <c r="AA38" s="6"/>
      <c r="AB38" s="6"/>
    </row>
    <row r="39" spans="1:33" ht="21">
      <c r="A39" s="479" t="s">
        <v>184</v>
      </c>
      <c r="B39" s="480">
        <f t="shared" ref="B39:B64" si="5">V4-G4-H4-I4</f>
        <v>171771.08000000002</v>
      </c>
      <c r="C39" s="481">
        <v>1141810.82</v>
      </c>
      <c r="D39" s="482">
        <f>B39+C39</f>
        <v>1313581.9000000001</v>
      </c>
      <c r="Z39" s="6"/>
      <c r="AA39" s="6"/>
      <c r="AB39" s="6"/>
      <c r="AC39" s="6"/>
      <c r="AD39" s="6"/>
      <c r="AE39" s="6"/>
      <c r="AF39" s="6"/>
      <c r="AG39" s="6"/>
    </row>
    <row r="40" spans="1:33" ht="21">
      <c r="A40" s="483" t="s">
        <v>36</v>
      </c>
      <c r="B40" s="484">
        <f t="shared" si="5"/>
        <v>102697.15999999999</v>
      </c>
      <c r="C40" s="485">
        <v>295080.51</v>
      </c>
      <c r="D40" s="486">
        <f>B40+C40</f>
        <v>397777.67</v>
      </c>
      <c r="J40" s="16"/>
      <c r="L40" s="16"/>
      <c r="R40" s="20"/>
      <c r="X40" s="20"/>
      <c r="Y40" s="20"/>
      <c r="Z40" s="6"/>
      <c r="AA40" s="6"/>
      <c r="AB40" s="6"/>
      <c r="AC40" s="6"/>
      <c r="AD40" s="6"/>
      <c r="AE40" s="6"/>
      <c r="AF40" s="6"/>
    </row>
    <row r="41" spans="1:33" ht="21">
      <c r="A41" s="483" t="s">
        <v>24</v>
      </c>
      <c r="B41" s="484">
        <f t="shared" si="5"/>
        <v>68345.03</v>
      </c>
      <c r="C41" s="485">
        <v>300430.86</v>
      </c>
      <c r="D41" s="486">
        <f t="shared" ref="D41:D51" si="6">B41+C41</f>
        <v>368775.89</v>
      </c>
      <c r="H41" s="16"/>
      <c r="I41" s="16"/>
      <c r="P41" s="20"/>
      <c r="Z41" s="6"/>
      <c r="AA41" s="6"/>
      <c r="AB41" s="6"/>
      <c r="AC41" s="6"/>
      <c r="AD41" s="6"/>
      <c r="AE41" s="6"/>
      <c r="AF41" s="6"/>
    </row>
    <row r="42" spans="1:33" ht="21">
      <c r="A42" s="483" t="s">
        <v>25</v>
      </c>
      <c r="B42" s="484">
        <f t="shared" si="5"/>
        <v>24665.439999999999</v>
      </c>
      <c r="C42" s="485">
        <v>220011.34</v>
      </c>
      <c r="D42" s="486">
        <f t="shared" si="6"/>
        <v>244676.78</v>
      </c>
      <c r="L42" s="6"/>
      <c r="V42" s="20"/>
      <c r="Z42" s="6"/>
      <c r="AA42" s="6"/>
      <c r="AB42" s="6"/>
      <c r="AC42" s="6"/>
      <c r="AD42" s="6"/>
    </row>
    <row r="43" spans="1:33" ht="21">
      <c r="A43" s="483" t="s">
        <v>160</v>
      </c>
      <c r="B43" s="484">
        <f t="shared" si="5"/>
        <v>185722.28000000003</v>
      </c>
      <c r="C43" s="485">
        <v>265346.46999999997</v>
      </c>
      <c r="D43" s="486">
        <f t="shared" si="6"/>
        <v>451068.75</v>
      </c>
      <c r="H43" s="16"/>
      <c r="I43" s="16"/>
      <c r="K43" s="20"/>
      <c r="L43" s="95"/>
      <c r="N43" s="20"/>
      <c r="O43" s="20"/>
      <c r="Z43" s="6"/>
    </row>
    <row r="44" spans="1:33" ht="21">
      <c r="A44" s="483" t="s">
        <v>139</v>
      </c>
      <c r="B44" s="484">
        <f t="shared" si="5"/>
        <v>1240.3799999999997</v>
      </c>
      <c r="C44" s="485">
        <v>38053.61</v>
      </c>
      <c r="D44" s="486">
        <f t="shared" si="6"/>
        <v>39293.99</v>
      </c>
      <c r="Q44" s="20"/>
      <c r="Z44" s="6"/>
      <c r="AA44" s="6"/>
      <c r="AB44" s="6"/>
      <c r="AC44" s="6"/>
    </row>
    <row r="45" spans="1:33" ht="21">
      <c r="A45" s="483" t="s">
        <v>37</v>
      </c>
      <c r="B45" s="484">
        <f t="shared" si="5"/>
        <v>5108.0399999999991</v>
      </c>
      <c r="C45" s="487">
        <v>15137.82</v>
      </c>
      <c r="D45" s="488">
        <f t="shared" si="6"/>
        <v>20245.86</v>
      </c>
      <c r="I45" s="20"/>
      <c r="J45" s="95"/>
      <c r="K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33" ht="21">
      <c r="A46" s="483" t="s">
        <v>133</v>
      </c>
      <c r="B46" s="484">
        <f t="shared" si="5"/>
        <v>1993.47</v>
      </c>
      <c r="C46" s="485">
        <v>16173.57</v>
      </c>
      <c r="D46" s="486">
        <f t="shared" si="6"/>
        <v>18167.04</v>
      </c>
      <c r="I46" s="95"/>
      <c r="J46" s="20"/>
      <c r="K46" s="20"/>
      <c r="M46" s="20"/>
      <c r="Z46" s="6"/>
    </row>
    <row r="47" spans="1:33" ht="21">
      <c r="A47" s="483" t="s">
        <v>123</v>
      </c>
      <c r="B47" s="484">
        <f t="shared" si="5"/>
        <v>730.77</v>
      </c>
      <c r="C47" s="485">
        <v>10204.91</v>
      </c>
      <c r="D47" s="486">
        <f t="shared" si="6"/>
        <v>10935.68</v>
      </c>
      <c r="I47" s="95"/>
      <c r="Z47" s="6"/>
    </row>
    <row r="48" spans="1:33" ht="21">
      <c r="A48" s="483" t="s">
        <v>145</v>
      </c>
      <c r="B48" s="484">
        <f t="shared" si="5"/>
        <v>3973.5000000000005</v>
      </c>
      <c r="C48" s="485">
        <v>213158.9</v>
      </c>
      <c r="D48" s="486">
        <f t="shared" si="6"/>
        <v>217132.4</v>
      </c>
      <c r="I48" s="20"/>
    </row>
    <row r="49" spans="1:46" ht="21">
      <c r="A49" s="483" t="s">
        <v>124</v>
      </c>
      <c r="B49" s="484">
        <f t="shared" si="5"/>
        <v>9436.4699999999993</v>
      </c>
      <c r="C49" s="485">
        <v>18415</v>
      </c>
      <c r="D49" s="486">
        <f t="shared" si="6"/>
        <v>27851.47</v>
      </c>
      <c r="I49" s="20"/>
    </row>
    <row r="50" spans="1:46" ht="21">
      <c r="A50" s="483" t="s">
        <v>169</v>
      </c>
      <c r="B50" s="484">
        <f t="shared" si="5"/>
        <v>-1686.4900000000007</v>
      </c>
      <c r="C50" s="485">
        <v>377352.97</v>
      </c>
      <c r="D50" s="486">
        <f t="shared" si="6"/>
        <v>375666.48</v>
      </c>
      <c r="I50" s="20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1:46" ht="21">
      <c r="A51" s="489" t="s">
        <v>243</v>
      </c>
      <c r="B51" s="484">
        <f t="shared" si="5"/>
        <v>7809.0999999999985</v>
      </c>
      <c r="C51" s="485">
        <v>268978.33</v>
      </c>
      <c r="D51" s="486">
        <f t="shared" si="6"/>
        <v>276787.43</v>
      </c>
      <c r="I51" s="20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</row>
    <row r="52" spans="1:46" ht="21">
      <c r="A52" s="483" t="s">
        <v>175</v>
      </c>
      <c r="B52" s="484">
        <f t="shared" si="5"/>
        <v>-10809.220000000001</v>
      </c>
      <c r="C52" s="485">
        <v>617965.47</v>
      </c>
      <c r="D52" s="496">
        <f>B52+C52</f>
        <v>607156.25</v>
      </c>
      <c r="I52" s="20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ht="21">
      <c r="A53" s="483" t="s">
        <v>170</v>
      </c>
      <c r="B53" s="484">
        <f t="shared" si="5"/>
        <v>-2782.08</v>
      </c>
      <c r="C53" s="485">
        <v>45305.67</v>
      </c>
      <c r="D53" s="486">
        <f>B53+C53</f>
        <v>42523.59</v>
      </c>
      <c r="I53" s="20"/>
    </row>
    <row r="54" spans="1:46" ht="21">
      <c r="A54" s="483" t="s">
        <v>204</v>
      </c>
      <c r="B54" s="484">
        <f t="shared" si="5"/>
        <v>60644.399999999994</v>
      </c>
      <c r="C54" s="485">
        <v>164724.22</v>
      </c>
      <c r="D54" s="486">
        <f>B54+C54</f>
        <v>225368.62</v>
      </c>
      <c r="I54" s="20"/>
    </row>
    <row r="55" spans="1:46" ht="21">
      <c r="A55" s="483" t="s">
        <v>173</v>
      </c>
      <c r="B55" s="484">
        <f t="shared" si="5"/>
        <v>1584.62</v>
      </c>
      <c r="C55" s="485">
        <v>12724.8</v>
      </c>
      <c r="D55" s="486">
        <f>B55+C55</f>
        <v>14309.419999999998</v>
      </c>
      <c r="I55" s="20"/>
    </row>
    <row r="56" spans="1:46" ht="21">
      <c r="A56" s="483" t="s">
        <v>176</v>
      </c>
      <c r="B56" s="484">
        <f t="shared" si="5"/>
        <v>-2930.76</v>
      </c>
      <c r="C56" s="485">
        <v>22799.77</v>
      </c>
      <c r="D56" s="486">
        <f t="shared" ref="D56:D62" si="7">B56+C56</f>
        <v>19869.010000000002</v>
      </c>
      <c r="I56" s="20"/>
    </row>
    <row r="57" spans="1:46" ht="21">
      <c r="A57" s="483" t="s">
        <v>177</v>
      </c>
      <c r="B57" s="484">
        <f t="shared" si="5"/>
        <v>1546.15</v>
      </c>
      <c r="C57" s="485">
        <v>23723.69</v>
      </c>
      <c r="D57" s="486">
        <f t="shared" si="7"/>
        <v>25269.84</v>
      </c>
      <c r="I57" s="20"/>
    </row>
    <row r="58" spans="1:46" ht="21">
      <c r="A58" s="483" t="s">
        <v>178</v>
      </c>
      <c r="B58" s="484">
        <f t="shared" si="5"/>
        <v>2029.72</v>
      </c>
      <c r="C58" s="485">
        <v>6796.37</v>
      </c>
      <c r="D58" s="486">
        <f t="shared" si="7"/>
        <v>8826.09</v>
      </c>
      <c r="I58" s="20"/>
    </row>
    <row r="59" spans="1:46" ht="21">
      <c r="A59" s="483" t="s">
        <v>179</v>
      </c>
      <c r="B59" s="484">
        <f t="shared" si="5"/>
        <v>1242.31</v>
      </c>
      <c r="C59" s="485">
        <v>9800</v>
      </c>
      <c r="D59" s="486">
        <f t="shared" si="7"/>
        <v>11042.31</v>
      </c>
      <c r="I59" s="20"/>
    </row>
    <row r="60" spans="1:46" ht="21">
      <c r="A60" s="483" t="s">
        <v>181</v>
      </c>
      <c r="B60" s="484">
        <f t="shared" si="5"/>
        <v>450</v>
      </c>
      <c r="C60" s="485">
        <v>10173.34</v>
      </c>
      <c r="D60" s="486">
        <f t="shared" si="7"/>
        <v>10623.34</v>
      </c>
      <c r="I60" s="20"/>
    </row>
    <row r="61" spans="1:46" ht="21">
      <c r="A61" s="483" t="s">
        <v>182</v>
      </c>
      <c r="B61" s="484">
        <f t="shared" si="5"/>
        <v>145.44999999999999</v>
      </c>
      <c r="C61" s="485">
        <v>6896.89</v>
      </c>
      <c r="D61" s="486">
        <f t="shared" si="7"/>
        <v>7042.34</v>
      </c>
      <c r="I61" s="20"/>
    </row>
    <row r="62" spans="1:46" ht="21">
      <c r="A62" s="483" t="s">
        <v>187</v>
      </c>
      <c r="B62" s="484">
        <f t="shared" si="5"/>
        <v>846.15</v>
      </c>
      <c r="C62" s="485">
        <v>8200</v>
      </c>
      <c r="D62" s="486">
        <f t="shared" si="7"/>
        <v>9046.15</v>
      </c>
      <c r="I62" s="20"/>
    </row>
    <row r="63" spans="1:46" ht="21">
      <c r="A63" s="483" t="s">
        <v>233</v>
      </c>
      <c r="B63" s="484">
        <f t="shared" si="5"/>
        <v>1970.63</v>
      </c>
      <c r="C63" s="485">
        <v>29092.54</v>
      </c>
      <c r="D63" s="486">
        <f>B63+C63</f>
        <v>31063.170000000002</v>
      </c>
      <c r="I63" s="20"/>
    </row>
    <row r="64" spans="1:46" ht="21">
      <c r="A64" s="483" t="s">
        <v>240</v>
      </c>
      <c r="B64" s="484">
        <f t="shared" si="5"/>
        <v>1418.18</v>
      </c>
      <c r="C64" s="485">
        <v>25246.89</v>
      </c>
      <c r="D64" s="486">
        <f>B64+C64</f>
        <v>26665.07</v>
      </c>
      <c r="I64" s="20"/>
    </row>
    <row r="65" spans="1:29" ht="21">
      <c r="A65" s="490"/>
      <c r="B65" s="484"/>
      <c r="C65" s="491"/>
      <c r="D65" s="486"/>
      <c r="I65" s="20"/>
    </row>
    <row r="66" spans="1:29" ht="21.6" thickBot="1">
      <c r="A66" s="492" t="s">
        <v>357</v>
      </c>
      <c r="B66" s="484">
        <f>V31-G31-H31-I31</f>
        <v>10305.85</v>
      </c>
      <c r="C66" s="493">
        <v>464576.17</v>
      </c>
      <c r="D66" s="486">
        <f>B66+C66</f>
        <v>474882.01999999996</v>
      </c>
      <c r="I66" s="20"/>
    </row>
    <row r="67" spans="1:29" ht="21.6" thickBot="1">
      <c r="A67" s="492" t="s">
        <v>362</v>
      </c>
      <c r="B67" s="484">
        <f>V32-G32-H32-I32</f>
        <v>1209.0899999999999</v>
      </c>
      <c r="C67" s="493">
        <v>5549.22</v>
      </c>
      <c r="D67" s="486">
        <f>B67+C67</f>
        <v>6758.31</v>
      </c>
      <c r="I67" s="20"/>
    </row>
    <row r="68" spans="1:29" ht="21.6" thickBot="1">
      <c r="A68" s="492" t="s">
        <v>361</v>
      </c>
      <c r="B68" s="484">
        <f>V33-G33-H33-I33</f>
        <v>2651.7400000000002</v>
      </c>
      <c r="C68" s="493">
        <v>49050.11</v>
      </c>
      <c r="D68" s="486">
        <f>B68+C68</f>
        <v>51701.85</v>
      </c>
      <c r="I68" s="20"/>
    </row>
    <row r="69" spans="1:29" ht="21.6" thickBot="1">
      <c r="A69" s="492" t="s">
        <v>234</v>
      </c>
      <c r="B69" s="484">
        <f>V34-G34-H34-I34</f>
        <v>0</v>
      </c>
      <c r="C69" s="493">
        <v>0</v>
      </c>
      <c r="D69" s="486">
        <f>B69+C69</f>
        <v>0</v>
      </c>
      <c r="I69" s="20"/>
    </row>
    <row r="70" spans="1:29" ht="18" thickBot="1">
      <c r="C70" s="28">
        <f>SUM(C39:C69)</f>
        <v>4682780.26</v>
      </c>
      <c r="D70" s="59">
        <f>SUM(D39:D69)</f>
        <v>5334108.7199999979</v>
      </c>
      <c r="I70" s="20"/>
    </row>
    <row r="71" spans="1:29">
      <c r="C71" s="20">
        <f>4682780.26-C70</f>
        <v>0</v>
      </c>
      <c r="D71" s="20"/>
      <c r="I71" s="20"/>
    </row>
    <row r="72" spans="1:29">
      <c r="C72" s="20"/>
      <c r="D72" s="20"/>
      <c r="I72" s="20"/>
      <c r="Q72" s="20"/>
      <c r="W72" s="20"/>
      <c r="Z72" s="6"/>
      <c r="AA72" s="6"/>
      <c r="AB72" s="6"/>
      <c r="AC72" s="6"/>
    </row>
    <row r="73" spans="1:29">
      <c r="I73" s="20"/>
    </row>
    <row r="74" spans="1:29">
      <c r="I74" s="20"/>
      <c r="P74" s="20"/>
      <c r="R74" s="20"/>
      <c r="Z74" s="6"/>
      <c r="AA74" s="6"/>
    </row>
    <row r="75" spans="1:29">
      <c r="I75" s="20"/>
      <c r="J75" s="95"/>
      <c r="K75" s="20"/>
      <c r="L75" s="20"/>
      <c r="M75" s="95"/>
      <c r="N75" s="95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</sheetData>
  <autoFilter ref="M3:Y37" xr:uid="{00000000-0001-0000-3B00-000000000000}"/>
  <mergeCells count="8">
    <mergeCell ref="P1:P2"/>
    <mergeCell ref="R1:R2"/>
    <mergeCell ref="E1:E2"/>
    <mergeCell ref="F1:F2"/>
    <mergeCell ref="J1:J2"/>
    <mergeCell ref="K1:K2"/>
    <mergeCell ref="N1:N2"/>
    <mergeCell ref="O1:O2"/>
  </mergeCells>
  <hyperlinks>
    <hyperlink ref="M4" location="الادارة!A1" display="الإدارة" xr:uid="{00000000-0004-0000-3B00-000000000000}"/>
    <hyperlink ref="M5" location="العجوزة!A1" display="العجوزة" xr:uid="{00000000-0004-0000-3B00-000001000000}"/>
    <hyperlink ref="M6" location="اكتوبر!A1" display="أكتوبر" xr:uid="{00000000-0004-0000-3B00-000002000000}"/>
    <hyperlink ref="M7" location="البطل!A1" display="البطل" xr:uid="{00000000-0004-0000-3B00-000003000000}"/>
    <hyperlink ref="M8" location="م.نصر!A1" display="م.نصر" xr:uid="{00000000-0004-0000-3B00-000004000000}"/>
    <hyperlink ref="M9" location="السويدي!A1" display="السويدى" xr:uid="{00000000-0004-0000-3B00-000005000000}"/>
    <hyperlink ref="M10" location="رايه!A1" display="رايه" xr:uid="{00000000-0004-0000-3B00-000006000000}"/>
    <hyperlink ref="M11" location="اتصالات!A1" display="اتصالات" xr:uid="{00000000-0004-0000-3B00-000007000000}"/>
    <hyperlink ref="M12" location="'حازم حسن'!A1" display="حازم حسن" xr:uid="{00000000-0004-0000-3B00-000008000000}"/>
    <hyperlink ref="M28" location="CFC!A1" display="CFC" xr:uid="{00000000-0004-0000-3B00-000009000000}"/>
    <hyperlink ref="M13" location="'المنطقة الصناعية'!A1" display="المنطقة الصناعية" xr:uid="{00000000-0004-0000-3B00-00000A000000}"/>
    <hyperlink ref="M14" location="الخارجية!A1" display="الخارجية" xr:uid="{00000000-0004-0000-3B00-00000B000000}"/>
    <hyperlink ref="M15" location="التجمع!A1" display="التجمع 1" xr:uid="{00000000-0004-0000-3B00-00000C000000}"/>
    <hyperlink ref="M17" location="زايد!A1" display="زايد" xr:uid="{00000000-0004-0000-3B00-00000D000000}"/>
    <hyperlink ref="M18" location="'ساند بيتش'!A1" display="ساند بيتش" xr:uid="{00000000-0004-0000-3B00-00000E000000}"/>
    <hyperlink ref="M19" location="دولفين!A1" display="دولفين" xr:uid="{00000000-0004-0000-3B00-00000F000000}"/>
    <hyperlink ref="M20" location="أونلاين!A1" display="اونلاين" xr:uid="{00000000-0004-0000-3B00-000010000000}"/>
    <hyperlink ref="M21" location="أورانج!A1" display="أورانج" xr:uid="{00000000-0004-0000-3B00-000011000000}"/>
    <hyperlink ref="M22" location="'Vod-Smart'!A1" display="Vod-Smart" xr:uid="{00000000-0004-0000-3B00-000012000000}"/>
    <hyperlink ref="M23" location="'Vod-Zahraa'!A1" display="Vod-Zahraa" xr:uid="{00000000-0004-0000-3B00-000013000000}"/>
    <hyperlink ref="M24" location="المحولات!A1" display="المحولات" xr:uid="{00000000-0004-0000-3B00-000014000000}"/>
    <hyperlink ref="M25" location="إليكتريك!A1" display="إليكتريك" xr:uid="{00000000-0004-0000-3B00-000015000000}"/>
    <hyperlink ref="M26" location="MCV!A1" display="MCV" xr:uid="{00000000-0004-0000-3B00-000016000000}"/>
    <hyperlink ref="M27" location="'Egy Plast'!A1" display="Egy plast" xr:uid="{00000000-0004-0000-3B00-000017000000}"/>
  </hyperlinks>
  <pageMargins left="0.70866141732283505" right="0.70866141732283505" top="0.74803040244969399" bottom="0.74803040244969399" header="0.31496062992126" footer="0.31496062992126"/>
  <pageSetup paperSize="9" scale="68" fitToWidth="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29DF-951F-4A7C-A769-4E33A7C0A243}">
  <sheetPr>
    <tabColor rgb="FFFFC000"/>
  </sheetPr>
  <dimension ref="A1:T143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367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361</v>
      </c>
      <c r="B8" s="390"/>
      <c r="C8" s="369" t="s">
        <v>114</v>
      </c>
      <c r="D8" s="364">
        <f>IFERROR(D9+D10+D11,0)</f>
        <v>30231.829999999998</v>
      </c>
      <c r="E8" s="364">
        <f>IFERROR(E9+E10+E11,0)</f>
        <v>422325.65</v>
      </c>
      <c r="F8" s="364">
        <f>IFERROR(F9+F10+F11,0)</f>
        <v>470502.47000000003</v>
      </c>
      <c r="G8" s="364">
        <f>IFERROR(G9+G10+G11,0)</f>
        <v>488671.25</v>
      </c>
      <c r="H8" s="364">
        <f t="shared" ref="H8:O8" si="0">H9+H10+H11</f>
        <v>639756.28</v>
      </c>
      <c r="I8" s="364">
        <f t="shared" si="0"/>
        <v>595023.90999999992</v>
      </c>
      <c r="J8" s="364">
        <f t="shared" si="0"/>
        <v>892395.8</v>
      </c>
      <c r="K8" s="364">
        <f t="shared" si="0"/>
        <v>677855.65999999992</v>
      </c>
      <c r="L8" s="364">
        <f t="shared" si="0"/>
        <v>669891.30000000005</v>
      </c>
      <c r="M8" s="364">
        <f t="shared" si="0"/>
        <v>674126.76</v>
      </c>
      <c r="N8" s="364">
        <f>N9+N10+N11</f>
        <v>859428.94000000006</v>
      </c>
      <c r="O8" s="364">
        <f t="shared" si="0"/>
        <v>825516.5</v>
      </c>
      <c r="P8" s="364">
        <f>SUM(D8:O8)</f>
        <v>7245726.3500000006</v>
      </c>
    </row>
    <row r="9" spans="1:20" ht="18" customHeight="1">
      <c r="B9" s="124"/>
      <c r="C9" s="370" t="s">
        <v>115</v>
      </c>
      <c r="D9" s="365">
        <f>IFERROR(VLOOKUP($A$8,'تقرير إحصائية بحجم المبيعات'!$B$7:$L$37,2,FALSE),0)</f>
        <v>4930.3899999999994</v>
      </c>
      <c r="E9" s="365">
        <f>IFERROR(VLOOKUP($A$8,'تقرير إحصائية بحجم المبيعات'!$B$42:$G$73,2,FALSE),0)</f>
        <v>50249.06</v>
      </c>
      <c r="F9" s="365">
        <v>58874.350000000035</v>
      </c>
      <c r="G9" s="365">
        <f>IFERROR(VLOOKUP($A$8,'تقرير إحصائية بحجم المبيعات'!$B$112:$L$145,2,FALSE),0)</f>
        <v>78582.87999999999</v>
      </c>
      <c r="H9" s="365">
        <f>VLOOKUP($A$8,'تقرير إحصائية بحجم المبيعات'!$B$147:$G$177,2,FALSE)</f>
        <v>107946.92000000004</v>
      </c>
      <c r="I9" s="365">
        <f>VLOOKUP($A$8,'تقرير إحصائية بحجم المبيعات'!$B$182:$G$212,2,FALSE)</f>
        <v>104981.59999999996</v>
      </c>
      <c r="J9" s="365">
        <f>VLOOKUP($A$8,'تقرير إحصائية بحجم المبيعات'!$B$217:$G$248,2,FALSE)</f>
        <v>165125.31000000006</v>
      </c>
      <c r="K9" s="365">
        <f>VLOOKUP($A$8,'تقرير إحصائية بحجم المبيعات'!$B$252:$L$290,2,FALSE)</f>
        <v>98646.789999999921</v>
      </c>
      <c r="L9" s="365">
        <f>VLOOKUP($A$8,'تقرير إحصائية بحجم المبيعات'!$B$287:$L$334,2,FALSE)</f>
        <v>100680.37</v>
      </c>
      <c r="M9" s="365">
        <f>VLOOKUP($A$8,'تقرير إحصائية بحجم المبيعات'!$B$322:$L$360,2,FALSE)</f>
        <v>102972.92000000004</v>
      </c>
      <c r="N9" s="365">
        <f>VLOOKUP($A$8,'تقرير إحصائية بحجم المبيعات'!$B$357:$L$386,2,FALSE)</f>
        <v>101598.72000000009</v>
      </c>
      <c r="O9" s="365">
        <f>VLOOKUP($A$8,'تقرير إحصائية بحجم المبيعات'!$B$391:$L$420,2,FALSE)</f>
        <v>87647.229999999981</v>
      </c>
      <c r="P9" s="364">
        <f t="shared" ref="P9:P18" si="1">SUM(D9:O9)</f>
        <v>1062236.54</v>
      </c>
    </row>
    <row r="10" spans="1:20" ht="18" customHeight="1">
      <c r="B10" s="124"/>
      <c r="C10" s="370" t="s">
        <v>21</v>
      </c>
      <c r="D10" s="365">
        <f>IFERROR(VLOOKUP($A$8,'تقرير إحصائية بحجم المبيعات'!$B$7:$L$37,3,FALSE),0)</f>
        <v>0</v>
      </c>
      <c r="E10" s="365">
        <f>IFERROR(VLOOKUP($A$8,'تقرير إحصائية بحجم المبيعات'!$B$42:$G$73,3,FALSE),0)</f>
        <v>0</v>
      </c>
      <c r="F10" s="365">
        <v>0</v>
      </c>
      <c r="G10" s="365">
        <f>IFERROR(VLOOKUP($A$8,'تقرير إحصائية بحجم المبيعات'!$B$112:$G$145,3,FALSE),0)</f>
        <v>0</v>
      </c>
      <c r="H10" s="365">
        <f>VLOOKUP($A$8,'تقرير إحصائية بحجم المبيعات'!$B$147:$G$177,3,FALSE)</f>
        <v>31.5</v>
      </c>
      <c r="I10" s="365">
        <f>VLOOKUP($A$8,'تقرير إحصائية بحجم المبيعات'!$B$182:$G$212,3,FALSE)</f>
        <v>49.5</v>
      </c>
      <c r="J10" s="365">
        <f>VLOOKUP($A$8,'تقرير إحصائية بحجم المبيعات'!$B$217:$L$248,3,FALSE)</f>
        <v>0</v>
      </c>
      <c r="K10" s="365">
        <f>VLOOKUP($A$8,'تقرير إحصائية بحجم المبيعات'!$B$252:$L$290,3,FALSE)</f>
        <v>0</v>
      </c>
      <c r="L10" s="365">
        <f>VLOOKUP($A$8,'تقرير إحصائية بحجم المبيعات'!$B$287:$L$334,3,FALSE)</f>
        <v>0</v>
      </c>
      <c r="M10" s="365">
        <f>VLOOKUP($A$8,'تقرير إحصائية بحجم المبيعات'!$B$322:$L$360,3,FALSE)</f>
        <v>57.6</v>
      </c>
      <c r="N10" s="365">
        <f>VLOOKUP($A$8,'تقرير إحصائية بحجم المبيعات'!$B$357:$L$386,3,FALSE)</f>
        <v>0</v>
      </c>
      <c r="O10" s="365">
        <f>VLOOKUP($A$8,'تقرير إحصائية بحجم المبيعات'!$B$391:$L$420,3,FALSE)</f>
        <v>0</v>
      </c>
      <c r="P10" s="364">
        <f t="shared" si="1"/>
        <v>138.6</v>
      </c>
    </row>
    <row r="11" spans="1:20" ht="18" customHeight="1">
      <c r="B11" s="124"/>
      <c r="C11" s="370" t="s">
        <v>116</v>
      </c>
      <c r="D11" s="365">
        <f>IFERROR(VLOOKUP($A$8,'تقرير إحصائية بحجم المبيعات'!$B$7:$L$37,4,FALSE),0)</f>
        <v>25301.439999999999</v>
      </c>
      <c r="E11" s="365">
        <f>IFERROR(VLOOKUP($A$8,'تقرير إحصائية بحجم المبيعات'!$B$42:$G$73,4,FALSE),0)</f>
        <v>372076.59</v>
      </c>
      <c r="F11" s="365">
        <v>411628.12</v>
      </c>
      <c r="G11" s="365">
        <f>IFERROR(VLOOKUP($A$8,'تقرير إحصائية بحجم المبيعات'!$B$112:$G$145,4,FALSE),0)</f>
        <v>410088.37</v>
      </c>
      <c r="H11" s="365">
        <f>VLOOKUP($A$8,'تقرير إحصائية بحجم المبيعات'!$B$147:$G$177,4,FALSE)</f>
        <v>531777.86</v>
      </c>
      <c r="I11" s="365">
        <f>VLOOKUP($A$8,'تقرير إحصائية بحجم المبيعات'!$B$182:$G$212,4,FALSE)</f>
        <v>489992.81</v>
      </c>
      <c r="J11" s="365">
        <f>VLOOKUP($A$8,'تقرير إحصائية بحجم المبيعات'!$B$217:$L$248,4,FALSE)</f>
        <v>727270.49</v>
      </c>
      <c r="K11" s="365">
        <f>VLOOKUP($A$8,'تقرير إحصائية بحجم المبيعات'!$B$252:$L$290,4,FALSE)</f>
        <v>579208.87</v>
      </c>
      <c r="L11" s="365">
        <f>VLOOKUP($A$8,'تقرير إحصائية بحجم المبيعات'!$B$287:$L$334,4,FALSE)</f>
        <v>569210.93000000005</v>
      </c>
      <c r="M11" s="365">
        <f>VLOOKUP($A$8,'تقرير إحصائية بحجم المبيعات'!$B$322:$L$360,4,FALSE)</f>
        <v>571096.24</v>
      </c>
      <c r="N11" s="365">
        <f>VLOOKUP($A$8,'تقرير إحصائية بحجم المبيعات'!$B$357:$L$386,4,FALSE)</f>
        <v>757830.22</v>
      </c>
      <c r="O11" s="365">
        <f>VLOOKUP($A$8,'تقرير إحصائية بحجم المبيعات'!$B$391:$L$420,4,FALSE)</f>
        <v>737869.27</v>
      </c>
      <c r="P11" s="364">
        <f t="shared" si="1"/>
        <v>6183351.209999999</v>
      </c>
    </row>
    <row r="12" spans="1:20" ht="18" customHeight="1">
      <c r="B12" s="124"/>
      <c r="C12" s="369" t="s">
        <v>120</v>
      </c>
      <c r="D12" s="364">
        <f>IFERROR(VLOOKUP($A$8,'تقرير إحصائية بحجم المبيعات'!$B$7:$L$37,11,FALSE),0)</f>
        <v>26565.63</v>
      </c>
      <c r="E12" s="364">
        <f>IFERROR(VLOOKUP($A$8,'تقرير إحصائية بحجم المبيعات'!$B$42:$L$73,11,FALSE),0)</f>
        <v>366164.08</v>
      </c>
      <c r="F12" s="364">
        <v>404515.94</v>
      </c>
      <c r="G12" s="364">
        <f>IFERROR(VLOOKUP($A$8,'تقرير إحصائية بحجم المبيعات'!$B$112:$L$145,11,FALSE),0)</f>
        <v>421022.13</v>
      </c>
      <c r="H12" s="364">
        <f>VLOOKUP($A$8,'تقرير إحصائية بحجم المبيعات'!$B$147:$L$177,11,FALSE)</f>
        <v>547834.66</v>
      </c>
      <c r="I12" s="364">
        <f>VLOOKUP($A$8,'تقرير إحصائية بحجم المبيعات'!$B$182:$L$212,11,FALSE)</f>
        <v>500386.52</v>
      </c>
      <c r="J12" s="365">
        <f>VLOOKUP($A$8,'تقرير إحصائية بحجم المبيعات'!$B$217:$L$248,11,FALSE)</f>
        <v>669801.71</v>
      </c>
      <c r="K12" s="364">
        <f>VLOOKUP($A$8,'تقرير إحصائية بحجم المبيعات'!$B$252:$L$290,11,FALSE)</f>
        <v>580392.86</v>
      </c>
      <c r="L12" s="364">
        <f>VLOOKUP($A$8,'تقرير إحصائية بحجم المبيعات'!$B$287:$L$334,11,FALSE)</f>
        <v>570251.68999999994</v>
      </c>
      <c r="M12" s="365">
        <f>VLOOKUP($A$8,'تقرير إحصائية بحجم المبيعات'!$B$322:$L$360,11,FALSE)</f>
        <v>572780.52</v>
      </c>
      <c r="N12" s="365">
        <f>VLOOKUP($A$8,'تقرير إحصائية بحجم المبيعات'!$B$357:$L$386,11,FALSE)</f>
        <v>713443.83</v>
      </c>
      <c r="O12" s="365">
        <f>VLOOKUP($A$8,'تقرير إحصائية بحجم المبيعات'!$B$391:$L$420,11,FALSE)</f>
        <v>702176.82</v>
      </c>
      <c r="P12" s="364">
        <f t="shared" si="1"/>
        <v>6075336.3900000006</v>
      </c>
    </row>
    <row r="13" spans="1:20" ht="18" customHeight="1">
      <c r="B13" s="124"/>
      <c r="C13" s="371" t="s">
        <v>14</v>
      </c>
      <c r="D13" s="366">
        <f t="shared" ref="D13:O13" si="2">D8-D12</f>
        <v>3666.1999999999971</v>
      </c>
      <c r="E13" s="366">
        <f t="shared" si="2"/>
        <v>56161.570000000007</v>
      </c>
      <c r="F13" s="366">
        <f t="shared" si="2"/>
        <v>65986.530000000028</v>
      </c>
      <c r="G13" s="366">
        <f t="shared" si="2"/>
        <v>67649.119999999995</v>
      </c>
      <c r="H13" s="366">
        <f t="shared" si="2"/>
        <v>91921.62</v>
      </c>
      <c r="I13" s="366">
        <f t="shared" si="2"/>
        <v>94637.389999999898</v>
      </c>
      <c r="J13" s="366">
        <f t="shared" si="2"/>
        <v>222594.09000000008</v>
      </c>
      <c r="K13" s="366">
        <f t="shared" si="2"/>
        <v>97462.79999999993</v>
      </c>
      <c r="L13" s="366">
        <f t="shared" si="2"/>
        <v>99639.610000000102</v>
      </c>
      <c r="M13" s="366">
        <f t="shared" si="2"/>
        <v>101346.23999999999</v>
      </c>
      <c r="N13" s="366">
        <f>N8-N12</f>
        <v>145985.1100000001</v>
      </c>
      <c r="O13" s="366">
        <f t="shared" si="2"/>
        <v>123339.68000000005</v>
      </c>
      <c r="P13" s="366">
        <f t="shared" si="1"/>
        <v>1170389.9600000002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>
        <v>262.02300000000002</v>
      </c>
      <c r="F16" s="367">
        <v>301.99</v>
      </c>
      <c r="G16" s="367">
        <v>795.2</v>
      </c>
      <c r="H16" s="367">
        <v>481.34999999999854</v>
      </c>
      <c r="I16" s="367">
        <v>960.93000000000006</v>
      </c>
      <c r="J16" s="367">
        <v>606.21999999999991</v>
      </c>
      <c r="K16" s="367">
        <v>526.01</v>
      </c>
      <c r="L16" s="367">
        <v>61.11</v>
      </c>
      <c r="M16" s="367">
        <v>51</v>
      </c>
      <c r="N16" s="367">
        <v>472.39</v>
      </c>
      <c r="O16" s="367"/>
      <c r="P16" s="364">
        <f t="shared" si="1"/>
        <v>4518.2229999999981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262.02300000000002</v>
      </c>
      <c r="F18" s="363">
        <f t="shared" si="3"/>
        <v>301.99</v>
      </c>
      <c r="G18" s="363">
        <f t="shared" si="3"/>
        <v>795.2</v>
      </c>
      <c r="H18" s="363">
        <f t="shared" si="3"/>
        <v>481.34999999999854</v>
      </c>
      <c r="I18" s="363">
        <f t="shared" si="3"/>
        <v>960.93000000000006</v>
      </c>
      <c r="J18" s="363">
        <f t="shared" si="3"/>
        <v>606.21999999999991</v>
      </c>
      <c r="K18" s="363">
        <f t="shared" si="3"/>
        <v>526.01</v>
      </c>
      <c r="L18" s="363">
        <f t="shared" si="3"/>
        <v>61.11</v>
      </c>
      <c r="M18" s="368">
        <f t="shared" si="3"/>
        <v>51</v>
      </c>
      <c r="N18" s="368">
        <f t="shared" si="3"/>
        <v>472.39</v>
      </c>
      <c r="O18" s="368">
        <f t="shared" si="3"/>
        <v>0</v>
      </c>
      <c r="P18" s="364">
        <f t="shared" si="1"/>
        <v>4518.2229999999981</v>
      </c>
    </row>
    <row r="19" spans="2:16" ht="18" customHeight="1">
      <c r="B19" s="124"/>
      <c r="C19" s="386" t="s">
        <v>14</v>
      </c>
      <c r="D19" s="374">
        <f t="shared" ref="D19:O19" si="4">D13+D18</f>
        <v>3666.1999999999971</v>
      </c>
      <c r="E19" s="374">
        <f t="shared" si="4"/>
        <v>56423.593000000008</v>
      </c>
      <c r="F19" s="374">
        <f t="shared" si="4"/>
        <v>66288.520000000033</v>
      </c>
      <c r="G19" s="374">
        <f t="shared" si="4"/>
        <v>68444.319999999992</v>
      </c>
      <c r="H19" s="374">
        <f t="shared" si="4"/>
        <v>92402.97</v>
      </c>
      <c r="I19" s="374">
        <f t="shared" si="4"/>
        <v>95598.319999999891</v>
      </c>
      <c r="J19" s="374">
        <f t="shared" si="4"/>
        <v>223200.31000000008</v>
      </c>
      <c r="K19" s="374">
        <f t="shared" si="4"/>
        <v>97988.809999999925</v>
      </c>
      <c r="L19" s="374">
        <f t="shared" si="4"/>
        <v>99700.720000000103</v>
      </c>
      <c r="M19" s="374">
        <f t="shared" si="4"/>
        <v>101397.23999999999</v>
      </c>
      <c r="N19" s="374">
        <f t="shared" si="4"/>
        <v>146457.50000000012</v>
      </c>
      <c r="O19" s="374">
        <f t="shared" si="4"/>
        <v>123339.68000000005</v>
      </c>
      <c r="P19" s="382">
        <f>SUM(D19:O19)</f>
        <v>1174908.1830000002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الشهر'!$C$10:$AL$124,31,FALSE),0)</f>
        <v>0</v>
      </c>
      <c r="E22" s="362">
        <f>IFERROR(VLOOKUP(C22,'تقرير المصروفات حسب الشهر'!$C$135:$AL$252,31,FALSE),0)</f>
        <v>0</v>
      </c>
      <c r="F22" s="362">
        <v>0</v>
      </c>
      <c r="G22" s="362">
        <f>IFERROR(VLOOKUP(C22,'تقرير المصروفات حسب الشهر'!C386:AH499,31,0),0)</f>
        <v>0</v>
      </c>
      <c r="H22" s="362">
        <f>IFERROR(VLOOKUP(C22,'تقرير المصروفات حسب الشهر'!$C$512:$AL$620,31,FALSE),0)</f>
        <v>0</v>
      </c>
      <c r="I22" s="362">
        <f>IFERROR(VLOOKUP(C22,'تقرير المصروفات حسب الشهر'!$C$637:$AI$748,31,FALSE),0)</f>
        <v>0</v>
      </c>
      <c r="J22" s="362">
        <f>IFERROR(VLOOKUP(C22,'تقرير المصروفات حسب الشهر'!$C$763:$AI$877,31,FALSE),0)</f>
        <v>0</v>
      </c>
      <c r="K22" s="362">
        <f>IFERROR(VLOOKUP(C22,'تقرير المصروفات حسب الشهر'!$C$890:$AI$1007,31,FALSE),0)</f>
        <v>0</v>
      </c>
      <c r="L22" s="362">
        <f>IFERROR(VLOOKUP(C22,'تقرير المصروفات حسب الشهر'!$C$1016:$AI$1131,31,FALSE),0)</f>
        <v>0</v>
      </c>
      <c r="M22" s="376">
        <f>IFERROR(VLOOKUP(C22,'تقرير المصروفات حسب الشهر'!$C$1143:$AI$1290,31,FALSE),0)</f>
        <v>0</v>
      </c>
      <c r="N22" s="376">
        <f>IFERROR(VLOOKUP(C22,'تقرير المصروفات حسب الشهر'!$C$1271:$AI$1385,31,FALSE),0)</f>
        <v>0</v>
      </c>
      <c r="O22" s="376">
        <f>IFERROR(VLOOKUP(C22,'تقرير المصروفات حسب الشهر'!$C$1397:$AI$1512,31,FALSE),0)</f>
        <v>0</v>
      </c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الشهر'!$C$10:$AL$124,31,FALSE),0)</f>
        <v>0</v>
      </c>
      <c r="E23" s="362">
        <f>IFERROR(VLOOKUP(C23,'تقرير المصروفات حسب الشهر'!$C$135:$AL$252,31,FALSE),0)</f>
        <v>15068.46</v>
      </c>
      <c r="F23" s="362">
        <v>31893.120000000003</v>
      </c>
      <c r="G23" s="362">
        <f>IFERROR(VLOOKUP(C23,'تقرير المصروفات حسب الشهر'!C387:AH500,31,0),0)</f>
        <v>21944.98</v>
      </c>
      <c r="H23" s="362">
        <f>IFERROR(VLOOKUP(C23,'تقرير المصروفات حسب الشهر'!$C$512:$AL$620,31,FALSE),0)</f>
        <v>29009.11</v>
      </c>
      <c r="I23" s="362">
        <f>IFERROR(VLOOKUP(C23,'تقرير المصروفات حسب الشهر'!$C$637:$AI$748,31,FALSE),0)</f>
        <v>35381.19</v>
      </c>
      <c r="J23" s="362">
        <f>IFERROR(VLOOKUP(C23,'تقرير المصروفات حسب الشهر'!$C$763:$AI$877,31,FALSE),0)</f>
        <v>39322.400000000001</v>
      </c>
      <c r="K23" s="362">
        <f>IFERROR(VLOOKUP(C23,'تقرير المصروفات حسب الشهر'!$C$890:$AI$1007,31,FALSE),0)</f>
        <v>33590.629999999997</v>
      </c>
      <c r="L23" s="362">
        <f>IFERROR(VLOOKUP(C23,'تقرير المصروفات حسب الشهر'!$C$1016:$AI$1131,31,FALSE),0)</f>
        <v>45406.65</v>
      </c>
      <c r="M23" s="376">
        <f>IFERROR(VLOOKUP(C23,'تقرير المصروفات حسب الشهر'!$C$1143:$AI$1290,31,FALSE),0)</f>
        <v>47292.46</v>
      </c>
      <c r="N23" s="376">
        <f>IFERROR(VLOOKUP(C23,'تقرير المصروفات حسب الشهر'!$C$1271:$AI$1385,31,FALSE),0)</f>
        <v>45927.11</v>
      </c>
      <c r="O23" s="376">
        <f>IFERROR(VLOOKUP(C23,'تقرير المصروفات حسب الشهر'!$C$1397:$AI$1512,31,FALSE),0)</f>
        <v>51701.85</v>
      </c>
      <c r="P23" s="364">
        <f t="shared" ref="P23:P86" si="5">SUM(D23:O23)</f>
        <v>396537.95999999996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الشهر'!$C$10:$AL$124,31,FALSE),0)</f>
        <v>0</v>
      </c>
      <c r="E24" s="362">
        <f>IFERROR(VLOOKUP(C24,'تقرير المصروفات حسب الشهر'!$C$135:$AL$252,31,FALSE),0)</f>
        <v>0</v>
      </c>
      <c r="F24" s="362">
        <v>0</v>
      </c>
      <c r="G24" s="362">
        <f>IFERROR(VLOOKUP(C24,'تقرير المصروفات حسب الشهر'!C388:AH501,31,0),0)</f>
        <v>0</v>
      </c>
      <c r="H24" s="362">
        <f>IFERROR(VLOOKUP(C24,'تقرير المصروفات حسب الشهر'!$C$512:$AL$620,31,FALSE),0)</f>
        <v>0</v>
      </c>
      <c r="I24" s="362">
        <f>IFERROR(VLOOKUP(C24,'تقرير المصروفات حسب الشهر'!$C$637:$AI$748,31,FALSE),0)</f>
        <v>0</v>
      </c>
      <c r="J24" s="362">
        <f>IFERROR(VLOOKUP(C24,'تقرير المصروفات حسب الشهر'!$C$763:$AI$877,31,FALSE),0)</f>
        <v>0</v>
      </c>
      <c r="K24" s="362">
        <f>IFERROR(VLOOKUP(C24,'تقرير المصروفات حسب الشهر'!$C$890:$AI$1007,31,FALSE),0)</f>
        <v>0</v>
      </c>
      <c r="L24" s="362">
        <f>IFERROR(VLOOKUP(C24,'تقرير المصروفات حسب الشهر'!$C$1016:$AI$1131,31,FALSE),0)</f>
        <v>0</v>
      </c>
      <c r="M24" s="376">
        <f>IFERROR(VLOOKUP(C24,'تقرير المصروفات حسب الشهر'!$C$1143:$AI$1290,31,FALSE),0)</f>
        <v>0</v>
      </c>
      <c r="N24" s="376">
        <f>IFERROR(VLOOKUP(C24,'تقرير المصروفات حسب الشهر'!$C$1271:$AI$1385,31,FALSE),0)</f>
        <v>0</v>
      </c>
      <c r="O24" s="376">
        <f>IFERROR(VLOOKUP(C24,'تقرير المصروفات حسب الشهر'!$C$1397:$AI$1512,31,FALSE),0)</f>
        <v>0</v>
      </c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الشهر'!$C$10:$AL$124,31,FALSE),0)</f>
        <v>0</v>
      </c>
      <c r="E25" s="362">
        <f>IFERROR(VLOOKUP(C25,'تقرير المصروفات حسب الشهر'!$C$135:$AL$252,31,FALSE),0)</f>
        <v>0</v>
      </c>
      <c r="F25" s="362">
        <v>0</v>
      </c>
      <c r="G25" s="362">
        <f>IFERROR(VLOOKUP(C25,'تقرير المصروفات حسب الشهر'!C389:AH502,31,0),0)</f>
        <v>0</v>
      </c>
      <c r="H25" s="362">
        <f>IFERROR(VLOOKUP(C25,'تقرير المصروفات حسب الشهر'!$C$512:$AL$620,31,FALSE),0)</f>
        <v>0</v>
      </c>
      <c r="I25" s="362">
        <f>IFERROR(VLOOKUP(C25,'تقرير المصروفات حسب الشهر'!$C$637:$AI$748,31,FALSE),0)</f>
        <v>0</v>
      </c>
      <c r="J25" s="362">
        <f>IFERROR(VLOOKUP(C25,'تقرير المصروفات حسب الشهر'!$C$763:$AI$877,31,FALSE),0)</f>
        <v>0</v>
      </c>
      <c r="K25" s="362">
        <f>IFERROR(VLOOKUP(C25,'تقرير المصروفات حسب الشهر'!$C$890:$AI$1007,31,FALSE),0)</f>
        <v>0</v>
      </c>
      <c r="L25" s="362">
        <f>IFERROR(VLOOKUP(C25,'تقرير المصروفات حسب الشهر'!$C$1016:$AI$1131,31,FALSE),0)</f>
        <v>0</v>
      </c>
      <c r="M25" s="376">
        <f>IFERROR(VLOOKUP(C25,'تقرير المصروفات حسب الشهر'!$C$1143:$AI$1290,31,FALSE),0)</f>
        <v>0</v>
      </c>
      <c r="N25" s="376">
        <f>IFERROR(VLOOKUP(C25,'تقرير المصروفات حسب الشهر'!$C$1271:$AI$1385,31,FALSE),0)</f>
        <v>0</v>
      </c>
      <c r="O25" s="376">
        <f>IFERROR(VLOOKUP(C25,'تقرير المصروفات حسب الشهر'!$C$1397:$AI$1512,31,FALSE),0)</f>
        <v>0</v>
      </c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الشهر'!$C$10:$AL$124,31,FALSE),0)</f>
        <v>0</v>
      </c>
      <c r="E26" s="362">
        <f>IFERROR(VLOOKUP(C26,'تقرير المصروفات حسب الشهر'!$C$135:$AL$252,31,FALSE),0)</f>
        <v>0</v>
      </c>
      <c r="F26" s="362">
        <v>0</v>
      </c>
      <c r="G26" s="362">
        <f>IFERROR(VLOOKUP(C26,'تقرير المصروفات حسب الشهر'!C390:AH503,31,0),0)</f>
        <v>0</v>
      </c>
      <c r="H26" s="362">
        <f>IFERROR(VLOOKUP(C26,'تقرير المصروفات حسب الشهر'!$C$512:$AL$620,31,FALSE),0)</f>
        <v>0</v>
      </c>
      <c r="I26" s="362">
        <f>IFERROR(VLOOKUP(C26,'تقرير المصروفات حسب الشهر'!$C$637:$AI$748,31,FALSE),0)</f>
        <v>0</v>
      </c>
      <c r="J26" s="362">
        <f>IFERROR(VLOOKUP(C26,'تقرير المصروفات حسب الشهر'!$C$763:$AI$877,31,FALSE),0)</f>
        <v>0</v>
      </c>
      <c r="K26" s="362">
        <f>IFERROR(VLOOKUP(C26,'تقرير المصروفات حسب الشهر'!$C$890:$AI$1007,31,FALSE),0)</f>
        <v>0</v>
      </c>
      <c r="L26" s="362">
        <f>IFERROR(VLOOKUP(C26,'تقرير المصروفات حسب الشهر'!$C$1016:$AI$1131,31,FALSE),0)</f>
        <v>0</v>
      </c>
      <c r="M26" s="376">
        <f>IFERROR(VLOOKUP(C26,'تقرير المصروفات حسب الشهر'!$C$1143:$AI$1290,31,FALSE),0)</f>
        <v>0</v>
      </c>
      <c r="N26" s="376">
        <f>IFERROR(VLOOKUP(C26,'تقرير المصروفات حسب الشهر'!$C$1271:$AI$1385,31,FALSE),0)</f>
        <v>0</v>
      </c>
      <c r="O26" s="376">
        <f>IFERROR(VLOOKUP(C26,'تقرير المصروفات حسب الشهر'!$C$1397:$AI$1512,31,FALSE),0)</f>
        <v>0</v>
      </c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الشهر'!$C$10:$AL$124,31,FALSE),0)</f>
        <v>0</v>
      </c>
      <c r="E27" s="362">
        <f>IFERROR(VLOOKUP(C27,'تقرير المصروفات حسب الشهر'!$C$135:$AL$252,31,FALSE),0)</f>
        <v>0</v>
      </c>
      <c r="F27" s="362">
        <v>0</v>
      </c>
      <c r="G27" s="362">
        <f>IFERROR(VLOOKUP(C27,'تقرير المصروفات حسب الشهر'!C391:AH504,31,0),0)</f>
        <v>0</v>
      </c>
      <c r="H27" s="362">
        <f>IFERROR(VLOOKUP(C27,'تقرير المصروفات حسب الشهر'!$C$512:$AL$620,31,FALSE),0)</f>
        <v>0</v>
      </c>
      <c r="I27" s="362">
        <f>IFERROR(VLOOKUP(C27,'تقرير المصروفات حسب الشهر'!$C$637:$AI$748,31,FALSE),0)</f>
        <v>0</v>
      </c>
      <c r="J27" s="362">
        <f>IFERROR(VLOOKUP(C27,'تقرير المصروفات حسب الشهر'!$C$763:$AI$877,31,FALSE),0)</f>
        <v>0</v>
      </c>
      <c r="K27" s="362">
        <f>IFERROR(VLOOKUP(C27,'تقرير المصروفات حسب الشهر'!$C$890:$AI$1007,31,FALSE),0)</f>
        <v>0</v>
      </c>
      <c r="L27" s="362">
        <f>IFERROR(VLOOKUP(C27,'تقرير المصروفات حسب الشهر'!$C$1016:$AI$1131,31,FALSE),0)</f>
        <v>0</v>
      </c>
      <c r="M27" s="376">
        <f>IFERROR(VLOOKUP(C27,'تقرير المصروفات حسب الشهر'!$C$1143:$AI$1290,31,FALSE),0)</f>
        <v>0</v>
      </c>
      <c r="N27" s="376">
        <f>IFERROR(VLOOKUP(C27,'تقرير المصروفات حسب الشهر'!$C$1271:$AI$1385,31,FALSE),0)</f>
        <v>0</v>
      </c>
      <c r="O27" s="376">
        <f>IFERROR(VLOOKUP(C27,'تقرير المصروفات حسب الشهر'!$C$1397:$AI$1512,31,FALSE),0)</f>
        <v>0</v>
      </c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الشهر'!$C$10:$AL$124,31,FALSE),0)</f>
        <v>0</v>
      </c>
      <c r="E28" s="362">
        <f>IFERROR(VLOOKUP(C28,'تقرير المصروفات حسب الشهر'!$C$135:$AL$252,31,FALSE),0)</f>
        <v>0</v>
      </c>
      <c r="F28" s="362">
        <v>0</v>
      </c>
      <c r="G28" s="362">
        <f>IFERROR(VLOOKUP(C28,'تقرير المصروفات حسب الشهر'!C392:AH505,31,0),0)</f>
        <v>0</v>
      </c>
      <c r="H28" s="362">
        <f>IFERROR(VLOOKUP(C28,'تقرير المصروفات حسب الشهر'!$C$512:$AL$620,31,FALSE),0)</f>
        <v>0</v>
      </c>
      <c r="I28" s="362">
        <f>IFERROR(VLOOKUP(C28,'تقرير المصروفات حسب الشهر'!$C$637:$AI$748,31,FALSE),0)</f>
        <v>0</v>
      </c>
      <c r="J28" s="362">
        <f>IFERROR(VLOOKUP(C28,'تقرير المصروفات حسب الشهر'!$C$763:$AI$877,31,FALSE),0)</f>
        <v>0</v>
      </c>
      <c r="K28" s="362">
        <f>IFERROR(VLOOKUP(C28,'تقرير المصروفات حسب الشهر'!$C$890:$AI$1007,31,FALSE),0)</f>
        <v>0</v>
      </c>
      <c r="L28" s="362">
        <f>IFERROR(VLOOKUP(C28,'تقرير المصروفات حسب الشهر'!$C$1016:$AI$1131,31,FALSE),0)</f>
        <v>0</v>
      </c>
      <c r="M28" s="376">
        <f>IFERROR(VLOOKUP(C28,'تقرير المصروفات حسب الشهر'!$C$1143:$AI$1290,31,FALSE),0)</f>
        <v>0</v>
      </c>
      <c r="N28" s="376">
        <f>IFERROR(VLOOKUP(C28,'تقرير المصروفات حسب الشهر'!$C$1271:$AI$1385,31,FALSE),0)</f>
        <v>0</v>
      </c>
      <c r="O28" s="376">
        <f>IFERROR(VLOOKUP(C28,'تقرير المصروفات حسب الشهر'!$C$1397:$AI$1512,31,FALSE),0)</f>
        <v>0</v>
      </c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الشهر'!$C$10:$AL$124,31,FALSE),0)</f>
        <v>0</v>
      </c>
      <c r="E29" s="362">
        <f>IFERROR(VLOOKUP(C29,'تقرير المصروفات حسب الشهر'!$C$135:$AL$252,31,FALSE),0)</f>
        <v>0</v>
      </c>
      <c r="F29" s="362">
        <v>0</v>
      </c>
      <c r="G29" s="362">
        <f>IFERROR(VLOOKUP(C29,'تقرير المصروفات حسب الشهر'!C393:AH506,31,0),0)</f>
        <v>0</v>
      </c>
      <c r="H29" s="362">
        <f>IFERROR(VLOOKUP(C29,'تقرير المصروفات حسب الشهر'!$C$512:$AL$620,31,FALSE),0)</f>
        <v>0</v>
      </c>
      <c r="I29" s="362">
        <f>IFERROR(VLOOKUP(C29,'تقرير المصروفات حسب الشهر'!$C$637:$AI$748,31,FALSE),0)</f>
        <v>0</v>
      </c>
      <c r="J29" s="362">
        <f>IFERROR(VLOOKUP(C29,'تقرير المصروفات حسب الشهر'!$C$763:$AI$877,31,FALSE),0)</f>
        <v>0</v>
      </c>
      <c r="K29" s="362">
        <f>IFERROR(VLOOKUP(C29,'تقرير المصروفات حسب الشهر'!$C$890:$AI$1007,31,FALSE),0)</f>
        <v>0</v>
      </c>
      <c r="L29" s="362">
        <f>IFERROR(VLOOKUP(C29,'تقرير المصروفات حسب الشهر'!$C$1016:$AI$1131,31,FALSE),0)</f>
        <v>0</v>
      </c>
      <c r="M29" s="376">
        <f>IFERROR(VLOOKUP(C29,'تقرير المصروفات حسب الشهر'!$C$1143:$AI$1290,31,FALSE),0)</f>
        <v>0</v>
      </c>
      <c r="N29" s="376">
        <f>IFERROR(VLOOKUP(C29,'تقرير المصروفات حسب الشهر'!$C$1271:$AI$1385,31,FALSE),0)</f>
        <v>0</v>
      </c>
      <c r="O29" s="376">
        <f>IFERROR(VLOOKUP(C29,'تقرير المصروفات حسب الشهر'!$C$1397:$AI$1512,31,FALSE),0)</f>
        <v>0</v>
      </c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الشهر'!$C$10:$AL$124,31,FALSE),0)</f>
        <v>0</v>
      </c>
      <c r="E30" s="362">
        <f>IFERROR(VLOOKUP(C30,'تقرير المصروفات حسب الشهر'!$C$135:$AL$252,31,FALSE),0)</f>
        <v>0</v>
      </c>
      <c r="F30" s="362">
        <v>0</v>
      </c>
      <c r="G30" s="362">
        <f>IFERROR(VLOOKUP(C30,'تقرير المصروفات حسب الشهر'!C394:AH507,31,0),0)</f>
        <v>0</v>
      </c>
      <c r="H30" s="362">
        <f>IFERROR(VLOOKUP(C30,'تقرير المصروفات حسب الشهر'!$C$512:$AL$620,31,FALSE),0)</f>
        <v>0</v>
      </c>
      <c r="I30" s="362">
        <f>IFERROR(VLOOKUP(C30,'تقرير المصروفات حسب الشهر'!$C$637:$AI$748,31,FALSE),0)</f>
        <v>0</v>
      </c>
      <c r="J30" s="362">
        <f>IFERROR(VLOOKUP(C30,'تقرير المصروفات حسب الشهر'!$C$763:$AI$877,31,FALSE),0)</f>
        <v>0</v>
      </c>
      <c r="K30" s="362">
        <f>IFERROR(VLOOKUP(C30,'تقرير المصروفات حسب الشهر'!$C$890:$AI$1007,31,FALSE),0)</f>
        <v>0</v>
      </c>
      <c r="L30" s="362">
        <f>IFERROR(VLOOKUP(C30,'تقرير المصروفات حسب الشهر'!$C$1016:$AI$1131,31,FALSE),0)</f>
        <v>0</v>
      </c>
      <c r="M30" s="376">
        <f>IFERROR(VLOOKUP(C30,'تقرير المصروفات حسب الشهر'!$C$1143:$AI$1290,31,FALSE),0)</f>
        <v>225.25</v>
      </c>
      <c r="N30" s="376">
        <f>IFERROR(VLOOKUP(C30,'تقرير المصروفات حسب الشهر'!$C$1271:$AI$1385,31,FALSE),0)</f>
        <v>0</v>
      </c>
      <c r="O30" s="376">
        <f>IFERROR(VLOOKUP(C30,'تقرير المصروفات حسب الشهر'!$C$1397:$AI$1512,31,FALSE),0)</f>
        <v>350</v>
      </c>
      <c r="P30" s="364">
        <f t="shared" si="5"/>
        <v>575.25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الشهر'!$C$10:$AL$124,31,FALSE),0)</f>
        <v>445</v>
      </c>
      <c r="E31" s="362">
        <f>IFERROR(VLOOKUP(C31,'تقرير المصروفات حسب الشهر'!$C$135:$AL$252,31,FALSE),0)</f>
        <v>0</v>
      </c>
      <c r="F31" s="362">
        <v>0</v>
      </c>
      <c r="G31" s="362">
        <f>IFERROR(VLOOKUP(C31,'تقرير المصروفات حسب الشهر'!C395:AH508,31,0),0)</f>
        <v>84</v>
      </c>
      <c r="H31" s="362">
        <f>IFERROR(VLOOKUP(C31,'تقرير المصروفات حسب الشهر'!$C$512:$AL$620,31,FALSE),0)</f>
        <v>124</v>
      </c>
      <c r="I31" s="511">
        <f>IFERROR(VLOOKUP(C31,'تقرير المصروفات حسب الشهر'!$C$637:$AI$748,31,FALSE),0)</f>
        <v>100</v>
      </c>
      <c r="J31" s="362">
        <f>IFERROR(VLOOKUP(C31,'تقرير المصروفات حسب الشهر'!$C$763:$AI$877,31,FALSE),0)</f>
        <v>125</v>
      </c>
      <c r="K31" s="362">
        <f>IFERROR(VLOOKUP(C31,'تقرير المصروفات حسب الشهر'!$C$890:$AI$1007,31,FALSE),0)</f>
        <v>124</v>
      </c>
      <c r="L31" s="362">
        <f>IFERROR(VLOOKUP(C31,'تقرير المصروفات حسب الشهر'!$C$1016:$AI$1131,31,FALSE),0)</f>
        <v>0</v>
      </c>
      <c r="M31" s="376">
        <f>IFERROR(VLOOKUP(C31,'تقرير المصروفات حسب الشهر'!$C$1143:$AI$1290,31,FALSE),0)</f>
        <v>130.78</v>
      </c>
      <c r="N31" s="376">
        <f>IFERROR(VLOOKUP(C31,'تقرير المصروفات حسب الشهر'!$C$1271:$AI$1385,31,FALSE),0)</f>
        <v>123</v>
      </c>
      <c r="O31" s="376">
        <f>IFERROR(VLOOKUP(C31,'تقرير المصروفات حسب الشهر'!$C$1397:$AI$1512,31,FALSE),0)</f>
        <v>123</v>
      </c>
      <c r="P31" s="364">
        <f t="shared" si="5"/>
        <v>1378.78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الشهر'!$C$10:$AL$124,31,FALSE),0)</f>
        <v>0</v>
      </c>
      <c r="E32" s="362">
        <f>IFERROR(VLOOKUP(C32,'تقرير المصروفات حسب الشهر'!$C$135:$AL$252,31,FALSE),0)</f>
        <v>0</v>
      </c>
      <c r="F32" s="362">
        <v>0</v>
      </c>
      <c r="G32" s="362">
        <f>IFERROR(VLOOKUP(C32,'تقرير المصروفات حسب الشهر'!C396:AH509,31,0),0)</f>
        <v>0</v>
      </c>
      <c r="H32" s="362">
        <f>IFERROR(VLOOKUP(C32,'تقرير المصروفات حسب الشهر'!$C$512:$AL$620,31,FALSE),0)</f>
        <v>0</v>
      </c>
      <c r="I32" s="362">
        <f>IFERROR(VLOOKUP(C32,'تقرير المصروفات حسب الشهر'!$C$637:$AI$748,31,FALSE),0)</f>
        <v>0</v>
      </c>
      <c r="J32" s="362">
        <f>IFERROR(VLOOKUP(C32,'تقرير المصروفات حسب الشهر'!$C$763:$AI$877,31,FALSE),0)</f>
        <v>0</v>
      </c>
      <c r="K32" s="362">
        <f>IFERROR(VLOOKUP(C32,'تقرير المصروفات حسب الشهر'!$C$890:$AI$1007,31,FALSE),0)</f>
        <v>0</v>
      </c>
      <c r="L32" s="362">
        <f>IFERROR(VLOOKUP(C32,'تقرير المصروفات حسب الشهر'!$C$1016:$AI$1131,31,FALSE),0)</f>
        <v>0</v>
      </c>
      <c r="M32" s="376">
        <f>IFERROR(VLOOKUP(C32,'تقرير المصروفات حسب الشهر'!$C$1143:$AI$1290,31,FALSE),0)</f>
        <v>0</v>
      </c>
      <c r="N32" s="376">
        <f>IFERROR(VLOOKUP(C32,'تقرير المصروفات حسب الشهر'!$C$1271:$AI$1385,31,FALSE),0)</f>
        <v>0</v>
      </c>
      <c r="O32" s="376">
        <f>IFERROR(VLOOKUP(C32,'تقرير المصروفات حسب الشهر'!$C$1397:$AI$1512,31,FALSE),0)</f>
        <v>0</v>
      </c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الشهر'!$C$10:$AL$124,31,FALSE),0)</f>
        <v>0</v>
      </c>
      <c r="E33" s="362">
        <f>IFERROR(VLOOKUP(C33,'تقرير المصروفات حسب الشهر'!$C$135:$AL$252,31,FALSE),0)</f>
        <v>0</v>
      </c>
      <c r="F33" s="362">
        <v>0</v>
      </c>
      <c r="G33" s="362">
        <f>IFERROR(VLOOKUP(C33,'تقرير المصروفات حسب الشهر'!C397:AH510,31,0),0)</f>
        <v>0</v>
      </c>
      <c r="H33" s="362">
        <f>IFERROR(VLOOKUP(C33,'تقرير المصروفات حسب الشهر'!$C$512:$AL$620,31,FALSE),0)</f>
        <v>0</v>
      </c>
      <c r="I33" s="362">
        <f>IFERROR(VLOOKUP(C33,'تقرير المصروفات حسب الشهر'!$C$637:$AI$748,31,FALSE),0)</f>
        <v>0</v>
      </c>
      <c r="J33" s="362">
        <f>IFERROR(VLOOKUP(C33,'تقرير المصروفات حسب الشهر'!$C$763:$AI$877,31,FALSE),0)</f>
        <v>0</v>
      </c>
      <c r="K33" s="362">
        <f>IFERROR(VLOOKUP(C33,'تقرير المصروفات حسب الشهر'!$C$890:$AI$1007,31,FALSE),0)</f>
        <v>0</v>
      </c>
      <c r="L33" s="362">
        <f>IFERROR(VLOOKUP(C33,'تقرير المصروفات حسب الشهر'!$C$1016:$AI$1131,31,FALSE),0)</f>
        <v>0</v>
      </c>
      <c r="M33" s="376">
        <f>IFERROR(VLOOKUP(C33,'تقرير المصروفات حسب الشهر'!$C$1143:$AI$1290,31,FALSE),0)</f>
        <v>0</v>
      </c>
      <c r="N33" s="376">
        <f>IFERROR(VLOOKUP(C33,'تقرير المصروفات حسب الشهر'!$C$1271:$AI$1385,31,FALSE),0)</f>
        <v>0</v>
      </c>
      <c r="O33" s="376">
        <f>IFERROR(VLOOKUP(C33,'تقرير المصروفات حسب الشهر'!$C$1397:$AI$1512,31,FALSE),0)</f>
        <v>0</v>
      </c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الشهر'!$C$10:$AL$124,31,FALSE),0)</f>
        <v>0</v>
      </c>
      <c r="E34" s="362">
        <f>IFERROR(VLOOKUP(C34,'تقرير المصروفات حسب الشهر'!$C$135:$AL$252,31,FALSE),0)</f>
        <v>0</v>
      </c>
      <c r="F34" s="362">
        <v>0</v>
      </c>
      <c r="G34" s="362">
        <f>IFERROR(VLOOKUP(C34,'تقرير المصروفات حسب الشهر'!C398:AH511,31,0),0)</f>
        <v>0</v>
      </c>
      <c r="H34" s="362">
        <f>IFERROR(VLOOKUP(C34,'تقرير المصروفات حسب الشهر'!$C$512:$AL$620,31,FALSE),0)</f>
        <v>0</v>
      </c>
      <c r="I34" s="362">
        <f>IFERROR(VLOOKUP(C34,'تقرير المصروفات حسب الشهر'!$C$637:$AI$748,31,FALSE),0)</f>
        <v>0</v>
      </c>
      <c r="J34" s="362">
        <f>IFERROR(VLOOKUP(C34,'تقرير المصروفات حسب الشهر'!$C$763:$AI$877,31,FALSE),0)</f>
        <v>0</v>
      </c>
      <c r="K34" s="362">
        <f>IFERROR(VLOOKUP(C34,'تقرير المصروفات حسب الشهر'!$C$890:$AI$1007,31,FALSE),0)</f>
        <v>0</v>
      </c>
      <c r="L34" s="362">
        <f>IFERROR(VLOOKUP(C34,'تقرير المصروفات حسب الشهر'!$C$1016:$AI$1131,31,FALSE),0)</f>
        <v>0</v>
      </c>
      <c r="M34" s="376">
        <f>IFERROR(VLOOKUP(C34,'تقرير المصروفات حسب الشهر'!$C$1143:$AI$1290,31,FALSE),0)</f>
        <v>0</v>
      </c>
      <c r="N34" s="376">
        <f>IFERROR(VLOOKUP(C34,'تقرير المصروفات حسب الشهر'!$C$1271:$AI$1385,31,FALSE),0)</f>
        <v>0</v>
      </c>
      <c r="O34" s="376">
        <f>IFERROR(VLOOKUP(C34,'تقرير المصروفات حسب الشهر'!$C$1397:$AI$1512,31,FALSE),0)</f>
        <v>0</v>
      </c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الشهر'!$C$10:$AL$124,31,FALSE),0)</f>
        <v>0</v>
      </c>
      <c r="E35" s="362">
        <f>IFERROR(VLOOKUP(C35,'تقرير المصروفات حسب الشهر'!$C$135:$AL$252,31,FALSE),0)</f>
        <v>0</v>
      </c>
      <c r="F35" s="362">
        <v>0</v>
      </c>
      <c r="G35" s="362">
        <f>IFERROR(VLOOKUP(C35,'تقرير المصروفات حسب الشهر'!C399:AH512,31,0),0)</f>
        <v>0</v>
      </c>
      <c r="H35" s="362">
        <f>IFERROR(VLOOKUP(C35,'تقرير المصروفات حسب الشهر'!$C$512:$AL$620,31,FALSE),0)</f>
        <v>0</v>
      </c>
      <c r="I35" s="362">
        <f>IFERROR(VLOOKUP(C35,'تقرير المصروفات حسب الشهر'!$C$637:$AI$748,31,FALSE),0)</f>
        <v>0</v>
      </c>
      <c r="J35" s="362">
        <f>IFERROR(VLOOKUP(C35,'تقرير المصروفات حسب الشهر'!$C$763:$AI$877,31,FALSE),0)</f>
        <v>0</v>
      </c>
      <c r="K35" s="362">
        <f>IFERROR(VLOOKUP(C35,'تقرير المصروفات حسب الشهر'!$C$890:$AI$1007,31,FALSE),0)</f>
        <v>0</v>
      </c>
      <c r="L35" s="362">
        <f>IFERROR(VLOOKUP(C35,'تقرير المصروفات حسب الشهر'!$C$1016:$AI$1131,31,FALSE),0)</f>
        <v>0</v>
      </c>
      <c r="M35" s="376">
        <f>IFERROR(VLOOKUP(C35,'تقرير المصروفات حسب الشهر'!$C$1143:$AI$1290,31,FALSE),0)</f>
        <v>0</v>
      </c>
      <c r="N35" s="376">
        <f>IFERROR(VLOOKUP(C35,'تقرير المصروفات حسب الشهر'!$C$1271:$AI$1385,31,FALSE),0)</f>
        <v>0</v>
      </c>
      <c r="O35" s="376">
        <f>IFERROR(VLOOKUP(C35,'تقرير المصروفات حسب الشهر'!$C$1397:$AI$1512,31,FALSE),0)</f>
        <v>0</v>
      </c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الشهر'!$C$10:$AL$124,31,FALSE),0)</f>
        <v>0</v>
      </c>
      <c r="E36" s="362">
        <f>IFERROR(VLOOKUP(C36,'تقرير المصروفات حسب الشهر'!$C$135:$AL$252,31,FALSE),0)</f>
        <v>0</v>
      </c>
      <c r="F36" s="362">
        <v>750</v>
      </c>
      <c r="G36" s="362">
        <f>IFERROR(VLOOKUP(C36,'تقرير المصروفات حسب الشهر'!C400:AH513,31,0),0)</f>
        <v>750</v>
      </c>
      <c r="H36" s="362">
        <f>IFERROR(VLOOKUP(C36,'تقرير المصروفات حسب الشهر'!$C$512:$AL$620,31,FALSE),0)</f>
        <v>0</v>
      </c>
      <c r="I36" s="362">
        <f>IFERROR(VLOOKUP(C36,'تقرير المصروفات حسب الشهر'!$C$637:$AI$748,31,FALSE),0)</f>
        <v>0</v>
      </c>
      <c r="J36" s="362">
        <f>IFERROR(VLOOKUP(C36,'تقرير المصروفات حسب الشهر'!$C$763:$AI$877,31,FALSE),0)</f>
        <v>0</v>
      </c>
      <c r="K36" s="362">
        <f>IFERROR(VLOOKUP(C36,'تقرير المصروفات حسب الشهر'!$C$890:$AI$1007,31,FALSE),0)</f>
        <v>0</v>
      </c>
      <c r="L36" s="362">
        <f>IFERROR(VLOOKUP(C36,'تقرير المصروفات حسب الشهر'!$C$1016:$AI$1131,31,FALSE),0)</f>
        <v>0</v>
      </c>
      <c r="M36" s="376">
        <f>IFERROR(VLOOKUP(C36,'تقرير المصروفات حسب الشهر'!$C$1143:$AI$1290,31,FALSE),0)</f>
        <v>0</v>
      </c>
      <c r="N36" s="376">
        <f>IFERROR(VLOOKUP(C36,'تقرير المصروفات حسب الشهر'!$C$1271:$AI$1385,31,FALSE),0)</f>
        <v>0</v>
      </c>
      <c r="O36" s="376">
        <f>IFERROR(VLOOKUP(C36,'تقرير المصروفات حسب الشهر'!$C$1397:$AI$1512,31,FALSE),0)</f>
        <v>770</v>
      </c>
      <c r="P36" s="364">
        <f t="shared" si="5"/>
        <v>2270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الشهر'!$C$10:$AL$124,31,FALSE),0)</f>
        <v>0</v>
      </c>
      <c r="E37" s="362">
        <f>IFERROR(VLOOKUP(C37,'تقرير المصروفات حسب الشهر'!$C$135:$AL$252,31,FALSE),0)</f>
        <v>0</v>
      </c>
      <c r="F37" s="362">
        <v>0</v>
      </c>
      <c r="G37" s="362">
        <f>IFERROR(VLOOKUP(C37,'تقرير المصروفات حسب الشهر'!C401:AH514,31,0),0)</f>
        <v>2250</v>
      </c>
      <c r="H37" s="362">
        <f>IFERROR(VLOOKUP(C37,'تقرير المصروفات حسب الشهر'!$C$512:$AL$620,31,FALSE),0)</f>
        <v>0</v>
      </c>
      <c r="I37" s="362">
        <f>IFERROR(VLOOKUP(C37,'تقرير المصروفات حسب الشهر'!$C$637:$AI$748,31,FALSE),0)</f>
        <v>0</v>
      </c>
      <c r="J37" s="362">
        <f>IFERROR(VLOOKUP(C37,'تقرير المصروفات حسب الشهر'!$C$763:$AI$877,31,FALSE),0)</f>
        <v>0</v>
      </c>
      <c r="K37" s="362">
        <f>IFERROR(VLOOKUP(C37,'تقرير المصروفات حسب الشهر'!$C$890:$AI$1007,31,FALSE),0)</f>
        <v>0</v>
      </c>
      <c r="L37" s="362">
        <f>IFERROR(VLOOKUP(C37,'تقرير المصروفات حسب الشهر'!$C$1016:$AI$1131,31,FALSE),0)</f>
        <v>0</v>
      </c>
      <c r="M37" s="376">
        <f>IFERROR(VLOOKUP(C37,'تقرير المصروفات حسب الشهر'!$C$1143:$AI$1290,31,FALSE),0)</f>
        <v>2250</v>
      </c>
      <c r="N37" s="376">
        <f>IFERROR(VLOOKUP(C37,'تقرير المصروفات حسب الشهر'!$C$1271:$AI$1385,31,FALSE),0)</f>
        <v>0</v>
      </c>
      <c r="O37" s="376">
        <f>IFERROR(VLOOKUP(C37,'تقرير المصروفات حسب الشهر'!$C$1397:$AI$1512,31,FALSE),0)</f>
        <v>2260</v>
      </c>
      <c r="P37" s="364">
        <f t="shared" si="5"/>
        <v>6760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الشهر'!$C$10:$AL$124,31,FALSE),0)</f>
        <v>0</v>
      </c>
      <c r="E38" s="362">
        <f>IFERROR(VLOOKUP(C38,'تقرير المصروفات حسب الشهر'!$C$135:$AL$252,31,FALSE),0)</f>
        <v>0</v>
      </c>
      <c r="F38" s="362">
        <v>0</v>
      </c>
      <c r="G38" s="362">
        <f>IFERROR(VLOOKUP(C38,'تقرير المصروفات حسب الشهر'!C402:AH515,31,0),0)</f>
        <v>0</v>
      </c>
      <c r="H38" s="362">
        <f>IFERROR(VLOOKUP(C38,'تقرير المصروفات حسب الشهر'!$C$512:$AL$620,31,FALSE),0)</f>
        <v>0</v>
      </c>
      <c r="I38" s="362">
        <f>IFERROR(VLOOKUP(C38,'تقرير المصروفات حسب الشهر'!$C$637:$AI$748,31,FALSE),0)</f>
        <v>0</v>
      </c>
      <c r="J38" s="362">
        <f>IFERROR(VLOOKUP(C38,'تقرير المصروفات حسب الشهر'!$C$763:$AI$877,31,FALSE),0)</f>
        <v>0</v>
      </c>
      <c r="K38" s="362">
        <f>IFERROR(VLOOKUP(C38,'تقرير المصروفات حسب الشهر'!$C$890:$AI$1007,31,FALSE),0)</f>
        <v>0</v>
      </c>
      <c r="L38" s="362">
        <f>IFERROR(VLOOKUP(C38,'تقرير المصروفات حسب الشهر'!$C$1016:$AI$1131,31,FALSE),0)</f>
        <v>0</v>
      </c>
      <c r="M38" s="376">
        <f>IFERROR(VLOOKUP(C38,'تقرير المصروفات حسب الشهر'!$C$1143:$AI$1290,31,FALSE),0)</f>
        <v>0</v>
      </c>
      <c r="N38" s="376">
        <f>IFERROR(VLOOKUP(C38,'تقرير المصروفات حسب الشهر'!$C$1271:$AI$1385,31,FALSE),0)</f>
        <v>0</v>
      </c>
      <c r="O38" s="376">
        <f>IFERROR(VLOOKUP(C38,'تقرير المصروفات حسب الشهر'!$C$1397:$AI$1512,31,FALSE),0)</f>
        <v>0</v>
      </c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الشهر'!$C$10:$AL$124,31,FALSE),0)</f>
        <v>0</v>
      </c>
      <c r="E39" s="362">
        <f>IFERROR(VLOOKUP(C39,'تقرير المصروفات حسب الشهر'!$C$135:$AL$252,31,FALSE),0)</f>
        <v>833</v>
      </c>
      <c r="F39" s="362">
        <v>648</v>
      </c>
      <c r="G39" s="362">
        <f>IFERROR(VLOOKUP(C39,'تقرير المصروفات حسب الشهر'!C403:AH516,31,0),0)</f>
        <v>793</v>
      </c>
      <c r="H39" s="362">
        <f>IFERROR(VLOOKUP(C39,'تقرير المصروفات حسب الشهر'!$C$512:$AL$620,31,FALSE),0)</f>
        <v>0</v>
      </c>
      <c r="I39" s="362">
        <f>IFERROR(VLOOKUP(C39,'تقرير المصروفات حسب الشهر'!$C$637:$AI$748,31,FALSE),0)</f>
        <v>0</v>
      </c>
      <c r="J39" s="362">
        <f>IFERROR(VLOOKUP(C39,'تقرير المصروفات حسب الشهر'!$C$763:$AI$877,31,FALSE),0)</f>
        <v>0</v>
      </c>
      <c r="K39" s="362">
        <f>IFERROR(VLOOKUP(C39,'تقرير المصروفات حسب الشهر'!$C$890:$AI$1007,31,FALSE),0)</f>
        <v>0</v>
      </c>
      <c r="L39" s="362">
        <f>IFERROR(VLOOKUP(C39,'تقرير المصروفات حسب الشهر'!$C$1016:$AI$1131,31,FALSE),0)</f>
        <v>0</v>
      </c>
      <c r="M39" s="376">
        <f>IFERROR(VLOOKUP(C39,'تقرير المصروفات حسب الشهر'!$C$1143:$AI$1290,31,FALSE),0)</f>
        <v>0</v>
      </c>
      <c r="N39" s="376">
        <f>IFERROR(VLOOKUP(C39,'تقرير المصروفات حسب الشهر'!$C$1271:$AI$1385,31,FALSE),0)</f>
        <v>506</v>
      </c>
      <c r="O39" s="376">
        <f>IFERROR(VLOOKUP(C39,'تقرير المصروفات حسب الشهر'!$C$1397:$AI$1512,31,FALSE),0)</f>
        <v>835</v>
      </c>
      <c r="P39" s="364">
        <f t="shared" si="5"/>
        <v>3615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الشهر'!$C$10:$AL$124,31,FALSE),0)</f>
        <v>0</v>
      </c>
      <c r="E40" s="362">
        <f>IFERROR(VLOOKUP(C40,'تقرير المصروفات حسب الشهر'!$C$135:$AL$252,31,FALSE),0)</f>
        <v>693.7</v>
      </c>
      <c r="F40" s="362">
        <v>0</v>
      </c>
      <c r="G40" s="362">
        <f>IFERROR(VLOOKUP(C40,'تقرير المصروفات حسب الشهر'!C404:AH517,31,0),0)</f>
        <v>0</v>
      </c>
      <c r="H40" s="362">
        <f>IFERROR(VLOOKUP(C40,'تقرير المصروفات حسب الشهر'!$C$512:$AL$620,31,FALSE),0)</f>
        <v>0</v>
      </c>
      <c r="I40" s="362">
        <f>IFERROR(VLOOKUP(C40,'تقرير المصروفات حسب الشهر'!$C$637:$AI$748,31,FALSE),0)</f>
        <v>0</v>
      </c>
      <c r="J40" s="362">
        <f>IFERROR(VLOOKUP(C40,'تقرير المصروفات حسب الشهر'!$C$763:$AI$877,31,FALSE),0)</f>
        <v>0</v>
      </c>
      <c r="K40" s="362">
        <f>IFERROR(VLOOKUP(C40,'تقرير المصروفات حسب الشهر'!$C$890:$AI$1007,31,FALSE),0)</f>
        <v>0</v>
      </c>
      <c r="L40" s="362">
        <f>IFERROR(VLOOKUP(C40,'تقرير المصروفات حسب الشهر'!$C$1016:$AI$1131,31,FALSE),0)</f>
        <v>0</v>
      </c>
      <c r="M40" s="376">
        <f>IFERROR(VLOOKUP(C40,'تقرير المصروفات حسب الشهر'!$C$1143:$AI$1290,31,FALSE),0)</f>
        <v>0</v>
      </c>
      <c r="N40" s="376">
        <f>IFERROR(VLOOKUP(C40,'تقرير المصروفات حسب الشهر'!$C$1271:$AI$1385,31,FALSE),0)</f>
        <v>0</v>
      </c>
      <c r="O40" s="376">
        <f>IFERROR(VLOOKUP(C40,'تقرير المصروفات حسب الشهر'!$C$1397:$AI$1512,31,FALSE),0)</f>
        <v>0</v>
      </c>
      <c r="P40" s="364">
        <f t="shared" si="5"/>
        <v>693.7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الشهر'!$C$10:$AL$124,31,FALSE),0)</f>
        <v>0</v>
      </c>
      <c r="E41" s="362">
        <f>IFERROR(VLOOKUP(C41,'تقرير المصروفات حسب الشهر'!$C$135:$AL$252,31,FALSE),0)</f>
        <v>0</v>
      </c>
      <c r="F41" s="362">
        <v>0</v>
      </c>
      <c r="G41" s="362">
        <f>IFERROR(VLOOKUP(C41,'تقرير المصروفات حسب الشهر'!C405:AH518,31,0),0)</f>
        <v>0</v>
      </c>
      <c r="H41" s="362">
        <f>IFERROR(VLOOKUP(C41,'تقرير المصروفات حسب الشهر'!$C$512:$AL$620,31,FALSE),0)</f>
        <v>0</v>
      </c>
      <c r="I41" s="362">
        <f>IFERROR(VLOOKUP(C41,'تقرير المصروفات حسب الشهر'!$C$637:$AI$748,31,FALSE),0)</f>
        <v>0</v>
      </c>
      <c r="J41" s="362">
        <f>IFERROR(VLOOKUP(C41,'تقرير المصروفات حسب الشهر'!$C$763:$AI$877,31,FALSE),0)</f>
        <v>0</v>
      </c>
      <c r="K41" s="362">
        <f>IFERROR(VLOOKUP(C41,'تقرير المصروفات حسب الشهر'!$C$890:$AI$1007,31,FALSE),0)</f>
        <v>0</v>
      </c>
      <c r="L41" s="362">
        <f>IFERROR(VLOOKUP(C41,'تقرير المصروفات حسب الشهر'!$C$1016:$AI$1131,31,FALSE),0)</f>
        <v>0</v>
      </c>
      <c r="M41" s="376">
        <f>IFERROR(VLOOKUP(C41,'تقرير المصروفات حسب الشهر'!$C$1143:$AI$1290,31,FALSE),0)</f>
        <v>0</v>
      </c>
      <c r="N41" s="376">
        <f>IFERROR(VLOOKUP(C41,'تقرير المصروفات حسب الشهر'!$C$1271:$AI$1385,31,FALSE),0)</f>
        <v>0</v>
      </c>
      <c r="O41" s="376">
        <f>IFERROR(VLOOKUP(C41,'تقرير المصروفات حسب الشهر'!$C$1397:$AI$1512,31,FALSE),0)</f>
        <v>0</v>
      </c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الشهر'!$C$10:$AL$124,31,FALSE),0)</f>
        <v>0</v>
      </c>
      <c r="E42" s="362">
        <f>IFERROR(VLOOKUP(C42,'تقرير المصروفات حسب الشهر'!$C$135:$AL$252,31,FALSE),0)</f>
        <v>0</v>
      </c>
      <c r="F42" s="362">
        <v>0</v>
      </c>
      <c r="G42" s="362">
        <f>IFERROR(VLOOKUP(C42,'تقرير المصروفات حسب الشهر'!C406:AH519,31,0),0)</f>
        <v>0</v>
      </c>
      <c r="H42" s="362">
        <f>IFERROR(VLOOKUP(C42,'تقرير المصروفات حسب الشهر'!$C$512:$AL$620,31,FALSE),0)</f>
        <v>0</v>
      </c>
      <c r="I42" s="362">
        <f>IFERROR(VLOOKUP(C42,'تقرير المصروفات حسب الشهر'!$C$637:$AI$748,31,FALSE),0)</f>
        <v>0</v>
      </c>
      <c r="J42" s="362">
        <f>IFERROR(VLOOKUP(C42,'تقرير المصروفات حسب الشهر'!$C$763:$AI$877,31,FALSE),0)</f>
        <v>0</v>
      </c>
      <c r="K42" s="362">
        <f>IFERROR(VLOOKUP(C42,'تقرير المصروفات حسب الشهر'!$C$890:$AI$1007,31,FALSE),0)</f>
        <v>0</v>
      </c>
      <c r="L42" s="362">
        <f>IFERROR(VLOOKUP(C42,'تقرير المصروفات حسب الشهر'!$C$1016:$AI$1131,31,FALSE),0)</f>
        <v>0</v>
      </c>
      <c r="M42" s="376">
        <f>IFERROR(VLOOKUP(C42,'تقرير المصروفات حسب الشهر'!$C$1143:$AI$1290,31,FALSE),0)</f>
        <v>0</v>
      </c>
      <c r="N42" s="376">
        <f>IFERROR(VLOOKUP(C42,'تقرير المصروفات حسب الشهر'!$C$1271:$AI$1385,31,FALSE),0)</f>
        <v>0</v>
      </c>
      <c r="O42" s="376">
        <f>IFERROR(VLOOKUP(C42,'تقرير المصروفات حسب الشهر'!$C$1397:$AI$1512,31,FALSE),0)</f>
        <v>0</v>
      </c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الشهر'!$C$10:$AL$124,31,FALSE),0)</f>
        <v>0</v>
      </c>
      <c r="E43" s="362">
        <f>IFERROR(VLOOKUP(C43,'تقرير المصروفات حسب الشهر'!$C$135:$AL$252,31,FALSE),0)</f>
        <v>0</v>
      </c>
      <c r="F43" s="362">
        <v>0</v>
      </c>
      <c r="G43" s="362">
        <f>IFERROR(VLOOKUP(C43,'تقرير المصروفات حسب الشهر'!C407:AH520,31,0),0)</f>
        <v>0</v>
      </c>
      <c r="H43" s="362">
        <f>IFERROR(VLOOKUP(C43,'تقرير المصروفات حسب الشهر'!$C$512:$AL$620,31,FALSE),0)</f>
        <v>0</v>
      </c>
      <c r="I43" s="362">
        <f>IFERROR(VLOOKUP(C43,'تقرير المصروفات حسب الشهر'!$C$637:$AI$748,31,FALSE),0)</f>
        <v>0</v>
      </c>
      <c r="J43" s="362">
        <f>IFERROR(VLOOKUP(C43,'تقرير المصروفات حسب الشهر'!$C$763:$AI$877,31,FALSE),0)</f>
        <v>0</v>
      </c>
      <c r="K43" s="362">
        <f>IFERROR(VLOOKUP(C43,'تقرير المصروفات حسب الشهر'!$C$890:$AI$1007,31,FALSE),0)</f>
        <v>0</v>
      </c>
      <c r="L43" s="362">
        <f>IFERROR(VLOOKUP(C43,'تقرير المصروفات حسب الشهر'!$C$1016:$AI$1131,31,FALSE),0)</f>
        <v>0</v>
      </c>
      <c r="M43" s="376">
        <f>IFERROR(VLOOKUP(C43,'تقرير المصروفات حسب الشهر'!$C$1143:$AI$1290,31,FALSE),0)</f>
        <v>0</v>
      </c>
      <c r="N43" s="376">
        <f>IFERROR(VLOOKUP(C43,'تقرير المصروفات حسب الشهر'!$C$1271:$AI$1385,31,FALSE),0)</f>
        <v>0</v>
      </c>
      <c r="O43" s="376">
        <f>IFERROR(VLOOKUP(C43,'تقرير المصروفات حسب الشهر'!$C$1397:$AI$1512,31,FALSE),0)</f>
        <v>0</v>
      </c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الشهر'!$C$10:$AL$124,31,FALSE),0)</f>
        <v>0</v>
      </c>
      <c r="E44" s="362">
        <f>IFERROR(VLOOKUP(C44,'تقرير المصروفات حسب الشهر'!$C$135:$AL$252,31,FALSE),0)</f>
        <v>0</v>
      </c>
      <c r="F44" s="362">
        <v>0</v>
      </c>
      <c r="G44" s="362">
        <f>IFERROR(VLOOKUP(C44,'تقرير المصروفات حسب الشهر'!C408:AH521,31,0),0)</f>
        <v>0</v>
      </c>
      <c r="H44" s="362">
        <f>IFERROR(VLOOKUP(C44,'تقرير المصروفات حسب الشهر'!$C$512:$AL$620,31,FALSE),0)</f>
        <v>0</v>
      </c>
      <c r="I44" s="362">
        <f>IFERROR(VLOOKUP(C44,'تقرير المصروفات حسب الشهر'!$C$637:$AI$748,31,FALSE),0)</f>
        <v>0</v>
      </c>
      <c r="J44" s="362">
        <f>IFERROR(VLOOKUP(C44,'تقرير المصروفات حسب الشهر'!$C$763:$AI$877,31,FALSE),0)</f>
        <v>0</v>
      </c>
      <c r="K44" s="362">
        <f>IFERROR(VLOOKUP(C44,'تقرير المصروفات حسب الشهر'!$C$890:$AI$1007,31,FALSE),0)</f>
        <v>0</v>
      </c>
      <c r="L44" s="362">
        <f>IFERROR(VLOOKUP(C44,'تقرير المصروفات حسب الشهر'!$C$1016:$AI$1131,31,FALSE),0)</f>
        <v>0</v>
      </c>
      <c r="M44" s="376">
        <f>IFERROR(VLOOKUP(C44,'تقرير المصروفات حسب الشهر'!$C$1143:$AI$1290,31,FALSE),0)</f>
        <v>0</v>
      </c>
      <c r="N44" s="376">
        <f>IFERROR(VLOOKUP(C44,'تقرير المصروفات حسب الشهر'!$C$1271:$AI$1385,31,FALSE),0)</f>
        <v>0</v>
      </c>
      <c r="O44" s="376">
        <f>IFERROR(VLOOKUP(C44,'تقرير المصروفات حسب الشهر'!$C$1397:$AI$1512,31,FALSE),0)</f>
        <v>0</v>
      </c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الشهر'!$C$10:$AL$124,31,FALSE),0)</f>
        <v>0</v>
      </c>
      <c r="E45" s="362">
        <f>IFERROR(VLOOKUP(C45,'تقرير المصروفات حسب الشهر'!$C$135:$AL$252,31,FALSE),0)</f>
        <v>0</v>
      </c>
      <c r="F45" s="362">
        <v>0</v>
      </c>
      <c r="G45" s="362">
        <f>IFERROR(VLOOKUP(C45,'تقرير المصروفات حسب الشهر'!C409:AH522,31,0),0)</f>
        <v>0</v>
      </c>
      <c r="H45" s="362">
        <f>IFERROR(VLOOKUP(C45,'تقرير المصروفات حسب الشهر'!$C$512:$AL$620,31,FALSE),0)</f>
        <v>0</v>
      </c>
      <c r="I45" s="362">
        <f>IFERROR(VLOOKUP(C45,'تقرير المصروفات حسب الشهر'!$C$637:$AI$748,31,FALSE),0)</f>
        <v>0</v>
      </c>
      <c r="J45" s="362">
        <f>IFERROR(VLOOKUP(C45,'تقرير المصروفات حسب الشهر'!$C$763:$AI$877,31,FALSE),0)</f>
        <v>0</v>
      </c>
      <c r="K45" s="362">
        <f>IFERROR(VLOOKUP(C45,'تقرير المصروفات حسب الشهر'!$C$890:$AI$1007,31,FALSE),0)</f>
        <v>0</v>
      </c>
      <c r="L45" s="362">
        <f>IFERROR(VLOOKUP(C45,'تقرير المصروفات حسب الشهر'!$C$1016:$AI$1131,31,FALSE),0)</f>
        <v>0</v>
      </c>
      <c r="M45" s="376">
        <f>IFERROR(VLOOKUP(C45,'تقرير المصروفات حسب الشهر'!$C$1143:$AI$1290,31,FALSE),0)</f>
        <v>0</v>
      </c>
      <c r="N45" s="376">
        <f>IFERROR(VLOOKUP(C45,'تقرير المصروفات حسب الشهر'!$C$1271:$AI$1385,31,FALSE),0)</f>
        <v>0</v>
      </c>
      <c r="O45" s="376">
        <f>IFERROR(VLOOKUP(C45,'تقرير المصروفات حسب الشهر'!$C$1397:$AI$1512,31,FALSE),0)</f>
        <v>0</v>
      </c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الشهر'!$C$10:$AL$124,31,FALSE),0)</f>
        <v>0</v>
      </c>
      <c r="E46" s="362">
        <f>IFERROR(VLOOKUP(C46,'تقرير المصروفات حسب الشهر'!$C$135:$AL$252,31,FALSE),0)</f>
        <v>0</v>
      </c>
      <c r="F46" s="362">
        <v>0</v>
      </c>
      <c r="G46" s="362">
        <f>IFERROR(VLOOKUP(C46,'تقرير المصروفات حسب الشهر'!C410:AH523,31,0),0)</f>
        <v>0</v>
      </c>
      <c r="H46" s="362">
        <f>IFERROR(VLOOKUP(C46,'تقرير المصروفات حسب الشهر'!$C$512:$AL$620,31,FALSE),0)</f>
        <v>0</v>
      </c>
      <c r="I46" s="362">
        <f>IFERROR(VLOOKUP(C46,'تقرير المصروفات حسب الشهر'!$C$637:$AI$748,31,FALSE),0)</f>
        <v>0</v>
      </c>
      <c r="J46" s="362">
        <f>IFERROR(VLOOKUP(C46,'تقرير المصروفات حسب الشهر'!$C$763:$AI$877,31,FALSE),0)</f>
        <v>0</v>
      </c>
      <c r="K46" s="362">
        <f>IFERROR(VLOOKUP(C46,'تقرير المصروفات حسب الشهر'!$C$890:$AI$1007,31,FALSE),0)</f>
        <v>0</v>
      </c>
      <c r="L46" s="362">
        <f>IFERROR(VLOOKUP(C46,'تقرير المصروفات حسب الشهر'!$C$1016:$AI$1131,31,FALSE),0)</f>
        <v>0</v>
      </c>
      <c r="M46" s="376">
        <f>IFERROR(VLOOKUP(C46,'تقرير المصروفات حسب الشهر'!$C$1143:$AI$1290,31,FALSE),0)</f>
        <v>0</v>
      </c>
      <c r="N46" s="376">
        <f>IFERROR(VLOOKUP(C46,'تقرير المصروفات حسب الشهر'!$C$1271:$AI$1385,31,FALSE),0)</f>
        <v>0</v>
      </c>
      <c r="O46" s="376">
        <f>IFERROR(VLOOKUP(C46,'تقرير المصروفات حسب الشهر'!$C$1397:$AI$1512,31,FALSE),0)</f>
        <v>0</v>
      </c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الشهر'!$C$10:$AL$124,31,FALSE),0)</f>
        <v>0</v>
      </c>
      <c r="E47" s="362">
        <f>IFERROR(VLOOKUP(C47,'تقرير المصروفات حسب الشهر'!$C$135:$AL$252,31,FALSE),0)</f>
        <v>0</v>
      </c>
      <c r="F47" s="362">
        <v>0</v>
      </c>
      <c r="G47" s="362">
        <f>IFERROR(VLOOKUP(C47,'تقرير المصروفات حسب الشهر'!C411:AH524,31,0),0)</f>
        <v>0</v>
      </c>
      <c r="H47" s="362">
        <f>IFERROR(VLOOKUP(C47,'تقرير المصروفات حسب الشهر'!$C$512:$AL$620,31,FALSE),0)</f>
        <v>0</v>
      </c>
      <c r="I47" s="362">
        <f>IFERROR(VLOOKUP(C47,'تقرير المصروفات حسب الشهر'!$C$637:$AI$748,31,FALSE),0)</f>
        <v>0</v>
      </c>
      <c r="J47" s="362">
        <f>IFERROR(VLOOKUP(C47,'تقرير المصروفات حسب الشهر'!$C$763:$AI$877,31,FALSE),0)</f>
        <v>0</v>
      </c>
      <c r="K47" s="362">
        <f>IFERROR(VLOOKUP(C47,'تقرير المصروفات حسب الشهر'!$C$890:$AI$1007,31,FALSE),0)</f>
        <v>0</v>
      </c>
      <c r="L47" s="362">
        <f>IFERROR(VLOOKUP(C47,'تقرير المصروفات حسب الشهر'!$C$1016:$AI$1131,31,FALSE),0)</f>
        <v>0</v>
      </c>
      <c r="M47" s="376">
        <f>IFERROR(VLOOKUP(C47,'تقرير المصروفات حسب الشهر'!$C$1143:$AI$1290,31,FALSE),0)</f>
        <v>0</v>
      </c>
      <c r="N47" s="376">
        <f>IFERROR(VLOOKUP(C47,'تقرير المصروفات حسب الشهر'!$C$1271:$AI$1385,31,FALSE),0)</f>
        <v>0</v>
      </c>
      <c r="O47" s="376">
        <f>IFERROR(VLOOKUP(C47,'تقرير المصروفات حسب الشهر'!$C$1397:$AI$1512,31,FALSE),0)</f>
        <v>0</v>
      </c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الشهر'!$C$10:$AL$124,31,FALSE),0)</f>
        <v>0</v>
      </c>
      <c r="E48" s="362">
        <f>IFERROR(VLOOKUP(C48,'تقرير المصروفات حسب الشهر'!$C$135:$AL$252,31,FALSE),0)</f>
        <v>0</v>
      </c>
      <c r="F48" s="362">
        <v>0</v>
      </c>
      <c r="G48" s="362">
        <f>IFERROR(VLOOKUP(C48,'تقرير المصروفات حسب الشهر'!C412:AH525,31,0),0)</f>
        <v>0</v>
      </c>
      <c r="H48" s="362">
        <f>IFERROR(VLOOKUP(C48,'تقرير المصروفات حسب الشهر'!$C$512:$AL$620,31,FALSE),0)</f>
        <v>0</v>
      </c>
      <c r="I48" s="362">
        <f>IFERROR(VLOOKUP(C48,'تقرير المصروفات حسب الشهر'!$C$637:$AI$748,31,FALSE),0)</f>
        <v>0</v>
      </c>
      <c r="J48" s="362">
        <f>IFERROR(VLOOKUP(C48,'تقرير المصروفات حسب الشهر'!$C$763:$AI$877,31,FALSE),0)</f>
        <v>0</v>
      </c>
      <c r="K48" s="362">
        <f>IFERROR(VLOOKUP(C48,'تقرير المصروفات حسب الشهر'!$C$890:$AI$1007,31,FALSE),0)</f>
        <v>0</v>
      </c>
      <c r="L48" s="362">
        <f>IFERROR(VLOOKUP(C48,'تقرير المصروفات حسب الشهر'!$C$1016:$AI$1131,31,FALSE),0)</f>
        <v>0</v>
      </c>
      <c r="M48" s="376">
        <f>IFERROR(VLOOKUP(C48,'تقرير المصروفات حسب الشهر'!$C$1143:$AI$1290,31,FALSE),0)</f>
        <v>0</v>
      </c>
      <c r="N48" s="376">
        <f>IFERROR(VLOOKUP(C48,'تقرير المصروفات حسب الشهر'!$C$1271:$AI$1385,31,FALSE),0)</f>
        <v>0</v>
      </c>
      <c r="O48" s="376">
        <f>IFERROR(VLOOKUP(C48,'تقرير المصروفات حسب الشهر'!$C$1397:$AI$1512,31,FALSE),0)</f>
        <v>0</v>
      </c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الشهر'!$C$10:$AL$124,31,FALSE),0)</f>
        <v>0</v>
      </c>
      <c r="E49" s="362">
        <f>IFERROR(VLOOKUP(C49,'تقرير المصروفات حسب الشهر'!$C$135:$AL$252,31,FALSE),0)</f>
        <v>0</v>
      </c>
      <c r="F49" s="362">
        <v>0</v>
      </c>
      <c r="G49" s="362">
        <f>IFERROR(VLOOKUP(C49,'تقرير المصروفات حسب الشهر'!C413:AH526,31,0),0)</f>
        <v>0</v>
      </c>
      <c r="H49" s="362">
        <f>IFERROR(VLOOKUP(C49,'تقرير المصروفات حسب الشهر'!$C$512:$AL$620,31,FALSE),0)</f>
        <v>0</v>
      </c>
      <c r="I49" s="362">
        <f>IFERROR(VLOOKUP(C49,'تقرير المصروفات حسب الشهر'!$C$637:$AI$748,31,FALSE),0)</f>
        <v>0</v>
      </c>
      <c r="J49" s="362">
        <f>IFERROR(VLOOKUP(C49,'تقرير المصروفات حسب الشهر'!$C$763:$AI$877,31,FALSE),0)</f>
        <v>0</v>
      </c>
      <c r="K49" s="362">
        <f>IFERROR(VLOOKUP(C49,'تقرير المصروفات حسب الشهر'!$C$890:$AI$1007,31,FALSE),0)</f>
        <v>0</v>
      </c>
      <c r="L49" s="362">
        <f>IFERROR(VLOOKUP(C49,'تقرير المصروفات حسب الشهر'!$C$1016:$AI$1131,31,FALSE),0)</f>
        <v>0</v>
      </c>
      <c r="M49" s="376">
        <f>IFERROR(VLOOKUP(C49,'تقرير المصروفات حسب الشهر'!$C$1143:$AI$1290,31,FALSE),0)</f>
        <v>0</v>
      </c>
      <c r="N49" s="376">
        <f>IFERROR(VLOOKUP(C49,'تقرير المصروفات حسب الشهر'!$C$1271:$AI$1385,31,FALSE),0)</f>
        <v>0</v>
      </c>
      <c r="O49" s="376">
        <f>IFERROR(VLOOKUP(C49,'تقرير المصروفات حسب الشهر'!$C$1397:$AI$1512,31,FALSE),0)</f>
        <v>0</v>
      </c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الشهر'!$C$10:$AL$124,31,FALSE),0)</f>
        <v>0</v>
      </c>
      <c r="E50" s="362">
        <f>IFERROR(VLOOKUP(C50,'تقرير المصروفات حسب الشهر'!$C$135:$AL$252,31,FALSE),0)</f>
        <v>0</v>
      </c>
      <c r="F50" s="362">
        <v>0</v>
      </c>
      <c r="G50" s="362">
        <f>IFERROR(VLOOKUP(C50,'تقرير المصروفات حسب الشهر'!C414:AH527,31,0),0)</f>
        <v>0</v>
      </c>
      <c r="H50" s="362">
        <f>IFERROR(VLOOKUP(C50,'تقرير المصروفات حسب الشهر'!$C$512:$AL$620,31,FALSE),0)</f>
        <v>0</v>
      </c>
      <c r="I50" s="362">
        <f>IFERROR(VLOOKUP(C50,'تقرير المصروفات حسب الشهر'!$C$637:$AI$748,31,FALSE),0)</f>
        <v>0</v>
      </c>
      <c r="J50" s="362">
        <f>IFERROR(VLOOKUP(C50,'تقرير المصروفات حسب الشهر'!$C$763:$AI$877,31,FALSE),0)</f>
        <v>0</v>
      </c>
      <c r="K50" s="362">
        <f>IFERROR(VLOOKUP(C50,'تقرير المصروفات حسب الشهر'!$C$890:$AI$1007,31,FALSE),0)</f>
        <v>0</v>
      </c>
      <c r="L50" s="362">
        <f>IFERROR(VLOOKUP(C50,'تقرير المصروفات حسب الشهر'!$C$1016:$AI$1131,31,FALSE),0)</f>
        <v>0</v>
      </c>
      <c r="M50" s="376">
        <f>IFERROR(VLOOKUP(C50,'تقرير المصروفات حسب الشهر'!$C$1143:$AI$1290,31,FALSE),0)</f>
        <v>0</v>
      </c>
      <c r="N50" s="376">
        <f>IFERROR(VLOOKUP(C50,'تقرير المصروفات حسب الشهر'!$C$1271:$AI$1385,31,FALSE),0)</f>
        <v>0</v>
      </c>
      <c r="O50" s="376">
        <f>IFERROR(VLOOKUP(C50,'تقرير المصروفات حسب الشهر'!$C$1397:$AI$1512,31,FALSE),0)</f>
        <v>0</v>
      </c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الشهر'!$C$10:$AL$124,31,FALSE),0)</f>
        <v>0</v>
      </c>
      <c r="E51" s="362">
        <f>IFERROR(VLOOKUP(C51,'تقرير المصروفات حسب الشهر'!$C$135:$AL$252,31,FALSE),0)</f>
        <v>0</v>
      </c>
      <c r="F51" s="362">
        <v>0</v>
      </c>
      <c r="G51" s="362">
        <f>IFERROR(VLOOKUP(C51,'تقرير المصروفات حسب الشهر'!C415:AH528,31,0),0)</f>
        <v>0</v>
      </c>
      <c r="H51" s="362">
        <f>IFERROR(VLOOKUP(C51,'تقرير المصروفات حسب الشهر'!$C$512:$AL$620,31,FALSE),0)</f>
        <v>0</v>
      </c>
      <c r="I51" s="362">
        <f>IFERROR(VLOOKUP(C51,'تقرير المصروفات حسب الشهر'!$C$637:$AI$748,31,FALSE),0)</f>
        <v>0</v>
      </c>
      <c r="J51" s="362">
        <f>IFERROR(VLOOKUP(C51,'تقرير المصروفات حسب الشهر'!$C$763:$AI$877,31,FALSE),0)</f>
        <v>0</v>
      </c>
      <c r="K51" s="362">
        <f>IFERROR(VLOOKUP(C51,'تقرير المصروفات حسب الشهر'!$C$890:$AI$1007,31,FALSE),0)</f>
        <v>0</v>
      </c>
      <c r="L51" s="362">
        <f>IFERROR(VLOOKUP(C51,'تقرير المصروفات حسب الشهر'!$C$1016:$AI$1131,31,FALSE),0)</f>
        <v>0</v>
      </c>
      <c r="M51" s="376">
        <f>IFERROR(VLOOKUP(C51,'تقرير المصروفات حسب الشهر'!$C$1143:$AI$1290,31,FALSE),0)</f>
        <v>0</v>
      </c>
      <c r="N51" s="376">
        <f>IFERROR(VLOOKUP(C51,'تقرير المصروفات حسب الشهر'!$C$1271:$AI$1385,31,FALSE),0)</f>
        <v>0</v>
      </c>
      <c r="O51" s="376">
        <f>IFERROR(VLOOKUP(C51,'تقرير المصروفات حسب الشهر'!$C$1397:$AI$1512,31,FALSE),0)</f>
        <v>150</v>
      </c>
      <c r="P51" s="364">
        <f t="shared" si="5"/>
        <v>150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الشهر'!$C$10:$AL$124,31,FALSE),0)</f>
        <v>1500</v>
      </c>
      <c r="E52" s="362">
        <f>IFERROR(VLOOKUP(C52,'تقرير المصروفات حسب الشهر'!$C$135:$AL$252,31,FALSE),0)</f>
        <v>3750</v>
      </c>
      <c r="F52" s="362">
        <v>0</v>
      </c>
      <c r="G52" s="362">
        <f>IFERROR(VLOOKUP(C52,'تقرير المصروفات حسب الشهر'!C416:AH529,31,0),0)</f>
        <v>0</v>
      </c>
      <c r="H52" s="362">
        <f>IFERROR(VLOOKUP(C52,'تقرير المصروفات حسب الشهر'!$C$512:$AL$620,31,FALSE),0)</f>
        <v>0</v>
      </c>
      <c r="I52" s="362">
        <f>IFERROR(VLOOKUP(C52,'تقرير المصروفات حسب الشهر'!$C$637:$AI$748,31,FALSE),0)</f>
        <v>0</v>
      </c>
      <c r="J52" s="362">
        <f>IFERROR(VLOOKUP(C52,'تقرير المصروفات حسب الشهر'!$C$763:$AI$877,31,FALSE),0)</f>
        <v>0</v>
      </c>
      <c r="K52" s="362">
        <f>IFERROR(VLOOKUP(C52,'تقرير المصروفات حسب الشهر'!$C$890:$AI$1007,31,FALSE),0)</f>
        <v>0</v>
      </c>
      <c r="L52" s="362">
        <f>IFERROR(VLOOKUP(C52,'تقرير المصروفات حسب الشهر'!$C$1016:$AI$1131,31,FALSE),0)</f>
        <v>0</v>
      </c>
      <c r="M52" s="376">
        <f>IFERROR(VLOOKUP(C52,'تقرير المصروفات حسب الشهر'!$C$1143:$AI$1290,31,FALSE),0)</f>
        <v>0</v>
      </c>
      <c r="N52" s="376">
        <f>IFERROR(VLOOKUP(C52,'تقرير المصروفات حسب الشهر'!$C$1271:$AI$1385,31,FALSE),0)</f>
        <v>0</v>
      </c>
      <c r="O52" s="376">
        <f>IFERROR(VLOOKUP(C52,'تقرير المصروفات حسب الشهر'!$C$1397:$AI$1512,31,FALSE),0)</f>
        <v>0</v>
      </c>
      <c r="P52" s="364">
        <f t="shared" si="5"/>
        <v>5250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الشهر'!$C$10:$AL$124,31,FALSE),0)</f>
        <v>0</v>
      </c>
      <c r="E53" s="362">
        <f>IFERROR(VLOOKUP(C53,'تقرير المصروفات حسب الشهر'!$C$135:$AL$252,31,FALSE),0)</f>
        <v>0</v>
      </c>
      <c r="F53" s="362">
        <v>0</v>
      </c>
      <c r="G53" s="362">
        <f>IFERROR(VLOOKUP(C53,'تقرير المصروفات حسب الشهر'!C417:AH530,31,0),0)</f>
        <v>0</v>
      </c>
      <c r="H53" s="362">
        <f>IFERROR(VLOOKUP(C53,'تقرير المصروفات حسب الشهر'!$C$512:$AL$620,31,FALSE),0)</f>
        <v>0</v>
      </c>
      <c r="I53" s="362">
        <f>IFERROR(VLOOKUP(C53,'تقرير المصروفات حسب الشهر'!$C$637:$AI$748,31,FALSE),0)</f>
        <v>0</v>
      </c>
      <c r="J53" s="362">
        <f>IFERROR(VLOOKUP(C53,'تقرير المصروفات حسب الشهر'!$C$763:$AI$877,31,FALSE),0)</f>
        <v>0</v>
      </c>
      <c r="K53" s="362">
        <f>IFERROR(VLOOKUP(C53,'تقرير المصروفات حسب الشهر'!$C$890:$AI$1007,31,FALSE),0)</f>
        <v>0</v>
      </c>
      <c r="L53" s="362">
        <f>IFERROR(VLOOKUP(C53,'تقرير المصروفات حسب الشهر'!$C$1016:$AI$1131,31,FALSE),0)</f>
        <v>0</v>
      </c>
      <c r="M53" s="376">
        <f>IFERROR(VLOOKUP(C53,'تقرير المصروفات حسب الشهر'!$C$1143:$AI$1290,31,FALSE),0)</f>
        <v>0</v>
      </c>
      <c r="N53" s="376">
        <f>IFERROR(VLOOKUP(C53,'تقرير المصروفات حسب الشهر'!$C$1271:$AI$1385,31,FALSE),0)</f>
        <v>0</v>
      </c>
      <c r="O53" s="376">
        <f>IFERROR(VLOOKUP(C53,'تقرير المصروفات حسب الشهر'!$C$1397:$AI$1512,31,FALSE),0)</f>
        <v>0</v>
      </c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الشهر'!$C$10:$AL$124,31,FALSE),0)</f>
        <v>0</v>
      </c>
      <c r="E54" s="362">
        <f>IFERROR(VLOOKUP(C54,'تقرير المصروفات حسب الشهر'!$C$135:$AL$252,31,FALSE),0)</f>
        <v>0</v>
      </c>
      <c r="F54" s="362">
        <v>0</v>
      </c>
      <c r="G54" s="362">
        <f>IFERROR(VLOOKUP(C54,'تقرير المصروفات حسب الشهر'!C418:AH531,31,0),0)</f>
        <v>0</v>
      </c>
      <c r="H54" s="362">
        <f>IFERROR(VLOOKUP(C54,'تقرير المصروفات حسب الشهر'!$C$512:$AL$620,31,FALSE),0)</f>
        <v>0</v>
      </c>
      <c r="I54" s="362">
        <f>IFERROR(VLOOKUP(C54,'تقرير المصروفات حسب الشهر'!$C$637:$AI$748,31,FALSE),0)</f>
        <v>0</v>
      </c>
      <c r="J54" s="362">
        <f>IFERROR(VLOOKUP(C54,'تقرير المصروفات حسب الشهر'!$C$763:$AI$877,31,FALSE),0)</f>
        <v>0</v>
      </c>
      <c r="K54" s="362">
        <f>IFERROR(VLOOKUP(C54,'تقرير المصروفات حسب الشهر'!$C$890:$AI$1007,31,FALSE),0)</f>
        <v>400</v>
      </c>
      <c r="L54" s="362">
        <f>IFERROR(VLOOKUP(C54,'تقرير المصروفات حسب الشهر'!$C$1016:$AI$1131,31,FALSE),0)</f>
        <v>0</v>
      </c>
      <c r="M54" s="376">
        <f>IFERROR(VLOOKUP(C54,'تقرير المصروفات حسب الشهر'!$C$1143:$AI$1290,31,FALSE),0)</f>
        <v>0</v>
      </c>
      <c r="N54" s="376">
        <f>IFERROR(VLOOKUP(C54,'تقرير المصروفات حسب الشهر'!$C$1271:$AI$1385,31,FALSE),0)</f>
        <v>0</v>
      </c>
      <c r="O54" s="376">
        <f>IFERROR(VLOOKUP(C54,'تقرير المصروفات حسب الشهر'!$C$1397:$AI$1512,31,FALSE),0)</f>
        <v>0</v>
      </c>
      <c r="P54" s="364">
        <f t="shared" si="5"/>
        <v>400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الشهر'!$C$10:$AL$124,31,FALSE),0)</f>
        <v>0</v>
      </c>
      <c r="E55" s="362">
        <f>IFERROR(VLOOKUP(C55,'تقرير المصروفات حسب الشهر'!$C$135:$AL$252,31,FALSE),0)</f>
        <v>0</v>
      </c>
      <c r="F55" s="362">
        <v>0</v>
      </c>
      <c r="G55" s="362">
        <f>IFERROR(VLOOKUP(C55,'تقرير المصروفات حسب الشهر'!C419:AH532,31,0),0)</f>
        <v>0</v>
      </c>
      <c r="H55" s="362">
        <f>IFERROR(VLOOKUP(C55,'تقرير المصروفات حسب الشهر'!$C$512:$AL$620,31,FALSE),0)</f>
        <v>0</v>
      </c>
      <c r="I55" s="362">
        <f>IFERROR(VLOOKUP(C55,'تقرير المصروفات حسب الشهر'!$C$637:$AI$748,31,FALSE),0)</f>
        <v>0</v>
      </c>
      <c r="J55" s="362">
        <f>IFERROR(VLOOKUP(C55,'تقرير المصروفات حسب الشهر'!$C$763:$AI$877,31,FALSE),0)</f>
        <v>0</v>
      </c>
      <c r="K55" s="362">
        <f>IFERROR(VLOOKUP(C55,'تقرير المصروفات حسب الشهر'!$C$890:$AI$1007,31,FALSE),0)</f>
        <v>0</v>
      </c>
      <c r="L55" s="362">
        <f>IFERROR(VLOOKUP(C55,'تقرير المصروفات حسب الشهر'!$C$1016:$AI$1131,31,FALSE),0)</f>
        <v>0</v>
      </c>
      <c r="M55" s="376">
        <f>IFERROR(VLOOKUP(C55,'تقرير المصروفات حسب الشهر'!$C$1143:$AI$1290,31,FALSE),0)</f>
        <v>0</v>
      </c>
      <c r="N55" s="376">
        <f>IFERROR(VLOOKUP(C55,'تقرير المصروفات حسب الشهر'!$C$1271:$AI$1385,31,FALSE),0)</f>
        <v>0</v>
      </c>
      <c r="O55" s="376">
        <f>IFERROR(VLOOKUP(C55,'تقرير المصروفات حسب الشهر'!$C$1397:$AI$1512,31,FALSE),0)</f>
        <v>0</v>
      </c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الشهر'!$C$10:$AL$124,31,FALSE),0)</f>
        <v>0</v>
      </c>
      <c r="E56" s="362">
        <f>IFERROR(VLOOKUP(C56,'تقرير المصروفات حسب الشهر'!$C$135:$AL$252,31,FALSE),0)</f>
        <v>0</v>
      </c>
      <c r="F56" s="362">
        <v>0</v>
      </c>
      <c r="G56" s="362">
        <f>IFERROR(VLOOKUP(C56,'تقرير المصروفات حسب الشهر'!C420:AH533,31,0),0)</f>
        <v>0</v>
      </c>
      <c r="H56" s="362">
        <f>IFERROR(VLOOKUP(C56,'تقرير المصروفات حسب الشهر'!$C$512:$AL$620,31,FALSE),0)</f>
        <v>0</v>
      </c>
      <c r="I56" s="362">
        <f>IFERROR(VLOOKUP(C56,'تقرير المصروفات حسب الشهر'!$C$637:$AI$748,31,FALSE),0)</f>
        <v>0</v>
      </c>
      <c r="J56" s="362">
        <f>IFERROR(VLOOKUP(C56,'تقرير المصروفات حسب الشهر'!$C$763:$AI$877,31,FALSE),0)</f>
        <v>0</v>
      </c>
      <c r="K56" s="362">
        <f>IFERROR(VLOOKUP(C56,'تقرير المصروفات حسب الشهر'!$C$890:$AI$1007,31,FALSE),0)</f>
        <v>0</v>
      </c>
      <c r="L56" s="362">
        <f>IFERROR(VLOOKUP(C56,'تقرير المصروفات حسب الشهر'!$C$1016:$AI$1131,31,FALSE),0)</f>
        <v>0</v>
      </c>
      <c r="M56" s="376">
        <f>IFERROR(VLOOKUP(C56,'تقرير المصروفات حسب الشهر'!$C$1143:$AI$1290,31,FALSE),0)</f>
        <v>0</v>
      </c>
      <c r="N56" s="376">
        <f>IFERROR(VLOOKUP(C56,'تقرير المصروفات حسب الشهر'!$C$1271:$AI$1385,31,FALSE),0)</f>
        <v>0</v>
      </c>
      <c r="O56" s="376">
        <f>IFERROR(VLOOKUP(C56,'تقرير المصروفات حسب الشهر'!$C$1397:$AI$1512,31,FALSE),0)</f>
        <v>0</v>
      </c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الشهر'!$C$10:$AL$124,31,FALSE),0)</f>
        <v>0</v>
      </c>
      <c r="E57" s="362">
        <f>IFERROR(VLOOKUP(C57,'تقرير المصروفات حسب الشهر'!$C$135:$AL$252,31,FALSE),0)</f>
        <v>0</v>
      </c>
      <c r="F57" s="362">
        <v>0</v>
      </c>
      <c r="G57" s="362">
        <f>IFERROR(VLOOKUP(C57,'تقرير المصروفات حسب الشهر'!C421:AH534,31,0),0)</f>
        <v>0</v>
      </c>
      <c r="H57" s="362">
        <f>IFERROR(VLOOKUP(C57,'تقرير المصروفات حسب الشهر'!$C$512:$AL$620,31,FALSE),0)</f>
        <v>0</v>
      </c>
      <c r="I57" s="362">
        <f>IFERROR(VLOOKUP(C57,'تقرير المصروفات حسب الشهر'!$C$637:$AI$748,31,FALSE),0)</f>
        <v>0</v>
      </c>
      <c r="J57" s="362">
        <f>IFERROR(VLOOKUP(C57,'تقرير المصروفات حسب الشهر'!$C$763:$AI$877,31,FALSE),0)</f>
        <v>0</v>
      </c>
      <c r="K57" s="362">
        <f>IFERROR(VLOOKUP(C57,'تقرير المصروفات حسب الشهر'!$C$890:$AI$1007,31,FALSE),0)</f>
        <v>0</v>
      </c>
      <c r="L57" s="362">
        <f>IFERROR(VLOOKUP(C57,'تقرير المصروفات حسب الشهر'!$C$1016:$AI$1131,31,FALSE),0)</f>
        <v>0</v>
      </c>
      <c r="M57" s="376">
        <f>IFERROR(VLOOKUP(C57,'تقرير المصروفات حسب الشهر'!$C$1143:$AI$1290,31,FALSE),0)</f>
        <v>0</v>
      </c>
      <c r="N57" s="376">
        <f>IFERROR(VLOOKUP(C57,'تقرير المصروفات حسب الشهر'!$C$1271:$AI$1385,31,FALSE),0)</f>
        <v>0</v>
      </c>
      <c r="O57" s="376">
        <f>IFERROR(VLOOKUP(C57,'تقرير المصروفات حسب الشهر'!$C$1397:$AI$1512,31,FALSE),0)</f>
        <v>0</v>
      </c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الشهر'!$C$10:$AL$124,31,FALSE),0)</f>
        <v>0</v>
      </c>
      <c r="E58" s="362">
        <f>IFERROR(VLOOKUP(C58,'تقرير المصروفات حسب الشهر'!$C$135:$AL$252,31,FALSE),0)</f>
        <v>0</v>
      </c>
      <c r="F58" s="362">
        <v>0</v>
      </c>
      <c r="G58" s="362">
        <f>IFERROR(VLOOKUP(C58,'تقرير المصروفات حسب الشهر'!C422:AH535,31,0),0)</f>
        <v>0</v>
      </c>
      <c r="H58" s="362">
        <f>IFERROR(VLOOKUP(C58,'تقرير المصروفات حسب الشهر'!$C$512:$AL$620,31,FALSE),0)</f>
        <v>0</v>
      </c>
      <c r="I58" s="362">
        <f>IFERROR(VLOOKUP(C58,'تقرير المصروفات حسب الشهر'!$C$637:$AI$748,31,FALSE),0)</f>
        <v>0</v>
      </c>
      <c r="J58" s="362">
        <f>IFERROR(VLOOKUP(C58,'تقرير المصروفات حسب الشهر'!$C$763:$AI$877,31,FALSE),0)</f>
        <v>0</v>
      </c>
      <c r="K58" s="362">
        <f>IFERROR(VLOOKUP(C58,'تقرير المصروفات حسب الشهر'!$C$890:$AI$1007,31,FALSE),0)</f>
        <v>0</v>
      </c>
      <c r="L58" s="362">
        <f>IFERROR(VLOOKUP(C58,'تقرير المصروفات حسب الشهر'!$C$1016:$AI$1131,31,FALSE),0)</f>
        <v>0</v>
      </c>
      <c r="M58" s="376">
        <f>IFERROR(VLOOKUP(C58,'تقرير المصروفات حسب الشهر'!$C$1143:$AI$1290,31,FALSE),0)</f>
        <v>0</v>
      </c>
      <c r="N58" s="376">
        <f>IFERROR(VLOOKUP(C58,'تقرير المصروفات حسب الشهر'!$C$1271:$AI$1385,31,FALSE),0)</f>
        <v>0</v>
      </c>
      <c r="O58" s="376">
        <f>IFERROR(VLOOKUP(C58,'تقرير المصروفات حسب الشهر'!$C$1397:$AI$1512,31,FALSE),0)</f>
        <v>0</v>
      </c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الشهر'!$C$10:$AL$124,31,FALSE),0)</f>
        <v>0</v>
      </c>
      <c r="E59" s="362">
        <f>IFERROR(VLOOKUP(C59,'تقرير المصروفات حسب الشهر'!$C$135:$AL$252,31,FALSE),0)</f>
        <v>0</v>
      </c>
      <c r="F59" s="362">
        <v>1200.25</v>
      </c>
      <c r="G59" s="362">
        <f>IFERROR(VLOOKUP(C59,'تقرير المصروفات حسب الشهر'!C423:AH536,31,0),0)</f>
        <v>2888.5</v>
      </c>
      <c r="H59" s="362">
        <f>IFERROR(VLOOKUP(C59,'تقرير المصروفات حسب الشهر'!$C$512:$AL$620,31,FALSE),0)</f>
        <v>0</v>
      </c>
      <c r="I59" s="511">
        <f>IFERROR(VLOOKUP(C59,'تقرير المصروفات حسب الشهر'!$C$637:$AI$748,31,FALSE),0)</f>
        <v>1125.75</v>
      </c>
      <c r="J59" s="362">
        <f>IFERROR(VLOOKUP(C59,'تقرير المصروفات حسب الشهر'!$C$763:$AI$877,31,FALSE),0)</f>
        <v>1300.25</v>
      </c>
      <c r="K59" s="362">
        <f>IFERROR(VLOOKUP(C59,'تقرير المصروفات حسب الشهر'!$C$890:$AI$1007,31,FALSE),0)</f>
        <v>0</v>
      </c>
      <c r="L59" s="362">
        <f>IFERROR(VLOOKUP(C59,'تقرير المصروفات حسب الشهر'!$C$1016:$AI$1131,31,FALSE),0)</f>
        <v>4999.25</v>
      </c>
      <c r="M59" s="376">
        <f>IFERROR(VLOOKUP(C59,'تقرير المصروفات حسب الشهر'!$C$1143:$AI$1290,31,FALSE),0)</f>
        <v>4666.25</v>
      </c>
      <c r="N59" s="376">
        <f>IFERROR(VLOOKUP(C59,'تقرير المصروفات حسب الشهر'!$C$1271:$AI$1385,31,FALSE),0)</f>
        <v>900.5</v>
      </c>
      <c r="O59" s="376">
        <f>IFERROR(VLOOKUP(C59,'تقرير المصروفات حسب الشهر'!$C$1397:$AI$1512,31,FALSE),0)</f>
        <v>3900.25</v>
      </c>
      <c r="P59" s="364">
        <f t="shared" si="5"/>
        <v>20981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الشهر'!$C$10:$AL$124,31,FALSE),0)</f>
        <v>5200</v>
      </c>
      <c r="E60" s="362">
        <f>IFERROR(VLOOKUP(C60,'تقرير المصروفات حسب الشهر'!$C$135:$AL$252,31,FALSE),0)</f>
        <v>0</v>
      </c>
      <c r="F60" s="362">
        <v>6000</v>
      </c>
      <c r="G60" s="362">
        <f>IFERROR(VLOOKUP(C60,'تقرير المصروفات حسب الشهر'!C424:AH537,31,0),0)</f>
        <v>0</v>
      </c>
      <c r="H60" s="362">
        <f>IFERROR(VLOOKUP(C60,'تقرير المصروفات حسب الشهر'!$C$512:$AL$620,31,FALSE),0)</f>
        <v>0</v>
      </c>
      <c r="I60" s="362">
        <f>IFERROR(VLOOKUP(C60,'تقرير المصروفات حسب الشهر'!$C$637:$AI$748,31,FALSE),0)</f>
        <v>0</v>
      </c>
      <c r="J60" s="362">
        <f>IFERROR(VLOOKUP(C60,'تقرير المصروفات حسب الشهر'!$C$763:$AI$877,31,FALSE),0)</f>
        <v>0</v>
      </c>
      <c r="K60" s="362">
        <f>IFERROR(VLOOKUP(C60,'تقرير المصروفات حسب الشهر'!$C$890:$AI$1007,31,FALSE),0)</f>
        <v>4125</v>
      </c>
      <c r="L60" s="362">
        <f>IFERROR(VLOOKUP(C60,'تقرير المصروفات حسب الشهر'!$C$1016:$AI$1131,31,FALSE),0)</f>
        <v>0</v>
      </c>
      <c r="M60" s="376">
        <f>IFERROR(VLOOKUP(C60,'تقرير المصروفات حسب الشهر'!$C$1143:$AI$1290,31,FALSE),0)</f>
        <v>3300</v>
      </c>
      <c r="N60" s="376">
        <f>IFERROR(VLOOKUP(C60,'تقرير المصروفات حسب الشهر'!$C$1271:$AI$1385,31,FALSE),0)</f>
        <v>0</v>
      </c>
      <c r="O60" s="376">
        <f>IFERROR(VLOOKUP(C60,'تقرير المصروفات حسب الشهر'!$C$1397:$AI$1512,31,FALSE),0)</f>
        <v>2640</v>
      </c>
      <c r="P60" s="364">
        <f t="shared" si="5"/>
        <v>21265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الشهر'!$C$10:$AL$124,31,FALSE),0)</f>
        <v>0</v>
      </c>
      <c r="E61" s="362">
        <f>IFERROR(VLOOKUP(C61,'تقرير المصروفات حسب الشهر'!$C$135:$AL$252,31,FALSE),0)</f>
        <v>0</v>
      </c>
      <c r="F61" s="362">
        <v>0</v>
      </c>
      <c r="G61" s="362">
        <f>IFERROR(VLOOKUP(C61,'تقرير المصروفات حسب الشهر'!C425:AH538,31,0),0)</f>
        <v>0</v>
      </c>
      <c r="H61" s="362">
        <f>IFERROR(VLOOKUP(C61,'تقرير المصروفات حسب الشهر'!$C$512:$AL$620,31,FALSE),0)</f>
        <v>0</v>
      </c>
      <c r="I61" s="362">
        <f>IFERROR(VLOOKUP(C61,'تقرير المصروفات حسب الشهر'!$C$637:$AI$748,31,FALSE),0)</f>
        <v>0</v>
      </c>
      <c r="J61" s="362">
        <f>IFERROR(VLOOKUP(C61,'تقرير المصروفات حسب الشهر'!$C$763:$AI$877,31,FALSE),0)</f>
        <v>0</v>
      </c>
      <c r="K61" s="362">
        <f>IFERROR(VLOOKUP(C61,'تقرير المصروفات حسب الشهر'!$C$890:$AI$1007,31,FALSE),0)</f>
        <v>0</v>
      </c>
      <c r="L61" s="362">
        <f>IFERROR(VLOOKUP(C61,'تقرير المصروفات حسب الشهر'!$C$1016:$AI$1131,31,FALSE),0)</f>
        <v>350</v>
      </c>
      <c r="M61" s="376">
        <f>IFERROR(VLOOKUP(C61,'تقرير المصروفات حسب الشهر'!$C$1143:$AI$1290,31,FALSE),0)</f>
        <v>0</v>
      </c>
      <c r="N61" s="376">
        <f>IFERROR(VLOOKUP(C61,'تقرير المصروفات حسب الشهر'!$C$1271:$AI$1385,31,FALSE),0)</f>
        <v>0</v>
      </c>
      <c r="O61" s="376">
        <f>IFERROR(VLOOKUP(C61,'تقرير المصروفات حسب الشهر'!$C$1397:$AI$1512,31,FALSE),0)</f>
        <v>0</v>
      </c>
      <c r="P61" s="364">
        <f t="shared" si="5"/>
        <v>350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الشهر'!$C$10:$AL$124,31,FALSE),0)</f>
        <v>0</v>
      </c>
      <c r="E62" s="362">
        <f>IFERROR(VLOOKUP(C62,'تقرير المصروفات حسب الشهر'!$C$135:$AL$252,31,FALSE),0)</f>
        <v>0</v>
      </c>
      <c r="F62" s="362">
        <v>0</v>
      </c>
      <c r="G62" s="362">
        <f>IFERROR(VLOOKUP(C62,'تقرير المصروفات حسب الشهر'!C426:AH539,31,0),0)</f>
        <v>0</v>
      </c>
      <c r="H62" s="362">
        <f>IFERROR(VLOOKUP(C62,'تقرير المصروفات حسب الشهر'!$C$512:$AL$620,31,FALSE),0)</f>
        <v>0</v>
      </c>
      <c r="I62" s="362">
        <f>IFERROR(VLOOKUP(C62,'تقرير المصروفات حسب الشهر'!$C$637:$AI$748,31,FALSE),0)</f>
        <v>0</v>
      </c>
      <c r="J62" s="362">
        <f>IFERROR(VLOOKUP(C62,'تقرير المصروفات حسب الشهر'!$C$763:$AI$877,31,FALSE),0)</f>
        <v>0</v>
      </c>
      <c r="K62" s="362">
        <f>IFERROR(VLOOKUP(C62,'تقرير المصروفات حسب الشهر'!$C$890:$AI$1007,31,FALSE),0)</f>
        <v>0</v>
      </c>
      <c r="L62" s="362">
        <f>IFERROR(VLOOKUP(C62,'تقرير المصروفات حسب الشهر'!$C$1016:$AI$1131,31,FALSE),0)</f>
        <v>0</v>
      </c>
      <c r="M62" s="376">
        <f>IFERROR(VLOOKUP(C62,'تقرير المصروفات حسب الشهر'!$C$1143:$AI$1290,31,FALSE),0)</f>
        <v>0</v>
      </c>
      <c r="N62" s="376">
        <f>IFERROR(VLOOKUP(C62,'تقرير المصروفات حسب الشهر'!$C$1271:$AI$1385,31,FALSE),0)</f>
        <v>0</v>
      </c>
      <c r="O62" s="376">
        <f>IFERROR(VLOOKUP(C62,'تقرير المصروفات حسب الشهر'!$C$1397:$AI$1512,31,FALSE),0)</f>
        <v>0</v>
      </c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الشهر'!$C$10:$AL$124,31,FALSE),0)</f>
        <v>0</v>
      </c>
      <c r="E63" s="362">
        <f>IFERROR(VLOOKUP(C63,'تقرير المصروفات حسب الشهر'!$C$135:$AL$252,31,FALSE),0)</f>
        <v>0</v>
      </c>
      <c r="F63" s="362">
        <v>0</v>
      </c>
      <c r="G63" s="362">
        <f>IFERROR(VLOOKUP(C63,'تقرير المصروفات حسب الشهر'!C427:AH540,31,0),0)</f>
        <v>0</v>
      </c>
      <c r="H63" s="362">
        <f>IFERROR(VLOOKUP(C63,'تقرير المصروفات حسب الشهر'!$C$512:$AL$620,31,FALSE),0)</f>
        <v>0</v>
      </c>
      <c r="I63" s="362">
        <f>IFERROR(VLOOKUP(C63,'تقرير المصروفات حسب الشهر'!$C$637:$AI$748,31,FALSE),0)</f>
        <v>0</v>
      </c>
      <c r="J63" s="362">
        <f>IFERROR(VLOOKUP(C63,'تقرير المصروفات حسب الشهر'!$C$763:$AI$877,31,FALSE),0)</f>
        <v>0</v>
      </c>
      <c r="K63" s="362">
        <f>IFERROR(VLOOKUP(C63,'تقرير المصروفات حسب الشهر'!$C$890:$AI$1007,31,FALSE),0)</f>
        <v>0</v>
      </c>
      <c r="L63" s="362">
        <f>IFERROR(VLOOKUP(C63,'تقرير المصروفات حسب الشهر'!$C$1016:$AI$1131,31,FALSE),0)</f>
        <v>0</v>
      </c>
      <c r="M63" s="376">
        <f>IFERROR(VLOOKUP(C63,'تقرير المصروفات حسب الشهر'!$C$1143:$AI$1290,31,FALSE),0)</f>
        <v>0</v>
      </c>
      <c r="N63" s="376">
        <f>IFERROR(VLOOKUP(C63,'تقرير المصروفات حسب الشهر'!$C$1271:$AI$1385,31,FALSE),0)</f>
        <v>0</v>
      </c>
      <c r="O63" s="376">
        <f>IFERROR(VLOOKUP(C63,'تقرير المصروفات حسب الشهر'!$C$1397:$AI$1512,31,FALSE),0)</f>
        <v>0</v>
      </c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الشهر'!$C$10:$AL$124,31,FALSE),0)</f>
        <v>0</v>
      </c>
      <c r="E64" s="362">
        <f>IFERROR(VLOOKUP(C64,'تقرير المصروفات حسب الشهر'!$C$135:$AL$252,31,FALSE),0)</f>
        <v>220</v>
      </c>
      <c r="F64" s="362">
        <v>0</v>
      </c>
      <c r="G64" s="362">
        <f>IFERROR(VLOOKUP(C64,'تقرير المصروفات حسب الشهر'!C428:AH541,31,0),0)</f>
        <v>0</v>
      </c>
      <c r="H64" s="362">
        <f>IFERROR(VLOOKUP(C64,'تقرير المصروفات حسب الشهر'!$C$512:$AL$620,31,FALSE),0)</f>
        <v>0</v>
      </c>
      <c r="I64" s="362">
        <f>IFERROR(VLOOKUP(C64,'تقرير المصروفات حسب الشهر'!$C$637:$AI$748,31,FALSE),0)</f>
        <v>0</v>
      </c>
      <c r="J64" s="362">
        <f>IFERROR(VLOOKUP(C64,'تقرير المصروفات حسب الشهر'!$C$763:$AI$877,31,FALSE),0)</f>
        <v>0</v>
      </c>
      <c r="K64" s="362">
        <f>IFERROR(VLOOKUP(C64,'تقرير المصروفات حسب الشهر'!$C$890:$AI$1007,31,FALSE),0)</f>
        <v>0</v>
      </c>
      <c r="L64" s="362">
        <f>IFERROR(VLOOKUP(C64,'تقرير المصروفات حسب الشهر'!$C$1016:$AI$1131,31,FALSE),0)</f>
        <v>0</v>
      </c>
      <c r="M64" s="376">
        <f>IFERROR(VLOOKUP(C64,'تقرير المصروفات حسب الشهر'!$C$1143:$AI$1290,31,FALSE),0)</f>
        <v>0</v>
      </c>
      <c r="N64" s="376">
        <f>IFERROR(VLOOKUP(C64,'تقرير المصروفات حسب الشهر'!$C$1271:$AI$1385,31,FALSE),0)</f>
        <v>0</v>
      </c>
      <c r="O64" s="376">
        <f>IFERROR(VLOOKUP(C64,'تقرير المصروفات حسب الشهر'!$C$1397:$AI$1512,31,FALSE),0)</f>
        <v>0</v>
      </c>
      <c r="P64" s="364">
        <f t="shared" si="5"/>
        <v>220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الشهر'!$C$10:$AL$124,31,FALSE),0)</f>
        <v>0</v>
      </c>
      <c r="E65" s="362">
        <f>IFERROR(VLOOKUP(C65,'تقرير المصروفات حسب الشهر'!$C$135:$AL$252,31,FALSE),0)</f>
        <v>0</v>
      </c>
      <c r="F65" s="362">
        <v>0</v>
      </c>
      <c r="G65" s="362">
        <f>IFERROR(VLOOKUP(C65,'تقرير المصروفات حسب الشهر'!C429:AH542,31,0),0)</f>
        <v>0</v>
      </c>
      <c r="H65" s="362">
        <f>IFERROR(VLOOKUP(C65,'تقرير المصروفات حسب الشهر'!$C$512:$AL$620,31,FALSE),0)</f>
        <v>0</v>
      </c>
      <c r="I65" s="362">
        <f>IFERROR(VLOOKUP(C65,'تقرير المصروفات حسب الشهر'!$C$637:$AI$748,31,FALSE),0)</f>
        <v>0</v>
      </c>
      <c r="J65" s="362">
        <f>IFERROR(VLOOKUP(C65,'تقرير المصروفات حسب الشهر'!$C$763:$AI$877,31,FALSE),0)</f>
        <v>0</v>
      </c>
      <c r="K65" s="362">
        <f>IFERROR(VLOOKUP(C65,'تقرير المصروفات حسب الشهر'!$C$890:$AI$1007,31,FALSE),0)</f>
        <v>0</v>
      </c>
      <c r="L65" s="362">
        <f>IFERROR(VLOOKUP(C65,'تقرير المصروفات حسب الشهر'!$C$1016:$AI$1131,31,FALSE),0)</f>
        <v>0</v>
      </c>
      <c r="M65" s="376">
        <f>IFERROR(VLOOKUP(C65,'تقرير المصروفات حسب الشهر'!$C$1143:$AI$1290,31,FALSE),0)</f>
        <v>0</v>
      </c>
      <c r="N65" s="376">
        <f>IFERROR(VLOOKUP(C65,'تقرير المصروفات حسب الشهر'!$C$1271:$AI$1385,31,FALSE),0)</f>
        <v>0</v>
      </c>
      <c r="O65" s="376">
        <f>IFERROR(VLOOKUP(C65,'تقرير المصروفات حسب الشهر'!$C$1397:$AI$1512,31,FALSE),0)</f>
        <v>0</v>
      </c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الشهر'!$C$10:$AL$124,31,FALSE),0)</f>
        <v>0</v>
      </c>
      <c r="E66" s="362">
        <f>IFERROR(VLOOKUP(C66,'تقرير المصروفات حسب الشهر'!$C$135:$AL$252,31,FALSE),0)</f>
        <v>0</v>
      </c>
      <c r="F66" s="362">
        <v>0</v>
      </c>
      <c r="G66" s="362">
        <f>IFERROR(VLOOKUP(C66,'تقرير المصروفات حسب الشهر'!C430:AH543,31,0),0)</f>
        <v>0</v>
      </c>
      <c r="H66" s="362">
        <f>IFERROR(VLOOKUP(C66,'تقرير المصروفات حسب الشهر'!$C$512:$AL$620,31,FALSE),0)</f>
        <v>0</v>
      </c>
      <c r="I66" s="362">
        <f>IFERROR(VLOOKUP(C66,'تقرير المصروفات حسب الشهر'!$C$637:$AI$748,31,FALSE),0)</f>
        <v>0</v>
      </c>
      <c r="J66" s="362">
        <f>IFERROR(VLOOKUP(C66,'تقرير المصروفات حسب الشهر'!$C$763:$AI$877,31,FALSE),0)</f>
        <v>0</v>
      </c>
      <c r="K66" s="362">
        <f>IFERROR(VLOOKUP(C66,'تقرير المصروفات حسب الشهر'!$C$890:$AI$1007,31,FALSE),0)</f>
        <v>0</v>
      </c>
      <c r="L66" s="362">
        <f>IFERROR(VLOOKUP(C66,'تقرير المصروفات حسب الشهر'!$C$1016:$AI$1131,31,FALSE),0)</f>
        <v>0</v>
      </c>
      <c r="M66" s="376">
        <f>IFERROR(VLOOKUP(C66,'تقرير المصروفات حسب الشهر'!$C$1143:$AI$1290,31,FALSE),0)</f>
        <v>0</v>
      </c>
      <c r="N66" s="376">
        <f>IFERROR(VLOOKUP(C66,'تقرير المصروفات حسب الشهر'!$C$1271:$AI$1385,31,FALSE),0)</f>
        <v>0</v>
      </c>
      <c r="O66" s="376">
        <f>IFERROR(VLOOKUP(C66,'تقرير المصروفات حسب الشهر'!$C$1397:$AI$1512,31,FALSE),0)</f>
        <v>0</v>
      </c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الشهر'!$C$10:$AL$124,31,FALSE),0)</f>
        <v>0</v>
      </c>
      <c r="E67" s="362">
        <f>IFERROR(VLOOKUP(C67,'تقرير المصروفات حسب الشهر'!$C$135:$AL$252,31,FALSE),0)</f>
        <v>0</v>
      </c>
      <c r="F67" s="362">
        <v>0</v>
      </c>
      <c r="G67" s="362">
        <f>IFERROR(VLOOKUP(C67,'تقرير المصروفات حسب الشهر'!C431:AH544,31,0),0)</f>
        <v>0</v>
      </c>
      <c r="H67" s="362">
        <f>IFERROR(VLOOKUP(C67,'تقرير المصروفات حسب الشهر'!$C$512:$AL$620,31,FALSE),0)</f>
        <v>0</v>
      </c>
      <c r="I67" s="362">
        <f>IFERROR(VLOOKUP(C67,'تقرير المصروفات حسب الشهر'!$C$637:$AI$748,31,FALSE),0)</f>
        <v>0</v>
      </c>
      <c r="J67" s="362">
        <f>IFERROR(VLOOKUP(C67,'تقرير المصروفات حسب الشهر'!$C$763:$AI$877,31,FALSE),0)</f>
        <v>0</v>
      </c>
      <c r="K67" s="362">
        <f>IFERROR(VLOOKUP(C67,'تقرير المصروفات حسب الشهر'!$C$890:$AI$1007,31,FALSE),0)</f>
        <v>0</v>
      </c>
      <c r="L67" s="362">
        <f>IFERROR(VLOOKUP(C67,'تقرير المصروفات حسب الشهر'!$C$1016:$AI$1131,31,FALSE),0)</f>
        <v>0</v>
      </c>
      <c r="M67" s="376">
        <f>IFERROR(VLOOKUP(C67,'تقرير المصروفات حسب الشهر'!$C$1143:$AI$1290,31,FALSE),0)</f>
        <v>0</v>
      </c>
      <c r="N67" s="376">
        <f>IFERROR(VLOOKUP(C67,'تقرير المصروفات حسب الشهر'!$C$1271:$AI$1385,31,FALSE),0)</f>
        <v>0</v>
      </c>
      <c r="O67" s="376">
        <f>IFERROR(VLOOKUP(C67,'تقرير المصروفات حسب الشهر'!$C$1397:$AI$1512,31,FALSE),0)</f>
        <v>0</v>
      </c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الشهر'!$C$10:$AL$124,31,FALSE),0)</f>
        <v>0</v>
      </c>
      <c r="E68" s="362">
        <f>IFERROR(VLOOKUP(C68,'تقرير المصروفات حسب الشهر'!$C$135:$AL$252,31,FALSE),0)</f>
        <v>0</v>
      </c>
      <c r="F68" s="362">
        <v>0</v>
      </c>
      <c r="G68" s="362">
        <f>IFERROR(VLOOKUP(C68,'تقرير المصروفات حسب الشهر'!C432:AH545,31,0),0)</f>
        <v>0</v>
      </c>
      <c r="H68" s="362">
        <f>IFERROR(VLOOKUP(C68,'تقرير المصروفات حسب الشهر'!$C$512:$AL$620,31,FALSE),0)</f>
        <v>0</v>
      </c>
      <c r="I68" s="362">
        <f>IFERROR(VLOOKUP(C68,'تقرير المصروفات حسب الشهر'!$C$637:$AI$748,31,FALSE),0)</f>
        <v>0</v>
      </c>
      <c r="J68" s="362">
        <f>IFERROR(VLOOKUP(C68,'تقرير المصروفات حسب الشهر'!$C$763:$AI$877,31,FALSE),0)</f>
        <v>0</v>
      </c>
      <c r="K68" s="362">
        <f>IFERROR(VLOOKUP(C68,'تقرير المصروفات حسب الشهر'!$C$890:$AI$1007,31,FALSE),0)</f>
        <v>0</v>
      </c>
      <c r="L68" s="362">
        <f>IFERROR(VLOOKUP(C68,'تقرير المصروفات حسب الشهر'!$C$1016:$AI$1131,31,FALSE),0)</f>
        <v>0</v>
      </c>
      <c r="M68" s="376">
        <f>IFERROR(VLOOKUP(C68,'تقرير المصروفات حسب الشهر'!$C$1143:$AI$1290,31,FALSE),0)</f>
        <v>0</v>
      </c>
      <c r="N68" s="376">
        <f>IFERROR(VLOOKUP(C68,'تقرير المصروفات حسب الشهر'!$C$1271:$AI$1385,31,FALSE),0)</f>
        <v>0</v>
      </c>
      <c r="O68" s="376">
        <f>IFERROR(VLOOKUP(C68,'تقرير المصروفات حسب الشهر'!$C$1397:$AI$1512,31,FALSE),0)</f>
        <v>0</v>
      </c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الشهر'!$C$10:$AL$124,31,FALSE),0)</f>
        <v>0</v>
      </c>
      <c r="E69" s="362">
        <f>IFERROR(VLOOKUP(C69,'تقرير المصروفات حسب الشهر'!$C$135:$AL$252,31,FALSE),0)</f>
        <v>0</v>
      </c>
      <c r="F69" s="362">
        <v>0</v>
      </c>
      <c r="G69" s="362">
        <f>IFERROR(VLOOKUP(C69,'تقرير المصروفات حسب الشهر'!C433:AH546,31,0),0)</f>
        <v>0</v>
      </c>
      <c r="H69" s="362">
        <f>IFERROR(VLOOKUP(C69,'تقرير المصروفات حسب الشهر'!$C$512:$AL$620,31,FALSE),0)</f>
        <v>0</v>
      </c>
      <c r="I69" s="362">
        <f>IFERROR(VLOOKUP(C69,'تقرير المصروفات حسب الشهر'!$C$637:$AI$748,31,FALSE),0)</f>
        <v>0</v>
      </c>
      <c r="J69" s="362">
        <f>IFERROR(VLOOKUP(C69,'تقرير المصروفات حسب الشهر'!$C$763:$AI$877,31,FALSE),0)</f>
        <v>0</v>
      </c>
      <c r="K69" s="362">
        <f>IFERROR(VLOOKUP(C69,'تقرير المصروفات حسب الشهر'!$C$890:$AI$1007,31,FALSE),0)</f>
        <v>0</v>
      </c>
      <c r="L69" s="362">
        <f>IFERROR(VLOOKUP(C69,'تقرير المصروفات حسب الشهر'!$C$1016:$AI$1131,31,FALSE),0)</f>
        <v>0</v>
      </c>
      <c r="M69" s="376">
        <f>IFERROR(VLOOKUP(C69,'تقرير المصروفات حسب الشهر'!$C$1143:$AI$1290,31,FALSE),0)</f>
        <v>0</v>
      </c>
      <c r="N69" s="376">
        <f>IFERROR(VLOOKUP(C69,'تقرير المصروفات حسب الشهر'!$C$1271:$AI$1385,31,FALSE),0)</f>
        <v>0</v>
      </c>
      <c r="O69" s="376">
        <f>IFERROR(VLOOKUP(C69,'تقرير المصروفات حسب الشهر'!$C$1397:$AI$1512,31,FALSE),0)</f>
        <v>0</v>
      </c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الشهر'!$C$10:$AL$124,31,FALSE),0)</f>
        <v>0</v>
      </c>
      <c r="E70" s="362">
        <f>IFERROR(VLOOKUP(C70,'تقرير المصروفات حسب الشهر'!$C$135:$AL$252,31,FALSE),0)</f>
        <v>0</v>
      </c>
      <c r="F70" s="362">
        <v>0</v>
      </c>
      <c r="G70" s="362">
        <f>IFERROR(VLOOKUP(C70,'تقرير المصروفات حسب الشهر'!C434:AH547,31,0),0)</f>
        <v>0</v>
      </c>
      <c r="H70" s="362">
        <f>IFERROR(VLOOKUP(C70,'تقرير المصروفات حسب الشهر'!$C$512:$AL$620,31,FALSE),0)</f>
        <v>0</v>
      </c>
      <c r="I70" s="362">
        <f>IFERROR(VLOOKUP(C70,'تقرير المصروفات حسب الشهر'!$C$637:$AI$748,31,FALSE),0)</f>
        <v>0</v>
      </c>
      <c r="J70" s="362">
        <f>IFERROR(VLOOKUP(C70,'تقرير المصروفات حسب الشهر'!$C$763:$AI$877,31,FALSE),0)</f>
        <v>0</v>
      </c>
      <c r="K70" s="362">
        <f>IFERROR(VLOOKUP(C70,'تقرير المصروفات حسب الشهر'!$C$890:$AI$1007,31,FALSE),0)</f>
        <v>0</v>
      </c>
      <c r="L70" s="362">
        <f>IFERROR(VLOOKUP(C70,'تقرير المصروفات حسب الشهر'!$C$1016:$AI$1131,31,FALSE),0)</f>
        <v>0</v>
      </c>
      <c r="M70" s="376">
        <f>IFERROR(VLOOKUP(C70,'تقرير المصروفات حسب الشهر'!$C$1143:$AI$1290,31,FALSE),0)</f>
        <v>0</v>
      </c>
      <c r="N70" s="376">
        <f>IFERROR(VLOOKUP(C70,'تقرير المصروفات حسب الشهر'!$C$1271:$AI$1385,31,FALSE),0)</f>
        <v>0</v>
      </c>
      <c r="O70" s="376">
        <f>IFERROR(VLOOKUP(C70,'تقرير المصروفات حسب الشهر'!$C$1397:$AI$1512,31,FALSE),0)</f>
        <v>0</v>
      </c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الشهر'!$C$10:$AL$124,31,FALSE),0)</f>
        <v>0</v>
      </c>
      <c r="E71" s="362">
        <f>IFERROR(VLOOKUP(C71,'تقرير المصروفات حسب الشهر'!$C$135:$AL$252,31,FALSE),0)</f>
        <v>0</v>
      </c>
      <c r="F71" s="362">
        <v>0</v>
      </c>
      <c r="G71" s="362">
        <f>IFERROR(VLOOKUP(C71,'تقرير المصروفات حسب الشهر'!C435:AH548,31,0),0)</f>
        <v>0</v>
      </c>
      <c r="H71" s="362">
        <f>IFERROR(VLOOKUP(C71,'تقرير المصروفات حسب الشهر'!$C$512:$AL$620,31,FALSE),0)</f>
        <v>0</v>
      </c>
      <c r="I71" s="362">
        <f>IFERROR(VLOOKUP(C71,'تقرير المصروفات حسب الشهر'!$C$637:$AI$748,31,FALSE),0)</f>
        <v>0</v>
      </c>
      <c r="J71" s="362">
        <f>IFERROR(VLOOKUP(C71,'تقرير المصروفات حسب الشهر'!$C$763:$AI$877,31,FALSE),0)</f>
        <v>0</v>
      </c>
      <c r="K71" s="362">
        <f>IFERROR(VLOOKUP(C71,'تقرير المصروفات حسب الشهر'!$C$890:$AI$1007,31,FALSE),0)</f>
        <v>0</v>
      </c>
      <c r="L71" s="362">
        <f>IFERROR(VLOOKUP(C71,'تقرير المصروفات حسب الشهر'!$C$1016:$AI$1131,31,FALSE),0)</f>
        <v>0</v>
      </c>
      <c r="M71" s="376">
        <f>IFERROR(VLOOKUP(C71,'تقرير المصروفات حسب الشهر'!$C$1143:$AI$1290,31,FALSE),0)</f>
        <v>0</v>
      </c>
      <c r="N71" s="376">
        <f>IFERROR(VLOOKUP(C71,'تقرير المصروفات حسب الشهر'!$C$1271:$AI$1385,31,FALSE),0)</f>
        <v>0</v>
      </c>
      <c r="O71" s="376">
        <f>IFERROR(VLOOKUP(C71,'تقرير المصروفات حسب الشهر'!$C$1397:$AI$1512,31,FALSE),0)</f>
        <v>0</v>
      </c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الشهر'!$C$10:$AL$124,31,FALSE),0)</f>
        <v>0</v>
      </c>
      <c r="E72" s="362">
        <f>IFERROR(VLOOKUP(C72,'تقرير المصروفات حسب الشهر'!$C$135:$AL$252,31,FALSE),0)</f>
        <v>0</v>
      </c>
      <c r="F72" s="362">
        <v>0</v>
      </c>
      <c r="G72" s="362">
        <f>IFERROR(VLOOKUP(C72,'تقرير المصروفات حسب الشهر'!C436:AH549,31,0),0)</f>
        <v>0</v>
      </c>
      <c r="H72" s="362">
        <f>IFERROR(VLOOKUP(C72,'تقرير المصروفات حسب الشهر'!$C$512:$AL$620,31,FALSE),0)</f>
        <v>0</v>
      </c>
      <c r="I72" s="362">
        <f>IFERROR(VLOOKUP(C72,'تقرير المصروفات حسب الشهر'!$C$637:$AI$748,31,FALSE),0)</f>
        <v>0</v>
      </c>
      <c r="J72" s="362">
        <f>IFERROR(VLOOKUP(C72,'تقرير المصروفات حسب الشهر'!$C$763:$AI$877,31,FALSE),0)</f>
        <v>0</v>
      </c>
      <c r="K72" s="362">
        <f>IFERROR(VLOOKUP(C72,'تقرير المصروفات حسب الشهر'!$C$890:$AI$1007,31,FALSE),0)</f>
        <v>0</v>
      </c>
      <c r="L72" s="362">
        <f>IFERROR(VLOOKUP(C72,'تقرير المصروفات حسب الشهر'!$C$1016:$AI$1131,31,FALSE),0)</f>
        <v>0</v>
      </c>
      <c r="M72" s="376">
        <f>IFERROR(VLOOKUP(C72,'تقرير المصروفات حسب الشهر'!$C$1143:$AI$1290,31,FALSE),0)</f>
        <v>0</v>
      </c>
      <c r="N72" s="376">
        <f>IFERROR(VLOOKUP(C72,'تقرير المصروفات حسب الشهر'!$C$1271:$AI$1385,31,FALSE),0)</f>
        <v>0</v>
      </c>
      <c r="O72" s="376">
        <f>IFERROR(VLOOKUP(C72,'تقرير المصروفات حسب الشهر'!$C$1397:$AI$1512,31,FALSE),0)</f>
        <v>0</v>
      </c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الشهر'!$C$10:$AL$124,31,FALSE),0)</f>
        <v>0</v>
      </c>
      <c r="E73" s="362">
        <f>IFERROR(VLOOKUP(C73,'تقرير المصروفات حسب الشهر'!$C$135:$AL$252,31,FALSE),0)</f>
        <v>0</v>
      </c>
      <c r="F73" s="362">
        <v>0</v>
      </c>
      <c r="G73" s="362">
        <f>IFERROR(VLOOKUP(C73,'تقرير المصروفات حسب الشهر'!C437:AH550,31,0),0)</f>
        <v>0</v>
      </c>
      <c r="H73" s="362">
        <f>IFERROR(VLOOKUP(C73,'تقرير المصروفات حسب الشهر'!$C$512:$AL$620,31,FALSE),0)</f>
        <v>0</v>
      </c>
      <c r="I73" s="362">
        <f>IFERROR(VLOOKUP(C73,'تقرير المصروفات حسب الشهر'!$C$637:$AI$748,31,FALSE),0)</f>
        <v>0</v>
      </c>
      <c r="J73" s="362">
        <f>IFERROR(VLOOKUP(C73,'تقرير المصروفات حسب الشهر'!$C$763:$AI$877,31,FALSE),0)</f>
        <v>0</v>
      </c>
      <c r="K73" s="362">
        <f>IFERROR(VLOOKUP(C73,'تقرير المصروفات حسب الشهر'!$C$890:$AI$1007,31,FALSE),0)</f>
        <v>0</v>
      </c>
      <c r="L73" s="362">
        <f>IFERROR(VLOOKUP(C73,'تقرير المصروفات حسب الشهر'!$C$1016:$AI$1131,31,FALSE),0)</f>
        <v>0</v>
      </c>
      <c r="M73" s="376">
        <f>IFERROR(VLOOKUP(C73,'تقرير المصروفات حسب الشهر'!$C$1143:$AI$1290,31,FALSE),0)</f>
        <v>0</v>
      </c>
      <c r="N73" s="376">
        <f>IFERROR(VLOOKUP(C73,'تقرير المصروفات حسب الشهر'!$C$1271:$AI$1385,31,FALSE),0)</f>
        <v>0</v>
      </c>
      <c r="O73" s="376">
        <f>IFERROR(VLOOKUP(C73,'تقرير المصروفات حسب الشهر'!$C$1397:$AI$1512,31,FALSE),0)</f>
        <v>0</v>
      </c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الشهر'!$C$10:$AL$124,31,FALSE),0)</f>
        <v>0</v>
      </c>
      <c r="E74" s="362">
        <f>IFERROR(VLOOKUP(C74,'تقرير المصروفات حسب الشهر'!$C$135:$AL$252,31,FALSE),0)</f>
        <v>0</v>
      </c>
      <c r="F74" s="362">
        <v>0</v>
      </c>
      <c r="G74" s="362">
        <f>IFERROR(VLOOKUP(C74,'تقرير المصروفات حسب الشهر'!C438:AH551,31,0),0)</f>
        <v>0</v>
      </c>
      <c r="H74" s="362">
        <f>IFERROR(VLOOKUP(C74,'تقرير المصروفات حسب الشهر'!$C$512:$AL$620,31,FALSE),0)</f>
        <v>0</v>
      </c>
      <c r="I74" s="362">
        <f>IFERROR(VLOOKUP(C74,'تقرير المصروفات حسب الشهر'!$C$637:$AI$748,31,FALSE),0)</f>
        <v>0</v>
      </c>
      <c r="J74" s="362">
        <f>IFERROR(VLOOKUP(C74,'تقرير المصروفات حسب الشهر'!$C$763:$AI$877,31,FALSE),0)</f>
        <v>0</v>
      </c>
      <c r="K74" s="362">
        <f>IFERROR(VLOOKUP(C74,'تقرير المصروفات حسب الشهر'!$C$890:$AI$1007,31,FALSE),0)</f>
        <v>0</v>
      </c>
      <c r="L74" s="362">
        <f>IFERROR(VLOOKUP(C74,'تقرير المصروفات حسب الشهر'!$C$1016:$AI$1131,31,FALSE),0)</f>
        <v>0</v>
      </c>
      <c r="M74" s="376">
        <f>IFERROR(VLOOKUP(C74,'تقرير المصروفات حسب الشهر'!$C$1143:$AI$1290,31,FALSE),0)</f>
        <v>0</v>
      </c>
      <c r="N74" s="376">
        <f>IFERROR(VLOOKUP(C74,'تقرير المصروفات حسب الشهر'!$C$1271:$AI$1385,31,FALSE),0)</f>
        <v>0</v>
      </c>
      <c r="O74" s="376">
        <f>IFERROR(VLOOKUP(C74,'تقرير المصروفات حسب الشهر'!$C$1397:$AI$1512,31,FALSE),0)</f>
        <v>0</v>
      </c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الشهر'!$C$10:$AL$124,31,FALSE),0)</f>
        <v>0</v>
      </c>
      <c r="E75" s="362">
        <f>IFERROR(VLOOKUP(C75,'تقرير المصروفات حسب الشهر'!$C$135:$AL$252,31,FALSE),0)</f>
        <v>0</v>
      </c>
      <c r="F75" s="362">
        <v>0</v>
      </c>
      <c r="G75" s="362">
        <f>IFERROR(VLOOKUP(C75,'تقرير المصروفات حسب الشهر'!C439:AH552,31,0),0)</f>
        <v>0</v>
      </c>
      <c r="H75" s="362">
        <f>IFERROR(VLOOKUP(C75,'تقرير المصروفات حسب الشهر'!$C$512:$AL$620,31,FALSE),0)</f>
        <v>0</v>
      </c>
      <c r="I75" s="362">
        <f>IFERROR(VLOOKUP(C75,'تقرير المصروفات حسب الشهر'!$C$637:$AI$748,31,FALSE),0)</f>
        <v>0</v>
      </c>
      <c r="J75" s="362">
        <f>IFERROR(VLOOKUP(C75,'تقرير المصروفات حسب الشهر'!$C$763:$AI$877,31,FALSE),0)</f>
        <v>0</v>
      </c>
      <c r="K75" s="362">
        <f>IFERROR(VLOOKUP(C75,'تقرير المصروفات حسب الشهر'!$C$890:$AI$1007,31,FALSE),0)</f>
        <v>0</v>
      </c>
      <c r="L75" s="362">
        <f>IFERROR(VLOOKUP(C75,'تقرير المصروفات حسب الشهر'!$C$1016:$AI$1131,31,FALSE),0)</f>
        <v>0</v>
      </c>
      <c r="M75" s="376">
        <f>IFERROR(VLOOKUP(C75,'تقرير المصروفات حسب الشهر'!$C$1143:$AI$1290,31,FALSE),0)</f>
        <v>0</v>
      </c>
      <c r="N75" s="376">
        <f>IFERROR(VLOOKUP(C75,'تقرير المصروفات حسب الشهر'!$C$1271:$AI$1385,31,FALSE),0)</f>
        <v>0</v>
      </c>
      <c r="O75" s="376">
        <f>IFERROR(VLOOKUP(C75,'تقرير المصروفات حسب الشهر'!$C$1397:$AI$1512,31,FALSE),0)</f>
        <v>0</v>
      </c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الشهر'!$C$10:$AL$124,31,FALSE),0)</f>
        <v>0</v>
      </c>
      <c r="E76" s="362">
        <f>IFERROR(VLOOKUP(C76,'تقرير المصروفات حسب الشهر'!$C$135:$AL$252,31,FALSE),0)</f>
        <v>0</v>
      </c>
      <c r="F76" s="362">
        <v>0</v>
      </c>
      <c r="G76" s="362">
        <f>IFERROR(VLOOKUP(C76,'تقرير المصروفات حسب الشهر'!C440:AH553,31,0),0)</f>
        <v>0</v>
      </c>
      <c r="H76" s="362">
        <f>IFERROR(VLOOKUP(C76,'تقرير المصروفات حسب الشهر'!$C$512:$AL$620,31,FALSE),0)</f>
        <v>0</v>
      </c>
      <c r="I76" s="362">
        <f>IFERROR(VLOOKUP(C76,'تقرير المصروفات حسب الشهر'!$C$637:$AI$748,31,FALSE),0)</f>
        <v>0</v>
      </c>
      <c r="J76" s="362">
        <f>IFERROR(VLOOKUP(C76,'تقرير المصروفات حسب الشهر'!$C$763:$AI$877,31,FALSE),0)</f>
        <v>0</v>
      </c>
      <c r="K76" s="362">
        <f>IFERROR(VLOOKUP(C76,'تقرير المصروفات حسب الشهر'!$C$890:$AI$1007,31,FALSE),0)</f>
        <v>0</v>
      </c>
      <c r="L76" s="362">
        <f>IFERROR(VLOOKUP(C76,'تقرير المصروفات حسب الشهر'!$C$1016:$AI$1131,31,FALSE),0)</f>
        <v>0</v>
      </c>
      <c r="M76" s="376">
        <f>IFERROR(VLOOKUP(C76,'تقرير المصروفات حسب الشهر'!$C$1143:$AI$1290,31,FALSE),0)</f>
        <v>0</v>
      </c>
      <c r="N76" s="376">
        <f>IFERROR(VLOOKUP(C76,'تقرير المصروفات حسب الشهر'!$C$1271:$AI$1385,31,FALSE),0)</f>
        <v>0</v>
      </c>
      <c r="O76" s="376">
        <f>IFERROR(VLOOKUP(C76,'تقرير المصروفات حسب الشهر'!$C$1397:$AI$1512,31,FALSE),0)</f>
        <v>0</v>
      </c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الشهر'!$C$10:$AL$124,31,FALSE),0)</f>
        <v>0</v>
      </c>
      <c r="E77" s="362">
        <f>IFERROR(VLOOKUP(C77,'تقرير المصروفات حسب الشهر'!$C$135:$AL$252,31,FALSE),0)</f>
        <v>0</v>
      </c>
      <c r="F77" s="362">
        <v>0</v>
      </c>
      <c r="G77" s="362">
        <f>IFERROR(VLOOKUP(C77,'تقرير المصروفات حسب الشهر'!C441:AH554,31,0),0)</f>
        <v>0</v>
      </c>
      <c r="H77" s="362">
        <f>IFERROR(VLOOKUP(C77,'تقرير المصروفات حسب الشهر'!$C$512:$AL$620,31,FALSE),0)</f>
        <v>0</v>
      </c>
      <c r="I77" s="362">
        <f>IFERROR(VLOOKUP(C77,'تقرير المصروفات حسب الشهر'!$C$637:$AI$748,31,FALSE),0)</f>
        <v>0</v>
      </c>
      <c r="J77" s="362">
        <f>IFERROR(VLOOKUP(C77,'تقرير المصروفات حسب الشهر'!$C$763:$AI$877,31,FALSE),0)</f>
        <v>0</v>
      </c>
      <c r="K77" s="362">
        <f>IFERROR(VLOOKUP(C77,'تقرير المصروفات حسب الشهر'!$C$890:$AI$1007,31,FALSE),0)</f>
        <v>0</v>
      </c>
      <c r="L77" s="362">
        <f>IFERROR(VLOOKUP(C77,'تقرير المصروفات حسب الشهر'!$C$1016:$AI$1131,31,FALSE),0)</f>
        <v>0</v>
      </c>
      <c r="M77" s="376">
        <f>IFERROR(VLOOKUP(C77,'تقرير المصروفات حسب الشهر'!$C$1143:$AI$1290,31,FALSE),0)</f>
        <v>0</v>
      </c>
      <c r="N77" s="376">
        <f>IFERROR(VLOOKUP(C77,'تقرير المصروفات حسب الشهر'!$C$1271:$AI$1385,31,FALSE),0)</f>
        <v>0</v>
      </c>
      <c r="O77" s="376">
        <f>IFERROR(VLOOKUP(C77,'تقرير المصروفات حسب الشهر'!$C$1397:$AI$1512,31,FALSE),0)</f>
        <v>0</v>
      </c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الشهر'!$C$10:$AL$124,31,FALSE),0)</f>
        <v>0</v>
      </c>
      <c r="E78" s="362">
        <f>IFERROR(VLOOKUP(C78,'تقرير المصروفات حسب الشهر'!$C$135:$AL$252,31,FALSE),0)</f>
        <v>0</v>
      </c>
      <c r="F78" s="362">
        <v>0</v>
      </c>
      <c r="G78" s="362">
        <f>IFERROR(VLOOKUP(C78,'تقرير المصروفات حسب الشهر'!C442:AH555,31,0),0)</f>
        <v>0</v>
      </c>
      <c r="H78" s="362">
        <f>IFERROR(VLOOKUP(C78,'تقرير المصروفات حسب الشهر'!$C$512:$AL$620,31,FALSE),0)</f>
        <v>0</v>
      </c>
      <c r="I78" s="362">
        <f>IFERROR(VLOOKUP(C78,'تقرير المصروفات حسب الشهر'!$C$637:$AI$748,31,FALSE),0)</f>
        <v>0</v>
      </c>
      <c r="J78" s="362">
        <f>IFERROR(VLOOKUP(C78,'تقرير المصروفات حسب الشهر'!$C$763:$AI$877,31,FALSE),0)</f>
        <v>0</v>
      </c>
      <c r="K78" s="362">
        <f>IFERROR(VLOOKUP(C78,'تقرير المصروفات حسب الشهر'!$C$890:$AI$1007,31,FALSE),0)</f>
        <v>0</v>
      </c>
      <c r="L78" s="362">
        <f>IFERROR(VLOOKUP(C78,'تقرير المصروفات حسب الشهر'!$C$1016:$AI$1131,31,FALSE),0)</f>
        <v>0</v>
      </c>
      <c r="M78" s="376">
        <f>IFERROR(VLOOKUP(C78,'تقرير المصروفات حسب الشهر'!$C$1143:$AI$1290,31,FALSE),0)</f>
        <v>0</v>
      </c>
      <c r="N78" s="376">
        <f>IFERROR(VLOOKUP(C78,'تقرير المصروفات حسب الشهر'!$C$1271:$AI$1385,31,FALSE),0)</f>
        <v>0</v>
      </c>
      <c r="O78" s="376">
        <f>IFERROR(VLOOKUP(C78,'تقرير المصروفات حسب الشهر'!$C$1397:$AI$1512,31,FALSE),0)</f>
        <v>0</v>
      </c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الشهر'!$C$10:$AL$124,31,FALSE),0)</f>
        <v>0</v>
      </c>
      <c r="E79" s="362">
        <f>IFERROR(VLOOKUP(C79,'تقرير المصروفات حسب الشهر'!$C$135:$AL$252,31,FALSE),0)</f>
        <v>0</v>
      </c>
      <c r="F79" s="362">
        <v>0</v>
      </c>
      <c r="G79" s="362">
        <f>IFERROR(VLOOKUP(C79,'تقرير المصروفات حسب الشهر'!C443:AH556,31,0),0)</f>
        <v>0</v>
      </c>
      <c r="H79" s="362">
        <f>IFERROR(VLOOKUP(C79,'تقرير المصروفات حسب الشهر'!$C$512:$AL$620,31,FALSE),0)</f>
        <v>0</v>
      </c>
      <c r="I79" s="362">
        <f>IFERROR(VLOOKUP(C79,'تقرير المصروفات حسب الشهر'!$C$637:$AI$748,31,FALSE),0)</f>
        <v>0</v>
      </c>
      <c r="J79" s="362">
        <f>IFERROR(VLOOKUP(C79,'تقرير المصروفات حسب الشهر'!$C$763:$AI$877,31,FALSE),0)</f>
        <v>0</v>
      </c>
      <c r="K79" s="362">
        <f>IFERROR(VLOOKUP(C79,'تقرير المصروفات حسب الشهر'!$C$890:$AI$1007,31,FALSE),0)</f>
        <v>0</v>
      </c>
      <c r="L79" s="362">
        <f>IFERROR(VLOOKUP(C79,'تقرير المصروفات حسب الشهر'!$C$1016:$AI$1131,31,FALSE),0)</f>
        <v>0</v>
      </c>
      <c r="M79" s="376">
        <f>IFERROR(VLOOKUP(C79,'تقرير المصروفات حسب الشهر'!$C$1143:$AI$1290,31,FALSE),0)</f>
        <v>0</v>
      </c>
      <c r="N79" s="376">
        <f>IFERROR(VLOOKUP(C79,'تقرير المصروفات حسب الشهر'!$C$1271:$AI$1385,31,FALSE),0)</f>
        <v>0</v>
      </c>
      <c r="O79" s="376">
        <f>IFERROR(VLOOKUP(C79,'تقرير المصروفات حسب الشهر'!$C$1397:$AI$1512,31,FALSE),0)</f>
        <v>0</v>
      </c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الشهر'!$C$10:$AL$124,31,FALSE),0)</f>
        <v>0</v>
      </c>
      <c r="E80" s="362">
        <f>IFERROR(VLOOKUP(C80,'تقرير المصروفات حسب الشهر'!$C$135:$AL$252,31,FALSE),0)</f>
        <v>0</v>
      </c>
      <c r="F80" s="362">
        <v>0</v>
      </c>
      <c r="G80" s="362">
        <f>IFERROR(VLOOKUP(C80,'تقرير المصروفات حسب الشهر'!C444:AH557,31,0),0)</f>
        <v>0</v>
      </c>
      <c r="H80" s="362">
        <f>IFERROR(VLOOKUP(C80,'تقرير المصروفات حسب الشهر'!$C$512:$AL$620,31,FALSE),0)</f>
        <v>0</v>
      </c>
      <c r="I80" s="362">
        <f>IFERROR(VLOOKUP(C80,'تقرير المصروفات حسب الشهر'!$C$637:$AI$748,31,FALSE),0)</f>
        <v>0</v>
      </c>
      <c r="J80" s="362">
        <f>IFERROR(VLOOKUP(C80,'تقرير المصروفات حسب الشهر'!$C$763:$AI$877,31,FALSE),0)</f>
        <v>0</v>
      </c>
      <c r="K80" s="362">
        <f>IFERROR(VLOOKUP(C80,'تقرير المصروفات حسب الشهر'!$C$890:$AI$1007,31,FALSE),0)</f>
        <v>0</v>
      </c>
      <c r="L80" s="362">
        <f>IFERROR(VLOOKUP(C80,'تقرير المصروفات حسب الشهر'!$C$1016:$AI$1131,31,FALSE),0)</f>
        <v>0</v>
      </c>
      <c r="M80" s="376">
        <f>IFERROR(VLOOKUP(C80,'تقرير المصروفات حسب الشهر'!$C$1143:$AI$1290,31,FALSE),0)</f>
        <v>0</v>
      </c>
      <c r="N80" s="376">
        <f>IFERROR(VLOOKUP(C80,'تقرير المصروفات حسب الشهر'!$C$1271:$AI$1385,31,FALSE),0)</f>
        <v>0</v>
      </c>
      <c r="O80" s="376">
        <f>IFERROR(VLOOKUP(C80,'تقرير المصروفات حسب الشهر'!$C$1397:$AI$1512,31,FALSE),0)</f>
        <v>0</v>
      </c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الشهر'!$C$10:$AL$124,31,FALSE),0)</f>
        <v>0</v>
      </c>
      <c r="E81" s="362">
        <f>IFERROR(VLOOKUP(C81,'تقرير المصروفات حسب الشهر'!$C$135:$AL$252,31,FALSE),0)</f>
        <v>0</v>
      </c>
      <c r="F81" s="362">
        <v>100</v>
      </c>
      <c r="G81" s="362">
        <f>IFERROR(VLOOKUP(C81,'تقرير المصروفات حسب الشهر'!C445:AH558,31,0),0)</f>
        <v>100</v>
      </c>
      <c r="H81" s="362">
        <f>IFERROR(VLOOKUP(C81,'تقرير المصروفات حسب الشهر'!$C$512:$AL$620,31,FALSE),0)</f>
        <v>1917</v>
      </c>
      <c r="I81" s="511">
        <f>IFERROR(VLOOKUP(C81,'تقرير المصروفات حسب الشهر'!$C$637:$AI$748,31,FALSE),0)</f>
        <v>455</v>
      </c>
      <c r="J81" s="362">
        <f>IFERROR(VLOOKUP(C81,'تقرير المصروفات حسب الشهر'!$C$763:$AI$877,31,FALSE),0)</f>
        <v>0</v>
      </c>
      <c r="K81" s="362">
        <f>IFERROR(VLOOKUP(C81,'تقرير المصروفات حسب الشهر'!$C$890:$AI$1007,31,FALSE),0)</f>
        <v>300</v>
      </c>
      <c r="L81" s="362">
        <f>IFERROR(VLOOKUP(C81,'تقرير المصروفات حسب الشهر'!$C$1016:$AI$1131,31,FALSE),0)</f>
        <v>200</v>
      </c>
      <c r="M81" s="376">
        <f>IFERROR(VLOOKUP(C81,'تقرير المصروفات حسب الشهر'!$C$1143:$AI$1290,31,FALSE),0)</f>
        <v>200</v>
      </c>
      <c r="N81" s="376">
        <f>IFERROR(VLOOKUP(C81,'تقرير المصروفات حسب الشهر'!$C$1271:$AI$1385,31,FALSE),0)</f>
        <v>200</v>
      </c>
      <c r="O81" s="376">
        <f>IFERROR(VLOOKUP(C81,'تقرير المصروفات حسب الشهر'!$C$1397:$AI$1512,31,FALSE),0)</f>
        <v>200</v>
      </c>
      <c r="P81" s="364">
        <f t="shared" si="5"/>
        <v>3672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الشهر'!$C$10:$AL$124,31,FALSE),0)</f>
        <v>0</v>
      </c>
      <c r="E82" s="362">
        <f>IFERROR(VLOOKUP(C82,'تقرير المصروفات حسب الشهر'!$C$135:$AL$252,31,FALSE),0)</f>
        <v>0</v>
      </c>
      <c r="F82" s="362">
        <v>0</v>
      </c>
      <c r="G82" s="362">
        <f>IFERROR(VLOOKUP(C82,'تقرير المصروفات حسب الشهر'!C446:AH559,31,0),0)</f>
        <v>0</v>
      </c>
      <c r="H82" s="362">
        <f>IFERROR(VLOOKUP(C82,'تقرير المصروفات حسب الشهر'!$C$512:$AL$620,31,FALSE),0)</f>
        <v>0</v>
      </c>
      <c r="I82" s="362">
        <f>IFERROR(VLOOKUP(C82,'تقرير المصروفات حسب الشهر'!$C$637:$AI$748,31,FALSE),0)</f>
        <v>0</v>
      </c>
      <c r="J82" s="362">
        <f>IFERROR(VLOOKUP(C82,'تقرير المصروفات حسب الشهر'!$C$763:$AI$877,31,FALSE),0)</f>
        <v>0</v>
      </c>
      <c r="K82" s="362">
        <f>IFERROR(VLOOKUP(C82,'تقرير المصروفات حسب الشهر'!$C$890:$AI$1007,31,FALSE),0)</f>
        <v>0</v>
      </c>
      <c r="L82" s="362">
        <f>IFERROR(VLOOKUP(C82,'تقرير المصروفات حسب الشهر'!$C$1016:$AI$1131,31,FALSE),0)</f>
        <v>0</v>
      </c>
      <c r="M82" s="376">
        <f>IFERROR(VLOOKUP(C82,'تقرير المصروفات حسب الشهر'!$C$1143:$AI$1290,31,FALSE),0)</f>
        <v>0</v>
      </c>
      <c r="N82" s="376">
        <f>IFERROR(VLOOKUP(C82,'تقرير المصروفات حسب الشهر'!$C$1271:$AI$1385,31,FALSE),0)</f>
        <v>0</v>
      </c>
      <c r="O82" s="376">
        <f>IFERROR(VLOOKUP(C82,'تقرير المصروفات حسب الشهر'!$C$1397:$AI$1512,31,FALSE),0)</f>
        <v>0</v>
      </c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الشهر'!$C$10:$AL$124,31,FALSE),0)</f>
        <v>0</v>
      </c>
      <c r="E83" s="362">
        <f>IFERROR(VLOOKUP(C83,'تقرير المصروفات حسب الشهر'!$C$135:$AL$252,31,FALSE),0)</f>
        <v>0</v>
      </c>
      <c r="F83" s="362">
        <v>0</v>
      </c>
      <c r="G83" s="362">
        <f>IFERROR(VLOOKUP(C83,'تقرير المصروفات حسب الشهر'!C447:AH560,31,0),0)</f>
        <v>0</v>
      </c>
      <c r="H83" s="362">
        <f>IFERROR(VLOOKUP(C83,'تقرير المصروفات حسب الشهر'!$C$512:$AL$620,31,FALSE),0)</f>
        <v>80</v>
      </c>
      <c r="I83" s="362">
        <f>IFERROR(VLOOKUP(C83,'تقرير المصروفات حسب الشهر'!$C$637:$AI$748,31,FALSE),0)</f>
        <v>0</v>
      </c>
      <c r="J83" s="362">
        <f>IFERROR(VLOOKUP(C83,'تقرير المصروفات حسب الشهر'!$C$763:$AI$877,31,FALSE),0)</f>
        <v>0</v>
      </c>
      <c r="K83" s="362">
        <f>IFERROR(VLOOKUP(C83,'تقرير المصروفات حسب الشهر'!$C$890:$AI$1007,31,FALSE),0)</f>
        <v>0</v>
      </c>
      <c r="L83" s="362">
        <f>IFERROR(VLOOKUP(C83,'تقرير المصروفات حسب الشهر'!$C$1016:$AI$1131,31,FALSE),0)</f>
        <v>0</v>
      </c>
      <c r="M83" s="376">
        <f>IFERROR(VLOOKUP(C83,'تقرير المصروفات حسب الشهر'!$C$1143:$AI$1290,31,FALSE),0)</f>
        <v>0</v>
      </c>
      <c r="N83" s="376">
        <f>IFERROR(VLOOKUP(C83,'تقرير المصروفات حسب الشهر'!$C$1271:$AI$1385,31,FALSE),0)</f>
        <v>0</v>
      </c>
      <c r="O83" s="376">
        <f>IFERROR(VLOOKUP(C83,'تقرير المصروفات حسب الشهر'!$C$1397:$AI$1512,31,FALSE),0)</f>
        <v>0</v>
      </c>
      <c r="P83" s="364">
        <f t="shared" si="5"/>
        <v>80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الشهر'!$C$10:$AL$124,31,FALSE),0)</f>
        <v>0</v>
      </c>
      <c r="E84" s="362">
        <f>IFERROR(VLOOKUP(C84,'تقرير المصروفات حسب الشهر'!$C$135:$AL$252,31,FALSE),0)</f>
        <v>0</v>
      </c>
      <c r="F84" s="362">
        <v>0</v>
      </c>
      <c r="G84" s="362">
        <f>IFERROR(VLOOKUP(C84,'تقرير المصروفات حسب الشهر'!C448:AH561,31,0),0)</f>
        <v>0</v>
      </c>
      <c r="H84" s="362">
        <f>IFERROR(VLOOKUP(C84,'تقرير المصروفات حسب الشهر'!$C$512:$AL$620,31,FALSE),0)</f>
        <v>0</v>
      </c>
      <c r="I84" s="362">
        <f>IFERROR(VLOOKUP(C84,'تقرير المصروفات حسب الشهر'!$C$637:$AI$748,31,FALSE),0)</f>
        <v>0</v>
      </c>
      <c r="J84" s="362">
        <f>IFERROR(VLOOKUP(C84,'تقرير المصروفات حسب الشهر'!$C$763:$AI$877,31,FALSE),0)</f>
        <v>0</v>
      </c>
      <c r="K84" s="362">
        <f>IFERROR(VLOOKUP(C84,'تقرير المصروفات حسب الشهر'!$C$890:$AI$1007,31,FALSE),0)</f>
        <v>0</v>
      </c>
      <c r="L84" s="362">
        <f>IFERROR(VLOOKUP(C84,'تقرير المصروفات حسب الشهر'!$C$1016:$AI$1131,31,FALSE),0)</f>
        <v>0</v>
      </c>
      <c r="M84" s="376">
        <f>IFERROR(VLOOKUP(C84,'تقرير المصروفات حسب الشهر'!$C$1143:$AI$1290,31,FALSE),0)</f>
        <v>0</v>
      </c>
      <c r="N84" s="376">
        <f>IFERROR(VLOOKUP(C84,'تقرير المصروفات حسب الشهر'!$C$1271:$AI$1385,31,FALSE),0)</f>
        <v>0</v>
      </c>
      <c r="O84" s="376">
        <f>IFERROR(VLOOKUP(C84,'تقرير المصروفات حسب الشهر'!$C$1397:$AI$1512,31,FALSE),0)</f>
        <v>0</v>
      </c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الشهر'!$C$10:$AL$124,31,FALSE),0)</f>
        <v>0</v>
      </c>
      <c r="E85" s="362">
        <f>IFERROR(VLOOKUP(C85,'تقرير المصروفات حسب الشهر'!$C$135:$AL$252,31,FALSE),0)</f>
        <v>0</v>
      </c>
      <c r="F85" s="362">
        <v>0</v>
      </c>
      <c r="G85" s="362">
        <f>IFERROR(VLOOKUP(C85,'تقرير المصروفات حسب الشهر'!C449:AH562,31,0),0)</f>
        <v>0</v>
      </c>
      <c r="H85" s="362">
        <f>IFERROR(VLOOKUP(C85,'تقرير المصروفات حسب الشهر'!$C$512:$AL$620,31,FALSE),0)</f>
        <v>0</v>
      </c>
      <c r="I85" s="362">
        <f>IFERROR(VLOOKUP(C85,'تقرير المصروفات حسب الشهر'!$C$637:$AI$748,31,FALSE),0)</f>
        <v>0</v>
      </c>
      <c r="J85" s="362">
        <f>IFERROR(VLOOKUP(C85,'تقرير المصروفات حسب الشهر'!$C$763:$AI$877,31,FALSE),0)</f>
        <v>0</v>
      </c>
      <c r="K85" s="362">
        <f>IFERROR(VLOOKUP(C85,'تقرير المصروفات حسب الشهر'!$C$890:$AI$1007,31,FALSE),0)</f>
        <v>0</v>
      </c>
      <c r="L85" s="362">
        <f>IFERROR(VLOOKUP(C85,'تقرير المصروفات حسب الشهر'!$C$1016:$AI$1131,31,FALSE),0)</f>
        <v>0</v>
      </c>
      <c r="M85" s="376">
        <f>IFERROR(VLOOKUP(C85,'تقرير المصروفات حسب الشهر'!$C$1143:$AI$1290,31,FALSE),0)</f>
        <v>0</v>
      </c>
      <c r="N85" s="376">
        <f>IFERROR(VLOOKUP(C85,'تقرير المصروفات حسب الشهر'!$C$1271:$AI$1385,31,FALSE),0)</f>
        <v>0</v>
      </c>
      <c r="O85" s="376">
        <f>IFERROR(VLOOKUP(C85,'تقرير المصروفات حسب الشهر'!$C$1397:$AI$1512,31,FALSE),0)</f>
        <v>0</v>
      </c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الشهر'!$C$10:$AL$124,31,FALSE),0)</f>
        <v>2500</v>
      </c>
      <c r="E86" s="362">
        <f>IFERROR(VLOOKUP(C86,'تقرير المصروفات حسب الشهر'!$C$135:$AL$252,31,FALSE),0)</f>
        <v>5421.18</v>
      </c>
      <c r="F86" s="362">
        <v>0</v>
      </c>
      <c r="G86" s="362">
        <f>IFERROR(VLOOKUP(C86,'تقرير المصروفات حسب الشهر'!C450:AH563,31,0),0)</f>
        <v>0</v>
      </c>
      <c r="H86" s="362">
        <f>IFERROR(VLOOKUP(C86,'تقرير المصروفات حسب الشهر'!$C$512:$AL$620,31,FALSE),0)</f>
        <v>0</v>
      </c>
      <c r="I86" s="362">
        <f>IFERROR(VLOOKUP(C86,'تقرير المصروفات حسب الشهر'!$C$637:$AI$748,31,FALSE),0)</f>
        <v>0</v>
      </c>
      <c r="J86" s="362">
        <f>IFERROR(VLOOKUP(C86,'تقرير المصروفات حسب الشهر'!$C$763:$AI$877,31,FALSE),0)</f>
        <v>979</v>
      </c>
      <c r="K86" s="362">
        <f>IFERROR(VLOOKUP(C86,'تقرير المصروفات حسب الشهر'!$C$890:$AI$1007,31,FALSE),0)</f>
        <v>0</v>
      </c>
      <c r="L86" s="362">
        <f>IFERROR(VLOOKUP(C86,'تقرير المصروفات حسب الشهر'!$C$1016:$AI$1131,31,FALSE),0)</f>
        <v>0</v>
      </c>
      <c r="M86" s="376">
        <f>IFERROR(VLOOKUP(C86,'تقرير المصروفات حسب الشهر'!$C$1143:$AI$1290,31,FALSE),0)</f>
        <v>1075.76</v>
      </c>
      <c r="N86" s="376">
        <f>IFERROR(VLOOKUP(C86,'تقرير المصروفات حسب الشهر'!$C$1271:$AI$1385,31,FALSE),0)</f>
        <v>2207.5700000000002</v>
      </c>
      <c r="O86" s="376">
        <f>IFERROR(VLOOKUP(C86,'تقرير المصروفات حسب الشهر'!$C$1397:$AI$1512,31,FALSE),0)</f>
        <v>0</v>
      </c>
      <c r="P86" s="364">
        <f t="shared" si="5"/>
        <v>12183.51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الشهر'!$C$10:$AL$124,31,FALSE),0)</f>
        <v>0</v>
      </c>
      <c r="E87" s="362">
        <f>IFERROR(VLOOKUP(C87,'تقرير المصروفات حسب الشهر'!$C$135:$AL$252,31,FALSE),0)</f>
        <v>0</v>
      </c>
      <c r="F87" s="362">
        <v>0</v>
      </c>
      <c r="G87" s="362">
        <f>IFERROR(VLOOKUP(C87,'تقرير المصروفات حسب الشهر'!C451:AH564,31,0),0)</f>
        <v>0</v>
      </c>
      <c r="H87" s="362">
        <f>IFERROR(VLOOKUP(C87,'تقرير المصروفات حسب الشهر'!$C$512:$AL$620,31,FALSE),0)</f>
        <v>0</v>
      </c>
      <c r="I87" s="362">
        <f>IFERROR(VLOOKUP(C87,'تقرير المصروفات حسب الشهر'!$C$637:$AI$748,31,FALSE),0)</f>
        <v>0</v>
      </c>
      <c r="J87" s="362">
        <f>IFERROR(VLOOKUP(C87,'تقرير المصروفات حسب الشهر'!$C$763:$AI$877,31,FALSE),0)</f>
        <v>0</v>
      </c>
      <c r="K87" s="362">
        <f>IFERROR(VLOOKUP(C87,'تقرير المصروفات حسب الشهر'!$C$890:$AI$1007,31,FALSE),0)</f>
        <v>0</v>
      </c>
      <c r="L87" s="362">
        <f>IFERROR(VLOOKUP(C87,'تقرير المصروفات حسب الشهر'!$C$1016:$AI$1131,31,FALSE),0)</f>
        <v>0</v>
      </c>
      <c r="M87" s="376">
        <f>IFERROR(VLOOKUP(C87,'تقرير المصروفات حسب الشهر'!$C$1143:$AI$1290,31,FALSE),0)</f>
        <v>0</v>
      </c>
      <c r="N87" s="376">
        <f>IFERROR(VLOOKUP(C87,'تقرير المصروفات حسب الشهر'!$C$1271:$AI$1385,31,FALSE),0)</f>
        <v>0</v>
      </c>
      <c r="O87" s="376">
        <f>IFERROR(VLOOKUP(C87,'تقرير المصروفات حسب الشهر'!$C$1397:$AI$1512,31,FALSE),0)</f>
        <v>4372</v>
      </c>
      <c r="P87" s="364">
        <f t="shared" ref="P87:P134" si="6">SUM(D87:O87)</f>
        <v>4372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الشهر'!$C$10:$AL$124,31,FALSE),0)</f>
        <v>0</v>
      </c>
      <c r="E88" s="362">
        <f>IFERROR(VLOOKUP(C88,'تقرير المصروفات حسب الشهر'!$C$135:$AL$252,31,FALSE),0)</f>
        <v>1625</v>
      </c>
      <c r="F88" s="362">
        <v>0</v>
      </c>
      <c r="G88" s="362">
        <f>IFERROR(VLOOKUP(C88,'تقرير المصروفات حسب الشهر'!C452:AH565,31,0),0)</f>
        <v>0</v>
      </c>
      <c r="H88" s="362">
        <f>IFERROR(VLOOKUP(C88,'تقرير المصروفات حسب الشهر'!$C$512:$AL$620,31,FALSE),0)</f>
        <v>333</v>
      </c>
      <c r="I88" s="511">
        <f>IFERROR(VLOOKUP(C88,'تقرير المصروفات حسب الشهر'!$C$637:$AI$748,31,FALSE),0)</f>
        <v>500</v>
      </c>
      <c r="J88" s="362">
        <f>IFERROR(VLOOKUP(C88,'تقرير المصروفات حسب الشهر'!$C$763:$AI$877,31,FALSE),0)</f>
        <v>0</v>
      </c>
      <c r="K88" s="362">
        <f>IFERROR(VLOOKUP(C88,'تقرير المصروفات حسب الشهر'!$C$890:$AI$1007,31,FALSE),0)</f>
        <v>0</v>
      </c>
      <c r="L88" s="362">
        <f>IFERROR(VLOOKUP(C88,'تقرير المصروفات حسب الشهر'!$C$1016:$AI$1131,31,FALSE),0)</f>
        <v>0</v>
      </c>
      <c r="M88" s="376">
        <f>IFERROR(VLOOKUP(C88,'تقرير المصروفات حسب الشهر'!$C$1143:$AI$1290,31,FALSE),0)</f>
        <v>0</v>
      </c>
      <c r="N88" s="376">
        <f>IFERROR(VLOOKUP(C88,'تقرير المصروفات حسب الشهر'!$C$1271:$AI$1385,31,FALSE),0)</f>
        <v>0</v>
      </c>
      <c r="O88" s="376">
        <f>IFERROR(VLOOKUP(C88,'تقرير المصروفات حسب الشهر'!$C$1397:$AI$1512,31,FALSE),0)</f>
        <v>0</v>
      </c>
      <c r="P88" s="364">
        <f t="shared" si="6"/>
        <v>2458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الشهر'!$C$10:$AL$124,31,FALSE),0)</f>
        <v>0</v>
      </c>
      <c r="E89" s="362">
        <f>IFERROR(VLOOKUP(C89,'تقرير المصروفات حسب الشهر'!$C$135:$AL$252,31,FALSE),0)</f>
        <v>0</v>
      </c>
      <c r="F89" s="362">
        <v>0</v>
      </c>
      <c r="G89" s="362">
        <f>IFERROR(VLOOKUP(C89,'تقرير المصروفات حسب الشهر'!C453:AH566,31,0),0)</f>
        <v>0</v>
      </c>
      <c r="H89" s="362">
        <f>IFERROR(VLOOKUP(C89,'تقرير المصروفات حسب الشهر'!$C$512:$AL$620,31,FALSE),0)</f>
        <v>0</v>
      </c>
      <c r="I89" s="362">
        <f>IFERROR(VLOOKUP(C89,'تقرير المصروفات حسب الشهر'!$C$637:$AI$748,31,FALSE),0)</f>
        <v>0</v>
      </c>
      <c r="J89" s="362">
        <f>IFERROR(VLOOKUP(C89,'تقرير المصروفات حسب الشهر'!$C$763:$AI$877,31,FALSE),0)</f>
        <v>0</v>
      </c>
      <c r="K89" s="362">
        <f>IFERROR(VLOOKUP(C89,'تقرير المصروفات حسب الشهر'!$C$890:$AI$1007,31,FALSE),0)</f>
        <v>0</v>
      </c>
      <c r="L89" s="362">
        <f>IFERROR(VLOOKUP(C89,'تقرير المصروفات حسب الشهر'!$C$1016:$AI$1131,31,FALSE),0)</f>
        <v>0</v>
      </c>
      <c r="M89" s="376">
        <f>IFERROR(VLOOKUP(C89,'تقرير المصروفات حسب الشهر'!$C$1143:$AI$1290,31,FALSE),0)</f>
        <v>0</v>
      </c>
      <c r="N89" s="376">
        <f>IFERROR(VLOOKUP(C89,'تقرير المصروفات حسب الشهر'!$C$1271:$AI$1385,31,FALSE),0)</f>
        <v>0</v>
      </c>
      <c r="O89" s="376">
        <f>IFERROR(VLOOKUP(C89,'تقرير المصروفات حسب الشهر'!$C$1397:$AI$1512,31,FALSE),0)</f>
        <v>0</v>
      </c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الشهر'!$C$10:$AL$124,31,FALSE),0)</f>
        <v>0</v>
      </c>
      <c r="E90" s="362">
        <f>IFERROR(VLOOKUP(C90,'تقرير المصروفات حسب الشهر'!$C$135:$AL$252,31,FALSE),0)</f>
        <v>0</v>
      </c>
      <c r="F90" s="362">
        <v>0</v>
      </c>
      <c r="G90" s="362">
        <f>IFERROR(VLOOKUP(C90,'تقرير المصروفات حسب الشهر'!C454:AH567,31,0),0)</f>
        <v>0</v>
      </c>
      <c r="H90" s="362">
        <f>IFERROR(VLOOKUP(C90,'تقرير المصروفات حسب الشهر'!$C$512:$AL$620,31,FALSE),0)</f>
        <v>0</v>
      </c>
      <c r="I90" s="362">
        <f>IFERROR(VLOOKUP(C90,'تقرير المصروفات حسب الشهر'!$C$637:$AI$748,31,FALSE),0)</f>
        <v>0</v>
      </c>
      <c r="J90" s="362">
        <f>IFERROR(VLOOKUP(C90,'تقرير المصروفات حسب الشهر'!$C$763:$AI$877,31,FALSE),0)</f>
        <v>0</v>
      </c>
      <c r="K90" s="362">
        <f>IFERROR(VLOOKUP(C90,'تقرير المصروفات حسب الشهر'!$C$890:$AI$1007,31,FALSE),0)</f>
        <v>0</v>
      </c>
      <c r="L90" s="362">
        <f>IFERROR(VLOOKUP(C90,'تقرير المصروفات حسب الشهر'!$C$1016:$AI$1131,31,FALSE),0)</f>
        <v>0</v>
      </c>
      <c r="M90" s="376">
        <f>IFERROR(VLOOKUP(C90,'تقرير المصروفات حسب الشهر'!$C$1143:$AI$1290,31,FALSE),0)</f>
        <v>0</v>
      </c>
      <c r="N90" s="376">
        <f>IFERROR(VLOOKUP(C90,'تقرير المصروفات حسب الشهر'!$C$1271:$AI$1385,31,FALSE),0)</f>
        <v>0</v>
      </c>
      <c r="O90" s="376">
        <f>IFERROR(VLOOKUP(C90,'تقرير المصروفات حسب الشهر'!$C$1397:$AI$1512,31,FALSE),0)</f>
        <v>0</v>
      </c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الشهر'!$C$10:$AL$124,31,FALSE),0)</f>
        <v>700</v>
      </c>
      <c r="E91" s="362">
        <f>IFERROR(VLOOKUP(C91,'تقرير المصروفات حسب الشهر'!$C$135:$AL$252,31,FALSE),0)</f>
        <v>0</v>
      </c>
      <c r="F91" s="362">
        <v>0</v>
      </c>
      <c r="G91" s="362">
        <f>IFERROR(VLOOKUP(C91,'تقرير المصروفات حسب الشهر'!C455:AH568,31,0),0)</f>
        <v>0</v>
      </c>
      <c r="H91" s="362">
        <f>IFERROR(VLOOKUP(C91,'تقرير المصروفات حسب الشهر'!$C$512:$AL$620,31,FALSE),0)</f>
        <v>0</v>
      </c>
      <c r="I91" s="362">
        <f>IFERROR(VLOOKUP(C91,'تقرير المصروفات حسب الشهر'!$C$637:$AI$748,31,FALSE),0)</f>
        <v>0</v>
      </c>
      <c r="J91" s="362">
        <f>IFERROR(VLOOKUP(C91,'تقرير المصروفات حسب الشهر'!$C$763:$AI$877,31,FALSE),0)</f>
        <v>0</v>
      </c>
      <c r="K91" s="362">
        <f>IFERROR(VLOOKUP(C91,'تقرير المصروفات حسب الشهر'!$C$890:$AI$1007,31,FALSE),0)</f>
        <v>0</v>
      </c>
      <c r="L91" s="362">
        <f>IFERROR(VLOOKUP(C91,'تقرير المصروفات حسب الشهر'!$C$1016:$AI$1131,31,FALSE),0)</f>
        <v>0</v>
      </c>
      <c r="M91" s="376">
        <f>IFERROR(VLOOKUP(C91,'تقرير المصروفات حسب الشهر'!$C$1143:$AI$1290,31,FALSE),0)</f>
        <v>0</v>
      </c>
      <c r="N91" s="376">
        <f>IFERROR(VLOOKUP(C91,'تقرير المصروفات حسب الشهر'!$C$1271:$AI$1385,31,FALSE),0)</f>
        <v>0</v>
      </c>
      <c r="O91" s="376">
        <f>IFERROR(VLOOKUP(C91,'تقرير المصروفات حسب الشهر'!$C$1397:$AI$1512,31,FALSE),0)</f>
        <v>0</v>
      </c>
      <c r="P91" s="364">
        <f t="shared" si="6"/>
        <v>700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الشهر'!$C$10:$AL$124,31,FALSE),0)</f>
        <v>0</v>
      </c>
      <c r="E92" s="362">
        <f>IFERROR(VLOOKUP(C92,'تقرير المصروفات حسب الشهر'!$C$135:$AL$252,31,FALSE),0)</f>
        <v>0</v>
      </c>
      <c r="F92" s="362">
        <v>1200</v>
      </c>
      <c r="G92" s="362">
        <f>IFERROR(VLOOKUP(C92,'تقرير المصروفات حسب الشهر'!C456:AH569,31,0),0)</f>
        <v>0</v>
      </c>
      <c r="H92" s="362">
        <f>IFERROR(VLOOKUP(C92,'تقرير المصروفات حسب الشهر'!$C$512:$AL$620,31,FALSE),0)</f>
        <v>0</v>
      </c>
      <c r="I92" s="362">
        <f>IFERROR(VLOOKUP(C92,'تقرير المصروفات حسب الشهر'!$C$637:$AI$748,31,FALSE),0)</f>
        <v>0</v>
      </c>
      <c r="J92" s="362">
        <f>IFERROR(VLOOKUP(C92,'تقرير المصروفات حسب الشهر'!$C$763:$AI$877,31,FALSE),0)</f>
        <v>0</v>
      </c>
      <c r="K92" s="362">
        <f>IFERROR(VLOOKUP(C92,'تقرير المصروفات حسب الشهر'!$C$890:$AI$1007,31,FALSE),0)</f>
        <v>0</v>
      </c>
      <c r="L92" s="362">
        <f>IFERROR(VLOOKUP(C92,'تقرير المصروفات حسب الشهر'!$C$1016:$AI$1131,31,FALSE),0)</f>
        <v>0</v>
      </c>
      <c r="M92" s="376">
        <f>IFERROR(VLOOKUP(C92,'تقرير المصروفات حسب الشهر'!$C$1143:$AI$1290,31,FALSE),0)</f>
        <v>0</v>
      </c>
      <c r="N92" s="376">
        <f>IFERROR(VLOOKUP(C92,'تقرير المصروفات حسب الشهر'!$C$1271:$AI$1385,31,FALSE),0)</f>
        <v>0</v>
      </c>
      <c r="O92" s="376">
        <f>IFERROR(VLOOKUP(C92,'تقرير المصروفات حسب الشهر'!$C$1397:$AI$1512,31,FALSE),0)</f>
        <v>0</v>
      </c>
      <c r="P92" s="364">
        <f t="shared" si="6"/>
        <v>1200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الشهر'!$C$10:$AL$124,31,FALSE),0)</f>
        <v>0</v>
      </c>
      <c r="E93" s="362">
        <f>IFERROR(VLOOKUP(C93,'تقرير المصروفات حسب الشهر'!$C$135:$AL$252,31,FALSE),0)</f>
        <v>0</v>
      </c>
      <c r="F93" s="362">
        <v>0</v>
      </c>
      <c r="G93" s="362">
        <f>IFERROR(VLOOKUP(C93,'تقرير المصروفات حسب الشهر'!C457:AH570,31,0),0)</f>
        <v>621.5</v>
      </c>
      <c r="H93" s="362">
        <f>IFERROR(VLOOKUP(C93,'تقرير المصروفات حسب الشهر'!$C$512:$AL$620,31,FALSE),0)</f>
        <v>0</v>
      </c>
      <c r="I93" s="362">
        <f>IFERROR(VLOOKUP(C93,'تقرير المصروفات حسب الشهر'!$C$637:$AI$748,31,FALSE),0)</f>
        <v>0</v>
      </c>
      <c r="J93" s="362">
        <f>IFERROR(VLOOKUP(C93,'تقرير المصروفات حسب الشهر'!$C$763:$AI$877,31,FALSE),0)</f>
        <v>668</v>
      </c>
      <c r="K93" s="362">
        <f>IFERROR(VLOOKUP(C93,'تقرير المصروفات حسب الشهر'!$C$890:$AI$1007,31,FALSE),0)</f>
        <v>0</v>
      </c>
      <c r="L93" s="362">
        <f>IFERROR(VLOOKUP(C93,'تقرير المصروفات حسب الشهر'!$C$1016:$AI$1131,31,FALSE),0)</f>
        <v>0</v>
      </c>
      <c r="M93" s="376">
        <f>IFERROR(VLOOKUP(C93,'تقرير المصروفات حسب الشهر'!$C$1143:$AI$1290,31,FALSE),0)</f>
        <v>0</v>
      </c>
      <c r="N93" s="376">
        <f>IFERROR(VLOOKUP(C93,'تقرير المصروفات حسب الشهر'!$C$1271:$AI$1385,31,FALSE),0)</f>
        <v>0</v>
      </c>
      <c r="O93" s="376">
        <f>IFERROR(VLOOKUP(C93,'تقرير المصروفات حسب الشهر'!$C$1397:$AI$1512,31,FALSE),0)</f>
        <v>0</v>
      </c>
      <c r="P93" s="364">
        <f t="shared" si="6"/>
        <v>1289.5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الشهر'!$C$10:$AL$124,31,FALSE),0)</f>
        <v>0</v>
      </c>
      <c r="E94" s="362">
        <f>IFERROR(VLOOKUP(C94,'تقرير المصروفات حسب الشهر'!$C$135:$AL$252,31,FALSE),0)</f>
        <v>190</v>
      </c>
      <c r="F94" s="362">
        <v>715</v>
      </c>
      <c r="G94" s="362">
        <f>IFERROR(VLOOKUP(C94,'تقرير المصروفات حسب الشهر'!C458:AH571,31,0),0)</f>
        <v>370</v>
      </c>
      <c r="H94" s="362">
        <f>IFERROR(VLOOKUP(C94,'تقرير المصروفات حسب الشهر'!$C$512:$AL$620,31,FALSE),0)</f>
        <v>0</v>
      </c>
      <c r="I94" s="511">
        <f>IFERROR(VLOOKUP(C94,'تقرير المصروفات حسب الشهر'!$C$637:$AI$748,31,FALSE),0)</f>
        <v>290</v>
      </c>
      <c r="J94" s="362">
        <f>IFERROR(VLOOKUP(C94,'تقرير المصروفات حسب الشهر'!$C$763:$AI$877,31,FALSE),0)</f>
        <v>310</v>
      </c>
      <c r="K94" s="362">
        <f>IFERROR(VLOOKUP(C94,'تقرير المصروفات حسب الشهر'!$C$890:$AI$1007,31,FALSE),0)</f>
        <v>309</v>
      </c>
      <c r="L94" s="362">
        <f>IFERROR(VLOOKUP(C94,'تقرير المصروفات حسب الشهر'!$C$1016:$AI$1131,31,FALSE),0)</f>
        <v>0</v>
      </c>
      <c r="M94" s="376">
        <f>IFERROR(VLOOKUP(C94,'تقرير المصروفات حسب الشهر'!$C$1143:$AI$1290,31,FALSE),0)</f>
        <v>697.27</v>
      </c>
      <c r="N94" s="376">
        <f>IFERROR(VLOOKUP(C94,'تقرير المصروفات حسب الشهر'!$C$1271:$AI$1385,31,FALSE),0)</f>
        <v>309</v>
      </c>
      <c r="O94" s="376">
        <f>IFERROR(VLOOKUP(C94,'تقرير المصروفات حسب الشهر'!$C$1397:$AI$1512,31,FALSE),0)</f>
        <v>468</v>
      </c>
      <c r="P94" s="364">
        <f t="shared" si="6"/>
        <v>3658.27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الشهر'!$C$10:$AL$124,31,FALSE),0)</f>
        <v>0</v>
      </c>
      <c r="E95" s="362">
        <f>IFERROR(VLOOKUP(C95,'تقرير المصروفات حسب الشهر'!$C$135:$AL$252,31,FALSE),0)</f>
        <v>0</v>
      </c>
      <c r="F95" s="362">
        <v>0</v>
      </c>
      <c r="G95" s="362">
        <f>IFERROR(VLOOKUP(C95,'تقرير المصروفات حسب الشهر'!C459:AH572,31,0),0)</f>
        <v>1500</v>
      </c>
      <c r="H95" s="362">
        <f>IFERROR(VLOOKUP(C95,'تقرير المصروفات حسب الشهر'!$C$512:$AL$620,31,FALSE),0)</f>
        <v>0</v>
      </c>
      <c r="I95" s="362">
        <f>IFERROR(VLOOKUP(C95,'تقرير المصروفات حسب الشهر'!$C$637:$AI$748,31,FALSE),0)</f>
        <v>0</v>
      </c>
      <c r="J95" s="362">
        <f>IFERROR(VLOOKUP(C95,'تقرير المصروفات حسب الشهر'!$C$763:$AI$877,31,FALSE),0)</f>
        <v>0</v>
      </c>
      <c r="K95" s="362">
        <f>IFERROR(VLOOKUP(C95,'تقرير المصروفات حسب الشهر'!$C$890:$AI$1007,31,FALSE),0)</f>
        <v>0</v>
      </c>
      <c r="L95" s="362">
        <f>IFERROR(VLOOKUP(C95,'تقرير المصروفات حسب الشهر'!$C$1016:$AI$1131,31,FALSE),0)</f>
        <v>2130</v>
      </c>
      <c r="M95" s="376">
        <f>IFERROR(VLOOKUP(C95,'تقرير المصروفات حسب الشهر'!$C$1143:$AI$1290,31,FALSE),0)</f>
        <v>1065</v>
      </c>
      <c r="N95" s="376">
        <f>IFERROR(VLOOKUP(C95,'تقرير المصروفات حسب الشهر'!$C$1271:$AI$1385,31,FALSE),0)</f>
        <v>1065</v>
      </c>
      <c r="O95" s="376">
        <f>IFERROR(VLOOKUP(C95,'تقرير المصروفات حسب الشهر'!$C$1397:$AI$1512,31,FALSE),0)</f>
        <v>1065</v>
      </c>
      <c r="P95" s="364">
        <f t="shared" si="6"/>
        <v>6825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الشهر'!$C$10:$AL$124,31,FALSE),0)</f>
        <v>0</v>
      </c>
      <c r="E96" s="362">
        <f>IFERROR(VLOOKUP(C96,'تقرير المصروفات حسب الشهر'!$C$135:$AL$252,31,FALSE),0)</f>
        <v>0</v>
      </c>
      <c r="F96" s="362">
        <v>0</v>
      </c>
      <c r="G96" s="362">
        <f>IFERROR(VLOOKUP(C96,'تقرير المصروفات حسب الشهر'!C460:AH573,31,0),0)</f>
        <v>0</v>
      </c>
      <c r="H96" s="362">
        <f>IFERROR(VLOOKUP(C96,'تقرير المصروفات حسب الشهر'!$C$512:$AL$620,31,FALSE),0)</f>
        <v>0</v>
      </c>
      <c r="I96" s="362">
        <f>IFERROR(VLOOKUP(C96,'تقرير المصروفات حسب الشهر'!$C$637:$AI$748,31,FALSE),0)</f>
        <v>0</v>
      </c>
      <c r="J96" s="362">
        <f>IFERROR(VLOOKUP(C96,'تقرير المصروفات حسب الشهر'!$C$763:$AI$877,31,FALSE),0)</f>
        <v>0</v>
      </c>
      <c r="K96" s="362">
        <f>IFERROR(VLOOKUP(C96,'تقرير المصروفات حسب الشهر'!$C$890:$AI$1007,31,FALSE),0)</f>
        <v>0</v>
      </c>
      <c r="L96" s="362">
        <f>IFERROR(VLOOKUP(C96,'تقرير المصروفات حسب الشهر'!$C$1016:$AI$1131,31,FALSE),0)</f>
        <v>0</v>
      </c>
      <c r="M96" s="376">
        <f>IFERROR(VLOOKUP(C96,'تقرير المصروفات حسب الشهر'!$C$1143:$AI$1290,31,FALSE),0)</f>
        <v>0</v>
      </c>
      <c r="N96" s="376">
        <f>IFERROR(VLOOKUP(C96,'تقرير المصروفات حسب الشهر'!$C$1271:$AI$1385,31,FALSE),0)</f>
        <v>0</v>
      </c>
      <c r="O96" s="376">
        <f>IFERROR(VLOOKUP(C96,'تقرير المصروفات حسب الشهر'!$C$1397:$AI$1512,31,FALSE),0)</f>
        <v>0</v>
      </c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الشهر'!$C$10:$AL$124,31,FALSE),0)</f>
        <v>0</v>
      </c>
      <c r="E97" s="362">
        <f>IFERROR(VLOOKUP(C97,'تقرير المصروفات حسب الشهر'!$C$135:$AL$252,31,FALSE),0)</f>
        <v>0</v>
      </c>
      <c r="F97" s="362">
        <v>0</v>
      </c>
      <c r="G97" s="362">
        <f>IFERROR(VLOOKUP(C97,'تقرير المصروفات حسب الشهر'!C461:AH574,31,0),0)</f>
        <v>0</v>
      </c>
      <c r="H97" s="362">
        <f>IFERROR(VLOOKUP(C97,'تقرير المصروفات حسب الشهر'!$C$512:$AL$620,31,FALSE),0)</f>
        <v>0</v>
      </c>
      <c r="I97" s="362">
        <f>IFERROR(VLOOKUP(C97,'تقرير المصروفات حسب الشهر'!$C$637:$AI$748,31,FALSE),0)</f>
        <v>0</v>
      </c>
      <c r="J97" s="362">
        <f>IFERROR(VLOOKUP(C97,'تقرير المصروفات حسب الشهر'!$C$763:$AI$877,31,FALSE),0)</f>
        <v>0</v>
      </c>
      <c r="K97" s="362">
        <f>IFERROR(VLOOKUP(C97,'تقرير المصروفات حسب الشهر'!$C$890:$AI$1007,31,FALSE),0)</f>
        <v>0</v>
      </c>
      <c r="L97" s="362">
        <f>IFERROR(VLOOKUP(C97,'تقرير المصروفات حسب الشهر'!$C$1016:$AI$1131,31,FALSE),0)</f>
        <v>0</v>
      </c>
      <c r="M97" s="376">
        <f>IFERROR(VLOOKUP(C97,'تقرير المصروفات حسب الشهر'!$C$1143:$AI$1290,31,FALSE),0)</f>
        <v>0</v>
      </c>
      <c r="N97" s="376">
        <f>IFERROR(VLOOKUP(C97,'تقرير المصروفات حسب الشهر'!$C$1271:$AI$1385,31,FALSE),0)</f>
        <v>0</v>
      </c>
      <c r="O97" s="376">
        <f>IFERROR(VLOOKUP(C97,'تقرير المصروفات حسب الشهر'!$C$1397:$AI$1512,31,FALSE),0)</f>
        <v>0</v>
      </c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الشهر'!$C$10:$AL$124,31,FALSE),0)</f>
        <v>0</v>
      </c>
      <c r="E98" s="362">
        <f>IFERROR(VLOOKUP(C98,'تقرير المصروفات حسب الشهر'!$C$135:$AL$252,31,FALSE),0)</f>
        <v>0</v>
      </c>
      <c r="F98" s="362">
        <v>0</v>
      </c>
      <c r="G98" s="362">
        <f>IFERROR(VLOOKUP(C98,'تقرير المصروفات حسب الشهر'!C462:AH575,31,0),0)</f>
        <v>0</v>
      </c>
      <c r="H98" s="362">
        <f>IFERROR(VLOOKUP(C98,'تقرير المصروفات حسب الشهر'!$C$512:$AL$620,31,FALSE),0)</f>
        <v>0</v>
      </c>
      <c r="I98" s="362">
        <f>IFERROR(VLOOKUP(C98,'تقرير المصروفات حسب الشهر'!$C$637:$AI$748,31,FALSE),0)</f>
        <v>0</v>
      </c>
      <c r="J98" s="362">
        <f>IFERROR(VLOOKUP(C98,'تقرير المصروفات حسب الشهر'!$C$763:$AI$877,31,FALSE),0)</f>
        <v>0</v>
      </c>
      <c r="K98" s="362">
        <f>IFERROR(VLOOKUP(C98,'تقرير المصروفات حسب الشهر'!$C$890:$AI$1007,31,FALSE),0)</f>
        <v>0</v>
      </c>
      <c r="L98" s="362">
        <f>IFERROR(VLOOKUP(C98,'تقرير المصروفات حسب الشهر'!$C$1016:$AI$1131,31,FALSE),0)</f>
        <v>0</v>
      </c>
      <c r="M98" s="376">
        <f>IFERROR(VLOOKUP(C98,'تقرير المصروفات حسب الشهر'!$C$1143:$AI$1290,31,FALSE),0)</f>
        <v>0</v>
      </c>
      <c r="N98" s="376">
        <f>IFERROR(VLOOKUP(C98,'تقرير المصروفات حسب الشهر'!$C$1271:$AI$1385,31,FALSE),0)</f>
        <v>0</v>
      </c>
      <c r="O98" s="376">
        <f>IFERROR(VLOOKUP(C98,'تقرير المصروفات حسب الشهر'!$C$1397:$AI$1512,31,FALSE),0)</f>
        <v>0</v>
      </c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الشهر'!$C$10:$AL$124,31,FALSE),0)</f>
        <v>0</v>
      </c>
      <c r="E99" s="362">
        <f>IFERROR(VLOOKUP(C99,'تقرير المصروفات حسب الشهر'!$C$135:$AL$252,31,FALSE),0)</f>
        <v>0</v>
      </c>
      <c r="F99" s="362">
        <v>0</v>
      </c>
      <c r="G99" s="362">
        <f>IFERROR(VLOOKUP(C99,'تقرير المصروفات حسب الشهر'!C463:AH576,31,0),0)</f>
        <v>0</v>
      </c>
      <c r="H99" s="362">
        <f>IFERROR(VLOOKUP(C99,'تقرير المصروفات حسب الشهر'!$C$512:$AL$620,31,FALSE),0)</f>
        <v>0</v>
      </c>
      <c r="I99" s="362">
        <f>IFERROR(VLOOKUP(C99,'تقرير المصروفات حسب الشهر'!$C$637:$AI$748,31,FALSE),0)</f>
        <v>0</v>
      </c>
      <c r="J99" s="362">
        <f>IFERROR(VLOOKUP(C99,'تقرير المصروفات حسب الشهر'!$C$763:$AI$877,31,FALSE),0)</f>
        <v>0</v>
      </c>
      <c r="K99" s="362">
        <f>IFERROR(VLOOKUP(C99,'تقرير المصروفات حسب الشهر'!$C$890:$AI$1007,31,FALSE),0)</f>
        <v>0</v>
      </c>
      <c r="L99" s="362">
        <f>IFERROR(VLOOKUP(C99,'تقرير المصروفات حسب الشهر'!$C$1016:$AI$1131,31,FALSE),0)</f>
        <v>0</v>
      </c>
      <c r="M99" s="376">
        <f>IFERROR(VLOOKUP(C99,'تقرير المصروفات حسب الشهر'!$C$1143:$AI$1290,31,FALSE),0)</f>
        <v>0</v>
      </c>
      <c r="N99" s="376">
        <f>IFERROR(VLOOKUP(C99,'تقرير المصروفات حسب الشهر'!$C$1271:$AI$1385,31,FALSE),0)</f>
        <v>0</v>
      </c>
      <c r="O99" s="376">
        <f>IFERROR(VLOOKUP(C99,'تقرير المصروفات حسب الشهر'!$C$1397:$AI$1512,31,FALSE),0)</f>
        <v>0</v>
      </c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الشهر'!$C$10:$AL$124,31,FALSE),0)</f>
        <v>163.69</v>
      </c>
      <c r="E100" s="362">
        <f>IFERROR(VLOOKUP(C100,'تقرير المصروفات حسب الشهر'!$C$135:$AL$252,31,FALSE),0)</f>
        <v>1785.78</v>
      </c>
      <c r="F100" s="362">
        <v>2250.87</v>
      </c>
      <c r="G100" s="362">
        <f>IFERROR(VLOOKUP(C100,'تقرير المصروفات حسب الشهر'!C464:AH577,31,0),0)</f>
        <v>2382.6799999999998</v>
      </c>
      <c r="H100" s="362">
        <f>IFERROR(VLOOKUP(C100,'تقرير المصروفات حسب الشهر'!$C$512:$AL$620,31,FALSE),0)</f>
        <v>2382.6799999999998</v>
      </c>
      <c r="I100" s="511">
        <f>IFERROR(VLOOKUP(C100,'تقرير المصروفات حسب الشهر'!$C$637:$AI$748,31,FALSE),0)</f>
        <v>2382.66</v>
      </c>
      <c r="J100" s="362">
        <f>IFERROR(VLOOKUP(C100,'تقرير المصروفات حسب الشهر'!$C$763:$AI$877,31,FALSE),0)</f>
        <v>2465.08</v>
      </c>
      <c r="K100" s="362">
        <f>IFERROR(VLOOKUP(C100,'تقرير المصروفات حسب الشهر'!$C$890:$AI$1007,31,FALSE),0)</f>
        <v>2465.08</v>
      </c>
      <c r="L100" s="362">
        <f>IFERROR(VLOOKUP(C100,'تقرير المصروفات حسب الشهر'!$C$1016:$AI$1131,31,FALSE),0)</f>
        <v>2465.08</v>
      </c>
      <c r="M100" s="376">
        <f>IFERROR(VLOOKUP(C100,'تقرير المصروفات حسب الشهر'!$C$1143:$AI$1290,31,FALSE),0)</f>
        <v>2465.08</v>
      </c>
      <c r="N100" s="376">
        <f>IFERROR(VLOOKUP(C100,'تقرير المصروفات حسب الشهر'!$C$1271:$AI$1385,31,FALSE),0)</f>
        <v>2465.08</v>
      </c>
      <c r="O100" s="376">
        <f>IFERROR(VLOOKUP(C100,'تقرير المصروفات حسب الشهر'!$C$1397:$AI$1512,31,FALSE),0)</f>
        <v>2301.39</v>
      </c>
      <c r="P100" s="364">
        <f t="shared" si="6"/>
        <v>25975.15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الشهر'!$C$10:$AL$124,31,FALSE),0)</f>
        <v>0</v>
      </c>
      <c r="E101" s="362">
        <f>IFERROR(VLOOKUP(C101,'تقرير المصروفات حسب الشهر'!$C$135:$AL$252,31,FALSE),0)</f>
        <v>0</v>
      </c>
      <c r="F101" s="362">
        <v>40.659999999999997</v>
      </c>
      <c r="G101" s="362">
        <f>IFERROR(VLOOKUP(C101,'تقرير المصروفات حسب الشهر'!C465:AH578,31,0),0)</f>
        <v>90.26</v>
      </c>
      <c r="H101" s="362">
        <f>IFERROR(VLOOKUP(C101,'تقرير المصروفات حسب الشهر'!$C$512:$AL$620,31,FALSE),0)</f>
        <v>90.26</v>
      </c>
      <c r="I101" s="511">
        <f>IFERROR(VLOOKUP(C101,'تقرير المصروفات حسب الشهر'!$C$637:$AI$748,31,FALSE),0)</f>
        <v>90.26</v>
      </c>
      <c r="J101" s="362">
        <f>IFERROR(VLOOKUP(C101,'تقرير المصروفات حسب الشهر'!$C$763:$AI$877,31,FALSE),0)</f>
        <v>90.26</v>
      </c>
      <c r="K101" s="362">
        <f>IFERROR(VLOOKUP(C101,'تقرير المصروفات حسب الشهر'!$C$890:$AI$1007,31,FALSE),0)</f>
        <v>90.26</v>
      </c>
      <c r="L101" s="362">
        <f>IFERROR(VLOOKUP(C101,'تقرير المصروفات حسب الشهر'!$C$1016:$AI$1131,31,FALSE),0)</f>
        <v>90.26</v>
      </c>
      <c r="M101" s="376">
        <f>IFERROR(VLOOKUP(C101,'تقرير المصروفات حسب الشهر'!$C$1143:$AI$1290,31,FALSE),0)</f>
        <v>90.26</v>
      </c>
      <c r="N101" s="376">
        <f>IFERROR(VLOOKUP(C101,'تقرير المصروفات حسب الشهر'!$C$1271:$AI$1385,31,FALSE),0)</f>
        <v>90.26</v>
      </c>
      <c r="O101" s="376">
        <f>IFERROR(VLOOKUP(C101,'تقرير المصروفات حسب الشهر'!$C$1397:$AI$1512,31,FALSE),0)</f>
        <v>90.26</v>
      </c>
      <c r="P101" s="364">
        <f t="shared" si="6"/>
        <v>853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الشهر'!$C$10:$AL$124,31,FALSE),0)</f>
        <v>51.34</v>
      </c>
      <c r="E102" s="362">
        <f>IFERROR(VLOOKUP(C102,'تقرير المصروفات حسب الشهر'!$C$135:$AL$252,31,FALSE),0)</f>
        <v>318.27</v>
      </c>
      <c r="F102" s="362">
        <v>318.27</v>
      </c>
      <c r="G102" s="362">
        <f>IFERROR(VLOOKUP(C102,'تقرير المصروفات حسب الشهر'!C466:AH579,31,0),0)</f>
        <v>318.27</v>
      </c>
      <c r="H102" s="362">
        <f>IFERROR(VLOOKUP(C102,'تقرير المصروفات حسب الشهر'!$C$512:$AL$620,31,FALSE),0)</f>
        <v>318.27</v>
      </c>
      <c r="I102" s="511">
        <f>IFERROR(VLOOKUP(C102,'تقرير المصروفات حسب الشهر'!$C$637:$AI$748,31,FALSE),0)</f>
        <v>318.27</v>
      </c>
      <c r="J102" s="362">
        <f>IFERROR(VLOOKUP(C102,'تقرير المصروفات حسب الشهر'!$C$763:$AI$877,31,FALSE),0)</f>
        <v>318.27</v>
      </c>
      <c r="K102" s="362">
        <f>IFERROR(VLOOKUP(C102,'تقرير المصروفات حسب الشهر'!$C$890:$AI$1007,31,FALSE),0)</f>
        <v>318.27</v>
      </c>
      <c r="L102" s="362">
        <f>IFERROR(VLOOKUP(C102,'تقرير المصروفات حسب الشهر'!$C$1016:$AI$1131,31,FALSE),0)</f>
        <v>318.27</v>
      </c>
      <c r="M102" s="376">
        <f>IFERROR(VLOOKUP(C102,'تقرير المصروفات حسب الشهر'!$C$1143:$AI$1290,31,FALSE),0)</f>
        <v>318.27</v>
      </c>
      <c r="N102" s="376">
        <f>IFERROR(VLOOKUP(C102,'تقرير المصروفات حسب الشهر'!$C$1271:$AI$1385,31,FALSE),0)</f>
        <v>318.27</v>
      </c>
      <c r="O102" s="376">
        <f>IFERROR(VLOOKUP(C102,'تقرير المصروفات حسب الشهر'!$C$1397:$AI$1512,31,FALSE),0)</f>
        <v>266.93</v>
      </c>
      <c r="P102" s="364">
        <f t="shared" si="6"/>
        <v>3500.97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الشهر'!$C$10:$AL$124,31,FALSE),0)</f>
        <v>77.63</v>
      </c>
      <c r="E103" s="362">
        <f>IFERROR(VLOOKUP(C103,'تقرير المصروفات حسب الشهر'!$C$135:$AL$252,31,FALSE),0)</f>
        <v>503.04</v>
      </c>
      <c r="F103" s="362">
        <v>515.15</v>
      </c>
      <c r="G103" s="362">
        <f>IFERROR(VLOOKUP(C103,'تقرير المصروفات حسب الشهر'!C467:AH580,31,0),0)</f>
        <v>515.15</v>
      </c>
      <c r="H103" s="362">
        <f>IFERROR(VLOOKUP(C103,'تقرير المصروفات حسب الشهر'!$C$512:$AL$620,31,FALSE),0)</f>
        <v>515.15</v>
      </c>
      <c r="I103" s="511">
        <f>IFERROR(VLOOKUP(C103,'تقرير المصروفات حسب الشهر'!$C$637:$AI$748,31,FALSE),0)</f>
        <v>515.15</v>
      </c>
      <c r="J103" s="362">
        <f>IFERROR(VLOOKUP(C103,'تقرير المصروفات حسب الشهر'!$C$763:$AI$877,31,FALSE),0)</f>
        <v>515.15</v>
      </c>
      <c r="K103" s="362">
        <f>IFERROR(VLOOKUP(C103,'تقرير المصروفات حسب الشهر'!$C$890:$AI$1007,31,FALSE),0)</f>
        <v>515.15</v>
      </c>
      <c r="L103" s="362">
        <f>IFERROR(VLOOKUP(C103,'تقرير المصروفات حسب الشهر'!$C$1016:$AI$1131,31,FALSE),0)</f>
        <v>515.15</v>
      </c>
      <c r="M103" s="376">
        <f>IFERROR(VLOOKUP(C103,'تقرير المصروفات حسب الشهر'!$C$1143:$AI$1290,31,FALSE),0)</f>
        <v>515.15</v>
      </c>
      <c r="N103" s="376">
        <f>IFERROR(VLOOKUP(C103,'تقرير المصروفات حسب الشهر'!$C$1271:$AI$1385,31,FALSE),0)</f>
        <v>515.15</v>
      </c>
      <c r="O103" s="376">
        <f>IFERROR(VLOOKUP(C103,'تقرير المصروفات حسب الشهر'!$C$1397:$AI$1512,31,FALSE),0)</f>
        <v>437.52</v>
      </c>
      <c r="P103" s="364">
        <f t="shared" si="6"/>
        <v>5654.5399999999991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الشهر'!$C$10:$AL$124,31,FALSE),0)</f>
        <v>0</v>
      </c>
      <c r="E104" s="362">
        <f>IFERROR(VLOOKUP(C104,'تقرير المصروفات حسب الشهر'!$C$135:$AL$252,31,FALSE),0)</f>
        <v>0</v>
      </c>
      <c r="F104" s="362">
        <v>0</v>
      </c>
      <c r="G104" s="362">
        <f>IFERROR(VLOOKUP(C104,'تقرير المصروفات حسب الشهر'!C468:AH581,31,0),0)</f>
        <v>0</v>
      </c>
      <c r="H104" s="362">
        <f>IFERROR(VLOOKUP(C104,'تقرير المصروفات حسب الشهر'!$C$512:$AL$620,31,FALSE),0)</f>
        <v>0</v>
      </c>
      <c r="I104" s="362">
        <f>IFERROR(VLOOKUP(C104,'تقرير المصروفات حسب الشهر'!$C$637:$AI$748,31,FALSE),0)</f>
        <v>0</v>
      </c>
      <c r="J104" s="362">
        <f>IFERROR(VLOOKUP(C104,'تقرير المصروفات حسب الشهر'!$C$763:$AI$877,31,FALSE),0)</f>
        <v>0</v>
      </c>
      <c r="K104" s="362">
        <f>IFERROR(VLOOKUP(C104,'تقرير المصروفات حسب الشهر'!$C$890:$AI$1007,31,FALSE),0)</f>
        <v>0</v>
      </c>
      <c r="L104" s="362">
        <f>IFERROR(VLOOKUP(C104,'تقرير المصروفات حسب الشهر'!$C$1016:$AI$1131,31,FALSE),0)</f>
        <v>0</v>
      </c>
      <c r="M104" s="376">
        <f>IFERROR(VLOOKUP(C104,'تقرير المصروفات حسب الشهر'!$C$1143:$AI$1290,31,FALSE),0)</f>
        <v>0</v>
      </c>
      <c r="N104" s="376">
        <f>IFERROR(VLOOKUP(C104,'تقرير المصروفات حسب الشهر'!$C$1271:$AI$1385,31,FALSE),0)</f>
        <v>0</v>
      </c>
      <c r="O104" s="376">
        <f>IFERROR(VLOOKUP(C104,'تقرير المصروفات حسب الشهر'!$C$1397:$AI$1512,31,FALSE),0)</f>
        <v>0</v>
      </c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الشهر'!$C$10:$AL$124,31,FALSE),0)</f>
        <v>0</v>
      </c>
      <c r="E105" s="362">
        <f>IFERROR(VLOOKUP(C105,'تقرير المصروفات حسب الشهر'!$C$135:$AL$252,31,FALSE),0)</f>
        <v>0</v>
      </c>
      <c r="F105" s="362">
        <v>0</v>
      </c>
      <c r="G105" s="362">
        <f>IFERROR(VLOOKUP(C105,'تقرير المصروفات حسب الشهر'!C469:AH582,31,0),0)</f>
        <v>0</v>
      </c>
      <c r="H105" s="362">
        <f>IFERROR(VLOOKUP(C105,'تقرير المصروفات حسب الشهر'!$C$512:$AL$620,31,FALSE),0)</f>
        <v>0</v>
      </c>
      <c r="I105" s="362">
        <f>IFERROR(VLOOKUP(C105,'تقرير المصروفات حسب الشهر'!$C$637:$AI$748,31,FALSE),0)</f>
        <v>0</v>
      </c>
      <c r="J105" s="362">
        <f>IFERROR(VLOOKUP(C105,'تقرير المصروفات حسب الشهر'!$C$763:$AI$877,31,FALSE),0)</f>
        <v>0</v>
      </c>
      <c r="K105" s="362">
        <f>IFERROR(VLOOKUP(C105,'تقرير المصروفات حسب الشهر'!$C$890:$AI$1007,31,FALSE),0)</f>
        <v>0</v>
      </c>
      <c r="L105" s="362">
        <f>IFERROR(VLOOKUP(C105,'تقرير المصروفات حسب الشهر'!$C$1016:$AI$1131,31,FALSE),0)</f>
        <v>0</v>
      </c>
      <c r="M105" s="376">
        <f>IFERROR(VLOOKUP(C105,'تقرير المصروفات حسب الشهر'!$C$1143:$AI$1290,31,FALSE),0)</f>
        <v>0</v>
      </c>
      <c r="N105" s="376">
        <f>IFERROR(VLOOKUP(C105,'تقرير المصروفات حسب الشهر'!$C$1271:$AI$1385,31,FALSE),0)</f>
        <v>0</v>
      </c>
      <c r="O105" s="376">
        <f>IFERROR(VLOOKUP(C105,'تقرير المصروفات حسب الشهر'!$C$1397:$AI$1512,31,FALSE),0)</f>
        <v>0</v>
      </c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الشهر'!$C$10:$AL$124,31,FALSE),0)</f>
        <v>0</v>
      </c>
      <c r="E106" s="362">
        <f>IFERROR(VLOOKUP(C106,'تقرير المصروفات حسب الشهر'!$C$135:$AL$252,31,FALSE),0)</f>
        <v>204</v>
      </c>
      <c r="F106" s="362">
        <v>211</v>
      </c>
      <c r="G106" s="362">
        <f>IFERROR(VLOOKUP(C106,'تقرير المصروفات حسب الشهر'!C470:AH583,31,0),0)</f>
        <v>235</v>
      </c>
      <c r="H106" s="362">
        <f>IFERROR(VLOOKUP(C106,'تقرير المصروفات حسب الشهر'!$C$512:$AL$620,31,FALSE),0)</f>
        <v>688</v>
      </c>
      <c r="I106" s="511">
        <f>IFERROR(VLOOKUP(C106,'تقرير المصروفات حسب الشهر'!$C$637:$AI$748,31,FALSE),0)</f>
        <v>659</v>
      </c>
      <c r="J106" s="362">
        <f>IFERROR(VLOOKUP(C106,'تقرير المصروفات حسب الشهر'!$C$763:$AI$877,31,FALSE),0)</f>
        <v>586</v>
      </c>
      <c r="K106" s="362">
        <f>IFERROR(VLOOKUP(C106,'تقرير المصروفات حسب الشهر'!$C$890:$AI$1007,31,FALSE),0)</f>
        <v>252</v>
      </c>
      <c r="L106" s="362">
        <f>IFERROR(VLOOKUP(C106,'تقرير المصروفات حسب الشهر'!$C$1016:$AI$1131,31,FALSE),0)</f>
        <v>185</v>
      </c>
      <c r="M106" s="376">
        <f>IFERROR(VLOOKUP(C106,'تقرير المصروفات حسب الشهر'!$C$1143:$AI$1290,31,FALSE),0)</f>
        <v>135</v>
      </c>
      <c r="N106" s="376">
        <f>IFERROR(VLOOKUP(C106,'تقرير المصروفات حسب الشهر'!$C$1271:$AI$1385,31,FALSE),0)</f>
        <v>196</v>
      </c>
      <c r="O106" s="376">
        <f>IFERROR(VLOOKUP(C106,'تقرير المصروفات حسب الشهر'!$C$1397:$AI$1512,31,FALSE),0)</f>
        <v>159</v>
      </c>
      <c r="P106" s="364">
        <f t="shared" si="6"/>
        <v>3510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الشهر'!$C$10:$AL$124,31,FALSE),0)</f>
        <v>0</v>
      </c>
      <c r="E107" s="362">
        <f>IFERROR(VLOOKUP(C107,'تقرير المصروفات حسب الشهر'!$C$135:$AL$252,31,FALSE),0)</f>
        <v>0</v>
      </c>
      <c r="F107" s="362">
        <v>0</v>
      </c>
      <c r="G107" s="362">
        <f>IFERROR(VLOOKUP(C107,'تقرير المصروفات حسب الشهر'!C471:AH584,31,0),0)</f>
        <v>0</v>
      </c>
      <c r="H107" s="362">
        <f>IFERROR(VLOOKUP(C107,'تقرير المصروفات حسب الشهر'!$C$512:$AL$620,31,FALSE),0)</f>
        <v>0</v>
      </c>
      <c r="I107" s="362">
        <f>IFERROR(VLOOKUP(C107,'تقرير المصروفات حسب الشهر'!$C$637:$AI$748,31,FALSE),0)</f>
        <v>0</v>
      </c>
      <c r="J107" s="362">
        <f>IFERROR(VLOOKUP(C107,'تقرير المصروفات حسب الشهر'!$C$763:$AI$877,31,FALSE),0)</f>
        <v>0</v>
      </c>
      <c r="K107" s="362">
        <f>IFERROR(VLOOKUP(C107,'تقرير المصروفات حسب الشهر'!$C$890:$AI$1007,31,FALSE),0)</f>
        <v>0</v>
      </c>
      <c r="L107" s="362">
        <f>IFERROR(VLOOKUP(C107,'تقرير المصروفات حسب الشهر'!$C$1016:$AI$1131,31,FALSE),0)</f>
        <v>0</v>
      </c>
      <c r="M107" s="376">
        <f>IFERROR(VLOOKUP(C107,'تقرير المصروفات حسب الشهر'!$C$1143:$AI$1290,31,FALSE),0)</f>
        <v>0</v>
      </c>
      <c r="N107" s="376">
        <f>IFERROR(VLOOKUP(C107,'تقرير المصروفات حسب الشهر'!$C$1271:$AI$1385,31,FALSE),0)</f>
        <v>0</v>
      </c>
      <c r="O107" s="376">
        <f>IFERROR(VLOOKUP(C107,'تقرير المصروفات حسب الشهر'!$C$1397:$AI$1512,31,FALSE),0)</f>
        <v>0</v>
      </c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الشهر'!$C$10:$AL$124,31,FALSE),0)</f>
        <v>0</v>
      </c>
      <c r="E108" s="362">
        <f>IFERROR(VLOOKUP(C108,'تقرير المصروفات حسب الشهر'!$C$135:$AL$252,31,FALSE),0)</f>
        <v>0</v>
      </c>
      <c r="F108" s="362">
        <v>0</v>
      </c>
      <c r="G108" s="362">
        <f>IFERROR(VLOOKUP(C108,'تقرير المصروفات حسب الشهر'!C472:AH585,31,0),0)</f>
        <v>0</v>
      </c>
      <c r="H108" s="362">
        <f>IFERROR(VLOOKUP(C108,'تقرير المصروفات حسب الشهر'!$C$512:$AL$620,31,FALSE),0)</f>
        <v>0</v>
      </c>
      <c r="I108" s="362">
        <f>IFERROR(VLOOKUP(C108,'تقرير المصروفات حسب الشهر'!$C$637:$AI$748,31,FALSE),0)</f>
        <v>0</v>
      </c>
      <c r="J108" s="362">
        <f>IFERROR(VLOOKUP(C108,'تقرير المصروفات حسب الشهر'!$C$763:$AI$877,31,FALSE),0)</f>
        <v>0</v>
      </c>
      <c r="K108" s="362">
        <f>IFERROR(VLOOKUP(C108,'تقرير المصروفات حسب الشهر'!$C$890:$AI$1007,31,FALSE),0)</f>
        <v>0</v>
      </c>
      <c r="L108" s="362">
        <f>IFERROR(VLOOKUP(C108,'تقرير المصروفات حسب الشهر'!$C$1016:$AI$1131,31,FALSE),0)</f>
        <v>0</v>
      </c>
      <c r="M108" s="376">
        <f>IFERROR(VLOOKUP(C108,'تقرير المصروفات حسب الشهر'!$C$1143:$AI$1290,31,FALSE),0)</f>
        <v>0</v>
      </c>
      <c r="N108" s="376">
        <f>IFERROR(VLOOKUP(C108,'تقرير المصروفات حسب الشهر'!$C$1271:$AI$1385,31,FALSE),0)</f>
        <v>0</v>
      </c>
      <c r="O108" s="376">
        <f>IFERROR(VLOOKUP(C108,'تقرير المصروفات حسب الشهر'!$C$1397:$AI$1512,31,FALSE),0)</f>
        <v>0</v>
      </c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الشهر'!$C$10:$AL$124,31,FALSE),0)</f>
        <v>0</v>
      </c>
      <c r="E109" s="362">
        <f>IFERROR(VLOOKUP(C109,'تقرير المصروفات حسب الشهر'!$C$135:$AL$252,31,FALSE),0)</f>
        <v>0</v>
      </c>
      <c r="F109" s="362">
        <v>0</v>
      </c>
      <c r="G109" s="362">
        <f>IFERROR(VLOOKUP(C109,'تقرير المصروفات حسب الشهر'!C473:AH586,31,0),0)</f>
        <v>0</v>
      </c>
      <c r="H109" s="362">
        <f>IFERROR(VLOOKUP(C109,'تقرير المصروفات حسب الشهر'!$C$512:$AL$620,31,FALSE),0)</f>
        <v>0</v>
      </c>
      <c r="I109" s="362">
        <f>IFERROR(VLOOKUP(C109,'تقرير المصروفات حسب الشهر'!$C$637:$AI$748,31,FALSE),0)</f>
        <v>0</v>
      </c>
      <c r="J109" s="362">
        <f>IFERROR(VLOOKUP(C109,'تقرير المصروفات حسب الشهر'!$C$763:$AI$877,31,FALSE),0)</f>
        <v>0</v>
      </c>
      <c r="K109" s="362">
        <f>IFERROR(VLOOKUP(C109,'تقرير المصروفات حسب الشهر'!$C$890:$AI$1007,31,FALSE),0)</f>
        <v>0</v>
      </c>
      <c r="L109" s="362">
        <f>IFERROR(VLOOKUP(C109,'تقرير المصروفات حسب الشهر'!$C$1016:$AI$1131,31,FALSE),0)</f>
        <v>0</v>
      </c>
      <c r="M109" s="376">
        <f>IFERROR(VLOOKUP(C109,'تقرير المصروفات حسب الشهر'!$C$1143:$AI$1290,31,FALSE),0)</f>
        <v>0</v>
      </c>
      <c r="N109" s="376">
        <f>IFERROR(VLOOKUP(C109,'تقرير المصروفات حسب الشهر'!$C$1271:$AI$1385,31,FALSE),0)</f>
        <v>0</v>
      </c>
      <c r="O109" s="376">
        <f>IFERROR(VLOOKUP(C109,'تقرير المصروفات حسب الشهر'!$C$1397:$AI$1512,31,FALSE),0)</f>
        <v>0</v>
      </c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الشهر'!$C$10:$AL$124,31,FALSE),0)</f>
        <v>0</v>
      </c>
      <c r="E110" s="362">
        <f>IFERROR(VLOOKUP(C110,'تقرير المصروفات حسب الشهر'!$C$135:$AL$252,31,FALSE),0)</f>
        <v>0</v>
      </c>
      <c r="F110" s="362">
        <v>0</v>
      </c>
      <c r="G110" s="362">
        <f>IFERROR(VLOOKUP(C110,'تقرير المصروفات حسب الشهر'!C474:AH587,31,0),0)</f>
        <v>0</v>
      </c>
      <c r="H110" s="362">
        <f>IFERROR(VLOOKUP(C110,'تقرير المصروفات حسب الشهر'!$C$512:$AL$620,31,FALSE),0)</f>
        <v>0</v>
      </c>
      <c r="I110" s="362">
        <f>IFERROR(VLOOKUP(C110,'تقرير المصروفات حسب الشهر'!$C$637:$AI$748,31,FALSE),0)</f>
        <v>0</v>
      </c>
      <c r="J110" s="362">
        <f>IFERROR(VLOOKUP(C110,'تقرير المصروفات حسب الشهر'!$C$763:$AI$877,31,FALSE),0)</f>
        <v>0</v>
      </c>
      <c r="K110" s="362">
        <f>IFERROR(VLOOKUP(C110,'تقرير المصروفات حسب الشهر'!$C$890:$AI$1007,31,FALSE),0)</f>
        <v>0</v>
      </c>
      <c r="L110" s="362">
        <f>IFERROR(VLOOKUP(C110,'تقرير المصروفات حسب الشهر'!$C$1016:$AI$1131,31,FALSE),0)</f>
        <v>0</v>
      </c>
      <c r="M110" s="376">
        <f>IFERROR(VLOOKUP(C110,'تقرير المصروفات حسب الشهر'!$C$1143:$AI$1290,31,FALSE),0)</f>
        <v>0</v>
      </c>
      <c r="N110" s="376">
        <f>IFERROR(VLOOKUP(C110,'تقرير المصروفات حسب الشهر'!$C$1271:$AI$1385,31,FALSE),0)</f>
        <v>0</v>
      </c>
      <c r="O110" s="376">
        <f>IFERROR(VLOOKUP(C110,'تقرير المصروفات حسب الشهر'!$C$1397:$AI$1512,31,FALSE),0)</f>
        <v>2428.31</v>
      </c>
      <c r="P110" s="364">
        <f t="shared" si="6"/>
        <v>2428.31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الشهر'!$C$10:$AL$124,31,FALSE),0)</f>
        <v>0</v>
      </c>
      <c r="E111" s="362">
        <f>IFERROR(VLOOKUP(C111,'تقرير المصروفات حسب الشهر'!$C$135:$AL$252,31,FALSE),0)</f>
        <v>0</v>
      </c>
      <c r="F111" s="362">
        <v>0</v>
      </c>
      <c r="G111" s="362">
        <f>IFERROR(VLOOKUP(C111,'تقرير المصروفات حسب الشهر'!C475:AH588,31,0),0)</f>
        <v>0</v>
      </c>
      <c r="H111" s="362">
        <f>IFERROR(VLOOKUP(C111,'تقرير المصروفات حسب الشهر'!$C$512:$AL$620,31,FALSE),0)</f>
        <v>0</v>
      </c>
      <c r="I111" s="362">
        <f>IFERROR(VLOOKUP(C111,'تقرير المصروفات حسب الشهر'!$C$637:$AI$748,31,FALSE),0)</f>
        <v>0</v>
      </c>
      <c r="J111" s="362">
        <f>IFERROR(VLOOKUP(C111,'تقرير المصروفات حسب الشهر'!$C$763:$AI$877,31,FALSE),0)</f>
        <v>0</v>
      </c>
      <c r="K111" s="362">
        <f>IFERROR(VLOOKUP(C111,'تقرير المصروفات حسب الشهر'!$C$890:$AI$1007,31,FALSE),0)</f>
        <v>0</v>
      </c>
      <c r="L111" s="362">
        <f>IFERROR(VLOOKUP(C111,'تقرير المصروفات حسب الشهر'!$C$1016:$AI$1131,31,FALSE),0)</f>
        <v>0</v>
      </c>
      <c r="M111" s="376">
        <f>IFERROR(VLOOKUP(C111,'تقرير المصروفات حسب الشهر'!$C$1143:$AI$1290,31,FALSE),0)</f>
        <v>0</v>
      </c>
      <c r="N111" s="376">
        <f>IFERROR(VLOOKUP(C111,'تقرير المصروفات حسب الشهر'!$C$1271:$AI$1385,31,FALSE),0)</f>
        <v>0</v>
      </c>
      <c r="O111" s="376">
        <f>IFERROR(VLOOKUP(C111,'تقرير المصروفات حسب الشهر'!$C$1397:$AI$1512,31,FALSE),0)</f>
        <v>0</v>
      </c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الشهر'!$C$10:$AL$124,31,FALSE),0)</f>
        <v>0</v>
      </c>
      <c r="E112" s="362">
        <f>IFERROR(VLOOKUP(C112,'تقرير المصروفات حسب الشهر'!$C$135:$AL$252,31,FALSE),0)</f>
        <v>0</v>
      </c>
      <c r="F112" s="362">
        <v>0</v>
      </c>
      <c r="G112" s="362">
        <f>IFERROR(VLOOKUP(C112,'تقرير المصروفات حسب الشهر'!C476:AH589,31,0),0)</f>
        <v>0</v>
      </c>
      <c r="H112" s="362">
        <f>IFERROR(VLOOKUP(C112,'تقرير المصروفات حسب الشهر'!$C$512:$AL$620,31,FALSE),0)</f>
        <v>0</v>
      </c>
      <c r="I112" s="362">
        <f>IFERROR(VLOOKUP(C112,'تقرير المصروفات حسب الشهر'!$C$637:$AI$748,31,FALSE),0)</f>
        <v>0</v>
      </c>
      <c r="J112" s="362">
        <f>IFERROR(VLOOKUP(C112,'تقرير المصروفات حسب الشهر'!$C$763:$AI$877,31,FALSE),0)</f>
        <v>0</v>
      </c>
      <c r="K112" s="362">
        <f>IFERROR(VLOOKUP(C112,'تقرير المصروفات حسب الشهر'!$C$890:$AI$1007,31,FALSE),0)</f>
        <v>0</v>
      </c>
      <c r="L112" s="362">
        <f>IFERROR(VLOOKUP(C112,'تقرير المصروفات حسب الشهر'!$C$1016:$AI$1131,31,FALSE),0)</f>
        <v>0</v>
      </c>
      <c r="M112" s="376">
        <f>IFERROR(VLOOKUP(C112,'تقرير المصروفات حسب الشهر'!$C$1143:$AI$1290,31,FALSE),0)</f>
        <v>0</v>
      </c>
      <c r="N112" s="376">
        <f>IFERROR(VLOOKUP(C112,'تقرير المصروفات حسب الشهر'!$C$1271:$AI$1385,31,FALSE),0)</f>
        <v>0</v>
      </c>
      <c r="O112" s="376">
        <f>IFERROR(VLOOKUP(C112,'تقرير المصروفات حسب الشهر'!$C$1397:$AI$1512,31,FALSE),0)</f>
        <v>0</v>
      </c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الشهر'!$C$10:$AL$124,31,FALSE),0)</f>
        <v>0</v>
      </c>
      <c r="E113" s="362">
        <f>IFERROR(VLOOKUP(C113,'تقرير المصروفات حسب الشهر'!$C$135:$AL$252,31,FALSE),0)</f>
        <v>0</v>
      </c>
      <c r="F113" s="362">
        <v>0</v>
      </c>
      <c r="G113" s="362">
        <f>IFERROR(VLOOKUP(C113,'تقرير المصروفات حسب الشهر'!C477:AH590,31,0),0)</f>
        <v>0</v>
      </c>
      <c r="H113" s="362">
        <f>IFERROR(VLOOKUP(C113,'تقرير المصروفات حسب الشهر'!$C$512:$AL$620,31,FALSE),0)</f>
        <v>0</v>
      </c>
      <c r="I113" s="362">
        <f>IFERROR(VLOOKUP(C113,'تقرير المصروفات حسب الشهر'!$C$637:$AI$748,31,FALSE),0)</f>
        <v>0</v>
      </c>
      <c r="J113" s="362">
        <f>IFERROR(VLOOKUP(C113,'تقرير المصروفات حسب الشهر'!$C$763:$AI$877,31,FALSE),0)</f>
        <v>0</v>
      </c>
      <c r="K113" s="362">
        <f>IFERROR(VLOOKUP(C113,'تقرير المصروفات حسب الشهر'!$C$890:$AI$1007,31,FALSE),0)</f>
        <v>0</v>
      </c>
      <c r="L113" s="362">
        <f>IFERROR(VLOOKUP(C113,'تقرير المصروفات حسب الشهر'!$C$1016:$AI$1131,31,FALSE),0)</f>
        <v>0</v>
      </c>
      <c r="M113" s="376">
        <f>IFERROR(VLOOKUP(C113,'تقرير المصروفات حسب الشهر'!$C$1143:$AI$1290,31,FALSE),0)</f>
        <v>0</v>
      </c>
      <c r="N113" s="376">
        <f>IFERROR(VLOOKUP(C113,'تقرير المصروفات حسب الشهر'!$C$1271:$AI$1385,31,FALSE),0)</f>
        <v>0</v>
      </c>
      <c r="O113" s="376">
        <f>IFERROR(VLOOKUP(C113,'تقرير المصروفات حسب الشهر'!$C$1397:$AI$1512,31,FALSE),0)</f>
        <v>0</v>
      </c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الشهر'!$C$10:$AL$124,31,FALSE),0)</f>
        <v>0</v>
      </c>
      <c r="E114" s="362">
        <f>IFERROR(VLOOKUP(C114,'تقرير المصروفات حسب الشهر'!$C$135:$AL$252,31,FALSE),0)</f>
        <v>0</v>
      </c>
      <c r="F114" s="362">
        <v>0</v>
      </c>
      <c r="G114" s="362">
        <f>IFERROR(VLOOKUP(C114,'تقرير المصروفات حسب الشهر'!C478:AH591,31,0),0)</f>
        <v>0</v>
      </c>
      <c r="H114" s="362">
        <f>IFERROR(VLOOKUP(C114,'تقرير المصروفات حسب الشهر'!$C$512:$AL$620,31,FALSE),0)</f>
        <v>0</v>
      </c>
      <c r="I114" s="362">
        <f>IFERROR(VLOOKUP(C114,'تقرير المصروفات حسب الشهر'!$C$637:$AI$748,31,FALSE),0)</f>
        <v>0</v>
      </c>
      <c r="J114" s="362">
        <f>IFERROR(VLOOKUP(C114,'تقرير المصروفات حسب الشهر'!$C$763:$AI$877,31,FALSE),0)</f>
        <v>0</v>
      </c>
      <c r="K114" s="362">
        <f>IFERROR(VLOOKUP(C114,'تقرير المصروفات حسب الشهر'!$C$890:$AI$1007,31,FALSE),0)</f>
        <v>0</v>
      </c>
      <c r="L114" s="362">
        <f>IFERROR(VLOOKUP(C114,'تقرير المصروفات حسب الشهر'!$C$1016:$AI$1131,31,FALSE),0)</f>
        <v>0</v>
      </c>
      <c r="M114" s="376">
        <f>IFERROR(VLOOKUP(C114,'تقرير المصروفات حسب الشهر'!$C$1143:$AI$1290,31,FALSE),0)</f>
        <v>0</v>
      </c>
      <c r="N114" s="376">
        <f>IFERROR(VLOOKUP(C114,'تقرير المصروفات حسب الشهر'!$C$1271:$AI$1385,31,FALSE),0)</f>
        <v>0</v>
      </c>
      <c r="O114" s="376">
        <f>IFERROR(VLOOKUP(C114,'تقرير المصروفات حسب الشهر'!$C$1397:$AI$1512,31,FALSE),0)</f>
        <v>0</v>
      </c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الشهر'!$C$10:$AL$124,31,FALSE),0)</f>
        <v>0</v>
      </c>
      <c r="E115" s="362">
        <f>IFERROR(VLOOKUP(C115,'تقرير المصروفات حسب الشهر'!$C$135:$AL$252,31,FALSE),0)</f>
        <v>0</v>
      </c>
      <c r="F115" s="362">
        <v>0</v>
      </c>
      <c r="G115" s="362">
        <f>IFERROR(VLOOKUP(C115,'تقرير المصروفات حسب الشهر'!C479:AH592,31,0),0)</f>
        <v>0</v>
      </c>
      <c r="H115" s="362">
        <f>IFERROR(VLOOKUP(C115,'تقرير المصروفات حسب الشهر'!$C$512:$AL$620,31,FALSE),0)</f>
        <v>0</v>
      </c>
      <c r="I115" s="362">
        <f>IFERROR(VLOOKUP(C115,'تقرير المصروفات حسب الشهر'!$C$637:$AI$748,31,FALSE),0)</f>
        <v>0</v>
      </c>
      <c r="J115" s="362">
        <f>IFERROR(VLOOKUP(C115,'تقرير المصروفات حسب الشهر'!$C$763:$AI$877,31,FALSE),0)</f>
        <v>0</v>
      </c>
      <c r="K115" s="362">
        <f>IFERROR(VLOOKUP(C115,'تقرير المصروفات حسب الشهر'!$C$890:$AI$1007,31,FALSE),0)</f>
        <v>0</v>
      </c>
      <c r="L115" s="362">
        <f>IFERROR(VLOOKUP(C115,'تقرير المصروفات حسب الشهر'!$C$1016:$AI$1131,31,FALSE),0)</f>
        <v>0</v>
      </c>
      <c r="M115" s="376">
        <f>IFERROR(VLOOKUP(C115,'تقرير المصروفات حسب الشهر'!$C$1143:$AI$1290,31,FALSE),0)</f>
        <v>0</v>
      </c>
      <c r="N115" s="376">
        <f>IFERROR(VLOOKUP(C115,'تقرير المصروفات حسب الشهر'!$C$1271:$AI$1385,31,FALSE),0)</f>
        <v>0</v>
      </c>
      <c r="O115" s="376">
        <f>IFERROR(VLOOKUP(C115,'تقرير المصروفات حسب الشهر'!$C$1397:$AI$1512,31,FALSE),0)</f>
        <v>0</v>
      </c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الشهر'!$C$10:$AL$124,31,FALSE),0)</f>
        <v>0</v>
      </c>
      <c r="E116" s="362">
        <f>IFERROR(VLOOKUP(C116,'تقرير المصروفات حسب الشهر'!$C$135:$AL$252,31,FALSE),0)</f>
        <v>0</v>
      </c>
      <c r="F116" s="362">
        <v>0</v>
      </c>
      <c r="G116" s="362">
        <f>IFERROR(VLOOKUP(C116,'تقرير المصروفات حسب الشهر'!C480:AH593,31,0),0)</f>
        <v>0</v>
      </c>
      <c r="H116" s="362">
        <f>IFERROR(VLOOKUP(C116,'تقرير المصروفات حسب الشهر'!$C$512:$AL$620,31,FALSE),0)</f>
        <v>0</v>
      </c>
      <c r="I116" s="362">
        <f>IFERROR(VLOOKUP(C116,'تقرير المصروفات حسب الشهر'!$C$637:$AI$748,31,FALSE),0)</f>
        <v>0</v>
      </c>
      <c r="J116" s="362">
        <f>IFERROR(VLOOKUP(C116,'تقرير المصروفات حسب الشهر'!$C$763:$AI$877,31,FALSE),0)</f>
        <v>0</v>
      </c>
      <c r="K116" s="362">
        <f>IFERROR(VLOOKUP(C116,'تقرير المصروفات حسب الشهر'!$C$890:$AI$1007,31,FALSE),0)</f>
        <v>0</v>
      </c>
      <c r="L116" s="362">
        <f>IFERROR(VLOOKUP(C116,'تقرير المصروفات حسب الشهر'!$C$1016:$AI$1131,31,FALSE),0)</f>
        <v>0</v>
      </c>
      <c r="M116" s="376">
        <f>IFERROR(VLOOKUP(C116,'تقرير المصروفات حسب الشهر'!$C$1143:$AI$1290,31,FALSE),0)</f>
        <v>0</v>
      </c>
      <c r="N116" s="376">
        <f>IFERROR(VLOOKUP(C116,'تقرير المصروفات حسب الشهر'!$C$1271:$AI$1385,31,FALSE),0)</f>
        <v>0</v>
      </c>
      <c r="O116" s="376">
        <f>IFERROR(VLOOKUP(C116,'تقرير المصروفات حسب الشهر'!$C$1397:$AI$1512,31,FALSE),0)</f>
        <v>0</v>
      </c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الشهر'!$C$10:$AL$124,31,FALSE),0)</f>
        <v>0</v>
      </c>
      <c r="E117" s="362">
        <f>IFERROR(VLOOKUP(C117,'تقرير المصروفات حسب الشهر'!$C$135:$AL$252,31,FALSE),0)</f>
        <v>0</v>
      </c>
      <c r="F117" s="362">
        <v>0</v>
      </c>
      <c r="G117" s="362">
        <f>IFERROR(VLOOKUP(C117,'تقرير المصروفات حسب الشهر'!C481:AH594,31,0),0)</f>
        <v>0</v>
      </c>
      <c r="H117" s="362">
        <f>IFERROR(VLOOKUP(C117,'تقرير المصروفات حسب الشهر'!$C$512:$AL$620,31,FALSE),0)</f>
        <v>0</v>
      </c>
      <c r="I117" s="362">
        <f>IFERROR(VLOOKUP(C117,'تقرير المصروفات حسب الشهر'!$C$637:$AI$748,31,FALSE),0)</f>
        <v>0</v>
      </c>
      <c r="J117" s="362">
        <f>IFERROR(VLOOKUP(C117,'تقرير المصروفات حسب الشهر'!$C$763:$AI$877,31,FALSE),0)</f>
        <v>0</v>
      </c>
      <c r="K117" s="362">
        <f>IFERROR(VLOOKUP(C117,'تقرير المصروفات حسب الشهر'!$C$890:$AI$1007,31,FALSE),0)</f>
        <v>0</v>
      </c>
      <c r="L117" s="362">
        <f>IFERROR(VLOOKUP(C117,'تقرير المصروفات حسب الشهر'!$C$1016:$AI$1131,31,FALSE),0)</f>
        <v>0</v>
      </c>
      <c r="M117" s="376">
        <f>IFERROR(VLOOKUP(C117,'تقرير المصروفات حسب الشهر'!$C$1143:$AI$1290,31,FALSE),0)</f>
        <v>0</v>
      </c>
      <c r="N117" s="376">
        <f>IFERROR(VLOOKUP(C117,'تقرير المصروفات حسب الشهر'!$C$1271:$AI$1385,31,FALSE),0)</f>
        <v>0</v>
      </c>
      <c r="O117" s="376">
        <f>IFERROR(VLOOKUP(C117,'تقرير المصروفات حسب الشهر'!$C$1397:$AI$1512,31,FALSE),0)</f>
        <v>0</v>
      </c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الشهر'!$C$10:$AL$124,31,FALSE),0)</f>
        <v>0</v>
      </c>
      <c r="E118" s="362">
        <f>IFERROR(VLOOKUP(C118,'تقرير المصروفات حسب الشهر'!$C$135:$AL$252,31,FALSE),0)</f>
        <v>0</v>
      </c>
      <c r="F118" s="362">
        <v>0</v>
      </c>
      <c r="G118" s="362">
        <f>IFERROR(VLOOKUP(C118,'تقرير المصروفات حسب الشهر'!C482:AH595,31,0),0)</f>
        <v>0</v>
      </c>
      <c r="H118" s="362">
        <f>IFERROR(VLOOKUP(C118,'تقرير المصروفات حسب الشهر'!$C$512:$AL$620,31,FALSE),0)</f>
        <v>0</v>
      </c>
      <c r="I118" s="362">
        <f>IFERROR(VLOOKUP(C118,'تقرير المصروفات حسب الشهر'!$C$637:$AI$748,31,FALSE),0)</f>
        <v>0</v>
      </c>
      <c r="J118" s="362">
        <f>IFERROR(VLOOKUP(C118,'تقرير المصروفات حسب الشهر'!$C$763:$AI$877,31,FALSE),0)</f>
        <v>0</v>
      </c>
      <c r="K118" s="362">
        <f>IFERROR(VLOOKUP(C118,'تقرير المصروفات حسب الشهر'!$C$890:$AI$1007,31,FALSE),0)</f>
        <v>0</v>
      </c>
      <c r="L118" s="362">
        <f>IFERROR(VLOOKUP(C118,'تقرير المصروفات حسب الشهر'!$C$1016:$AI$1131,31,FALSE),0)</f>
        <v>0</v>
      </c>
      <c r="M118" s="376">
        <f>IFERROR(VLOOKUP(C118,'تقرير المصروفات حسب الشهر'!$C$1143:$AI$1290,31,FALSE),0)</f>
        <v>0</v>
      </c>
      <c r="N118" s="376">
        <f>IFERROR(VLOOKUP(C118,'تقرير المصروفات حسب الشهر'!$C$1271:$AI$1385,31,FALSE),0)</f>
        <v>0</v>
      </c>
      <c r="O118" s="376">
        <f>IFERROR(VLOOKUP(C118,'تقرير المصروفات حسب الشهر'!$C$1397:$AI$1512,31,FALSE),0)</f>
        <v>0</v>
      </c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الشهر'!$C$10:$AL$124,31,FALSE),0)</f>
        <v>0</v>
      </c>
      <c r="E119" s="362">
        <f>IFERROR(VLOOKUP(C119,'تقرير المصروفات حسب الشهر'!$C$135:$AL$252,31,FALSE),0)</f>
        <v>0</v>
      </c>
      <c r="F119" s="362">
        <v>0</v>
      </c>
      <c r="G119" s="362">
        <f>IFERROR(VLOOKUP(C119,'تقرير المصروفات حسب الشهر'!C483:AH596,31,0),0)</f>
        <v>0</v>
      </c>
      <c r="H119" s="362">
        <f>IFERROR(VLOOKUP(C119,'تقرير المصروفات حسب الشهر'!$C$512:$AL$620,31,FALSE),0)</f>
        <v>0</v>
      </c>
      <c r="I119" s="362">
        <f>IFERROR(VLOOKUP(C119,'تقرير المصروفات حسب الشهر'!$C$637:$AI$748,31,FALSE),0)</f>
        <v>0</v>
      </c>
      <c r="J119" s="362">
        <f>IFERROR(VLOOKUP(C119,'تقرير المصروفات حسب الشهر'!$C$763:$AI$877,31,FALSE),0)</f>
        <v>0</v>
      </c>
      <c r="K119" s="362">
        <f>IFERROR(VLOOKUP(C119,'تقرير المصروفات حسب الشهر'!$C$890:$AI$1007,31,FALSE),0)</f>
        <v>0</v>
      </c>
      <c r="L119" s="362">
        <f>IFERROR(VLOOKUP(C119,'تقرير المصروفات حسب الشهر'!$C$1016:$AI$1131,31,FALSE),0)</f>
        <v>0</v>
      </c>
      <c r="M119" s="376">
        <f>IFERROR(VLOOKUP(C119,'تقرير المصروفات حسب الشهر'!$C$1143:$AI$1290,31,FALSE),0)</f>
        <v>0</v>
      </c>
      <c r="N119" s="376">
        <f>IFERROR(VLOOKUP(C119,'تقرير المصروفات حسب الشهر'!$C$1271:$AI$1385,31,FALSE),0)</f>
        <v>0</v>
      </c>
      <c r="O119" s="376">
        <f>IFERROR(VLOOKUP(C119,'تقرير المصروفات حسب الشهر'!$C$1397:$AI$1512,31,FALSE),0)</f>
        <v>0</v>
      </c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الشهر'!$C$10:$AL$124,31,FALSE),0)</f>
        <v>0</v>
      </c>
      <c r="E120" s="362">
        <f>IFERROR(VLOOKUP(C120,'تقرير المصروفات حسب الشهر'!$C$135:$AL$252,31,FALSE),0)</f>
        <v>0</v>
      </c>
      <c r="F120" s="362">
        <v>0</v>
      </c>
      <c r="G120" s="362">
        <f>IFERROR(VLOOKUP(C120,'تقرير المصروفات حسب الشهر'!C484:AH597,31,0),0)</f>
        <v>0</v>
      </c>
      <c r="H120" s="362">
        <f>IFERROR(VLOOKUP(C120,'تقرير المصروفات حسب الشهر'!$C$512:$AL$620,31,FALSE),0)</f>
        <v>0</v>
      </c>
      <c r="I120" s="362">
        <f>IFERROR(VLOOKUP(C120,'تقرير المصروفات حسب الشهر'!$C$637:$AI$748,31,FALSE),0)</f>
        <v>0</v>
      </c>
      <c r="J120" s="362">
        <f>IFERROR(VLOOKUP(C120,'تقرير المصروفات حسب الشهر'!$C$763:$AI$877,31,FALSE),0)</f>
        <v>0</v>
      </c>
      <c r="K120" s="362">
        <f>IFERROR(VLOOKUP(C120,'تقرير المصروفات حسب الشهر'!$C$890:$AI$1007,31,FALSE),0)</f>
        <v>0</v>
      </c>
      <c r="L120" s="362">
        <f>IFERROR(VLOOKUP(C120,'تقرير المصروفات حسب الشهر'!$C$1016:$AI$1131,31,FALSE),0)</f>
        <v>0</v>
      </c>
      <c r="M120" s="376">
        <f>IFERROR(VLOOKUP(C120,'تقرير المصروفات حسب الشهر'!$C$1143:$AI$1290,31,FALSE),0)</f>
        <v>0</v>
      </c>
      <c r="N120" s="376">
        <f>IFERROR(VLOOKUP(C120,'تقرير المصروفات حسب الشهر'!$C$1271:$AI$1385,31,FALSE),0)</f>
        <v>0</v>
      </c>
      <c r="O120" s="376">
        <f>IFERROR(VLOOKUP(C120,'تقرير المصروفات حسب الشهر'!$C$1397:$AI$1512,31,FALSE),0)</f>
        <v>0</v>
      </c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الشهر'!$C$10:$AL$124,31,FALSE),0)</f>
        <v>0</v>
      </c>
      <c r="E121" s="362">
        <f>IFERROR(VLOOKUP(C121,'تقرير المصروفات حسب الشهر'!$C$135:$AL$252,31,FALSE),0)</f>
        <v>0</v>
      </c>
      <c r="F121" s="362">
        <v>0</v>
      </c>
      <c r="G121" s="362">
        <f>IFERROR(VLOOKUP(C121,'تقرير المصروفات حسب الشهر'!C485:AH598,31,0),0)</f>
        <v>0</v>
      </c>
      <c r="H121" s="362">
        <f>IFERROR(VLOOKUP(C121,'تقرير المصروفات حسب الشهر'!$C$512:$AL$620,31,FALSE),0)</f>
        <v>0</v>
      </c>
      <c r="I121" s="362">
        <f>IFERROR(VLOOKUP(C121,'تقرير المصروفات حسب الشهر'!$C$637:$AI$748,31,FALSE),0)</f>
        <v>0</v>
      </c>
      <c r="J121" s="362">
        <f>IFERROR(VLOOKUP(C121,'تقرير المصروفات حسب الشهر'!$C$763:$AI$877,31,FALSE),0)</f>
        <v>0</v>
      </c>
      <c r="K121" s="362">
        <f>IFERROR(VLOOKUP(C121,'تقرير المصروفات حسب الشهر'!$C$890:$AI$1007,31,FALSE),0)</f>
        <v>0</v>
      </c>
      <c r="L121" s="362">
        <f>IFERROR(VLOOKUP(C121,'تقرير المصروفات حسب الشهر'!$C$1016:$AI$1131,31,FALSE),0)</f>
        <v>0</v>
      </c>
      <c r="M121" s="376">
        <f>IFERROR(VLOOKUP(C121,'تقرير المصروفات حسب الشهر'!$C$1143:$AI$1290,31,FALSE),0)</f>
        <v>0</v>
      </c>
      <c r="N121" s="376">
        <f>IFERROR(VLOOKUP(C121,'تقرير المصروفات حسب الشهر'!$C$1271:$AI$1385,31,FALSE),0)</f>
        <v>0</v>
      </c>
      <c r="O121" s="376">
        <f>IFERROR(VLOOKUP(C121,'تقرير المصروفات حسب الشهر'!$C$1397:$AI$1512,31,FALSE),0)</f>
        <v>0</v>
      </c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الشهر'!$C$10:$AL$124,31,FALSE),0)</f>
        <v>0</v>
      </c>
      <c r="E122" s="362">
        <f>IFERROR(VLOOKUP(C122,'تقرير المصروفات حسب الشهر'!$C$135:$AL$252,31,FALSE),0)</f>
        <v>0</v>
      </c>
      <c r="F122" s="362">
        <v>0</v>
      </c>
      <c r="G122" s="362">
        <f>IFERROR(VLOOKUP(C122,'تقرير المصروفات حسب الشهر'!C486:AH599,31,0),0)</f>
        <v>0</v>
      </c>
      <c r="H122" s="362">
        <f>IFERROR(VLOOKUP(C122,'تقرير المصروفات حسب الشهر'!$C$512:$AL$620,31,FALSE),0)</f>
        <v>0</v>
      </c>
      <c r="I122" s="362">
        <f>IFERROR(VLOOKUP(C122,'تقرير المصروفات حسب الشهر'!$C$637:$AI$748,31,FALSE),0)</f>
        <v>0</v>
      </c>
      <c r="J122" s="362">
        <f>IFERROR(VLOOKUP(C122,'تقرير المصروفات حسب الشهر'!$C$763:$AI$877,31,FALSE),0)</f>
        <v>0</v>
      </c>
      <c r="K122" s="362">
        <f>IFERROR(VLOOKUP(C122,'تقرير المصروفات حسب الشهر'!$C$890:$AI$1007,31,FALSE),0)</f>
        <v>0</v>
      </c>
      <c r="L122" s="362">
        <f>IFERROR(VLOOKUP(C122,'تقرير المصروفات حسب الشهر'!$C$1016:$AI$1131,31,FALSE),0)</f>
        <v>0</v>
      </c>
      <c r="M122" s="376">
        <f>IFERROR(VLOOKUP(C122,'تقرير المصروفات حسب الشهر'!$C$1143:$AI$1290,31,FALSE),0)</f>
        <v>0</v>
      </c>
      <c r="N122" s="376">
        <f>IFERROR(VLOOKUP(C122,'تقرير المصروفات حسب الشهر'!$C$1271:$AI$1385,31,FALSE),0)</f>
        <v>0</v>
      </c>
      <c r="O122" s="376">
        <f>IFERROR(VLOOKUP(C122,'تقرير المصروفات حسب الشهر'!$C$1397:$AI$1512,31,FALSE),0)</f>
        <v>0</v>
      </c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الشهر'!$C$10:$AL$124,31,FALSE),0)</f>
        <v>0</v>
      </c>
      <c r="E123" s="362">
        <f>IFERROR(VLOOKUP(C123,'تقرير المصروفات حسب الشهر'!$C$135:$AL$252,31,FALSE),0)</f>
        <v>0</v>
      </c>
      <c r="F123" s="362">
        <v>0</v>
      </c>
      <c r="G123" s="362">
        <f>IFERROR(VLOOKUP(C123,'تقرير المصروفات حسب الشهر'!C487:AH600,31,0),0)</f>
        <v>0</v>
      </c>
      <c r="H123" s="362">
        <f>IFERROR(VLOOKUP(C123,'تقرير المصروفات حسب الشهر'!$C$512:$AL$620,31,FALSE),0)</f>
        <v>0</v>
      </c>
      <c r="I123" s="362">
        <f>IFERROR(VLOOKUP(C123,'تقرير المصروفات حسب الشهر'!$C$637:$AI$748,31,FALSE),0)</f>
        <v>0</v>
      </c>
      <c r="J123" s="362">
        <f>IFERROR(VLOOKUP(C123,'تقرير المصروفات حسب الشهر'!$C$763:$AI$877,31,FALSE),0)</f>
        <v>0</v>
      </c>
      <c r="K123" s="362">
        <f>IFERROR(VLOOKUP(C123,'تقرير المصروفات حسب الشهر'!$C$890:$AI$1007,31,FALSE),0)</f>
        <v>0</v>
      </c>
      <c r="L123" s="362">
        <f>IFERROR(VLOOKUP(C123,'تقرير المصروفات حسب الشهر'!$C$1016:$AI$1131,31,FALSE),0)</f>
        <v>0</v>
      </c>
      <c r="M123" s="376">
        <f>IFERROR(VLOOKUP(C123,'تقرير المصروفات حسب الشهر'!$C$1143:$AI$1290,31,FALSE),0)</f>
        <v>0</v>
      </c>
      <c r="N123" s="376">
        <f>IFERROR(VLOOKUP(C123,'تقرير المصروفات حسب الشهر'!$C$1271:$AI$1385,31,FALSE),0)</f>
        <v>0</v>
      </c>
      <c r="O123" s="376">
        <f>IFERROR(VLOOKUP(C123,'تقرير المصروفات حسب الشهر'!$C$1397:$AI$1512,31,FALSE),0)</f>
        <v>0</v>
      </c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الشهر'!$C$10:$AL$124,31,FALSE),0)</f>
        <v>0</v>
      </c>
      <c r="E124" s="362">
        <f>IFERROR(VLOOKUP(C124,'تقرير المصروفات حسب الشهر'!$C$135:$AL$252,31,FALSE),0)</f>
        <v>0</v>
      </c>
      <c r="F124" s="362">
        <v>0</v>
      </c>
      <c r="G124" s="362">
        <f>IFERROR(VLOOKUP(C124,'تقرير المصروفات حسب الشهر'!C488:AH601,31,0),0)</f>
        <v>0</v>
      </c>
      <c r="H124" s="362">
        <f>IFERROR(VLOOKUP(C124,'تقرير المصروفات حسب الشهر'!$C$512:$AL$620,31,FALSE),0)</f>
        <v>0</v>
      </c>
      <c r="I124" s="362">
        <f>IFERROR(VLOOKUP(C124,'تقرير المصروفات حسب الشهر'!$C$637:$AI$748,31,FALSE),0)</f>
        <v>0</v>
      </c>
      <c r="J124" s="362">
        <f>IFERROR(VLOOKUP(C124,'تقرير المصروفات حسب الشهر'!$C$763:$AI$877,31,FALSE),0)</f>
        <v>0</v>
      </c>
      <c r="K124" s="362">
        <f>IFERROR(VLOOKUP(C124,'تقرير المصروفات حسب الشهر'!$C$890:$AI$1007,31,FALSE),0)</f>
        <v>0</v>
      </c>
      <c r="L124" s="362">
        <f>IFERROR(VLOOKUP(C124,'تقرير المصروفات حسب الشهر'!$C$1016:$AI$1131,31,FALSE),0)</f>
        <v>0</v>
      </c>
      <c r="M124" s="376">
        <f>IFERROR(VLOOKUP(C124,'تقرير المصروفات حسب الشهر'!$C$1143:$AI$1290,31,FALSE),0)</f>
        <v>0</v>
      </c>
      <c r="N124" s="376">
        <f>IFERROR(VLOOKUP(C124,'تقرير المصروفات حسب الشهر'!$C$1271:$AI$1385,31,FALSE),0)</f>
        <v>0</v>
      </c>
      <c r="O124" s="376">
        <f>IFERROR(VLOOKUP(C124,'تقرير المصروفات حسب الشهر'!$C$1397:$AI$1512,31,FALSE),0)</f>
        <v>0</v>
      </c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الشهر'!$C$10:$AL$124,31,FALSE),0)</f>
        <v>0</v>
      </c>
      <c r="E125" s="362">
        <f>IFERROR(VLOOKUP(C125,'تقرير المصروفات حسب الشهر'!$C$135:$AL$252,31,FALSE),0)</f>
        <v>0</v>
      </c>
      <c r="F125" s="362">
        <v>0</v>
      </c>
      <c r="G125" s="362">
        <f>IFERROR(VLOOKUP(C125,'تقرير المصروفات حسب الشهر'!C489:AH602,31,0),0)</f>
        <v>0</v>
      </c>
      <c r="H125" s="362">
        <f>IFERROR(VLOOKUP(C125,'تقرير المصروفات حسب الشهر'!$C$512:$AL$620,31,FALSE),0)</f>
        <v>0</v>
      </c>
      <c r="I125" s="362">
        <f>IFERROR(VLOOKUP(C125,'تقرير المصروفات حسب الشهر'!$C$637:$AI$748,31,FALSE),0)</f>
        <v>0</v>
      </c>
      <c r="J125" s="362">
        <f>IFERROR(VLOOKUP(C125,'تقرير المصروفات حسب الشهر'!$C$763:$AI$877,31,FALSE),0)</f>
        <v>0</v>
      </c>
      <c r="K125" s="362">
        <f>IFERROR(VLOOKUP(C125,'تقرير المصروفات حسب الشهر'!$C$890:$AI$1007,31,FALSE),0)</f>
        <v>0</v>
      </c>
      <c r="L125" s="362">
        <f>IFERROR(VLOOKUP(C125,'تقرير المصروفات حسب الشهر'!$C$1016:$AI$1131,31,FALSE),0)</f>
        <v>0</v>
      </c>
      <c r="M125" s="376">
        <f>IFERROR(VLOOKUP(C125,'تقرير المصروفات حسب الشهر'!$C$1143:$AI$1290,31,FALSE),0)</f>
        <v>0</v>
      </c>
      <c r="N125" s="376">
        <f>IFERROR(VLOOKUP(C125,'تقرير المصروفات حسب الشهر'!$C$1271:$AI$1385,31,FALSE),0)</f>
        <v>0</v>
      </c>
      <c r="O125" s="376">
        <f>IFERROR(VLOOKUP(C125,'تقرير المصروفات حسب الشهر'!$C$1397:$AI$1512,31,FALSE),0)</f>
        <v>0</v>
      </c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الشهر'!$C$10:$AL$124,31,FALSE),0)</f>
        <v>0</v>
      </c>
      <c r="E126" s="362">
        <f>IFERROR(VLOOKUP(C126,'تقرير المصروفات حسب الشهر'!$C$135:$AL$252,31,FALSE),0)</f>
        <v>0</v>
      </c>
      <c r="F126" s="362">
        <v>0</v>
      </c>
      <c r="G126" s="362">
        <f>IFERROR(VLOOKUP(C126,'تقرير المصروفات حسب الشهر'!C490:AH603,31,0),0)</f>
        <v>0</v>
      </c>
      <c r="H126" s="362">
        <f>IFERROR(VLOOKUP(C126,'تقرير المصروفات حسب الشهر'!$C$512:$AL$620,31,FALSE),0)</f>
        <v>0</v>
      </c>
      <c r="I126" s="362">
        <f>IFERROR(VLOOKUP(C126,'تقرير المصروفات حسب الشهر'!$C$637:$AI$748,31,FALSE),0)</f>
        <v>0</v>
      </c>
      <c r="J126" s="362">
        <f>IFERROR(VLOOKUP(C126,'تقرير المصروفات حسب الشهر'!$C$763:$AI$877,31,FALSE),0)</f>
        <v>0</v>
      </c>
      <c r="K126" s="362">
        <f>IFERROR(VLOOKUP(C126,'تقرير المصروفات حسب الشهر'!$C$890:$AI$1007,31,FALSE),0)</f>
        <v>0</v>
      </c>
      <c r="L126" s="362">
        <f>IFERROR(VLOOKUP(C126,'تقرير المصروفات حسب الشهر'!$C$1016:$AI$1131,31,FALSE),0)</f>
        <v>0</v>
      </c>
      <c r="M126" s="376">
        <f>IFERROR(VLOOKUP(C126,'تقرير المصروفات حسب الشهر'!$C$1143:$AI$1290,31,FALSE),0)</f>
        <v>0</v>
      </c>
      <c r="N126" s="376">
        <f>IFERROR(VLOOKUP(C126,'تقرير المصروفات حسب الشهر'!$C$1271:$AI$1385,31,FALSE),0)</f>
        <v>0</v>
      </c>
      <c r="O126" s="376">
        <f>IFERROR(VLOOKUP(C126,'تقرير المصروفات حسب الشهر'!$C$1397:$AI$1512,31,FALSE),0)</f>
        <v>0</v>
      </c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الشهر'!$C$10:$AL$124,31,FALSE),0)</f>
        <v>0</v>
      </c>
      <c r="E127" s="362">
        <f>IFERROR(VLOOKUP(C127,'تقرير المصروفات حسب الشهر'!$C$135:$AL$252,31,FALSE),0)</f>
        <v>0</v>
      </c>
      <c r="F127" s="362">
        <v>0</v>
      </c>
      <c r="G127" s="362">
        <f>IFERROR(VLOOKUP(C127,'تقرير المصروفات حسب الشهر'!C491:AH604,31,0),0)</f>
        <v>0</v>
      </c>
      <c r="H127" s="362">
        <f>IFERROR(VLOOKUP(C127,'تقرير المصروفات حسب الشهر'!$C$512:$AL$620,31,FALSE),0)</f>
        <v>0</v>
      </c>
      <c r="I127" s="362">
        <f>IFERROR(VLOOKUP(C127,'تقرير المصروفات حسب الشهر'!$C$637:$AI$748,31,FALSE),0)</f>
        <v>0</v>
      </c>
      <c r="J127" s="362">
        <f>IFERROR(VLOOKUP(C127,'تقرير المصروفات حسب الشهر'!$C$763:$AI$877,31,FALSE),0)</f>
        <v>0</v>
      </c>
      <c r="K127" s="362">
        <f>IFERROR(VLOOKUP(C127,'تقرير المصروفات حسب الشهر'!$C$890:$AI$1007,31,FALSE),0)</f>
        <v>0</v>
      </c>
      <c r="L127" s="362">
        <f>IFERROR(VLOOKUP(C127,'تقرير المصروفات حسب الشهر'!$C$1016:$AI$1131,31,FALSE),0)</f>
        <v>0</v>
      </c>
      <c r="M127" s="376">
        <f>IFERROR(VLOOKUP(C127,'تقرير المصروفات حسب الشهر'!$C$1143:$AI$1290,31,FALSE),0)</f>
        <v>0</v>
      </c>
      <c r="N127" s="376">
        <f>IFERROR(VLOOKUP(C127,'تقرير المصروفات حسب الشهر'!$C$1271:$AI$1385,31,FALSE),0)</f>
        <v>0</v>
      </c>
      <c r="O127" s="376">
        <f>IFERROR(VLOOKUP(C127,'تقرير المصروفات حسب الشهر'!$C$1397:$AI$1512,31,FALSE),0)</f>
        <v>0</v>
      </c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الشهر'!$C$10:$AL$124,31,FALSE),0)</f>
        <v>0</v>
      </c>
      <c r="E128" s="362">
        <f>IFERROR(VLOOKUP(C128,'تقرير المصروفات حسب الشهر'!$C$135:$AL$252,31,FALSE),0)</f>
        <v>0</v>
      </c>
      <c r="F128" s="362">
        <v>0</v>
      </c>
      <c r="G128" s="362">
        <f>IFERROR(VLOOKUP(C128,'تقرير المصروفات حسب الشهر'!C492:AH605,31,0),0)</f>
        <v>0</v>
      </c>
      <c r="H128" s="362">
        <f>IFERROR(VLOOKUP(C128,'تقرير المصروفات حسب الشهر'!$C$512:$AL$620,31,FALSE),0)</f>
        <v>0</v>
      </c>
      <c r="I128" s="362">
        <f>IFERROR(VLOOKUP(C128,'تقرير المصروفات حسب الشهر'!$C$637:$AI$748,31,FALSE),0)</f>
        <v>0</v>
      </c>
      <c r="J128" s="362">
        <f>IFERROR(VLOOKUP(C128,'تقرير المصروفات حسب الشهر'!$C$763:$AI$877,31,FALSE),0)</f>
        <v>0</v>
      </c>
      <c r="K128" s="362">
        <f>IFERROR(VLOOKUP(C128,'تقرير المصروفات حسب الشهر'!$C$890:$AI$1007,31,FALSE),0)</f>
        <v>0</v>
      </c>
      <c r="L128" s="362">
        <f>IFERROR(VLOOKUP(C128,'تقرير المصروفات حسب الشهر'!$C$1016:$AI$1131,31,FALSE),0)</f>
        <v>0</v>
      </c>
      <c r="M128" s="376">
        <f>IFERROR(VLOOKUP(C128,'تقرير المصروفات حسب الشهر'!$C$1143:$AI$1290,31,FALSE),0)</f>
        <v>0</v>
      </c>
      <c r="N128" s="376">
        <f>IFERROR(VLOOKUP(C128,'تقرير المصروفات حسب الشهر'!$C$1271:$AI$1385,31,FALSE),0)</f>
        <v>0</v>
      </c>
      <c r="O128" s="376">
        <f>IFERROR(VLOOKUP(C128,'تقرير المصروفات حسب الشهر'!$C$1397:$AI$1512,31,FALSE),0)</f>
        <v>0</v>
      </c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الشهر'!$C$10:$AL$124,31,FALSE),0)</f>
        <v>0</v>
      </c>
      <c r="E129" s="362">
        <f>IFERROR(VLOOKUP(C129,'تقرير المصروفات حسب الشهر'!$C$135:$AL$252,31,FALSE),0)</f>
        <v>0</v>
      </c>
      <c r="F129" s="362">
        <v>0</v>
      </c>
      <c r="G129" s="362">
        <f>IFERROR(VLOOKUP(C129,'تقرير المصروفات حسب الشهر'!C493:AH606,31,0),0)</f>
        <v>0</v>
      </c>
      <c r="H129" s="362">
        <f>IFERROR(VLOOKUP(C129,'تقرير المصروفات حسب الشهر'!$C$512:$AL$620,31,FALSE),0)</f>
        <v>0</v>
      </c>
      <c r="I129" s="362">
        <f>IFERROR(VLOOKUP(C129,'تقرير المصروفات حسب الشهر'!$C$637:$AI$748,31,FALSE),0)</f>
        <v>0</v>
      </c>
      <c r="J129" s="362">
        <f>IFERROR(VLOOKUP(C129,'تقرير المصروفات حسب الشهر'!$C$763:$AI$877,31,FALSE),0)</f>
        <v>0</v>
      </c>
      <c r="K129" s="362">
        <f>IFERROR(VLOOKUP(C129,'تقرير المصروفات حسب الشهر'!$C$890:$AI$1007,31,FALSE),0)</f>
        <v>0</v>
      </c>
      <c r="L129" s="362">
        <f>IFERROR(VLOOKUP(C129,'تقرير المصروفات حسب الشهر'!$C$1016:$AI$1131,31,FALSE),0)</f>
        <v>0</v>
      </c>
      <c r="M129" s="376">
        <f>IFERROR(VLOOKUP(C129,'تقرير المصروفات حسب الشهر'!$C$1143:$AI$1290,31,FALSE),0)</f>
        <v>0</v>
      </c>
      <c r="N129" s="376">
        <f>IFERROR(VLOOKUP(C129,'تقرير المصروفات حسب الشهر'!$C$1271:$AI$1385,31,FALSE),0)</f>
        <v>0</v>
      </c>
      <c r="O129" s="376">
        <f>IFERROR(VLOOKUP(C129,'تقرير المصروفات حسب الشهر'!$C$1397:$AI$1512,31,FALSE),0)</f>
        <v>0</v>
      </c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الشهر'!$C$10:$AL$124,31,FALSE),0)</f>
        <v>0</v>
      </c>
      <c r="E130" s="362">
        <f>IFERROR(VLOOKUP(C130,'تقرير المصروفات حسب الشهر'!$C$135:$AL$252,31,FALSE),0)</f>
        <v>0</v>
      </c>
      <c r="F130" s="362">
        <v>0</v>
      </c>
      <c r="G130" s="362">
        <f>IFERROR(VLOOKUP(C130,'تقرير المصروفات حسب الشهر'!C494:AH607,31,0),0)</f>
        <v>0</v>
      </c>
      <c r="H130" s="362">
        <f>IFERROR(VLOOKUP(C130,'تقرير المصروفات حسب الشهر'!$C$512:$AL$620,31,FALSE),0)</f>
        <v>0</v>
      </c>
      <c r="I130" s="362">
        <f>IFERROR(VLOOKUP(C130,'تقرير المصروفات حسب الشهر'!$C$637:$AI$748,31,FALSE),0)</f>
        <v>0</v>
      </c>
      <c r="J130" s="362">
        <f>IFERROR(VLOOKUP(C130,'تقرير المصروفات حسب الشهر'!$C$763:$AI$877,31,FALSE),0)</f>
        <v>0</v>
      </c>
      <c r="K130" s="362">
        <f>IFERROR(VLOOKUP(C130,'تقرير المصروفات حسب الشهر'!$C$890:$AI$1007,31,FALSE),0)</f>
        <v>0</v>
      </c>
      <c r="L130" s="362">
        <f>IFERROR(VLOOKUP(C130,'تقرير المصروفات حسب الشهر'!$C$1016:$AI$1131,31,FALSE),0)</f>
        <v>0</v>
      </c>
      <c r="M130" s="376">
        <f>IFERROR(VLOOKUP(C130,'تقرير المصروفات حسب الشهر'!$C$1143:$AI$1290,31,FALSE),0)</f>
        <v>0</v>
      </c>
      <c r="N130" s="376">
        <f>IFERROR(VLOOKUP(C130,'تقرير المصروفات حسب الشهر'!$C$1271:$AI$1385,31,FALSE),0)</f>
        <v>0</v>
      </c>
      <c r="O130" s="376">
        <f>IFERROR(VLOOKUP(C130,'تقرير المصروفات حسب الشهر'!$C$1397:$AI$1512,31,FALSE),0)</f>
        <v>0</v>
      </c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الشهر'!$C$10:$AL$124,31,FALSE),0)</f>
        <v>0</v>
      </c>
      <c r="E131" s="362">
        <f>IFERROR(VLOOKUP(C131,'تقرير المصروفات حسب الشهر'!$C$135:$AL$252,31,FALSE),0)</f>
        <v>0</v>
      </c>
      <c r="F131" s="362">
        <v>0</v>
      </c>
      <c r="G131" s="362">
        <f>IFERROR(VLOOKUP(C131,'تقرير المصروفات حسب الشهر'!C495:AH608,31,0),0)</f>
        <v>0</v>
      </c>
      <c r="H131" s="362">
        <f>IFERROR(VLOOKUP(C131,'تقرير المصروفات حسب الشهر'!$C$512:$AL$620,31,FALSE),0)</f>
        <v>0</v>
      </c>
      <c r="I131" s="362">
        <f>IFERROR(VLOOKUP(C131,'تقرير المصروفات حسب الشهر'!$C$637:$AI$748,31,FALSE),0)</f>
        <v>0</v>
      </c>
      <c r="J131" s="362">
        <f>IFERROR(VLOOKUP(C131,'تقرير المصروفات حسب الشهر'!$C$763:$AI$877,31,FALSE),0)</f>
        <v>0</v>
      </c>
      <c r="K131" s="362">
        <f>IFERROR(VLOOKUP(C131,'تقرير المصروفات حسب الشهر'!$C$890:$AI$1007,31,FALSE),0)</f>
        <v>0</v>
      </c>
      <c r="L131" s="362">
        <f>IFERROR(VLOOKUP(C131,'تقرير المصروفات حسب الشهر'!$C$1016:$AI$1131,31,FALSE),0)</f>
        <v>0</v>
      </c>
      <c r="M131" s="376">
        <f>IFERROR(VLOOKUP(C131,'تقرير المصروفات حسب الشهر'!$C$1143:$AI$1290,31,FALSE),0)</f>
        <v>0</v>
      </c>
      <c r="N131" s="376">
        <f>IFERROR(VLOOKUP(C131,'تقرير المصروفات حسب الشهر'!$C$1271:$AI$1385,31,FALSE),0)</f>
        <v>0</v>
      </c>
      <c r="O131" s="376">
        <f>IFERROR(VLOOKUP(C131,'تقرير المصروفات حسب الشهر'!$C$1397:$AI$1512,31,FALSE),0)</f>
        <v>0</v>
      </c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10637.66</v>
      </c>
      <c r="E132" s="146">
        <f t="shared" si="7"/>
        <v>30612.43</v>
      </c>
      <c r="F132" s="146">
        <f t="shared" si="7"/>
        <v>45842.320000000007</v>
      </c>
      <c r="G132" s="146">
        <f t="shared" si="7"/>
        <v>34843.339999999997</v>
      </c>
      <c r="H132" s="146">
        <f t="shared" si="7"/>
        <v>35457.47</v>
      </c>
      <c r="I132" s="146">
        <f t="shared" si="7"/>
        <v>41817.280000000006</v>
      </c>
      <c r="J132" s="146">
        <f t="shared" si="7"/>
        <v>46679.41</v>
      </c>
      <c r="K132" s="146">
        <f t="shared" si="7"/>
        <v>42489.39</v>
      </c>
      <c r="L132" s="146">
        <f t="shared" si="7"/>
        <v>56659.66</v>
      </c>
      <c r="M132" s="146">
        <f t="shared" si="7"/>
        <v>64426.53</v>
      </c>
      <c r="N132" s="146">
        <f t="shared" si="7"/>
        <v>54822.94</v>
      </c>
      <c r="O132" s="146">
        <f t="shared" si="7"/>
        <v>74518.509999999995</v>
      </c>
      <c r="P132" s="388">
        <f t="shared" si="6"/>
        <v>538806.93999999994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3666.1999999999971</v>
      </c>
      <c r="E134" s="392">
        <f t="shared" si="8"/>
        <v>56423.593000000008</v>
      </c>
      <c r="F134" s="392">
        <f t="shared" si="8"/>
        <v>66288.520000000033</v>
      </c>
      <c r="G134" s="392">
        <f t="shared" si="8"/>
        <v>68444.319999999992</v>
      </c>
      <c r="H134" s="392">
        <f t="shared" si="8"/>
        <v>92402.97</v>
      </c>
      <c r="I134" s="392">
        <f t="shared" si="8"/>
        <v>95598.319999999891</v>
      </c>
      <c r="J134" s="392">
        <f t="shared" si="8"/>
        <v>223200.31000000008</v>
      </c>
      <c r="K134" s="392">
        <f t="shared" si="8"/>
        <v>97988.809999999925</v>
      </c>
      <c r="L134" s="392">
        <f t="shared" si="8"/>
        <v>99700.720000000103</v>
      </c>
      <c r="M134" s="392">
        <f t="shared" si="8"/>
        <v>101397.23999999999</v>
      </c>
      <c r="N134" s="392">
        <f t="shared" si="8"/>
        <v>146457.50000000012</v>
      </c>
      <c r="O134" s="392">
        <f t="shared" si="8"/>
        <v>123339.68000000005</v>
      </c>
      <c r="P134" s="388">
        <f t="shared" si="6"/>
        <v>1174908.1830000002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-6971.4600000000028</v>
      </c>
      <c r="E137" s="383">
        <f t="shared" ref="E137:O137" si="9">E134-E132</f>
        <v>25811.163000000008</v>
      </c>
      <c r="F137" s="383">
        <f t="shared" si="9"/>
        <v>20446.200000000026</v>
      </c>
      <c r="G137" s="383">
        <f t="shared" si="9"/>
        <v>33600.979999999996</v>
      </c>
      <c r="H137" s="383">
        <f t="shared" si="9"/>
        <v>56945.5</v>
      </c>
      <c r="I137" s="383">
        <f t="shared" si="9"/>
        <v>53781.039999999884</v>
      </c>
      <c r="J137" s="383">
        <f t="shared" si="9"/>
        <v>176520.90000000008</v>
      </c>
      <c r="K137" s="383">
        <f t="shared" si="9"/>
        <v>55499.419999999925</v>
      </c>
      <c r="L137" s="383">
        <f t="shared" si="9"/>
        <v>43041.0600000001</v>
      </c>
      <c r="M137" s="383">
        <f t="shared" si="9"/>
        <v>36970.709999999992</v>
      </c>
      <c r="N137" s="383">
        <f t="shared" si="9"/>
        <v>91634.560000000114</v>
      </c>
      <c r="O137" s="383">
        <f t="shared" si="9"/>
        <v>48821.170000000056</v>
      </c>
      <c r="P137" s="387">
        <f>SUM(D137:O137)</f>
        <v>636101.24300000013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  <row r="141" spans="1:17">
      <c r="M141" s="415">
        <f>+M137-36970.71</f>
        <v>0</v>
      </c>
    </row>
    <row r="142" spans="1:17">
      <c r="E142" s="113">
        <v>25811.17</v>
      </c>
    </row>
    <row r="143" spans="1:17">
      <c r="E143" s="415">
        <f>E142-E137</f>
        <v>6.9999999905121513E-3</v>
      </c>
      <c r="I143" s="41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D04D-1AA5-4458-9F7C-7909CAEEEB66}">
  <sheetPr>
    <tabColor theme="9"/>
  </sheetPr>
  <dimension ref="A1:T140"/>
  <sheetViews>
    <sheetView rightToLeft="1" workbookViewId="0"/>
  </sheetViews>
  <sheetFormatPr defaultColWidth="9.109375" defaultRowHeight="13.2"/>
  <cols>
    <col min="1" max="1" width="3.33203125" style="113" customWidth="1"/>
    <col min="2" max="2" width="1.6640625" style="113" customWidth="1"/>
    <col min="3" max="3" width="31.33203125" style="113" bestFit="1" customWidth="1"/>
    <col min="4" max="4" width="13.88671875" style="113" customWidth="1"/>
    <col min="5" max="5" width="14" style="113" customWidth="1"/>
    <col min="6" max="16" width="13" style="113" customWidth="1"/>
    <col min="17" max="16384" width="9.109375" style="113"/>
  </cols>
  <sheetData>
    <row r="1" spans="1:20" ht="6.75" customHeight="1">
      <c r="A1" s="112"/>
    </row>
    <row r="2" spans="1:20" s="114" customFormat="1" ht="20.100000000000001" customHeight="1">
      <c r="B2" s="115"/>
      <c r="C2" s="151" t="s">
        <v>272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3"/>
      <c r="R2" s="112"/>
      <c r="S2" s="112"/>
      <c r="T2" s="112"/>
    </row>
    <row r="3" spans="1:20" s="114" customFormat="1" ht="24" customHeight="1">
      <c r="B3" s="118"/>
      <c r="C3" s="119"/>
      <c r="D3" s="120"/>
      <c r="E3" s="120"/>
      <c r="F3" s="629" t="s">
        <v>368</v>
      </c>
      <c r="G3" s="629"/>
      <c r="H3" s="629"/>
      <c r="I3" s="629"/>
      <c r="J3" s="629"/>
      <c r="K3" s="120"/>
      <c r="L3" s="120"/>
      <c r="M3" s="120"/>
      <c r="N3" s="120"/>
      <c r="O3" s="120"/>
      <c r="P3" s="120"/>
      <c r="Q3" s="113"/>
      <c r="R3" s="112"/>
      <c r="S3" s="112"/>
      <c r="T3" s="112"/>
    </row>
    <row r="4" spans="1:20" s="114" customFormat="1" ht="9.9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2"/>
      <c r="S4" s="112"/>
      <c r="T4" s="112"/>
    </row>
    <row r="5" spans="1:20" ht="6" customHeight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3"/>
    </row>
    <row r="6" spans="1:20" ht="24" customHeight="1">
      <c r="B6" s="124"/>
      <c r="C6" s="125"/>
      <c r="D6" s="126" t="s">
        <v>268</v>
      </c>
      <c r="E6" s="126" t="s">
        <v>248</v>
      </c>
      <c r="F6" s="126" t="s">
        <v>249</v>
      </c>
      <c r="G6" s="126" t="s">
        <v>250</v>
      </c>
      <c r="H6" s="126" t="s">
        <v>251</v>
      </c>
      <c r="I6" s="126" t="s">
        <v>252</v>
      </c>
      <c r="J6" s="126" t="s">
        <v>253</v>
      </c>
      <c r="K6" s="126" t="s">
        <v>254</v>
      </c>
      <c r="L6" s="126" t="s">
        <v>255</v>
      </c>
      <c r="M6" s="126" t="s">
        <v>256</v>
      </c>
      <c r="N6" s="126" t="s">
        <v>257</v>
      </c>
      <c r="O6" s="127" t="s">
        <v>258</v>
      </c>
      <c r="P6" s="127" t="s">
        <v>334</v>
      </c>
    </row>
    <row r="7" spans="1:20" ht="18" customHeight="1">
      <c r="B7" s="124"/>
      <c r="C7" s="129" t="s">
        <v>259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28"/>
    </row>
    <row r="8" spans="1:20" ht="18" customHeight="1">
      <c r="A8" s="389" t="s">
        <v>245</v>
      </c>
      <c r="B8" s="390"/>
      <c r="C8" s="369" t="s">
        <v>114</v>
      </c>
      <c r="D8" s="364">
        <f>IFERROR(D9+D10+D11,0)</f>
        <v>0</v>
      </c>
      <c r="E8" s="364">
        <f>IFERROR(E9+E10+E11,0)</f>
        <v>0</v>
      </c>
      <c r="F8" s="364">
        <f>IFERROR(F9+F10+F11,0)</f>
        <v>0</v>
      </c>
      <c r="G8" s="364">
        <f>IFERROR(G9+G10+G11,0)</f>
        <v>0</v>
      </c>
      <c r="H8" s="364">
        <f t="shared" ref="H8:O8" si="0">H9+H10+H11</f>
        <v>0</v>
      </c>
      <c r="I8" s="364">
        <f t="shared" si="0"/>
        <v>0</v>
      </c>
      <c r="J8" s="364">
        <f t="shared" si="0"/>
        <v>0</v>
      </c>
      <c r="K8" s="364">
        <f t="shared" si="0"/>
        <v>0</v>
      </c>
      <c r="L8" s="364">
        <f t="shared" si="0"/>
        <v>0</v>
      </c>
      <c r="M8" s="364">
        <f t="shared" si="0"/>
        <v>0</v>
      </c>
      <c r="N8" s="364">
        <f t="shared" si="0"/>
        <v>0</v>
      </c>
      <c r="O8" s="364">
        <f t="shared" si="0"/>
        <v>0</v>
      </c>
      <c r="P8" s="364">
        <f>SUM(D8:O8)</f>
        <v>0</v>
      </c>
    </row>
    <row r="9" spans="1:20" ht="18" customHeight="1">
      <c r="B9" s="124"/>
      <c r="C9" s="370" t="s">
        <v>115</v>
      </c>
      <c r="D9" s="365">
        <f>IFERROR(VLOOKUP($A$8,'تقرير إحصائية بحجم المبيعات'!$B$7:$L$31,2,FALSE),0)</f>
        <v>0</v>
      </c>
      <c r="E9" s="365">
        <f>IFERROR(VLOOKUP($A$8,'تقرير إحصائية بحجم المبيعات'!$B$42:$G$73,2,FALSE),0)</f>
        <v>0</v>
      </c>
      <c r="F9" s="365">
        <f>IFERROR(VLOOKUP($A$8,'تقرير إحصائية بحجم المبيعات'!$B$78:$E$103,2,FALSE),0)</f>
        <v>0</v>
      </c>
      <c r="G9" s="365">
        <f>IFERROR(VLOOKUP($A$8,'تقرير إحصائية بحجم المبيعات'!$B$112:$G$137,2,FALSE),0)</f>
        <v>0</v>
      </c>
      <c r="H9" s="365">
        <f>VLOOKUP($A$8,'تقرير إحصائية بحجم المبيعات'!$B$147:$G$177,2,FALSE)</f>
        <v>0</v>
      </c>
      <c r="I9" s="365">
        <f>VLOOKUP($A$8,'تقرير إحصائية بحجم المبيعات'!$B$182:$G$212,2,FALSE)</f>
        <v>0</v>
      </c>
      <c r="J9" s="365">
        <f>VLOOKUP($A$8,'تقرير إحصائية بحجم المبيعات'!$B$217:$L$243,2,FALSE)</f>
        <v>0</v>
      </c>
      <c r="K9" s="365">
        <f>VLOOKUP($A$8,'تقرير إحصائية بحجم المبيعات'!$B$252:$L$278,2,FALSE)</f>
        <v>0</v>
      </c>
      <c r="L9" s="365">
        <f>VLOOKUP($A$8,'تقرير إحصائية بحجم المبيعات'!$B$287:$L$313,2,FALSE)</f>
        <v>0</v>
      </c>
      <c r="M9" s="365">
        <f>VLOOKUP($A$8,'تقرير إحصائية بحجم المبيعات'!$B$322:$L$347,2,FALSE)</f>
        <v>0</v>
      </c>
      <c r="N9" s="365"/>
      <c r="O9" s="365"/>
      <c r="P9" s="364">
        <f t="shared" ref="P9:P18" si="1">SUM(D9:O9)</f>
        <v>0</v>
      </c>
    </row>
    <row r="10" spans="1:20" ht="18" customHeight="1">
      <c r="B10" s="124"/>
      <c r="C10" s="370" t="s">
        <v>21</v>
      </c>
      <c r="D10" s="365">
        <f>IFERROR(VLOOKUP($A$8,'تقرير إحصائية بحجم المبيعات'!$B$7:$L$31,3,FALSE),0)</f>
        <v>0</v>
      </c>
      <c r="E10" s="365">
        <f>IFERROR(VLOOKUP($A$8,'تقرير إحصائية بحجم المبيعات'!$B$42:$G$73,3,FALSE),0)</f>
        <v>0</v>
      </c>
      <c r="F10" s="365">
        <f>IFERROR(VLOOKUP($A$8,'تقرير إحصائية بحجم المبيعات'!$B$78:$E$103,3,FALSE),0)</f>
        <v>0</v>
      </c>
      <c r="G10" s="365">
        <f>IFERROR(VLOOKUP($A$8,'تقرير إحصائية بحجم المبيعات'!$B$112:$G$137,3,FALSE),0)</f>
        <v>0</v>
      </c>
      <c r="H10" s="365">
        <f>VLOOKUP($A$8,'تقرير إحصائية بحجم المبيعات'!$B$147:$G$177,3,FALSE)</f>
        <v>0</v>
      </c>
      <c r="I10" s="365">
        <f>VLOOKUP($A$8,'تقرير إحصائية بحجم المبيعات'!$B$182:$G$212,3,FALSE)</f>
        <v>0</v>
      </c>
      <c r="J10" s="365">
        <f>VLOOKUP($A$8,'تقرير إحصائية بحجم المبيعات'!$B$217:$L$243,3,FALSE)</f>
        <v>0</v>
      </c>
      <c r="K10" s="365">
        <f>VLOOKUP($A$8,'تقرير إحصائية بحجم المبيعات'!$B$252:$L$278,3,FALSE)</f>
        <v>0</v>
      </c>
      <c r="L10" s="365">
        <f>VLOOKUP($A$8,'تقرير إحصائية بحجم المبيعات'!$B$287:$L$313,3,FALSE)</f>
        <v>0</v>
      </c>
      <c r="M10" s="365">
        <f>VLOOKUP($A$8,'تقرير إحصائية بحجم المبيعات'!$B$322:$L$347,3,FALSE)</f>
        <v>0</v>
      </c>
      <c r="N10" s="365"/>
      <c r="O10" s="365"/>
      <c r="P10" s="364">
        <f t="shared" si="1"/>
        <v>0</v>
      </c>
    </row>
    <row r="11" spans="1:20" ht="18" customHeight="1">
      <c r="B11" s="124"/>
      <c r="C11" s="370" t="s">
        <v>116</v>
      </c>
      <c r="D11" s="365">
        <f>IFERROR(VLOOKUP($A$8,'تقرير إحصائية بحجم المبيعات'!$B$7:$L$31,4,FALSE),0)</f>
        <v>0</v>
      </c>
      <c r="E11" s="365">
        <f>IFERROR(VLOOKUP($A$8,'تقرير إحصائية بحجم المبيعات'!$B$42:$G$73,4,FALSE),0)</f>
        <v>0</v>
      </c>
      <c r="F11" s="365">
        <f>IFERROR(VLOOKUP($A$8,'تقرير إحصائية بحجم المبيعات'!$B$78:$E$103,4,FALSE),0)</f>
        <v>0</v>
      </c>
      <c r="G11" s="365">
        <f>IFERROR(VLOOKUP($A$8,'تقرير إحصائية بحجم المبيعات'!$B$112:$G$137,4,FALSE),0)</f>
        <v>0</v>
      </c>
      <c r="H11" s="365">
        <f>VLOOKUP($A$8,'تقرير إحصائية بحجم المبيعات'!$B$147:$G$177,4,FALSE)</f>
        <v>0</v>
      </c>
      <c r="I11" s="365">
        <f>VLOOKUP($A$8,'تقرير إحصائية بحجم المبيعات'!$B$182:$G$212,4,FALSE)</f>
        <v>0</v>
      </c>
      <c r="J11" s="365">
        <f>VLOOKUP($A$8,'تقرير إحصائية بحجم المبيعات'!$B$217:$L$243,4,FALSE)</f>
        <v>0</v>
      </c>
      <c r="K11" s="365">
        <f>VLOOKUP($A$8,'تقرير إحصائية بحجم المبيعات'!$B$252:$L$278,4,FALSE)</f>
        <v>0</v>
      </c>
      <c r="L11" s="365">
        <f>VLOOKUP($A$8,'تقرير إحصائية بحجم المبيعات'!$B$287:$L$313,4,FALSE)</f>
        <v>0</v>
      </c>
      <c r="M11" s="365">
        <f>VLOOKUP($A$8,'تقرير إحصائية بحجم المبيعات'!$B$322:$L$347,4,FALSE)</f>
        <v>0</v>
      </c>
      <c r="N11" s="365"/>
      <c r="O11" s="365"/>
      <c r="P11" s="364">
        <f t="shared" si="1"/>
        <v>0</v>
      </c>
    </row>
    <row r="12" spans="1:20" ht="18" customHeight="1">
      <c r="B12" s="124"/>
      <c r="C12" s="369" t="s">
        <v>120</v>
      </c>
      <c r="D12" s="364">
        <f>IFERROR(VLOOKUP($A$8,'تقرير إحصائية بحجم المبيعات'!$B$7:$L$31,11,FALSE),0)</f>
        <v>0</v>
      </c>
      <c r="E12" s="364">
        <f>IFERROR(VLOOKUP($A$8,'تقرير إحصائية بحجم المبيعات'!$B$42:$L$73,11,FALSE),0)</f>
        <v>0</v>
      </c>
      <c r="F12" s="364">
        <f>IFERROR(VLOOKUP($A$8,'تقرير إحصائية بحجم المبيعات'!$B$78:$L$103,11,FALSE),0)</f>
        <v>0</v>
      </c>
      <c r="G12" s="364">
        <f>IFERROR(VLOOKUP($A$8,'تقرير إحصائية بحجم المبيعات'!$B$112:$L$137,11,FALSE),0)</f>
        <v>0</v>
      </c>
      <c r="H12" s="364">
        <f>VLOOKUP($A$8,'تقرير إحصائية بحجم المبيعات'!$B$147:$L$177,11,FALSE)</f>
        <v>0</v>
      </c>
      <c r="I12" s="364">
        <f>VLOOKUP($A$8,'تقرير إحصائية بحجم المبيعات'!$B$182:$L$212,11,FALSE)</f>
        <v>0</v>
      </c>
      <c r="J12" s="365">
        <f>VLOOKUP($A$8,'تقرير إحصائية بحجم المبيعات'!$B$217:$L$243,11,FALSE)</f>
        <v>0</v>
      </c>
      <c r="K12" s="364">
        <f>VLOOKUP($A$8,'تقرير إحصائية بحجم المبيعات'!$B$252:$L$278,11,FALSE)</f>
        <v>0</v>
      </c>
      <c r="L12" s="364">
        <f>VLOOKUP($A$8,'تقرير إحصائية بحجم المبيعات'!$B$287:$L$313,11,FALSE)</f>
        <v>0</v>
      </c>
      <c r="M12" s="365">
        <f>VLOOKUP($A$8,'تقرير إحصائية بحجم المبيعات'!$B$322:$L$347,11,FALSE)</f>
        <v>0</v>
      </c>
      <c r="N12" s="365"/>
      <c r="O12" s="364"/>
      <c r="P12" s="364">
        <f t="shared" si="1"/>
        <v>0</v>
      </c>
    </row>
    <row r="13" spans="1:20" ht="18" customHeight="1">
      <c r="B13" s="124"/>
      <c r="C13" s="371" t="s">
        <v>14</v>
      </c>
      <c r="D13" s="366">
        <f t="shared" ref="D13:O13" si="2">D8-D12</f>
        <v>0</v>
      </c>
      <c r="E13" s="366">
        <f t="shared" si="2"/>
        <v>0</v>
      </c>
      <c r="F13" s="366">
        <f t="shared" si="2"/>
        <v>0</v>
      </c>
      <c r="G13" s="366">
        <f t="shared" si="2"/>
        <v>0</v>
      </c>
      <c r="H13" s="366">
        <f t="shared" si="2"/>
        <v>0</v>
      </c>
      <c r="I13" s="366">
        <f t="shared" si="2"/>
        <v>0</v>
      </c>
      <c r="J13" s="366">
        <f t="shared" si="2"/>
        <v>0</v>
      </c>
      <c r="K13" s="366">
        <f t="shared" si="2"/>
        <v>0</v>
      </c>
      <c r="L13" s="366">
        <f t="shared" si="2"/>
        <v>0</v>
      </c>
      <c r="M13" s="366">
        <f t="shared" si="2"/>
        <v>0</v>
      </c>
      <c r="N13" s="366">
        <f t="shared" si="2"/>
        <v>0</v>
      </c>
      <c r="O13" s="366">
        <f t="shared" si="2"/>
        <v>0</v>
      </c>
      <c r="P13" s="366">
        <f t="shared" si="1"/>
        <v>0</v>
      </c>
    </row>
    <row r="14" spans="1:20" ht="18" customHeight="1">
      <c r="B14" s="124"/>
      <c r="C14" s="369" t="s">
        <v>117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4">
        <f t="shared" si="1"/>
        <v>0</v>
      </c>
    </row>
    <row r="15" spans="1:20" ht="18" customHeight="1">
      <c r="B15" s="124"/>
      <c r="C15" s="369" t="s">
        <v>122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4">
        <f t="shared" si="1"/>
        <v>0</v>
      </c>
    </row>
    <row r="16" spans="1:20" ht="18" customHeight="1">
      <c r="B16" s="124"/>
      <c r="C16" s="369" t="s">
        <v>118</v>
      </c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4">
        <f t="shared" si="1"/>
        <v>0</v>
      </c>
    </row>
    <row r="17" spans="2:16" ht="18" customHeight="1">
      <c r="B17" s="124"/>
      <c r="C17" s="369" t="s">
        <v>119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4">
        <f t="shared" si="1"/>
        <v>0</v>
      </c>
    </row>
    <row r="18" spans="2:16" ht="18" customHeight="1">
      <c r="B18" s="124"/>
      <c r="C18" s="372" t="s">
        <v>269</v>
      </c>
      <c r="D18" s="363">
        <f>SUM(D14:D17)</f>
        <v>0</v>
      </c>
      <c r="E18" s="363">
        <f t="shared" ref="E18:O18" si="3">SUM(E14:E17)</f>
        <v>0</v>
      </c>
      <c r="F18" s="363">
        <f t="shared" si="3"/>
        <v>0</v>
      </c>
      <c r="G18" s="363">
        <f t="shared" si="3"/>
        <v>0</v>
      </c>
      <c r="H18" s="363">
        <f t="shared" si="3"/>
        <v>0</v>
      </c>
      <c r="I18" s="363">
        <f t="shared" si="3"/>
        <v>0</v>
      </c>
      <c r="J18" s="363">
        <f t="shared" si="3"/>
        <v>0</v>
      </c>
      <c r="K18" s="363">
        <f t="shared" si="3"/>
        <v>0</v>
      </c>
      <c r="L18" s="363">
        <f t="shared" si="3"/>
        <v>0</v>
      </c>
      <c r="M18" s="368">
        <f t="shared" si="3"/>
        <v>0</v>
      </c>
      <c r="N18" s="368">
        <f t="shared" si="3"/>
        <v>0</v>
      </c>
      <c r="O18" s="368">
        <f t="shared" si="3"/>
        <v>0</v>
      </c>
      <c r="P18" s="364">
        <f t="shared" si="1"/>
        <v>0</v>
      </c>
    </row>
    <row r="19" spans="2:16" ht="18" customHeight="1">
      <c r="B19" s="124"/>
      <c r="C19" s="386" t="s">
        <v>14</v>
      </c>
      <c r="D19" s="374">
        <f t="shared" ref="D19:O19" si="4">D13+D18</f>
        <v>0</v>
      </c>
      <c r="E19" s="374">
        <f t="shared" si="4"/>
        <v>0</v>
      </c>
      <c r="F19" s="374">
        <f t="shared" si="4"/>
        <v>0</v>
      </c>
      <c r="G19" s="374">
        <f t="shared" si="4"/>
        <v>0</v>
      </c>
      <c r="H19" s="374">
        <f t="shared" si="4"/>
        <v>0</v>
      </c>
      <c r="I19" s="374">
        <f t="shared" si="4"/>
        <v>0</v>
      </c>
      <c r="J19" s="374">
        <f t="shared" si="4"/>
        <v>0</v>
      </c>
      <c r="K19" s="374">
        <f t="shared" si="4"/>
        <v>0</v>
      </c>
      <c r="L19" s="374">
        <f t="shared" si="4"/>
        <v>0</v>
      </c>
      <c r="M19" s="374">
        <f t="shared" si="4"/>
        <v>0</v>
      </c>
      <c r="N19" s="374">
        <f t="shared" si="4"/>
        <v>0</v>
      </c>
      <c r="O19" s="374">
        <f t="shared" si="4"/>
        <v>0</v>
      </c>
      <c r="P19" s="382">
        <f>SUM(D19:O19)</f>
        <v>0</v>
      </c>
    </row>
    <row r="20" spans="2:16" ht="18" customHeight="1">
      <c r="B20" s="124"/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28"/>
    </row>
    <row r="21" spans="2:16" ht="18" customHeight="1">
      <c r="B21" s="124"/>
      <c r="C21" s="391" t="s">
        <v>264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28"/>
    </row>
    <row r="22" spans="2:16" ht="18" customHeight="1">
      <c r="B22" s="124"/>
      <c r="C22" s="150" t="s">
        <v>40</v>
      </c>
      <c r="D22" s="362">
        <f>IFERROR(VLOOKUP(C22,'تقرير المصروفات حسب الشهر'!$C$10:$AD$119,28,FALSE),0)</f>
        <v>0</v>
      </c>
      <c r="E22" s="362">
        <f>IFERROR(VLOOKUP(C22,'تقرير المصروفات حسب الشهر'!$C$135:$AD$244,28,FALSE),0)</f>
        <v>0</v>
      </c>
      <c r="F22" s="362">
        <f>IFERROR(VLOOKUP(C22,'تقرير المصروفات حسب الشهر'!$C$261:$AD$368,28,FALSE),0)</f>
        <v>0</v>
      </c>
      <c r="G22" s="362">
        <f>IFERROR(VLOOKUP(C22,'تقرير المصروفات حسب الشهر'!$C$387:$AD$495,28,FALSE),0)</f>
        <v>0</v>
      </c>
      <c r="H22" s="362">
        <f>IFERROR(VLOOKUP(C22,'تقرير المصروفات حسب الشهر'!$C$512:$AD$620,28,FALSE),0)</f>
        <v>0</v>
      </c>
      <c r="I22" s="362">
        <f>IFERROR(VLOOKUP(C22,'تقرير المصروفات حسب الشهر'!$C$637:$AD$746,28,FALSE),0)</f>
        <v>0</v>
      </c>
      <c r="J22" s="362">
        <f>IFERROR(VLOOKUP(C22,'تقرير المصروفات حسب الشهر'!$C$763:$AD$872,28,FALSE),0)</f>
        <v>0</v>
      </c>
      <c r="K22" s="362">
        <f>IFERROR(VLOOKUP(C22,'تقرير المصروفات حسب الشهر'!$C$890:$AD$999,28,FALSE),0)</f>
        <v>0</v>
      </c>
      <c r="L22" s="362">
        <f>IFERROR(VLOOKUP(C22,'تقرير المصروفات حسب الشهر'!$C$1016:$AD$1126,28,FALSE),0)</f>
        <v>0</v>
      </c>
      <c r="M22" s="376">
        <f>IFERROR(VLOOKUP(C22,'تقرير المصروفات حسب الشهر'!$C$1143:$AD$1254,28,FALSE),0)</f>
        <v>0</v>
      </c>
      <c r="N22" s="362"/>
      <c r="O22" s="362"/>
      <c r="P22" s="364">
        <f>SUM(D22:O22)</f>
        <v>0</v>
      </c>
    </row>
    <row r="23" spans="2:16" ht="18" customHeight="1">
      <c r="B23" s="124"/>
      <c r="C23" s="150" t="s">
        <v>41</v>
      </c>
      <c r="D23" s="362">
        <f>IFERROR(VLOOKUP(C23,'تقرير المصروفات حسب الشهر'!$C$10:$AD$119,28,FALSE),0)</f>
        <v>0</v>
      </c>
      <c r="E23" s="362">
        <f>IFERROR(VLOOKUP(C23,'تقرير المصروفات حسب الشهر'!$C$135:$AD$244,28,FALSE),0)</f>
        <v>0</v>
      </c>
      <c r="F23" s="362">
        <f>IFERROR(VLOOKUP(C23,'تقرير المصروفات حسب الشهر'!$C$261:$AD$368,28,FALSE),0)</f>
        <v>0</v>
      </c>
      <c r="G23" s="362">
        <f>IFERROR(VLOOKUP(C23,'تقرير المصروفات حسب الشهر'!$C$387:$AD$495,28,FALSE),0)</f>
        <v>0</v>
      </c>
      <c r="H23" s="362">
        <f>IFERROR(VLOOKUP(C23,'تقرير المصروفات حسب الشهر'!$C$512:$AD$620,28,FALSE),0)</f>
        <v>0</v>
      </c>
      <c r="I23" s="362">
        <f>IFERROR(VLOOKUP(C23,'تقرير المصروفات حسب الشهر'!$C$637:$AD$746,28,FALSE),0)</f>
        <v>0</v>
      </c>
      <c r="J23" s="362">
        <f>IFERROR(VLOOKUP(C23,'تقرير المصروفات حسب الشهر'!$C$763:$AD$872,28,FALSE),0)</f>
        <v>0</v>
      </c>
      <c r="K23" s="362">
        <f>IFERROR(VLOOKUP(C23,'تقرير المصروفات حسب الشهر'!$C$890:$AD$999,28,FALSE),0)</f>
        <v>0</v>
      </c>
      <c r="L23" s="362">
        <f>IFERROR(VLOOKUP(C23,'تقرير المصروفات حسب الشهر'!$C$1016:$AD$1126,28,FALSE),0)</f>
        <v>0</v>
      </c>
      <c r="M23" s="376">
        <f>IFERROR(VLOOKUP(C23,'تقرير المصروفات حسب الشهر'!$C$1143:$AD$1254,28,FALSE),0)</f>
        <v>0</v>
      </c>
      <c r="N23" s="362"/>
      <c r="O23" s="362"/>
      <c r="P23" s="364">
        <f t="shared" ref="P23:P86" si="5">SUM(D23:O23)</f>
        <v>0</v>
      </c>
    </row>
    <row r="24" spans="2:16" ht="18" customHeight="1">
      <c r="B24" s="124"/>
      <c r="C24" s="150" t="s">
        <v>26</v>
      </c>
      <c r="D24" s="362">
        <f>IFERROR(VLOOKUP(C24,'تقرير المصروفات حسب الشهر'!$C$10:$AD$119,28,FALSE),0)</f>
        <v>0</v>
      </c>
      <c r="E24" s="362">
        <f>IFERROR(VLOOKUP(C24,'تقرير المصروفات حسب الشهر'!$C$135:$AD$244,28,FALSE),0)</f>
        <v>0</v>
      </c>
      <c r="F24" s="362">
        <f>IFERROR(VLOOKUP(C24,'تقرير المصروفات حسب الشهر'!$C$261:$AD$368,28,FALSE),0)</f>
        <v>0</v>
      </c>
      <c r="G24" s="362">
        <f>IFERROR(VLOOKUP(C24,'تقرير المصروفات حسب الشهر'!$C$387:$AD$495,28,FALSE),0)</f>
        <v>0</v>
      </c>
      <c r="H24" s="362">
        <f>IFERROR(VLOOKUP(C24,'تقرير المصروفات حسب الشهر'!$C$512:$AD$620,28,FALSE),0)</f>
        <v>0</v>
      </c>
      <c r="I24" s="362">
        <f>IFERROR(VLOOKUP(C24,'تقرير المصروفات حسب الشهر'!$C$637:$AD$746,28,FALSE),0)</f>
        <v>0</v>
      </c>
      <c r="J24" s="362">
        <f>IFERROR(VLOOKUP(C24,'تقرير المصروفات حسب الشهر'!$C$763:$AD$872,28,FALSE),0)</f>
        <v>0</v>
      </c>
      <c r="K24" s="362">
        <f>IFERROR(VLOOKUP(C24,'تقرير المصروفات حسب الشهر'!$C$890:$AD$999,28,FALSE),0)</f>
        <v>0</v>
      </c>
      <c r="L24" s="362">
        <f>IFERROR(VLOOKUP(C24,'تقرير المصروفات حسب الشهر'!$C$1016:$AD$1126,28,FALSE),0)</f>
        <v>0</v>
      </c>
      <c r="M24" s="376">
        <f>IFERROR(VLOOKUP(C24,'تقرير المصروفات حسب الشهر'!$C$1143:$AD$1254,28,FALSE),0)</f>
        <v>0</v>
      </c>
      <c r="N24" s="362"/>
      <c r="O24" s="362"/>
      <c r="P24" s="364">
        <f t="shared" si="5"/>
        <v>0</v>
      </c>
    </row>
    <row r="25" spans="2:16" ht="18" customHeight="1">
      <c r="B25" s="124"/>
      <c r="C25" s="150" t="s">
        <v>27</v>
      </c>
      <c r="D25" s="362">
        <f>IFERROR(VLOOKUP(C25,'تقرير المصروفات حسب الشهر'!$C$10:$AD$119,28,FALSE),0)</f>
        <v>0</v>
      </c>
      <c r="E25" s="362">
        <f>IFERROR(VLOOKUP(C25,'تقرير المصروفات حسب الشهر'!$C$135:$AD$244,28,FALSE),0)</f>
        <v>0</v>
      </c>
      <c r="F25" s="362">
        <f>IFERROR(VLOOKUP(C25,'تقرير المصروفات حسب الشهر'!$C$261:$AD$368,28,FALSE),0)</f>
        <v>0</v>
      </c>
      <c r="G25" s="362">
        <f>IFERROR(VLOOKUP(C25,'تقرير المصروفات حسب الشهر'!$C$387:$AD$495,28,FALSE),0)</f>
        <v>0</v>
      </c>
      <c r="H25" s="362">
        <f>IFERROR(VLOOKUP(C25,'تقرير المصروفات حسب الشهر'!$C$512:$AD$620,28,FALSE),0)</f>
        <v>0</v>
      </c>
      <c r="I25" s="362">
        <f>IFERROR(VLOOKUP(C25,'تقرير المصروفات حسب الشهر'!$C$637:$AD$746,28,FALSE),0)</f>
        <v>0</v>
      </c>
      <c r="J25" s="362">
        <f>IFERROR(VLOOKUP(C25,'تقرير المصروفات حسب الشهر'!$C$763:$AD$872,28,FALSE),0)</f>
        <v>0</v>
      </c>
      <c r="K25" s="362">
        <f>IFERROR(VLOOKUP(C25,'تقرير المصروفات حسب الشهر'!$C$890:$AD$999,28,FALSE),0)</f>
        <v>0</v>
      </c>
      <c r="L25" s="362">
        <f>IFERROR(VLOOKUP(C25,'تقرير المصروفات حسب الشهر'!$C$1016:$AD$1126,28,FALSE),0)</f>
        <v>0</v>
      </c>
      <c r="M25" s="376">
        <f>IFERROR(VLOOKUP(C25,'تقرير المصروفات حسب الشهر'!$C$1143:$AD$1254,28,FALSE),0)</f>
        <v>0</v>
      </c>
      <c r="N25" s="362"/>
      <c r="O25" s="362"/>
      <c r="P25" s="364">
        <f t="shared" si="5"/>
        <v>0</v>
      </c>
    </row>
    <row r="26" spans="2:16" ht="18" customHeight="1">
      <c r="B26" s="124"/>
      <c r="C26" s="150" t="s">
        <v>42</v>
      </c>
      <c r="D26" s="362">
        <f>IFERROR(VLOOKUP(C26,'تقرير المصروفات حسب الشهر'!$C$10:$AD$119,28,FALSE),0)</f>
        <v>0</v>
      </c>
      <c r="E26" s="362">
        <f>IFERROR(VLOOKUP(C26,'تقرير المصروفات حسب الشهر'!$C$135:$AD$244,28,FALSE),0)</f>
        <v>0</v>
      </c>
      <c r="F26" s="362">
        <f>IFERROR(VLOOKUP(C26,'تقرير المصروفات حسب الشهر'!$C$261:$AD$368,28,FALSE),0)</f>
        <v>0</v>
      </c>
      <c r="G26" s="362">
        <f>IFERROR(VLOOKUP(C26,'تقرير المصروفات حسب الشهر'!$C$387:$AD$495,28,FALSE),0)</f>
        <v>0</v>
      </c>
      <c r="H26" s="362">
        <f>IFERROR(VLOOKUP(C26,'تقرير المصروفات حسب الشهر'!$C$512:$AD$620,28,FALSE),0)</f>
        <v>0</v>
      </c>
      <c r="I26" s="362">
        <f>IFERROR(VLOOKUP(C26,'تقرير المصروفات حسب الشهر'!$C$637:$AD$746,28,FALSE),0)</f>
        <v>0</v>
      </c>
      <c r="J26" s="362">
        <f>IFERROR(VLOOKUP(C26,'تقرير المصروفات حسب الشهر'!$C$763:$AD$872,28,FALSE),0)</f>
        <v>0</v>
      </c>
      <c r="K26" s="362">
        <f>IFERROR(VLOOKUP(C26,'تقرير المصروفات حسب الشهر'!$C$890:$AD$999,28,FALSE),0)</f>
        <v>0</v>
      </c>
      <c r="L26" s="362">
        <f>IFERROR(VLOOKUP(C26,'تقرير المصروفات حسب الشهر'!$C$1016:$AD$1126,28,FALSE),0)</f>
        <v>0</v>
      </c>
      <c r="M26" s="376">
        <f>IFERROR(VLOOKUP(C26,'تقرير المصروفات حسب الشهر'!$C$1143:$AD$1254,28,FALSE),0)</f>
        <v>0</v>
      </c>
      <c r="N26" s="362"/>
      <c r="O26" s="362"/>
      <c r="P26" s="364">
        <f t="shared" si="5"/>
        <v>0</v>
      </c>
    </row>
    <row r="27" spans="2:16" ht="18" customHeight="1">
      <c r="B27" s="124"/>
      <c r="C27" s="150" t="s">
        <v>43</v>
      </c>
      <c r="D27" s="362">
        <f>IFERROR(VLOOKUP(C27,'تقرير المصروفات حسب الشهر'!$C$10:$AD$119,28,FALSE),0)</f>
        <v>0</v>
      </c>
      <c r="E27" s="362">
        <f>IFERROR(VLOOKUP(C27,'تقرير المصروفات حسب الشهر'!$C$135:$AD$244,28,FALSE),0)</f>
        <v>0</v>
      </c>
      <c r="F27" s="362">
        <f>IFERROR(VLOOKUP(C27,'تقرير المصروفات حسب الشهر'!$C$261:$AD$368,28,FALSE),0)</f>
        <v>0</v>
      </c>
      <c r="G27" s="362">
        <f>IFERROR(VLOOKUP(C27,'تقرير المصروفات حسب الشهر'!$C$387:$AD$495,28,FALSE),0)</f>
        <v>0</v>
      </c>
      <c r="H27" s="362">
        <f>IFERROR(VLOOKUP(C27,'تقرير المصروفات حسب الشهر'!$C$512:$AD$620,28,FALSE),0)</f>
        <v>0</v>
      </c>
      <c r="I27" s="362">
        <f>IFERROR(VLOOKUP(C27,'تقرير المصروفات حسب الشهر'!$C$637:$AD$746,28,FALSE),0)</f>
        <v>0</v>
      </c>
      <c r="J27" s="362">
        <f>IFERROR(VLOOKUP(C27,'تقرير المصروفات حسب الشهر'!$C$763:$AD$872,28,FALSE),0)</f>
        <v>0</v>
      </c>
      <c r="K27" s="362">
        <f>IFERROR(VLOOKUP(C27,'تقرير المصروفات حسب الشهر'!$C$890:$AD$999,28,FALSE),0)</f>
        <v>0</v>
      </c>
      <c r="L27" s="362">
        <f>IFERROR(VLOOKUP(C27,'تقرير المصروفات حسب الشهر'!$C$1016:$AD$1126,28,FALSE),0)</f>
        <v>0</v>
      </c>
      <c r="M27" s="376">
        <f>IFERROR(VLOOKUP(C27,'تقرير المصروفات حسب الشهر'!$C$1143:$AD$1254,28,FALSE),0)</f>
        <v>0</v>
      </c>
      <c r="N27" s="362"/>
      <c r="O27" s="362"/>
      <c r="P27" s="364">
        <f t="shared" si="5"/>
        <v>0</v>
      </c>
    </row>
    <row r="28" spans="2:16" ht="18" customHeight="1">
      <c r="B28" s="124"/>
      <c r="C28" s="150" t="s">
        <v>44</v>
      </c>
      <c r="D28" s="362">
        <f>IFERROR(VLOOKUP(C28,'تقرير المصروفات حسب الشهر'!$C$10:$AD$119,28,FALSE),0)</f>
        <v>0</v>
      </c>
      <c r="E28" s="362">
        <f>IFERROR(VLOOKUP(C28,'تقرير المصروفات حسب الشهر'!$C$135:$AD$244,28,FALSE),0)</f>
        <v>0</v>
      </c>
      <c r="F28" s="362">
        <f>IFERROR(VLOOKUP(C28,'تقرير المصروفات حسب الشهر'!$C$261:$AD$368,28,FALSE),0)</f>
        <v>0</v>
      </c>
      <c r="G28" s="362">
        <f>IFERROR(VLOOKUP(C28,'تقرير المصروفات حسب الشهر'!$C$387:$AD$495,28,FALSE),0)</f>
        <v>0</v>
      </c>
      <c r="H28" s="362">
        <f>IFERROR(VLOOKUP(C28,'تقرير المصروفات حسب الشهر'!$C$512:$AD$620,28,FALSE),0)</f>
        <v>0</v>
      </c>
      <c r="I28" s="362">
        <f>IFERROR(VLOOKUP(C28,'تقرير المصروفات حسب الشهر'!$C$637:$AD$746,28,FALSE),0)</f>
        <v>0</v>
      </c>
      <c r="J28" s="362">
        <f>IFERROR(VLOOKUP(C28,'تقرير المصروفات حسب الشهر'!$C$763:$AD$872,28,FALSE),0)</f>
        <v>0</v>
      </c>
      <c r="K28" s="362">
        <f>IFERROR(VLOOKUP(C28,'تقرير المصروفات حسب الشهر'!$C$890:$AD$999,28,FALSE),0)</f>
        <v>0</v>
      </c>
      <c r="L28" s="362">
        <f>IFERROR(VLOOKUP(C28,'تقرير المصروفات حسب الشهر'!$C$1016:$AD$1126,28,FALSE),0)</f>
        <v>0</v>
      </c>
      <c r="M28" s="376">
        <f>IFERROR(VLOOKUP(C28,'تقرير المصروفات حسب الشهر'!$C$1143:$AD$1254,28,FALSE),0)</f>
        <v>0</v>
      </c>
      <c r="N28" s="362"/>
      <c r="O28" s="362"/>
      <c r="P28" s="364">
        <f t="shared" si="5"/>
        <v>0</v>
      </c>
    </row>
    <row r="29" spans="2:16" ht="18" customHeight="1">
      <c r="B29" s="124"/>
      <c r="C29" s="150" t="s">
        <v>45</v>
      </c>
      <c r="D29" s="362">
        <f>IFERROR(VLOOKUP(C29,'تقرير المصروفات حسب الشهر'!$C$10:$AD$119,28,FALSE),0)</f>
        <v>0</v>
      </c>
      <c r="E29" s="362">
        <f>IFERROR(VLOOKUP(C29,'تقرير المصروفات حسب الشهر'!$C$135:$AD$244,28,FALSE),0)</f>
        <v>0</v>
      </c>
      <c r="F29" s="362">
        <f>IFERROR(VLOOKUP(C29,'تقرير المصروفات حسب الشهر'!$C$261:$AD$368,28,FALSE),0)</f>
        <v>0</v>
      </c>
      <c r="G29" s="362">
        <f>IFERROR(VLOOKUP(C29,'تقرير المصروفات حسب الشهر'!$C$387:$AD$495,28,FALSE),0)</f>
        <v>0</v>
      </c>
      <c r="H29" s="362">
        <f>IFERROR(VLOOKUP(C29,'تقرير المصروفات حسب الشهر'!$C$512:$AD$620,28,FALSE),0)</f>
        <v>0</v>
      </c>
      <c r="I29" s="362">
        <f>IFERROR(VLOOKUP(C29,'تقرير المصروفات حسب الشهر'!$C$637:$AD$746,28,FALSE),0)</f>
        <v>0</v>
      </c>
      <c r="J29" s="362">
        <f>IFERROR(VLOOKUP(C29,'تقرير المصروفات حسب الشهر'!$C$763:$AD$872,28,FALSE),0)</f>
        <v>0</v>
      </c>
      <c r="K29" s="362">
        <f>IFERROR(VLOOKUP(C29,'تقرير المصروفات حسب الشهر'!$C$890:$AD$999,28,FALSE),0)</f>
        <v>0</v>
      </c>
      <c r="L29" s="362">
        <f>IFERROR(VLOOKUP(C29,'تقرير المصروفات حسب الشهر'!$C$1016:$AD$1126,28,FALSE),0)</f>
        <v>0</v>
      </c>
      <c r="M29" s="376">
        <f>IFERROR(VLOOKUP(C29,'تقرير المصروفات حسب الشهر'!$C$1143:$AD$1254,28,FALSE),0)</f>
        <v>0</v>
      </c>
      <c r="N29" s="362"/>
      <c r="O29" s="362"/>
      <c r="P29" s="364">
        <f t="shared" si="5"/>
        <v>0</v>
      </c>
    </row>
    <row r="30" spans="2:16" ht="18" customHeight="1">
      <c r="B30" s="124"/>
      <c r="C30" s="150" t="s">
        <v>156</v>
      </c>
      <c r="D30" s="362">
        <f>IFERROR(VLOOKUP(C30,'تقرير المصروفات حسب الشهر'!$C$10:$AD$119,28,FALSE),0)</f>
        <v>0</v>
      </c>
      <c r="E30" s="362">
        <f>IFERROR(VLOOKUP(C30,'تقرير المصروفات حسب الشهر'!$C$135:$AD$244,28,FALSE),0)</f>
        <v>0</v>
      </c>
      <c r="F30" s="362">
        <f>IFERROR(VLOOKUP(C30,'تقرير المصروفات حسب الشهر'!$C$261:$AD$368,28,FALSE),0)</f>
        <v>0</v>
      </c>
      <c r="G30" s="362">
        <f>IFERROR(VLOOKUP(C30,'تقرير المصروفات حسب الشهر'!$C$387:$AD$495,28,FALSE),0)</f>
        <v>0</v>
      </c>
      <c r="H30" s="362">
        <f>IFERROR(VLOOKUP(C30,'تقرير المصروفات حسب الشهر'!$C$512:$AD$620,28,FALSE),0)</f>
        <v>0</v>
      </c>
      <c r="I30" s="362">
        <f>IFERROR(VLOOKUP(C30,'تقرير المصروفات حسب الشهر'!$C$637:$AD$746,28,FALSE),0)</f>
        <v>0</v>
      </c>
      <c r="J30" s="362">
        <f>IFERROR(VLOOKUP(C30,'تقرير المصروفات حسب الشهر'!$C$763:$AD$872,28,FALSE),0)</f>
        <v>0</v>
      </c>
      <c r="K30" s="362">
        <f>IFERROR(VLOOKUP(C30,'تقرير المصروفات حسب الشهر'!$C$890:$AD$999,28,FALSE),0)</f>
        <v>0</v>
      </c>
      <c r="L30" s="362">
        <f>IFERROR(VLOOKUP(C30,'تقرير المصروفات حسب الشهر'!$C$1016:$AD$1126,28,FALSE),0)</f>
        <v>0</v>
      </c>
      <c r="M30" s="376">
        <f>IFERROR(VLOOKUP(C30,'تقرير المصروفات حسب الشهر'!$C$1143:$AD$1254,28,FALSE),0)</f>
        <v>0</v>
      </c>
      <c r="N30" s="362"/>
      <c r="O30" s="362"/>
      <c r="P30" s="364">
        <f t="shared" si="5"/>
        <v>0</v>
      </c>
    </row>
    <row r="31" spans="2:16" ht="18" customHeight="1">
      <c r="B31" s="124"/>
      <c r="C31" s="150" t="s">
        <v>46</v>
      </c>
      <c r="D31" s="362">
        <f>IFERROR(VLOOKUP(C31,'تقرير المصروفات حسب الشهر'!$C$10:$AD$119,28,FALSE),0)</f>
        <v>0</v>
      </c>
      <c r="E31" s="362">
        <f>IFERROR(VLOOKUP(C31,'تقرير المصروفات حسب الشهر'!$C$135:$AD$244,28,FALSE),0)</f>
        <v>0</v>
      </c>
      <c r="F31" s="362">
        <f>IFERROR(VLOOKUP(C31,'تقرير المصروفات حسب الشهر'!$C$261:$AD$368,28,FALSE),0)</f>
        <v>0</v>
      </c>
      <c r="G31" s="362">
        <f>IFERROR(VLOOKUP(C31,'تقرير المصروفات حسب الشهر'!$C$387:$AD$495,28,FALSE),0)</f>
        <v>0</v>
      </c>
      <c r="H31" s="362">
        <f>IFERROR(VLOOKUP(C31,'تقرير المصروفات حسب الشهر'!$C$512:$AD$620,28,FALSE),0)</f>
        <v>0</v>
      </c>
      <c r="I31" s="362">
        <f>IFERROR(VLOOKUP(C31,'تقرير المصروفات حسب الشهر'!$C$637:$AD$746,28,FALSE),0)</f>
        <v>0</v>
      </c>
      <c r="J31" s="362">
        <f>IFERROR(VLOOKUP(C31,'تقرير المصروفات حسب الشهر'!$C$763:$AD$872,28,FALSE),0)</f>
        <v>0</v>
      </c>
      <c r="K31" s="362">
        <f>IFERROR(VLOOKUP(C31,'تقرير المصروفات حسب الشهر'!$C$890:$AD$999,28,FALSE),0)</f>
        <v>0</v>
      </c>
      <c r="L31" s="362">
        <f>IFERROR(VLOOKUP(C31,'تقرير المصروفات حسب الشهر'!$C$1016:$AD$1126,28,FALSE),0)</f>
        <v>0</v>
      </c>
      <c r="M31" s="376">
        <f>IFERROR(VLOOKUP(C31,'تقرير المصروفات حسب الشهر'!$C$1143:$AD$1254,28,FALSE),0)</f>
        <v>0</v>
      </c>
      <c r="N31" s="362"/>
      <c r="O31" s="362"/>
      <c r="P31" s="364">
        <f t="shared" si="5"/>
        <v>0</v>
      </c>
    </row>
    <row r="32" spans="2:16" ht="18" customHeight="1">
      <c r="B32" s="124"/>
      <c r="C32" s="150" t="s">
        <v>47</v>
      </c>
      <c r="D32" s="362">
        <f>IFERROR(VLOOKUP(C32,'تقرير المصروفات حسب الشهر'!$C$10:$AD$119,28,FALSE),0)</f>
        <v>0</v>
      </c>
      <c r="E32" s="362">
        <f>IFERROR(VLOOKUP(C32,'تقرير المصروفات حسب الشهر'!$C$135:$AD$244,28,FALSE),0)</f>
        <v>0</v>
      </c>
      <c r="F32" s="362">
        <f>IFERROR(VLOOKUP(C32,'تقرير المصروفات حسب الشهر'!$C$261:$AD$368,28,FALSE),0)</f>
        <v>0</v>
      </c>
      <c r="G32" s="362">
        <f>IFERROR(VLOOKUP(C32,'تقرير المصروفات حسب الشهر'!$C$387:$AD$495,28,FALSE),0)</f>
        <v>0</v>
      </c>
      <c r="H32" s="362">
        <f>IFERROR(VLOOKUP(C32,'تقرير المصروفات حسب الشهر'!$C$512:$AD$620,28,FALSE),0)</f>
        <v>0</v>
      </c>
      <c r="I32" s="362">
        <f>IFERROR(VLOOKUP(C32,'تقرير المصروفات حسب الشهر'!$C$637:$AD$746,28,FALSE),0)</f>
        <v>0</v>
      </c>
      <c r="J32" s="362">
        <f>IFERROR(VLOOKUP(C32,'تقرير المصروفات حسب الشهر'!$C$763:$AD$872,28,FALSE),0)</f>
        <v>0</v>
      </c>
      <c r="K32" s="362">
        <f>IFERROR(VLOOKUP(C32,'تقرير المصروفات حسب الشهر'!$C$890:$AD$999,28,FALSE),0)</f>
        <v>0</v>
      </c>
      <c r="L32" s="362">
        <f>IFERROR(VLOOKUP(C32,'تقرير المصروفات حسب الشهر'!$C$1016:$AD$1126,28,FALSE),0)</f>
        <v>0</v>
      </c>
      <c r="M32" s="376">
        <f>IFERROR(VLOOKUP(C32,'تقرير المصروفات حسب الشهر'!$C$1143:$AD$1254,28,FALSE),0)</f>
        <v>0</v>
      </c>
      <c r="N32" s="362"/>
      <c r="O32" s="362"/>
      <c r="P32" s="364">
        <f t="shared" si="5"/>
        <v>0</v>
      </c>
    </row>
    <row r="33" spans="2:16" ht="18" customHeight="1">
      <c r="B33" s="124"/>
      <c r="C33" s="150" t="s">
        <v>48</v>
      </c>
      <c r="D33" s="362">
        <f>IFERROR(VLOOKUP(C33,'تقرير المصروفات حسب الشهر'!$C$10:$AD$119,28,FALSE),0)</f>
        <v>0</v>
      </c>
      <c r="E33" s="362">
        <f>IFERROR(VLOOKUP(C33,'تقرير المصروفات حسب الشهر'!$C$135:$AD$244,28,FALSE),0)</f>
        <v>0</v>
      </c>
      <c r="F33" s="362">
        <f>IFERROR(VLOOKUP(C33,'تقرير المصروفات حسب الشهر'!$C$261:$AD$368,28,FALSE),0)</f>
        <v>0</v>
      </c>
      <c r="G33" s="362">
        <f>IFERROR(VLOOKUP(C33,'تقرير المصروفات حسب الشهر'!$C$387:$AD$495,28,FALSE),0)</f>
        <v>0</v>
      </c>
      <c r="H33" s="362">
        <f>IFERROR(VLOOKUP(C33,'تقرير المصروفات حسب الشهر'!$C$512:$AD$620,28,FALSE),0)</f>
        <v>0</v>
      </c>
      <c r="I33" s="362">
        <f>IFERROR(VLOOKUP(C33,'تقرير المصروفات حسب الشهر'!$C$637:$AD$746,28,FALSE),0)</f>
        <v>0</v>
      </c>
      <c r="J33" s="362">
        <f>IFERROR(VLOOKUP(C33,'تقرير المصروفات حسب الشهر'!$C$763:$AD$872,28,FALSE),0)</f>
        <v>0</v>
      </c>
      <c r="K33" s="362">
        <f>IFERROR(VLOOKUP(C33,'تقرير المصروفات حسب الشهر'!$C$890:$AD$999,28,FALSE),0)</f>
        <v>0</v>
      </c>
      <c r="L33" s="362">
        <f>IFERROR(VLOOKUP(C33,'تقرير المصروفات حسب الشهر'!$C$1016:$AD$1126,28,FALSE),0)</f>
        <v>0</v>
      </c>
      <c r="M33" s="376">
        <f>IFERROR(VLOOKUP(C33,'تقرير المصروفات حسب الشهر'!$C$1143:$AD$1254,28,FALSE),0)</f>
        <v>0</v>
      </c>
      <c r="N33" s="362"/>
      <c r="O33" s="362"/>
      <c r="P33" s="364">
        <f t="shared" si="5"/>
        <v>0</v>
      </c>
    </row>
    <row r="34" spans="2:16" ht="18" customHeight="1">
      <c r="B34" s="124"/>
      <c r="C34" s="150" t="s">
        <v>49</v>
      </c>
      <c r="D34" s="362">
        <f>IFERROR(VLOOKUP(C34,'تقرير المصروفات حسب الشهر'!$C$10:$AD$119,28,FALSE),0)</f>
        <v>0</v>
      </c>
      <c r="E34" s="362">
        <f>IFERROR(VLOOKUP(C34,'تقرير المصروفات حسب الشهر'!$C$135:$AD$244,28,FALSE),0)</f>
        <v>0</v>
      </c>
      <c r="F34" s="362">
        <f>IFERROR(VLOOKUP(C34,'تقرير المصروفات حسب الشهر'!$C$261:$AD$368,28,FALSE),0)</f>
        <v>0</v>
      </c>
      <c r="G34" s="362">
        <f>IFERROR(VLOOKUP(C34,'تقرير المصروفات حسب الشهر'!$C$387:$AD$495,28,FALSE),0)</f>
        <v>0</v>
      </c>
      <c r="H34" s="362">
        <f>IFERROR(VLOOKUP(C34,'تقرير المصروفات حسب الشهر'!$C$512:$AD$620,28,FALSE),0)</f>
        <v>0</v>
      </c>
      <c r="I34" s="362">
        <f>IFERROR(VLOOKUP(C34,'تقرير المصروفات حسب الشهر'!$C$637:$AD$746,28,FALSE),0)</f>
        <v>0</v>
      </c>
      <c r="J34" s="362">
        <f>IFERROR(VLOOKUP(C34,'تقرير المصروفات حسب الشهر'!$C$763:$AD$872,28,FALSE),0)</f>
        <v>0</v>
      </c>
      <c r="K34" s="362">
        <f>IFERROR(VLOOKUP(C34,'تقرير المصروفات حسب الشهر'!$C$890:$AD$999,28,FALSE),0)</f>
        <v>0</v>
      </c>
      <c r="L34" s="362">
        <f>IFERROR(VLOOKUP(C34,'تقرير المصروفات حسب الشهر'!$C$1016:$AD$1126,28,FALSE),0)</f>
        <v>0</v>
      </c>
      <c r="M34" s="376">
        <f>IFERROR(VLOOKUP(C34,'تقرير المصروفات حسب الشهر'!$C$1143:$AD$1254,28,FALSE),0)</f>
        <v>0</v>
      </c>
      <c r="N34" s="362"/>
      <c r="O34" s="362"/>
      <c r="P34" s="364">
        <f t="shared" si="5"/>
        <v>0</v>
      </c>
    </row>
    <row r="35" spans="2:16" ht="18" customHeight="1">
      <c r="B35" s="124"/>
      <c r="C35" s="150" t="s">
        <v>158</v>
      </c>
      <c r="D35" s="362">
        <f>IFERROR(VLOOKUP(C35,'تقرير المصروفات حسب الشهر'!$C$10:$AD$119,28,FALSE),0)</f>
        <v>0</v>
      </c>
      <c r="E35" s="362">
        <f>IFERROR(VLOOKUP(C35,'تقرير المصروفات حسب الشهر'!$C$135:$AD$244,28,FALSE),0)</f>
        <v>0</v>
      </c>
      <c r="F35" s="362">
        <f>IFERROR(VLOOKUP(C35,'تقرير المصروفات حسب الشهر'!$C$261:$AD$368,28,FALSE),0)</f>
        <v>0</v>
      </c>
      <c r="G35" s="362">
        <f>IFERROR(VLOOKUP(C35,'تقرير المصروفات حسب الشهر'!$C$387:$AD$495,28,FALSE),0)</f>
        <v>0</v>
      </c>
      <c r="H35" s="362">
        <f>IFERROR(VLOOKUP(C35,'تقرير المصروفات حسب الشهر'!$C$512:$AD$620,28,FALSE),0)</f>
        <v>0</v>
      </c>
      <c r="I35" s="362">
        <f>IFERROR(VLOOKUP(C35,'تقرير المصروفات حسب الشهر'!$C$637:$AD$746,28,FALSE),0)</f>
        <v>0</v>
      </c>
      <c r="J35" s="362">
        <f>IFERROR(VLOOKUP(C35,'تقرير المصروفات حسب الشهر'!$C$763:$AD$872,28,FALSE),0)</f>
        <v>0</v>
      </c>
      <c r="K35" s="362">
        <f>IFERROR(VLOOKUP(C35,'تقرير المصروفات حسب الشهر'!$C$890:$AD$999,28,FALSE),0)</f>
        <v>0</v>
      </c>
      <c r="L35" s="362">
        <f>IFERROR(VLOOKUP(C35,'تقرير المصروفات حسب الشهر'!$C$1016:$AD$1126,28,FALSE),0)</f>
        <v>0</v>
      </c>
      <c r="M35" s="376">
        <f>IFERROR(VLOOKUP(C35,'تقرير المصروفات حسب الشهر'!$C$1143:$AD$1254,28,FALSE),0)</f>
        <v>0</v>
      </c>
      <c r="N35" s="362"/>
      <c r="O35" s="362"/>
      <c r="P35" s="364">
        <f t="shared" si="5"/>
        <v>0</v>
      </c>
    </row>
    <row r="36" spans="2:16" ht="18" customHeight="1">
      <c r="B36" s="124"/>
      <c r="C36" s="150" t="s">
        <v>50</v>
      </c>
      <c r="D36" s="362">
        <f>IFERROR(VLOOKUP(C36,'تقرير المصروفات حسب الشهر'!$C$10:$AD$119,28,FALSE),0)</f>
        <v>0</v>
      </c>
      <c r="E36" s="362">
        <f>IFERROR(VLOOKUP(C36,'تقرير المصروفات حسب الشهر'!$C$135:$AD$244,28,FALSE),0)</f>
        <v>0</v>
      </c>
      <c r="F36" s="362">
        <f>IFERROR(VLOOKUP(C36,'تقرير المصروفات حسب الشهر'!$C$261:$AD$368,28,FALSE),0)</f>
        <v>0</v>
      </c>
      <c r="G36" s="362">
        <f>IFERROR(VLOOKUP(C36,'تقرير المصروفات حسب الشهر'!$C$387:$AD$495,28,FALSE),0)</f>
        <v>0</v>
      </c>
      <c r="H36" s="362">
        <f>IFERROR(VLOOKUP(C36,'تقرير المصروفات حسب الشهر'!$C$512:$AD$620,28,FALSE),0)</f>
        <v>0</v>
      </c>
      <c r="I36" s="362">
        <f>IFERROR(VLOOKUP(C36,'تقرير المصروفات حسب الشهر'!$C$637:$AD$746,28,FALSE),0)</f>
        <v>0</v>
      </c>
      <c r="J36" s="362">
        <f>IFERROR(VLOOKUP(C36,'تقرير المصروفات حسب الشهر'!$C$763:$AD$872,28,FALSE),0)</f>
        <v>0</v>
      </c>
      <c r="K36" s="362">
        <f>IFERROR(VLOOKUP(C36,'تقرير المصروفات حسب الشهر'!$C$890:$AD$999,28,FALSE),0)</f>
        <v>0</v>
      </c>
      <c r="L36" s="362">
        <f>IFERROR(VLOOKUP(C36,'تقرير المصروفات حسب الشهر'!$C$1016:$AD$1126,28,FALSE),0)</f>
        <v>0</v>
      </c>
      <c r="M36" s="376">
        <f>IFERROR(VLOOKUP(C36,'تقرير المصروفات حسب الشهر'!$C$1143:$AD$1254,28,FALSE),0)</f>
        <v>0</v>
      </c>
      <c r="N36" s="362"/>
      <c r="O36" s="362"/>
      <c r="P36" s="364">
        <f t="shared" si="5"/>
        <v>0</v>
      </c>
    </row>
    <row r="37" spans="2:16" ht="18" customHeight="1">
      <c r="B37" s="124"/>
      <c r="C37" s="150" t="s">
        <v>51</v>
      </c>
      <c r="D37" s="362">
        <f>IFERROR(VLOOKUP(C37,'تقرير المصروفات حسب الشهر'!$C$10:$AD$119,28,FALSE),0)</f>
        <v>0</v>
      </c>
      <c r="E37" s="362">
        <f>IFERROR(VLOOKUP(C37,'تقرير المصروفات حسب الشهر'!$C$135:$AD$244,28,FALSE),0)</f>
        <v>0</v>
      </c>
      <c r="F37" s="362">
        <f>IFERROR(VLOOKUP(C37,'تقرير المصروفات حسب الشهر'!$C$261:$AD$368,28,FALSE),0)</f>
        <v>0</v>
      </c>
      <c r="G37" s="362">
        <f>IFERROR(VLOOKUP(C37,'تقرير المصروفات حسب الشهر'!$C$387:$AD$495,28,FALSE),0)</f>
        <v>0</v>
      </c>
      <c r="H37" s="362">
        <f>IFERROR(VLOOKUP(C37,'تقرير المصروفات حسب الشهر'!$C$512:$AD$620,28,FALSE),0)</f>
        <v>0</v>
      </c>
      <c r="I37" s="362">
        <f>IFERROR(VLOOKUP(C37,'تقرير المصروفات حسب الشهر'!$C$637:$AD$746,28,FALSE),0)</f>
        <v>0</v>
      </c>
      <c r="J37" s="362">
        <f>IFERROR(VLOOKUP(C37,'تقرير المصروفات حسب الشهر'!$C$763:$AD$872,28,FALSE),0)</f>
        <v>0</v>
      </c>
      <c r="K37" s="362">
        <f>IFERROR(VLOOKUP(C37,'تقرير المصروفات حسب الشهر'!$C$890:$AD$999,28,FALSE),0)</f>
        <v>0</v>
      </c>
      <c r="L37" s="362">
        <f>IFERROR(VLOOKUP(C37,'تقرير المصروفات حسب الشهر'!$C$1016:$AD$1126,28,FALSE),0)</f>
        <v>0</v>
      </c>
      <c r="M37" s="376">
        <f>IFERROR(VLOOKUP(C37,'تقرير المصروفات حسب الشهر'!$C$1143:$AD$1254,28,FALSE),0)</f>
        <v>0</v>
      </c>
      <c r="N37" s="362"/>
      <c r="O37" s="362"/>
      <c r="P37" s="364">
        <f t="shared" si="5"/>
        <v>0</v>
      </c>
    </row>
    <row r="38" spans="2:16" ht="18" customHeight="1">
      <c r="B38" s="124"/>
      <c r="C38" s="150" t="s">
        <v>52</v>
      </c>
      <c r="D38" s="362">
        <f>IFERROR(VLOOKUP(C38,'تقرير المصروفات حسب الشهر'!$C$10:$AD$119,28,FALSE),0)</f>
        <v>0</v>
      </c>
      <c r="E38" s="362">
        <f>IFERROR(VLOOKUP(C38,'تقرير المصروفات حسب الشهر'!$C$135:$AD$244,28,FALSE),0)</f>
        <v>0</v>
      </c>
      <c r="F38" s="362">
        <f>IFERROR(VLOOKUP(C38,'تقرير المصروفات حسب الشهر'!$C$261:$AD$368,28,FALSE),0)</f>
        <v>0</v>
      </c>
      <c r="G38" s="362">
        <f>IFERROR(VLOOKUP(C38,'تقرير المصروفات حسب الشهر'!$C$387:$AD$495,28,FALSE),0)</f>
        <v>0</v>
      </c>
      <c r="H38" s="362">
        <f>IFERROR(VLOOKUP(C38,'تقرير المصروفات حسب الشهر'!$C$512:$AD$620,28,FALSE),0)</f>
        <v>0</v>
      </c>
      <c r="I38" s="362">
        <f>IFERROR(VLOOKUP(C38,'تقرير المصروفات حسب الشهر'!$C$637:$AD$746,28,FALSE),0)</f>
        <v>0</v>
      </c>
      <c r="J38" s="362">
        <f>IFERROR(VLOOKUP(C38,'تقرير المصروفات حسب الشهر'!$C$763:$AD$872,28,FALSE),0)</f>
        <v>0</v>
      </c>
      <c r="K38" s="362">
        <f>IFERROR(VLOOKUP(C38,'تقرير المصروفات حسب الشهر'!$C$890:$AD$999,28,FALSE),0)</f>
        <v>0</v>
      </c>
      <c r="L38" s="362">
        <f>IFERROR(VLOOKUP(C38,'تقرير المصروفات حسب الشهر'!$C$1016:$AD$1126,28,FALSE),0)</f>
        <v>0</v>
      </c>
      <c r="M38" s="376">
        <f>IFERROR(VLOOKUP(C38,'تقرير المصروفات حسب الشهر'!$C$1143:$AD$1254,28,FALSE),0)</f>
        <v>0</v>
      </c>
      <c r="N38" s="362"/>
      <c r="O38" s="362"/>
      <c r="P38" s="364">
        <f t="shared" si="5"/>
        <v>0</v>
      </c>
    </row>
    <row r="39" spans="2:16" ht="18" customHeight="1">
      <c r="B39" s="124"/>
      <c r="C39" s="150" t="s">
        <v>174</v>
      </c>
      <c r="D39" s="362">
        <f>IFERROR(VLOOKUP(C39,'تقرير المصروفات حسب الشهر'!$C$10:$AD$119,28,FALSE),0)</f>
        <v>0</v>
      </c>
      <c r="E39" s="362">
        <f>IFERROR(VLOOKUP(C39,'تقرير المصروفات حسب الشهر'!$C$135:$AD$244,28,FALSE),0)</f>
        <v>0</v>
      </c>
      <c r="F39" s="362">
        <f>IFERROR(VLOOKUP(C39,'تقرير المصروفات حسب الشهر'!$C$261:$AD$368,28,FALSE),0)</f>
        <v>0</v>
      </c>
      <c r="G39" s="362">
        <f>IFERROR(VLOOKUP(C39,'تقرير المصروفات حسب الشهر'!$C$387:$AD$495,28,FALSE),0)</f>
        <v>0</v>
      </c>
      <c r="H39" s="362">
        <f>IFERROR(VLOOKUP(C39,'تقرير المصروفات حسب الشهر'!$C$512:$AD$620,28,FALSE),0)</f>
        <v>0</v>
      </c>
      <c r="I39" s="362">
        <f>IFERROR(VLOOKUP(C39,'تقرير المصروفات حسب الشهر'!$C$637:$AD$746,28,FALSE),0)</f>
        <v>0</v>
      </c>
      <c r="J39" s="362">
        <f>IFERROR(VLOOKUP(C39,'تقرير المصروفات حسب الشهر'!$C$763:$AD$872,28,FALSE),0)</f>
        <v>0</v>
      </c>
      <c r="K39" s="362">
        <f>IFERROR(VLOOKUP(C39,'تقرير المصروفات حسب الشهر'!$C$890:$AD$999,28,FALSE),0)</f>
        <v>0</v>
      </c>
      <c r="L39" s="362">
        <f>IFERROR(VLOOKUP(C39,'تقرير المصروفات حسب الشهر'!$C$1016:$AD$1126,28,FALSE),0)</f>
        <v>0</v>
      </c>
      <c r="M39" s="376">
        <f>IFERROR(VLOOKUP(C39,'تقرير المصروفات حسب الشهر'!$C$1143:$AD$1254,28,FALSE),0)</f>
        <v>0</v>
      </c>
      <c r="N39" s="362"/>
      <c r="O39" s="362"/>
      <c r="P39" s="364">
        <f t="shared" si="5"/>
        <v>0</v>
      </c>
    </row>
    <row r="40" spans="2:16" ht="18" customHeight="1">
      <c r="B40" s="124"/>
      <c r="C40" s="150" t="s">
        <v>53</v>
      </c>
      <c r="D40" s="362">
        <f>IFERROR(VLOOKUP(C40,'تقرير المصروفات حسب الشهر'!$C$10:$AD$119,28,FALSE),0)</f>
        <v>0</v>
      </c>
      <c r="E40" s="362">
        <f>IFERROR(VLOOKUP(C40,'تقرير المصروفات حسب الشهر'!$C$135:$AD$244,28,FALSE),0)</f>
        <v>0</v>
      </c>
      <c r="F40" s="362">
        <f>IFERROR(VLOOKUP(C40,'تقرير المصروفات حسب الشهر'!$C$261:$AD$368,28,FALSE),0)</f>
        <v>0</v>
      </c>
      <c r="G40" s="362">
        <f>IFERROR(VLOOKUP(C40,'تقرير المصروفات حسب الشهر'!$C$387:$AD$495,28,FALSE),0)</f>
        <v>0</v>
      </c>
      <c r="H40" s="362">
        <f>IFERROR(VLOOKUP(C40,'تقرير المصروفات حسب الشهر'!$C$512:$AD$620,28,FALSE),0)</f>
        <v>0</v>
      </c>
      <c r="I40" s="362">
        <f>IFERROR(VLOOKUP(C40,'تقرير المصروفات حسب الشهر'!$C$637:$AD$746,28,FALSE),0)</f>
        <v>0</v>
      </c>
      <c r="J40" s="362">
        <f>IFERROR(VLOOKUP(C40,'تقرير المصروفات حسب الشهر'!$C$763:$AD$872,28,FALSE),0)</f>
        <v>0</v>
      </c>
      <c r="K40" s="362">
        <f>IFERROR(VLOOKUP(C40,'تقرير المصروفات حسب الشهر'!$C$890:$AD$999,28,FALSE),0)</f>
        <v>0</v>
      </c>
      <c r="L40" s="362">
        <f>IFERROR(VLOOKUP(C40,'تقرير المصروفات حسب الشهر'!$C$1016:$AD$1126,28,FALSE),0)</f>
        <v>0</v>
      </c>
      <c r="M40" s="376">
        <f>IFERROR(VLOOKUP(C40,'تقرير المصروفات حسب الشهر'!$C$1143:$AD$1254,28,FALSE),0)</f>
        <v>0</v>
      </c>
      <c r="N40" s="384"/>
      <c r="O40" s="384"/>
      <c r="P40" s="364">
        <f t="shared" si="5"/>
        <v>0</v>
      </c>
    </row>
    <row r="41" spans="2:16" ht="18" customHeight="1">
      <c r="B41" s="124"/>
      <c r="C41" s="150" t="s">
        <v>191</v>
      </c>
      <c r="D41" s="362">
        <f>IFERROR(VLOOKUP(C41,'تقرير المصروفات حسب الشهر'!$C$10:$AD$119,28,FALSE),0)</f>
        <v>0</v>
      </c>
      <c r="E41" s="362">
        <f>IFERROR(VLOOKUP(C41,'تقرير المصروفات حسب الشهر'!$C$135:$AD$244,28,FALSE),0)</f>
        <v>0</v>
      </c>
      <c r="F41" s="362">
        <f>IFERROR(VLOOKUP(C41,'تقرير المصروفات حسب الشهر'!$C$261:$AD$368,28,FALSE),0)</f>
        <v>0</v>
      </c>
      <c r="G41" s="362">
        <f>IFERROR(VLOOKUP(C41,'تقرير المصروفات حسب الشهر'!$C$387:$AD$495,28,FALSE),0)</f>
        <v>0</v>
      </c>
      <c r="H41" s="362">
        <f>IFERROR(VLOOKUP(C41,'تقرير المصروفات حسب الشهر'!$C$512:$AD$620,28,FALSE),0)</f>
        <v>0</v>
      </c>
      <c r="I41" s="362">
        <f>IFERROR(VLOOKUP(C41,'تقرير المصروفات حسب الشهر'!$C$637:$AD$746,28,FALSE),0)</f>
        <v>0</v>
      </c>
      <c r="J41" s="362">
        <f>IFERROR(VLOOKUP(C41,'تقرير المصروفات حسب الشهر'!$C$763:$AD$872,28,FALSE),0)</f>
        <v>0</v>
      </c>
      <c r="K41" s="362">
        <f>IFERROR(VLOOKUP(C41,'تقرير المصروفات حسب الشهر'!$C$890:$AD$999,28,FALSE),0)</f>
        <v>0</v>
      </c>
      <c r="L41" s="362">
        <f>IFERROR(VLOOKUP(C41,'تقرير المصروفات حسب الشهر'!$C$1016:$AD$1126,28,FALSE),0)</f>
        <v>0</v>
      </c>
      <c r="M41" s="376">
        <f>IFERROR(VLOOKUP(C41,'تقرير المصروفات حسب الشهر'!$C$1143:$AD$1254,28,FALSE),0)</f>
        <v>0</v>
      </c>
      <c r="N41" s="384"/>
      <c r="O41" s="384"/>
      <c r="P41" s="364">
        <f t="shared" si="5"/>
        <v>0</v>
      </c>
    </row>
    <row r="42" spans="2:16" ht="18" customHeight="1">
      <c r="B42" s="124"/>
      <c r="C42" s="150" t="s">
        <v>29</v>
      </c>
      <c r="D42" s="362">
        <f>IFERROR(VLOOKUP(C42,'تقرير المصروفات حسب الشهر'!$C$10:$AD$119,28,FALSE),0)</f>
        <v>0</v>
      </c>
      <c r="E42" s="362">
        <f>IFERROR(VLOOKUP(C42,'تقرير المصروفات حسب الشهر'!$C$135:$AD$244,28,FALSE),0)</f>
        <v>0</v>
      </c>
      <c r="F42" s="362">
        <f>IFERROR(VLOOKUP(C42,'تقرير المصروفات حسب الشهر'!$C$261:$AD$368,28,FALSE),0)</f>
        <v>0</v>
      </c>
      <c r="G42" s="362">
        <f>IFERROR(VLOOKUP(C42,'تقرير المصروفات حسب الشهر'!$C$387:$AD$495,28,FALSE),0)</f>
        <v>0</v>
      </c>
      <c r="H42" s="362">
        <f>IFERROR(VLOOKUP(C42,'تقرير المصروفات حسب الشهر'!$C$512:$AD$620,28,FALSE),0)</f>
        <v>0</v>
      </c>
      <c r="I42" s="362">
        <f>IFERROR(VLOOKUP(C42,'تقرير المصروفات حسب الشهر'!$C$637:$AD$746,28,FALSE),0)</f>
        <v>0</v>
      </c>
      <c r="J42" s="362">
        <f>IFERROR(VLOOKUP(C42,'تقرير المصروفات حسب الشهر'!$C$763:$AD$872,28,FALSE),0)</f>
        <v>0</v>
      </c>
      <c r="K42" s="362">
        <f>IFERROR(VLOOKUP(C42,'تقرير المصروفات حسب الشهر'!$C$890:$AD$999,28,FALSE),0)</f>
        <v>0</v>
      </c>
      <c r="L42" s="362">
        <f>IFERROR(VLOOKUP(C42,'تقرير المصروفات حسب الشهر'!$C$1016:$AD$1126,28,FALSE),0)</f>
        <v>0</v>
      </c>
      <c r="M42" s="376">
        <f>IFERROR(VLOOKUP(C42,'تقرير المصروفات حسب الشهر'!$C$1143:$AD$1254,28,FALSE),0)</f>
        <v>0</v>
      </c>
      <c r="N42" s="384"/>
      <c r="O42" s="384"/>
      <c r="P42" s="364">
        <f t="shared" si="5"/>
        <v>0</v>
      </c>
    </row>
    <row r="43" spans="2:16" ht="18" customHeight="1">
      <c r="B43" s="124"/>
      <c r="C43" s="150" t="s">
        <v>54</v>
      </c>
      <c r="D43" s="362">
        <f>IFERROR(VLOOKUP(C43,'تقرير المصروفات حسب الشهر'!$C$10:$AD$119,28,FALSE),0)</f>
        <v>0</v>
      </c>
      <c r="E43" s="362">
        <f>IFERROR(VLOOKUP(C43,'تقرير المصروفات حسب الشهر'!$C$135:$AD$244,28,FALSE),0)</f>
        <v>0</v>
      </c>
      <c r="F43" s="362">
        <f>IFERROR(VLOOKUP(C43,'تقرير المصروفات حسب الشهر'!$C$261:$AD$368,28,FALSE),0)</f>
        <v>0</v>
      </c>
      <c r="G43" s="362">
        <f>IFERROR(VLOOKUP(C43,'تقرير المصروفات حسب الشهر'!$C$387:$AD$495,28,FALSE),0)</f>
        <v>0</v>
      </c>
      <c r="H43" s="362">
        <f>IFERROR(VLOOKUP(C43,'تقرير المصروفات حسب الشهر'!$C$512:$AD$620,28,FALSE),0)</f>
        <v>0</v>
      </c>
      <c r="I43" s="362">
        <f>IFERROR(VLOOKUP(C43,'تقرير المصروفات حسب الشهر'!$C$637:$AD$746,28,FALSE),0)</f>
        <v>0</v>
      </c>
      <c r="J43" s="362">
        <f>IFERROR(VLOOKUP(C43,'تقرير المصروفات حسب الشهر'!$C$763:$AD$872,28,FALSE),0)</f>
        <v>0</v>
      </c>
      <c r="K43" s="362">
        <f>IFERROR(VLOOKUP(C43,'تقرير المصروفات حسب الشهر'!$C$890:$AD$999,28,FALSE),0)</f>
        <v>0</v>
      </c>
      <c r="L43" s="362">
        <f>IFERROR(VLOOKUP(C43,'تقرير المصروفات حسب الشهر'!$C$1016:$AD$1126,28,FALSE),0)</f>
        <v>0</v>
      </c>
      <c r="M43" s="376">
        <f>IFERROR(VLOOKUP(C43,'تقرير المصروفات حسب الشهر'!$C$1143:$AD$1254,28,FALSE),0)</f>
        <v>0</v>
      </c>
      <c r="N43" s="384"/>
      <c r="O43" s="384"/>
      <c r="P43" s="364">
        <f t="shared" si="5"/>
        <v>0</v>
      </c>
    </row>
    <row r="44" spans="2:16" ht="18" customHeight="1">
      <c r="B44" s="124"/>
      <c r="C44" s="150" t="s">
        <v>31</v>
      </c>
      <c r="D44" s="362">
        <f>IFERROR(VLOOKUP(C44,'تقرير المصروفات حسب الشهر'!$C$10:$AD$119,28,FALSE),0)</f>
        <v>0</v>
      </c>
      <c r="E44" s="362">
        <f>IFERROR(VLOOKUP(C44,'تقرير المصروفات حسب الشهر'!$C$135:$AD$244,28,FALSE),0)</f>
        <v>0</v>
      </c>
      <c r="F44" s="362">
        <f>IFERROR(VLOOKUP(C44,'تقرير المصروفات حسب الشهر'!$C$261:$AD$368,28,FALSE),0)</f>
        <v>0</v>
      </c>
      <c r="G44" s="362">
        <f>IFERROR(VLOOKUP(C44,'تقرير المصروفات حسب الشهر'!$C$387:$AD$495,28,FALSE),0)</f>
        <v>0</v>
      </c>
      <c r="H44" s="362">
        <f>IFERROR(VLOOKUP(C44,'تقرير المصروفات حسب الشهر'!$C$512:$AD$620,28,FALSE),0)</f>
        <v>0</v>
      </c>
      <c r="I44" s="362">
        <f>IFERROR(VLOOKUP(C44,'تقرير المصروفات حسب الشهر'!$C$637:$AD$746,28,FALSE),0)</f>
        <v>0</v>
      </c>
      <c r="J44" s="362">
        <f>IFERROR(VLOOKUP(C44,'تقرير المصروفات حسب الشهر'!$C$763:$AD$872,28,FALSE),0)</f>
        <v>0</v>
      </c>
      <c r="K44" s="362">
        <f>IFERROR(VLOOKUP(C44,'تقرير المصروفات حسب الشهر'!$C$890:$AD$999,28,FALSE),0)</f>
        <v>0</v>
      </c>
      <c r="L44" s="362">
        <f>IFERROR(VLOOKUP(C44,'تقرير المصروفات حسب الشهر'!$C$1016:$AD$1126,28,FALSE),0)</f>
        <v>0</v>
      </c>
      <c r="M44" s="376">
        <f>IFERROR(VLOOKUP(C44,'تقرير المصروفات حسب الشهر'!$C$1143:$AD$1254,28,FALSE),0)</f>
        <v>0</v>
      </c>
      <c r="N44" s="384"/>
      <c r="O44" s="384"/>
      <c r="P44" s="364">
        <f t="shared" si="5"/>
        <v>0</v>
      </c>
    </row>
    <row r="45" spans="2:16" ht="18" customHeight="1">
      <c r="B45" s="124"/>
      <c r="C45" s="150" t="s">
        <v>55</v>
      </c>
      <c r="D45" s="362">
        <f>IFERROR(VLOOKUP(C45,'تقرير المصروفات حسب الشهر'!$C$10:$AD$119,28,FALSE),0)</f>
        <v>0</v>
      </c>
      <c r="E45" s="362">
        <f>IFERROR(VLOOKUP(C45,'تقرير المصروفات حسب الشهر'!$C$135:$AD$244,28,FALSE),0)</f>
        <v>0</v>
      </c>
      <c r="F45" s="362">
        <f>IFERROR(VLOOKUP(C45,'تقرير المصروفات حسب الشهر'!$C$261:$AD$368,28,FALSE),0)</f>
        <v>0</v>
      </c>
      <c r="G45" s="362">
        <f>IFERROR(VLOOKUP(C45,'تقرير المصروفات حسب الشهر'!$C$387:$AD$495,28,FALSE),0)</f>
        <v>0</v>
      </c>
      <c r="H45" s="362">
        <f>IFERROR(VLOOKUP(C45,'تقرير المصروفات حسب الشهر'!$C$512:$AD$620,28,FALSE),0)</f>
        <v>0</v>
      </c>
      <c r="I45" s="362">
        <f>IFERROR(VLOOKUP(C45,'تقرير المصروفات حسب الشهر'!$C$637:$AD$746,28,FALSE),0)</f>
        <v>0</v>
      </c>
      <c r="J45" s="362">
        <f>IFERROR(VLOOKUP(C45,'تقرير المصروفات حسب الشهر'!$C$763:$AD$872,28,FALSE),0)</f>
        <v>0</v>
      </c>
      <c r="K45" s="362">
        <f>IFERROR(VLOOKUP(C45,'تقرير المصروفات حسب الشهر'!$C$890:$AD$999,28,FALSE),0)</f>
        <v>0</v>
      </c>
      <c r="L45" s="362">
        <f>IFERROR(VLOOKUP(C45,'تقرير المصروفات حسب الشهر'!$C$1016:$AD$1126,28,FALSE),0)</f>
        <v>0</v>
      </c>
      <c r="M45" s="376">
        <f>IFERROR(VLOOKUP(C45,'تقرير المصروفات حسب الشهر'!$C$1143:$AD$1254,28,FALSE),0)</f>
        <v>0</v>
      </c>
      <c r="N45" s="384"/>
      <c r="O45" s="384"/>
      <c r="P45" s="364">
        <f t="shared" si="5"/>
        <v>0</v>
      </c>
    </row>
    <row r="46" spans="2:16" ht="18" customHeight="1">
      <c r="B46" s="124"/>
      <c r="C46" s="150" t="s">
        <v>56</v>
      </c>
      <c r="D46" s="362">
        <f>IFERROR(VLOOKUP(C46,'تقرير المصروفات حسب الشهر'!$C$10:$AD$119,28,FALSE),0)</f>
        <v>0</v>
      </c>
      <c r="E46" s="362">
        <f>IFERROR(VLOOKUP(C46,'تقرير المصروفات حسب الشهر'!$C$135:$AD$244,28,FALSE),0)</f>
        <v>0</v>
      </c>
      <c r="F46" s="362">
        <f>IFERROR(VLOOKUP(C46,'تقرير المصروفات حسب الشهر'!$C$261:$AD$368,28,FALSE),0)</f>
        <v>0</v>
      </c>
      <c r="G46" s="362">
        <f>IFERROR(VLOOKUP(C46,'تقرير المصروفات حسب الشهر'!$C$387:$AD$495,28,FALSE),0)</f>
        <v>0</v>
      </c>
      <c r="H46" s="362">
        <f>IFERROR(VLOOKUP(C46,'تقرير المصروفات حسب الشهر'!$C$512:$AD$620,28,FALSE),0)</f>
        <v>0</v>
      </c>
      <c r="I46" s="362">
        <f>IFERROR(VLOOKUP(C46,'تقرير المصروفات حسب الشهر'!$C$637:$AD$746,28,FALSE),0)</f>
        <v>0</v>
      </c>
      <c r="J46" s="362">
        <f>IFERROR(VLOOKUP(C46,'تقرير المصروفات حسب الشهر'!$C$763:$AD$872,28,FALSE),0)</f>
        <v>0</v>
      </c>
      <c r="K46" s="362">
        <f>IFERROR(VLOOKUP(C46,'تقرير المصروفات حسب الشهر'!$C$890:$AD$999,28,FALSE),0)</f>
        <v>0</v>
      </c>
      <c r="L46" s="362">
        <f>IFERROR(VLOOKUP(C46,'تقرير المصروفات حسب الشهر'!$C$1016:$AD$1126,28,FALSE),0)</f>
        <v>0</v>
      </c>
      <c r="M46" s="376">
        <f>IFERROR(VLOOKUP(C46,'تقرير المصروفات حسب الشهر'!$C$1143:$AD$1254,28,FALSE),0)</f>
        <v>0</v>
      </c>
      <c r="N46" s="384"/>
      <c r="O46" s="384"/>
      <c r="P46" s="364">
        <f t="shared" si="5"/>
        <v>0</v>
      </c>
    </row>
    <row r="47" spans="2:16" ht="18" customHeight="1">
      <c r="B47" s="124"/>
      <c r="C47" s="150" t="s">
        <v>57</v>
      </c>
      <c r="D47" s="362">
        <f>IFERROR(VLOOKUP(C47,'تقرير المصروفات حسب الشهر'!$C$10:$AD$119,28,FALSE),0)</f>
        <v>0</v>
      </c>
      <c r="E47" s="362">
        <f>IFERROR(VLOOKUP(C47,'تقرير المصروفات حسب الشهر'!$C$135:$AD$244,28,FALSE),0)</f>
        <v>0</v>
      </c>
      <c r="F47" s="362">
        <f>IFERROR(VLOOKUP(C47,'تقرير المصروفات حسب الشهر'!$C$261:$AD$368,28,FALSE),0)</f>
        <v>0</v>
      </c>
      <c r="G47" s="362">
        <f>IFERROR(VLOOKUP(C47,'تقرير المصروفات حسب الشهر'!$C$387:$AD$495,28,FALSE),0)</f>
        <v>0</v>
      </c>
      <c r="H47" s="362">
        <f>IFERROR(VLOOKUP(C47,'تقرير المصروفات حسب الشهر'!$C$512:$AD$620,28,FALSE),0)</f>
        <v>0</v>
      </c>
      <c r="I47" s="362">
        <f>IFERROR(VLOOKUP(C47,'تقرير المصروفات حسب الشهر'!$C$637:$AD$746,28,FALSE),0)</f>
        <v>0</v>
      </c>
      <c r="J47" s="362">
        <f>IFERROR(VLOOKUP(C47,'تقرير المصروفات حسب الشهر'!$C$763:$AD$872,28,FALSE),0)</f>
        <v>0</v>
      </c>
      <c r="K47" s="362">
        <f>IFERROR(VLOOKUP(C47,'تقرير المصروفات حسب الشهر'!$C$890:$AD$999,28,FALSE),0)</f>
        <v>0</v>
      </c>
      <c r="L47" s="362">
        <f>IFERROR(VLOOKUP(C47,'تقرير المصروفات حسب الشهر'!$C$1016:$AD$1126,28,FALSE),0)</f>
        <v>0</v>
      </c>
      <c r="M47" s="376">
        <f>IFERROR(VLOOKUP(C47,'تقرير المصروفات حسب الشهر'!$C$1143:$AD$1254,28,FALSE),0)</f>
        <v>0</v>
      </c>
      <c r="N47" s="384"/>
      <c r="O47" s="384"/>
      <c r="P47" s="364">
        <f t="shared" si="5"/>
        <v>0</v>
      </c>
    </row>
    <row r="48" spans="2:16" ht="18" customHeight="1">
      <c r="B48" s="124"/>
      <c r="C48" s="150" t="s">
        <v>58</v>
      </c>
      <c r="D48" s="362">
        <f>IFERROR(VLOOKUP(C48,'تقرير المصروفات حسب الشهر'!$C$10:$AD$119,28,FALSE),0)</f>
        <v>0</v>
      </c>
      <c r="E48" s="362">
        <f>IFERROR(VLOOKUP(C48,'تقرير المصروفات حسب الشهر'!$C$135:$AD$244,28,FALSE),0)</f>
        <v>0</v>
      </c>
      <c r="F48" s="362">
        <f>IFERROR(VLOOKUP(C48,'تقرير المصروفات حسب الشهر'!$C$261:$AD$368,28,FALSE),0)</f>
        <v>0</v>
      </c>
      <c r="G48" s="362">
        <f>IFERROR(VLOOKUP(C48,'تقرير المصروفات حسب الشهر'!$C$387:$AD$495,28,FALSE),0)</f>
        <v>0</v>
      </c>
      <c r="H48" s="362">
        <f>IFERROR(VLOOKUP(C48,'تقرير المصروفات حسب الشهر'!$C$512:$AD$620,28,FALSE),0)</f>
        <v>0</v>
      </c>
      <c r="I48" s="362">
        <f>IFERROR(VLOOKUP(C48,'تقرير المصروفات حسب الشهر'!$C$637:$AD$746,28,FALSE),0)</f>
        <v>0</v>
      </c>
      <c r="J48" s="362">
        <f>IFERROR(VLOOKUP(C48,'تقرير المصروفات حسب الشهر'!$C$763:$AD$872,28,FALSE),0)</f>
        <v>0</v>
      </c>
      <c r="K48" s="362">
        <f>IFERROR(VLOOKUP(C48,'تقرير المصروفات حسب الشهر'!$C$890:$AD$999,28,FALSE),0)</f>
        <v>0</v>
      </c>
      <c r="L48" s="362">
        <f>IFERROR(VLOOKUP(C48,'تقرير المصروفات حسب الشهر'!$C$1016:$AD$1126,28,FALSE),0)</f>
        <v>0</v>
      </c>
      <c r="M48" s="376">
        <f>IFERROR(VLOOKUP(C48,'تقرير المصروفات حسب الشهر'!$C$1143:$AD$1254,28,FALSE),0)</f>
        <v>0</v>
      </c>
      <c r="N48" s="384"/>
      <c r="O48" s="384"/>
      <c r="P48" s="364">
        <f t="shared" si="5"/>
        <v>0</v>
      </c>
    </row>
    <row r="49" spans="2:16" ht="18" customHeight="1">
      <c r="B49" s="124"/>
      <c r="C49" s="150" t="s">
        <v>59</v>
      </c>
      <c r="D49" s="362">
        <f>IFERROR(VLOOKUP(C49,'تقرير المصروفات حسب الشهر'!$C$10:$AD$119,28,FALSE),0)</f>
        <v>0</v>
      </c>
      <c r="E49" s="362">
        <f>IFERROR(VLOOKUP(C49,'تقرير المصروفات حسب الشهر'!$C$135:$AD$244,28,FALSE),0)</f>
        <v>0</v>
      </c>
      <c r="F49" s="362">
        <f>IFERROR(VLOOKUP(C49,'تقرير المصروفات حسب الشهر'!$C$261:$AD$368,28,FALSE),0)</f>
        <v>0</v>
      </c>
      <c r="G49" s="362">
        <f>IFERROR(VLOOKUP(C49,'تقرير المصروفات حسب الشهر'!$C$387:$AD$495,28,FALSE),0)</f>
        <v>0</v>
      </c>
      <c r="H49" s="362">
        <f>IFERROR(VLOOKUP(C49,'تقرير المصروفات حسب الشهر'!$C$512:$AD$620,28,FALSE),0)</f>
        <v>0</v>
      </c>
      <c r="I49" s="362">
        <f>IFERROR(VLOOKUP(C49,'تقرير المصروفات حسب الشهر'!$C$637:$AD$746,28,FALSE),0)</f>
        <v>0</v>
      </c>
      <c r="J49" s="362">
        <f>IFERROR(VLOOKUP(C49,'تقرير المصروفات حسب الشهر'!$C$763:$AD$872,28,FALSE),0)</f>
        <v>0</v>
      </c>
      <c r="K49" s="362">
        <f>IFERROR(VLOOKUP(C49,'تقرير المصروفات حسب الشهر'!$C$890:$AD$999,28,FALSE),0)</f>
        <v>0</v>
      </c>
      <c r="L49" s="362">
        <f>IFERROR(VLOOKUP(C49,'تقرير المصروفات حسب الشهر'!$C$1016:$AD$1126,28,FALSE),0)</f>
        <v>0</v>
      </c>
      <c r="M49" s="376">
        <f>IFERROR(VLOOKUP(C49,'تقرير المصروفات حسب الشهر'!$C$1143:$AD$1254,28,FALSE),0)</f>
        <v>0</v>
      </c>
      <c r="N49" s="384"/>
      <c r="O49" s="384"/>
      <c r="P49" s="364">
        <f t="shared" si="5"/>
        <v>0</v>
      </c>
    </row>
    <row r="50" spans="2:16" ht="18" customHeight="1">
      <c r="B50" s="124"/>
      <c r="C50" s="150" t="s">
        <v>60</v>
      </c>
      <c r="D50" s="362">
        <f>IFERROR(VLOOKUP(C50,'تقرير المصروفات حسب الشهر'!$C$10:$AD$119,28,FALSE),0)</f>
        <v>0</v>
      </c>
      <c r="E50" s="362">
        <f>IFERROR(VLOOKUP(C50,'تقرير المصروفات حسب الشهر'!$C$135:$AD$244,28,FALSE),0)</f>
        <v>0</v>
      </c>
      <c r="F50" s="362">
        <f>IFERROR(VLOOKUP(C50,'تقرير المصروفات حسب الشهر'!$C$261:$AD$368,28,FALSE),0)</f>
        <v>0</v>
      </c>
      <c r="G50" s="362">
        <f>IFERROR(VLOOKUP(C50,'تقرير المصروفات حسب الشهر'!$C$387:$AD$495,28,FALSE),0)</f>
        <v>0</v>
      </c>
      <c r="H50" s="362">
        <f>IFERROR(VLOOKUP(C50,'تقرير المصروفات حسب الشهر'!$C$512:$AD$620,28,FALSE),0)</f>
        <v>0</v>
      </c>
      <c r="I50" s="362">
        <f>IFERROR(VLOOKUP(C50,'تقرير المصروفات حسب الشهر'!$C$637:$AD$746,28,FALSE),0)</f>
        <v>0</v>
      </c>
      <c r="J50" s="362">
        <f>IFERROR(VLOOKUP(C50,'تقرير المصروفات حسب الشهر'!$C$763:$AD$872,28,FALSE),0)</f>
        <v>0</v>
      </c>
      <c r="K50" s="362">
        <f>IFERROR(VLOOKUP(C50,'تقرير المصروفات حسب الشهر'!$C$890:$AD$999,28,FALSE),0)</f>
        <v>0</v>
      </c>
      <c r="L50" s="362">
        <f>IFERROR(VLOOKUP(C50,'تقرير المصروفات حسب الشهر'!$C$1016:$AD$1126,28,FALSE),0)</f>
        <v>0</v>
      </c>
      <c r="M50" s="376">
        <f>IFERROR(VLOOKUP(C50,'تقرير المصروفات حسب الشهر'!$C$1143:$AD$1254,28,FALSE),0)</f>
        <v>0</v>
      </c>
      <c r="N50" s="384"/>
      <c r="O50" s="384"/>
      <c r="P50" s="364">
        <f t="shared" si="5"/>
        <v>0</v>
      </c>
    </row>
    <row r="51" spans="2:16" ht="18" customHeight="1">
      <c r="B51" s="124"/>
      <c r="C51" s="150" t="s">
        <v>61</v>
      </c>
      <c r="D51" s="362">
        <f>IFERROR(VLOOKUP(C51,'تقرير المصروفات حسب الشهر'!$C$10:$AD$119,28,FALSE),0)</f>
        <v>0</v>
      </c>
      <c r="E51" s="362">
        <f>IFERROR(VLOOKUP(C51,'تقرير المصروفات حسب الشهر'!$C$135:$AD$244,28,FALSE),0)</f>
        <v>0</v>
      </c>
      <c r="F51" s="362">
        <f>IFERROR(VLOOKUP(C51,'تقرير المصروفات حسب الشهر'!$C$261:$AD$368,28,FALSE),0)</f>
        <v>0</v>
      </c>
      <c r="G51" s="362">
        <f>IFERROR(VLOOKUP(C51,'تقرير المصروفات حسب الشهر'!$C$387:$AD$495,28,FALSE),0)</f>
        <v>0</v>
      </c>
      <c r="H51" s="362">
        <f>IFERROR(VLOOKUP(C51,'تقرير المصروفات حسب الشهر'!$C$512:$AD$620,28,FALSE),0)</f>
        <v>0</v>
      </c>
      <c r="I51" s="362">
        <f>IFERROR(VLOOKUP(C51,'تقرير المصروفات حسب الشهر'!$C$637:$AD$746,28,FALSE),0)</f>
        <v>0</v>
      </c>
      <c r="J51" s="362">
        <f>IFERROR(VLOOKUP(C51,'تقرير المصروفات حسب الشهر'!$C$763:$AD$872,28,FALSE),0)</f>
        <v>0</v>
      </c>
      <c r="K51" s="362">
        <f>IFERROR(VLOOKUP(C51,'تقرير المصروفات حسب الشهر'!$C$890:$AD$999,28,FALSE),0)</f>
        <v>0</v>
      </c>
      <c r="L51" s="362">
        <f>IFERROR(VLOOKUP(C51,'تقرير المصروفات حسب الشهر'!$C$1016:$AD$1126,28,FALSE),0)</f>
        <v>0</v>
      </c>
      <c r="M51" s="376">
        <f>IFERROR(VLOOKUP(C51,'تقرير المصروفات حسب الشهر'!$C$1143:$AD$1254,28,FALSE),0)</f>
        <v>0</v>
      </c>
      <c r="N51" s="384"/>
      <c r="O51" s="384"/>
      <c r="P51" s="364">
        <f t="shared" si="5"/>
        <v>0</v>
      </c>
    </row>
    <row r="52" spans="2:16" ht="18" customHeight="1">
      <c r="B52" s="124"/>
      <c r="C52" s="150" t="s">
        <v>62</v>
      </c>
      <c r="D52" s="362">
        <f>IFERROR(VLOOKUP(C52,'تقرير المصروفات حسب الشهر'!$C$10:$AD$119,28,FALSE),0)</f>
        <v>0</v>
      </c>
      <c r="E52" s="362">
        <f>IFERROR(VLOOKUP(C52,'تقرير المصروفات حسب الشهر'!$C$135:$AD$244,28,FALSE),0)</f>
        <v>0</v>
      </c>
      <c r="F52" s="362">
        <f>IFERROR(VLOOKUP(C52,'تقرير المصروفات حسب الشهر'!$C$261:$AD$368,28,FALSE),0)</f>
        <v>0</v>
      </c>
      <c r="G52" s="362">
        <f>IFERROR(VLOOKUP(C52,'تقرير المصروفات حسب الشهر'!$C$387:$AD$495,28,FALSE),0)</f>
        <v>0</v>
      </c>
      <c r="H52" s="362">
        <f>IFERROR(VLOOKUP(C52,'تقرير المصروفات حسب الشهر'!$C$512:$AD$620,28,FALSE),0)</f>
        <v>0</v>
      </c>
      <c r="I52" s="362">
        <f>IFERROR(VLOOKUP(C52,'تقرير المصروفات حسب الشهر'!$C$637:$AD$746,28,FALSE),0)</f>
        <v>0</v>
      </c>
      <c r="J52" s="362">
        <f>IFERROR(VLOOKUP(C52,'تقرير المصروفات حسب الشهر'!$C$763:$AD$872,28,FALSE),0)</f>
        <v>0</v>
      </c>
      <c r="K52" s="362">
        <f>IFERROR(VLOOKUP(C52,'تقرير المصروفات حسب الشهر'!$C$890:$AD$999,28,FALSE),0)</f>
        <v>0</v>
      </c>
      <c r="L52" s="362">
        <f>IFERROR(VLOOKUP(C52,'تقرير المصروفات حسب الشهر'!$C$1016:$AD$1126,28,FALSE),0)</f>
        <v>0</v>
      </c>
      <c r="M52" s="376">
        <f>IFERROR(VLOOKUP(C52,'تقرير المصروفات حسب الشهر'!$C$1143:$AD$1254,28,FALSE),0)</f>
        <v>0</v>
      </c>
      <c r="N52" s="384"/>
      <c r="O52" s="384"/>
      <c r="P52" s="364">
        <f t="shared" si="5"/>
        <v>0</v>
      </c>
    </row>
    <row r="53" spans="2:16" ht="18" customHeight="1">
      <c r="B53" s="124"/>
      <c r="C53" s="150" t="s">
        <v>63</v>
      </c>
      <c r="D53" s="362">
        <f>IFERROR(VLOOKUP(C53,'تقرير المصروفات حسب الشهر'!$C$10:$AD$119,28,FALSE),0)</f>
        <v>0</v>
      </c>
      <c r="E53" s="362">
        <f>IFERROR(VLOOKUP(C53,'تقرير المصروفات حسب الشهر'!$C$135:$AD$244,28,FALSE),0)</f>
        <v>0</v>
      </c>
      <c r="F53" s="362">
        <f>IFERROR(VLOOKUP(C53,'تقرير المصروفات حسب الشهر'!$C$261:$AD$368,28,FALSE),0)</f>
        <v>0</v>
      </c>
      <c r="G53" s="362">
        <f>IFERROR(VLOOKUP(C53,'تقرير المصروفات حسب الشهر'!$C$387:$AD$495,28,FALSE),0)</f>
        <v>0</v>
      </c>
      <c r="H53" s="362">
        <f>IFERROR(VLOOKUP(C53,'تقرير المصروفات حسب الشهر'!$C$512:$AD$620,28,FALSE),0)</f>
        <v>0</v>
      </c>
      <c r="I53" s="362">
        <f>IFERROR(VLOOKUP(C53,'تقرير المصروفات حسب الشهر'!$C$637:$AD$746,28,FALSE),0)</f>
        <v>0</v>
      </c>
      <c r="J53" s="362">
        <f>IFERROR(VLOOKUP(C53,'تقرير المصروفات حسب الشهر'!$C$763:$AD$872,28,FALSE),0)</f>
        <v>0</v>
      </c>
      <c r="K53" s="362">
        <f>IFERROR(VLOOKUP(C53,'تقرير المصروفات حسب الشهر'!$C$890:$AD$999,28,FALSE),0)</f>
        <v>0</v>
      </c>
      <c r="L53" s="362">
        <f>IFERROR(VLOOKUP(C53,'تقرير المصروفات حسب الشهر'!$C$1016:$AD$1126,28,FALSE),0)</f>
        <v>0</v>
      </c>
      <c r="M53" s="376">
        <f>IFERROR(VLOOKUP(C53,'تقرير المصروفات حسب الشهر'!$C$1143:$AD$1254,28,FALSE),0)</f>
        <v>0</v>
      </c>
      <c r="N53" s="384"/>
      <c r="O53" s="384"/>
      <c r="P53" s="364">
        <f t="shared" si="5"/>
        <v>0</v>
      </c>
    </row>
    <row r="54" spans="2:16" ht="18" customHeight="1">
      <c r="B54" s="124"/>
      <c r="C54" s="150" t="s">
        <v>64</v>
      </c>
      <c r="D54" s="362">
        <f>IFERROR(VLOOKUP(C54,'تقرير المصروفات حسب الشهر'!$C$10:$AD$119,28,FALSE),0)</f>
        <v>0</v>
      </c>
      <c r="E54" s="362">
        <f>IFERROR(VLOOKUP(C54,'تقرير المصروفات حسب الشهر'!$C$135:$AD$244,28,FALSE),0)</f>
        <v>0</v>
      </c>
      <c r="F54" s="362">
        <f>IFERROR(VLOOKUP(C54,'تقرير المصروفات حسب الشهر'!$C$261:$AD$368,28,FALSE),0)</f>
        <v>0</v>
      </c>
      <c r="G54" s="362">
        <f>IFERROR(VLOOKUP(C54,'تقرير المصروفات حسب الشهر'!$C$387:$AD$495,28,FALSE),0)</f>
        <v>0</v>
      </c>
      <c r="H54" s="362">
        <f>IFERROR(VLOOKUP(C54,'تقرير المصروفات حسب الشهر'!$C$512:$AD$620,28,FALSE),0)</f>
        <v>0</v>
      </c>
      <c r="I54" s="362">
        <f>IFERROR(VLOOKUP(C54,'تقرير المصروفات حسب الشهر'!$C$637:$AD$746,28,FALSE),0)</f>
        <v>0</v>
      </c>
      <c r="J54" s="362">
        <f>IFERROR(VLOOKUP(C54,'تقرير المصروفات حسب الشهر'!$C$763:$AD$872,28,FALSE),0)</f>
        <v>0</v>
      </c>
      <c r="K54" s="362">
        <f>IFERROR(VLOOKUP(C54,'تقرير المصروفات حسب الشهر'!$C$890:$AD$999,28,FALSE),0)</f>
        <v>0</v>
      </c>
      <c r="L54" s="362">
        <f>IFERROR(VLOOKUP(C54,'تقرير المصروفات حسب الشهر'!$C$1016:$AD$1126,28,FALSE),0)</f>
        <v>0</v>
      </c>
      <c r="M54" s="376">
        <f>IFERROR(VLOOKUP(C54,'تقرير المصروفات حسب الشهر'!$C$1143:$AD$1254,28,FALSE),0)</f>
        <v>0</v>
      </c>
      <c r="N54" s="384"/>
      <c r="O54" s="384"/>
      <c r="P54" s="364">
        <f t="shared" si="5"/>
        <v>0</v>
      </c>
    </row>
    <row r="55" spans="2:16" ht="18" customHeight="1">
      <c r="B55" s="124"/>
      <c r="C55" s="150" t="s">
        <v>28</v>
      </c>
      <c r="D55" s="362">
        <f>IFERROR(VLOOKUP(C55,'تقرير المصروفات حسب الشهر'!$C$10:$AD$119,28,FALSE),0)</f>
        <v>0</v>
      </c>
      <c r="E55" s="362">
        <f>IFERROR(VLOOKUP(C55,'تقرير المصروفات حسب الشهر'!$C$135:$AD$244,28,FALSE),0)</f>
        <v>0</v>
      </c>
      <c r="F55" s="362">
        <f>IFERROR(VLOOKUP(C55,'تقرير المصروفات حسب الشهر'!$C$261:$AD$368,28,FALSE),0)</f>
        <v>0</v>
      </c>
      <c r="G55" s="362">
        <f>IFERROR(VLOOKUP(C55,'تقرير المصروفات حسب الشهر'!$C$387:$AD$495,28,FALSE),0)</f>
        <v>0</v>
      </c>
      <c r="H55" s="362">
        <f>IFERROR(VLOOKUP(C55,'تقرير المصروفات حسب الشهر'!$C$512:$AD$620,28,FALSE),0)</f>
        <v>0</v>
      </c>
      <c r="I55" s="362">
        <f>IFERROR(VLOOKUP(C55,'تقرير المصروفات حسب الشهر'!$C$637:$AD$746,28,FALSE),0)</f>
        <v>0</v>
      </c>
      <c r="J55" s="362">
        <f>IFERROR(VLOOKUP(C55,'تقرير المصروفات حسب الشهر'!$C$763:$AD$872,28,FALSE),0)</f>
        <v>0</v>
      </c>
      <c r="K55" s="362">
        <f>IFERROR(VLOOKUP(C55,'تقرير المصروفات حسب الشهر'!$C$890:$AD$999,28,FALSE),0)</f>
        <v>0</v>
      </c>
      <c r="L55" s="362">
        <f>IFERROR(VLOOKUP(C55,'تقرير المصروفات حسب الشهر'!$C$1016:$AD$1126,28,FALSE),0)</f>
        <v>0</v>
      </c>
      <c r="M55" s="376">
        <f>IFERROR(VLOOKUP(C55,'تقرير المصروفات حسب الشهر'!$C$1143:$AD$1254,28,FALSE),0)</f>
        <v>0</v>
      </c>
      <c r="N55" s="384"/>
      <c r="O55" s="384"/>
      <c r="P55" s="364">
        <f t="shared" si="5"/>
        <v>0</v>
      </c>
    </row>
    <row r="56" spans="2:16" ht="18" customHeight="1">
      <c r="B56" s="124"/>
      <c r="C56" s="150" t="s">
        <v>157</v>
      </c>
      <c r="D56" s="362">
        <f>IFERROR(VLOOKUP(C56,'تقرير المصروفات حسب الشهر'!$C$10:$AD$119,28,FALSE),0)</f>
        <v>0</v>
      </c>
      <c r="E56" s="362">
        <f>IFERROR(VLOOKUP(C56,'تقرير المصروفات حسب الشهر'!$C$135:$AD$244,28,FALSE),0)</f>
        <v>0</v>
      </c>
      <c r="F56" s="362">
        <f>IFERROR(VLOOKUP(C56,'تقرير المصروفات حسب الشهر'!$C$261:$AD$368,28,FALSE),0)</f>
        <v>0</v>
      </c>
      <c r="G56" s="362">
        <f>IFERROR(VLOOKUP(C56,'تقرير المصروفات حسب الشهر'!$C$387:$AD$495,28,FALSE),0)</f>
        <v>0</v>
      </c>
      <c r="H56" s="362">
        <f>IFERROR(VLOOKUP(C56,'تقرير المصروفات حسب الشهر'!$C$512:$AD$620,28,FALSE),0)</f>
        <v>0</v>
      </c>
      <c r="I56" s="362">
        <f>IFERROR(VLOOKUP(C56,'تقرير المصروفات حسب الشهر'!$C$637:$AD$746,28,FALSE),0)</f>
        <v>0</v>
      </c>
      <c r="J56" s="362">
        <f>IFERROR(VLOOKUP(C56,'تقرير المصروفات حسب الشهر'!$C$763:$AD$872,28,FALSE),0)</f>
        <v>0</v>
      </c>
      <c r="K56" s="362">
        <f>IFERROR(VLOOKUP(C56,'تقرير المصروفات حسب الشهر'!$C$890:$AD$999,28,FALSE),0)</f>
        <v>0</v>
      </c>
      <c r="L56" s="362">
        <f>IFERROR(VLOOKUP(C56,'تقرير المصروفات حسب الشهر'!$C$1016:$AD$1126,28,FALSE),0)</f>
        <v>0</v>
      </c>
      <c r="M56" s="376">
        <f>IFERROR(VLOOKUP(C56,'تقرير المصروفات حسب الشهر'!$C$1143:$AD$1254,28,FALSE),0)</f>
        <v>0</v>
      </c>
      <c r="N56" s="384"/>
      <c r="O56" s="384"/>
      <c r="P56" s="364">
        <f t="shared" si="5"/>
        <v>0</v>
      </c>
    </row>
    <row r="57" spans="2:16" ht="18" customHeight="1">
      <c r="B57" s="124"/>
      <c r="C57" s="150" t="s">
        <v>65</v>
      </c>
      <c r="D57" s="362">
        <f>IFERROR(VLOOKUP(C57,'تقرير المصروفات حسب الشهر'!$C$10:$AD$119,28,FALSE),0)</f>
        <v>0</v>
      </c>
      <c r="E57" s="362">
        <f>IFERROR(VLOOKUP(C57,'تقرير المصروفات حسب الشهر'!$C$135:$AD$244,28,FALSE),0)</f>
        <v>0</v>
      </c>
      <c r="F57" s="362">
        <f>IFERROR(VLOOKUP(C57,'تقرير المصروفات حسب الشهر'!$C$261:$AD$368,28,FALSE),0)</f>
        <v>0</v>
      </c>
      <c r="G57" s="362">
        <f>IFERROR(VLOOKUP(C57,'تقرير المصروفات حسب الشهر'!$C$387:$AD$495,28,FALSE),0)</f>
        <v>0</v>
      </c>
      <c r="H57" s="362">
        <f>IFERROR(VLOOKUP(C57,'تقرير المصروفات حسب الشهر'!$C$512:$AD$620,28,FALSE),0)</f>
        <v>0</v>
      </c>
      <c r="I57" s="362">
        <f>IFERROR(VLOOKUP(C57,'تقرير المصروفات حسب الشهر'!$C$637:$AD$746,28,FALSE),0)</f>
        <v>0</v>
      </c>
      <c r="J57" s="362">
        <f>IFERROR(VLOOKUP(C57,'تقرير المصروفات حسب الشهر'!$C$763:$AD$872,28,FALSE),0)</f>
        <v>0</v>
      </c>
      <c r="K57" s="362">
        <f>IFERROR(VLOOKUP(C57,'تقرير المصروفات حسب الشهر'!$C$890:$AD$999,28,FALSE),0)</f>
        <v>0</v>
      </c>
      <c r="L57" s="362">
        <f>IFERROR(VLOOKUP(C57,'تقرير المصروفات حسب الشهر'!$C$1016:$AD$1126,28,FALSE),0)</f>
        <v>0</v>
      </c>
      <c r="M57" s="376">
        <f>IFERROR(VLOOKUP(C57,'تقرير المصروفات حسب الشهر'!$C$1143:$AD$1254,28,FALSE),0)</f>
        <v>0</v>
      </c>
      <c r="N57" s="384"/>
      <c r="O57" s="384"/>
      <c r="P57" s="364">
        <f t="shared" si="5"/>
        <v>0</v>
      </c>
    </row>
    <row r="58" spans="2:16" ht="18" customHeight="1">
      <c r="B58" s="124"/>
      <c r="C58" s="150" t="s">
        <v>66</v>
      </c>
      <c r="D58" s="362">
        <f>IFERROR(VLOOKUP(C58,'تقرير المصروفات حسب الشهر'!$C$10:$AD$119,28,FALSE),0)</f>
        <v>0</v>
      </c>
      <c r="E58" s="362">
        <f>IFERROR(VLOOKUP(C58,'تقرير المصروفات حسب الشهر'!$C$135:$AD$244,28,FALSE),0)</f>
        <v>0</v>
      </c>
      <c r="F58" s="362">
        <f>IFERROR(VLOOKUP(C58,'تقرير المصروفات حسب الشهر'!$C$261:$AD$368,28,FALSE),0)</f>
        <v>0</v>
      </c>
      <c r="G58" s="362">
        <f>IFERROR(VLOOKUP(C58,'تقرير المصروفات حسب الشهر'!$C$387:$AD$495,28,FALSE),0)</f>
        <v>0</v>
      </c>
      <c r="H58" s="362">
        <f>IFERROR(VLOOKUP(C58,'تقرير المصروفات حسب الشهر'!$C$512:$AD$620,28,FALSE),0)</f>
        <v>0</v>
      </c>
      <c r="I58" s="362">
        <f>IFERROR(VLOOKUP(C58,'تقرير المصروفات حسب الشهر'!$C$637:$AD$746,28,FALSE),0)</f>
        <v>0</v>
      </c>
      <c r="J58" s="362">
        <f>IFERROR(VLOOKUP(C58,'تقرير المصروفات حسب الشهر'!$C$763:$AD$872,28,FALSE),0)</f>
        <v>0</v>
      </c>
      <c r="K58" s="362">
        <f>IFERROR(VLOOKUP(C58,'تقرير المصروفات حسب الشهر'!$C$890:$AD$999,28,FALSE),0)</f>
        <v>0</v>
      </c>
      <c r="L58" s="362">
        <f>IFERROR(VLOOKUP(C58,'تقرير المصروفات حسب الشهر'!$C$1016:$AD$1126,28,FALSE),0)</f>
        <v>0</v>
      </c>
      <c r="M58" s="376">
        <f>IFERROR(VLOOKUP(C58,'تقرير المصروفات حسب الشهر'!$C$1143:$AD$1254,28,FALSE),0)</f>
        <v>0</v>
      </c>
      <c r="N58" s="384"/>
      <c r="O58" s="384"/>
      <c r="P58" s="364">
        <f t="shared" si="5"/>
        <v>0</v>
      </c>
    </row>
    <row r="59" spans="2:16" ht="18" customHeight="1">
      <c r="B59" s="124"/>
      <c r="C59" s="150" t="s">
        <v>30</v>
      </c>
      <c r="D59" s="362">
        <f>IFERROR(VLOOKUP(C59,'تقرير المصروفات حسب الشهر'!$C$10:$AD$119,28,FALSE),0)</f>
        <v>0</v>
      </c>
      <c r="E59" s="362">
        <f>IFERROR(VLOOKUP(C59,'تقرير المصروفات حسب الشهر'!$C$135:$AD$244,28,FALSE),0)</f>
        <v>0</v>
      </c>
      <c r="F59" s="362">
        <f>IFERROR(VLOOKUP(C59,'تقرير المصروفات حسب الشهر'!$C$261:$AD$368,28,FALSE),0)</f>
        <v>0</v>
      </c>
      <c r="G59" s="362">
        <f>IFERROR(VLOOKUP(C59,'تقرير المصروفات حسب الشهر'!$C$387:$AD$495,28,FALSE),0)</f>
        <v>0</v>
      </c>
      <c r="H59" s="362">
        <f>IFERROR(VLOOKUP(C59,'تقرير المصروفات حسب الشهر'!$C$512:$AD$620,28,FALSE),0)</f>
        <v>0</v>
      </c>
      <c r="I59" s="362">
        <f>IFERROR(VLOOKUP(C59,'تقرير المصروفات حسب الشهر'!$C$637:$AD$746,28,FALSE),0)</f>
        <v>0</v>
      </c>
      <c r="J59" s="362">
        <f>IFERROR(VLOOKUP(C59,'تقرير المصروفات حسب الشهر'!$C$763:$AD$872,28,FALSE),0)</f>
        <v>0</v>
      </c>
      <c r="K59" s="362">
        <f>IFERROR(VLOOKUP(C59,'تقرير المصروفات حسب الشهر'!$C$890:$AD$999,28,FALSE),0)</f>
        <v>0</v>
      </c>
      <c r="L59" s="362">
        <f>IFERROR(VLOOKUP(C59,'تقرير المصروفات حسب الشهر'!$C$1016:$AD$1126,28,FALSE),0)</f>
        <v>0</v>
      </c>
      <c r="M59" s="376">
        <f>IFERROR(VLOOKUP(C59,'تقرير المصروفات حسب الشهر'!$C$1143:$AD$1254,28,FALSE),0)</f>
        <v>0</v>
      </c>
      <c r="N59" s="384"/>
      <c r="O59" s="384"/>
      <c r="P59" s="364">
        <f t="shared" si="5"/>
        <v>0</v>
      </c>
    </row>
    <row r="60" spans="2:16" ht="18" customHeight="1">
      <c r="B60" s="124"/>
      <c r="C60" s="150" t="s">
        <v>67</v>
      </c>
      <c r="D60" s="362">
        <f>IFERROR(VLOOKUP(C60,'تقرير المصروفات حسب الشهر'!$C$10:$AD$119,28,FALSE),0)</f>
        <v>0</v>
      </c>
      <c r="E60" s="362">
        <f>IFERROR(VLOOKUP(C60,'تقرير المصروفات حسب الشهر'!$C$135:$AD$244,28,FALSE),0)</f>
        <v>0</v>
      </c>
      <c r="F60" s="362">
        <f>IFERROR(VLOOKUP(C60,'تقرير المصروفات حسب الشهر'!$C$261:$AD$368,28,FALSE),0)</f>
        <v>0</v>
      </c>
      <c r="G60" s="362">
        <f>IFERROR(VLOOKUP(C60,'تقرير المصروفات حسب الشهر'!$C$387:$AD$495,28,FALSE),0)</f>
        <v>0</v>
      </c>
      <c r="H60" s="362">
        <f>IFERROR(VLOOKUP(C60,'تقرير المصروفات حسب الشهر'!$C$512:$AD$620,28,FALSE),0)</f>
        <v>0</v>
      </c>
      <c r="I60" s="362">
        <f>IFERROR(VLOOKUP(C60,'تقرير المصروفات حسب الشهر'!$C$637:$AD$746,28,FALSE),0)</f>
        <v>0</v>
      </c>
      <c r="J60" s="362">
        <f>IFERROR(VLOOKUP(C60,'تقرير المصروفات حسب الشهر'!$C$763:$AD$872,28,FALSE),0)</f>
        <v>0</v>
      </c>
      <c r="K60" s="362">
        <f>IFERROR(VLOOKUP(C60,'تقرير المصروفات حسب الشهر'!$C$890:$AD$999,28,FALSE),0)</f>
        <v>0</v>
      </c>
      <c r="L60" s="362">
        <f>IFERROR(VLOOKUP(C60,'تقرير المصروفات حسب الشهر'!$C$1016:$AD$1126,28,FALSE),0)</f>
        <v>0</v>
      </c>
      <c r="M60" s="376">
        <f>IFERROR(VLOOKUP(C60,'تقرير المصروفات حسب الشهر'!$C$1143:$AD$1254,28,FALSE),0)</f>
        <v>0</v>
      </c>
      <c r="N60" s="384"/>
      <c r="O60" s="384"/>
      <c r="P60" s="364">
        <f t="shared" si="5"/>
        <v>0</v>
      </c>
    </row>
    <row r="61" spans="2:16" ht="18" customHeight="1">
      <c r="B61" s="124"/>
      <c r="C61" s="150" t="s">
        <v>111</v>
      </c>
      <c r="D61" s="362">
        <f>IFERROR(VLOOKUP(C61,'تقرير المصروفات حسب الشهر'!$C$10:$AD$119,28,FALSE),0)</f>
        <v>0</v>
      </c>
      <c r="E61" s="362">
        <f>IFERROR(VLOOKUP(C61,'تقرير المصروفات حسب الشهر'!$C$135:$AD$244,28,FALSE),0)</f>
        <v>0</v>
      </c>
      <c r="F61" s="362">
        <f>IFERROR(VLOOKUP(C61,'تقرير المصروفات حسب الشهر'!$C$261:$AD$368,28,FALSE),0)</f>
        <v>0</v>
      </c>
      <c r="G61" s="362">
        <f>IFERROR(VLOOKUP(C61,'تقرير المصروفات حسب الشهر'!$C$387:$AD$495,28,FALSE),0)</f>
        <v>0</v>
      </c>
      <c r="H61" s="362">
        <f>IFERROR(VLOOKUP(C61,'تقرير المصروفات حسب الشهر'!$C$512:$AD$620,28,FALSE),0)</f>
        <v>0</v>
      </c>
      <c r="I61" s="362">
        <f>IFERROR(VLOOKUP(C61,'تقرير المصروفات حسب الشهر'!$C$637:$AD$746,28,FALSE),0)</f>
        <v>0</v>
      </c>
      <c r="J61" s="362">
        <f>IFERROR(VLOOKUP(C61,'تقرير المصروفات حسب الشهر'!$C$763:$AD$872,28,FALSE),0)</f>
        <v>0</v>
      </c>
      <c r="K61" s="362">
        <f>IFERROR(VLOOKUP(C61,'تقرير المصروفات حسب الشهر'!$C$890:$AD$999,28,FALSE),0)</f>
        <v>0</v>
      </c>
      <c r="L61" s="362">
        <f>IFERROR(VLOOKUP(C61,'تقرير المصروفات حسب الشهر'!$C$1016:$AD$1126,28,FALSE),0)</f>
        <v>0</v>
      </c>
      <c r="M61" s="376">
        <f>IFERROR(VLOOKUP(C61,'تقرير المصروفات حسب الشهر'!$C$1143:$AD$1254,28,FALSE),0)</f>
        <v>0</v>
      </c>
      <c r="N61" s="384"/>
      <c r="O61" s="384"/>
      <c r="P61" s="364">
        <f t="shared" si="5"/>
        <v>0</v>
      </c>
    </row>
    <row r="62" spans="2:16" ht="18" customHeight="1">
      <c r="B62" s="124"/>
      <c r="C62" s="150" t="s">
        <v>68</v>
      </c>
      <c r="D62" s="362">
        <f>IFERROR(VLOOKUP(C62,'تقرير المصروفات حسب الشهر'!$C$10:$AD$119,28,FALSE),0)</f>
        <v>0</v>
      </c>
      <c r="E62" s="362">
        <f>IFERROR(VLOOKUP(C62,'تقرير المصروفات حسب الشهر'!$C$135:$AD$244,28,FALSE),0)</f>
        <v>0</v>
      </c>
      <c r="F62" s="362">
        <f>IFERROR(VLOOKUP(C62,'تقرير المصروفات حسب الشهر'!$C$261:$AD$368,28,FALSE),0)</f>
        <v>0</v>
      </c>
      <c r="G62" s="362">
        <f>IFERROR(VLOOKUP(C62,'تقرير المصروفات حسب الشهر'!$C$387:$AD$495,28,FALSE),0)</f>
        <v>0</v>
      </c>
      <c r="H62" s="362">
        <f>IFERROR(VLOOKUP(C62,'تقرير المصروفات حسب الشهر'!$C$512:$AD$620,28,FALSE),0)</f>
        <v>0</v>
      </c>
      <c r="I62" s="362">
        <f>IFERROR(VLOOKUP(C62,'تقرير المصروفات حسب الشهر'!$C$637:$AD$746,28,FALSE),0)</f>
        <v>0</v>
      </c>
      <c r="J62" s="362">
        <f>IFERROR(VLOOKUP(C62,'تقرير المصروفات حسب الشهر'!$C$763:$AD$872,28,FALSE),0)</f>
        <v>0</v>
      </c>
      <c r="K62" s="362">
        <f>IFERROR(VLOOKUP(C62,'تقرير المصروفات حسب الشهر'!$C$890:$AD$999,28,FALSE),0)</f>
        <v>0</v>
      </c>
      <c r="L62" s="362">
        <f>IFERROR(VLOOKUP(C62,'تقرير المصروفات حسب الشهر'!$C$1016:$AD$1126,28,FALSE),0)</f>
        <v>0</v>
      </c>
      <c r="M62" s="376">
        <f>IFERROR(VLOOKUP(C62,'تقرير المصروفات حسب الشهر'!$C$1143:$AD$1254,28,FALSE),0)</f>
        <v>0</v>
      </c>
      <c r="N62" s="384"/>
      <c r="O62" s="384"/>
      <c r="P62" s="364">
        <f t="shared" si="5"/>
        <v>0</v>
      </c>
    </row>
    <row r="63" spans="2:16" ht="18" customHeight="1">
      <c r="B63" s="124"/>
      <c r="C63" s="150" t="s">
        <v>69</v>
      </c>
      <c r="D63" s="362">
        <f>IFERROR(VLOOKUP(C63,'تقرير المصروفات حسب الشهر'!$C$10:$AD$119,28,FALSE),0)</f>
        <v>0</v>
      </c>
      <c r="E63" s="362">
        <f>IFERROR(VLOOKUP(C63,'تقرير المصروفات حسب الشهر'!$C$135:$AD$244,28,FALSE),0)</f>
        <v>0</v>
      </c>
      <c r="F63" s="362">
        <f>IFERROR(VLOOKUP(C63,'تقرير المصروفات حسب الشهر'!$C$261:$AD$368,28,FALSE),0)</f>
        <v>0</v>
      </c>
      <c r="G63" s="362">
        <f>IFERROR(VLOOKUP(C63,'تقرير المصروفات حسب الشهر'!$C$387:$AD$495,28,FALSE),0)</f>
        <v>0</v>
      </c>
      <c r="H63" s="362">
        <f>IFERROR(VLOOKUP(C63,'تقرير المصروفات حسب الشهر'!$C$512:$AD$620,28,FALSE),0)</f>
        <v>0</v>
      </c>
      <c r="I63" s="362">
        <f>IFERROR(VLOOKUP(C63,'تقرير المصروفات حسب الشهر'!$C$637:$AD$746,28,FALSE),0)</f>
        <v>0</v>
      </c>
      <c r="J63" s="362">
        <f>IFERROR(VLOOKUP(C63,'تقرير المصروفات حسب الشهر'!$C$763:$AD$872,28,FALSE),0)</f>
        <v>0</v>
      </c>
      <c r="K63" s="362">
        <f>IFERROR(VLOOKUP(C63,'تقرير المصروفات حسب الشهر'!$C$890:$AD$999,28,FALSE),0)</f>
        <v>0</v>
      </c>
      <c r="L63" s="362">
        <f>IFERROR(VLOOKUP(C63,'تقرير المصروفات حسب الشهر'!$C$1016:$AD$1126,28,FALSE),0)</f>
        <v>0</v>
      </c>
      <c r="M63" s="376">
        <f>IFERROR(VLOOKUP(C63,'تقرير المصروفات حسب الشهر'!$C$1143:$AD$1254,28,FALSE),0)</f>
        <v>0</v>
      </c>
      <c r="N63" s="384"/>
      <c r="O63" s="384"/>
      <c r="P63" s="364">
        <f t="shared" si="5"/>
        <v>0</v>
      </c>
    </row>
    <row r="64" spans="2:16" ht="18" customHeight="1">
      <c r="B64" s="124"/>
      <c r="C64" s="150" t="s">
        <v>70</v>
      </c>
      <c r="D64" s="362">
        <f>IFERROR(VLOOKUP(C64,'تقرير المصروفات حسب الشهر'!$C$10:$AD$119,28,FALSE),0)</f>
        <v>0</v>
      </c>
      <c r="E64" s="362">
        <f>IFERROR(VLOOKUP(C64,'تقرير المصروفات حسب الشهر'!$C$135:$AD$244,28,FALSE),0)</f>
        <v>0</v>
      </c>
      <c r="F64" s="362">
        <f>IFERROR(VLOOKUP(C64,'تقرير المصروفات حسب الشهر'!$C$261:$AD$368,28,FALSE),0)</f>
        <v>0</v>
      </c>
      <c r="G64" s="362">
        <f>IFERROR(VLOOKUP(C64,'تقرير المصروفات حسب الشهر'!$C$387:$AD$495,28,FALSE),0)</f>
        <v>0</v>
      </c>
      <c r="H64" s="362">
        <f>IFERROR(VLOOKUP(C64,'تقرير المصروفات حسب الشهر'!$C$512:$AD$620,28,FALSE),0)</f>
        <v>0</v>
      </c>
      <c r="I64" s="362">
        <f>IFERROR(VLOOKUP(C64,'تقرير المصروفات حسب الشهر'!$C$637:$AD$746,28,FALSE),0)</f>
        <v>0</v>
      </c>
      <c r="J64" s="362">
        <f>IFERROR(VLOOKUP(C64,'تقرير المصروفات حسب الشهر'!$C$763:$AD$872,28,FALSE),0)</f>
        <v>0</v>
      </c>
      <c r="K64" s="362">
        <f>IFERROR(VLOOKUP(C64,'تقرير المصروفات حسب الشهر'!$C$890:$AD$999,28,FALSE),0)</f>
        <v>0</v>
      </c>
      <c r="L64" s="362">
        <f>IFERROR(VLOOKUP(C64,'تقرير المصروفات حسب الشهر'!$C$1016:$AD$1126,28,FALSE),0)</f>
        <v>0</v>
      </c>
      <c r="M64" s="376">
        <f>IFERROR(VLOOKUP(C64,'تقرير المصروفات حسب الشهر'!$C$1143:$AD$1254,28,FALSE),0)</f>
        <v>0</v>
      </c>
      <c r="N64" s="384"/>
      <c r="O64" s="384"/>
      <c r="P64" s="364">
        <f t="shared" si="5"/>
        <v>0</v>
      </c>
    </row>
    <row r="65" spans="2:16" ht="18" customHeight="1">
      <c r="B65" s="124"/>
      <c r="C65" s="150" t="s">
        <v>71</v>
      </c>
      <c r="D65" s="362">
        <f>IFERROR(VLOOKUP(C65,'تقرير المصروفات حسب الشهر'!$C$10:$AD$119,28,FALSE),0)</f>
        <v>0</v>
      </c>
      <c r="E65" s="362">
        <f>IFERROR(VLOOKUP(C65,'تقرير المصروفات حسب الشهر'!$C$135:$AD$244,28,FALSE),0)</f>
        <v>0</v>
      </c>
      <c r="F65" s="362">
        <f>IFERROR(VLOOKUP(C65,'تقرير المصروفات حسب الشهر'!$C$261:$AD$368,28,FALSE),0)</f>
        <v>0</v>
      </c>
      <c r="G65" s="362">
        <f>IFERROR(VLOOKUP(C65,'تقرير المصروفات حسب الشهر'!$C$387:$AD$495,28,FALSE),0)</f>
        <v>0</v>
      </c>
      <c r="H65" s="362">
        <f>IFERROR(VLOOKUP(C65,'تقرير المصروفات حسب الشهر'!$C$512:$AD$620,28,FALSE),0)</f>
        <v>0</v>
      </c>
      <c r="I65" s="362">
        <f>IFERROR(VLOOKUP(C65,'تقرير المصروفات حسب الشهر'!$C$637:$AD$746,28,FALSE),0)</f>
        <v>0</v>
      </c>
      <c r="J65" s="362">
        <f>IFERROR(VLOOKUP(C65,'تقرير المصروفات حسب الشهر'!$C$763:$AD$872,28,FALSE),0)</f>
        <v>0</v>
      </c>
      <c r="K65" s="362">
        <f>IFERROR(VLOOKUP(C65,'تقرير المصروفات حسب الشهر'!$C$890:$AD$999,28,FALSE),0)</f>
        <v>0</v>
      </c>
      <c r="L65" s="362">
        <f>IFERROR(VLOOKUP(C65,'تقرير المصروفات حسب الشهر'!$C$1016:$AD$1126,28,FALSE),0)</f>
        <v>0</v>
      </c>
      <c r="M65" s="376">
        <f>IFERROR(VLOOKUP(C65,'تقرير المصروفات حسب الشهر'!$C$1143:$AD$1254,28,FALSE),0)</f>
        <v>0</v>
      </c>
      <c r="N65" s="384"/>
      <c r="O65" s="384"/>
      <c r="P65" s="364">
        <f t="shared" si="5"/>
        <v>0</v>
      </c>
    </row>
    <row r="66" spans="2:16" ht="18" customHeight="1">
      <c r="B66" s="124"/>
      <c r="C66" s="150" t="s">
        <v>159</v>
      </c>
      <c r="D66" s="362">
        <f>IFERROR(VLOOKUP(C66,'تقرير المصروفات حسب الشهر'!$C$10:$AD$119,28,FALSE),0)</f>
        <v>0</v>
      </c>
      <c r="E66" s="362">
        <f>IFERROR(VLOOKUP(C66,'تقرير المصروفات حسب الشهر'!$C$135:$AD$244,28,FALSE),0)</f>
        <v>0</v>
      </c>
      <c r="F66" s="362">
        <f>IFERROR(VLOOKUP(C66,'تقرير المصروفات حسب الشهر'!$C$261:$AD$368,28,FALSE),0)</f>
        <v>0</v>
      </c>
      <c r="G66" s="362">
        <f>IFERROR(VLOOKUP(C66,'تقرير المصروفات حسب الشهر'!$C$387:$AD$495,28,FALSE),0)</f>
        <v>0</v>
      </c>
      <c r="H66" s="362">
        <f>IFERROR(VLOOKUP(C66,'تقرير المصروفات حسب الشهر'!$C$512:$AD$620,28,FALSE),0)</f>
        <v>0</v>
      </c>
      <c r="I66" s="362">
        <f>IFERROR(VLOOKUP(C66,'تقرير المصروفات حسب الشهر'!$C$637:$AD$746,28,FALSE),0)</f>
        <v>0</v>
      </c>
      <c r="J66" s="362">
        <f>IFERROR(VLOOKUP(C66,'تقرير المصروفات حسب الشهر'!$C$763:$AD$872,28,FALSE),0)</f>
        <v>0</v>
      </c>
      <c r="K66" s="362">
        <f>IFERROR(VLOOKUP(C66,'تقرير المصروفات حسب الشهر'!$C$890:$AD$999,28,FALSE),0)</f>
        <v>0</v>
      </c>
      <c r="L66" s="362">
        <f>IFERROR(VLOOKUP(C66,'تقرير المصروفات حسب الشهر'!$C$1016:$AD$1126,28,FALSE),0)</f>
        <v>0</v>
      </c>
      <c r="M66" s="376">
        <f>IFERROR(VLOOKUP(C66,'تقرير المصروفات حسب الشهر'!$C$1143:$AD$1254,28,FALSE),0)</f>
        <v>0</v>
      </c>
      <c r="N66" s="384"/>
      <c r="O66" s="384"/>
      <c r="P66" s="364">
        <f t="shared" si="5"/>
        <v>0</v>
      </c>
    </row>
    <row r="67" spans="2:16" ht="18" customHeight="1">
      <c r="B67" s="124"/>
      <c r="C67" s="150" t="s">
        <v>72</v>
      </c>
      <c r="D67" s="362">
        <f>IFERROR(VLOOKUP(C67,'تقرير المصروفات حسب الشهر'!$C$10:$AD$119,28,FALSE),0)</f>
        <v>0</v>
      </c>
      <c r="E67" s="362">
        <f>IFERROR(VLOOKUP(C67,'تقرير المصروفات حسب الشهر'!$C$135:$AD$244,28,FALSE),0)</f>
        <v>0</v>
      </c>
      <c r="F67" s="362">
        <f>IFERROR(VLOOKUP(C67,'تقرير المصروفات حسب الشهر'!$C$261:$AD$368,28,FALSE),0)</f>
        <v>0</v>
      </c>
      <c r="G67" s="362">
        <f>IFERROR(VLOOKUP(C67,'تقرير المصروفات حسب الشهر'!$C$387:$AD$495,28,FALSE),0)</f>
        <v>0</v>
      </c>
      <c r="H67" s="362">
        <f>IFERROR(VLOOKUP(C67,'تقرير المصروفات حسب الشهر'!$C$512:$AD$620,28,FALSE),0)</f>
        <v>0</v>
      </c>
      <c r="I67" s="362">
        <f>IFERROR(VLOOKUP(C67,'تقرير المصروفات حسب الشهر'!$C$637:$AD$746,28,FALSE),0)</f>
        <v>0</v>
      </c>
      <c r="J67" s="362">
        <f>IFERROR(VLOOKUP(C67,'تقرير المصروفات حسب الشهر'!$C$763:$AD$872,28,FALSE),0)</f>
        <v>0</v>
      </c>
      <c r="K67" s="362">
        <f>IFERROR(VLOOKUP(C67,'تقرير المصروفات حسب الشهر'!$C$890:$AD$999,28,FALSE),0)</f>
        <v>0</v>
      </c>
      <c r="L67" s="362">
        <f>IFERROR(VLOOKUP(C67,'تقرير المصروفات حسب الشهر'!$C$1016:$AD$1126,28,FALSE),0)</f>
        <v>0</v>
      </c>
      <c r="M67" s="376">
        <f>IFERROR(VLOOKUP(C67,'تقرير المصروفات حسب الشهر'!$C$1143:$AD$1254,28,FALSE),0)</f>
        <v>0</v>
      </c>
      <c r="N67" s="384"/>
      <c r="O67" s="384"/>
      <c r="P67" s="364">
        <f t="shared" si="5"/>
        <v>0</v>
      </c>
    </row>
    <row r="68" spans="2:16" ht="18" customHeight="1">
      <c r="B68" s="124"/>
      <c r="C68" s="150" t="s">
        <v>73</v>
      </c>
      <c r="D68" s="362">
        <f>IFERROR(VLOOKUP(C68,'تقرير المصروفات حسب الشهر'!$C$10:$AD$119,28,FALSE),0)</f>
        <v>0</v>
      </c>
      <c r="E68" s="362">
        <f>IFERROR(VLOOKUP(C68,'تقرير المصروفات حسب الشهر'!$C$135:$AD$244,28,FALSE),0)</f>
        <v>0</v>
      </c>
      <c r="F68" s="362">
        <f>IFERROR(VLOOKUP(C68,'تقرير المصروفات حسب الشهر'!$C$261:$AD$368,28,FALSE),0)</f>
        <v>0</v>
      </c>
      <c r="G68" s="362">
        <f>IFERROR(VLOOKUP(C68,'تقرير المصروفات حسب الشهر'!$C$387:$AD$495,28,FALSE),0)</f>
        <v>0</v>
      </c>
      <c r="H68" s="362">
        <f>IFERROR(VLOOKUP(C68,'تقرير المصروفات حسب الشهر'!$C$512:$AD$620,28,FALSE),0)</f>
        <v>0</v>
      </c>
      <c r="I68" s="362">
        <f>IFERROR(VLOOKUP(C68,'تقرير المصروفات حسب الشهر'!$C$637:$AD$746,28,FALSE),0)</f>
        <v>0</v>
      </c>
      <c r="J68" s="362">
        <f>IFERROR(VLOOKUP(C68,'تقرير المصروفات حسب الشهر'!$C$763:$AD$872,28,FALSE),0)</f>
        <v>0</v>
      </c>
      <c r="K68" s="362">
        <f>IFERROR(VLOOKUP(C68,'تقرير المصروفات حسب الشهر'!$C$890:$AD$999,28,FALSE),0)</f>
        <v>0</v>
      </c>
      <c r="L68" s="362">
        <f>IFERROR(VLOOKUP(C68,'تقرير المصروفات حسب الشهر'!$C$1016:$AD$1126,28,FALSE),0)</f>
        <v>0</v>
      </c>
      <c r="M68" s="376">
        <f>IFERROR(VLOOKUP(C68,'تقرير المصروفات حسب الشهر'!$C$1143:$AD$1254,28,FALSE),0)</f>
        <v>0</v>
      </c>
      <c r="N68" s="384"/>
      <c r="O68" s="384"/>
      <c r="P68" s="364">
        <f t="shared" si="5"/>
        <v>0</v>
      </c>
    </row>
    <row r="69" spans="2:16" ht="18" customHeight="1">
      <c r="B69" s="124"/>
      <c r="C69" s="150" t="s">
        <v>74</v>
      </c>
      <c r="D69" s="362">
        <f>IFERROR(VLOOKUP(C69,'تقرير المصروفات حسب الشهر'!$C$10:$AD$119,28,FALSE),0)</f>
        <v>0</v>
      </c>
      <c r="E69" s="362">
        <f>IFERROR(VLOOKUP(C69,'تقرير المصروفات حسب الشهر'!$C$135:$AD$244,28,FALSE),0)</f>
        <v>0</v>
      </c>
      <c r="F69" s="362">
        <f>IFERROR(VLOOKUP(C69,'تقرير المصروفات حسب الشهر'!$C$261:$AD$368,28,FALSE),0)</f>
        <v>0</v>
      </c>
      <c r="G69" s="362">
        <f>IFERROR(VLOOKUP(C69,'تقرير المصروفات حسب الشهر'!$C$387:$AD$495,28,FALSE),0)</f>
        <v>0</v>
      </c>
      <c r="H69" s="362">
        <f>IFERROR(VLOOKUP(C69,'تقرير المصروفات حسب الشهر'!$C$512:$AD$620,28,FALSE),0)</f>
        <v>0</v>
      </c>
      <c r="I69" s="362">
        <f>IFERROR(VLOOKUP(C69,'تقرير المصروفات حسب الشهر'!$C$637:$AD$746,28,FALSE),0)</f>
        <v>0</v>
      </c>
      <c r="J69" s="362">
        <f>IFERROR(VLOOKUP(C69,'تقرير المصروفات حسب الشهر'!$C$763:$AD$872,28,FALSE),0)</f>
        <v>0</v>
      </c>
      <c r="K69" s="362">
        <f>IFERROR(VLOOKUP(C69,'تقرير المصروفات حسب الشهر'!$C$890:$AD$999,28,FALSE),0)</f>
        <v>0</v>
      </c>
      <c r="L69" s="362">
        <f>IFERROR(VLOOKUP(C69,'تقرير المصروفات حسب الشهر'!$C$1016:$AD$1126,28,FALSE),0)</f>
        <v>0</v>
      </c>
      <c r="M69" s="376">
        <f>IFERROR(VLOOKUP(C69,'تقرير المصروفات حسب الشهر'!$C$1143:$AD$1254,28,FALSE),0)</f>
        <v>0</v>
      </c>
      <c r="N69" s="384"/>
      <c r="O69" s="384"/>
      <c r="P69" s="364">
        <f t="shared" si="5"/>
        <v>0</v>
      </c>
    </row>
    <row r="70" spans="2:16" ht="18" customHeight="1">
      <c r="B70" s="124"/>
      <c r="C70" s="150" t="s">
        <v>246</v>
      </c>
      <c r="D70" s="362">
        <f>IFERROR(VLOOKUP(C70,'تقرير المصروفات حسب الشهر'!$C$10:$AD$119,28,FALSE),0)</f>
        <v>0</v>
      </c>
      <c r="E70" s="362">
        <f>IFERROR(VLOOKUP(C70,'تقرير المصروفات حسب الشهر'!$C$135:$AD$244,28,FALSE),0)</f>
        <v>0</v>
      </c>
      <c r="F70" s="362">
        <f>IFERROR(VLOOKUP(C70,'تقرير المصروفات حسب الشهر'!$C$261:$AD$368,28,FALSE),0)</f>
        <v>0</v>
      </c>
      <c r="G70" s="362">
        <f>IFERROR(VLOOKUP(C70,'تقرير المصروفات حسب الشهر'!$C$387:$AD$495,28,FALSE),0)</f>
        <v>0</v>
      </c>
      <c r="H70" s="362">
        <f>IFERROR(VLOOKUP(C70,'تقرير المصروفات حسب الشهر'!$C$512:$AD$620,28,FALSE),0)</f>
        <v>0</v>
      </c>
      <c r="I70" s="362">
        <f>IFERROR(VLOOKUP(C70,'تقرير المصروفات حسب الشهر'!$C$637:$AD$746,28,FALSE),0)</f>
        <v>0</v>
      </c>
      <c r="J70" s="362">
        <f>IFERROR(VLOOKUP(C70,'تقرير المصروفات حسب الشهر'!$C$763:$AD$872,28,FALSE),0)</f>
        <v>0</v>
      </c>
      <c r="K70" s="362">
        <f>IFERROR(VLOOKUP(C70,'تقرير المصروفات حسب الشهر'!$C$890:$AD$999,28,FALSE),0)</f>
        <v>0</v>
      </c>
      <c r="L70" s="362">
        <f>IFERROR(VLOOKUP(C70,'تقرير المصروفات حسب الشهر'!$C$1016:$AD$1126,28,FALSE),0)</f>
        <v>0</v>
      </c>
      <c r="M70" s="376">
        <f>IFERROR(VLOOKUP(C70,'تقرير المصروفات حسب الشهر'!$C$1143:$AD$1254,28,FALSE),0)</f>
        <v>0</v>
      </c>
      <c r="N70" s="384"/>
      <c r="O70" s="384"/>
      <c r="P70" s="364">
        <f t="shared" si="5"/>
        <v>0</v>
      </c>
    </row>
    <row r="71" spans="2:16" ht="18" customHeight="1">
      <c r="B71" s="124"/>
      <c r="C71" s="150" t="s">
        <v>75</v>
      </c>
      <c r="D71" s="362">
        <f>IFERROR(VLOOKUP(C71,'تقرير المصروفات حسب الشهر'!$C$10:$AD$119,28,FALSE),0)</f>
        <v>0</v>
      </c>
      <c r="E71" s="362">
        <f>IFERROR(VLOOKUP(C71,'تقرير المصروفات حسب الشهر'!$C$135:$AD$244,28,FALSE),0)</f>
        <v>0</v>
      </c>
      <c r="F71" s="362">
        <f>IFERROR(VLOOKUP(C71,'تقرير المصروفات حسب الشهر'!$C$261:$AD$368,28,FALSE),0)</f>
        <v>0</v>
      </c>
      <c r="G71" s="362">
        <f>IFERROR(VLOOKUP(C71,'تقرير المصروفات حسب الشهر'!$C$387:$AD$495,28,FALSE),0)</f>
        <v>0</v>
      </c>
      <c r="H71" s="362">
        <f>IFERROR(VLOOKUP(C71,'تقرير المصروفات حسب الشهر'!$C$512:$AD$620,28,FALSE),0)</f>
        <v>0</v>
      </c>
      <c r="I71" s="362">
        <f>IFERROR(VLOOKUP(C71,'تقرير المصروفات حسب الشهر'!$C$637:$AD$746,28,FALSE),0)</f>
        <v>0</v>
      </c>
      <c r="J71" s="362">
        <f>IFERROR(VLOOKUP(C71,'تقرير المصروفات حسب الشهر'!$C$763:$AD$872,28,FALSE),0)</f>
        <v>0</v>
      </c>
      <c r="K71" s="362">
        <f>IFERROR(VLOOKUP(C71,'تقرير المصروفات حسب الشهر'!$C$890:$AD$999,28,FALSE),0)</f>
        <v>0</v>
      </c>
      <c r="L71" s="362">
        <f>IFERROR(VLOOKUP(C71,'تقرير المصروفات حسب الشهر'!$C$1016:$AD$1126,28,FALSE),0)</f>
        <v>0</v>
      </c>
      <c r="M71" s="376">
        <f>IFERROR(VLOOKUP(C71,'تقرير المصروفات حسب الشهر'!$C$1143:$AD$1254,28,FALSE),0)</f>
        <v>0</v>
      </c>
      <c r="N71" s="384"/>
      <c r="O71" s="384"/>
      <c r="P71" s="364">
        <f t="shared" si="5"/>
        <v>0</v>
      </c>
    </row>
    <row r="72" spans="2:16" ht="18" customHeight="1">
      <c r="B72" s="124"/>
      <c r="C72" s="150" t="s">
        <v>76</v>
      </c>
      <c r="D72" s="362">
        <f>IFERROR(VLOOKUP(C72,'تقرير المصروفات حسب الشهر'!$C$10:$AD$119,28,FALSE),0)</f>
        <v>0</v>
      </c>
      <c r="E72" s="362">
        <f>IFERROR(VLOOKUP(C72,'تقرير المصروفات حسب الشهر'!$C$135:$AD$244,28,FALSE),0)</f>
        <v>0</v>
      </c>
      <c r="F72" s="362">
        <f>IFERROR(VLOOKUP(C72,'تقرير المصروفات حسب الشهر'!$C$261:$AD$368,28,FALSE),0)</f>
        <v>0</v>
      </c>
      <c r="G72" s="362">
        <f>IFERROR(VLOOKUP(C72,'تقرير المصروفات حسب الشهر'!$C$387:$AD$495,28,FALSE),0)</f>
        <v>0</v>
      </c>
      <c r="H72" s="362">
        <f>IFERROR(VLOOKUP(C72,'تقرير المصروفات حسب الشهر'!$C$512:$AD$620,28,FALSE),0)</f>
        <v>0</v>
      </c>
      <c r="I72" s="362">
        <f>IFERROR(VLOOKUP(C72,'تقرير المصروفات حسب الشهر'!$C$637:$AD$746,28,FALSE),0)</f>
        <v>0</v>
      </c>
      <c r="J72" s="362">
        <f>IFERROR(VLOOKUP(C72,'تقرير المصروفات حسب الشهر'!$C$763:$AD$872,28,FALSE),0)</f>
        <v>0</v>
      </c>
      <c r="K72" s="362">
        <f>IFERROR(VLOOKUP(C72,'تقرير المصروفات حسب الشهر'!$C$890:$AD$999,28,FALSE),0)</f>
        <v>0</v>
      </c>
      <c r="L72" s="362">
        <f>IFERROR(VLOOKUP(C72,'تقرير المصروفات حسب الشهر'!$C$1016:$AD$1126,28,FALSE),0)</f>
        <v>0</v>
      </c>
      <c r="M72" s="376">
        <f>IFERROR(VLOOKUP(C72,'تقرير المصروفات حسب الشهر'!$C$1143:$AD$1254,28,FALSE),0)</f>
        <v>0</v>
      </c>
      <c r="N72" s="384"/>
      <c r="O72" s="384"/>
      <c r="P72" s="364">
        <f t="shared" si="5"/>
        <v>0</v>
      </c>
    </row>
    <row r="73" spans="2:16" ht="18" customHeight="1">
      <c r="B73" s="124"/>
      <c r="C73" s="150" t="s">
        <v>77</v>
      </c>
      <c r="D73" s="362">
        <f>IFERROR(VLOOKUP(C73,'تقرير المصروفات حسب الشهر'!$C$10:$AD$119,28,FALSE),0)</f>
        <v>0</v>
      </c>
      <c r="E73" s="362">
        <f>IFERROR(VLOOKUP(C73,'تقرير المصروفات حسب الشهر'!$C$135:$AD$244,28,FALSE),0)</f>
        <v>0</v>
      </c>
      <c r="F73" s="362">
        <f>IFERROR(VLOOKUP(C73,'تقرير المصروفات حسب الشهر'!$C$261:$AD$368,28,FALSE),0)</f>
        <v>0</v>
      </c>
      <c r="G73" s="362">
        <f>IFERROR(VLOOKUP(C73,'تقرير المصروفات حسب الشهر'!$C$387:$AD$495,28,FALSE),0)</f>
        <v>0</v>
      </c>
      <c r="H73" s="362">
        <f>IFERROR(VLOOKUP(C73,'تقرير المصروفات حسب الشهر'!$C$512:$AD$620,28,FALSE),0)</f>
        <v>0</v>
      </c>
      <c r="I73" s="362">
        <f>IFERROR(VLOOKUP(C73,'تقرير المصروفات حسب الشهر'!$C$637:$AD$746,28,FALSE),0)</f>
        <v>0</v>
      </c>
      <c r="J73" s="362">
        <f>IFERROR(VLOOKUP(C73,'تقرير المصروفات حسب الشهر'!$C$763:$AD$872,28,FALSE),0)</f>
        <v>0</v>
      </c>
      <c r="K73" s="362">
        <f>IFERROR(VLOOKUP(C73,'تقرير المصروفات حسب الشهر'!$C$890:$AD$999,28,FALSE),0)</f>
        <v>0</v>
      </c>
      <c r="L73" s="362">
        <f>IFERROR(VLOOKUP(C73,'تقرير المصروفات حسب الشهر'!$C$1016:$AD$1126,28,FALSE),0)</f>
        <v>0</v>
      </c>
      <c r="M73" s="376">
        <f>IFERROR(VLOOKUP(C73,'تقرير المصروفات حسب الشهر'!$C$1143:$AD$1254,28,FALSE),0)</f>
        <v>0</v>
      </c>
      <c r="N73" s="384"/>
      <c r="O73" s="384"/>
      <c r="P73" s="364">
        <f t="shared" si="5"/>
        <v>0</v>
      </c>
    </row>
    <row r="74" spans="2:16" ht="18" customHeight="1">
      <c r="B74" s="124"/>
      <c r="C74" s="150" t="s">
        <v>78</v>
      </c>
      <c r="D74" s="362">
        <f>IFERROR(VLOOKUP(C74,'تقرير المصروفات حسب الشهر'!$C$10:$AD$119,28,FALSE),0)</f>
        <v>0</v>
      </c>
      <c r="E74" s="362">
        <f>IFERROR(VLOOKUP(C74,'تقرير المصروفات حسب الشهر'!$C$135:$AD$244,28,FALSE),0)</f>
        <v>0</v>
      </c>
      <c r="F74" s="362">
        <f>IFERROR(VLOOKUP(C74,'تقرير المصروفات حسب الشهر'!$C$261:$AD$368,28,FALSE),0)</f>
        <v>0</v>
      </c>
      <c r="G74" s="362">
        <f>IFERROR(VLOOKUP(C74,'تقرير المصروفات حسب الشهر'!$C$387:$AD$495,28,FALSE),0)</f>
        <v>0</v>
      </c>
      <c r="H74" s="362">
        <f>IFERROR(VLOOKUP(C74,'تقرير المصروفات حسب الشهر'!$C$512:$AD$620,28,FALSE),0)</f>
        <v>0</v>
      </c>
      <c r="I74" s="362">
        <f>IFERROR(VLOOKUP(C74,'تقرير المصروفات حسب الشهر'!$C$637:$AD$746,28,FALSE),0)</f>
        <v>0</v>
      </c>
      <c r="J74" s="362">
        <f>IFERROR(VLOOKUP(C74,'تقرير المصروفات حسب الشهر'!$C$763:$AD$872,28,FALSE),0)</f>
        <v>0</v>
      </c>
      <c r="K74" s="362">
        <f>IFERROR(VLOOKUP(C74,'تقرير المصروفات حسب الشهر'!$C$890:$AD$999,28,FALSE),0)</f>
        <v>0</v>
      </c>
      <c r="L74" s="362">
        <f>IFERROR(VLOOKUP(C74,'تقرير المصروفات حسب الشهر'!$C$1016:$AD$1126,28,FALSE),0)</f>
        <v>0</v>
      </c>
      <c r="M74" s="376">
        <f>IFERROR(VLOOKUP(C74,'تقرير المصروفات حسب الشهر'!$C$1143:$AD$1254,28,FALSE),0)</f>
        <v>0</v>
      </c>
      <c r="N74" s="384"/>
      <c r="O74" s="384"/>
      <c r="P74" s="364">
        <f t="shared" si="5"/>
        <v>0</v>
      </c>
    </row>
    <row r="75" spans="2:16" ht="18" customHeight="1">
      <c r="B75" s="124"/>
      <c r="C75" s="150" t="s">
        <v>79</v>
      </c>
      <c r="D75" s="362">
        <f>IFERROR(VLOOKUP(C75,'تقرير المصروفات حسب الشهر'!$C$10:$AD$119,28,FALSE),0)</f>
        <v>0</v>
      </c>
      <c r="E75" s="362">
        <f>IFERROR(VLOOKUP(C75,'تقرير المصروفات حسب الشهر'!$C$135:$AD$244,28,FALSE),0)</f>
        <v>0</v>
      </c>
      <c r="F75" s="362">
        <f>IFERROR(VLOOKUP(C75,'تقرير المصروفات حسب الشهر'!$C$261:$AD$368,28,FALSE),0)</f>
        <v>0</v>
      </c>
      <c r="G75" s="362">
        <f>IFERROR(VLOOKUP(C75,'تقرير المصروفات حسب الشهر'!$C$387:$AD$495,28,FALSE),0)</f>
        <v>0</v>
      </c>
      <c r="H75" s="362">
        <f>IFERROR(VLOOKUP(C75,'تقرير المصروفات حسب الشهر'!$C$512:$AD$620,28,FALSE),0)</f>
        <v>0</v>
      </c>
      <c r="I75" s="362">
        <f>IFERROR(VLOOKUP(C75,'تقرير المصروفات حسب الشهر'!$C$637:$AD$746,28,FALSE),0)</f>
        <v>0</v>
      </c>
      <c r="J75" s="362">
        <f>IFERROR(VLOOKUP(C75,'تقرير المصروفات حسب الشهر'!$C$763:$AD$872,28,FALSE),0)</f>
        <v>0</v>
      </c>
      <c r="K75" s="362">
        <f>IFERROR(VLOOKUP(C75,'تقرير المصروفات حسب الشهر'!$C$890:$AD$999,28,FALSE),0)</f>
        <v>0</v>
      </c>
      <c r="L75" s="362">
        <f>IFERROR(VLOOKUP(C75,'تقرير المصروفات حسب الشهر'!$C$1016:$AD$1126,28,FALSE),0)</f>
        <v>0</v>
      </c>
      <c r="M75" s="376">
        <f>IFERROR(VLOOKUP(C75,'تقرير المصروفات حسب الشهر'!$C$1143:$AD$1254,28,FALSE),0)</f>
        <v>0</v>
      </c>
      <c r="N75" s="384"/>
      <c r="O75" s="384"/>
      <c r="P75" s="364">
        <f t="shared" si="5"/>
        <v>0</v>
      </c>
    </row>
    <row r="76" spans="2:16" ht="18" customHeight="1">
      <c r="B76" s="124"/>
      <c r="C76" s="150" t="s">
        <v>80</v>
      </c>
      <c r="D76" s="362">
        <f>IFERROR(VLOOKUP(C76,'تقرير المصروفات حسب الشهر'!$C$10:$AD$119,28,FALSE),0)</f>
        <v>0</v>
      </c>
      <c r="E76" s="362">
        <f>IFERROR(VLOOKUP(C76,'تقرير المصروفات حسب الشهر'!$C$135:$AD$244,28,FALSE),0)</f>
        <v>0</v>
      </c>
      <c r="F76" s="362">
        <f>IFERROR(VLOOKUP(C76,'تقرير المصروفات حسب الشهر'!$C$261:$AD$368,28,FALSE),0)</f>
        <v>0</v>
      </c>
      <c r="G76" s="362">
        <f>IFERROR(VLOOKUP(C76,'تقرير المصروفات حسب الشهر'!$C$387:$AD$495,28,FALSE),0)</f>
        <v>0</v>
      </c>
      <c r="H76" s="362">
        <f>IFERROR(VLOOKUP(C76,'تقرير المصروفات حسب الشهر'!$C$512:$AD$620,28,FALSE),0)</f>
        <v>0</v>
      </c>
      <c r="I76" s="362">
        <f>IFERROR(VLOOKUP(C76,'تقرير المصروفات حسب الشهر'!$C$637:$AD$746,28,FALSE),0)</f>
        <v>0</v>
      </c>
      <c r="J76" s="362">
        <f>IFERROR(VLOOKUP(C76,'تقرير المصروفات حسب الشهر'!$C$763:$AD$872,28,FALSE),0)</f>
        <v>0</v>
      </c>
      <c r="K76" s="362">
        <f>IFERROR(VLOOKUP(C76,'تقرير المصروفات حسب الشهر'!$C$890:$AD$999,28,FALSE),0)</f>
        <v>0</v>
      </c>
      <c r="L76" s="362">
        <f>IFERROR(VLOOKUP(C76,'تقرير المصروفات حسب الشهر'!$C$1016:$AD$1126,28,FALSE),0)</f>
        <v>0</v>
      </c>
      <c r="M76" s="376">
        <f>IFERROR(VLOOKUP(C76,'تقرير المصروفات حسب الشهر'!$C$1143:$AD$1254,28,FALSE),0)</f>
        <v>0</v>
      </c>
      <c r="N76" s="384"/>
      <c r="O76" s="384"/>
      <c r="P76" s="364">
        <f t="shared" si="5"/>
        <v>0</v>
      </c>
    </row>
    <row r="77" spans="2:16" ht="18" customHeight="1">
      <c r="B77" s="124"/>
      <c r="C77" s="150" t="s">
        <v>81</v>
      </c>
      <c r="D77" s="362">
        <f>IFERROR(VLOOKUP(C77,'تقرير المصروفات حسب الشهر'!$C$10:$AD$119,28,FALSE),0)</f>
        <v>0</v>
      </c>
      <c r="E77" s="362">
        <f>IFERROR(VLOOKUP(C77,'تقرير المصروفات حسب الشهر'!$C$135:$AD$244,28,FALSE),0)</f>
        <v>0</v>
      </c>
      <c r="F77" s="362">
        <f>IFERROR(VLOOKUP(C77,'تقرير المصروفات حسب الشهر'!$C$261:$AD$368,28,FALSE),0)</f>
        <v>0</v>
      </c>
      <c r="G77" s="362">
        <f>IFERROR(VLOOKUP(C77,'تقرير المصروفات حسب الشهر'!$C$387:$AD$495,28,FALSE),0)</f>
        <v>0</v>
      </c>
      <c r="H77" s="362">
        <f>IFERROR(VLOOKUP(C77,'تقرير المصروفات حسب الشهر'!$C$512:$AD$620,28,FALSE),0)</f>
        <v>0</v>
      </c>
      <c r="I77" s="362">
        <f>IFERROR(VLOOKUP(C77,'تقرير المصروفات حسب الشهر'!$C$637:$AD$746,28,FALSE),0)</f>
        <v>0</v>
      </c>
      <c r="J77" s="362">
        <f>IFERROR(VLOOKUP(C77,'تقرير المصروفات حسب الشهر'!$C$763:$AD$872,28,FALSE),0)</f>
        <v>0</v>
      </c>
      <c r="K77" s="362">
        <f>IFERROR(VLOOKUP(C77,'تقرير المصروفات حسب الشهر'!$C$890:$AD$999,28,FALSE),0)</f>
        <v>0</v>
      </c>
      <c r="L77" s="362">
        <f>IFERROR(VLOOKUP(C77,'تقرير المصروفات حسب الشهر'!$C$1016:$AD$1126,28,FALSE),0)</f>
        <v>0</v>
      </c>
      <c r="M77" s="376">
        <f>IFERROR(VLOOKUP(C77,'تقرير المصروفات حسب الشهر'!$C$1143:$AD$1254,28,FALSE),0)</f>
        <v>0</v>
      </c>
      <c r="N77" s="384"/>
      <c r="O77" s="384"/>
      <c r="P77" s="364">
        <f t="shared" si="5"/>
        <v>0</v>
      </c>
    </row>
    <row r="78" spans="2:16" ht="18" customHeight="1">
      <c r="B78" s="124"/>
      <c r="C78" s="150" t="s">
        <v>82</v>
      </c>
      <c r="D78" s="362">
        <f>IFERROR(VLOOKUP(C78,'تقرير المصروفات حسب الشهر'!$C$10:$AD$119,28,FALSE),0)</f>
        <v>0</v>
      </c>
      <c r="E78" s="362">
        <f>IFERROR(VLOOKUP(C78,'تقرير المصروفات حسب الشهر'!$C$135:$AD$244,28,FALSE),0)</f>
        <v>0</v>
      </c>
      <c r="F78" s="362">
        <f>IFERROR(VLOOKUP(C78,'تقرير المصروفات حسب الشهر'!$C$261:$AD$368,28,FALSE),0)</f>
        <v>0</v>
      </c>
      <c r="G78" s="362">
        <f>IFERROR(VLOOKUP(C78,'تقرير المصروفات حسب الشهر'!$C$387:$AD$495,28,FALSE),0)</f>
        <v>0</v>
      </c>
      <c r="H78" s="362">
        <f>IFERROR(VLOOKUP(C78,'تقرير المصروفات حسب الشهر'!$C$512:$AD$620,28,FALSE),0)</f>
        <v>0</v>
      </c>
      <c r="I78" s="362">
        <f>IFERROR(VLOOKUP(C78,'تقرير المصروفات حسب الشهر'!$C$637:$AD$746,28,FALSE),0)</f>
        <v>0</v>
      </c>
      <c r="J78" s="362">
        <f>IFERROR(VLOOKUP(C78,'تقرير المصروفات حسب الشهر'!$C$763:$AD$872,28,FALSE),0)</f>
        <v>0</v>
      </c>
      <c r="K78" s="362">
        <f>IFERROR(VLOOKUP(C78,'تقرير المصروفات حسب الشهر'!$C$890:$AD$999,28,FALSE),0)</f>
        <v>0</v>
      </c>
      <c r="L78" s="362">
        <f>IFERROR(VLOOKUP(C78,'تقرير المصروفات حسب الشهر'!$C$1016:$AD$1126,28,FALSE),0)</f>
        <v>0</v>
      </c>
      <c r="M78" s="376">
        <f>IFERROR(VLOOKUP(C78,'تقرير المصروفات حسب الشهر'!$C$1143:$AD$1254,28,FALSE),0)</f>
        <v>0</v>
      </c>
      <c r="N78" s="384"/>
      <c r="O78" s="384"/>
      <c r="P78" s="364">
        <f t="shared" si="5"/>
        <v>0</v>
      </c>
    </row>
    <row r="79" spans="2:16" ht="18" customHeight="1">
      <c r="B79" s="124"/>
      <c r="C79" s="150" t="s">
        <v>83</v>
      </c>
      <c r="D79" s="362">
        <f>IFERROR(VLOOKUP(C79,'تقرير المصروفات حسب الشهر'!$C$10:$AD$119,28,FALSE),0)</f>
        <v>0</v>
      </c>
      <c r="E79" s="362">
        <f>IFERROR(VLOOKUP(C79,'تقرير المصروفات حسب الشهر'!$C$135:$AD$244,28,FALSE),0)</f>
        <v>0</v>
      </c>
      <c r="F79" s="362">
        <f>IFERROR(VLOOKUP(C79,'تقرير المصروفات حسب الشهر'!$C$261:$AD$368,28,FALSE),0)</f>
        <v>0</v>
      </c>
      <c r="G79" s="362">
        <f>IFERROR(VLOOKUP(C79,'تقرير المصروفات حسب الشهر'!$C$387:$AD$495,28,FALSE),0)</f>
        <v>0</v>
      </c>
      <c r="H79" s="362">
        <f>IFERROR(VLOOKUP(C79,'تقرير المصروفات حسب الشهر'!$C$512:$AD$620,28,FALSE),0)</f>
        <v>0</v>
      </c>
      <c r="I79" s="362">
        <f>IFERROR(VLOOKUP(C79,'تقرير المصروفات حسب الشهر'!$C$637:$AD$746,28,FALSE),0)</f>
        <v>0</v>
      </c>
      <c r="J79" s="362">
        <f>IFERROR(VLOOKUP(C79,'تقرير المصروفات حسب الشهر'!$C$763:$AD$872,28,FALSE),0)</f>
        <v>0</v>
      </c>
      <c r="K79" s="362">
        <f>IFERROR(VLOOKUP(C79,'تقرير المصروفات حسب الشهر'!$C$890:$AD$999,28,FALSE),0)</f>
        <v>0</v>
      </c>
      <c r="L79" s="362">
        <f>IFERROR(VLOOKUP(C79,'تقرير المصروفات حسب الشهر'!$C$1016:$AD$1126,28,FALSE),0)</f>
        <v>0</v>
      </c>
      <c r="M79" s="376">
        <f>IFERROR(VLOOKUP(C79,'تقرير المصروفات حسب الشهر'!$C$1143:$AD$1254,28,FALSE),0)</f>
        <v>0</v>
      </c>
      <c r="N79" s="384"/>
      <c r="O79" s="384"/>
      <c r="P79" s="364">
        <f t="shared" si="5"/>
        <v>0</v>
      </c>
    </row>
    <row r="80" spans="2:16" ht="18" customHeight="1">
      <c r="B80" s="124"/>
      <c r="C80" s="150" t="s">
        <v>84</v>
      </c>
      <c r="D80" s="362">
        <f>IFERROR(VLOOKUP(C80,'تقرير المصروفات حسب الشهر'!$C$10:$AD$119,28,FALSE),0)</f>
        <v>0</v>
      </c>
      <c r="E80" s="362">
        <f>IFERROR(VLOOKUP(C80,'تقرير المصروفات حسب الشهر'!$C$135:$AD$244,28,FALSE),0)</f>
        <v>0</v>
      </c>
      <c r="F80" s="362">
        <f>IFERROR(VLOOKUP(C80,'تقرير المصروفات حسب الشهر'!$C$261:$AD$368,28,FALSE),0)</f>
        <v>0</v>
      </c>
      <c r="G80" s="362">
        <f>IFERROR(VLOOKUP(C80,'تقرير المصروفات حسب الشهر'!$C$387:$AD$495,28,FALSE),0)</f>
        <v>0</v>
      </c>
      <c r="H80" s="362">
        <f>IFERROR(VLOOKUP(C80,'تقرير المصروفات حسب الشهر'!$C$512:$AD$620,28,FALSE),0)</f>
        <v>0</v>
      </c>
      <c r="I80" s="362">
        <f>IFERROR(VLOOKUP(C80,'تقرير المصروفات حسب الشهر'!$C$637:$AD$746,28,FALSE),0)</f>
        <v>0</v>
      </c>
      <c r="J80" s="362">
        <f>IFERROR(VLOOKUP(C80,'تقرير المصروفات حسب الشهر'!$C$763:$AD$872,28,FALSE),0)</f>
        <v>0</v>
      </c>
      <c r="K80" s="362">
        <f>IFERROR(VLOOKUP(C80,'تقرير المصروفات حسب الشهر'!$C$890:$AD$999,28,FALSE),0)</f>
        <v>0</v>
      </c>
      <c r="L80" s="362">
        <f>IFERROR(VLOOKUP(C80,'تقرير المصروفات حسب الشهر'!$C$1016:$AD$1126,28,FALSE),0)</f>
        <v>0</v>
      </c>
      <c r="M80" s="376">
        <f>IFERROR(VLOOKUP(C80,'تقرير المصروفات حسب الشهر'!$C$1143:$AD$1254,28,FALSE),0)</f>
        <v>0</v>
      </c>
      <c r="N80" s="384"/>
      <c r="O80" s="384"/>
      <c r="P80" s="364">
        <f t="shared" si="5"/>
        <v>0</v>
      </c>
    </row>
    <row r="81" spans="2:16" ht="18" customHeight="1">
      <c r="B81" s="124"/>
      <c r="C81" s="150" t="s">
        <v>85</v>
      </c>
      <c r="D81" s="362">
        <f>IFERROR(VLOOKUP(C81,'تقرير المصروفات حسب الشهر'!$C$10:$AD$119,28,FALSE),0)</f>
        <v>0</v>
      </c>
      <c r="E81" s="362">
        <f>IFERROR(VLOOKUP(C81,'تقرير المصروفات حسب الشهر'!$C$135:$AD$244,28,FALSE),0)</f>
        <v>0</v>
      </c>
      <c r="F81" s="362">
        <f>IFERROR(VLOOKUP(C81,'تقرير المصروفات حسب الشهر'!$C$261:$AD$368,28,FALSE),0)</f>
        <v>0</v>
      </c>
      <c r="G81" s="362">
        <f>IFERROR(VLOOKUP(C81,'تقرير المصروفات حسب الشهر'!$C$387:$AD$495,28,FALSE),0)</f>
        <v>0</v>
      </c>
      <c r="H81" s="362">
        <f>IFERROR(VLOOKUP(C81,'تقرير المصروفات حسب الشهر'!$C$512:$AD$620,28,FALSE),0)</f>
        <v>0</v>
      </c>
      <c r="I81" s="362">
        <f>IFERROR(VLOOKUP(C81,'تقرير المصروفات حسب الشهر'!$C$637:$AD$746,28,FALSE),0)</f>
        <v>0</v>
      </c>
      <c r="J81" s="362">
        <f>IFERROR(VLOOKUP(C81,'تقرير المصروفات حسب الشهر'!$C$763:$AD$872,28,FALSE),0)</f>
        <v>0</v>
      </c>
      <c r="K81" s="362">
        <f>IFERROR(VLOOKUP(C81,'تقرير المصروفات حسب الشهر'!$C$890:$AD$999,28,FALSE),0)</f>
        <v>0</v>
      </c>
      <c r="L81" s="362">
        <f>IFERROR(VLOOKUP(C81,'تقرير المصروفات حسب الشهر'!$C$1016:$AD$1126,28,FALSE),0)</f>
        <v>0</v>
      </c>
      <c r="M81" s="376">
        <f>IFERROR(VLOOKUP(C81,'تقرير المصروفات حسب الشهر'!$C$1143:$AD$1254,28,FALSE),0)</f>
        <v>0</v>
      </c>
      <c r="N81" s="384"/>
      <c r="O81" s="384"/>
      <c r="P81" s="364">
        <f t="shared" si="5"/>
        <v>0</v>
      </c>
    </row>
    <row r="82" spans="2:16" ht="18" customHeight="1">
      <c r="B82" s="124"/>
      <c r="C82" s="150" t="s">
        <v>86</v>
      </c>
      <c r="D82" s="362">
        <f>IFERROR(VLOOKUP(C82,'تقرير المصروفات حسب الشهر'!$C$10:$AD$119,28,FALSE),0)</f>
        <v>0</v>
      </c>
      <c r="E82" s="362">
        <f>IFERROR(VLOOKUP(C82,'تقرير المصروفات حسب الشهر'!$C$135:$AD$244,28,FALSE),0)</f>
        <v>0</v>
      </c>
      <c r="F82" s="362">
        <f>IFERROR(VLOOKUP(C82,'تقرير المصروفات حسب الشهر'!$C$261:$AD$368,28,FALSE),0)</f>
        <v>0</v>
      </c>
      <c r="G82" s="362">
        <f>IFERROR(VLOOKUP(C82,'تقرير المصروفات حسب الشهر'!$C$387:$AD$495,28,FALSE),0)</f>
        <v>0</v>
      </c>
      <c r="H82" s="362">
        <f>IFERROR(VLOOKUP(C82,'تقرير المصروفات حسب الشهر'!$C$512:$AD$620,28,FALSE),0)</f>
        <v>0</v>
      </c>
      <c r="I82" s="362">
        <f>IFERROR(VLOOKUP(C82,'تقرير المصروفات حسب الشهر'!$C$637:$AD$746,28,FALSE),0)</f>
        <v>0</v>
      </c>
      <c r="J82" s="362">
        <f>IFERROR(VLOOKUP(C82,'تقرير المصروفات حسب الشهر'!$C$763:$AD$872,28,FALSE),0)</f>
        <v>0</v>
      </c>
      <c r="K82" s="362">
        <f>IFERROR(VLOOKUP(C82,'تقرير المصروفات حسب الشهر'!$C$890:$AD$999,28,FALSE),0)</f>
        <v>0</v>
      </c>
      <c r="L82" s="362">
        <f>IFERROR(VLOOKUP(C82,'تقرير المصروفات حسب الشهر'!$C$1016:$AD$1126,28,FALSE),0)</f>
        <v>0</v>
      </c>
      <c r="M82" s="376">
        <f>IFERROR(VLOOKUP(C82,'تقرير المصروفات حسب الشهر'!$C$1143:$AD$1254,28,FALSE),0)</f>
        <v>0</v>
      </c>
      <c r="N82" s="384"/>
      <c r="O82" s="384"/>
      <c r="P82" s="364">
        <f t="shared" si="5"/>
        <v>0</v>
      </c>
    </row>
    <row r="83" spans="2:16" ht="18" customHeight="1">
      <c r="B83" s="124"/>
      <c r="C83" s="150" t="s">
        <v>87</v>
      </c>
      <c r="D83" s="362">
        <f>IFERROR(VLOOKUP(C83,'تقرير المصروفات حسب الشهر'!$C$10:$AD$119,28,FALSE),0)</f>
        <v>0</v>
      </c>
      <c r="E83" s="362">
        <f>IFERROR(VLOOKUP(C83,'تقرير المصروفات حسب الشهر'!$C$135:$AD$244,28,FALSE),0)</f>
        <v>0</v>
      </c>
      <c r="F83" s="362">
        <f>IFERROR(VLOOKUP(C83,'تقرير المصروفات حسب الشهر'!$C$261:$AD$368,28,FALSE),0)</f>
        <v>0</v>
      </c>
      <c r="G83" s="362">
        <f>IFERROR(VLOOKUP(C83,'تقرير المصروفات حسب الشهر'!$C$387:$AD$495,28,FALSE),0)</f>
        <v>0</v>
      </c>
      <c r="H83" s="362">
        <f>IFERROR(VLOOKUP(C83,'تقرير المصروفات حسب الشهر'!$C$512:$AD$620,28,FALSE),0)</f>
        <v>0</v>
      </c>
      <c r="I83" s="362">
        <f>IFERROR(VLOOKUP(C83,'تقرير المصروفات حسب الشهر'!$C$637:$AD$746,28,FALSE),0)</f>
        <v>0</v>
      </c>
      <c r="J83" s="362">
        <f>IFERROR(VLOOKUP(C83,'تقرير المصروفات حسب الشهر'!$C$763:$AD$872,28,FALSE),0)</f>
        <v>0</v>
      </c>
      <c r="K83" s="362">
        <f>IFERROR(VLOOKUP(C83,'تقرير المصروفات حسب الشهر'!$C$890:$AD$999,28,FALSE),0)</f>
        <v>0</v>
      </c>
      <c r="L83" s="362">
        <f>IFERROR(VLOOKUP(C83,'تقرير المصروفات حسب الشهر'!$C$1016:$AD$1126,28,FALSE),0)</f>
        <v>0</v>
      </c>
      <c r="M83" s="376">
        <f>IFERROR(VLOOKUP(C83,'تقرير المصروفات حسب الشهر'!$C$1143:$AD$1254,28,FALSE),0)</f>
        <v>0</v>
      </c>
      <c r="N83" s="384"/>
      <c r="O83" s="384"/>
      <c r="P83" s="364">
        <f t="shared" si="5"/>
        <v>0</v>
      </c>
    </row>
    <row r="84" spans="2:16" ht="18" customHeight="1">
      <c r="B84" s="124"/>
      <c r="C84" s="150" t="s">
        <v>88</v>
      </c>
      <c r="D84" s="362">
        <f>IFERROR(VLOOKUP(C84,'تقرير المصروفات حسب الشهر'!$C$10:$AD$119,28,FALSE),0)</f>
        <v>0</v>
      </c>
      <c r="E84" s="362">
        <f>IFERROR(VLOOKUP(C84,'تقرير المصروفات حسب الشهر'!$C$135:$AD$244,28,FALSE),0)</f>
        <v>0</v>
      </c>
      <c r="F84" s="362">
        <f>IFERROR(VLOOKUP(C84,'تقرير المصروفات حسب الشهر'!$C$261:$AD$368,28,FALSE),0)</f>
        <v>0</v>
      </c>
      <c r="G84" s="362">
        <f>IFERROR(VLOOKUP(C84,'تقرير المصروفات حسب الشهر'!$C$387:$AD$495,28,FALSE),0)</f>
        <v>0</v>
      </c>
      <c r="H84" s="362">
        <f>IFERROR(VLOOKUP(C84,'تقرير المصروفات حسب الشهر'!$C$512:$AD$620,28,FALSE),0)</f>
        <v>0</v>
      </c>
      <c r="I84" s="362">
        <f>IFERROR(VLOOKUP(C84,'تقرير المصروفات حسب الشهر'!$C$637:$AD$746,28,FALSE),0)</f>
        <v>0</v>
      </c>
      <c r="J84" s="362">
        <f>IFERROR(VLOOKUP(C84,'تقرير المصروفات حسب الشهر'!$C$763:$AD$872,28,FALSE),0)</f>
        <v>0</v>
      </c>
      <c r="K84" s="362">
        <f>IFERROR(VLOOKUP(C84,'تقرير المصروفات حسب الشهر'!$C$890:$AD$999,28,FALSE),0)</f>
        <v>0</v>
      </c>
      <c r="L84" s="362">
        <f>IFERROR(VLOOKUP(C84,'تقرير المصروفات حسب الشهر'!$C$1016:$AD$1126,28,FALSE),0)</f>
        <v>0</v>
      </c>
      <c r="M84" s="376">
        <f>IFERROR(VLOOKUP(C84,'تقرير المصروفات حسب الشهر'!$C$1143:$AD$1254,28,FALSE),0)</f>
        <v>0</v>
      </c>
      <c r="N84" s="384"/>
      <c r="O84" s="384"/>
      <c r="P84" s="364">
        <f t="shared" si="5"/>
        <v>0</v>
      </c>
    </row>
    <row r="85" spans="2:16" ht="18" customHeight="1">
      <c r="B85" s="124"/>
      <c r="C85" s="150" t="s">
        <v>89</v>
      </c>
      <c r="D85" s="362">
        <f>IFERROR(VLOOKUP(C85,'تقرير المصروفات حسب الشهر'!$C$10:$AD$119,28,FALSE),0)</f>
        <v>0</v>
      </c>
      <c r="E85" s="362">
        <f>IFERROR(VLOOKUP(C85,'تقرير المصروفات حسب الشهر'!$C$135:$AD$244,28,FALSE),0)</f>
        <v>0</v>
      </c>
      <c r="F85" s="362">
        <f>IFERROR(VLOOKUP(C85,'تقرير المصروفات حسب الشهر'!$C$261:$AD$368,28,FALSE),0)</f>
        <v>0</v>
      </c>
      <c r="G85" s="362">
        <f>IFERROR(VLOOKUP(C85,'تقرير المصروفات حسب الشهر'!$C$387:$AD$495,28,FALSE),0)</f>
        <v>0</v>
      </c>
      <c r="H85" s="362">
        <f>IFERROR(VLOOKUP(C85,'تقرير المصروفات حسب الشهر'!$C$512:$AD$620,28,FALSE),0)</f>
        <v>0</v>
      </c>
      <c r="I85" s="362">
        <f>IFERROR(VLOOKUP(C85,'تقرير المصروفات حسب الشهر'!$C$637:$AD$746,28,FALSE),0)</f>
        <v>0</v>
      </c>
      <c r="J85" s="362">
        <f>IFERROR(VLOOKUP(C85,'تقرير المصروفات حسب الشهر'!$C$763:$AD$872,28,FALSE),0)</f>
        <v>0</v>
      </c>
      <c r="K85" s="362">
        <f>IFERROR(VLOOKUP(C85,'تقرير المصروفات حسب الشهر'!$C$890:$AD$999,28,FALSE),0)</f>
        <v>0</v>
      </c>
      <c r="L85" s="362">
        <f>IFERROR(VLOOKUP(C85,'تقرير المصروفات حسب الشهر'!$C$1016:$AD$1126,28,FALSE),0)</f>
        <v>0</v>
      </c>
      <c r="M85" s="376">
        <f>IFERROR(VLOOKUP(C85,'تقرير المصروفات حسب الشهر'!$C$1143:$AD$1254,28,FALSE),0)</f>
        <v>0</v>
      </c>
      <c r="N85" s="384"/>
      <c r="O85" s="384"/>
      <c r="P85" s="364">
        <f t="shared" si="5"/>
        <v>0</v>
      </c>
    </row>
    <row r="86" spans="2:16" ht="18" customHeight="1">
      <c r="B86" s="124"/>
      <c r="C86" s="150" t="s">
        <v>33</v>
      </c>
      <c r="D86" s="362">
        <f>IFERROR(VLOOKUP(C86,'تقرير المصروفات حسب الشهر'!$C$10:$AD$119,28,FALSE),0)</f>
        <v>0</v>
      </c>
      <c r="E86" s="362">
        <f>IFERROR(VLOOKUP(C86,'تقرير المصروفات حسب الشهر'!$C$135:$AD$244,28,FALSE),0)</f>
        <v>0</v>
      </c>
      <c r="F86" s="362">
        <f>IFERROR(VLOOKUP(C86,'تقرير المصروفات حسب الشهر'!$C$261:$AD$368,28,FALSE),0)</f>
        <v>0</v>
      </c>
      <c r="G86" s="362">
        <f>IFERROR(VLOOKUP(C86,'تقرير المصروفات حسب الشهر'!$C$387:$AD$495,28,FALSE),0)</f>
        <v>0</v>
      </c>
      <c r="H86" s="362">
        <f>IFERROR(VLOOKUP(C86,'تقرير المصروفات حسب الشهر'!$C$512:$AD$620,28,FALSE),0)</f>
        <v>0</v>
      </c>
      <c r="I86" s="362">
        <f>IFERROR(VLOOKUP(C86,'تقرير المصروفات حسب الشهر'!$C$637:$AD$746,28,FALSE),0)</f>
        <v>0</v>
      </c>
      <c r="J86" s="362">
        <f>IFERROR(VLOOKUP(C86,'تقرير المصروفات حسب الشهر'!$C$763:$AD$872,28,FALSE),0)</f>
        <v>0</v>
      </c>
      <c r="K86" s="362">
        <f>IFERROR(VLOOKUP(C86,'تقرير المصروفات حسب الشهر'!$C$890:$AD$999,28,FALSE),0)</f>
        <v>0</v>
      </c>
      <c r="L86" s="362">
        <f>IFERROR(VLOOKUP(C86,'تقرير المصروفات حسب الشهر'!$C$1016:$AD$1126,28,FALSE),0)</f>
        <v>0</v>
      </c>
      <c r="M86" s="376">
        <f>IFERROR(VLOOKUP(C86,'تقرير المصروفات حسب الشهر'!$C$1143:$AD$1254,28,FALSE),0)</f>
        <v>0</v>
      </c>
      <c r="N86" s="384"/>
      <c r="O86" s="384"/>
      <c r="P86" s="364">
        <f t="shared" si="5"/>
        <v>0</v>
      </c>
    </row>
    <row r="87" spans="2:16" ht="18" customHeight="1">
      <c r="B87" s="124"/>
      <c r="C87" s="150" t="s">
        <v>90</v>
      </c>
      <c r="D87" s="362">
        <f>IFERROR(VLOOKUP(C87,'تقرير المصروفات حسب الشهر'!$C$10:$AD$119,28,FALSE),0)</f>
        <v>0</v>
      </c>
      <c r="E87" s="362">
        <f>IFERROR(VLOOKUP(C87,'تقرير المصروفات حسب الشهر'!$C$135:$AD$244,28,FALSE),0)</f>
        <v>0</v>
      </c>
      <c r="F87" s="362">
        <f>IFERROR(VLOOKUP(C87,'تقرير المصروفات حسب الشهر'!$C$261:$AD$368,28,FALSE),0)</f>
        <v>0</v>
      </c>
      <c r="G87" s="362">
        <f>IFERROR(VLOOKUP(C87,'تقرير المصروفات حسب الشهر'!$C$387:$AD$495,28,FALSE),0)</f>
        <v>0</v>
      </c>
      <c r="H87" s="362">
        <f>IFERROR(VLOOKUP(C87,'تقرير المصروفات حسب الشهر'!$C$512:$AD$620,28,FALSE),0)</f>
        <v>0</v>
      </c>
      <c r="I87" s="362">
        <f>IFERROR(VLOOKUP(C87,'تقرير المصروفات حسب الشهر'!$C$637:$AD$746,28,FALSE),0)</f>
        <v>0</v>
      </c>
      <c r="J87" s="362">
        <f>IFERROR(VLOOKUP(C87,'تقرير المصروفات حسب الشهر'!$C$763:$AD$872,28,FALSE),0)</f>
        <v>0</v>
      </c>
      <c r="K87" s="362">
        <f>IFERROR(VLOOKUP(C87,'تقرير المصروفات حسب الشهر'!$C$890:$AD$999,28,FALSE),0)</f>
        <v>0</v>
      </c>
      <c r="L87" s="362">
        <f>IFERROR(VLOOKUP(C87,'تقرير المصروفات حسب الشهر'!$C$1016:$AD$1126,28,FALSE),0)</f>
        <v>0</v>
      </c>
      <c r="M87" s="376">
        <f>IFERROR(VLOOKUP(C87,'تقرير المصروفات حسب الشهر'!$C$1143:$AD$1254,28,FALSE),0)</f>
        <v>0</v>
      </c>
      <c r="N87" s="384"/>
      <c r="O87" s="384"/>
      <c r="P87" s="364">
        <f t="shared" ref="P87:P134" si="6">SUM(D87:O87)</f>
        <v>0</v>
      </c>
    </row>
    <row r="88" spans="2:16" ht="18" customHeight="1">
      <c r="B88" s="124"/>
      <c r="C88" s="150" t="s">
        <v>91</v>
      </c>
      <c r="D88" s="362">
        <f>IFERROR(VLOOKUP(C88,'تقرير المصروفات حسب الشهر'!$C$10:$AD$119,28,FALSE),0)</f>
        <v>0</v>
      </c>
      <c r="E88" s="362">
        <f>IFERROR(VLOOKUP(C88,'تقرير المصروفات حسب الشهر'!$C$135:$AD$244,28,FALSE),0)</f>
        <v>0</v>
      </c>
      <c r="F88" s="362">
        <f>IFERROR(VLOOKUP(C88,'تقرير المصروفات حسب الشهر'!$C$261:$AD$368,28,FALSE),0)</f>
        <v>0</v>
      </c>
      <c r="G88" s="362">
        <f>IFERROR(VLOOKUP(C88,'تقرير المصروفات حسب الشهر'!$C$387:$AD$495,28,FALSE),0)</f>
        <v>0</v>
      </c>
      <c r="H88" s="362">
        <f>IFERROR(VLOOKUP(C88,'تقرير المصروفات حسب الشهر'!$C$512:$AD$620,28,FALSE),0)</f>
        <v>0</v>
      </c>
      <c r="I88" s="362">
        <f>IFERROR(VLOOKUP(C88,'تقرير المصروفات حسب الشهر'!$C$637:$AD$746,28,FALSE),0)</f>
        <v>0</v>
      </c>
      <c r="J88" s="362">
        <f>IFERROR(VLOOKUP(C88,'تقرير المصروفات حسب الشهر'!$C$763:$AD$872,28,FALSE),0)</f>
        <v>0</v>
      </c>
      <c r="K88" s="362">
        <f>IFERROR(VLOOKUP(C88,'تقرير المصروفات حسب الشهر'!$C$890:$AD$999,28,FALSE),0)</f>
        <v>0</v>
      </c>
      <c r="L88" s="362">
        <f>IFERROR(VLOOKUP(C88,'تقرير المصروفات حسب الشهر'!$C$1016:$AD$1126,28,FALSE),0)</f>
        <v>0</v>
      </c>
      <c r="M88" s="376">
        <f>IFERROR(VLOOKUP(C88,'تقرير المصروفات حسب الشهر'!$C$1143:$AD$1254,28,FALSE),0)</f>
        <v>0</v>
      </c>
      <c r="N88" s="384"/>
      <c r="O88" s="384"/>
      <c r="P88" s="364">
        <f t="shared" si="6"/>
        <v>0</v>
      </c>
    </row>
    <row r="89" spans="2:16" ht="18" customHeight="1">
      <c r="B89" s="124"/>
      <c r="C89" s="150" t="s">
        <v>92</v>
      </c>
      <c r="D89" s="362">
        <f>IFERROR(VLOOKUP(C89,'تقرير المصروفات حسب الشهر'!$C$10:$AD$119,28,FALSE),0)</f>
        <v>0</v>
      </c>
      <c r="E89" s="362">
        <f>IFERROR(VLOOKUP(C89,'تقرير المصروفات حسب الشهر'!$C$135:$AD$244,28,FALSE),0)</f>
        <v>0</v>
      </c>
      <c r="F89" s="362">
        <f>IFERROR(VLOOKUP(C89,'تقرير المصروفات حسب الشهر'!$C$261:$AD$368,28,FALSE),0)</f>
        <v>0</v>
      </c>
      <c r="G89" s="362">
        <f>IFERROR(VLOOKUP(C89,'تقرير المصروفات حسب الشهر'!$C$387:$AD$495,28,FALSE),0)</f>
        <v>0</v>
      </c>
      <c r="H89" s="362">
        <f>IFERROR(VLOOKUP(C89,'تقرير المصروفات حسب الشهر'!$C$512:$AD$620,28,FALSE),0)</f>
        <v>0</v>
      </c>
      <c r="I89" s="362">
        <f>IFERROR(VLOOKUP(C89,'تقرير المصروفات حسب الشهر'!$C$637:$AD$746,28,FALSE),0)</f>
        <v>0</v>
      </c>
      <c r="J89" s="362">
        <f>IFERROR(VLOOKUP(C89,'تقرير المصروفات حسب الشهر'!$C$763:$AD$872,28,FALSE),0)</f>
        <v>0</v>
      </c>
      <c r="K89" s="362">
        <f>IFERROR(VLOOKUP(C89,'تقرير المصروفات حسب الشهر'!$C$890:$AD$999,28,FALSE),0)</f>
        <v>0</v>
      </c>
      <c r="L89" s="362">
        <f>IFERROR(VLOOKUP(C89,'تقرير المصروفات حسب الشهر'!$C$1016:$AD$1126,28,FALSE),0)</f>
        <v>0</v>
      </c>
      <c r="M89" s="376">
        <f>IFERROR(VLOOKUP(C89,'تقرير المصروفات حسب الشهر'!$C$1143:$AD$1254,28,FALSE),0)</f>
        <v>0</v>
      </c>
      <c r="N89" s="384"/>
      <c r="O89" s="384"/>
      <c r="P89" s="364">
        <f t="shared" si="6"/>
        <v>0</v>
      </c>
    </row>
    <row r="90" spans="2:16" ht="18" customHeight="1">
      <c r="B90" s="124"/>
      <c r="C90" s="150" t="s">
        <v>93</v>
      </c>
      <c r="D90" s="362">
        <f>IFERROR(VLOOKUP(C90,'تقرير المصروفات حسب الشهر'!$C$10:$AD$119,28,FALSE),0)</f>
        <v>0</v>
      </c>
      <c r="E90" s="362">
        <f>IFERROR(VLOOKUP(C90,'تقرير المصروفات حسب الشهر'!$C$135:$AD$244,28,FALSE),0)</f>
        <v>0</v>
      </c>
      <c r="F90" s="362">
        <f>IFERROR(VLOOKUP(C90,'تقرير المصروفات حسب الشهر'!$C$261:$AD$368,28,FALSE),0)</f>
        <v>0</v>
      </c>
      <c r="G90" s="362">
        <f>IFERROR(VLOOKUP(C90,'تقرير المصروفات حسب الشهر'!$C$387:$AD$495,28,FALSE),0)</f>
        <v>0</v>
      </c>
      <c r="H90" s="362">
        <f>IFERROR(VLOOKUP(C90,'تقرير المصروفات حسب الشهر'!$C$512:$AD$620,28,FALSE),0)</f>
        <v>0</v>
      </c>
      <c r="I90" s="362">
        <f>IFERROR(VLOOKUP(C90,'تقرير المصروفات حسب الشهر'!$C$637:$AD$746,28,FALSE),0)</f>
        <v>0</v>
      </c>
      <c r="J90" s="362">
        <f>IFERROR(VLOOKUP(C90,'تقرير المصروفات حسب الشهر'!$C$763:$AD$872,28,FALSE),0)</f>
        <v>0</v>
      </c>
      <c r="K90" s="362">
        <f>IFERROR(VLOOKUP(C90,'تقرير المصروفات حسب الشهر'!$C$890:$AD$999,28,FALSE),0)</f>
        <v>0</v>
      </c>
      <c r="L90" s="362">
        <f>IFERROR(VLOOKUP(C90,'تقرير المصروفات حسب الشهر'!$C$1016:$AD$1126,28,FALSE),0)</f>
        <v>0</v>
      </c>
      <c r="M90" s="376">
        <f>IFERROR(VLOOKUP(C90,'تقرير المصروفات حسب الشهر'!$C$1143:$AD$1254,28,FALSE),0)</f>
        <v>0</v>
      </c>
      <c r="N90" s="384"/>
      <c r="O90" s="384"/>
      <c r="P90" s="364">
        <f t="shared" si="6"/>
        <v>0</v>
      </c>
    </row>
    <row r="91" spans="2:16" ht="18" customHeight="1">
      <c r="B91" s="124"/>
      <c r="C91" s="150" t="s">
        <v>94</v>
      </c>
      <c r="D91" s="362">
        <f>IFERROR(VLOOKUP(C91,'تقرير المصروفات حسب الشهر'!$C$10:$AD$119,28,FALSE),0)</f>
        <v>0</v>
      </c>
      <c r="E91" s="362">
        <f>IFERROR(VLOOKUP(C91,'تقرير المصروفات حسب الشهر'!$C$135:$AD$244,28,FALSE),0)</f>
        <v>0</v>
      </c>
      <c r="F91" s="362">
        <f>IFERROR(VLOOKUP(C91,'تقرير المصروفات حسب الشهر'!$C$261:$AD$368,28,FALSE),0)</f>
        <v>0</v>
      </c>
      <c r="G91" s="362">
        <f>IFERROR(VLOOKUP(C91,'تقرير المصروفات حسب الشهر'!$C$387:$AD$495,28,FALSE),0)</f>
        <v>0</v>
      </c>
      <c r="H91" s="362">
        <f>IFERROR(VLOOKUP(C91,'تقرير المصروفات حسب الشهر'!$C$512:$AD$620,28,FALSE),0)</f>
        <v>0</v>
      </c>
      <c r="I91" s="362">
        <f>IFERROR(VLOOKUP(C91,'تقرير المصروفات حسب الشهر'!$C$637:$AD$746,28,FALSE),0)</f>
        <v>0</v>
      </c>
      <c r="J91" s="362">
        <f>IFERROR(VLOOKUP(C91,'تقرير المصروفات حسب الشهر'!$C$763:$AD$872,28,FALSE),0)</f>
        <v>0</v>
      </c>
      <c r="K91" s="362">
        <f>IFERROR(VLOOKUP(C91,'تقرير المصروفات حسب الشهر'!$C$890:$AD$999,28,FALSE),0)</f>
        <v>0</v>
      </c>
      <c r="L91" s="362">
        <f>IFERROR(VLOOKUP(C91,'تقرير المصروفات حسب الشهر'!$C$1016:$AD$1126,28,FALSE),0)</f>
        <v>0</v>
      </c>
      <c r="M91" s="376">
        <f>IFERROR(VLOOKUP(C91,'تقرير المصروفات حسب الشهر'!$C$1143:$AD$1254,28,FALSE),0)</f>
        <v>0</v>
      </c>
      <c r="N91" s="384"/>
      <c r="O91" s="384"/>
      <c r="P91" s="364">
        <f t="shared" si="6"/>
        <v>0</v>
      </c>
    </row>
    <row r="92" spans="2:16" ht="18" customHeight="1">
      <c r="B92" s="124"/>
      <c r="C92" s="150" t="s">
        <v>95</v>
      </c>
      <c r="D92" s="362">
        <f>IFERROR(VLOOKUP(C92,'تقرير المصروفات حسب الشهر'!$C$10:$AD$119,28,FALSE),0)</f>
        <v>0</v>
      </c>
      <c r="E92" s="362">
        <f>IFERROR(VLOOKUP(C92,'تقرير المصروفات حسب الشهر'!$C$135:$AD$244,28,FALSE),0)</f>
        <v>0</v>
      </c>
      <c r="F92" s="362">
        <f>IFERROR(VLOOKUP(C92,'تقرير المصروفات حسب الشهر'!$C$261:$AD$368,28,FALSE),0)</f>
        <v>0</v>
      </c>
      <c r="G92" s="362">
        <f>IFERROR(VLOOKUP(C92,'تقرير المصروفات حسب الشهر'!$C$387:$AD$495,28,FALSE),0)</f>
        <v>0</v>
      </c>
      <c r="H92" s="362">
        <f>IFERROR(VLOOKUP(C92,'تقرير المصروفات حسب الشهر'!$C$512:$AD$620,28,FALSE),0)</f>
        <v>0</v>
      </c>
      <c r="I92" s="362">
        <f>IFERROR(VLOOKUP(C92,'تقرير المصروفات حسب الشهر'!$C$637:$AD$746,28,FALSE),0)</f>
        <v>0</v>
      </c>
      <c r="J92" s="362">
        <f>IFERROR(VLOOKUP(C92,'تقرير المصروفات حسب الشهر'!$C$763:$AD$872,28,FALSE),0)</f>
        <v>0</v>
      </c>
      <c r="K92" s="362">
        <f>IFERROR(VLOOKUP(C92,'تقرير المصروفات حسب الشهر'!$C$890:$AD$999,28,FALSE),0)</f>
        <v>0</v>
      </c>
      <c r="L92" s="362">
        <f>IFERROR(VLOOKUP(C92,'تقرير المصروفات حسب الشهر'!$C$1016:$AD$1126,28,FALSE),0)</f>
        <v>0</v>
      </c>
      <c r="M92" s="376">
        <f>IFERROR(VLOOKUP(C92,'تقرير المصروفات حسب الشهر'!$C$1143:$AD$1254,28,FALSE),0)</f>
        <v>0</v>
      </c>
      <c r="N92" s="384"/>
      <c r="O92" s="384"/>
      <c r="P92" s="364">
        <f t="shared" si="6"/>
        <v>0</v>
      </c>
    </row>
    <row r="93" spans="2:16" ht="18" customHeight="1">
      <c r="B93" s="124"/>
      <c r="C93" s="150" t="s">
        <v>96</v>
      </c>
      <c r="D93" s="362">
        <f>IFERROR(VLOOKUP(C93,'تقرير المصروفات حسب الشهر'!$C$10:$AD$119,28,FALSE),0)</f>
        <v>0</v>
      </c>
      <c r="E93" s="362">
        <f>IFERROR(VLOOKUP(C93,'تقرير المصروفات حسب الشهر'!$C$135:$AD$244,28,FALSE),0)</f>
        <v>0</v>
      </c>
      <c r="F93" s="362">
        <f>IFERROR(VLOOKUP(C93,'تقرير المصروفات حسب الشهر'!$C$261:$AD$368,28,FALSE),0)</f>
        <v>0</v>
      </c>
      <c r="G93" s="362">
        <f>IFERROR(VLOOKUP(C93,'تقرير المصروفات حسب الشهر'!$C$387:$AD$495,28,FALSE),0)</f>
        <v>0</v>
      </c>
      <c r="H93" s="362">
        <f>IFERROR(VLOOKUP(C93,'تقرير المصروفات حسب الشهر'!$C$512:$AD$620,28,FALSE),0)</f>
        <v>0</v>
      </c>
      <c r="I93" s="362">
        <f>IFERROR(VLOOKUP(C93,'تقرير المصروفات حسب الشهر'!$C$637:$AD$746,28,FALSE),0)</f>
        <v>0</v>
      </c>
      <c r="J93" s="362">
        <f>IFERROR(VLOOKUP(C93,'تقرير المصروفات حسب الشهر'!$C$763:$AD$872,28,FALSE),0)</f>
        <v>0</v>
      </c>
      <c r="K93" s="362">
        <f>IFERROR(VLOOKUP(C93,'تقرير المصروفات حسب الشهر'!$C$890:$AD$999,28,FALSE),0)</f>
        <v>0</v>
      </c>
      <c r="L93" s="362">
        <f>IFERROR(VLOOKUP(C93,'تقرير المصروفات حسب الشهر'!$C$1016:$AD$1126,28,FALSE),0)</f>
        <v>0</v>
      </c>
      <c r="M93" s="376">
        <f>IFERROR(VLOOKUP(C93,'تقرير المصروفات حسب الشهر'!$C$1143:$AD$1254,28,FALSE),0)</f>
        <v>0</v>
      </c>
      <c r="N93" s="384"/>
      <c r="O93" s="384"/>
      <c r="P93" s="364">
        <f t="shared" si="6"/>
        <v>0</v>
      </c>
    </row>
    <row r="94" spans="2:16" ht="18" customHeight="1">
      <c r="B94" s="124"/>
      <c r="C94" s="150" t="s">
        <v>97</v>
      </c>
      <c r="D94" s="362">
        <f>IFERROR(VLOOKUP(C94,'تقرير المصروفات حسب الشهر'!$C$10:$AD$119,28,FALSE),0)</f>
        <v>0</v>
      </c>
      <c r="E94" s="362">
        <f>IFERROR(VLOOKUP(C94,'تقرير المصروفات حسب الشهر'!$C$135:$AD$244,28,FALSE),0)</f>
        <v>0</v>
      </c>
      <c r="F94" s="362">
        <f>IFERROR(VLOOKUP(C94,'تقرير المصروفات حسب الشهر'!$C$261:$AD$368,28,FALSE),0)</f>
        <v>0</v>
      </c>
      <c r="G94" s="362">
        <f>IFERROR(VLOOKUP(C94,'تقرير المصروفات حسب الشهر'!$C$387:$AD$495,28,FALSE),0)</f>
        <v>0</v>
      </c>
      <c r="H94" s="362">
        <f>IFERROR(VLOOKUP(C94,'تقرير المصروفات حسب الشهر'!$C$512:$AD$620,28,FALSE),0)</f>
        <v>0</v>
      </c>
      <c r="I94" s="362">
        <f>IFERROR(VLOOKUP(C94,'تقرير المصروفات حسب الشهر'!$C$637:$AD$746,28,FALSE),0)</f>
        <v>0</v>
      </c>
      <c r="J94" s="362">
        <f>IFERROR(VLOOKUP(C94,'تقرير المصروفات حسب الشهر'!$C$763:$AD$872,28,FALSE),0)</f>
        <v>0</v>
      </c>
      <c r="K94" s="362">
        <f>IFERROR(VLOOKUP(C94,'تقرير المصروفات حسب الشهر'!$C$890:$AD$999,28,FALSE),0)</f>
        <v>0</v>
      </c>
      <c r="L94" s="362">
        <f>IFERROR(VLOOKUP(C94,'تقرير المصروفات حسب الشهر'!$C$1016:$AD$1126,28,FALSE),0)</f>
        <v>0</v>
      </c>
      <c r="M94" s="376">
        <f>IFERROR(VLOOKUP(C94,'تقرير المصروفات حسب الشهر'!$C$1143:$AD$1254,28,FALSE),0)</f>
        <v>0</v>
      </c>
      <c r="N94" s="384"/>
      <c r="O94" s="384"/>
      <c r="P94" s="364">
        <f t="shared" si="6"/>
        <v>0</v>
      </c>
    </row>
    <row r="95" spans="2:16" ht="18" customHeight="1">
      <c r="B95" s="124"/>
      <c r="C95" s="150" t="s">
        <v>192</v>
      </c>
      <c r="D95" s="362">
        <f>IFERROR(VLOOKUP(C95,'تقرير المصروفات حسب الشهر'!$C$10:$AD$119,28,FALSE),0)</f>
        <v>0</v>
      </c>
      <c r="E95" s="362">
        <f>IFERROR(VLOOKUP(C95,'تقرير المصروفات حسب الشهر'!$C$135:$AD$244,28,FALSE),0)</f>
        <v>0</v>
      </c>
      <c r="F95" s="362">
        <f>IFERROR(VLOOKUP(C95,'تقرير المصروفات حسب الشهر'!$C$261:$AD$368,28,FALSE),0)</f>
        <v>0</v>
      </c>
      <c r="G95" s="362">
        <f>IFERROR(VLOOKUP(C95,'تقرير المصروفات حسب الشهر'!$C$387:$AD$495,28,FALSE),0)</f>
        <v>0</v>
      </c>
      <c r="H95" s="362">
        <f>IFERROR(VLOOKUP(C95,'تقرير المصروفات حسب الشهر'!$C$512:$AD$620,28,FALSE),0)</f>
        <v>0</v>
      </c>
      <c r="I95" s="362">
        <f>IFERROR(VLOOKUP(C95,'تقرير المصروفات حسب الشهر'!$C$637:$AD$746,28,FALSE),0)</f>
        <v>0</v>
      </c>
      <c r="J95" s="362">
        <f>IFERROR(VLOOKUP(C95,'تقرير المصروفات حسب الشهر'!$C$763:$AD$872,28,FALSE),0)</f>
        <v>0</v>
      </c>
      <c r="K95" s="362">
        <f>IFERROR(VLOOKUP(C95,'تقرير المصروفات حسب الشهر'!$C$890:$AD$999,28,FALSE),0)</f>
        <v>0</v>
      </c>
      <c r="L95" s="362">
        <f>IFERROR(VLOOKUP(C95,'تقرير المصروفات حسب الشهر'!$C$1016:$AD$1126,28,FALSE),0)</f>
        <v>0</v>
      </c>
      <c r="M95" s="376">
        <f>IFERROR(VLOOKUP(C95,'تقرير المصروفات حسب الشهر'!$C$1143:$AD$1254,28,FALSE),0)</f>
        <v>0</v>
      </c>
      <c r="N95" s="384"/>
      <c r="O95" s="384"/>
      <c r="P95" s="364">
        <f t="shared" si="6"/>
        <v>0</v>
      </c>
    </row>
    <row r="96" spans="2:16" ht="18" customHeight="1">
      <c r="B96" s="124"/>
      <c r="C96" s="150" t="s">
        <v>98</v>
      </c>
      <c r="D96" s="362">
        <f>IFERROR(VLOOKUP(C96,'تقرير المصروفات حسب الشهر'!$C$10:$AD$119,28,FALSE),0)</f>
        <v>0</v>
      </c>
      <c r="E96" s="362">
        <f>IFERROR(VLOOKUP(C96,'تقرير المصروفات حسب الشهر'!$C$135:$AD$244,28,FALSE),0)</f>
        <v>0</v>
      </c>
      <c r="F96" s="362">
        <f>IFERROR(VLOOKUP(C96,'تقرير المصروفات حسب الشهر'!$C$261:$AD$368,28,FALSE),0)</f>
        <v>0</v>
      </c>
      <c r="G96" s="362">
        <f>IFERROR(VLOOKUP(C96,'تقرير المصروفات حسب الشهر'!$C$387:$AD$495,28,FALSE),0)</f>
        <v>0</v>
      </c>
      <c r="H96" s="362">
        <f>IFERROR(VLOOKUP(C96,'تقرير المصروفات حسب الشهر'!$C$512:$AD$620,28,FALSE),0)</f>
        <v>0</v>
      </c>
      <c r="I96" s="362">
        <f>IFERROR(VLOOKUP(C96,'تقرير المصروفات حسب الشهر'!$C$637:$AD$746,28,FALSE),0)</f>
        <v>0</v>
      </c>
      <c r="J96" s="362">
        <f>IFERROR(VLOOKUP(C96,'تقرير المصروفات حسب الشهر'!$C$763:$AD$872,28,FALSE),0)</f>
        <v>0</v>
      </c>
      <c r="K96" s="362">
        <f>IFERROR(VLOOKUP(C96,'تقرير المصروفات حسب الشهر'!$C$890:$AD$999,28,FALSE),0)</f>
        <v>0</v>
      </c>
      <c r="L96" s="362">
        <f>IFERROR(VLOOKUP(C96,'تقرير المصروفات حسب الشهر'!$C$1016:$AD$1126,28,FALSE),0)</f>
        <v>0</v>
      </c>
      <c r="M96" s="376">
        <f>IFERROR(VLOOKUP(C96,'تقرير المصروفات حسب الشهر'!$C$1143:$AD$1254,28,FALSE),0)</f>
        <v>0</v>
      </c>
      <c r="N96" s="384"/>
      <c r="O96" s="384"/>
      <c r="P96" s="364">
        <f t="shared" si="6"/>
        <v>0</v>
      </c>
    </row>
    <row r="97" spans="2:16" ht="18" customHeight="1">
      <c r="B97" s="124"/>
      <c r="C97" s="150" t="s">
        <v>99</v>
      </c>
      <c r="D97" s="362">
        <f>IFERROR(VLOOKUP(C97,'تقرير المصروفات حسب الشهر'!$C$10:$AD$119,28,FALSE),0)</f>
        <v>0</v>
      </c>
      <c r="E97" s="362">
        <f>IFERROR(VLOOKUP(C97,'تقرير المصروفات حسب الشهر'!$C$135:$AD$244,28,FALSE),0)</f>
        <v>0</v>
      </c>
      <c r="F97" s="362">
        <f>IFERROR(VLOOKUP(C97,'تقرير المصروفات حسب الشهر'!$C$261:$AD$368,28,FALSE),0)</f>
        <v>0</v>
      </c>
      <c r="G97" s="362">
        <f>IFERROR(VLOOKUP(C97,'تقرير المصروفات حسب الشهر'!$C$387:$AD$495,28,FALSE),0)</f>
        <v>0</v>
      </c>
      <c r="H97" s="362">
        <f>IFERROR(VLOOKUP(C97,'تقرير المصروفات حسب الشهر'!$C$512:$AD$620,28,FALSE),0)</f>
        <v>0</v>
      </c>
      <c r="I97" s="362">
        <f>IFERROR(VLOOKUP(C97,'تقرير المصروفات حسب الشهر'!$C$637:$AD$746,28,FALSE),0)</f>
        <v>0</v>
      </c>
      <c r="J97" s="362">
        <f>IFERROR(VLOOKUP(C97,'تقرير المصروفات حسب الشهر'!$C$763:$AD$872,28,FALSE),0)</f>
        <v>0</v>
      </c>
      <c r="K97" s="362">
        <f>IFERROR(VLOOKUP(C97,'تقرير المصروفات حسب الشهر'!$C$890:$AD$999,28,FALSE),0)</f>
        <v>0</v>
      </c>
      <c r="L97" s="362">
        <f>IFERROR(VLOOKUP(C97,'تقرير المصروفات حسب الشهر'!$C$1016:$AD$1126,28,FALSE),0)</f>
        <v>0</v>
      </c>
      <c r="M97" s="376">
        <f>IFERROR(VLOOKUP(C97,'تقرير المصروفات حسب الشهر'!$C$1143:$AD$1254,28,FALSE),0)</f>
        <v>0</v>
      </c>
      <c r="N97" s="384"/>
      <c r="O97" s="384"/>
      <c r="P97" s="364">
        <f t="shared" si="6"/>
        <v>0</v>
      </c>
    </row>
    <row r="98" spans="2:16" ht="18" customHeight="1">
      <c r="B98" s="124"/>
      <c r="C98" s="150" t="s">
        <v>100</v>
      </c>
      <c r="D98" s="362">
        <f>IFERROR(VLOOKUP(C98,'تقرير المصروفات حسب الشهر'!$C$10:$AD$119,28,FALSE),0)</f>
        <v>0</v>
      </c>
      <c r="E98" s="362">
        <f>IFERROR(VLOOKUP(C98,'تقرير المصروفات حسب الشهر'!$C$135:$AD$244,28,FALSE),0)</f>
        <v>0</v>
      </c>
      <c r="F98" s="362">
        <f>IFERROR(VLOOKUP(C98,'تقرير المصروفات حسب الشهر'!$C$261:$AD$368,28,FALSE),0)</f>
        <v>0</v>
      </c>
      <c r="G98" s="362">
        <f>IFERROR(VLOOKUP(C98,'تقرير المصروفات حسب الشهر'!$C$387:$AD$495,28,FALSE),0)</f>
        <v>0</v>
      </c>
      <c r="H98" s="362">
        <f>IFERROR(VLOOKUP(C98,'تقرير المصروفات حسب الشهر'!$C$512:$AD$620,28,FALSE),0)</f>
        <v>0</v>
      </c>
      <c r="I98" s="362">
        <f>IFERROR(VLOOKUP(C98,'تقرير المصروفات حسب الشهر'!$C$637:$AD$746,28,FALSE),0)</f>
        <v>0</v>
      </c>
      <c r="J98" s="362">
        <f>IFERROR(VLOOKUP(C98,'تقرير المصروفات حسب الشهر'!$C$763:$AD$872,28,FALSE),0)</f>
        <v>0</v>
      </c>
      <c r="K98" s="362">
        <f>IFERROR(VLOOKUP(C98,'تقرير المصروفات حسب الشهر'!$C$890:$AD$999,28,FALSE),0)</f>
        <v>0</v>
      </c>
      <c r="L98" s="362">
        <f>IFERROR(VLOOKUP(C98,'تقرير المصروفات حسب الشهر'!$C$1016:$AD$1126,28,FALSE),0)</f>
        <v>0</v>
      </c>
      <c r="M98" s="376">
        <f>IFERROR(VLOOKUP(C98,'تقرير المصروفات حسب الشهر'!$C$1143:$AD$1254,28,FALSE),0)</f>
        <v>0</v>
      </c>
      <c r="N98" s="384"/>
      <c r="O98" s="384"/>
      <c r="P98" s="364">
        <f t="shared" si="6"/>
        <v>0</v>
      </c>
    </row>
    <row r="99" spans="2:16" ht="18" customHeight="1">
      <c r="B99" s="124"/>
      <c r="C99" s="150" t="s">
        <v>101</v>
      </c>
      <c r="D99" s="362">
        <f>IFERROR(VLOOKUP(C99,'تقرير المصروفات حسب الشهر'!$C$10:$AD$119,28,FALSE),0)</f>
        <v>0</v>
      </c>
      <c r="E99" s="362">
        <f>IFERROR(VLOOKUP(C99,'تقرير المصروفات حسب الشهر'!$C$135:$AD$244,28,FALSE),0)</f>
        <v>0</v>
      </c>
      <c r="F99" s="362">
        <f>IFERROR(VLOOKUP(C99,'تقرير المصروفات حسب الشهر'!$C$261:$AD$368,28,FALSE),0)</f>
        <v>0</v>
      </c>
      <c r="G99" s="362">
        <f>IFERROR(VLOOKUP(C99,'تقرير المصروفات حسب الشهر'!$C$387:$AD$495,28,FALSE),0)</f>
        <v>0</v>
      </c>
      <c r="H99" s="362">
        <f>IFERROR(VLOOKUP(C99,'تقرير المصروفات حسب الشهر'!$C$512:$AD$620,28,FALSE),0)</f>
        <v>0</v>
      </c>
      <c r="I99" s="362">
        <f>IFERROR(VLOOKUP(C99,'تقرير المصروفات حسب الشهر'!$C$637:$AD$746,28,FALSE),0)</f>
        <v>0</v>
      </c>
      <c r="J99" s="362">
        <f>IFERROR(VLOOKUP(C99,'تقرير المصروفات حسب الشهر'!$C$763:$AD$872,28,FALSE),0)</f>
        <v>0</v>
      </c>
      <c r="K99" s="362">
        <f>IFERROR(VLOOKUP(C99,'تقرير المصروفات حسب الشهر'!$C$890:$AD$999,28,FALSE),0)</f>
        <v>0</v>
      </c>
      <c r="L99" s="362">
        <f>IFERROR(VLOOKUP(C99,'تقرير المصروفات حسب الشهر'!$C$1016:$AD$1126,28,FALSE),0)</f>
        <v>0</v>
      </c>
      <c r="M99" s="376">
        <f>IFERROR(VLOOKUP(C99,'تقرير المصروفات حسب الشهر'!$C$1143:$AD$1254,28,FALSE),0)</f>
        <v>0</v>
      </c>
      <c r="N99" s="384"/>
      <c r="O99" s="384"/>
      <c r="P99" s="364">
        <f t="shared" si="6"/>
        <v>0</v>
      </c>
    </row>
    <row r="100" spans="2:16" ht="18" customHeight="1">
      <c r="B100" s="124"/>
      <c r="C100" s="150" t="s">
        <v>102</v>
      </c>
      <c r="D100" s="362">
        <f>IFERROR(VLOOKUP(C100,'تقرير المصروفات حسب الشهر'!$C$10:$AD$119,28,FALSE),0)</f>
        <v>0</v>
      </c>
      <c r="E100" s="362">
        <f>IFERROR(VLOOKUP(C100,'تقرير المصروفات حسب الشهر'!$C$135:$AD$244,28,FALSE),0)</f>
        <v>0</v>
      </c>
      <c r="F100" s="362">
        <f>IFERROR(VLOOKUP(C100,'تقرير المصروفات حسب الشهر'!$C$261:$AD$368,28,FALSE),0)</f>
        <v>0</v>
      </c>
      <c r="G100" s="362">
        <f>IFERROR(VLOOKUP(C100,'تقرير المصروفات حسب الشهر'!$C$387:$AD$495,28,FALSE),0)</f>
        <v>0</v>
      </c>
      <c r="H100" s="362">
        <f>IFERROR(VLOOKUP(C100,'تقرير المصروفات حسب الشهر'!$C$512:$AD$620,28,FALSE),0)</f>
        <v>0</v>
      </c>
      <c r="I100" s="362">
        <f>IFERROR(VLOOKUP(C100,'تقرير المصروفات حسب الشهر'!$C$637:$AD$746,28,FALSE),0)</f>
        <v>0</v>
      </c>
      <c r="J100" s="362">
        <f>IFERROR(VLOOKUP(C100,'تقرير المصروفات حسب الشهر'!$C$763:$AD$872,28,FALSE),0)</f>
        <v>0</v>
      </c>
      <c r="K100" s="362">
        <f>IFERROR(VLOOKUP(C100,'تقرير المصروفات حسب الشهر'!$C$890:$AD$999,28,FALSE),0)</f>
        <v>0</v>
      </c>
      <c r="L100" s="362">
        <f>IFERROR(VLOOKUP(C100,'تقرير المصروفات حسب الشهر'!$C$1016:$AD$1126,28,FALSE),0)</f>
        <v>0</v>
      </c>
      <c r="M100" s="376">
        <f>IFERROR(VLOOKUP(C100,'تقرير المصروفات حسب الشهر'!$C$1143:$AD$1254,28,FALSE),0)</f>
        <v>0</v>
      </c>
      <c r="N100" s="384"/>
      <c r="O100" s="384"/>
      <c r="P100" s="364">
        <f t="shared" si="6"/>
        <v>0</v>
      </c>
    </row>
    <row r="101" spans="2:16" ht="18" customHeight="1">
      <c r="B101" s="124"/>
      <c r="C101" s="150" t="s">
        <v>103</v>
      </c>
      <c r="D101" s="362">
        <f>IFERROR(VLOOKUP(C101,'تقرير المصروفات حسب الشهر'!$C$10:$AD$119,28,FALSE),0)</f>
        <v>0</v>
      </c>
      <c r="E101" s="362">
        <f>IFERROR(VLOOKUP(C101,'تقرير المصروفات حسب الشهر'!$C$135:$AD$244,28,FALSE),0)</f>
        <v>0</v>
      </c>
      <c r="F101" s="362">
        <f>IFERROR(VLOOKUP(C101,'تقرير المصروفات حسب الشهر'!$C$261:$AD$368,28,FALSE),0)</f>
        <v>0</v>
      </c>
      <c r="G101" s="362">
        <f>IFERROR(VLOOKUP(C101,'تقرير المصروفات حسب الشهر'!$C$387:$AD$495,28,FALSE),0)</f>
        <v>0</v>
      </c>
      <c r="H101" s="362">
        <f>IFERROR(VLOOKUP(C101,'تقرير المصروفات حسب الشهر'!$C$512:$AD$620,28,FALSE),0)</f>
        <v>0</v>
      </c>
      <c r="I101" s="362">
        <f>IFERROR(VLOOKUP(C101,'تقرير المصروفات حسب الشهر'!$C$637:$AD$746,28,FALSE),0)</f>
        <v>0</v>
      </c>
      <c r="J101" s="362">
        <f>IFERROR(VLOOKUP(C101,'تقرير المصروفات حسب الشهر'!$C$763:$AD$872,28,FALSE),0)</f>
        <v>0</v>
      </c>
      <c r="K101" s="362">
        <f>IFERROR(VLOOKUP(C101,'تقرير المصروفات حسب الشهر'!$C$890:$AD$999,28,FALSE),0)</f>
        <v>0</v>
      </c>
      <c r="L101" s="362">
        <f>IFERROR(VLOOKUP(C101,'تقرير المصروفات حسب الشهر'!$C$1016:$AD$1126,28,FALSE),0)</f>
        <v>0</v>
      </c>
      <c r="M101" s="376">
        <f>IFERROR(VLOOKUP(C101,'تقرير المصروفات حسب الشهر'!$C$1143:$AD$1254,28,FALSE),0)</f>
        <v>0</v>
      </c>
      <c r="N101" s="384"/>
      <c r="O101" s="384"/>
      <c r="P101" s="364">
        <f t="shared" si="6"/>
        <v>0</v>
      </c>
    </row>
    <row r="102" spans="2:16" ht="18" customHeight="1">
      <c r="B102" s="124"/>
      <c r="C102" s="150" t="s">
        <v>104</v>
      </c>
      <c r="D102" s="362">
        <f>IFERROR(VLOOKUP(C102,'تقرير المصروفات حسب الشهر'!$C$10:$AD$119,28,FALSE),0)</f>
        <v>0</v>
      </c>
      <c r="E102" s="362">
        <f>IFERROR(VLOOKUP(C102,'تقرير المصروفات حسب الشهر'!$C$135:$AD$244,28,FALSE),0)</f>
        <v>0</v>
      </c>
      <c r="F102" s="362">
        <f>IFERROR(VLOOKUP(C102,'تقرير المصروفات حسب الشهر'!$C$261:$AD$368,28,FALSE),0)</f>
        <v>0</v>
      </c>
      <c r="G102" s="362">
        <f>IFERROR(VLOOKUP(C102,'تقرير المصروفات حسب الشهر'!$C$387:$AD$495,28,FALSE),0)</f>
        <v>0</v>
      </c>
      <c r="H102" s="362">
        <f>IFERROR(VLOOKUP(C102,'تقرير المصروفات حسب الشهر'!$C$512:$AD$620,28,FALSE),0)</f>
        <v>0</v>
      </c>
      <c r="I102" s="362">
        <f>IFERROR(VLOOKUP(C102,'تقرير المصروفات حسب الشهر'!$C$637:$AD$746,28,FALSE),0)</f>
        <v>0</v>
      </c>
      <c r="J102" s="362">
        <f>IFERROR(VLOOKUP(C102,'تقرير المصروفات حسب الشهر'!$C$763:$AD$872,28,FALSE),0)</f>
        <v>0</v>
      </c>
      <c r="K102" s="362">
        <f>IFERROR(VLOOKUP(C102,'تقرير المصروفات حسب الشهر'!$C$890:$AD$999,28,FALSE),0)</f>
        <v>0</v>
      </c>
      <c r="L102" s="362">
        <f>IFERROR(VLOOKUP(C102,'تقرير المصروفات حسب الشهر'!$C$1016:$AD$1126,28,FALSE),0)</f>
        <v>0</v>
      </c>
      <c r="M102" s="376">
        <f>IFERROR(VLOOKUP(C102,'تقرير المصروفات حسب الشهر'!$C$1143:$AD$1254,28,FALSE),0)</f>
        <v>0</v>
      </c>
      <c r="N102" s="384"/>
      <c r="O102" s="384"/>
      <c r="P102" s="364">
        <f t="shared" si="6"/>
        <v>0</v>
      </c>
    </row>
    <row r="103" spans="2:16" ht="18" customHeight="1">
      <c r="B103" s="124"/>
      <c r="C103" s="150" t="s">
        <v>105</v>
      </c>
      <c r="D103" s="362">
        <f>IFERROR(VLOOKUP(C103,'تقرير المصروفات حسب الشهر'!$C$10:$AD$119,28,FALSE),0)</f>
        <v>0</v>
      </c>
      <c r="E103" s="362">
        <f>IFERROR(VLOOKUP(C103,'تقرير المصروفات حسب الشهر'!$C$135:$AD$244,28,FALSE),0)</f>
        <v>0</v>
      </c>
      <c r="F103" s="362">
        <f>IFERROR(VLOOKUP(C103,'تقرير المصروفات حسب الشهر'!$C$261:$AD$368,28,FALSE),0)</f>
        <v>0</v>
      </c>
      <c r="G103" s="362">
        <f>IFERROR(VLOOKUP(C103,'تقرير المصروفات حسب الشهر'!$C$387:$AD$495,28,FALSE),0)</f>
        <v>0</v>
      </c>
      <c r="H103" s="362">
        <f>IFERROR(VLOOKUP(C103,'تقرير المصروفات حسب الشهر'!$C$512:$AD$620,28,FALSE),0)</f>
        <v>0</v>
      </c>
      <c r="I103" s="362">
        <f>IFERROR(VLOOKUP(C103,'تقرير المصروفات حسب الشهر'!$C$637:$AD$746,28,FALSE),0)</f>
        <v>0</v>
      </c>
      <c r="J103" s="362">
        <f>IFERROR(VLOOKUP(C103,'تقرير المصروفات حسب الشهر'!$C$763:$AD$872,28,FALSE),0)</f>
        <v>0</v>
      </c>
      <c r="K103" s="362">
        <f>IFERROR(VLOOKUP(C103,'تقرير المصروفات حسب الشهر'!$C$890:$AD$999,28,FALSE),0)</f>
        <v>0</v>
      </c>
      <c r="L103" s="362">
        <f>IFERROR(VLOOKUP(C103,'تقرير المصروفات حسب الشهر'!$C$1016:$AD$1126,28,FALSE),0)</f>
        <v>0</v>
      </c>
      <c r="M103" s="376">
        <f>IFERROR(VLOOKUP(C103,'تقرير المصروفات حسب الشهر'!$C$1143:$AD$1254,28,FALSE),0)</f>
        <v>0</v>
      </c>
      <c r="N103" s="384"/>
      <c r="O103" s="384"/>
      <c r="P103" s="364">
        <f t="shared" si="6"/>
        <v>0</v>
      </c>
    </row>
    <row r="104" spans="2:16" ht="18" customHeight="1">
      <c r="B104" s="124"/>
      <c r="C104" s="150" t="s">
        <v>106</v>
      </c>
      <c r="D104" s="362">
        <f>IFERROR(VLOOKUP(C104,'تقرير المصروفات حسب الشهر'!$C$10:$AD$119,28,FALSE),0)</f>
        <v>0</v>
      </c>
      <c r="E104" s="362">
        <f>IFERROR(VLOOKUP(C104,'تقرير المصروفات حسب الشهر'!$C$135:$AD$244,28,FALSE),0)</f>
        <v>0</v>
      </c>
      <c r="F104" s="362">
        <f>IFERROR(VLOOKUP(C104,'تقرير المصروفات حسب الشهر'!$C$261:$AD$368,28,FALSE),0)</f>
        <v>0</v>
      </c>
      <c r="G104" s="362">
        <f>IFERROR(VLOOKUP(C104,'تقرير المصروفات حسب الشهر'!$C$387:$AD$495,28,FALSE),0)</f>
        <v>0</v>
      </c>
      <c r="H104" s="362">
        <f>IFERROR(VLOOKUP(C104,'تقرير المصروفات حسب الشهر'!$C$512:$AD$620,28,FALSE),0)</f>
        <v>0</v>
      </c>
      <c r="I104" s="362">
        <f>IFERROR(VLOOKUP(C104,'تقرير المصروفات حسب الشهر'!$C$637:$AD$746,28,FALSE),0)</f>
        <v>0</v>
      </c>
      <c r="J104" s="362">
        <f>IFERROR(VLOOKUP(C104,'تقرير المصروفات حسب الشهر'!$C$763:$AD$872,28,FALSE),0)</f>
        <v>0</v>
      </c>
      <c r="K104" s="362">
        <f>IFERROR(VLOOKUP(C104,'تقرير المصروفات حسب الشهر'!$C$890:$AD$999,28,FALSE),0)</f>
        <v>0</v>
      </c>
      <c r="L104" s="362">
        <f>IFERROR(VLOOKUP(C104,'تقرير المصروفات حسب الشهر'!$C$1016:$AD$1126,28,FALSE),0)</f>
        <v>0</v>
      </c>
      <c r="M104" s="376">
        <f>IFERROR(VLOOKUP(C104,'تقرير المصروفات حسب الشهر'!$C$1143:$AD$1254,28,FALSE),0)</f>
        <v>0</v>
      </c>
      <c r="N104" s="384"/>
      <c r="O104" s="384"/>
      <c r="P104" s="364">
        <f t="shared" si="6"/>
        <v>0</v>
      </c>
    </row>
    <row r="105" spans="2:16" ht="18" customHeight="1">
      <c r="B105" s="124"/>
      <c r="C105" s="150" t="s">
        <v>107</v>
      </c>
      <c r="D105" s="362">
        <f>IFERROR(VLOOKUP(C105,'تقرير المصروفات حسب الشهر'!$C$10:$AD$119,28,FALSE),0)</f>
        <v>0</v>
      </c>
      <c r="E105" s="362">
        <f>IFERROR(VLOOKUP(C105,'تقرير المصروفات حسب الشهر'!$C$135:$AD$244,28,FALSE),0)</f>
        <v>0</v>
      </c>
      <c r="F105" s="362">
        <f>IFERROR(VLOOKUP(C105,'تقرير المصروفات حسب الشهر'!$C$261:$AD$368,28,FALSE),0)</f>
        <v>0</v>
      </c>
      <c r="G105" s="362">
        <f>IFERROR(VLOOKUP(C105,'تقرير المصروفات حسب الشهر'!$C$387:$AD$495,28,FALSE),0)</f>
        <v>0</v>
      </c>
      <c r="H105" s="362">
        <f>IFERROR(VLOOKUP(C105,'تقرير المصروفات حسب الشهر'!$C$512:$AD$620,28,FALSE),0)</f>
        <v>0</v>
      </c>
      <c r="I105" s="362">
        <f>IFERROR(VLOOKUP(C105,'تقرير المصروفات حسب الشهر'!$C$637:$AD$746,28,FALSE),0)</f>
        <v>0</v>
      </c>
      <c r="J105" s="362">
        <f>IFERROR(VLOOKUP(C105,'تقرير المصروفات حسب الشهر'!$C$763:$AD$872,28,FALSE),0)</f>
        <v>0</v>
      </c>
      <c r="K105" s="362">
        <f>IFERROR(VLOOKUP(C105,'تقرير المصروفات حسب الشهر'!$C$890:$AD$999,28,FALSE),0)</f>
        <v>0</v>
      </c>
      <c r="L105" s="362">
        <f>IFERROR(VLOOKUP(C105,'تقرير المصروفات حسب الشهر'!$C$1016:$AD$1126,28,FALSE),0)</f>
        <v>0</v>
      </c>
      <c r="M105" s="376">
        <f>IFERROR(VLOOKUP(C105,'تقرير المصروفات حسب الشهر'!$C$1143:$AD$1254,28,FALSE),0)</f>
        <v>0</v>
      </c>
      <c r="N105" s="384"/>
      <c r="O105" s="384"/>
      <c r="P105" s="364">
        <f t="shared" si="6"/>
        <v>0</v>
      </c>
    </row>
    <row r="106" spans="2:16" ht="18" customHeight="1">
      <c r="B106" s="124"/>
      <c r="C106" s="150" t="s">
        <v>108</v>
      </c>
      <c r="D106" s="362">
        <f>IFERROR(VLOOKUP(C106,'تقرير المصروفات حسب الشهر'!$C$10:$AD$119,28,FALSE),0)</f>
        <v>0</v>
      </c>
      <c r="E106" s="362">
        <f>IFERROR(VLOOKUP(C106,'تقرير المصروفات حسب الشهر'!$C$135:$AD$244,28,FALSE),0)</f>
        <v>0</v>
      </c>
      <c r="F106" s="362">
        <f>IFERROR(VLOOKUP(C106,'تقرير المصروفات حسب الشهر'!$C$261:$AD$368,28,FALSE),0)</f>
        <v>0</v>
      </c>
      <c r="G106" s="362">
        <f>IFERROR(VLOOKUP(C106,'تقرير المصروفات حسب الشهر'!$C$387:$AD$495,28,FALSE),0)</f>
        <v>0</v>
      </c>
      <c r="H106" s="362">
        <f>IFERROR(VLOOKUP(C106,'تقرير المصروفات حسب الشهر'!$C$512:$AD$620,28,FALSE),0)</f>
        <v>0</v>
      </c>
      <c r="I106" s="362">
        <f>IFERROR(VLOOKUP(C106,'تقرير المصروفات حسب الشهر'!$C$637:$AD$746,28,FALSE),0)</f>
        <v>0</v>
      </c>
      <c r="J106" s="362">
        <f>IFERROR(VLOOKUP(C106,'تقرير المصروفات حسب الشهر'!$C$763:$AD$872,28,FALSE),0)</f>
        <v>0</v>
      </c>
      <c r="K106" s="362">
        <f>IFERROR(VLOOKUP(C106,'تقرير المصروفات حسب الشهر'!$C$890:$AD$999,28,FALSE),0)</f>
        <v>0</v>
      </c>
      <c r="L106" s="362">
        <f>IFERROR(VLOOKUP(C106,'تقرير المصروفات حسب الشهر'!$C$1016:$AD$1126,28,FALSE),0)</f>
        <v>0</v>
      </c>
      <c r="M106" s="376">
        <f>IFERROR(VLOOKUP(C106,'تقرير المصروفات حسب الشهر'!$C$1143:$AD$1254,28,FALSE),0)</f>
        <v>0</v>
      </c>
      <c r="N106" s="384"/>
      <c r="O106" s="384"/>
      <c r="P106" s="364">
        <f t="shared" si="6"/>
        <v>0</v>
      </c>
    </row>
    <row r="107" spans="2:16" ht="18" customHeight="1">
      <c r="B107" s="124"/>
      <c r="C107" s="150" t="s">
        <v>109</v>
      </c>
      <c r="D107" s="362">
        <f>IFERROR(VLOOKUP(C107,'تقرير المصروفات حسب الشهر'!$C$10:$AD$119,28,FALSE),0)</f>
        <v>0</v>
      </c>
      <c r="E107" s="362">
        <f>IFERROR(VLOOKUP(C107,'تقرير المصروفات حسب الشهر'!$C$135:$AD$244,28,FALSE),0)</f>
        <v>0</v>
      </c>
      <c r="F107" s="362">
        <f>IFERROR(VLOOKUP(C107,'تقرير المصروفات حسب الشهر'!$C$261:$AD$368,28,FALSE),0)</f>
        <v>0</v>
      </c>
      <c r="G107" s="362">
        <f>IFERROR(VLOOKUP(C107,'تقرير المصروفات حسب الشهر'!$C$387:$AD$495,28,FALSE),0)</f>
        <v>0</v>
      </c>
      <c r="H107" s="362">
        <f>IFERROR(VLOOKUP(C107,'تقرير المصروفات حسب الشهر'!$C$512:$AD$620,28,FALSE),0)</f>
        <v>0</v>
      </c>
      <c r="I107" s="362">
        <f>IFERROR(VLOOKUP(C107,'تقرير المصروفات حسب الشهر'!$C$637:$AD$746,28,FALSE),0)</f>
        <v>0</v>
      </c>
      <c r="J107" s="362">
        <f>IFERROR(VLOOKUP(C107,'تقرير المصروفات حسب الشهر'!$C$763:$AD$872,28,FALSE),0)</f>
        <v>0</v>
      </c>
      <c r="K107" s="362">
        <f>IFERROR(VLOOKUP(C107,'تقرير المصروفات حسب الشهر'!$C$890:$AD$999,28,FALSE),0)</f>
        <v>0</v>
      </c>
      <c r="L107" s="362">
        <f>IFERROR(VLOOKUP(C107,'تقرير المصروفات حسب الشهر'!$C$1016:$AD$1126,28,FALSE),0)</f>
        <v>0</v>
      </c>
      <c r="M107" s="376">
        <f>IFERROR(VLOOKUP(C107,'تقرير المصروفات حسب الشهر'!$C$1143:$AD$1254,28,FALSE),0)</f>
        <v>0</v>
      </c>
      <c r="N107" s="384"/>
      <c r="O107" s="384"/>
      <c r="P107" s="364">
        <f t="shared" si="6"/>
        <v>0</v>
      </c>
    </row>
    <row r="108" spans="2:16" ht="18" customHeight="1">
      <c r="B108" s="124"/>
      <c r="C108" s="150" t="s">
        <v>110</v>
      </c>
      <c r="D108" s="362">
        <f>IFERROR(VLOOKUP(C108,'تقرير المصروفات حسب الشهر'!$C$10:$AD$119,28,FALSE),0)</f>
        <v>0</v>
      </c>
      <c r="E108" s="362">
        <f>IFERROR(VLOOKUP(C108,'تقرير المصروفات حسب الشهر'!$C$135:$AD$244,28,FALSE),0)</f>
        <v>0</v>
      </c>
      <c r="F108" s="362">
        <f>IFERROR(VLOOKUP(C108,'تقرير المصروفات حسب الشهر'!$C$261:$AD$368,28,FALSE),0)</f>
        <v>0</v>
      </c>
      <c r="G108" s="362">
        <f>IFERROR(VLOOKUP(C108,'تقرير المصروفات حسب الشهر'!$C$387:$AD$495,28,FALSE),0)</f>
        <v>0</v>
      </c>
      <c r="H108" s="362">
        <f>IFERROR(VLOOKUP(C108,'تقرير المصروفات حسب الشهر'!$C$512:$AD$620,28,FALSE),0)</f>
        <v>0</v>
      </c>
      <c r="I108" s="362">
        <f>IFERROR(VLOOKUP(C108,'تقرير المصروفات حسب الشهر'!$C$637:$AD$746,28,FALSE),0)</f>
        <v>0</v>
      </c>
      <c r="J108" s="362">
        <f>IFERROR(VLOOKUP(C108,'تقرير المصروفات حسب الشهر'!$C$763:$AD$872,28,FALSE),0)</f>
        <v>0</v>
      </c>
      <c r="K108" s="362">
        <f>IFERROR(VLOOKUP(C108,'تقرير المصروفات حسب الشهر'!$C$890:$AD$999,28,FALSE),0)</f>
        <v>0</v>
      </c>
      <c r="L108" s="362">
        <f>IFERROR(VLOOKUP(C108,'تقرير المصروفات حسب الشهر'!$C$1016:$AD$1126,28,FALSE),0)</f>
        <v>0</v>
      </c>
      <c r="M108" s="376">
        <f>IFERROR(VLOOKUP(C108,'تقرير المصروفات حسب الشهر'!$C$1143:$AD$1254,28,FALSE),0)</f>
        <v>0</v>
      </c>
      <c r="N108" s="384"/>
      <c r="O108" s="384"/>
      <c r="P108" s="364">
        <f t="shared" si="6"/>
        <v>0</v>
      </c>
    </row>
    <row r="109" spans="2:16" ht="18" customHeight="1">
      <c r="B109" s="124"/>
      <c r="C109" s="150" t="s">
        <v>112</v>
      </c>
      <c r="D109" s="362">
        <f>IFERROR(VLOOKUP(C109,'تقرير المصروفات حسب الشهر'!$C$10:$AD$119,28,FALSE),0)</f>
        <v>0</v>
      </c>
      <c r="E109" s="362">
        <f>IFERROR(VLOOKUP(C109,'تقرير المصروفات حسب الشهر'!$C$135:$AD$244,28,FALSE),0)</f>
        <v>0</v>
      </c>
      <c r="F109" s="362">
        <f>IFERROR(VLOOKUP(C109,'تقرير المصروفات حسب الشهر'!$C$261:$AD$368,28,FALSE),0)</f>
        <v>0</v>
      </c>
      <c r="G109" s="362">
        <f>IFERROR(VLOOKUP(C109,'تقرير المصروفات حسب الشهر'!$C$387:$AD$495,28,FALSE),0)</f>
        <v>0</v>
      </c>
      <c r="H109" s="362">
        <f>IFERROR(VLOOKUP(C109,'تقرير المصروفات حسب الشهر'!$C$512:$AD$620,28,FALSE),0)</f>
        <v>0</v>
      </c>
      <c r="I109" s="362">
        <f>IFERROR(VLOOKUP(C109,'تقرير المصروفات حسب الشهر'!$C$637:$AD$746,28,FALSE),0)</f>
        <v>0</v>
      </c>
      <c r="J109" s="362">
        <f>IFERROR(VLOOKUP(C109,'تقرير المصروفات حسب الشهر'!$C$763:$AD$872,28,FALSE),0)</f>
        <v>0</v>
      </c>
      <c r="K109" s="362">
        <f>IFERROR(VLOOKUP(C109,'تقرير المصروفات حسب الشهر'!$C$890:$AD$999,28,FALSE),0)</f>
        <v>0</v>
      </c>
      <c r="L109" s="362">
        <f>IFERROR(VLOOKUP(C109,'تقرير المصروفات حسب الشهر'!$C$1016:$AD$1126,28,FALSE),0)</f>
        <v>0</v>
      </c>
      <c r="M109" s="376">
        <f>IFERROR(VLOOKUP(C109,'تقرير المصروفات حسب الشهر'!$C$1143:$AD$1254,28,FALSE),0)</f>
        <v>0</v>
      </c>
      <c r="N109" s="384"/>
      <c r="O109" s="384"/>
      <c r="P109" s="364">
        <f t="shared" si="6"/>
        <v>0</v>
      </c>
    </row>
    <row r="110" spans="2:16" ht="18" customHeight="1">
      <c r="B110" s="124"/>
      <c r="C110" s="150" t="s">
        <v>113</v>
      </c>
      <c r="D110" s="362">
        <f>IFERROR(VLOOKUP(C110,'تقرير المصروفات حسب الشهر'!$C$10:$AD$119,28,FALSE),0)</f>
        <v>0</v>
      </c>
      <c r="E110" s="362">
        <f>IFERROR(VLOOKUP(C110,'تقرير المصروفات حسب الشهر'!$C$135:$AD$244,28,FALSE),0)</f>
        <v>0</v>
      </c>
      <c r="F110" s="362">
        <f>IFERROR(VLOOKUP(C110,'تقرير المصروفات حسب الشهر'!$C$261:$AD$368,28,FALSE),0)</f>
        <v>0</v>
      </c>
      <c r="G110" s="362">
        <f>IFERROR(VLOOKUP(C110,'تقرير المصروفات حسب الشهر'!$C$387:$AD$495,28,FALSE),0)</f>
        <v>0</v>
      </c>
      <c r="H110" s="362">
        <f>IFERROR(VLOOKUP(C110,'تقرير المصروفات حسب الشهر'!$C$512:$AD$620,28,FALSE),0)</f>
        <v>0</v>
      </c>
      <c r="I110" s="362">
        <f>IFERROR(VLOOKUP(C110,'تقرير المصروفات حسب الشهر'!$C$637:$AD$746,28,FALSE),0)</f>
        <v>0</v>
      </c>
      <c r="J110" s="362">
        <f>IFERROR(VLOOKUP(C110,'تقرير المصروفات حسب الشهر'!$C$763:$AD$872,28,FALSE),0)</f>
        <v>0</v>
      </c>
      <c r="K110" s="362">
        <f>IFERROR(VLOOKUP(C110,'تقرير المصروفات حسب الشهر'!$C$890:$AD$999,28,FALSE),0)</f>
        <v>0</v>
      </c>
      <c r="L110" s="362">
        <f>IFERROR(VLOOKUP(C110,'تقرير المصروفات حسب الشهر'!$C$1016:$AD$1126,28,FALSE),0)</f>
        <v>0</v>
      </c>
      <c r="M110" s="376">
        <f>IFERROR(VLOOKUP(C110,'تقرير المصروفات حسب الشهر'!$C$1143:$AD$1254,28,FALSE),0)</f>
        <v>0</v>
      </c>
      <c r="N110" s="384"/>
      <c r="O110" s="384"/>
      <c r="P110" s="364">
        <f t="shared" si="6"/>
        <v>0</v>
      </c>
    </row>
    <row r="111" spans="2:16" ht="18" customHeight="1">
      <c r="B111" s="124"/>
      <c r="C111" s="150" t="s">
        <v>137</v>
      </c>
      <c r="D111" s="362">
        <f>IFERROR(VLOOKUP(C111,'تقرير المصروفات حسب الشهر'!$C$10:$AD$119,28,FALSE),0)</f>
        <v>0</v>
      </c>
      <c r="E111" s="362">
        <f>IFERROR(VLOOKUP(C111,'تقرير المصروفات حسب الشهر'!$C$135:$AD$244,28,FALSE),0)</f>
        <v>0</v>
      </c>
      <c r="F111" s="362">
        <f>IFERROR(VLOOKUP(C111,'تقرير المصروفات حسب الشهر'!$C$261:$AD$368,28,FALSE),0)</f>
        <v>0</v>
      </c>
      <c r="G111" s="362">
        <f>IFERROR(VLOOKUP(C111,'تقرير المصروفات حسب الشهر'!$C$387:$AD$495,28,FALSE),0)</f>
        <v>0</v>
      </c>
      <c r="H111" s="362">
        <f>IFERROR(VLOOKUP(C111,'تقرير المصروفات حسب الشهر'!$C$512:$AD$620,28,FALSE),0)</f>
        <v>0</v>
      </c>
      <c r="I111" s="362">
        <f>IFERROR(VLOOKUP(C111,'تقرير المصروفات حسب الشهر'!$C$637:$AD$746,28,FALSE),0)</f>
        <v>0</v>
      </c>
      <c r="J111" s="362">
        <f>IFERROR(VLOOKUP(C111,'تقرير المصروفات حسب الشهر'!$C$763:$AD$872,28,FALSE),0)</f>
        <v>0</v>
      </c>
      <c r="K111" s="362">
        <f>IFERROR(VLOOKUP(C111,'تقرير المصروفات حسب الشهر'!$C$890:$AD$999,28,FALSE),0)</f>
        <v>0</v>
      </c>
      <c r="L111" s="362">
        <f>IFERROR(VLOOKUP(C111,'تقرير المصروفات حسب الشهر'!$C$1016:$AD$1126,28,FALSE),0)</f>
        <v>0</v>
      </c>
      <c r="M111" s="376">
        <f>IFERROR(VLOOKUP(C111,'تقرير المصروفات حسب الشهر'!$C$1143:$AD$1254,28,FALSE),0)</f>
        <v>0</v>
      </c>
      <c r="N111" s="384"/>
      <c r="O111" s="384"/>
      <c r="P111" s="364">
        <f t="shared" si="6"/>
        <v>0</v>
      </c>
    </row>
    <row r="112" spans="2:16" ht="18" customHeight="1">
      <c r="B112" s="124"/>
      <c r="C112" s="150" t="s">
        <v>140</v>
      </c>
      <c r="D112" s="362">
        <f>IFERROR(VLOOKUP(C112,'تقرير المصروفات حسب الشهر'!$C$10:$AD$119,28,FALSE),0)</f>
        <v>0</v>
      </c>
      <c r="E112" s="362">
        <f>IFERROR(VLOOKUP(C112,'تقرير المصروفات حسب الشهر'!$C$135:$AD$244,28,FALSE),0)</f>
        <v>0</v>
      </c>
      <c r="F112" s="362">
        <f>IFERROR(VLOOKUP(C112,'تقرير المصروفات حسب الشهر'!$C$261:$AD$368,28,FALSE),0)</f>
        <v>0</v>
      </c>
      <c r="G112" s="362">
        <f>IFERROR(VLOOKUP(C112,'تقرير المصروفات حسب الشهر'!$C$387:$AD$495,28,FALSE),0)</f>
        <v>0</v>
      </c>
      <c r="H112" s="362">
        <f>IFERROR(VLOOKUP(C112,'تقرير المصروفات حسب الشهر'!$C$512:$AD$620,28,FALSE),0)</f>
        <v>0</v>
      </c>
      <c r="I112" s="362">
        <f>IFERROR(VLOOKUP(C112,'تقرير المصروفات حسب الشهر'!$C$637:$AD$746,28,FALSE),0)</f>
        <v>0</v>
      </c>
      <c r="J112" s="362">
        <f>IFERROR(VLOOKUP(C112,'تقرير المصروفات حسب الشهر'!$C$763:$AD$872,28,FALSE),0)</f>
        <v>0</v>
      </c>
      <c r="K112" s="362">
        <f>IFERROR(VLOOKUP(C112,'تقرير المصروفات حسب الشهر'!$C$890:$AD$999,28,FALSE),0)</f>
        <v>0</v>
      </c>
      <c r="L112" s="362">
        <f>IFERROR(VLOOKUP(C112,'تقرير المصروفات حسب الشهر'!$C$1016:$AD$1126,28,FALSE),0)</f>
        <v>0</v>
      </c>
      <c r="M112" s="376">
        <f>IFERROR(VLOOKUP(C112,'تقرير المصروفات حسب الشهر'!$C$1143:$AD$1254,28,FALSE),0)</f>
        <v>0</v>
      </c>
      <c r="N112" s="384"/>
      <c r="O112" s="384"/>
      <c r="P112" s="364">
        <f t="shared" si="6"/>
        <v>0</v>
      </c>
    </row>
    <row r="113" spans="2:16" ht="18" customHeight="1">
      <c r="B113" s="124"/>
      <c r="C113" s="150" t="s">
        <v>141</v>
      </c>
      <c r="D113" s="362">
        <f>IFERROR(VLOOKUP(C113,'تقرير المصروفات حسب الشهر'!$C$10:$AD$119,28,FALSE),0)</f>
        <v>0</v>
      </c>
      <c r="E113" s="362">
        <f>IFERROR(VLOOKUP(C113,'تقرير المصروفات حسب الشهر'!$C$135:$AD$244,28,FALSE),0)</f>
        <v>0</v>
      </c>
      <c r="F113" s="362">
        <f>IFERROR(VLOOKUP(C113,'تقرير المصروفات حسب الشهر'!$C$261:$AD$368,28,FALSE),0)</f>
        <v>0</v>
      </c>
      <c r="G113" s="362">
        <f>IFERROR(VLOOKUP(C113,'تقرير المصروفات حسب الشهر'!$C$387:$AD$495,28,FALSE),0)</f>
        <v>0</v>
      </c>
      <c r="H113" s="362">
        <f>IFERROR(VLOOKUP(C113,'تقرير المصروفات حسب الشهر'!$C$512:$AD$620,28,FALSE),0)</f>
        <v>0</v>
      </c>
      <c r="I113" s="362">
        <f>IFERROR(VLOOKUP(C113,'تقرير المصروفات حسب الشهر'!$C$637:$AD$746,28,FALSE),0)</f>
        <v>0</v>
      </c>
      <c r="J113" s="362">
        <f>IFERROR(VLOOKUP(C113,'تقرير المصروفات حسب الشهر'!$C$763:$AD$872,28,FALSE),0)</f>
        <v>0</v>
      </c>
      <c r="K113" s="362">
        <f>IFERROR(VLOOKUP(C113,'تقرير المصروفات حسب الشهر'!$C$890:$AD$999,28,FALSE),0)</f>
        <v>0</v>
      </c>
      <c r="L113" s="362">
        <f>IFERROR(VLOOKUP(C113,'تقرير المصروفات حسب الشهر'!$C$1016:$AD$1126,28,FALSE),0)</f>
        <v>0</v>
      </c>
      <c r="M113" s="376">
        <f>IFERROR(VLOOKUP(C113,'تقرير المصروفات حسب الشهر'!$C$1143:$AD$1254,28,FALSE),0)</f>
        <v>0</v>
      </c>
      <c r="N113" s="384"/>
      <c r="O113" s="384"/>
      <c r="P113" s="364">
        <f t="shared" si="6"/>
        <v>0</v>
      </c>
    </row>
    <row r="114" spans="2:16" ht="18" customHeight="1">
      <c r="B114" s="124"/>
      <c r="C114" s="150" t="s">
        <v>193</v>
      </c>
      <c r="D114" s="362">
        <f>IFERROR(VLOOKUP(C114,'تقرير المصروفات حسب الشهر'!$C$10:$AD$119,28,FALSE),0)</f>
        <v>0</v>
      </c>
      <c r="E114" s="362">
        <f>IFERROR(VLOOKUP(C114,'تقرير المصروفات حسب الشهر'!$C$135:$AD$244,28,FALSE),0)</f>
        <v>0</v>
      </c>
      <c r="F114" s="362">
        <f>IFERROR(VLOOKUP(C114,'تقرير المصروفات حسب الشهر'!$C$261:$AD$368,28,FALSE),0)</f>
        <v>0</v>
      </c>
      <c r="G114" s="362">
        <f>IFERROR(VLOOKUP(C114,'تقرير المصروفات حسب الشهر'!$C$387:$AD$495,28,FALSE),0)</f>
        <v>0</v>
      </c>
      <c r="H114" s="362">
        <f>IFERROR(VLOOKUP(C114,'تقرير المصروفات حسب الشهر'!$C$512:$AD$620,28,FALSE),0)</f>
        <v>0</v>
      </c>
      <c r="I114" s="362">
        <f>IFERROR(VLOOKUP(C114,'تقرير المصروفات حسب الشهر'!$C$637:$AD$746,28,FALSE),0)</f>
        <v>0</v>
      </c>
      <c r="J114" s="362">
        <f>IFERROR(VLOOKUP(C114,'تقرير المصروفات حسب الشهر'!$C$763:$AD$872,28,FALSE),0)</f>
        <v>0</v>
      </c>
      <c r="K114" s="362">
        <f>IFERROR(VLOOKUP(C114,'تقرير المصروفات حسب الشهر'!$C$890:$AD$999,28,FALSE),0)</f>
        <v>0</v>
      </c>
      <c r="L114" s="362">
        <f>IFERROR(VLOOKUP(C114,'تقرير المصروفات حسب الشهر'!$C$1016:$AD$1126,28,FALSE),0)</f>
        <v>0</v>
      </c>
      <c r="M114" s="376">
        <f>IFERROR(VLOOKUP(C114,'تقرير المصروفات حسب الشهر'!$C$1143:$AD$1254,28,FALSE),0)</f>
        <v>0</v>
      </c>
      <c r="N114" s="384"/>
      <c r="O114" s="384"/>
      <c r="P114" s="364">
        <f t="shared" si="6"/>
        <v>0</v>
      </c>
    </row>
    <row r="115" spans="2:16" ht="18" customHeight="1">
      <c r="B115" s="124"/>
      <c r="C115" s="150" t="s">
        <v>148</v>
      </c>
      <c r="D115" s="362">
        <f>IFERROR(VLOOKUP(C115,'تقرير المصروفات حسب الشهر'!$C$10:$AD$119,28,FALSE),0)</f>
        <v>0</v>
      </c>
      <c r="E115" s="362">
        <f>IFERROR(VLOOKUP(C115,'تقرير المصروفات حسب الشهر'!$C$135:$AD$244,28,FALSE),0)</f>
        <v>0</v>
      </c>
      <c r="F115" s="362">
        <f>IFERROR(VLOOKUP(C115,'تقرير المصروفات حسب الشهر'!$C$261:$AD$368,28,FALSE),0)</f>
        <v>0</v>
      </c>
      <c r="G115" s="362">
        <f>IFERROR(VLOOKUP(C115,'تقرير المصروفات حسب الشهر'!$C$387:$AD$495,28,FALSE),0)</f>
        <v>0</v>
      </c>
      <c r="H115" s="362">
        <f>IFERROR(VLOOKUP(C115,'تقرير المصروفات حسب الشهر'!$C$512:$AD$620,28,FALSE),0)</f>
        <v>0</v>
      </c>
      <c r="I115" s="362">
        <f>IFERROR(VLOOKUP(C115,'تقرير المصروفات حسب الشهر'!$C$637:$AD$746,28,FALSE),0)</f>
        <v>0</v>
      </c>
      <c r="J115" s="362">
        <f>IFERROR(VLOOKUP(C115,'تقرير المصروفات حسب الشهر'!$C$763:$AD$872,28,FALSE),0)</f>
        <v>0</v>
      </c>
      <c r="K115" s="362">
        <f>IFERROR(VLOOKUP(C115,'تقرير المصروفات حسب الشهر'!$C$890:$AD$999,28,FALSE),0)</f>
        <v>0</v>
      </c>
      <c r="L115" s="362">
        <f>IFERROR(VLOOKUP(C115,'تقرير المصروفات حسب الشهر'!$C$1016:$AD$1126,28,FALSE),0)</f>
        <v>0</v>
      </c>
      <c r="M115" s="376">
        <f>IFERROR(VLOOKUP(C115,'تقرير المصروفات حسب الشهر'!$C$1143:$AD$1254,28,FALSE),0)</f>
        <v>0</v>
      </c>
      <c r="N115" s="384"/>
      <c r="O115" s="384"/>
      <c r="P115" s="364">
        <f t="shared" si="6"/>
        <v>0</v>
      </c>
    </row>
    <row r="116" spans="2:16" ht="18" customHeight="1">
      <c r="B116" s="124"/>
      <c r="C116" s="150" t="s">
        <v>186</v>
      </c>
      <c r="D116" s="362">
        <f>IFERROR(VLOOKUP(C116,'تقرير المصروفات حسب الشهر'!$C$10:$AD$119,28,FALSE),0)</f>
        <v>0</v>
      </c>
      <c r="E116" s="362">
        <f>IFERROR(VLOOKUP(C116,'تقرير المصروفات حسب الشهر'!$C$135:$AD$244,28,FALSE),0)</f>
        <v>0</v>
      </c>
      <c r="F116" s="362">
        <f>IFERROR(VLOOKUP(C116,'تقرير المصروفات حسب الشهر'!$C$261:$AD$368,28,FALSE),0)</f>
        <v>0</v>
      </c>
      <c r="G116" s="362">
        <f>IFERROR(VLOOKUP(C116,'تقرير المصروفات حسب الشهر'!$C$387:$AD$495,28,FALSE),0)</f>
        <v>0</v>
      </c>
      <c r="H116" s="362">
        <f>IFERROR(VLOOKUP(C116,'تقرير المصروفات حسب الشهر'!$C$512:$AD$620,28,FALSE),0)</f>
        <v>0</v>
      </c>
      <c r="I116" s="362">
        <f>IFERROR(VLOOKUP(C116,'تقرير المصروفات حسب الشهر'!$C$637:$AD$746,28,FALSE),0)</f>
        <v>0</v>
      </c>
      <c r="J116" s="362">
        <f>IFERROR(VLOOKUP(C116,'تقرير المصروفات حسب الشهر'!$C$763:$AD$872,28,FALSE),0)</f>
        <v>0</v>
      </c>
      <c r="K116" s="362">
        <f>IFERROR(VLOOKUP(C116,'تقرير المصروفات حسب الشهر'!$C$890:$AD$999,28,FALSE),0)</f>
        <v>0</v>
      </c>
      <c r="L116" s="362">
        <f>IFERROR(VLOOKUP(C116,'تقرير المصروفات حسب الشهر'!$C$1016:$AD$1126,28,FALSE),0)</f>
        <v>0</v>
      </c>
      <c r="M116" s="376">
        <f>IFERROR(VLOOKUP(C116,'تقرير المصروفات حسب الشهر'!$C$1143:$AD$1254,28,FALSE),0)</f>
        <v>0</v>
      </c>
      <c r="N116" s="384"/>
      <c r="O116" s="384"/>
      <c r="P116" s="364">
        <f t="shared" si="6"/>
        <v>0</v>
      </c>
    </row>
    <row r="117" spans="2:16" ht="18" customHeight="1">
      <c r="B117" s="124"/>
      <c r="C117" s="150" t="s">
        <v>171</v>
      </c>
      <c r="D117" s="362">
        <f>IFERROR(VLOOKUP(C117,'تقرير المصروفات حسب الشهر'!$C$10:$AD$119,28,FALSE),0)</f>
        <v>0</v>
      </c>
      <c r="E117" s="362">
        <f>IFERROR(VLOOKUP(C117,'تقرير المصروفات حسب الشهر'!$C$135:$AD$244,28,FALSE),0)</f>
        <v>0</v>
      </c>
      <c r="F117" s="362">
        <f>IFERROR(VLOOKUP(C117,'تقرير المصروفات حسب الشهر'!$C$261:$AD$368,28,FALSE),0)</f>
        <v>0</v>
      </c>
      <c r="G117" s="362">
        <f>IFERROR(VLOOKUP(C117,'تقرير المصروفات حسب الشهر'!$C$387:$AD$495,28,FALSE),0)</f>
        <v>0</v>
      </c>
      <c r="H117" s="362">
        <f>IFERROR(VLOOKUP(C117,'تقرير المصروفات حسب الشهر'!$C$512:$AD$620,28,FALSE),0)</f>
        <v>0</v>
      </c>
      <c r="I117" s="362">
        <f>IFERROR(VLOOKUP(C117,'تقرير المصروفات حسب الشهر'!$C$637:$AD$746,28,FALSE),0)</f>
        <v>0</v>
      </c>
      <c r="J117" s="362">
        <f>IFERROR(VLOOKUP(C117,'تقرير المصروفات حسب الشهر'!$C$763:$AD$872,28,FALSE),0)</f>
        <v>0</v>
      </c>
      <c r="K117" s="362">
        <f>IFERROR(VLOOKUP(C117,'تقرير المصروفات حسب الشهر'!$C$890:$AD$999,28,FALSE),0)</f>
        <v>0</v>
      </c>
      <c r="L117" s="362">
        <f>IFERROR(VLOOKUP(C117,'تقرير المصروفات حسب الشهر'!$C$1016:$AD$1126,28,FALSE),0)</f>
        <v>0</v>
      </c>
      <c r="M117" s="376">
        <f>IFERROR(VLOOKUP(C117,'تقرير المصروفات حسب الشهر'!$C$1143:$AD$1254,28,FALSE),0)</f>
        <v>0</v>
      </c>
      <c r="N117" s="384"/>
      <c r="O117" s="384"/>
      <c r="P117" s="364">
        <f t="shared" si="6"/>
        <v>0</v>
      </c>
    </row>
    <row r="118" spans="2:16" ht="18" customHeight="1">
      <c r="B118" s="124"/>
      <c r="C118" s="150" t="s">
        <v>180</v>
      </c>
      <c r="D118" s="362">
        <f>IFERROR(VLOOKUP(C118,'تقرير المصروفات حسب الشهر'!$C$10:$AD$119,28,FALSE),0)</f>
        <v>0</v>
      </c>
      <c r="E118" s="362">
        <f>IFERROR(VLOOKUP(C118,'تقرير المصروفات حسب الشهر'!$C$135:$AD$244,28,FALSE),0)</f>
        <v>0</v>
      </c>
      <c r="F118" s="362">
        <f>IFERROR(VLOOKUP(C118,'تقرير المصروفات حسب الشهر'!$C$261:$AD$368,28,FALSE),0)</f>
        <v>0</v>
      </c>
      <c r="G118" s="362">
        <f>IFERROR(VLOOKUP(C118,'تقرير المصروفات حسب الشهر'!$C$387:$AD$495,28,FALSE),0)</f>
        <v>0</v>
      </c>
      <c r="H118" s="362">
        <f>IFERROR(VLOOKUP(C118,'تقرير المصروفات حسب الشهر'!$C$512:$AD$620,28,FALSE),0)</f>
        <v>0</v>
      </c>
      <c r="I118" s="362">
        <f>IFERROR(VLOOKUP(C118,'تقرير المصروفات حسب الشهر'!$C$637:$AD$746,28,FALSE),0)</f>
        <v>0</v>
      </c>
      <c r="J118" s="362">
        <f>IFERROR(VLOOKUP(C118,'تقرير المصروفات حسب الشهر'!$C$763:$AD$872,28,FALSE),0)</f>
        <v>0</v>
      </c>
      <c r="K118" s="362">
        <f>IFERROR(VLOOKUP(C118,'تقرير المصروفات حسب الشهر'!$C$890:$AD$999,28,FALSE),0)</f>
        <v>0</v>
      </c>
      <c r="L118" s="362">
        <f>IFERROR(VLOOKUP(C118,'تقرير المصروفات حسب الشهر'!$C$1016:$AD$1126,28,FALSE),0)</f>
        <v>0</v>
      </c>
      <c r="M118" s="376">
        <f>IFERROR(VLOOKUP(C118,'تقرير المصروفات حسب الشهر'!$C$1143:$AD$1254,28,FALSE),0)</f>
        <v>0</v>
      </c>
      <c r="N118" s="384"/>
      <c r="O118" s="384"/>
      <c r="P118" s="364">
        <f t="shared" si="6"/>
        <v>0</v>
      </c>
    </row>
    <row r="119" spans="2:16" ht="18" customHeight="1">
      <c r="B119" s="124"/>
      <c r="C119" s="150" t="s">
        <v>183</v>
      </c>
      <c r="D119" s="362">
        <f>IFERROR(VLOOKUP(C119,'تقرير المصروفات حسب الشهر'!$C$10:$AD$119,28,FALSE),0)</f>
        <v>0</v>
      </c>
      <c r="E119" s="362">
        <f>IFERROR(VLOOKUP(C119,'تقرير المصروفات حسب الشهر'!$C$135:$AD$244,28,FALSE),0)</f>
        <v>0</v>
      </c>
      <c r="F119" s="362">
        <f>IFERROR(VLOOKUP(C119,'تقرير المصروفات حسب الشهر'!$C$261:$AD$368,28,FALSE),0)</f>
        <v>0</v>
      </c>
      <c r="G119" s="362">
        <f>IFERROR(VLOOKUP(C119,'تقرير المصروفات حسب الشهر'!$C$387:$AD$495,28,FALSE),0)</f>
        <v>0</v>
      </c>
      <c r="H119" s="362">
        <f>IFERROR(VLOOKUP(C119,'تقرير المصروفات حسب الشهر'!$C$512:$AD$620,28,FALSE),0)</f>
        <v>0</v>
      </c>
      <c r="I119" s="362">
        <f>IFERROR(VLOOKUP(C119,'تقرير المصروفات حسب الشهر'!$C$637:$AD$746,28,FALSE),0)</f>
        <v>0</v>
      </c>
      <c r="J119" s="362">
        <f>IFERROR(VLOOKUP(C119,'تقرير المصروفات حسب الشهر'!$C$763:$AD$872,28,FALSE),0)</f>
        <v>0</v>
      </c>
      <c r="K119" s="362">
        <f>IFERROR(VLOOKUP(C119,'تقرير المصروفات حسب الشهر'!$C$890:$AD$999,28,FALSE),0)</f>
        <v>0</v>
      </c>
      <c r="L119" s="362">
        <f>IFERROR(VLOOKUP(C119,'تقرير المصروفات حسب الشهر'!$C$1016:$AD$1126,28,FALSE),0)</f>
        <v>0</v>
      </c>
      <c r="M119" s="376">
        <f>IFERROR(VLOOKUP(C119,'تقرير المصروفات حسب الشهر'!$C$1143:$AD$1254,28,FALSE),0)</f>
        <v>0</v>
      </c>
      <c r="N119" s="384"/>
      <c r="O119" s="384"/>
      <c r="P119" s="364">
        <f t="shared" si="6"/>
        <v>0</v>
      </c>
    </row>
    <row r="120" spans="2:16" ht="18" customHeight="1">
      <c r="B120" s="124"/>
      <c r="C120" s="150" t="s">
        <v>195</v>
      </c>
      <c r="D120" s="362">
        <f>IFERROR(VLOOKUP(C120,'تقرير المصروفات حسب الشهر'!$C$10:$AD$119,28,FALSE),0)</f>
        <v>0</v>
      </c>
      <c r="E120" s="362">
        <f>IFERROR(VLOOKUP(C120,'تقرير المصروفات حسب الشهر'!$C$135:$AD$244,28,FALSE),0)</f>
        <v>0</v>
      </c>
      <c r="F120" s="362">
        <f>IFERROR(VLOOKUP(C120,'تقرير المصروفات حسب الشهر'!$C$261:$AD$368,28,FALSE),0)</f>
        <v>0</v>
      </c>
      <c r="G120" s="362">
        <f>IFERROR(VLOOKUP(C120,'تقرير المصروفات حسب الشهر'!$C$387:$AD$495,28,FALSE),0)</f>
        <v>0</v>
      </c>
      <c r="H120" s="362">
        <f>IFERROR(VLOOKUP(C120,'تقرير المصروفات حسب الشهر'!$C$512:$AD$620,28,FALSE),0)</f>
        <v>0</v>
      </c>
      <c r="I120" s="362">
        <f>IFERROR(VLOOKUP(C120,'تقرير المصروفات حسب الشهر'!$C$637:$AD$746,28,FALSE),0)</f>
        <v>0</v>
      </c>
      <c r="J120" s="362">
        <f>IFERROR(VLOOKUP(C120,'تقرير المصروفات حسب الشهر'!$C$763:$AD$872,28,FALSE),0)</f>
        <v>0</v>
      </c>
      <c r="K120" s="362">
        <f>IFERROR(VLOOKUP(C120,'تقرير المصروفات حسب الشهر'!$C$890:$AD$999,28,FALSE),0)</f>
        <v>0</v>
      </c>
      <c r="L120" s="362">
        <f>IFERROR(VLOOKUP(C120,'تقرير المصروفات حسب الشهر'!$C$1016:$AD$1126,28,FALSE),0)</f>
        <v>0</v>
      </c>
      <c r="M120" s="376">
        <f>IFERROR(VLOOKUP(C120,'تقرير المصروفات حسب الشهر'!$C$1143:$AD$1254,28,FALSE),0)</f>
        <v>0</v>
      </c>
      <c r="N120" s="384"/>
      <c r="O120" s="384"/>
      <c r="P120" s="364">
        <f t="shared" si="6"/>
        <v>0</v>
      </c>
    </row>
    <row r="121" spans="2:16" ht="18" customHeight="1">
      <c r="B121" s="124"/>
      <c r="C121" s="150" t="s">
        <v>189</v>
      </c>
      <c r="D121" s="362">
        <f>IFERROR(VLOOKUP(C121,'تقرير المصروفات حسب الشهر'!$C$10:$AD$119,28,FALSE),0)</f>
        <v>0</v>
      </c>
      <c r="E121" s="362">
        <f>IFERROR(VLOOKUP(C121,'تقرير المصروفات حسب الشهر'!$C$135:$AD$244,28,FALSE),0)</f>
        <v>0</v>
      </c>
      <c r="F121" s="362">
        <f>IFERROR(VLOOKUP(C121,'تقرير المصروفات حسب الشهر'!$C$261:$AD$368,28,FALSE),0)</f>
        <v>0</v>
      </c>
      <c r="G121" s="362">
        <f>IFERROR(VLOOKUP(C121,'تقرير المصروفات حسب الشهر'!$C$387:$AD$495,28,FALSE),0)</f>
        <v>0</v>
      </c>
      <c r="H121" s="362">
        <f>IFERROR(VLOOKUP(C121,'تقرير المصروفات حسب الشهر'!$C$512:$AD$620,28,FALSE),0)</f>
        <v>0</v>
      </c>
      <c r="I121" s="362">
        <f>IFERROR(VLOOKUP(C121,'تقرير المصروفات حسب الشهر'!$C$637:$AD$746,28,FALSE),0)</f>
        <v>0</v>
      </c>
      <c r="J121" s="362">
        <f>IFERROR(VLOOKUP(C121,'تقرير المصروفات حسب الشهر'!$C$763:$AD$872,28,FALSE),0)</f>
        <v>0</v>
      </c>
      <c r="K121" s="362">
        <f>IFERROR(VLOOKUP(C121,'تقرير المصروفات حسب الشهر'!$C$890:$AD$999,28,FALSE),0)</f>
        <v>0</v>
      </c>
      <c r="L121" s="362">
        <f>IFERROR(VLOOKUP(C121,'تقرير المصروفات حسب الشهر'!$C$1016:$AD$1126,28,FALSE),0)</f>
        <v>0</v>
      </c>
      <c r="M121" s="376">
        <f>IFERROR(VLOOKUP(C121,'تقرير المصروفات حسب الشهر'!$C$1143:$AD$1254,28,FALSE),0)</f>
        <v>0</v>
      </c>
      <c r="N121" s="384"/>
      <c r="O121" s="384"/>
      <c r="P121" s="364">
        <f t="shared" si="6"/>
        <v>0</v>
      </c>
    </row>
    <row r="122" spans="2:16" ht="18" customHeight="1">
      <c r="B122" s="124"/>
      <c r="C122" s="150" t="s">
        <v>188</v>
      </c>
      <c r="D122" s="362">
        <f>IFERROR(VLOOKUP(C122,'تقرير المصروفات حسب الشهر'!$C$10:$AD$119,28,FALSE),0)</f>
        <v>0</v>
      </c>
      <c r="E122" s="362">
        <f>IFERROR(VLOOKUP(C122,'تقرير المصروفات حسب الشهر'!$C$135:$AD$244,28,FALSE),0)</f>
        <v>0</v>
      </c>
      <c r="F122" s="362">
        <f>IFERROR(VLOOKUP(C122,'تقرير المصروفات حسب الشهر'!$C$261:$AD$368,28,FALSE),0)</f>
        <v>0</v>
      </c>
      <c r="G122" s="362">
        <f>IFERROR(VLOOKUP(C122,'تقرير المصروفات حسب الشهر'!$C$387:$AD$495,28,FALSE),0)</f>
        <v>0</v>
      </c>
      <c r="H122" s="362">
        <f>IFERROR(VLOOKUP(C122,'تقرير المصروفات حسب الشهر'!$C$512:$AD$620,28,FALSE),0)</f>
        <v>0</v>
      </c>
      <c r="I122" s="362">
        <f>IFERROR(VLOOKUP(C122,'تقرير المصروفات حسب الشهر'!$C$637:$AD$746,28,FALSE),0)</f>
        <v>0</v>
      </c>
      <c r="J122" s="362">
        <f>IFERROR(VLOOKUP(C122,'تقرير المصروفات حسب الشهر'!$C$763:$AD$872,28,FALSE),0)</f>
        <v>0</v>
      </c>
      <c r="K122" s="362">
        <f>IFERROR(VLOOKUP(C122,'تقرير المصروفات حسب الشهر'!$C$890:$AD$999,28,FALSE),0)</f>
        <v>0</v>
      </c>
      <c r="L122" s="362">
        <f>IFERROR(VLOOKUP(C122,'تقرير المصروفات حسب الشهر'!$C$1016:$AD$1126,28,FALSE),0)</f>
        <v>0</v>
      </c>
      <c r="M122" s="376">
        <f>IFERROR(VLOOKUP(C122,'تقرير المصروفات حسب الشهر'!$C$1143:$AD$1254,28,FALSE),0)</f>
        <v>0</v>
      </c>
      <c r="N122" s="384"/>
      <c r="O122" s="384"/>
      <c r="P122" s="364">
        <f t="shared" si="6"/>
        <v>0</v>
      </c>
    </row>
    <row r="123" spans="2:16" ht="18" customHeight="1">
      <c r="B123" s="124"/>
      <c r="C123" s="150" t="s">
        <v>196</v>
      </c>
      <c r="D123" s="362">
        <f>IFERROR(VLOOKUP(C123,'تقرير المصروفات حسب الشهر'!$C$10:$AD$119,28,FALSE),0)</f>
        <v>0</v>
      </c>
      <c r="E123" s="362">
        <f>IFERROR(VLOOKUP(C123,'تقرير المصروفات حسب الشهر'!$C$135:$AD$244,28,FALSE),0)</f>
        <v>0</v>
      </c>
      <c r="F123" s="362">
        <f>IFERROR(VLOOKUP(C123,'تقرير المصروفات حسب الشهر'!$C$261:$AD$368,28,FALSE),0)</f>
        <v>0</v>
      </c>
      <c r="G123" s="362">
        <f>IFERROR(VLOOKUP(C123,'تقرير المصروفات حسب الشهر'!$C$387:$AD$495,28,FALSE),0)</f>
        <v>0</v>
      </c>
      <c r="H123" s="362">
        <f>IFERROR(VLOOKUP(C123,'تقرير المصروفات حسب الشهر'!$C$512:$AD$620,28,FALSE),0)</f>
        <v>0</v>
      </c>
      <c r="I123" s="362">
        <f>IFERROR(VLOOKUP(C123,'تقرير المصروفات حسب الشهر'!$C$637:$AD$746,28,FALSE),0)</f>
        <v>0</v>
      </c>
      <c r="J123" s="362">
        <f>IFERROR(VLOOKUP(C123,'تقرير المصروفات حسب الشهر'!$C$763:$AD$872,28,FALSE),0)</f>
        <v>0</v>
      </c>
      <c r="K123" s="362">
        <f>IFERROR(VLOOKUP(C123,'تقرير المصروفات حسب الشهر'!$C$890:$AD$999,28,FALSE),0)</f>
        <v>0</v>
      </c>
      <c r="L123" s="362">
        <f>IFERROR(VLOOKUP(C123,'تقرير المصروفات حسب الشهر'!$C$1016:$AD$1126,28,FALSE),0)</f>
        <v>0</v>
      </c>
      <c r="M123" s="376">
        <f>IFERROR(VLOOKUP(C123,'تقرير المصروفات حسب الشهر'!$C$1143:$AD$1254,28,FALSE),0)</f>
        <v>0</v>
      </c>
      <c r="N123" s="384"/>
      <c r="O123" s="384"/>
      <c r="P123" s="364">
        <f t="shared" si="6"/>
        <v>0</v>
      </c>
    </row>
    <row r="124" spans="2:16" ht="18" customHeight="1">
      <c r="B124" s="124"/>
      <c r="C124" s="150" t="s">
        <v>197</v>
      </c>
      <c r="D124" s="362">
        <f>IFERROR(VLOOKUP(C124,'تقرير المصروفات حسب الشهر'!$C$10:$AD$119,28,FALSE),0)</f>
        <v>0</v>
      </c>
      <c r="E124" s="362">
        <f>IFERROR(VLOOKUP(C124,'تقرير المصروفات حسب الشهر'!$C$135:$AD$244,28,FALSE),0)</f>
        <v>0</v>
      </c>
      <c r="F124" s="362">
        <f>IFERROR(VLOOKUP(C124,'تقرير المصروفات حسب الشهر'!$C$261:$AD$368,28,FALSE),0)</f>
        <v>0</v>
      </c>
      <c r="G124" s="362">
        <f>IFERROR(VLOOKUP(C124,'تقرير المصروفات حسب الشهر'!$C$387:$AD$495,28,FALSE),0)</f>
        <v>0</v>
      </c>
      <c r="H124" s="362">
        <f>IFERROR(VLOOKUP(C124,'تقرير المصروفات حسب الشهر'!$C$512:$AD$620,28,FALSE),0)</f>
        <v>0</v>
      </c>
      <c r="I124" s="362">
        <f>IFERROR(VLOOKUP(C124,'تقرير المصروفات حسب الشهر'!$C$637:$AD$746,28,FALSE),0)</f>
        <v>0</v>
      </c>
      <c r="J124" s="362">
        <f>IFERROR(VLOOKUP(C124,'تقرير المصروفات حسب الشهر'!$C$763:$AD$872,28,FALSE),0)</f>
        <v>0</v>
      </c>
      <c r="K124" s="362">
        <f>IFERROR(VLOOKUP(C124,'تقرير المصروفات حسب الشهر'!$C$890:$AD$999,28,FALSE),0)</f>
        <v>0</v>
      </c>
      <c r="L124" s="362">
        <f>IFERROR(VLOOKUP(C124,'تقرير المصروفات حسب الشهر'!$C$1016:$AD$1126,28,FALSE),0)</f>
        <v>0</v>
      </c>
      <c r="M124" s="376">
        <f>IFERROR(VLOOKUP(C124,'تقرير المصروفات حسب الشهر'!$C$1143:$AD$1254,28,FALSE),0)</f>
        <v>0</v>
      </c>
      <c r="N124" s="384"/>
      <c r="O124" s="384"/>
      <c r="P124" s="364">
        <f t="shared" si="6"/>
        <v>0</v>
      </c>
    </row>
    <row r="125" spans="2:16" ht="18" customHeight="1">
      <c r="B125" s="124"/>
      <c r="C125" s="150" t="s">
        <v>198</v>
      </c>
      <c r="D125" s="362">
        <f>IFERROR(VLOOKUP(C125,'تقرير المصروفات حسب الشهر'!$C$10:$AD$119,28,FALSE),0)</f>
        <v>0</v>
      </c>
      <c r="E125" s="362">
        <f>IFERROR(VLOOKUP(C125,'تقرير المصروفات حسب الشهر'!$C$135:$AD$244,28,FALSE),0)</f>
        <v>0</v>
      </c>
      <c r="F125" s="362">
        <f>IFERROR(VLOOKUP(C125,'تقرير المصروفات حسب الشهر'!$C$261:$AD$368,28,FALSE),0)</f>
        <v>0</v>
      </c>
      <c r="G125" s="362">
        <f>IFERROR(VLOOKUP(C125,'تقرير المصروفات حسب الشهر'!$C$387:$AD$495,28,FALSE),0)</f>
        <v>0</v>
      </c>
      <c r="H125" s="362">
        <f>IFERROR(VLOOKUP(C125,'تقرير المصروفات حسب الشهر'!$C$512:$AD$620,28,FALSE),0)</f>
        <v>0</v>
      </c>
      <c r="I125" s="362">
        <f>IFERROR(VLOOKUP(C125,'تقرير المصروفات حسب الشهر'!$C$637:$AD$746,28,FALSE),0)</f>
        <v>0</v>
      </c>
      <c r="J125" s="362">
        <f>IFERROR(VLOOKUP(C125,'تقرير المصروفات حسب الشهر'!$C$763:$AD$872,28,FALSE),0)</f>
        <v>0</v>
      </c>
      <c r="K125" s="362">
        <f>IFERROR(VLOOKUP(C125,'تقرير المصروفات حسب الشهر'!$C$890:$AD$999,28,FALSE),0)</f>
        <v>0</v>
      </c>
      <c r="L125" s="362">
        <f>IFERROR(VLOOKUP(C125,'تقرير المصروفات حسب الشهر'!$C$1016:$AD$1126,28,FALSE),0)</f>
        <v>0</v>
      </c>
      <c r="M125" s="376">
        <f>IFERROR(VLOOKUP(C125,'تقرير المصروفات حسب الشهر'!$C$1143:$AD$1254,28,FALSE),0)</f>
        <v>0</v>
      </c>
      <c r="N125" s="384"/>
      <c r="O125" s="384"/>
      <c r="P125" s="364">
        <f t="shared" si="6"/>
        <v>0</v>
      </c>
    </row>
    <row r="126" spans="2:16" ht="18" customHeight="1">
      <c r="B126" s="124"/>
      <c r="C126" s="150" t="s">
        <v>201</v>
      </c>
      <c r="D126" s="362">
        <f>IFERROR(VLOOKUP(C126,'تقرير المصروفات حسب الشهر'!$C$10:$AD$119,28,FALSE),0)</f>
        <v>0</v>
      </c>
      <c r="E126" s="362">
        <f>IFERROR(VLOOKUP(C126,'تقرير المصروفات حسب الشهر'!$C$135:$AD$244,28,FALSE),0)</f>
        <v>0</v>
      </c>
      <c r="F126" s="362">
        <f>IFERROR(VLOOKUP(C126,'تقرير المصروفات حسب الشهر'!$C$261:$AD$368,28,FALSE),0)</f>
        <v>0</v>
      </c>
      <c r="G126" s="362">
        <f>IFERROR(VLOOKUP(C126,'تقرير المصروفات حسب الشهر'!$C$387:$AD$495,28,FALSE),0)</f>
        <v>0</v>
      </c>
      <c r="H126" s="362">
        <f>IFERROR(VLOOKUP(C126,'تقرير المصروفات حسب الشهر'!$C$512:$AD$620,28,FALSE),0)</f>
        <v>0</v>
      </c>
      <c r="I126" s="362">
        <f>IFERROR(VLOOKUP(C126,'تقرير المصروفات حسب الشهر'!$C$637:$AD$746,28,FALSE),0)</f>
        <v>0</v>
      </c>
      <c r="J126" s="362">
        <f>IFERROR(VLOOKUP(C126,'تقرير المصروفات حسب الشهر'!$C$763:$AD$872,28,FALSE),0)</f>
        <v>0</v>
      </c>
      <c r="K126" s="362">
        <f>IFERROR(VLOOKUP(C126,'تقرير المصروفات حسب الشهر'!$C$890:$AD$999,28,FALSE),0)</f>
        <v>0</v>
      </c>
      <c r="L126" s="362">
        <f>IFERROR(VLOOKUP(C126,'تقرير المصروفات حسب الشهر'!$C$1016:$AD$1126,28,FALSE),0)</f>
        <v>0</v>
      </c>
      <c r="M126" s="376">
        <f>IFERROR(VLOOKUP(C126,'تقرير المصروفات حسب الشهر'!$C$1143:$AD$1254,28,FALSE),0)</f>
        <v>0</v>
      </c>
      <c r="N126" s="384"/>
      <c r="O126" s="384"/>
      <c r="P126" s="364">
        <f t="shared" si="6"/>
        <v>0</v>
      </c>
    </row>
    <row r="127" spans="2:16" ht="18" customHeight="1">
      <c r="B127" s="124"/>
      <c r="C127" s="150" t="s">
        <v>202</v>
      </c>
      <c r="D127" s="362">
        <f>IFERROR(VLOOKUP(C127,'تقرير المصروفات حسب الشهر'!$C$10:$AD$119,28,FALSE),0)</f>
        <v>0</v>
      </c>
      <c r="E127" s="362">
        <f>IFERROR(VLOOKUP(C127,'تقرير المصروفات حسب الشهر'!$C$135:$AD$244,28,FALSE),0)</f>
        <v>0</v>
      </c>
      <c r="F127" s="362">
        <f>IFERROR(VLOOKUP(C127,'تقرير المصروفات حسب الشهر'!$C$261:$AD$368,28,FALSE),0)</f>
        <v>0</v>
      </c>
      <c r="G127" s="362">
        <f>IFERROR(VLOOKUP(C127,'تقرير المصروفات حسب الشهر'!$C$387:$AD$495,28,FALSE),0)</f>
        <v>0</v>
      </c>
      <c r="H127" s="362">
        <f>IFERROR(VLOOKUP(C127,'تقرير المصروفات حسب الشهر'!$C$512:$AD$620,28,FALSE),0)</f>
        <v>0</v>
      </c>
      <c r="I127" s="362">
        <f>IFERROR(VLOOKUP(C127,'تقرير المصروفات حسب الشهر'!$C$637:$AD$746,28,FALSE),0)</f>
        <v>0</v>
      </c>
      <c r="J127" s="362">
        <f>IFERROR(VLOOKUP(C127,'تقرير المصروفات حسب الشهر'!$C$763:$AD$872,28,FALSE),0)</f>
        <v>0</v>
      </c>
      <c r="K127" s="362">
        <f>IFERROR(VLOOKUP(C127,'تقرير المصروفات حسب الشهر'!$C$890:$AD$999,28,FALSE),0)</f>
        <v>0</v>
      </c>
      <c r="L127" s="362">
        <f>IFERROR(VLOOKUP(C127,'تقرير المصروفات حسب الشهر'!$C$1016:$AD$1126,28,FALSE),0)</f>
        <v>0</v>
      </c>
      <c r="M127" s="376">
        <f>IFERROR(VLOOKUP(C127,'تقرير المصروفات حسب الشهر'!$C$1143:$AD$1254,28,FALSE),0)</f>
        <v>0</v>
      </c>
      <c r="N127" s="384"/>
      <c r="O127" s="384"/>
      <c r="P127" s="364">
        <f t="shared" si="6"/>
        <v>0</v>
      </c>
    </row>
    <row r="128" spans="2:16" ht="18" customHeight="1">
      <c r="B128" s="124"/>
      <c r="C128" s="150" t="s">
        <v>206</v>
      </c>
      <c r="D128" s="362">
        <f>IFERROR(VLOOKUP(C128,'تقرير المصروفات حسب الشهر'!$C$10:$AD$119,28,FALSE),0)</f>
        <v>0</v>
      </c>
      <c r="E128" s="362">
        <f>IFERROR(VLOOKUP(C128,'تقرير المصروفات حسب الشهر'!$C$135:$AD$244,28,FALSE),0)</f>
        <v>0</v>
      </c>
      <c r="F128" s="362">
        <f>IFERROR(VLOOKUP(C128,'تقرير المصروفات حسب الشهر'!$C$261:$AD$368,28,FALSE),0)</f>
        <v>0</v>
      </c>
      <c r="G128" s="362">
        <f>IFERROR(VLOOKUP(C128,'تقرير المصروفات حسب الشهر'!$C$387:$AD$495,28,FALSE),0)</f>
        <v>0</v>
      </c>
      <c r="H128" s="362">
        <f>IFERROR(VLOOKUP(C128,'تقرير المصروفات حسب الشهر'!$C$512:$AD$620,28,FALSE),0)</f>
        <v>0</v>
      </c>
      <c r="I128" s="362">
        <f>IFERROR(VLOOKUP(C128,'تقرير المصروفات حسب الشهر'!$C$637:$AD$746,28,FALSE),0)</f>
        <v>0</v>
      </c>
      <c r="J128" s="362">
        <f>IFERROR(VLOOKUP(C128,'تقرير المصروفات حسب الشهر'!$C$763:$AD$872,28,FALSE),0)</f>
        <v>0</v>
      </c>
      <c r="K128" s="362">
        <f>IFERROR(VLOOKUP(C128,'تقرير المصروفات حسب الشهر'!$C$890:$AD$999,28,FALSE),0)</f>
        <v>0</v>
      </c>
      <c r="L128" s="362">
        <f>IFERROR(VLOOKUP(C128,'تقرير المصروفات حسب الشهر'!$C$1016:$AD$1126,28,FALSE),0)</f>
        <v>0</v>
      </c>
      <c r="M128" s="376">
        <f>IFERROR(VLOOKUP(C128,'تقرير المصروفات حسب الشهر'!$C$1143:$AD$1254,28,FALSE),0)</f>
        <v>0</v>
      </c>
      <c r="N128" s="384"/>
      <c r="O128" s="384"/>
      <c r="P128" s="364">
        <f t="shared" si="6"/>
        <v>0</v>
      </c>
    </row>
    <row r="129" spans="1:17" ht="18" customHeight="1">
      <c r="B129" s="124"/>
      <c r="C129" s="150" t="s">
        <v>207</v>
      </c>
      <c r="D129" s="362">
        <f>IFERROR(VLOOKUP(C129,'تقرير المصروفات حسب الشهر'!$C$10:$AD$119,28,FALSE),0)</f>
        <v>0</v>
      </c>
      <c r="E129" s="362">
        <f>IFERROR(VLOOKUP(C129,'تقرير المصروفات حسب الشهر'!$C$135:$AD$244,28,FALSE),0)</f>
        <v>0</v>
      </c>
      <c r="F129" s="362">
        <f>IFERROR(VLOOKUP(C129,'تقرير المصروفات حسب الشهر'!$C$261:$AD$368,28,FALSE),0)</f>
        <v>0</v>
      </c>
      <c r="G129" s="362">
        <f>IFERROR(VLOOKUP(C129,'تقرير المصروفات حسب الشهر'!$C$387:$AD$495,28,FALSE),0)</f>
        <v>0</v>
      </c>
      <c r="H129" s="362">
        <f>IFERROR(VLOOKUP(C129,'تقرير المصروفات حسب الشهر'!$C$512:$AD$620,28,FALSE),0)</f>
        <v>0</v>
      </c>
      <c r="I129" s="362">
        <f>IFERROR(VLOOKUP(C129,'تقرير المصروفات حسب الشهر'!$C$637:$AD$746,28,FALSE),0)</f>
        <v>0</v>
      </c>
      <c r="J129" s="362">
        <f>IFERROR(VLOOKUP(C129,'تقرير المصروفات حسب الشهر'!$C$763:$AD$872,28,FALSE),0)</f>
        <v>0</v>
      </c>
      <c r="K129" s="362">
        <f>IFERROR(VLOOKUP(C129,'تقرير المصروفات حسب الشهر'!$C$890:$AD$999,28,FALSE),0)</f>
        <v>0</v>
      </c>
      <c r="L129" s="362">
        <f>IFERROR(VLOOKUP(C129,'تقرير المصروفات حسب الشهر'!$C$1016:$AD$1126,28,FALSE),0)</f>
        <v>0</v>
      </c>
      <c r="M129" s="376">
        <f>IFERROR(VLOOKUP(C129,'تقرير المصروفات حسب الشهر'!$C$1143:$AD$1254,28,FALSE),0)</f>
        <v>0</v>
      </c>
      <c r="N129" s="384"/>
      <c r="O129" s="384"/>
      <c r="P129" s="364">
        <f t="shared" si="6"/>
        <v>0</v>
      </c>
    </row>
    <row r="130" spans="1:17" ht="18" customHeight="1">
      <c r="B130" s="124"/>
      <c r="C130" s="150" t="s">
        <v>208</v>
      </c>
      <c r="D130" s="362">
        <f>IFERROR(VLOOKUP(C130,'تقرير المصروفات حسب الشهر'!$C$10:$AD$119,28,FALSE),0)</f>
        <v>0</v>
      </c>
      <c r="E130" s="362">
        <f>IFERROR(VLOOKUP(C130,'تقرير المصروفات حسب الشهر'!$C$135:$AD$244,28,FALSE),0)</f>
        <v>0</v>
      </c>
      <c r="F130" s="362">
        <f>IFERROR(VLOOKUP(C130,'تقرير المصروفات حسب الشهر'!$C$261:$AD$368,28,FALSE),0)</f>
        <v>0</v>
      </c>
      <c r="G130" s="362">
        <f>IFERROR(VLOOKUP(C130,'تقرير المصروفات حسب الشهر'!$C$387:$AD$495,28,FALSE),0)</f>
        <v>0</v>
      </c>
      <c r="H130" s="362">
        <f>IFERROR(VLOOKUP(C130,'تقرير المصروفات حسب الشهر'!$C$512:$AD$620,28,FALSE),0)</f>
        <v>0</v>
      </c>
      <c r="I130" s="362">
        <f>IFERROR(VLOOKUP(C130,'تقرير المصروفات حسب الشهر'!$C$637:$AD$746,28,FALSE),0)</f>
        <v>0</v>
      </c>
      <c r="J130" s="362">
        <f>IFERROR(VLOOKUP(C130,'تقرير المصروفات حسب الشهر'!$C$763:$AD$872,28,FALSE),0)</f>
        <v>0</v>
      </c>
      <c r="K130" s="362">
        <f>IFERROR(VLOOKUP(C130,'تقرير المصروفات حسب الشهر'!$C$890:$AD$999,28,FALSE),0)</f>
        <v>0</v>
      </c>
      <c r="L130" s="362">
        <f>IFERROR(VLOOKUP(C130,'تقرير المصروفات حسب الشهر'!$C$1016:$AD$1126,28,FALSE),0)</f>
        <v>0</v>
      </c>
      <c r="M130" s="376">
        <f>IFERROR(VLOOKUP(C130,'تقرير المصروفات حسب الشهر'!$C$1143:$AD$1254,28,FALSE),0)</f>
        <v>0</v>
      </c>
      <c r="N130" s="384"/>
      <c r="O130" s="384"/>
      <c r="P130" s="364">
        <f t="shared" si="6"/>
        <v>0</v>
      </c>
    </row>
    <row r="131" spans="1:17" ht="18" customHeight="1">
      <c r="B131" s="124"/>
      <c r="C131" s="150" t="s">
        <v>236</v>
      </c>
      <c r="D131" s="362">
        <f>IFERROR(VLOOKUP(C131,'تقرير المصروفات حسب الشهر'!$C$10:$AD$119,28,FALSE),0)</f>
        <v>0</v>
      </c>
      <c r="E131" s="362">
        <f>IFERROR(VLOOKUP(C131,'تقرير المصروفات حسب الشهر'!$C$135:$AD$244,28,FALSE),0)</f>
        <v>0</v>
      </c>
      <c r="F131" s="362">
        <f>IFERROR(VLOOKUP(C131,'تقرير المصروفات حسب الشهر'!$C$261:$AD$368,28,FALSE),0)</f>
        <v>0</v>
      </c>
      <c r="G131" s="362">
        <f>IFERROR(VLOOKUP(C131,'تقرير المصروفات حسب الشهر'!$C$387:$AD$495,28,FALSE),0)</f>
        <v>0</v>
      </c>
      <c r="H131" s="362">
        <f>IFERROR(VLOOKUP(C131,'تقرير المصروفات حسب الشهر'!$C$512:$AD$620,28,FALSE),0)</f>
        <v>0</v>
      </c>
      <c r="I131" s="362">
        <f>IFERROR(VLOOKUP(C131,'تقرير المصروفات حسب الشهر'!$C$637:$AD$746,28,FALSE),0)</f>
        <v>0</v>
      </c>
      <c r="J131" s="362">
        <f>IFERROR(VLOOKUP(C131,'تقرير المصروفات حسب الشهر'!$C$763:$AD$872,28,FALSE),0)</f>
        <v>0</v>
      </c>
      <c r="K131" s="362">
        <f>IFERROR(VLOOKUP(C131,'تقرير المصروفات حسب الشهر'!$C$890:$AD$999,28,FALSE),0)</f>
        <v>0</v>
      </c>
      <c r="L131" s="362">
        <f>IFERROR(VLOOKUP(C131,'تقرير المصروفات حسب الشهر'!$C$1016:$AD$1126,28,FALSE),0)</f>
        <v>0</v>
      </c>
      <c r="M131" s="376">
        <f>IFERROR(VLOOKUP(C131,'تقرير المصروفات حسب الشهر'!$C$1143:$AD$1254,28,FALSE),0)</f>
        <v>0</v>
      </c>
      <c r="N131" s="384"/>
      <c r="O131" s="384"/>
      <c r="P131" s="364">
        <f t="shared" si="6"/>
        <v>0</v>
      </c>
    </row>
    <row r="132" spans="1:17" ht="18" customHeight="1">
      <c r="B132" s="124"/>
      <c r="C132" s="149" t="s">
        <v>270</v>
      </c>
      <c r="D132" s="146">
        <f t="shared" ref="D132:O132" si="7">SUM(D22:D131)</f>
        <v>0</v>
      </c>
      <c r="E132" s="146">
        <f t="shared" si="7"/>
        <v>0</v>
      </c>
      <c r="F132" s="146">
        <f t="shared" si="7"/>
        <v>0</v>
      </c>
      <c r="G132" s="146">
        <f t="shared" si="7"/>
        <v>0</v>
      </c>
      <c r="H132" s="146">
        <f t="shared" si="7"/>
        <v>0</v>
      </c>
      <c r="I132" s="146">
        <f t="shared" si="7"/>
        <v>0</v>
      </c>
      <c r="J132" s="146">
        <f t="shared" si="7"/>
        <v>0</v>
      </c>
      <c r="K132" s="146">
        <f t="shared" si="7"/>
        <v>0</v>
      </c>
      <c r="L132" s="146">
        <f t="shared" si="7"/>
        <v>0</v>
      </c>
      <c r="M132" s="146">
        <f t="shared" si="7"/>
        <v>0</v>
      </c>
      <c r="N132" s="146">
        <f t="shared" si="7"/>
        <v>0</v>
      </c>
      <c r="O132" s="146">
        <f t="shared" si="7"/>
        <v>0</v>
      </c>
      <c r="P132" s="388">
        <f t="shared" si="6"/>
        <v>0</v>
      </c>
    </row>
    <row r="133" spans="1:17" ht="18" customHeight="1">
      <c r="B133" s="124"/>
      <c r="C133" s="13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28"/>
    </row>
    <row r="134" spans="1:17" ht="24.75" customHeight="1">
      <c r="B134" s="124"/>
      <c r="C134" s="148" t="s">
        <v>14</v>
      </c>
      <c r="D134" s="392">
        <f t="shared" ref="D134:O134" si="8">D19</f>
        <v>0</v>
      </c>
      <c r="E134" s="392">
        <f t="shared" si="8"/>
        <v>0</v>
      </c>
      <c r="F134" s="392">
        <f t="shared" si="8"/>
        <v>0</v>
      </c>
      <c r="G134" s="392">
        <f t="shared" si="8"/>
        <v>0</v>
      </c>
      <c r="H134" s="392">
        <f t="shared" si="8"/>
        <v>0</v>
      </c>
      <c r="I134" s="392">
        <f t="shared" si="8"/>
        <v>0</v>
      </c>
      <c r="J134" s="392">
        <f t="shared" si="8"/>
        <v>0</v>
      </c>
      <c r="K134" s="392">
        <f t="shared" si="8"/>
        <v>0</v>
      </c>
      <c r="L134" s="392">
        <f t="shared" si="8"/>
        <v>0</v>
      </c>
      <c r="M134" s="392">
        <f t="shared" si="8"/>
        <v>0</v>
      </c>
      <c r="N134" s="392">
        <f t="shared" si="8"/>
        <v>0</v>
      </c>
      <c r="O134" s="392">
        <f t="shared" si="8"/>
        <v>0</v>
      </c>
      <c r="P134" s="388">
        <f t="shared" si="6"/>
        <v>0</v>
      </c>
    </row>
    <row r="135" spans="1:17" ht="10.95" customHeight="1">
      <c r="B135" s="124"/>
      <c r="C135" s="136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28"/>
    </row>
    <row r="136" spans="1:17" ht="18" customHeight="1">
      <c r="B136" s="124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28"/>
    </row>
    <row r="137" spans="1:17" s="139" customFormat="1" ht="22.5" customHeight="1">
      <c r="A137" s="113"/>
      <c r="B137" s="138"/>
      <c r="C137" s="147" t="s">
        <v>271</v>
      </c>
      <c r="D137" s="383">
        <f>D134-D132</f>
        <v>0</v>
      </c>
      <c r="E137" s="383">
        <f t="shared" ref="E137:O137" si="9">E134-E132</f>
        <v>0</v>
      </c>
      <c r="F137" s="383">
        <f t="shared" si="9"/>
        <v>0</v>
      </c>
      <c r="G137" s="383">
        <f t="shared" si="9"/>
        <v>0</v>
      </c>
      <c r="H137" s="383">
        <f t="shared" si="9"/>
        <v>0</v>
      </c>
      <c r="I137" s="383">
        <f t="shared" si="9"/>
        <v>0</v>
      </c>
      <c r="J137" s="383">
        <f t="shared" si="9"/>
        <v>0</v>
      </c>
      <c r="K137" s="383">
        <f t="shared" si="9"/>
        <v>0</v>
      </c>
      <c r="L137" s="383">
        <f t="shared" si="9"/>
        <v>0</v>
      </c>
      <c r="M137" s="383">
        <f t="shared" si="9"/>
        <v>0</v>
      </c>
      <c r="N137" s="383">
        <f t="shared" si="9"/>
        <v>0</v>
      </c>
      <c r="O137" s="383">
        <f t="shared" si="9"/>
        <v>0</v>
      </c>
      <c r="P137" s="387">
        <f>SUM(D137:O137)</f>
        <v>0</v>
      </c>
      <c r="Q137" s="113"/>
    </row>
    <row r="138" spans="1:17" ht="7.5" customHeight="1">
      <c r="B138" s="140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28"/>
    </row>
    <row r="139" spans="1:17" ht="7.35" customHeight="1">
      <c r="B139" s="12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22"/>
    </row>
    <row r="140" spans="1:17" s="112" customFormat="1" ht="23.1" customHeight="1">
      <c r="A140" s="113"/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4"/>
      <c r="P140" s="144"/>
      <c r="Q140" s="145"/>
    </row>
  </sheetData>
  <mergeCells count="1">
    <mergeCell ref="F3:J3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5">
    <tabColor rgb="FFFFC000"/>
  </sheetPr>
  <dimension ref="A1:AN1519"/>
  <sheetViews>
    <sheetView rightToLeft="1" topLeftCell="W1493" workbookViewId="0">
      <selection activeCell="AI1510" sqref="AI1510"/>
    </sheetView>
  </sheetViews>
  <sheetFormatPr defaultColWidth="9.109375" defaultRowHeight="13.2"/>
  <cols>
    <col min="1" max="1" width="1.5546875" style="190" customWidth="1"/>
    <col min="2" max="2" width="1.44140625" style="190" customWidth="1"/>
    <col min="3" max="3" width="30.44140625" style="190" bestFit="1" customWidth="1"/>
    <col min="4" max="4" width="16" style="190" customWidth="1"/>
    <col min="5" max="5" width="14.33203125" style="190" customWidth="1"/>
    <col min="6" max="6" width="12.6640625" style="190" customWidth="1"/>
    <col min="7" max="7" width="13.6640625" style="190" customWidth="1"/>
    <col min="8" max="8" width="12.6640625" style="190" customWidth="1"/>
    <col min="9" max="9" width="14.88671875" style="190" customWidth="1"/>
    <col min="10" max="12" width="13.5546875" style="190" customWidth="1"/>
    <col min="13" max="13" width="14.88671875" style="190" customWidth="1"/>
    <col min="14" max="14" width="13.5546875" style="190" customWidth="1"/>
    <col min="15" max="16" width="14.88671875" style="190" customWidth="1"/>
    <col min="17" max="17" width="16" style="190" customWidth="1"/>
    <col min="18" max="23" width="14.88671875" style="190" customWidth="1"/>
    <col min="24" max="24" width="15.109375" style="190" customWidth="1"/>
    <col min="25" max="27" width="13.5546875" style="190" customWidth="1"/>
    <col min="28" max="28" width="14.109375" style="190" customWidth="1"/>
    <col min="29" max="29" width="16.44140625" style="190" customWidth="1"/>
    <col min="30" max="34" width="14.88671875" style="190" customWidth="1"/>
    <col min="35" max="35" width="17.5546875" style="572" bestFit="1" customWidth="1"/>
    <col min="36" max="36" width="1.6640625" style="190" customWidth="1"/>
    <col min="37" max="37" width="12" style="190" bestFit="1" customWidth="1"/>
    <col min="38" max="16384" width="9.109375" style="190"/>
  </cols>
  <sheetData>
    <row r="1" spans="1:40" s="226" customFormat="1">
      <c r="A1" s="225"/>
      <c r="AI1" s="567"/>
    </row>
    <row r="2" spans="1:40" s="226" customFormat="1" ht="24" customHeight="1">
      <c r="A2" s="225"/>
      <c r="C2" s="289" t="s">
        <v>327</v>
      </c>
      <c r="D2" s="288" t="s">
        <v>282</v>
      </c>
      <c r="E2" s="288" t="s">
        <v>283</v>
      </c>
      <c r="F2" s="288" t="s">
        <v>284</v>
      </c>
      <c r="G2" s="288" t="s">
        <v>285</v>
      </c>
      <c r="H2" s="288" t="s">
        <v>251</v>
      </c>
      <c r="I2" s="288" t="s">
        <v>286</v>
      </c>
      <c r="J2" s="288" t="s">
        <v>287</v>
      </c>
      <c r="K2" s="288" t="s">
        <v>288</v>
      </c>
      <c r="L2" s="288" t="s">
        <v>289</v>
      </c>
      <c r="M2" s="288" t="s">
        <v>292</v>
      </c>
      <c r="N2" s="288" t="s">
        <v>290</v>
      </c>
      <c r="O2" s="288" t="s">
        <v>291</v>
      </c>
      <c r="AI2" s="567"/>
    </row>
    <row r="3" spans="1:40" ht="14.4">
      <c r="A3" s="202"/>
      <c r="C3" s="133" t="s">
        <v>264</v>
      </c>
      <c r="D3" s="126" t="s">
        <v>184</v>
      </c>
      <c r="E3" s="201" t="s">
        <v>36</v>
      </c>
      <c r="F3" s="201" t="s">
        <v>9</v>
      </c>
      <c r="G3" s="201" t="s">
        <v>25</v>
      </c>
      <c r="H3" s="201" t="s">
        <v>160</v>
      </c>
      <c r="I3" s="201" t="s">
        <v>139</v>
      </c>
      <c r="J3" s="201" t="s">
        <v>37</v>
      </c>
      <c r="K3" s="201" t="s">
        <v>133</v>
      </c>
      <c r="L3" s="201" t="s">
        <v>123</v>
      </c>
      <c r="M3" s="201" t="s">
        <v>145</v>
      </c>
      <c r="N3" s="201" t="s">
        <v>124</v>
      </c>
      <c r="O3" s="201" t="s">
        <v>169</v>
      </c>
      <c r="P3" s="201" t="s">
        <v>243</v>
      </c>
      <c r="Q3" s="201" t="s">
        <v>175</v>
      </c>
      <c r="R3" s="201" t="s">
        <v>170</v>
      </c>
      <c r="S3" s="201" t="s">
        <v>203</v>
      </c>
      <c r="T3" s="201" t="s">
        <v>172</v>
      </c>
      <c r="U3" s="201" t="s">
        <v>176</v>
      </c>
      <c r="V3" s="201" t="s">
        <v>177</v>
      </c>
      <c r="W3" s="201" t="s">
        <v>178</v>
      </c>
      <c r="X3" s="201" t="s">
        <v>179</v>
      </c>
      <c r="Y3" s="201" t="s">
        <v>181</v>
      </c>
      <c r="Z3" s="201" t="s">
        <v>182</v>
      </c>
      <c r="AA3" s="201" t="s">
        <v>187</v>
      </c>
      <c r="AB3" s="201" t="s">
        <v>233</v>
      </c>
      <c r="AC3" s="201" t="s">
        <v>240</v>
      </c>
      <c r="AD3" s="201" t="s">
        <v>245</v>
      </c>
      <c r="AE3" s="201" t="s">
        <v>357</v>
      </c>
      <c r="AF3" s="201" t="s">
        <v>362</v>
      </c>
      <c r="AG3" s="201" t="s">
        <v>361</v>
      </c>
      <c r="AH3" s="201" t="s">
        <v>234</v>
      </c>
      <c r="AI3" s="568" t="s">
        <v>239</v>
      </c>
    </row>
    <row r="4" spans="1:40" ht="14.4">
      <c r="A4" s="202"/>
      <c r="C4" s="133"/>
      <c r="D4" s="342">
        <v>2</v>
      </c>
      <c r="E4" s="343">
        <v>3</v>
      </c>
      <c r="F4" s="343">
        <v>4</v>
      </c>
      <c r="G4" s="343">
        <v>5</v>
      </c>
      <c r="H4" s="343">
        <v>6</v>
      </c>
      <c r="I4" s="342">
        <v>7</v>
      </c>
      <c r="J4" s="343">
        <v>8</v>
      </c>
      <c r="K4" s="343">
        <v>9</v>
      </c>
      <c r="L4" s="343">
        <v>10</v>
      </c>
      <c r="M4" s="343">
        <v>11</v>
      </c>
      <c r="N4" s="342">
        <v>12</v>
      </c>
      <c r="O4" s="343">
        <v>13</v>
      </c>
      <c r="P4" s="343">
        <v>14</v>
      </c>
      <c r="Q4" s="343">
        <v>15</v>
      </c>
      <c r="R4" s="343">
        <v>16</v>
      </c>
      <c r="S4" s="342">
        <v>17</v>
      </c>
      <c r="T4" s="343">
        <v>18</v>
      </c>
      <c r="U4" s="343">
        <v>19</v>
      </c>
      <c r="V4" s="343">
        <v>20</v>
      </c>
      <c r="W4" s="343">
        <v>21</v>
      </c>
      <c r="X4" s="342">
        <v>22</v>
      </c>
      <c r="Y4" s="343">
        <v>23</v>
      </c>
      <c r="Z4" s="343">
        <v>24</v>
      </c>
      <c r="AA4" s="343">
        <v>25</v>
      </c>
      <c r="AB4" s="343">
        <v>26</v>
      </c>
      <c r="AC4" s="342">
        <v>27</v>
      </c>
      <c r="AD4" s="343">
        <v>28</v>
      </c>
      <c r="AE4" s="343">
        <v>29</v>
      </c>
      <c r="AF4" s="343">
        <v>30</v>
      </c>
      <c r="AG4" s="343">
        <v>31</v>
      </c>
      <c r="AH4" s="343">
        <v>32</v>
      </c>
      <c r="AI4" s="569"/>
    </row>
    <row r="5" spans="1:40" s="205" customFormat="1" ht="21">
      <c r="A5" s="203"/>
      <c r="B5" s="204"/>
      <c r="C5" s="116" t="s">
        <v>272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570"/>
      <c r="AJ5" s="117"/>
      <c r="AK5" s="190"/>
      <c r="AL5" s="202"/>
      <c r="AM5" s="202"/>
      <c r="AN5" s="202"/>
    </row>
    <row r="6" spans="1:40" s="205" customFormat="1" ht="21">
      <c r="A6" s="206"/>
      <c r="B6" s="207"/>
      <c r="C6" s="119"/>
      <c r="D6" s="120"/>
      <c r="E6" s="634"/>
      <c r="F6" s="634"/>
      <c r="G6" s="634"/>
      <c r="H6" s="634"/>
      <c r="I6" s="634"/>
      <c r="J6" s="634"/>
      <c r="K6" s="120"/>
      <c r="L6" s="120"/>
      <c r="M6" s="120"/>
      <c r="N6" s="634" t="s">
        <v>370</v>
      </c>
      <c r="O6" s="634"/>
      <c r="P6" s="634"/>
      <c r="Q6" s="634"/>
      <c r="R6" s="634"/>
      <c r="S6" s="634"/>
      <c r="T6" s="634"/>
      <c r="U6" s="634"/>
      <c r="V6" s="634"/>
      <c r="W6" s="634"/>
      <c r="X6" s="634"/>
      <c r="Y6" s="634"/>
      <c r="Z6" s="634"/>
      <c r="AA6" s="120"/>
      <c r="AB6" s="120"/>
      <c r="AC6" s="120"/>
      <c r="AD6" s="120"/>
      <c r="AE6" s="120"/>
      <c r="AF6" s="120"/>
      <c r="AG6" s="120"/>
      <c r="AH6" s="120"/>
      <c r="AI6" s="571"/>
      <c r="AJ6" s="120"/>
      <c r="AK6" s="190"/>
      <c r="AL6" s="202"/>
      <c r="AM6" s="202"/>
      <c r="AN6" s="202"/>
    </row>
    <row r="7" spans="1:40" s="205" customFormat="1" ht="14.4"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572"/>
      <c r="AJ7" s="190"/>
      <c r="AK7" s="190"/>
      <c r="AL7" s="202"/>
      <c r="AM7" s="202"/>
      <c r="AN7" s="202"/>
    </row>
    <row r="8" spans="1:40" ht="14.4">
      <c r="B8" s="208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573"/>
      <c r="AJ8" s="210"/>
    </row>
    <row r="9" spans="1:40" ht="14.4">
      <c r="B9" s="211"/>
      <c r="C9" s="133" t="s">
        <v>264</v>
      </c>
      <c r="D9" s="126" t="s">
        <v>184</v>
      </c>
      <c r="E9" s="201" t="s">
        <v>36</v>
      </c>
      <c r="F9" s="201" t="s">
        <v>9</v>
      </c>
      <c r="G9" s="201" t="s">
        <v>25</v>
      </c>
      <c r="H9" s="201" t="s">
        <v>160</v>
      </c>
      <c r="I9" s="201" t="s">
        <v>139</v>
      </c>
      <c r="J9" s="201" t="s">
        <v>37</v>
      </c>
      <c r="K9" s="201" t="s">
        <v>133</v>
      </c>
      <c r="L9" s="201" t="s">
        <v>123</v>
      </c>
      <c r="M9" s="201" t="s">
        <v>145</v>
      </c>
      <c r="N9" s="201" t="s">
        <v>124</v>
      </c>
      <c r="O9" s="201" t="s">
        <v>169</v>
      </c>
      <c r="P9" s="201" t="s">
        <v>243</v>
      </c>
      <c r="Q9" s="201" t="s">
        <v>175</v>
      </c>
      <c r="R9" s="201" t="s">
        <v>170</v>
      </c>
      <c r="S9" s="201" t="s">
        <v>203</v>
      </c>
      <c r="T9" s="201" t="s">
        <v>172</v>
      </c>
      <c r="U9" s="201" t="s">
        <v>176</v>
      </c>
      <c r="V9" s="201" t="s">
        <v>177</v>
      </c>
      <c r="W9" s="201" t="s">
        <v>178</v>
      </c>
      <c r="X9" s="201" t="s">
        <v>179</v>
      </c>
      <c r="Y9" s="201" t="s">
        <v>181</v>
      </c>
      <c r="Z9" s="201" t="s">
        <v>182</v>
      </c>
      <c r="AA9" s="201" t="s">
        <v>187</v>
      </c>
      <c r="AB9" s="201" t="s">
        <v>233</v>
      </c>
      <c r="AC9" s="201" t="s">
        <v>240</v>
      </c>
      <c r="AD9" s="201" t="s">
        <v>245</v>
      </c>
      <c r="AE9" s="201" t="s">
        <v>357</v>
      </c>
      <c r="AF9" s="201" t="s">
        <v>362</v>
      </c>
      <c r="AG9" s="201" t="s">
        <v>361</v>
      </c>
      <c r="AH9" s="201" t="s">
        <v>234</v>
      </c>
      <c r="AI9" s="568" t="s">
        <v>239</v>
      </c>
      <c r="AJ9" s="212"/>
    </row>
    <row r="10" spans="1:40" ht="14.4">
      <c r="B10" s="211"/>
      <c r="C10" s="213" t="s">
        <v>40</v>
      </c>
      <c r="D10" s="214">
        <v>853477.34</v>
      </c>
      <c r="E10" s="214">
        <v>0</v>
      </c>
      <c r="F10" s="214">
        <v>0</v>
      </c>
      <c r="G10" s="214">
        <v>0</v>
      </c>
      <c r="H10" s="214">
        <v>0</v>
      </c>
      <c r="I10" s="214">
        <v>0</v>
      </c>
      <c r="J10" s="214">
        <v>0</v>
      </c>
      <c r="K10" s="21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  <c r="U10" s="214">
        <v>0</v>
      </c>
      <c r="V10" s="214">
        <v>0</v>
      </c>
      <c r="W10" s="214">
        <v>0</v>
      </c>
      <c r="X10" s="214">
        <v>0</v>
      </c>
      <c r="Y10" s="214">
        <v>0</v>
      </c>
      <c r="Z10" s="214">
        <v>0</v>
      </c>
      <c r="AA10" s="214">
        <v>0</v>
      </c>
      <c r="AB10" s="214">
        <v>0</v>
      </c>
      <c r="AC10" s="214">
        <v>0</v>
      </c>
      <c r="AD10" s="214"/>
      <c r="AE10" s="420">
        <v>0</v>
      </c>
      <c r="AF10" s="420">
        <v>0</v>
      </c>
      <c r="AG10" s="420">
        <v>0</v>
      </c>
      <c r="AH10" s="420"/>
      <c r="AI10" s="574">
        <f>SUM(D10:AH10)</f>
        <v>853477.34</v>
      </c>
      <c r="AJ10" s="212"/>
    </row>
    <row r="11" spans="1:40" ht="14.4">
      <c r="B11" s="211"/>
      <c r="C11" s="213" t="s">
        <v>41</v>
      </c>
      <c r="D11" s="214"/>
      <c r="E11" s="214">
        <v>247832.65</v>
      </c>
      <c r="F11" s="214">
        <v>227919.15000000002</v>
      </c>
      <c r="G11" s="214">
        <v>202939.78000000003</v>
      </c>
      <c r="H11" s="214">
        <v>225190.19</v>
      </c>
      <c r="I11" s="214">
        <v>37720.32</v>
      </c>
      <c r="J11" s="214">
        <v>14221.32</v>
      </c>
      <c r="K11" s="214">
        <v>9389.880000000001</v>
      </c>
      <c r="L11" s="214">
        <v>17656.900000000001</v>
      </c>
      <c r="M11" s="214">
        <v>155895.58000000002</v>
      </c>
      <c r="N11" s="214">
        <v>19501.36</v>
      </c>
      <c r="O11" s="214">
        <v>243139.37</v>
      </c>
      <c r="P11" s="214">
        <v>163023.78</v>
      </c>
      <c r="Q11" s="214">
        <v>338683.88999999996</v>
      </c>
      <c r="R11" s="214">
        <v>43064.82</v>
      </c>
      <c r="S11" s="214">
        <v>143039.19</v>
      </c>
      <c r="T11" s="214">
        <v>9514.7999999999993</v>
      </c>
      <c r="U11" s="214">
        <v>15832.259999999998</v>
      </c>
      <c r="V11" s="214">
        <v>21019</v>
      </c>
      <c r="W11" s="214">
        <v>7281.77</v>
      </c>
      <c r="X11" s="214">
        <v>9145.4</v>
      </c>
      <c r="Y11" s="214">
        <v>8817.16</v>
      </c>
      <c r="Z11" s="214">
        <v>5723.49</v>
      </c>
      <c r="AA11" s="214">
        <v>8398.2000000000007</v>
      </c>
      <c r="AB11" s="214">
        <v>18379.260000000002</v>
      </c>
      <c r="AC11" s="214">
        <v>15048.89</v>
      </c>
      <c r="AD11" s="214">
        <v>0</v>
      </c>
      <c r="AE11" s="420">
        <v>224435.35</v>
      </c>
      <c r="AF11" s="420">
        <v>0</v>
      </c>
      <c r="AG11" s="420">
        <v>0</v>
      </c>
      <c r="AH11" s="420"/>
      <c r="AI11" s="574">
        <f t="shared" ref="AI11:AI74" si="0">SUM(D11:AH11)</f>
        <v>2432813.7600000002</v>
      </c>
      <c r="AJ11" s="212"/>
    </row>
    <row r="12" spans="1:40" ht="14.4">
      <c r="B12" s="211"/>
      <c r="C12" s="213" t="s">
        <v>26</v>
      </c>
      <c r="D12" s="214">
        <v>2925</v>
      </c>
      <c r="E12" s="214">
        <v>6809</v>
      </c>
      <c r="F12" s="214">
        <v>3150</v>
      </c>
      <c r="G12" s="214">
        <v>3675</v>
      </c>
      <c r="H12" s="214">
        <v>2670</v>
      </c>
      <c r="I12" s="214">
        <v>0</v>
      </c>
      <c r="J12" s="214">
        <v>0</v>
      </c>
      <c r="K12" s="214">
        <v>0</v>
      </c>
      <c r="L12" s="214">
        <v>0</v>
      </c>
      <c r="M12" s="214">
        <v>0</v>
      </c>
      <c r="N12" s="214">
        <v>0</v>
      </c>
      <c r="O12" s="214">
        <v>1000</v>
      </c>
      <c r="P12" s="214">
        <v>3790</v>
      </c>
      <c r="Q12" s="214">
        <v>0</v>
      </c>
      <c r="R12" s="214">
        <v>4200</v>
      </c>
      <c r="S12" s="214">
        <v>3393</v>
      </c>
      <c r="T12" s="214">
        <v>0</v>
      </c>
      <c r="U12" s="214">
        <v>0</v>
      </c>
      <c r="V12" s="214">
        <v>0</v>
      </c>
      <c r="W12" s="214">
        <v>0</v>
      </c>
      <c r="X12" s="214">
        <v>0</v>
      </c>
      <c r="Y12" s="214">
        <v>0</v>
      </c>
      <c r="Z12" s="214">
        <v>0</v>
      </c>
      <c r="AA12" s="214">
        <v>0</v>
      </c>
      <c r="AB12" s="214">
        <v>0</v>
      </c>
      <c r="AC12" s="214">
        <v>0</v>
      </c>
      <c r="AD12" s="214"/>
      <c r="AE12" s="420">
        <v>2000</v>
      </c>
      <c r="AF12" s="420">
        <v>0</v>
      </c>
      <c r="AG12" s="420">
        <v>0</v>
      </c>
      <c r="AH12" s="420"/>
      <c r="AI12" s="574">
        <f t="shared" si="0"/>
        <v>33612</v>
      </c>
      <c r="AJ12" s="212"/>
    </row>
    <row r="13" spans="1:40" ht="14.4">
      <c r="B13" s="211"/>
      <c r="C13" s="213" t="s">
        <v>27</v>
      </c>
      <c r="D13" s="214">
        <v>0</v>
      </c>
      <c r="E13" s="214">
        <v>200</v>
      </c>
      <c r="F13" s="214">
        <v>0</v>
      </c>
      <c r="G13" s="214">
        <v>0</v>
      </c>
      <c r="H13" s="214">
        <v>475</v>
      </c>
      <c r="I13" s="214">
        <v>0</v>
      </c>
      <c r="J13" s="214">
        <v>0</v>
      </c>
      <c r="K13" s="21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  <c r="U13" s="214">
        <v>0</v>
      </c>
      <c r="V13" s="214">
        <v>0</v>
      </c>
      <c r="W13" s="214">
        <v>0</v>
      </c>
      <c r="X13" s="214">
        <v>0</v>
      </c>
      <c r="Y13" s="214">
        <v>0</v>
      </c>
      <c r="Z13" s="214">
        <v>0</v>
      </c>
      <c r="AA13" s="214">
        <v>0</v>
      </c>
      <c r="AB13" s="214">
        <v>0</v>
      </c>
      <c r="AC13" s="214">
        <v>0</v>
      </c>
      <c r="AD13" s="214"/>
      <c r="AE13" s="420">
        <v>0</v>
      </c>
      <c r="AF13" s="420">
        <v>0</v>
      </c>
      <c r="AG13" s="420">
        <v>0</v>
      </c>
      <c r="AH13" s="420"/>
      <c r="AI13" s="574">
        <f t="shared" si="0"/>
        <v>675</v>
      </c>
      <c r="AJ13" s="212"/>
    </row>
    <row r="14" spans="1:40" ht="14.4">
      <c r="B14" s="211"/>
      <c r="C14" s="213" t="s">
        <v>42</v>
      </c>
      <c r="D14" s="214">
        <v>700</v>
      </c>
      <c r="E14" s="214">
        <v>500</v>
      </c>
      <c r="F14" s="214">
        <v>150</v>
      </c>
      <c r="G14" s="214">
        <v>600</v>
      </c>
      <c r="H14" s="214">
        <v>350</v>
      </c>
      <c r="I14" s="214">
        <v>0</v>
      </c>
      <c r="J14" s="214">
        <v>0</v>
      </c>
      <c r="K14" s="214">
        <v>0</v>
      </c>
      <c r="L14" s="214">
        <v>0</v>
      </c>
      <c r="M14" s="214">
        <v>350</v>
      </c>
      <c r="N14" s="214">
        <v>0</v>
      </c>
      <c r="O14" s="214">
        <v>300</v>
      </c>
      <c r="P14" s="214">
        <v>300</v>
      </c>
      <c r="Q14" s="214">
        <v>0</v>
      </c>
      <c r="R14" s="214">
        <v>0</v>
      </c>
      <c r="S14" s="214">
        <v>200</v>
      </c>
      <c r="T14" s="214">
        <v>0</v>
      </c>
      <c r="U14" s="214">
        <v>0</v>
      </c>
      <c r="V14" s="214">
        <v>0</v>
      </c>
      <c r="W14" s="214">
        <v>0</v>
      </c>
      <c r="X14" s="214">
        <v>0</v>
      </c>
      <c r="Y14" s="214">
        <v>0</v>
      </c>
      <c r="Z14" s="214">
        <v>0</v>
      </c>
      <c r="AA14" s="214">
        <v>0</v>
      </c>
      <c r="AB14" s="214">
        <v>0</v>
      </c>
      <c r="AC14" s="214">
        <v>0</v>
      </c>
      <c r="AD14" s="214"/>
      <c r="AE14" s="420">
        <v>81</v>
      </c>
      <c r="AF14" s="420">
        <v>0</v>
      </c>
      <c r="AG14" s="420">
        <v>0</v>
      </c>
      <c r="AH14" s="420"/>
      <c r="AI14" s="574">
        <f t="shared" si="0"/>
        <v>3531</v>
      </c>
      <c r="AJ14" s="212"/>
    </row>
    <row r="15" spans="1:40" ht="14.4">
      <c r="B15" s="211"/>
      <c r="C15" s="213" t="s">
        <v>43</v>
      </c>
      <c r="D15" s="214">
        <v>0</v>
      </c>
      <c r="E15" s="214">
        <v>100000</v>
      </c>
      <c r="F15" s="214">
        <v>100000</v>
      </c>
      <c r="G15" s="214">
        <v>100000</v>
      </c>
      <c r="H15" s="214">
        <v>0</v>
      </c>
      <c r="I15" s="214">
        <v>0</v>
      </c>
      <c r="J15" s="214">
        <v>0</v>
      </c>
      <c r="K15" s="21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  <c r="U15" s="214">
        <v>0</v>
      </c>
      <c r="V15" s="214">
        <v>0</v>
      </c>
      <c r="W15" s="214">
        <v>0</v>
      </c>
      <c r="X15" s="214">
        <v>0</v>
      </c>
      <c r="Y15" s="214">
        <v>0</v>
      </c>
      <c r="Z15" s="214">
        <v>0</v>
      </c>
      <c r="AA15" s="214">
        <v>0</v>
      </c>
      <c r="AB15" s="214">
        <v>0</v>
      </c>
      <c r="AC15" s="214">
        <v>0</v>
      </c>
      <c r="AD15" s="214"/>
      <c r="AE15" s="420">
        <v>0</v>
      </c>
      <c r="AF15" s="420">
        <v>0</v>
      </c>
      <c r="AG15" s="420">
        <v>0</v>
      </c>
      <c r="AH15" s="420"/>
      <c r="AI15" s="574">
        <f t="shared" si="0"/>
        <v>300000</v>
      </c>
      <c r="AJ15" s="212"/>
    </row>
    <row r="16" spans="1:40" ht="14.4">
      <c r="B16" s="211"/>
      <c r="C16" s="213" t="s">
        <v>44</v>
      </c>
      <c r="D16" s="214">
        <v>100000</v>
      </c>
      <c r="E16" s="214">
        <v>0</v>
      </c>
      <c r="F16" s="214">
        <v>0</v>
      </c>
      <c r="G16" s="214">
        <v>0</v>
      </c>
      <c r="H16" s="214">
        <v>0</v>
      </c>
      <c r="I16" s="214">
        <v>0</v>
      </c>
      <c r="J16" s="214">
        <v>0</v>
      </c>
      <c r="K16" s="21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  <c r="U16" s="214">
        <v>0</v>
      </c>
      <c r="V16" s="214">
        <v>0</v>
      </c>
      <c r="W16" s="214">
        <v>0</v>
      </c>
      <c r="X16" s="214">
        <v>0</v>
      </c>
      <c r="Y16" s="214">
        <v>0</v>
      </c>
      <c r="Z16" s="214">
        <v>0</v>
      </c>
      <c r="AA16" s="214">
        <v>0</v>
      </c>
      <c r="AB16" s="214">
        <v>0</v>
      </c>
      <c r="AC16" s="214">
        <v>0</v>
      </c>
      <c r="AD16" s="214"/>
      <c r="AE16" s="420">
        <v>0</v>
      </c>
      <c r="AF16" s="420">
        <v>0</v>
      </c>
      <c r="AG16" s="420">
        <v>0</v>
      </c>
      <c r="AH16" s="420"/>
      <c r="AI16" s="574">
        <f t="shared" si="0"/>
        <v>100000</v>
      </c>
      <c r="AJ16" s="212"/>
    </row>
    <row r="17" spans="2:36" ht="14.4">
      <c r="B17" s="211"/>
      <c r="C17" s="213" t="s">
        <v>45</v>
      </c>
      <c r="D17" s="214">
        <v>40610</v>
      </c>
      <c r="E17" s="214">
        <v>0</v>
      </c>
      <c r="F17" s="214">
        <v>26200</v>
      </c>
      <c r="G17" s="214">
        <v>0</v>
      </c>
      <c r="H17" s="214">
        <v>35500</v>
      </c>
      <c r="I17" s="214">
        <v>0</v>
      </c>
      <c r="J17" s="214">
        <v>0</v>
      </c>
      <c r="K17" s="214">
        <v>0</v>
      </c>
      <c r="L17" s="214">
        <v>0</v>
      </c>
      <c r="M17" s="214">
        <v>11000</v>
      </c>
      <c r="N17" s="214">
        <v>12000</v>
      </c>
      <c r="O17" s="214">
        <v>23300</v>
      </c>
      <c r="P17" s="214">
        <v>20900</v>
      </c>
      <c r="Q17" s="214">
        <v>99176</v>
      </c>
      <c r="R17" s="214">
        <v>22420</v>
      </c>
      <c r="S17" s="214">
        <v>50625</v>
      </c>
      <c r="T17" s="214">
        <v>0</v>
      </c>
      <c r="U17" s="214">
        <v>0</v>
      </c>
      <c r="V17" s="214">
        <v>0</v>
      </c>
      <c r="W17" s="214">
        <v>0</v>
      </c>
      <c r="X17" s="214">
        <v>0</v>
      </c>
      <c r="Y17" s="214">
        <v>0</v>
      </c>
      <c r="Z17" s="214">
        <v>0</v>
      </c>
      <c r="AA17" s="214">
        <v>0</v>
      </c>
      <c r="AB17" s="214">
        <v>0</v>
      </c>
      <c r="AC17" s="214">
        <v>0</v>
      </c>
      <c r="AD17" s="214"/>
      <c r="AE17" s="420">
        <v>44100</v>
      </c>
      <c r="AF17" s="420">
        <v>0</v>
      </c>
      <c r="AG17" s="420">
        <v>0</v>
      </c>
      <c r="AH17" s="420"/>
      <c r="AI17" s="574">
        <f t="shared" si="0"/>
        <v>385831</v>
      </c>
      <c r="AJ17" s="212"/>
    </row>
    <row r="18" spans="2:36" ht="14.4">
      <c r="B18" s="211"/>
      <c r="C18" s="213" t="s">
        <v>156</v>
      </c>
      <c r="D18" s="214">
        <v>1255</v>
      </c>
      <c r="E18" s="214">
        <v>0</v>
      </c>
      <c r="F18" s="214">
        <v>0</v>
      </c>
      <c r="G18" s="214">
        <v>185</v>
      </c>
      <c r="H18" s="214">
        <v>0</v>
      </c>
      <c r="I18" s="214">
        <v>0</v>
      </c>
      <c r="J18" s="214">
        <v>0</v>
      </c>
      <c r="K18" s="214">
        <v>0</v>
      </c>
      <c r="L18" s="214">
        <v>0</v>
      </c>
      <c r="M18" s="214">
        <v>0</v>
      </c>
      <c r="N18" s="214">
        <v>0</v>
      </c>
      <c r="O18" s="214">
        <v>20</v>
      </c>
      <c r="P18" s="214">
        <v>0</v>
      </c>
      <c r="Q18" s="214">
        <v>0</v>
      </c>
      <c r="R18" s="214">
        <v>0</v>
      </c>
      <c r="S18" s="214">
        <v>50</v>
      </c>
      <c r="T18" s="214">
        <v>0</v>
      </c>
      <c r="U18" s="214">
        <v>0</v>
      </c>
      <c r="V18" s="214">
        <v>0</v>
      </c>
      <c r="W18" s="214">
        <v>0</v>
      </c>
      <c r="X18" s="214">
        <v>0</v>
      </c>
      <c r="Y18" s="214">
        <v>0</v>
      </c>
      <c r="Z18" s="214">
        <v>0</v>
      </c>
      <c r="AA18" s="214">
        <v>0</v>
      </c>
      <c r="AB18" s="214">
        <v>0</v>
      </c>
      <c r="AC18" s="214">
        <v>0</v>
      </c>
      <c r="AD18" s="214"/>
      <c r="AE18" s="420">
        <v>0</v>
      </c>
      <c r="AF18" s="420">
        <v>0</v>
      </c>
      <c r="AG18" s="420">
        <v>0</v>
      </c>
      <c r="AH18" s="420"/>
      <c r="AI18" s="574">
        <f t="shared" si="0"/>
        <v>1510</v>
      </c>
      <c r="AJ18" s="212"/>
    </row>
    <row r="19" spans="2:36" ht="14.4">
      <c r="B19" s="211"/>
      <c r="C19" s="213" t="s">
        <v>46</v>
      </c>
      <c r="D19" s="214">
        <v>11807.53</v>
      </c>
      <c r="E19" s="214">
        <v>783.54</v>
      </c>
      <c r="F19" s="214">
        <v>2006.17</v>
      </c>
      <c r="G19" s="214">
        <v>464.47</v>
      </c>
      <c r="H19" s="214">
        <v>147.13</v>
      </c>
      <c r="I19" s="214">
        <v>84.95</v>
      </c>
      <c r="J19" s="214">
        <v>0</v>
      </c>
      <c r="K19" s="214">
        <v>523.88</v>
      </c>
      <c r="L19" s="214">
        <v>65.87</v>
      </c>
      <c r="M19" s="214">
        <v>694.41</v>
      </c>
      <c r="N19" s="214">
        <v>54.67</v>
      </c>
      <c r="O19" s="214">
        <v>212.11</v>
      </c>
      <c r="P19" s="214">
        <v>648.82000000000005</v>
      </c>
      <c r="Q19" s="214">
        <v>348.43</v>
      </c>
      <c r="R19" s="214">
        <v>65.87</v>
      </c>
      <c r="S19" s="214">
        <v>586.1</v>
      </c>
      <c r="T19" s="214">
        <v>0</v>
      </c>
      <c r="U19" s="214">
        <v>168.67</v>
      </c>
      <c r="V19" s="214">
        <v>90</v>
      </c>
      <c r="W19" s="214">
        <v>300</v>
      </c>
      <c r="X19" s="214">
        <v>168.67</v>
      </c>
      <c r="Y19" s="214">
        <v>62.18</v>
      </c>
      <c r="Z19" s="214">
        <v>57.87</v>
      </c>
      <c r="AA19" s="214">
        <v>65.87</v>
      </c>
      <c r="AB19" s="214">
        <v>68.33</v>
      </c>
      <c r="AC19" s="214">
        <v>62.18</v>
      </c>
      <c r="AD19" s="214"/>
      <c r="AE19" s="420">
        <v>270.86</v>
      </c>
      <c r="AF19" s="420">
        <v>600</v>
      </c>
      <c r="AG19" s="420">
        <v>445</v>
      </c>
      <c r="AH19" s="420"/>
      <c r="AI19" s="574">
        <f t="shared" si="0"/>
        <v>20853.579999999994</v>
      </c>
      <c r="AJ19" s="212"/>
    </row>
    <row r="20" spans="2:36" ht="14.4">
      <c r="B20" s="211"/>
      <c r="C20" s="213" t="s">
        <v>47</v>
      </c>
      <c r="D20" s="214">
        <v>0</v>
      </c>
      <c r="E20" s="214">
        <v>0</v>
      </c>
      <c r="F20" s="214">
        <v>0</v>
      </c>
      <c r="G20" s="214">
        <v>0</v>
      </c>
      <c r="H20" s="214">
        <v>0</v>
      </c>
      <c r="I20" s="214">
        <v>0</v>
      </c>
      <c r="J20" s="214">
        <v>0</v>
      </c>
      <c r="K20" s="21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  <c r="U20" s="214">
        <v>0</v>
      </c>
      <c r="V20" s="214">
        <v>0</v>
      </c>
      <c r="W20" s="214">
        <v>0</v>
      </c>
      <c r="X20" s="214">
        <v>0</v>
      </c>
      <c r="Y20" s="214">
        <v>0</v>
      </c>
      <c r="Z20" s="214">
        <v>0</v>
      </c>
      <c r="AA20" s="214">
        <v>0</v>
      </c>
      <c r="AB20" s="214">
        <v>0</v>
      </c>
      <c r="AC20" s="214">
        <v>0</v>
      </c>
      <c r="AD20" s="214"/>
      <c r="AE20" s="420">
        <v>0</v>
      </c>
      <c r="AF20" s="420">
        <v>0</v>
      </c>
      <c r="AG20" s="420">
        <v>0</v>
      </c>
      <c r="AH20" s="420"/>
      <c r="AI20" s="574">
        <f t="shared" si="0"/>
        <v>0</v>
      </c>
      <c r="AJ20" s="212"/>
    </row>
    <row r="21" spans="2:36" ht="14.4">
      <c r="B21" s="211"/>
      <c r="C21" s="213" t="s">
        <v>48</v>
      </c>
      <c r="D21" s="214">
        <v>1000</v>
      </c>
      <c r="E21" s="214">
        <v>1500</v>
      </c>
      <c r="F21" s="214">
        <v>500</v>
      </c>
      <c r="G21" s="214">
        <v>0</v>
      </c>
      <c r="H21" s="214">
        <v>0</v>
      </c>
      <c r="I21" s="214">
        <v>0</v>
      </c>
      <c r="J21" s="214">
        <v>0</v>
      </c>
      <c r="K21" s="214">
        <v>0</v>
      </c>
      <c r="L21" s="214">
        <v>0</v>
      </c>
      <c r="M21" s="214">
        <v>750</v>
      </c>
      <c r="N21" s="214">
        <v>0</v>
      </c>
      <c r="O21" s="214">
        <v>900</v>
      </c>
      <c r="P21" s="214">
        <v>500</v>
      </c>
      <c r="Q21" s="214">
        <v>750</v>
      </c>
      <c r="R21" s="214">
        <v>0</v>
      </c>
      <c r="S21" s="214">
        <v>750</v>
      </c>
      <c r="T21" s="214">
        <v>0</v>
      </c>
      <c r="U21" s="214">
        <v>0</v>
      </c>
      <c r="V21" s="214">
        <v>0</v>
      </c>
      <c r="W21" s="214">
        <v>0</v>
      </c>
      <c r="X21" s="214">
        <v>0</v>
      </c>
      <c r="Y21" s="214">
        <v>0</v>
      </c>
      <c r="Z21" s="214">
        <v>0</v>
      </c>
      <c r="AA21" s="214">
        <v>0</v>
      </c>
      <c r="AB21" s="214">
        <v>0</v>
      </c>
      <c r="AC21" s="214">
        <v>0</v>
      </c>
      <c r="AD21" s="214"/>
      <c r="AE21" s="420">
        <v>250</v>
      </c>
      <c r="AF21" s="420">
        <v>0</v>
      </c>
      <c r="AG21" s="420">
        <v>0</v>
      </c>
      <c r="AH21" s="420"/>
      <c r="AI21" s="574">
        <f t="shared" si="0"/>
        <v>6900</v>
      </c>
      <c r="AJ21" s="212"/>
    </row>
    <row r="22" spans="2:36" ht="14.4">
      <c r="B22" s="211"/>
      <c r="C22" s="213" t="s">
        <v>49</v>
      </c>
      <c r="D22" s="214">
        <v>5246.47</v>
      </c>
      <c r="E22" s="214">
        <v>0</v>
      </c>
      <c r="F22" s="214">
        <v>0</v>
      </c>
      <c r="G22" s="214">
        <v>0</v>
      </c>
      <c r="H22" s="214">
        <v>0</v>
      </c>
      <c r="I22" s="214">
        <v>0</v>
      </c>
      <c r="J22" s="214">
        <v>0</v>
      </c>
      <c r="K22" s="21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  <c r="U22" s="214">
        <v>0</v>
      </c>
      <c r="V22" s="214">
        <v>0</v>
      </c>
      <c r="W22" s="214">
        <v>0</v>
      </c>
      <c r="X22" s="214">
        <v>0</v>
      </c>
      <c r="Y22" s="214">
        <v>0</v>
      </c>
      <c r="Z22" s="214">
        <v>0</v>
      </c>
      <c r="AA22" s="214">
        <v>0</v>
      </c>
      <c r="AB22" s="214">
        <v>0</v>
      </c>
      <c r="AC22" s="214">
        <v>0</v>
      </c>
      <c r="AD22" s="214"/>
      <c r="AE22" s="420">
        <v>0</v>
      </c>
      <c r="AF22" s="420">
        <v>0</v>
      </c>
      <c r="AG22" s="420">
        <v>0</v>
      </c>
      <c r="AH22" s="420"/>
      <c r="AI22" s="574">
        <f t="shared" si="0"/>
        <v>5246.47</v>
      </c>
      <c r="AJ22" s="212"/>
    </row>
    <row r="23" spans="2:36" ht="14.4">
      <c r="B23" s="211"/>
      <c r="C23" s="213" t="s">
        <v>158</v>
      </c>
      <c r="D23" s="214">
        <v>2180</v>
      </c>
      <c r="E23" s="214">
        <v>2830</v>
      </c>
      <c r="F23" s="214">
        <v>1030</v>
      </c>
      <c r="G23" s="214">
        <v>330</v>
      </c>
      <c r="H23" s="214">
        <v>800</v>
      </c>
      <c r="I23" s="214">
        <v>0</v>
      </c>
      <c r="J23" s="214">
        <v>0</v>
      </c>
      <c r="K23" s="21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  <c r="U23" s="214">
        <v>0</v>
      </c>
      <c r="V23" s="214">
        <v>0</v>
      </c>
      <c r="W23" s="214">
        <v>0</v>
      </c>
      <c r="X23" s="214">
        <v>0</v>
      </c>
      <c r="Y23" s="214">
        <v>0</v>
      </c>
      <c r="Z23" s="214">
        <v>0</v>
      </c>
      <c r="AA23" s="214">
        <v>0</v>
      </c>
      <c r="AB23" s="214">
        <v>0</v>
      </c>
      <c r="AC23" s="214">
        <v>0</v>
      </c>
      <c r="AD23" s="214"/>
      <c r="AE23" s="420">
        <v>0</v>
      </c>
      <c r="AF23" s="420">
        <v>0</v>
      </c>
      <c r="AG23" s="420">
        <v>0</v>
      </c>
      <c r="AH23" s="420"/>
      <c r="AI23" s="574">
        <f t="shared" si="0"/>
        <v>7170</v>
      </c>
      <c r="AJ23" s="212"/>
    </row>
    <row r="24" spans="2:36" ht="14.4">
      <c r="B24" s="211"/>
      <c r="C24" s="213" t="s">
        <v>50</v>
      </c>
      <c r="D24" s="214">
        <v>750</v>
      </c>
      <c r="E24" s="214">
        <v>0</v>
      </c>
      <c r="F24" s="214">
        <v>750</v>
      </c>
      <c r="G24" s="214">
        <v>750</v>
      </c>
      <c r="H24" s="214">
        <v>750</v>
      </c>
      <c r="I24" s="214">
        <v>750</v>
      </c>
      <c r="J24" s="214">
        <v>0</v>
      </c>
      <c r="K24" s="214">
        <v>0</v>
      </c>
      <c r="L24" s="214">
        <v>1500</v>
      </c>
      <c r="M24" s="214">
        <v>750</v>
      </c>
      <c r="N24" s="214">
        <v>0</v>
      </c>
      <c r="O24" s="214">
        <v>750</v>
      </c>
      <c r="P24" s="214">
        <v>750</v>
      </c>
      <c r="Q24" s="214">
        <v>750</v>
      </c>
      <c r="R24" s="214">
        <v>0</v>
      </c>
      <c r="S24" s="214">
        <v>750</v>
      </c>
      <c r="T24" s="214">
        <v>0</v>
      </c>
      <c r="U24" s="214">
        <v>0</v>
      </c>
      <c r="V24" s="214">
        <v>750</v>
      </c>
      <c r="W24" s="214">
        <v>750</v>
      </c>
      <c r="X24" s="214">
        <v>0</v>
      </c>
      <c r="Y24" s="214">
        <v>0</v>
      </c>
      <c r="Z24" s="214">
        <v>750</v>
      </c>
      <c r="AA24" s="214">
        <v>0</v>
      </c>
      <c r="AB24" s="214">
        <v>750</v>
      </c>
      <c r="AC24" s="214">
        <v>0</v>
      </c>
      <c r="AD24" s="214"/>
      <c r="AE24" s="420">
        <v>0</v>
      </c>
      <c r="AF24" s="420">
        <v>750</v>
      </c>
      <c r="AG24" s="420">
        <v>0</v>
      </c>
      <c r="AH24" s="420"/>
      <c r="AI24" s="574">
        <f t="shared" si="0"/>
        <v>12750</v>
      </c>
      <c r="AJ24" s="212"/>
    </row>
    <row r="25" spans="2:36" ht="14.4">
      <c r="B25" s="211"/>
      <c r="C25" s="213" t="s">
        <v>51</v>
      </c>
      <c r="D25" s="214">
        <v>0</v>
      </c>
      <c r="E25" s="214">
        <v>2250</v>
      </c>
      <c r="F25" s="214">
        <v>2250</v>
      </c>
      <c r="G25" s="214">
        <v>2250</v>
      </c>
      <c r="H25" s="214">
        <v>2250</v>
      </c>
      <c r="I25" s="214">
        <v>0</v>
      </c>
      <c r="J25" s="214">
        <v>0</v>
      </c>
      <c r="K25" s="214">
        <v>0</v>
      </c>
      <c r="L25" s="214">
        <v>0</v>
      </c>
      <c r="M25" s="214">
        <v>0</v>
      </c>
      <c r="N25" s="214">
        <v>0</v>
      </c>
      <c r="O25" s="214">
        <v>2250</v>
      </c>
      <c r="P25" s="214">
        <v>2250</v>
      </c>
      <c r="Q25" s="214">
        <v>0</v>
      </c>
      <c r="R25" s="214">
        <v>2250</v>
      </c>
      <c r="S25" s="214">
        <v>2250</v>
      </c>
      <c r="T25" s="214">
        <v>0</v>
      </c>
      <c r="U25" s="214">
        <v>0</v>
      </c>
      <c r="V25" s="214">
        <v>0</v>
      </c>
      <c r="W25" s="214">
        <v>0</v>
      </c>
      <c r="X25" s="214">
        <v>0</v>
      </c>
      <c r="Y25" s="214">
        <v>0</v>
      </c>
      <c r="Z25" s="214">
        <v>0</v>
      </c>
      <c r="AA25" s="214">
        <v>0</v>
      </c>
      <c r="AB25" s="214">
        <v>0</v>
      </c>
      <c r="AC25" s="214">
        <v>0</v>
      </c>
      <c r="AD25" s="214"/>
      <c r="AE25" s="420">
        <v>2250</v>
      </c>
      <c r="AF25" s="420">
        <v>2250</v>
      </c>
      <c r="AG25" s="420">
        <v>0</v>
      </c>
      <c r="AH25" s="420"/>
      <c r="AI25" s="574">
        <f t="shared" si="0"/>
        <v>22500</v>
      </c>
      <c r="AJ25" s="212"/>
    </row>
    <row r="26" spans="2:36" ht="14.4">
      <c r="B26" s="211"/>
      <c r="C26" s="213" t="s">
        <v>52</v>
      </c>
      <c r="D26" s="214">
        <v>0</v>
      </c>
      <c r="E26" s="214">
        <v>0</v>
      </c>
      <c r="F26" s="214">
        <v>0</v>
      </c>
      <c r="G26" s="214">
        <v>0</v>
      </c>
      <c r="H26" s="214">
        <v>0</v>
      </c>
      <c r="I26" s="214">
        <v>0</v>
      </c>
      <c r="J26" s="214">
        <v>0</v>
      </c>
      <c r="K26" s="21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  <c r="U26" s="214">
        <v>0</v>
      </c>
      <c r="V26" s="214">
        <v>0</v>
      </c>
      <c r="W26" s="214">
        <v>0</v>
      </c>
      <c r="X26" s="214">
        <v>0</v>
      </c>
      <c r="Y26" s="214">
        <v>0</v>
      </c>
      <c r="Z26" s="214">
        <v>0</v>
      </c>
      <c r="AA26" s="214">
        <v>0</v>
      </c>
      <c r="AB26" s="214">
        <v>0</v>
      </c>
      <c r="AC26" s="214">
        <v>0</v>
      </c>
      <c r="AD26" s="214"/>
      <c r="AE26" s="420">
        <v>0</v>
      </c>
      <c r="AF26" s="420">
        <v>0</v>
      </c>
      <c r="AG26" s="420">
        <v>0</v>
      </c>
      <c r="AH26" s="420"/>
      <c r="AI26" s="574">
        <f t="shared" si="0"/>
        <v>0</v>
      </c>
      <c r="AJ26" s="212"/>
    </row>
    <row r="27" spans="2:36" ht="14.4">
      <c r="B27" s="211"/>
      <c r="C27" s="213" t="s">
        <v>174</v>
      </c>
      <c r="D27" s="214">
        <v>410</v>
      </c>
      <c r="E27" s="214">
        <v>4422.5</v>
      </c>
      <c r="F27" s="214">
        <v>4422.5</v>
      </c>
      <c r="G27" s="214">
        <v>4422.5</v>
      </c>
      <c r="H27" s="214">
        <v>4422.5</v>
      </c>
      <c r="I27" s="214">
        <v>25000</v>
      </c>
      <c r="J27" s="214">
        <v>0</v>
      </c>
      <c r="K27" s="214">
        <v>0</v>
      </c>
      <c r="L27" s="214">
        <v>0</v>
      </c>
      <c r="M27" s="214">
        <v>4422.5</v>
      </c>
      <c r="N27" s="214">
        <v>0</v>
      </c>
      <c r="O27" s="214">
        <v>4422.5</v>
      </c>
      <c r="P27" s="214">
        <v>4567.5</v>
      </c>
      <c r="Q27" s="214">
        <v>4422.5</v>
      </c>
      <c r="R27" s="214">
        <v>4422.5</v>
      </c>
      <c r="S27" s="214">
        <v>4422.5</v>
      </c>
      <c r="T27" s="214">
        <v>0</v>
      </c>
      <c r="U27" s="214">
        <v>0</v>
      </c>
      <c r="V27" s="214">
        <v>0</v>
      </c>
      <c r="W27" s="214">
        <v>0</v>
      </c>
      <c r="X27" s="214">
        <v>25000</v>
      </c>
      <c r="Y27" s="214">
        <v>0</v>
      </c>
      <c r="Z27" s="214">
        <v>0</v>
      </c>
      <c r="AA27" s="214">
        <v>25000</v>
      </c>
      <c r="AB27" s="214">
        <v>0</v>
      </c>
      <c r="AC27" s="214">
        <v>0</v>
      </c>
      <c r="AD27" s="214"/>
      <c r="AE27" s="420">
        <v>0</v>
      </c>
      <c r="AF27" s="420">
        <v>0</v>
      </c>
      <c r="AG27" s="420">
        <v>0</v>
      </c>
      <c r="AH27" s="420"/>
      <c r="AI27" s="574">
        <f t="shared" si="0"/>
        <v>119780</v>
      </c>
      <c r="AJ27" s="212"/>
    </row>
    <row r="28" spans="2:36" ht="14.4">
      <c r="B28" s="211"/>
      <c r="C28" s="213" t="s">
        <v>53</v>
      </c>
      <c r="D28" s="214">
        <v>4400</v>
      </c>
      <c r="E28" s="214">
        <v>250</v>
      </c>
      <c r="F28" s="214">
        <v>0</v>
      </c>
      <c r="G28" s="214">
        <v>33934</v>
      </c>
      <c r="H28" s="214">
        <v>0</v>
      </c>
      <c r="I28" s="214">
        <v>0</v>
      </c>
      <c r="J28" s="214">
        <v>0</v>
      </c>
      <c r="K28" s="21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351.25</v>
      </c>
      <c r="R28" s="214">
        <v>400</v>
      </c>
      <c r="S28" s="214">
        <v>1100</v>
      </c>
      <c r="T28" s="214">
        <v>0</v>
      </c>
      <c r="U28" s="214">
        <v>0</v>
      </c>
      <c r="V28" s="214">
        <v>0</v>
      </c>
      <c r="W28" s="214">
        <v>0</v>
      </c>
      <c r="X28" s="214">
        <v>0</v>
      </c>
      <c r="Y28" s="214">
        <v>0</v>
      </c>
      <c r="Z28" s="214">
        <v>0</v>
      </c>
      <c r="AA28" s="214">
        <v>0</v>
      </c>
      <c r="AB28" s="214">
        <v>0</v>
      </c>
      <c r="AC28" s="214">
        <v>0</v>
      </c>
      <c r="AD28" s="214"/>
      <c r="AE28" s="420">
        <v>8800</v>
      </c>
      <c r="AF28" s="420">
        <v>0</v>
      </c>
      <c r="AG28" s="420">
        <v>0</v>
      </c>
      <c r="AH28" s="420"/>
      <c r="AI28" s="574">
        <f t="shared" si="0"/>
        <v>49235.25</v>
      </c>
      <c r="AJ28" s="212"/>
    </row>
    <row r="29" spans="2:36" ht="14.4">
      <c r="B29" s="211"/>
      <c r="C29" s="213" t="s">
        <v>191</v>
      </c>
      <c r="D29" s="214">
        <v>54790.58</v>
      </c>
      <c r="E29" s="214">
        <v>0</v>
      </c>
      <c r="F29" s="214">
        <v>1570.23</v>
      </c>
      <c r="G29" s="214">
        <v>0</v>
      </c>
      <c r="H29" s="214">
        <v>0</v>
      </c>
      <c r="I29" s="214">
        <v>0</v>
      </c>
      <c r="J29" s="214">
        <v>0</v>
      </c>
      <c r="K29" s="21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  <c r="U29" s="214">
        <v>0</v>
      </c>
      <c r="V29" s="214">
        <v>0</v>
      </c>
      <c r="W29" s="214">
        <v>0</v>
      </c>
      <c r="X29" s="214">
        <v>0</v>
      </c>
      <c r="Y29" s="214">
        <v>0</v>
      </c>
      <c r="Z29" s="214">
        <v>0</v>
      </c>
      <c r="AA29" s="214">
        <v>0</v>
      </c>
      <c r="AB29" s="214">
        <v>0</v>
      </c>
      <c r="AC29" s="214">
        <v>0</v>
      </c>
      <c r="AD29" s="214"/>
      <c r="AE29" s="420">
        <v>0</v>
      </c>
      <c r="AF29" s="420">
        <v>0</v>
      </c>
      <c r="AG29" s="420">
        <v>0</v>
      </c>
      <c r="AH29" s="420"/>
      <c r="AI29" s="574">
        <f t="shared" si="0"/>
        <v>56360.810000000005</v>
      </c>
      <c r="AJ29" s="212"/>
    </row>
    <row r="30" spans="2:36" ht="14.4">
      <c r="B30" s="211"/>
      <c r="C30" s="213" t="s">
        <v>29</v>
      </c>
      <c r="D30" s="214">
        <v>0</v>
      </c>
      <c r="E30" s="214">
        <v>0</v>
      </c>
      <c r="F30" s="214">
        <v>0</v>
      </c>
      <c r="G30" s="214">
        <v>75</v>
      </c>
      <c r="H30" s="214">
        <v>0</v>
      </c>
      <c r="I30" s="214">
        <v>0</v>
      </c>
      <c r="J30" s="214">
        <v>0</v>
      </c>
      <c r="K30" s="214">
        <v>0</v>
      </c>
      <c r="L30" s="214">
        <v>0</v>
      </c>
      <c r="M30" s="214">
        <v>0</v>
      </c>
      <c r="N30" s="214">
        <v>0</v>
      </c>
      <c r="O30" s="214">
        <v>100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  <c r="U30" s="214">
        <v>0</v>
      </c>
      <c r="V30" s="214">
        <v>0</v>
      </c>
      <c r="W30" s="214">
        <v>0</v>
      </c>
      <c r="X30" s="214">
        <v>0</v>
      </c>
      <c r="Y30" s="214">
        <v>0</v>
      </c>
      <c r="Z30" s="214">
        <v>0</v>
      </c>
      <c r="AA30" s="214">
        <v>0</v>
      </c>
      <c r="AB30" s="214">
        <v>0</v>
      </c>
      <c r="AC30" s="214">
        <v>0</v>
      </c>
      <c r="AD30" s="214"/>
      <c r="AE30" s="420">
        <v>0</v>
      </c>
      <c r="AF30" s="420">
        <v>0</v>
      </c>
      <c r="AG30" s="420">
        <v>0</v>
      </c>
      <c r="AH30" s="420"/>
      <c r="AI30" s="574">
        <f t="shared" si="0"/>
        <v>175</v>
      </c>
      <c r="AJ30" s="212"/>
    </row>
    <row r="31" spans="2:36" ht="14.4">
      <c r="B31" s="211"/>
      <c r="C31" s="213" t="s">
        <v>54</v>
      </c>
      <c r="D31" s="214">
        <v>0</v>
      </c>
      <c r="E31" s="214">
        <v>0</v>
      </c>
      <c r="F31" s="214">
        <v>0</v>
      </c>
      <c r="G31" s="214">
        <v>0</v>
      </c>
      <c r="H31" s="214">
        <v>0</v>
      </c>
      <c r="I31" s="214">
        <v>0</v>
      </c>
      <c r="J31" s="214">
        <v>0</v>
      </c>
      <c r="K31" s="21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  <c r="U31" s="214">
        <v>0</v>
      </c>
      <c r="V31" s="214">
        <v>0</v>
      </c>
      <c r="W31" s="214">
        <v>0</v>
      </c>
      <c r="X31" s="214">
        <v>0</v>
      </c>
      <c r="Y31" s="214">
        <v>0</v>
      </c>
      <c r="Z31" s="214">
        <v>0</v>
      </c>
      <c r="AA31" s="214">
        <v>0</v>
      </c>
      <c r="AB31" s="214">
        <v>0</v>
      </c>
      <c r="AC31" s="214">
        <v>0</v>
      </c>
      <c r="AD31" s="214"/>
      <c r="AE31" s="420">
        <v>0</v>
      </c>
      <c r="AF31" s="420">
        <v>0</v>
      </c>
      <c r="AG31" s="420">
        <v>0</v>
      </c>
      <c r="AH31" s="420"/>
      <c r="AI31" s="574">
        <f t="shared" si="0"/>
        <v>0</v>
      </c>
      <c r="AJ31" s="212"/>
    </row>
    <row r="32" spans="2:36" ht="14.4">
      <c r="B32" s="211"/>
      <c r="C32" s="213" t="s">
        <v>31</v>
      </c>
      <c r="D32" s="214">
        <v>1203</v>
      </c>
      <c r="E32" s="214">
        <v>70</v>
      </c>
      <c r="F32" s="214">
        <v>320</v>
      </c>
      <c r="G32" s="214">
        <v>0</v>
      </c>
      <c r="H32" s="214">
        <v>0</v>
      </c>
      <c r="I32" s="214">
        <v>0</v>
      </c>
      <c r="J32" s="214">
        <v>0</v>
      </c>
      <c r="K32" s="214">
        <v>0</v>
      </c>
      <c r="L32" s="214">
        <v>0</v>
      </c>
      <c r="M32" s="214">
        <v>200</v>
      </c>
      <c r="N32" s="214">
        <v>0</v>
      </c>
      <c r="O32" s="214">
        <v>265</v>
      </c>
      <c r="P32" s="214">
        <v>0</v>
      </c>
      <c r="Q32" s="214">
        <v>75</v>
      </c>
      <c r="R32" s="214">
        <v>300</v>
      </c>
      <c r="S32" s="214">
        <v>150</v>
      </c>
      <c r="T32" s="214">
        <v>0</v>
      </c>
      <c r="U32" s="214">
        <v>0</v>
      </c>
      <c r="V32" s="214">
        <v>0</v>
      </c>
      <c r="W32" s="214">
        <v>0</v>
      </c>
      <c r="X32" s="214">
        <v>0</v>
      </c>
      <c r="Y32" s="214">
        <v>0</v>
      </c>
      <c r="Z32" s="214">
        <v>0</v>
      </c>
      <c r="AA32" s="214">
        <v>0</v>
      </c>
      <c r="AB32" s="214">
        <v>0</v>
      </c>
      <c r="AC32" s="214">
        <v>0</v>
      </c>
      <c r="AD32" s="214"/>
      <c r="AE32" s="420">
        <v>175</v>
      </c>
      <c r="AF32" s="420">
        <v>0</v>
      </c>
      <c r="AG32" s="420">
        <v>0</v>
      </c>
      <c r="AH32" s="420"/>
      <c r="AI32" s="574">
        <f t="shared" si="0"/>
        <v>2758</v>
      </c>
      <c r="AJ32" s="212"/>
    </row>
    <row r="33" spans="2:36" ht="14.4">
      <c r="B33" s="211"/>
      <c r="C33" s="213" t="s">
        <v>55</v>
      </c>
      <c r="D33" s="214">
        <v>100</v>
      </c>
      <c r="E33" s="214">
        <v>75</v>
      </c>
      <c r="F33" s="214">
        <v>0</v>
      </c>
      <c r="G33" s="214">
        <v>160</v>
      </c>
      <c r="H33" s="214">
        <v>0</v>
      </c>
      <c r="I33" s="214">
        <v>0</v>
      </c>
      <c r="J33" s="214">
        <v>0</v>
      </c>
      <c r="K33" s="21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  <c r="U33" s="214">
        <v>0</v>
      </c>
      <c r="V33" s="214">
        <v>0</v>
      </c>
      <c r="W33" s="214">
        <v>0</v>
      </c>
      <c r="X33" s="214">
        <v>0</v>
      </c>
      <c r="Y33" s="214">
        <v>0</v>
      </c>
      <c r="Z33" s="214">
        <v>0</v>
      </c>
      <c r="AA33" s="214">
        <v>0</v>
      </c>
      <c r="AB33" s="214">
        <v>0</v>
      </c>
      <c r="AC33" s="214">
        <v>0</v>
      </c>
      <c r="AD33" s="214"/>
      <c r="AE33" s="420">
        <v>0</v>
      </c>
      <c r="AF33" s="420">
        <v>0</v>
      </c>
      <c r="AG33" s="420">
        <v>0</v>
      </c>
      <c r="AH33" s="420"/>
      <c r="AI33" s="574">
        <f t="shared" si="0"/>
        <v>335</v>
      </c>
      <c r="AJ33" s="212"/>
    </row>
    <row r="34" spans="2:36" ht="14.4">
      <c r="B34" s="211"/>
      <c r="C34" s="213" t="s">
        <v>56</v>
      </c>
      <c r="D34" s="214">
        <v>393.97</v>
      </c>
      <c r="E34" s="214">
        <v>217.24</v>
      </c>
      <c r="F34" s="214">
        <v>217.24</v>
      </c>
      <c r="G34" s="214">
        <v>139.91</v>
      </c>
      <c r="H34" s="214">
        <v>95.73</v>
      </c>
      <c r="I34" s="214">
        <v>0</v>
      </c>
      <c r="J34" s="214">
        <v>0</v>
      </c>
      <c r="K34" s="214">
        <v>0</v>
      </c>
      <c r="L34" s="214">
        <v>0</v>
      </c>
      <c r="M34" s="214">
        <v>0</v>
      </c>
      <c r="N34" s="214">
        <v>0</v>
      </c>
      <c r="O34" s="214">
        <v>69.959999999999994</v>
      </c>
      <c r="P34" s="214">
        <v>0</v>
      </c>
      <c r="Q34" s="214">
        <v>209.87</v>
      </c>
      <c r="R34" s="214">
        <v>0</v>
      </c>
      <c r="S34" s="214">
        <v>0</v>
      </c>
      <c r="T34" s="214">
        <v>0</v>
      </c>
      <c r="U34" s="214">
        <v>0</v>
      </c>
      <c r="V34" s="214">
        <v>0</v>
      </c>
      <c r="W34" s="214">
        <v>0</v>
      </c>
      <c r="X34" s="214">
        <v>0</v>
      </c>
      <c r="Y34" s="214">
        <v>0</v>
      </c>
      <c r="Z34" s="214">
        <v>0</v>
      </c>
      <c r="AA34" s="214">
        <v>0</v>
      </c>
      <c r="AB34" s="214">
        <v>0</v>
      </c>
      <c r="AC34" s="214">
        <v>0</v>
      </c>
      <c r="AD34" s="214"/>
      <c r="AE34" s="420">
        <v>0</v>
      </c>
      <c r="AF34" s="420">
        <v>0</v>
      </c>
      <c r="AG34" s="420">
        <v>0</v>
      </c>
      <c r="AH34" s="420"/>
      <c r="AI34" s="574">
        <f t="shared" si="0"/>
        <v>1343.92</v>
      </c>
      <c r="AJ34" s="212"/>
    </row>
    <row r="35" spans="2:36" ht="14.4">
      <c r="B35" s="211"/>
      <c r="C35" s="213" t="s">
        <v>57</v>
      </c>
      <c r="D35" s="214">
        <v>0</v>
      </c>
      <c r="E35" s="214">
        <v>0</v>
      </c>
      <c r="F35" s="214">
        <v>0</v>
      </c>
      <c r="G35" s="214">
        <v>0</v>
      </c>
      <c r="H35" s="214">
        <v>0</v>
      </c>
      <c r="I35" s="214">
        <v>0</v>
      </c>
      <c r="J35" s="214">
        <v>0</v>
      </c>
      <c r="K35" s="21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3375</v>
      </c>
      <c r="T35" s="214">
        <v>0</v>
      </c>
      <c r="U35" s="214">
        <v>0</v>
      </c>
      <c r="V35" s="214">
        <v>0</v>
      </c>
      <c r="W35" s="214">
        <v>0</v>
      </c>
      <c r="X35" s="214">
        <v>0</v>
      </c>
      <c r="Y35" s="214">
        <v>0</v>
      </c>
      <c r="Z35" s="214">
        <v>0</v>
      </c>
      <c r="AA35" s="214">
        <v>0</v>
      </c>
      <c r="AB35" s="214">
        <v>0</v>
      </c>
      <c r="AC35" s="214">
        <v>0</v>
      </c>
      <c r="AD35" s="214"/>
      <c r="AE35" s="420">
        <v>0</v>
      </c>
      <c r="AF35" s="420">
        <v>0</v>
      </c>
      <c r="AG35" s="420">
        <v>0</v>
      </c>
      <c r="AH35" s="420"/>
      <c r="AI35" s="574">
        <f t="shared" si="0"/>
        <v>3375</v>
      </c>
      <c r="AJ35" s="212"/>
    </row>
    <row r="36" spans="2:36" ht="14.4">
      <c r="B36" s="211"/>
      <c r="C36" s="213" t="s">
        <v>58</v>
      </c>
      <c r="D36" s="214">
        <v>4005</v>
      </c>
      <c r="E36" s="214">
        <v>50</v>
      </c>
      <c r="F36" s="214">
        <v>0</v>
      </c>
      <c r="G36" s="214">
        <v>0</v>
      </c>
      <c r="H36" s="214">
        <v>0</v>
      </c>
      <c r="I36" s="214">
        <v>0</v>
      </c>
      <c r="J36" s="214">
        <v>0</v>
      </c>
      <c r="K36" s="214">
        <v>0</v>
      </c>
      <c r="L36" s="214">
        <v>0</v>
      </c>
      <c r="M36" s="214">
        <v>0</v>
      </c>
      <c r="N36" s="214">
        <v>0</v>
      </c>
      <c r="O36" s="214">
        <v>0</v>
      </c>
      <c r="P36" s="214">
        <v>90</v>
      </c>
      <c r="Q36" s="214">
        <v>0</v>
      </c>
      <c r="R36" s="214">
        <v>50</v>
      </c>
      <c r="S36" s="214">
        <v>22345</v>
      </c>
      <c r="T36" s="214">
        <v>0</v>
      </c>
      <c r="U36" s="214">
        <v>0</v>
      </c>
      <c r="V36" s="214">
        <v>4500</v>
      </c>
      <c r="W36" s="214">
        <v>0</v>
      </c>
      <c r="X36" s="214">
        <v>0</v>
      </c>
      <c r="Y36" s="214">
        <v>0</v>
      </c>
      <c r="Z36" s="214">
        <v>0</v>
      </c>
      <c r="AA36" s="214">
        <v>0</v>
      </c>
      <c r="AB36" s="214">
        <v>0</v>
      </c>
      <c r="AC36" s="214">
        <v>0</v>
      </c>
      <c r="AD36" s="214"/>
      <c r="AE36" s="420">
        <v>0</v>
      </c>
      <c r="AF36" s="420">
        <v>0</v>
      </c>
      <c r="AG36" s="420">
        <v>0</v>
      </c>
      <c r="AH36" s="420"/>
      <c r="AI36" s="574">
        <f t="shared" si="0"/>
        <v>31040</v>
      </c>
      <c r="AJ36" s="212"/>
    </row>
    <row r="37" spans="2:36" ht="14.4">
      <c r="B37" s="211"/>
      <c r="C37" s="213" t="s">
        <v>59</v>
      </c>
      <c r="D37" s="214">
        <v>0</v>
      </c>
      <c r="E37" s="214">
        <v>60</v>
      </c>
      <c r="F37" s="214">
        <v>0</v>
      </c>
      <c r="G37" s="214">
        <v>0</v>
      </c>
      <c r="H37" s="214">
        <v>0</v>
      </c>
      <c r="I37" s="214">
        <v>0</v>
      </c>
      <c r="J37" s="214">
        <v>0</v>
      </c>
      <c r="K37" s="214">
        <v>0</v>
      </c>
      <c r="L37" s="214">
        <v>0</v>
      </c>
      <c r="M37" s="214">
        <v>0</v>
      </c>
      <c r="N37" s="214">
        <v>0</v>
      </c>
      <c r="O37" s="214">
        <v>0</v>
      </c>
      <c r="P37" s="214">
        <v>75</v>
      </c>
      <c r="Q37" s="214">
        <v>0</v>
      </c>
      <c r="R37" s="214">
        <v>0</v>
      </c>
      <c r="S37" s="214">
        <v>235</v>
      </c>
      <c r="T37" s="214">
        <v>0</v>
      </c>
      <c r="U37" s="214">
        <v>0</v>
      </c>
      <c r="V37" s="214">
        <v>0</v>
      </c>
      <c r="W37" s="214">
        <v>0</v>
      </c>
      <c r="X37" s="214">
        <v>0</v>
      </c>
      <c r="Y37" s="214">
        <v>0</v>
      </c>
      <c r="Z37" s="214">
        <v>0</v>
      </c>
      <c r="AA37" s="214">
        <v>0</v>
      </c>
      <c r="AB37" s="214">
        <v>0</v>
      </c>
      <c r="AC37" s="214">
        <v>0</v>
      </c>
      <c r="AD37" s="214"/>
      <c r="AE37" s="420">
        <v>0</v>
      </c>
      <c r="AF37" s="420">
        <v>0</v>
      </c>
      <c r="AG37" s="420">
        <v>0</v>
      </c>
      <c r="AH37" s="420"/>
      <c r="AI37" s="574">
        <f t="shared" si="0"/>
        <v>370</v>
      </c>
      <c r="AJ37" s="212"/>
    </row>
    <row r="38" spans="2:36" ht="14.4">
      <c r="B38" s="211"/>
      <c r="C38" s="213" t="s">
        <v>60</v>
      </c>
      <c r="D38" s="214">
        <v>0</v>
      </c>
      <c r="E38" s="214">
        <v>0</v>
      </c>
      <c r="F38" s="214">
        <v>0</v>
      </c>
      <c r="G38" s="214">
        <v>0</v>
      </c>
      <c r="H38" s="214">
        <v>0</v>
      </c>
      <c r="I38" s="214">
        <v>0</v>
      </c>
      <c r="J38" s="214">
        <v>0</v>
      </c>
      <c r="K38" s="214">
        <v>0</v>
      </c>
      <c r="L38" s="214">
        <v>0</v>
      </c>
      <c r="M38" s="214">
        <v>0</v>
      </c>
      <c r="N38" s="214">
        <v>0</v>
      </c>
      <c r="O38" s="214">
        <v>0</v>
      </c>
      <c r="P38" s="214">
        <v>0</v>
      </c>
      <c r="Q38" s="214">
        <v>0</v>
      </c>
      <c r="R38" s="214">
        <v>0</v>
      </c>
      <c r="S38" s="214">
        <v>0</v>
      </c>
      <c r="T38" s="214">
        <v>0</v>
      </c>
      <c r="U38" s="214">
        <v>0</v>
      </c>
      <c r="V38" s="214">
        <v>0</v>
      </c>
      <c r="W38" s="214">
        <v>0</v>
      </c>
      <c r="X38" s="214">
        <v>0</v>
      </c>
      <c r="Y38" s="214">
        <v>0</v>
      </c>
      <c r="Z38" s="214">
        <v>0</v>
      </c>
      <c r="AA38" s="214">
        <v>0</v>
      </c>
      <c r="AB38" s="214">
        <v>0</v>
      </c>
      <c r="AC38" s="214">
        <v>0</v>
      </c>
      <c r="AD38" s="214"/>
      <c r="AE38" s="420">
        <v>0</v>
      </c>
      <c r="AF38" s="420">
        <v>0</v>
      </c>
      <c r="AG38" s="420">
        <v>0</v>
      </c>
      <c r="AH38" s="420"/>
      <c r="AI38" s="574">
        <f t="shared" si="0"/>
        <v>0</v>
      </c>
      <c r="AJ38" s="212"/>
    </row>
    <row r="39" spans="2:36" ht="14.4">
      <c r="B39" s="211"/>
      <c r="C39" s="213" t="s">
        <v>61</v>
      </c>
      <c r="D39" s="214">
        <v>11050</v>
      </c>
      <c r="E39" s="214">
        <v>320</v>
      </c>
      <c r="F39" s="214">
        <v>1200</v>
      </c>
      <c r="G39" s="214">
        <v>500</v>
      </c>
      <c r="H39" s="214">
        <v>225</v>
      </c>
      <c r="I39" s="214">
        <v>0</v>
      </c>
      <c r="J39" s="214">
        <v>0</v>
      </c>
      <c r="K39" s="214">
        <v>0</v>
      </c>
      <c r="L39" s="214">
        <v>0</v>
      </c>
      <c r="M39" s="214">
        <v>625</v>
      </c>
      <c r="N39" s="214">
        <v>0</v>
      </c>
      <c r="O39" s="214">
        <v>100</v>
      </c>
      <c r="P39" s="214">
        <v>0</v>
      </c>
      <c r="Q39" s="214">
        <v>1700</v>
      </c>
      <c r="R39" s="214">
        <v>735</v>
      </c>
      <c r="S39" s="214">
        <v>300</v>
      </c>
      <c r="T39" s="214">
        <v>0</v>
      </c>
      <c r="U39" s="214">
        <v>0</v>
      </c>
      <c r="V39" s="214">
        <v>0</v>
      </c>
      <c r="W39" s="214">
        <v>0</v>
      </c>
      <c r="X39" s="214">
        <v>0</v>
      </c>
      <c r="Y39" s="214">
        <v>0</v>
      </c>
      <c r="Z39" s="214">
        <v>0</v>
      </c>
      <c r="AA39" s="214">
        <v>0</v>
      </c>
      <c r="AB39" s="214">
        <v>0</v>
      </c>
      <c r="AC39" s="214">
        <v>0</v>
      </c>
      <c r="AD39" s="214"/>
      <c r="AE39" s="420">
        <v>635</v>
      </c>
      <c r="AF39" s="420">
        <v>0</v>
      </c>
      <c r="AG39" s="420">
        <v>0</v>
      </c>
      <c r="AH39" s="420"/>
      <c r="AI39" s="574">
        <f t="shared" si="0"/>
        <v>17390</v>
      </c>
      <c r="AJ39" s="212"/>
    </row>
    <row r="40" spans="2:36" ht="14.4">
      <c r="B40" s="211"/>
      <c r="C40" s="213" t="s">
        <v>62</v>
      </c>
      <c r="D40" s="214">
        <v>110738</v>
      </c>
      <c r="E40" s="214">
        <v>2675</v>
      </c>
      <c r="F40" s="214">
        <v>0</v>
      </c>
      <c r="G40" s="214">
        <v>0</v>
      </c>
      <c r="H40" s="214">
        <v>0</v>
      </c>
      <c r="I40" s="214">
        <v>0</v>
      </c>
      <c r="J40" s="214">
        <v>0</v>
      </c>
      <c r="K40" s="214">
        <v>2400</v>
      </c>
      <c r="L40" s="214">
        <v>500</v>
      </c>
      <c r="M40" s="214">
        <v>0</v>
      </c>
      <c r="N40" s="214">
        <v>0</v>
      </c>
      <c r="O40" s="214">
        <v>0</v>
      </c>
      <c r="P40" s="214">
        <v>0</v>
      </c>
      <c r="Q40" s="214">
        <v>0</v>
      </c>
      <c r="R40" s="214">
        <v>0</v>
      </c>
      <c r="S40" s="214">
        <v>160</v>
      </c>
      <c r="T40" s="214">
        <v>0</v>
      </c>
      <c r="U40" s="214">
        <v>1000</v>
      </c>
      <c r="V40" s="214">
        <v>0</v>
      </c>
      <c r="W40" s="214">
        <v>0</v>
      </c>
      <c r="X40" s="214">
        <v>3000</v>
      </c>
      <c r="Y40" s="214">
        <v>0</v>
      </c>
      <c r="Z40" s="214">
        <v>0</v>
      </c>
      <c r="AA40" s="214">
        <v>5000</v>
      </c>
      <c r="AB40" s="214">
        <v>0</v>
      </c>
      <c r="AC40" s="214">
        <v>400</v>
      </c>
      <c r="AD40" s="214"/>
      <c r="AE40" s="420">
        <v>9300</v>
      </c>
      <c r="AF40" s="420">
        <v>6500</v>
      </c>
      <c r="AG40" s="420">
        <v>1500</v>
      </c>
      <c r="AH40" s="420"/>
      <c r="AI40" s="574">
        <f t="shared" si="0"/>
        <v>143173</v>
      </c>
      <c r="AJ40" s="212"/>
    </row>
    <row r="41" spans="2:36" ht="14.4">
      <c r="B41" s="211"/>
      <c r="C41" s="213" t="s">
        <v>63</v>
      </c>
      <c r="D41" s="214">
        <v>0</v>
      </c>
      <c r="E41" s="214">
        <v>0</v>
      </c>
      <c r="F41" s="214">
        <v>0</v>
      </c>
      <c r="G41" s="214">
        <v>0</v>
      </c>
      <c r="H41" s="214">
        <v>0</v>
      </c>
      <c r="I41" s="214">
        <v>0</v>
      </c>
      <c r="J41" s="214">
        <v>0</v>
      </c>
      <c r="K41" s="214">
        <v>0</v>
      </c>
      <c r="L41" s="214">
        <v>0</v>
      </c>
      <c r="M41" s="214">
        <v>0</v>
      </c>
      <c r="N41" s="214">
        <v>0</v>
      </c>
      <c r="O41" s="214">
        <v>0</v>
      </c>
      <c r="P41" s="214">
        <v>0</v>
      </c>
      <c r="Q41" s="214">
        <v>0</v>
      </c>
      <c r="R41" s="214">
        <v>0</v>
      </c>
      <c r="S41" s="214">
        <v>0</v>
      </c>
      <c r="T41" s="214">
        <v>0</v>
      </c>
      <c r="U41" s="214">
        <v>0</v>
      </c>
      <c r="V41" s="214">
        <v>0</v>
      </c>
      <c r="W41" s="214">
        <v>0</v>
      </c>
      <c r="X41" s="214">
        <v>0</v>
      </c>
      <c r="Y41" s="214">
        <v>0</v>
      </c>
      <c r="Z41" s="214">
        <v>0</v>
      </c>
      <c r="AA41" s="214">
        <v>0</v>
      </c>
      <c r="AB41" s="214">
        <v>0</v>
      </c>
      <c r="AC41" s="214">
        <v>0</v>
      </c>
      <c r="AD41" s="214"/>
      <c r="AE41" s="420">
        <v>0</v>
      </c>
      <c r="AF41" s="420">
        <v>0</v>
      </c>
      <c r="AG41" s="420">
        <v>0</v>
      </c>
      <c r="AH41" s="420"/>
      <c r="AI41" s="574">
        <f t="shared" si="0"/>
        <v>0</v>
      </c>
      <c r="AJ41" s="212"/>
    </row>
    <row r="42" spans="2:36" ht="14.4">
      <c r="B42" s="211"/>
      <c r="C42" s="213" t="s">
        <v>64</v>
      </c>
      <c r="D42" s="214">
        <v>0</v>
      </c>
      <c r="E42" s="214">
        <v>12300</v>
      </c>
      <c r="F42" s="214">
        <v>11050</v>
      </c>
      <c r="G42" s="214">
        <v>8050</v>
      </c>
      <c r="H42" s="214">
        <v>12700</v>
      </c>
      <c r="I42" s="214">
        <v>600</v>
      </c>
      <c r="J42" s="214">
        <v>200</v>
      </c>
      <c r="K42" s="214">
        <v>200</v>
      </c>
      <c r="L42" s="214">
        <v>525</v>
      </c>
      <c r="M42" s="214">
        <v>3950</v>
      </c>
      <c r="N42" s="214">
        <v>700</v>
      </c>
      <c r="O42" s="214">
        <v>6700</v>
      </c>
      <c r="P42" s="214">
        <v>3850</v>
      </c>
      <c r="Q42" s="214">
        <v>11000</v>
      </c>
      <c r="R42" s="214">
        <v>1650</v>
      </c>
      <c r="S42" s="214">
        <v>4400</v>
      </c>
      <c r="T42" s="214">
        <v>0</v>
      </c>
      <c r="U42" s="214">
        <v>400</v>
      </c>
      <c r="V42" s="214">
        <v>600</v>
      </c>
      <c r="W42" s="214">
        <v>0</v>
      </c>
      <c r="X42" s="214">
        <v>100</v>
      </c>
      <c r="Y42" s="214">
        <v>200</v>
      </c>
      <c r="Z42" s="214">
        <v>200</v>
      </c>
      <c r="AA42" s="214">
        <v>200</v>
      </c>
      <c r="AB42" s="214">
        <v>0</v>
      </c>
      <c r="AC42" s="214">
        <v>0</v>
      </c>
      <c r="AD42" s="214"/>
      <c r="AE42" s="420">
        <v>0</v>
      </c>
      <c r="AF42" s="420">
        <v>0</v>
      </c>
      <c r="AG42" s="420">
        <v>0</v>
      </c>
      <c r="AH42" s="420"/>
      <c r="AI42" s="574">
        <f t="shared" si="0"/>
        <v>79575</v>
      </c>
      <c r="AJ42" s="212"/>
    </row>
    <row r="43" spans="2:36" ht="14.4">
      <c r="B43" s="211"/>
      <c r="C43" s="213" t="s">
        <v>28</v>
      </c>
      <c r="D43" s="214">
        <v>15290</v>
      </c>
      <c r="E43" s="214">
        <v>0</v>
      </c>
      <c r="F43" s="214">
        <v>0</v>
      </c>
      <c r="G43" s="214">
        <v>0</v>
      </c>
      <c r="H43" s="214">
        <v>0</v>
      </c>
      <c r="I43" s="214">
        <v>0</v>
      </c>
      <c r="J43" s="214">
        <v>0</v>
      </c>
      <c r="K43" s="214">
        <v>0</v>
      </c>
      <c r="L43" s="214">
        <v>0</v>
      </c>
      <c r="M43" s="214">
        <v>0</v>
      </c>
      <c r="N43" s="214">
        <v>0</v>
      </c>
      <c r="O43" s="214">
        <v>0</v>
      </c>
      <c r="P43" s="214">
        <v>0</v>
      </c>
      <c r="Q43" s="214">
        <v>0</v>
      </c>
      <c r="R43" s="214">
        <v>0</v>
      </c>
      <c r="S43" s="214">
        <v>0</v>
      </c>
      <c r="T43" s="214">
        <v>0</v>
      </c>
      <c r="U43" s="214">
        <v>0</v>
      </c>
      <c r="V43" s="214">
        <v>0</v>
      </c>
      <c r="W43" s="214">
        <v>0</v>
      </c>
      <c r="X43" s="214">
        <v>0</v>
      </c>
      <c r="Y43" s="214">
        <v>0</v>
      </c>
      <c r="Z43" s="214">
        <v>0</v>
      </c>
      <c r="AA43" s="214">
        <v>0</v>
      </c>
      <c r="AB43" s="214">
        <v>0</v>
      </c>
      <c r="AC43" s="214">
        <v>0</v>
      </c>
      <c r="AD43" s="214"/>
      <c r="AE43" s="420">
        <v>0</v>
      </c>
      <c r="AF43" s="420">
        <v>0</v>
      </c>
      <c r="AG43" s="420">
        <v>0</v>
      </c>
      <c r="AH43" s="420"/>
      <c r="AI43" s="574">
        <f t="shared" si="0"/>
        <v>15290</v>
      </c>
      <c r="AJ43" s="212"/>
    </row>
    <row r="44" spans="2:36" ht="14.4">
      <c r="B44" s="211"/>
      <c r="C44" s="213" t="s">
        <v>157</v>
      </c>
      <c r="D44" s="214">
        <v>0</v>
      </c>
      <c r="E44" s="214">
        <v>704.62</v>
      </c>
      <c r="F44" s="214">
        <v>0</v>
      </c>
      <c r="G44" s="214">
        <v>301.64</v>
      </c>
      <c r="H44" s="214">
        <v>0</v>
      </c>
      <c r="I44" s="214">
        <v>0</v>
      </c>
      <c r="J44" s="214">
        <v>0</v>
      </c>
      <c r="K44" s="214">
        <v>0</v>
      </c>
      <c r="L44" s="214">
        <v>0</v>
      </c>
      <c r="M44" s="214">
        <v>0</v>
      </c>
      <c r="N44" s="214">
        <v>0</v>
      </c>
      <c r="O44" s="214">
        <v>0</v>
      </c>
      <c r="P44" s="214">
        <v>121.01</v>
      </c>
      <c r="Q44" s="214">
        <v>903.32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214">
        <v>0</v>
      </c>
      <c r="X44" s="214">
        <v>0</v>
      </c>
      <c r="Y44" s="214">
        <v>0</v>
      </c>
      <c r="Z44" s="214">
        <v>0</v>
      </c>
      <c r="AA44" s="214">
        <v>0</v>
      </c>
      <c r="AB44" s="214">
        <v>0</v>
      </c>
      <c r="AC44" s="214">
        <v>0</v>
      </c>
      <c r="AD44" s="214"/>
      <c r="AE44" s="420">
        <v>0</v>
      </c>
      <c r="AF44" s="420">
        <v>0</v>
      </c>
      <c r="AG44" s="420">
        <v>0</v>
      </c>
      <c r="AH44" s="420"/>
      <c r="AI44" s="574">
        <f t="shared" si="0"/>
        <v>2030.5900000000001</v>
      </c>
      <c r="AJ44" s="212"/>
    </row>
    <row r="45" spans="2:36" ht="14.4">
      <c r="B45" s="211"/>
      <c r="C45" s="213" t="s">
        <v>65</v>
      </c>
      <c r="D45" s="214">
        <v>8000</v>
      </c>
      <c r="E45" s="214">
        <v>0</v>
      </c>
      <c r="F45" s="214">
        <v>0</v>
      </c>
      <c r="G45" s="214">
        <v>0</v>
      </c>
      <c r="H45" s="214">
        <v>0</v>
      </c>
      <c r="I45" s="214">
        <v>0</v>
      </c>
      <c r="J45" s="214">
        <v>0</v>
      </c>
      <c r="K45" s="214">
        <v>0</v>
      </c>
      <c r="L45" s="214">
        <v>0</v>
      </c>
      <c r="M45" s="214">
        <v>0</v>
      </c>
      <c r="N45" s="214">
        <v>0</v>
      </c>
      <c r="O45" s="214">
        <v>0</v>
      </c>
      <c r="P45" s="214">
        <v>0</v>
      </c>
      <c r="Q45" s="214">
        <v>0</v>
      </c>
      <c r="R45" s="214">
        <v>0</v>
      </c>
      <c r="S45" s="214">
        <v>0</v>
      </c>
      <c r="T45" s="214">
        <v>0</v>
      </c>
      <c r="U45" s="214">
        <v>0</v>
      </c>
      <c r="V45" s="214">
        <v>0</v>
      </c>
      <c r="W45" s="214">
        <v>0</v>
      </c>
      <c r="X45" s="214">
        <v>0</v>
      </c>
      <c r="Y45" s="214">
        <v>0</v>
      </c>
      <c r="Z45" s="214">
        <v>0</v>
      </c>
      <c r="AA45" s="214">
        <v>0</v>
      </c>
      <c r="AB45" s="214">
        <v>0</v>
      </c>
      <c r="AC45" s="214">
        <v>0</v>
      </c>
      <c r="AD45" s="214"/>
      <c r="AE45" s="420">
        <v>0</v>
      </c>
      <c r="AF45" s="420">
        <v>0</v>
      </c>
      <c r="AG45" s="420">
        <v>0</v>
      </c>
      <c r="AH45" s="420"/>
      <c r="AI45" s="574">
        <f t="shared" si="0"/>
        <v>8000</v>
      </c>
      <c r="AJ45" s="212"/>
    </row>
    <row r="46" spans="2:36" ht="14.4">
      <c r="B46" s="211"/>
      <c r="C46" s="213" t="s">
        <v>66</v>
      </c>
      <c r="D46" s="214">
        <v>0</v>
      </c>
      <c r="E46" s="214">
        <v>0</v>
      </c>
      <c r="F46" s="214">
        <v>0</v>
      </c>
      <c r="G46" s="214">
        <v>0</v>
      </c>
      <c r="H46" s="214">
        <v>0</v>
      </c>
      <c r="I46" s="214">
        <v>0</v>
      </c>
      <c r="J46" s="214">
        <v>0</v>
      </c>
      <c r="K46" s="214">
        <v>0</v>
      </c>
      <c r="L46" s="214">
        <v>0</v>
      </c>
      <c r="M46" s="214">
        <v>0</v>
      </c>
      <c r="N46" s="214">
        <v>0</v>
      </c>
      <c r="O46" s="214">
        <v>0</v>
      </c>
      <c r="P46" s="214">
        <v>0</v>
      </c>
      <c r="Q46" s="214">
        <v>0</v>
      </c>
      <c r="R46" s="214">
        <v>0</v>
      </c>
      <c r="S46" s="214">
        <v>0</v>
      </c>
      <c r="T46" s="214">
        <v>0</v>
      </c>
      <c r="U46" s="214">
        <v>0</v>
      </c>
      <c r="V46" s="214">
        <v>0</v>
      </c>
      <c r="W46" s="214">
        <v>0</v>
      </c>
      <c r="X46" s="214">
        <v>0</v>
      </c>
      <c r="Y46" s="214">
        <v>0</v>
      </c>
      <c r="Z46" s="214">
        <v>0</v>
      </c>
      <c r="AA46" s="214">
        <v>0</v>
      </c>
      <c r="AB46" s="214">
        <v>0</v>
      </c>
      <c r="AC46" s="214">
        <v>0</v>
      </c>
      <c r="AD46" s="214"/>
      <c r="AE46" s="420">
        <v>0</v>
      </c>
      <c r="AF46" s="420">
        <v>0</v>
      </c>
      <c r="AG46" s="420">
        <v>0</v>
      </c>
      <c r="AH46" s="420"/>
      <c r="AI46" s="574">
        <f t="shared" si="0"/>
        <v>0</v>
      </c>
      <c r="AJ46" s="212"/>
    </row>
    <row r="47" spans="2:36" ht="14.4">
      <c r="B47" s="211"/>
      <c r="C47" s="213" t="s">
        <v>30</v>
      </c>
      <c r="D47" s="214">
        <v>22351.98</v>
      </c>
      <c r="E47" s="214">
        <v>0</v>
      </c>
      <c r="F47" s="214">
        <v>0</v>
      </c>
      <c r="G47" s="214">
        <v>0</v>
      </c>
      <c r="H47" s="214">
        <v>0</v>
      </c>
      <c r="I47" s="214">
        <v>0</v>
      </c>
      <c r="J47" s="214">
        <v>0</v>
      </c>
      <c r="K47" s="214">
        <v>0</v>
      </c>
      <c r="L47" s="214">
        <v>0</v>
      </c>
      <c r="M47" s="214">
        <v>0</v>
      </c>
      <c r="N47" s="214">
        <v>0</v>
      </c>
      <c r="O47" s="214">
        <v>0</v>
      </c>
      <c r="P47" s="214">
        <v>0</v>
      </c>
      <c r="Q47" s="214">
        <v>0</v>
      </c>
      <c r="R47" s="214">
        <v>0</v>
      </c>
      <c r="S47" s="214">
        <v>0</v>
      </c>
      <c r="T47" s="214">
        <v>0</v>
      </c>
      <c r="U47" s="214">
        <v>0</v>
      </c>
      <c r="V47" s="214">
        <v>0</v>
      </c>
      <c r="W47" s="214">
        <v>0</v>
      </c>
      <c r="X47" s="214">
        <v>0</v>
      </c>
      <c r="Y47" s="214">
        <v>0</v>
      </c>
      <c r="Z47" s="214">
        <v>0</v>
      </c>
      <c r="AA47" s="214">
        <v>0</v>
      </c>
      <c r="AB47" s="214">
        <v>0</v>
      </c>
      <c r="AC47" s="214">
        <v>0</v>
      </c>
      <c r="AD47" s="214"/>
      <c r="AE47" s="420">
        <v>0</v>
      </c>
      <c r="AF47" s="420">
        <v>0</v>
      </c>
      <c r="AG47" s="420">
        <v>0</v>
      </c>
      <c r="AH47" s="420"/>
      <c r="AI47" s="574">
        <f t="shared" si="0"/>
        <v>22351.98</v>
      </c>
      <c r="AJ47" s="212"/>
    </row>
    <row r="48" spans="2:36" ht="14.4">
      <c r="B48" s="211"/>
      <c r="C48" s="213" t="s">
        <v>67</v>
      </c>
      <c r="D48" s="214">
        <v>0</v>
      </c>
      <c r="E48" s="214">
        <v>14040</v>
      </c>
      <c r="F48" s="214">
        <v>7280</v>
      </c>
      <c r="G48" s="214">
        <v>4160</v>
      </c>
      <c r="H48" s="214">
        <v>6240</v>
      </c>
      <c r="I48" s="214">
        <v>3120</v>
      </c>
      <c r="J48" s="214">
        <v>0</v>
      </c>
      <c r="K48" s="214">
        <v>3120</v>
      </c>
      <c r="L48" s="214">
        <v>3120</v>
      </c>
      <c r="M48" s="214">
        <v>6240</v>
      </c>
      <c r="N48" s="214">
        <v>3120</v>
      </c>
      <c r="O48" s="214">
        <v>7800</v>
      </c>
      <c r="P48" s="214">
        <v>4680</v>
      </c>
      <c r="Q48" s="214">
        <v>10920</v>
      </c>
      <c r="R48" s="214">
        <v>3120</v>
      </c>
      <c r="S48" s="214">
        <v>2600</v>
      </c>
      <c r="T48" s="214">
        <v>0</v>
      </c>
      <c r="U48" s="214">
        <v>2860</v>
      </c>
      <c r="V48" s="214">
        <v>0</v>
      </c>
      <c r="W48" s="214">
        <v>0</v>
      </c>
      <c r="X48" s="214">
        <v>3640</v>
      </c>
      <c r="Y48" s="214">
        <v>2600</v>
      </c>
      <c r="Z48" s="214">
        <v>2600</v>
      </c>
      <c r="AA48" s="214">
        <v>3120</v>
      </c>
      <c r="AB48" s="214">
        <v>3120</v>
      </c>
      <c r="AC48" s="214">
        <v>3120</v>
      </c>
      <c r="AD48" s="214"/>
      <c r="AE48" s="420">
        <v>4160</v>
      </c>
      <c r="AF48" s="420">
        <v>2652</v>
      </c>
      <c r="AG48" s="420">
        <v>5200</v>
      </c>
      <c r="AH48" s="420"/>
      <c r="AI48" s="574">
        <f t="shared" si="0"/>
        <v>112632</v>
      </c>
      <c r="AJ48" s="212"/>
    </row>
    <row r="49" spans="2:36" ht="14.4">
      <c r="B49" s="211"/>
      <c r="C49" s="213" t="s">
        <v>111</v>
      </c>
      <c r="D49" s="214">
        <v>100</v>
      </c>
      <c r="E49" s="214">
        <v>500</v>
      </c>
      <c r="F49" s="214">
        <v>200</v>
      </c>
      <c r="G49" s="214">
        <v>300</v>
      </c>
      <c r="H49" s="214">
        <v>300</v>
      </c>
      <c r="I49" s="214">
        <v>0</v>
      </c>
      <c r="J49" s="214">
        <v>0</v>
      </c>
      <c r="K49" s="214">
        <v>0</v>
      </c>
      <c r="L49" s="214">
        <v>0</v>
      </c>
      <c r="M49" s="214">
        <v>0</v>
      </c>
      <c r="N49" s="214">
        <v>0</v>
      </c>
      <c r="O49" s="214">
        <v>200</v>
      </c>
      <c r="P49" s="214">
        <v>0</v>
      </c>
      <c r="Q49" s="214">
        <v>0</v>
      </c>
      <c r="R49" s="214">
        <v>0</v>
      </c>
      <c r="S49" s="214">
        <v>0</v>
      </c>
      <c r="T49" s="214">
        <v>0</v>
      </c>
      <c r="U49" s="214">
        <v>0</v>
      </c>
      <c r="V49" s="214">
        <v>0</v>
      </c>
      <c r="W49" s="214">
        <v>0</v>
      </c>
      <c r="X49" s="214">
        <v>0</v>
      </c>
      <c r="Y49" s="214">
        <v>0</v>
      </c>
      <c r="Z49" s="214">
        <v>0</v>
      </c>
      <c r="AA49" s="214">
        <v>0</v>
      </c>
      <c r="AB49" s="214">
        <v>0</v>
      </c>
      <c r="AC49" s="214">
        <v>0</v>
      </c>
      <c r="AD49" s="214"/>
      <c r="AE49" s="420">
        <v>200</v>
      </c>
      <c r="AF49" s="420">
        <v>0</v>
      </c>
      <c r="AG49" s="420">
        <v>0</v>
      </c>
      <c r="AH49" s="420"/>
      <c r="AI49" s="574">
        <f t="shared" si="0"/>
        <v>1800</v>
      </c>
      <c r="AJ49" s="212"/>
    </row>
    <row r="50" spans="2:36" ht="14.4">
      <c r="B50" s="211"/>
      <c r="C50" s="213" t="s">
        <v>68</v>
      </c>
      <c r="D50" s="214">
        <v>0</v>
      </c>
      <c r="E50" s="214">
        <v>0</v>
      </c>
      <c r="F50" s="214">
        <v>0</v>
      </c>
      <c r="G50" s="214">
        <v>0</v>
      </c>
      <c r="H50" s="214">
        <v>0</v>
      </c>
      <c r="I50" s="214">
        <v>0</v>
      </c>
      <c r="J50" s="214">
        <v>0</v>
      </c>
      <c r="K50" s="214">
        <v>0</v>
      </c>
      <c r="L50" s="214">
        <v>0</v>
      </c>
      <c r="M50" s="214">
        <v>0</v>
      </c>
      <c r="N50" s="214">
        <v>0</v>
      </c>
      <c r="O50" s="214">
        <v>0</v>
      </c>
      <c r="P50" s="214">
        <v>0</v>
      </c>
      <c r="Q50" s="214">
        <v>0</v>
      </c>
      <c r="R50" s="214">
        <v>0</v>
      </c>
      <c r="S50" s="214">
        <v>0</v>
      </c>
      <c r="T50" s="214">
        <v>0</v>
      </c>
      <c r="U50" s="214">
        <v>0</v>
      </c>
      <c r="V50" s="214">
        <v>0</v>
      </c>
      <c r="W50" s="214">
        <v>0</v>
      </c>
      <c r="X50" s="214">
        <v>0</v>
      </c>
      <c r="Y50" s="214">
        <v>0</v>
      </c>
      <c r="Z50" s="214">
        <v>0</v>
      </c>
      <c r="AA50" s="214">
        <v>0</v>
      </c>
      <c r="AB50" s="214">
        <v>0</v>
      </c>
      <c r="AC50" s="214">
        <v>0</v>
      </c>
      <c r="AD50" s="214"/>
      <c r="AE50" s="420">
        <v>0</v>
      </c>
      <c r="AF50" s="420">
        <v>0</v>
      </c>
      <c r="AG50" s="420">
        <v>0</v>
      </c>
      <c r="AH50" s="420"/>
      <c r="AI50" s="574">
        <f t="shared" si="0"/>
        <v>0</v>
      </c>
      <c r="AJ50" s="212"/>
    </row>
    <row r="51" spans="2:36" ht="14.4">
      <c r="B51" s="211"/>
      <c r="C51" s="213" t="s">
        <v>69</v>
      </c>
      <c r="D51" s="214">
        <v>0</v>
      </c>
      <c r="E51" s="214">
        <v>4000</v>
      </c>
      <c r="F51" s="214">
        <v>2400</v>
      </c>
      <c r="G51" s="214">
        <v>2800</v>
      </c>
      <c r="H51" s="214">
        <v>5600</v>
      </c>
      <c r="I51" s="214">
        <v>0</v>
      </c>
      <c r="J51" s="214">
        <v>0</v>
      </c>
      <c r="K51" s="214">
        <v>0</v>
      </c>
      <c r="L51" s="214">
        <v>0</v>
      </c>
      <c r="M51" s="214">
        <v>1600</v>
      </c>
      <c r="N51" s="214">
        <v>0</v>
      </c>
      <c r="O51" s="214">
        <v>2400</v>
      </c>
      <c r="P51" s="214">
        <v>2800</v>
      </c>
      <c r="Q51" s="214">
        <v>4800</v>
      </c>
      <c r="R51" s="214">
        <v>0</v>
      </c>
      <c r="S51" s="214">
        <v>2000</v>
      </c>
      <c r="T51" s="214">
        <v>0</v>
      </c>
      <c r="U51" s="214">
        <v>0</v>
      </c>
      <c r="V51" s="214">
        <v>0</v>
      </c>
      <c r="W51" s="214">
        <v>0</v>
      </c>
      <c r="X51" s="214">
        <v>0</v>
      </c>
      <c r="Y51" s="214">
        <v>0</v>
      </c>
      <c r="Z51" s="214">
        <v>0</v>
      </c>
      <c r="AA51" s="214">
        <v>0</v>
      </c>
      <c r="AB51" s="214">
        <v>0</v>
      </c>
      <c r="AC51" s="214">
        <v>0</v>
      </c>
      <c r="AD51" s="214"/>
      <c r="AE51" s="420">
        <v>1600</v>
      </c>
      <c r="AF51" s="420">
        <v>0</v>
      </c>
      <c r="AG51" s="420">
        <v>0</v>
      </c>
      <c r="AH51" s="420"/>
      <c r="AI51" s="574">
        <f t="shared" si="0"/>
        <v>30000</v>
      </c>
      <c r="AJ51" s="212"/>
    </row>
    <row r="52" spans="2:36" ht="14.4">
      <c r="B52" s="211"/>
      <c r="C52" s="213" t="s">
        <v>70</v>
      </c>
      <c r="D52" s="214">
        <v>5655</v>
      </c>
      <c r="E52" s="214">
        <v>0</v>
      </c>
      <c r="F52" s="214">
        <v>0</v>
      </c>
      <c r="G52" s="214">
        <v>0</v>
      </c>
      <c r="H52" s="214">
        <v>0</v>
      </c>
      <c r="I52" s="214">
        <v>415</v>
      </c>
      <c r="J52" s="214">
        <v>0</v>
      </c>
      <c r="K52" s="214">
        <v>0</v>
      </c>
      <c r="L52" s="214">
        <v>0</v>
      </c>
      <c r="M52" s="214">
        <v>0</v>
      </c>
      <c r="N52" s="214">
        <v>0</v>
      </c>
      <c r="O52" s="214">
        <v>0</v>
      </c>
      <c r="P52" s="214">
        <v>0</v>
      </c>
      <c r="Q52" s="214">
        <v>0</v>
      </c>
      <c r="R52" s="214">
        <v>0</v>
      </c>
      <c r="S52" s="214">
        <v>0</v>
      </c>
      <c r="T52" s="214">
        <v>0</v>
      </c>
      <c r="U52" s="214">
        <v>0</v>
      </c>
      <c r="V52" s="214">
        <v>0</v>
      </c>
      <c r="W52" s="214">
        <v>0</v>
      </c>
      <c r="X52" s="214">
        <v>0</v>
      </c>
      <c r="Y52" s="214">
        <v>0</v>
      </c>
      <c r="Z52" s="214">
        <v>0</v>
      </c>
      <c r="AA52" s="214">
        <v>0</v>
      </c>
      <c r="AB52" s="214">
        <v>0</v>
      </c>
      <c r="AC52" s="214">
        <v>0</v>
      </c>
      <c r="AD52" s="214"/>
      <c r="AE52" s="420">
        <v>0</v>
      </c>
      <c r="AF52" s="420">
        <v>0</v>
      </c>
      <c r="AG52" s="420">
        <v>0</v>
      </c>
      <c r="AH52" s="420"/>
      <c r="AI52" s="574">
        <f t="shared" si="0"/>
        <v>6070</v>
      </c>
      <c r="AJ52" s="212"/>
    </row>
    <row r="53" spans="2:36" ht="14.4">
      <c r="B53" s="211"/>
      <c r="C53" s="213" t="s">
        <v>71</v>
      </c>
      <c r="D53" s="214">
        <v>0</v>
      </c>
      <c r="E53" s="214">
        <v>0</v>
      </c>
      <c r="F53" s="214">
        <v>0</v>
      </c>
      <c r="G53" s="214">
        <v>0</v>
      </c>
      <c r="H53" s="214">
        <v>0</v>
      </c>
      <c r="I53" s="214">
        <v>0</v>
      </c>
      <c r="J53" s="214">
        <v>0</v>
      </c>
      <c r="K53" s="214">
        <v>0</v>
      </c>
      <c r="L53" s="214">
        <v>0</v>
      </c>
      <c r="M53" s="214">
        <v>0</v>
      </c>
      <c r="N53" s="214">
        <v>0</v>
      </c>
      <c r="O53" s="214">
        <v>0</v>
      </c>
      <c r="P53" s="214">
        <v>0</v>
      </c>
      <c r="Q53" s="214">
        <v>0</v>
      </c>
      <c r="R53" s="214">
        <v>0</v>
      </c>
      <c r="S53" s="214">
        <v>0</v>
      </c>
      <c r="T53" s="214">
        <v>0</v>
      </c>
      <c r="U53" s="214">
        <v>0</v>
      </c>
      <c r="V53" s="214">
        <v>0</v>
      </c>
      <c r="W53" s="214">
        <v>0</v>
      </c>
      <c r="X53" s="214">
        <v>0</v>
      </c>
      <c r="Y53" s="214">
        <v>0</v>
      </c>
      <c r="Z53" s="214">
        <v>0</v>
      </c>
      <c r="AA53" s="214">
        <v>0</v>
      </c>
      <c r="AB53" s="214">
        <v>0</v>
      </c>
      <c r="AC53" s="214">
        <v>0</v>
      </c>
      <c r="AD53" s="214"/>
      <c r="AE53" s="420">
        <v>0</v>
      </c>
      <c r="AF53" s="420">
        <v>0</v>
      </c>
      <c r="AG53" s="420">
        <v>0</v>
      </c>
      <c r="AH53" s="420"/>
      <c r="AI53" s="574">
        <f t="shared" si="0"/>
        <v>0</v>
      </c>
      <c r="AJ53" s="212"/>
    </row>
    <row r="54" spans="2:36" ht="14.4">
      <c r="B54" s="211"/>
      <c r="C54" s="213" t="s">
        <v>159</v>
      </c>
      <c r="D54" s="214">
        <v>15200</v>
      </c>
      <c r="E54" s="214">
        <v>0</v>
      </c>
      <c r="F54" s="214">
        <v>0</v>
      </c>
      <c r="G54" s="214">
        <v>0</v>
      </c>
      <c r="H54" s="214">
        <v>0</v>
      </c>
      <c r="I54" s="214">
        <v>0</v>
      </c>
      <c r="J54" s="214">
        <v>0</v>
      </c>
      <c r="K54" s="214">
        <v>0</v>
      </c>
      <c r="L54" s="214">
        <v>0</v>
      </c>
      <c r="M54" s="214">
        <v>0</v>
      </c>
      <c r="N54" s="214">
        <v>0</v>
      </c>
      <c r="O54" s="214">
        <v>0</v>
      </c>
      <c r="P54" s="214">
        <v>0</v>
      </c>
      <c r="Q54" s="214">
        <v>0</v>
      </c>
      <c r="R54" s="214">
        <v>0</v>
      </c>
      <c r="S54" s="214">
        <v>0</v>
      </c>
      <c r="T54" s="214">
        <v>0</v>
      </c>
      <c r="U54" s="214">
        <v>0</v>
      </c>
      <c r="V54" s="214">
        <v>0</v>
      </c>
      <c r="W54" s="214">
        <v>0</v>
      </c>
      <c r="X54" s="214">
        <v>0</v>
      </c>
      <c r="Y54" s="214">
        <v>0</v>
      </c>
      <c r="Z54" s="214">
        <v>0</v>
      </c>
      <c r="AA54" s="214">
        <v>0</v>
      </c>
      <c r="AB54" s="214">
        <v>0</v>
      </c>
      <c r="AC54" s="214">
        <v>0</v>
      </c>
      <c r="AD54" s="214"/>
      <c r="AE54" s="420">
        <v>0</v>
      </c>
      <c r="AF54" s="420">
        <v>0</v>
      </c>
      <c r="AG54" s="420">
        <v>0</v>
      </c>
      <c r="AH54" s="420"/>
      <c r="AI54" s="574">
        <f t="shared" si="0"/>
        <v>15200</v>
      </c>
      <c r="AJ54" s="212"/>
    </row>
    <row r="55" spans="2:36" ht="14.4">
      <c r="B55" s="211"/>
      <c r="C55" s="213" t="s">
        <v>72</v>
      </c>
      <c r="D55" s="214">
        <v>6000</v>
      </c>
      <c r="E55" s="214">
        <v>0</v>
      </c>
      <c r="F55" s="214">
        <v>0</v>
      </c>
      <c r="G55" s="214">
        <v>0</v>
      </c>
      <c r="H55" s="214">
        <v>0</v>
      </c>
      <c r="I55" s="214">
        <v>0</v>
      </c>
      <c r="J55" s="214">
        <v>0</v>
      </c>
      <c r="K55" s="214">
        <v>0</v>
      </c>
      <c r="L55" s="214">
        <v>0</v>
      </c>
      <c r="M55" s="214">
        <v>0</v>
      </c>
      <c r="N55" s="214">
        <v>0</v>
      </c>
      <c r="O55" s="214">
        <v>0</v>
      </c>
      <c r="P55" s="214">
        <v>0</v>
      </c>
      <c r="Q55" s="214">
        <v>0</v>
      </c>
      <c r="R55" s="214">
        <v>0</v>
      </c>
      <c r="S55" s="214">
        <v>0</v>
      </c>
      <c r="T55" s="214">
        <v>0</v>
      </c>
      <c r="U55" s="214">
        <v>0</v>
      </c>
      <c r="V55" s="214">
        <v>0</v>
      </c>
      <c r="W55" s="214">
        <v>0</v>
      </c>
      <c r="X55" s="214">
        <v>0</v>
      </c>
      <c r="Y55" s="214">
        <v>0</v>
      </c>
      <c r="Z55" s="214">
        <v>0</v>
      </c>
      <c r="AA55" s="214">
        <v>0</v>
      </c>
      <c r="AB55" s="214">
        <v>0</v>
      </c>
      <c r="AC55" s="214">
        <v>0</v>
      </c>
      <c r="AD55" s="214"/>
      <c r="AE55" s="420">
        <v>0</v>
      </c>
      <c r="AF55" s="420">
        <v>0</v>
      </c>
      <c r="AG55" s="420">
        <v>0</v>
      </c>
      <c r="AH55" s="420"/>
      <c r="AI55" s="574">
        <f t="shared" si="0"/>
        <v>6000</v>
      </c>
      <c r="AJ55" s="212"/>
    </row>
    <row r="56" spans="2:36" ht="14.4">
      <c r="B56" s="211"/>
      <c r="C56" s="213" t="s">
        <v>73</v>
      </c>
      <c r="D56" s="214">
        <v>0</v>
      </c>
      <c r="E56" s="214">
        <v>0</v>
      </c>
      <c r="F56" s="214">
        <v>0</v>
      </c>
      <c r="G56" s="214">
        <v>0</v>
      </c>
      <c r="H56" s="214">
        <v>0</v>
      </c>
      <c r="I56" s="214">
        <v>0</v>
      </c>
      <c r="J56" s="214">
        <v>0</v>
      </c>
      <c r="K56" s="214">
        <v>0</v>
      </c>
      <c r="L56" s="214">
        <v>0</v>
      </c>
      <c r="M56" s="214">
        <v>0</v>
      </c>
      <c r="N56" s="214">
        <v>0</v>
      </c>
      <c r="O56" s="214">
        <v>0</v>
      </c>
      <c r="P56" s="214">
        <v>0</v>
      </c>
      <c r="Q56" s="214">
        <v>0</v>
      </c>
      <c r="R56" s="214">
        <v>0</v>
      </c>
      <c r="S56" s="214">
        <v>0</v>
      </c>
      <c r="T56" s="214">
        <v>0</v>
      </c>
      <c r="U56" s="214">
        <v>0</v>
      </c>
      <c r="V56" s="214">
        <v>0</v>
      </c>
      <c r="W56" s="214">
        <v>0</v>
      </c>
      <c r="X56" s="214">
        <v>0</v>
      </c>
      <c r="Y56" s="214">
        <v>0</v>
      </c>
      <c r="Z56" s="214">
        <v>0</v>
      </c>
      <c r="AA56" s="214">
        <v>0</v>
      </c>
      <c r="AB56" s="214">
        <v>0</v>
      </c>
      <c r="AC56" s="214">
        <v>0</v>
      </c>
      <c r="AD56" s="214"/>
      <c r="AE56" s="420">
        <v>0</v>
      </c>
      <c r="AF56" s="420">
        <v>0</v>
      </c>
      <c r="AG56" s="420">
        <v>0</v>
      </c>
      <c r="AH56" s="420"/>
      <c r="AI56" s="574">
        <f t="shared" si="0"/>
        <v>0</v>
      </c>
      <c r="AJ56" s="212"/>
    </row>
    <row r="57" spans="2:36" ht="14.4">
      <c r="B57" s="211"/>
      <c r="C57" s="213" t="s">
        <v>74</v>
      </c>
      <c r="D57" s="214">
        <v>0</v>
      </c>
      <c r="E57" s="214">
        <v>0</v>
      </c>
      <c r="F57" s="214">
        <v>0</v>
      </c>
      <c r="G57" s="214">
        <v>0</v>
      </c>
      <c r="H57" s="214">
        <v>0</v>
      </c>
      <c r="I57" s="214">
        <v>0</v>
      </c>
      <c r="J57" s="214">
        <v>0</v>
      </c>
      <c r="K57" s="214">
        <v>0</v>
      </c>
      <c r="L57" s="214">
        <v>0</v>
      </c>
      <c r="M57" s="214">
        <v>0</v>
      </c>
      <c r="N57" s="214">
        <v>0</v>
      </c>
      <c r="O57" s="214">
        <v>0</v>
      </c>
      <c r="P57" s="214">
        <v>0</v>
      </c>
      <c r="Q57" s="214">
        <v>0</v>
      </c>
      <c r="R57" s="214">
        <v>0</v>
      </c>
      <c r="S57" s="214">
        <v>0</v>
      </c>
      <c r="T57" s="214">
        <v>0</v>
      </c>
      <c r="U57" s="214">
        <v>0</v>
      </c>
      <c r="V57" s="214">
        <v>0</v>
      </c>
      <c r="W57" s="214">
        <v>0</v>
      </c>
      <c r="X57" s="214">
        <v>0</v>
      </c>
      <c r="Y57" s="214">
        <v>0</v>
      </c>
      <c r="Z57" s="214">
        <v>0</v>
      </c>
      <c r="AA57" s="214">
        <v>0</v>
      </c>
      <c r="AB57" s="214">
        <v>0</v>
      </c>
      <c r="AC57" s="214">
        <v>0</v>
      </c>
      <c r="AD57" s="214"/>
      <c r="AE57" s="420">
        <v>0</v>
      </c>
      <c r="AF57" s="420">
        <v>0</v>
      </c>
      <c r="AG57" s="420">
        <v>0</v>
      </c>
      <c r="AH57" s="420"/>
      <c r="AI57" s="574">
        <f t="shared" si="0"/>
        <v>0</v>
      </c>
      <c r="AJ57" s="212"/>
    </row>
    <row r="58" spans="2:36" ht="14.4">
      <c r="B58" s="211"/>
      <c r="C58" s="213" t="s">
        <v>246</v>
      </c>
      <c r="D58" s="214">
        <v>1300</v>
      </c>
      <c r="E58" s="214">
        <v>0</v>
      </c>
      <c r="F58" s="214">
        <v>0</v>
      </c>
      <c r="G58" s="214">
        <v>0</v>
      </c>
      <c r="H58" s="214">
        <v>0</v>
      </c>
      <c r="I58" s="214">
        <v>0</v>
      </c>
      <c r="J58" s="214">
        <v>0</v>
      </c>
      <c r="K58" s="214">
        <v>0</v>
      </c>
      <c r="L58" s="214">
        <v>0</v>
      </c>
      <c r="M58" s="214">
        <v>0</v>
      </c>
      <c r="N58" s="214">
        <v>0</v>
      </c>
      <c r="O58" s="214">
        <v>0</v>
      </c>
      <c r="P58" s="214">
        <v>0</v>
      </c>
      <c r="Q58" s="214">
        <v>0</v>
      </c>
      <c r="R58" s="214">
        <v>0</v>
      </c>
      <c r="S58" s="214">
        <v>0</v>
      </c>
      <c r="T58" s="214">
        <v>0</v>
      </c>
      <c r="U58" s="214">
        <v>0</v>
      </c>
      <c r="V58" s="214">
        <v>0</v>
      </c>
      <c r="W58" s="214">
        <v>0</v>
      </c>
      <c r="X58" s="214">
        <v>0</v>
      </c>
      <c r="Y58" s="214">
        <v>0</v>
      </c>
      <c r="Z58" s="214">
        <v>0</v>
      </c>
      <c r="AA58" s="214">
        <v>0</v>
      </c>
      <c r="AB58" s="214">
        <v>0</v>
      </c>
      <c r="AC58" s="214">
        <v>0</v>
      </c>
      <c r="AD58" s="214"/>
      <c r="AE58" s="420">
        <v>0</v>
      </c>
      <c r="AF58" s="420">
        <v>0</v>
      </c>
      <c r="AG58" s="420">
        <v>0</v>
      </c>
      <c r="AH58" s="420"/>
      <c r="AI58" s="574">
        <f t="shared" si="0"/>
        <v>1300</v>
      </c>
      <c r="AJ58" s="212"/>
    </row>
    <row r="59" spans="2:36" ht="14.4">
      <c r="B59" s="211"/>
      <c r="C59" s="213" t="s">
        <v>75</v>
      </c>
      <c r="D59" s="214">
        <v>8285</v>
      </c>
      <c r="E59" s="214">
        <v>0</v>
      </c>
      <c r="F59" s="214">
        <v>0</v>
      </c>
      <c r="G59" s="214">
        <v>0</v>
      </c>
      <c r="H59" s="214">
        <v>0</v>
      </c>
      <c r="I59" s="214">
        <v>0</v>
      </c>
      <c r="J59" s="214">
        <v>0</v>
      </c>
      <c r="K59" s="214">
        <v>0</v>
      </c>
      <c r="L59" s="214">
        <v>0</v>
      </c>
      <c r="M59" s="214">
        <v>0</v>
      </c>
      <c r="N59" s="214">
        <v>0</v>
      </c>
      <c r="O59" s="214">
        <v>0</v>
      </c>
      <c r="P59" s="214">
        <v>0</v>
      </c>
      <c r="Q59" s="214">
        <v>0</v>
      </c>
      <c r="R59" s="214">
        <v>0</v>
      </c>
      <c r="S59" s="214">
        <v>0</v>
      </c>
      <c r="T59" s="214">
        <v>0</v>
      </c>
      <c r="U59" s="214">
        <v>0</v>
      </c>
      <c r="V59" s="214">
        <v>0</v>
      </c>
      <c r="W59" s="214">
        <v>0</v>
      </c>
      <c r="X59" s="214">
        <v>0</v>
      </c>
      <c r="Y59" s="214">
        <v>0</v>
      </c>
      <c r="Z59" s="214">
        <v>0</v>
      </c>
      <c r="AA59" s="214">
        <v>0</v>
      </c>
      <c r="AB59" s="214">
        <v>0</v>
      </c>
      <c r="AC59" s="214">
        <v>0</v>
      </c>
      <c r="AD59" s="214"/>
      <c r="AE59" s="420">
        <v>0</v>
      </c>
      <c r="AF59" s="420">
        <v>0</v>
      </c>
      <c r="AG59" s="420">
        <v>0</v>
      </c>
      <c r="AH59" s="420"/>
      <c r="AI59" s="574">
        <f t="shared" si="0"/>
        <v>8285</v>
      </c>
      <c r="AJ59" s="212"/>
    </row>
    <row r="60" spans="2:36" ht="14.4">
      <c r="B60" s="211"/>
      <c r="C60" s="213" t="s">
        <v>76</v>
      </c>
      <c r="D60" s="214">
        <v>0</v>
      </c>
      <c r="E60" s="214">
        <v>0</v>
      </c>
      <c r="F60" s="214">
        <v>0</v>
      </c>
      <c r="G60" s="214">
        <v>0</v>
      </c>
      <c r="H60" s="214">
        <v>0</v>
      </c>
      <c r="I60" s="214">
        <v>0</v>
      </c>
      <c r="J60" s="214">
        <v>0</v>
      </c>
      <c r="K60" s="214">
        <v>0</v>
      </c>
      <c r="L60" s="214">
        <v>0</v>
      </c>
      <c r="M60" s="214">
        <v>0</v>
      </c>
      <c r="N60" s="214">
        <v>0</v>
      </c>
      <c r="O60" s="214">
        <v>0</v>
      </c>
      <c r="P60" s="214">
        <v>0</v>
      </c>
      <c r="Q60" s="214">
        <v>0</v>
      </c>
      <c r="R60" s="214">
        <v>0</v>
      </c>
      <c r="S60" s="214">
        <v>0</v>
      </c>
      <c r="T60" s="214">
        <v>0</v>
      </c>
      <c r="U60" s="214">
        <v>0</v>
      </c>
      <c r="V60" s="214">
        <v>0</v>
      </c>
      <c r="W60" s="214">
        <v>0</v>
      </c>
      <c r="X60" s="214">
        <v>0</v>
      </c>
      <c r="Y60" s="214">
        <v>0</v>
      </c>
      <c r="Z60" s="214">
        <v>0</v>
      </c>
      <c r="AA60" s="214">
        <v>0</v>
      </c>
      <c r="AB60" s="214">
        <v>0</v>
      </c>
      <c r="AC60" s="214">
        <v>0</v>
      </c>
      <c r="AD60" s="214"/>
      <c r="AE60" s="420">
        <v>0</v>
      </c>
      <c r="AF60" s="420">
        <v>0</v>
      </c>
      <c r="AG60" s="420">
        <v>0</v>
      </c>
      <c r="AH60" s="420"/>
      <c r="AI60" s="574">
        <f t="shared" si="0"/>
        <v>0</v>
      </c>
      <c r="AJ60" s="212"/>
    </row>
    <row r="61" spans="2:36" ht="14.4">
      <c r="B61" s="211"/>
      <c r="C61" s="213" t="s">
        <v>77</v>
      </c>
      <c r="D61" s="214">
        <v>0</v>
      </c>
      <c r="E61" s="214">
        <v>0</v>
      </c>
      <c r="F61" s="214">
        <v>0</v>
      </c>
      <c r="G61" s="214">
        <v>0</v>
      </c>
      <c r="H61" s="214">
        <v>0</v>
      </c>
      <c r="I61" s="214">
        <v>0</v>
      </c>
      <c r="J61" s="214">
        <v>0</v>
      </c>
      <c r="K61" s="214">
        <v>0</v>
      </c>
      <c r="L61" s="214">
        <v>0</v>
      </c>
      <c r="M61" s="214">
        <v>0</v>
      </c>
      <c r="N61" s="214">
        <v>0</v>
      </c>
      <c r="O61" s="214">
        <v>0</v>
      </c>
      <c r="P61" s="214">
        <v>0</v>
      </c>
      <c r="Q61" s="214">
        <v>0</v>
      </c>
      <c r="R61" s="214">
        <v>0</v>
      </c>
      <c r="S61" s="214">
        <v>0</v>
      </c>
      <c r="T61" s="214">
        <v>0</v>
      </c>
      <c r="U61" s="214">
        <v>0</v>
      </c>
      <c r="V61" s="214">
        <v>0</v>
      </c>
      <c r="W61" s="214">
        <v>0</v>
      </c>
      <c r="X61" s="214">
        <v>0</v>
      </c>
      <c r="Y61" s="214">
        <v>0</v>
      </c>
      <c r="Z61" s="214">
        <v>0</v>
      </c>
      <c r="AA61" s="214">
        <v>0</v>
      </c>
      <c r="AB61" s="214">
        <v>0</v>
      </c>
      <c r="AC61" s="214">
        <v>0</v>
      </c>
      <c r="AD61" s="214"/>
      <c r="AE61" s="420">
        <v>0</v>
      </c>
      <c r="AF61" s="420">
        <v>0</v>
      </c>
      <c r="AG61" s="420">
        <v>0</v>
      </c>
      <c r="AH61" s="420"/>
      <c r="AI61" s="574">
        <f t="shared" si="0"/>
        <v>0</v>
      </c>
      <c r="AJ61" s="212"/>
    </row>
    <row r="62" spans="2:36" ht="14.4">
      <c r="B62" s="211"/>
      <c r="C62" s="213" t="s">
        <v>78</v>
      </c>
      <c r="D62" s="214">
        <v>0</v>
      </c>
      <c r="E62" s="214">
        <v>0</v>
      </c>
      <c r="F62" s="214">
        <v>0</v>
      </c>
      <c r="G62" s="214">
        <v>0</v>
      </c>
      <c r="H62" s="214">
        <v>0</v>
      </c>
      <c r="I62" s="214">
        <v>0</v>
      </c>
      <c r="J62" s="214">
        <v>0</v>
      </c>
      <c r="K62" s="214">
        <v>0</v>
      </c>
      <c r="L62" s="214">
        <v>0</v>
      </c>
      <c r="M62" s="214">
        <v>0</v>
      </c>
      <c r="N62" s="214">
        <v>0</v>
      </c>
      <c r="O62" s="214">
        <v>0</v>
      </c>
      <c r="P62" s="214">
        <v>0</v>
      </c>
      <c r="Q62" s="214">
        <v>0</v>
      </c>
      <c r="R62" s="214">
        <v>0</v>
      </c>
      <c r="S62" s="214">
        <v>0</v>
      </c>
      <c r="T62" s="214">
        <v>0</v>
      </c>
      <c r="U62" s="214">
        <v>0</v>
      </c>
      <c r="V62" s="214">
        <v>0</v>
      </c>
      <c r="W62" s="214">
        <v>0</v>
      </c>
      <c r="X62" s="214">
        <v>0</v>
      </c>
      <c r="Y62" s="214">
        <v>0</v>
      </c>
      <c r="Z62" s="214">
        <v>0</v>
      </c>
      <c r="AA62" s="214">
        <v>0</v>
      </c>
      <c r="AB62" s="214">
        <v>0</v>
      </c>
      <c r="AC62" s="214">
        <v>0</v>
      </c>
      <c r="AD62" s="214"/>
      <c r="AE62" s="420">
        <v>0</v>
      </c>
      <c r="AF62" s="420">
        <v>0</v>
      </c>
      <c r="AG62" s="420">
        <v>0</v>
      </c>
      <c r="AH62" s="420"/>
      <c r="AI62" s="574">
        <f t="shared" si="0"/>
        <v>0</v>
      </c>
      <c r="AJ62" s="212"/>
    </row>
    <row r="63" spans="2:36" ht="14.4">
      <c r="B63" s="211"/>
      <c r="C63" s="213" t="s">
        <v>79</v>
      </c>
      <c r="D63" s="214">
        <v>0</v>
      </c>
      <c r="E63" s="214">
        <v>0</v>
      </c>
      <c r="F63" s="214">
        <v>0</v>
      </c>
      <c r="G63" s="214">
        <v>0</v>
      </c>
      <c r="H63" s="214">
        <v>0</v>
      </c>
      <c r="I63" s="214">
        <v>0</v>
      </c>
      <c r="J63" s="214">
        <v>0</v>
      </c>
      <c r="K63" s="214">
        <v>0</v>
      </c>
      <c r="L63" s="214">
        <v>0</v>
      </c>
      <c r="M63" s="214">
        <v>0</v>
      </c>
      <c r="N63" s="214">
        <v>0</v>
      </c>
      <c r="O63" s="214">
        <v>0</v>
      </c>
      <c r="P63" s="214">
        <v>0</v>
      </c>
      <c r="Q63" s="214">
        <v>0</v>
      </c>
      <c r="R63" s="214">
        <v>0</v>
      </c>
      <c r="S63" s="214">
        <v>0</v>
      </c>
      <c r="T63" s="214">
        <v>0</v>
      </c>
      <c r="U63" s="214">
        <v>0</v>
      </c>
      <c r="V63" s="214">
        <v>0</v>
      </c>
      <c r="W63" s="214">
        <v>0</v>
      </c>
      <c r="X63" s="214">
        <v>0</v>
      </c>
      <c r="Y63" s="214">
        <v>0</v>
      </c>
      <c r="Z63" s="214">
        <v>0</v>
      </c>
      <c r="AA63" s="214">
        <v>0</v>
      </c>
      <c r="AB63" s="214">
        <v>0</v>
      </c>
      <c r="AC63" s="214">
        <v>0</v>
      </c>
      <c r="AD63" s="214"/>
      <c r="AE63" s="420">
        <v>0</v>
      </c>
      <c r="AF63" s="420">
        <v>0</v>
      </c>
      <c r="AG63" s="420">
        <v>0</v>
      </c>
      <c r="AH63" s="420"/>
      <c r="AI63" s="574">
        <f t="shared" si="0"/>
        <v>0</v>
      </c>
      <c r="AJ63" s="212"/>
    </row>
    <row r="64" spans="2:36" ht="14.4">
      <c r="B64" s="211"/>
      <c r="C64" s="213" t="s">
        <v>80</v>
      </c>
      <c r="D64" s="214">
        <v>0</v>
      </c>
      <c r="E64" s="214">
        <v>0</v>
      </c>
      <c r="F64" s="214">
        <v>0</v>
      </c>
      <c r="G64" s="214">
        <v>0</v>
      </c>
      <c r="H64" s="214">
        <v>0</v>
      </c>
      <c r="I64" s="214">
        <v>0</v>
      </c>
      <c r="J64" s="214">
        <v>0</v>
      </c>
      <c r="K64" s="214">
        <v>0</v>
      </c>
      <c r="L64" s="214">
        <v>0</v>
      </c>
      <c r="M64" s="214">
        <v>0</v>
      </c>
      <c r="N64" s="214">
        <v>0</v>
      </c>
      <c r="O64" s="214">
        <v>0</v>
      </c>
      <c r="P64" s="214">
        <v>0</v>
      </c>
      <c r="Q64" s="214">
        <v>0</v>
      </c>
      <c r="R64" s="214">
        <v>0</v>
      </c>
      <c r="S64" s="214">
        <v>0</v>
      </c>
      <c r="T64" s="214">
        <v>0</v>
      </c>
      <c r="U64" s="214">
        <v>0</v>
      </c>
      <c r="V64" s="214">
        <v>0</v>
      </c>
      <c r="W64" s="214">
        <v>0</v>
      </c>
      <c r="X64" s="214">
        <v>0</v>
      </c>
      <c r="Y64" s="214">
        <v>0</v>
      </c>
      <c r="Z64" s="214">
        <v>0</v>
      </c>
      <c r="AA64" s="214">
        <v>0</v>
      </c>
      <c r="AB64" s="214">
        <v>0</v>
      </c>
      <c r="AC64" s="214">
        <v>0</v>
      </c>
      <c r="AD64" s="214"/>
      <c r="AE64" s="420">
        <v>0</v>
      </c>
      <c r="AF64" s="420">
        <v>0</v>
      </c>
      <c r="AG64" s="420">
        <v>0</v>
      </c>
      <c r="AH64" s="420"/>
      <c r="AI64" s="574">
        <f t="shared" si="0"/>
        <v>0</v>
      </c>
      <c r="AJ64" s="212"/>
    </row>
    <row r="65" spans="2:36" ht="14.4">
      <c r="B65" s="211"/>
      <c r="C65" s="213" t="s">
        <v>81</v>
      </c>
      <c r="D65" s="214">
        <v>0</v>
      </c>
      <c r="E65" s="214">
        <v>0</v>
      </c>
      <c r="F65" s="214">
        <v>0</v>
      </c>
      <c r="G65" s="214">
        <v>0</v>
      </c>
      <c r="H65" s="214">
        <v>0</v>
      </c>
      <c r="I65" s="214">
        <v>0</v>
      </c>
      <c r="J65" s="214">
        <v>0</v>
      </c>
      <c r="K65" s="214">
        <v>0</v>
      </c>
      <c r="L65" s="214">
        <v>0</v>
      </c>
      <c r="M65" s="214">
        <v>0</v>
      </c>
      <c r="N65" s="214">
        <v>0</v>
      </c>
      <c r="O65" s="214">
        <v>0</v>
      </c>
      <c r="P65" s="214">
        <v>0</v>
      </c>
      <c r="Q65" s="214">
        <v>0</v>
      </c>
      <c r="R65" s="214">
        <v>0</v>
      </c>
      <c r="S65" s="214">
        <v>0</v>
      </c>
      <c r="T65" s="214">
        <v>0</v>
      </c>
      <c r="U65" s="214">
        <v>0</v>
      </c>
      <c r="V65" s="214">
        <v>0</v>
      </c>
      <c r="W65" s="214">
        <v>0</v>
      </c>
      <c r="X65" s="214">
        <v>0</v>
      </c>
      <c r="Y65" s="214">
        <v>0</v>
      </c>
      <c r="Z65" s="214">
        <v>0</v>
      </c>
      <c r="AA65" s="214">
        <v>0</v>
      </c>
      <c r="AB65" s="214">
        <v>0</v>
      </c>
      <c r="AC65" s="214">
        <v>0</v>
      </c>
      <c r="AD65" s="214"/>
      <c r="AE65" s="420">
        <v>0</v>
      </c>
      <c r="AF65" s="420">
        <v>0</v>
      </c>
      <c r="AG65" s="420">
        <v>0</v>
      </c>
      <c r="AH65" s="420"/>
      <c r="AI65" s="574">
        <f t="shared" si="0"/>
        <v>0</v>
      </c>
      <c r="AJ65" s="212"/>
    </row>
    <row r="66" spans="2:36" ht="14.4">
      <c r="B66" s="211"/>
      <c r="C66" s="213" t="s">
        <v>82</v>
      </c>
      <c r="D66" s="214">
        <v>0</v>
      </c>
      <c r="E66" s="214">
        <v>0</v>
      </c>
      <c r="F66" s="214">
        <v>0</v>
      </c>
      <c r="G66" s="214">
        <v>0</v>
      </c>
      <c r="H66" s="214">
        <v>0</v>
      </c>
      <c r="I66" s="214">
        <v>0</v>
      </c>
      <c r="J66" s="214">
        <v>0</v>
      </c>
      <c r="K66" s="214">
        <v>0</v>
      </c>
      <c r="L66" s="214">
        <v>0</v>
      </c>
      <c r="M66" s="214">
        <v>0</v>
      </c>
      <c r="N66" s="214">
        <v>0</v>
      </c>
      <c r="O66" s="214">
        <v>0</v>
      </c>
      <c r="P66" s="214">
        <v>0</v>
      </c>
      <c r="Q66" s="214">
        <v>0</v>
      </c>
      <c r="R66" s="214">
        <v>0</v>
      </c>
      <c r="S66" s="214">
        <v>0</v>
      </c>
      <c r="T66" s="214">
        <v>0</v>
      </c>
      <c r="U66" s="214">
        <v>0</v>
      </c>
      <c r="V66" s="214">
        <v>0</v>
      </c>
      <c r="W66" s="214">
        <v>0</v>
      </c>
      <c r="X66" s="214">
        <v>0</v>
      </c>
      <c r="Y66" s="214">
        <v>0</v>
      </c>
      <c r="Z66" s="214">
        <v>0</v>
      </c>
      <c r="AA66" s="214">
        <v>0</v>
      </c>
      <c r="AB66" s="214">
        <v>0</v>
      </c>
      <c r="AC66" s="214">
        <v>0</v>
      </c>
      <c r="AD66" s="214"/>
      <c r="AE66" s="420">
        <v>0</v>
      </c>
      <c r="AF66" s="420">
        <v>0</v>
      </c>
      <c r="AG66" s="420">
        <v>0</v>
      </c>
      <c r="AH66" s="420"/>
      <c r="AI66" s="574">
        <f t="shared" si="0"/>
        <v>0</v>
      </c>
      <c r="AJ66" s="212"/>
    </row>
    <row r="67" spans="2:36" ht="14.4">
      <c r="B67" s="211"/>
      <c r="C67" s="213" t="s">
        <v>83</v>
      </c>
      <c r="D67" s="214">
        <v>0</v>
      </c>
      <c r="E67" s="214">
        <v>0</v>
      </c>
      <c r="F67" s="214">
        <v>0</v>
      </c>
      <c r="G67" s="214">
        <v>0</v>
      </c>
      <c r="H67" s="214">
        <v>0</v>
      </c>
      <c r="I67" s="214">
        <v>0</v>
      </c>
      <c r="J67" s="214">
        <v>0</v>
      </c>
      <c r="K67" s="214">
        <v>0</v>
      </c>
      <c r="L67" s="214">
        <v>0</v>
      </c>
      <c r="M67" s="214">
        <v>0</v>
      </c>
      <c r="N67" s="214">
        <v>0</v>
      </c>
      <c r="O67" s="214">
        <v>0</v>
      </c>
      <c r="P67" s="214">
        <v>0</v>
      </c>
      <c r="Q67" s="214">
        <v>0</v>
      </c>
      <c r="R67" s="214">
        <v>0</v>
      </c>
      <c r="S67" s="214">
        <v>0</v>
      </c>
      <c r="T67" s="214">
        <v>0</v>
      </c>
      <c r="U67" s="214">
        <v>0</v>
      </c>
      <c r="V67" s="214">
        <v>0</v>
      </c>
      <c r="W67" s="214">
        <v>0</v>
      </c>
      <c r="X67" s="214">
        <v>0</v>
      </c>
      <c r="Y67" s="214">
        <v>0</v>
      </c>
      <c r="Z67" s="214">
        <v>0</v>
      </c>
      <c r="AA67" s="214">
        <v>0</v>
      </c>
      <c r="AB67" s="214">
        <v>0</v>
      </c>
      <c r="AC67" s="214">
        <v>0</v>
      </c>
      <c r="AD67" s="214"/>
      <c r="AE67" s="420">
        <v>0</v>
      </c>
      <c r="AF67" s="420">
        <v>0</v>
      </c>
      <c r="AG67" s="420">
        <v>0</v>
      </c>
      <c r="AH67" s="420"/>
      <c r="AI67" s="574">
        <f t="shared" si="0"/>
        <v>0</v>
      </c>
      <c r="AJ67" s="212"/>
    </row>
    <row r="68" spans="2:36" ht="14.4">
      <c r="B68" s="211"/>
      <c r="C68" s="213" t="s">
        <v>84</v>
      </c>
      <c r="D68" s="214">
        <v>0</v>
      </c>
      <c r="E68" s="214">
        <v>0</v>
      </c>
      <c r="F68" s="214">
        <v>0</v>
      </c>
      <c r="G68" s="214">
        <v>0</v>
      </c>
      <c r="H68" s="214">
        <v>0</v>
      </c>
      <c r="I68" s="214">
        <v>0</v>
      </c>
      <c r="J68" s="214">
        <v>0</v>
      </c>
      <c r="K68" s="214">
        <v>0</v>
      </c>
      <c r="L68" s="214">
        <v>0</v>
      </c>
      <c r="M68" s="214">
        <v>0</v>
      </c>
      <c r="N68" s="214">
        <v>0</v>
      </c>
      <c r="O68" s="214">
        <v>0</v>
      </c>
      <c r="P68" s="214">
        <v>0</v>
      </c>
      <c r="Q68" s="214">
        <v>0</v>
      </c>
      <c r="R68" s="214">
        <v>0</v>
      </c>
      <c r="S68" s="214">
        <v>0</v>
      </c>
      <c r="T68" s="214">
        <v>0</v>
      </c>
      <c r="U68" s="214">
        <v>0</v>
      </c>
      <c r="V68" s="214">
        <v>0</v>
      </c>
      <c r="W68" s="214">
        <v>0</v>
      </c>
      <c r="X68" s="214">
        <v>0</v>
      </c>
      <c r="Y68" s="214">
        <v>0</v>
      </c>
      <c r="Z68" s="214">
        <v>0</v>
      </c>
      <c r="AA68" s="214">
        <v>0</v>
      </c>
      <c r="AB68" s="214">
        <v>0</v>
      </c>
      <c r="AC68" s="214">
        <v>0</v>
      </c>
      <c r="AD68" s="214"/>
      <c r="AE68" s="420">
        <v>0</v>
      </c>
      <c r="AF68" s="420">
        <v>0</v>
      </c>
      <c r="AG68" s="420">
        <v>0</v>
      </c>
      <c r="AH68" s="420"/>
      <c r="AI68" s="574">
        <f t="shared" si="0"/>
        <v>0</v>
      </c>
      <c r="AJ68" s="212"/>
    </row>
    <row r="69" spans="2:36" ht="14.4">
      <c r="B69" s="211"/>
      <c r="C69" s="213" t="s">
        <v>85</v>
      </c>
      <c r="D69" s="214">
        <v>0</v>
      </c>
      <c r="E69" s="214">
        <v>1316</v>
      </c>
      <c r="F69" s="214">
        <v>316</v>
      </c>
      <c r="G69" s="214">
        <v>216</v>
      </c>
      <c r="H69" s="214">
        <v>316</v>
      </c>
      <c r="I69" s="214">
        <v>22776</v>
      </c>
      <c r="J69" s="214">
        <v>1316</v>
      </c>
      <c r="K69" s="214">
        <v>316</v>
      </c>
      <c r="L69" s="214">
        <v>316</v>
      </c>
      <c r="M69" s="214">
        <v>316</v>
      </c>
      <c r="N69" s="214">
        <v>216</v>
      </c>
      <c r="O69" s="214">
        <v>316</v>
      </c>
      <c r="P69" s="214">
        <v>316</v>
      </c>
      <c r="Q69" s="214">
        <v>316</v>
      </c>
      <c r="R69" s="214">
        <v>216</v>
      </c>
      <c r="S69" s="214">
        <v>216</v>
      </c>
      <c r="T69" s="214">
        <v>0</v>
      </c>
      <c r="U69" s="214">
        <v>316</v>
      </c>
      <c r="V69" s="214">
        <v>2316</v>
      </c>
      <c r="W69" s="214">
        <v>316</v>
      </c>
      <c r="X69" s="214">
        <v>776</v>
      </c>
      <c r="Y69" s="214">
        <v>316</v>
      </c>
      <c r="Z69" s="214">
        <v>316</v>
      </c>
      <c r="AA69" s="214">
        <v>316</v>
      </c>
      <c r="AB69" s="214">
        <v>316</v>
      </c>
      <c r="AC69" s="214">
        <v>316</v>
      </c>
      <c r="AD69" s="214"/>
      <c r="AE69" s="420">
        <v>0</v>
      </c>
      <c r="AF69" s="420">
        <v>0</v>
      </c>
      <c r="AG69" s="420">
        <v>0</v>
      </c>
      <c r="AH69" s="420"/>
      <c r="AI69" s="574">
        <f t="shared" si="0"/>
        <v>34104</v>
      </c>
      <c r="AJ69" s="212"/>
    </row>
    <row r="70" spans="2:36" ht="14.4">
      <c r="B70" s="211"/>
      <c r="C70" s="213" t="s">
        <v>86</v>
      </c>
      <c r="D70" s="214">
        <v>0</v>
      </c>
      <c r="E70" s="214">
        <v>0</v>
      </c>
      <c r="F70" s="214">
        <v>0</v>
      </c>
      <c r="G70" s="214">
        <v>0</v>
      </c>
      <c r="H70" s="214">
        <v>0</v>
      </c>
      <c r="I70" s="214">
        <v>0</v>
      </c>
      <c r="J70" s="214">
        <v>0</v>
      </c>
      <c r="K70" s="214">
        <v>0</v>
      </c>
      <c r="L70" s="214">
        <v>0</v>
      </c>
      <c r="M70" s="214">
        <v>0</v>
      </c>
      <c r="N70" s="214">
        <v>0</v>
      </c>
      <c r="O70" s="214">
        <v>0</v>
      </c>
      <c r="P70" s="214">
        <v>0</v>
      </c>
      <c r="Q70" s="214">
        <v>0</v>
      </c>
      <c r="R70" s="214">
        <v>0</v>
      </c>
      <c r="S70" s="214">
        <v>0</v>
      </c>
      <c r="T70" s="214">
        <v>0</v>
      </c>
      <c r="U70" s="214">
        <v>0</v>
      </c>
      <c r="V70" s="214">
        <v>0</v>
      </c>
      <c r="W70" s="214">
        <v>0</v>
      </c>
      <c r="X70" s="214">
        <v>0</v>
      </c>
      <c r="Y70" s="214">
        <v>0</v>
      </c>
      <c r="Z70" s="214">
        <v>0</v>
      </c>
      <c r="AA70" s="214">
        <v>0</v>
      </c>
      <c r="AB70" s="214">
        <v>0</v>
      </c>
      <c r="AC70" s="214">
        <v>0</v>
      </c>
      <c r="AD70" s="214"/>
      <c r="AE70" s="420">
        <v>0</v>
      </c>
      <c r="AF70" s="420">
        <v>0</v>
      </c>
      <c r="AG70" s="420">
        <v>0</v>
      </c>
      <c r="AH70" s="420"/>
      <c r="AI70" s="574">
        <f t="shared" si="0"/>
        <v>0</v>
      </c>
      <c r="AJ70" s="212"/>
    </row>
    <row r="71" spans="2:36" ht="14.4">
      <c r="B71" s="211"/>
      <c r="C71" s="213" t="s">
        <v>87</v>
      </c>
      <c r="D71" s="214">
        <v>0</v>
      </c>
      <c r="E71" s="214">
        <v>0</v>
      </c>
      <c r="F71" s="214">
        <v>0</v>
      </c>
      <c r="G71" s="214">
        <v>0</v>
      </c>
      <c r="H71" s="214">
        <v>0</v>
      </c>
      <c r="I71" s="214">
        <v>0</v>
      </c>
      <c r="J71" s="214">
        <v>0</v>
      </c>
      <c r="K71" s="214">
        <v>0</v>
      </c>
      <c r="L71" s="214">
        <v>0</v>
      </c>
      <c r="M71" s="214">
        <v>0</v>
      </c>
      <c r="N71" s="214">
        <v>0</v>
      </c>
      <c r="O71" s="214">
        <v>0</v>
      </c>
      <c r="P71" s="214">
        <v>0</v>
      </c>
      <c r="Q71" s="214">
        <v>0</v>
      </c>
      <c r="R71" s="214">
        <v>0</v>
      </c>
      <c r="S71" s="214">
        <v>0</v>
      </c>
      <c r="T71" s="214">
        <v>0</v>
      </c>
      <c r="U71" s="214">
        <v>0</v>
      </c>
      <c r="V71" s="214">
        <v>0</v>
      </c>
      <c r="W71" s="214">
        <v>0</v>
      </c>
      <c r="X71" s="214">
        <v>0</v>
      </c>
      <c r="Y71" s="214">
        <v>0</v>
      </c>
      <c r="Z71" s="214">
        <v>0</v>
      </c>
      <c r="AA71" s="214">
        <v>0</v>
      </c>
      <c r="AB71" s="214">
        <v>0</v>
      </c>
      <c r="AC71" s="214">
        <v>0</v>
      </c>
      <c r="AD71" s="214"/>
      <c r="AE71" s="420">
        <v>0</v>
      </c>
      <c r="AF71" s="420">
        <v>0</v>
      </c>
      <c r="AG71" s="420">
        <v>0</v>
      </c>
      <c r="AH71" s="420"/>
      <c r="AI71" s="574">
        <f t="shared" si="0"/>
        <v>0</v>
      </c>
      <c r="AJ71" s="212"/>
    </row>
    <row r="72" spans="2:36" ht="14.4">
      <c r="B72" s="211"/>
      <c r="C72" s="213" t="s">
        <v>88</v>
      </c>
      <c r="D72" s="214">
        <v>0</v>
      </c>
      <c r="E72" s="214">
        <v>0</v>
      </c>
      <c r="F72" s="214">
        <v>0</v>
      </c>
      <c r="G72" s="214">
        <v>0</v>
      </c>
      <c r="H72" s="214">
        <v>0</v>
      </c>
      <c r="I72" s="214">
        <v>0</v>
      </c>
      <c r="J72" s="214">
        <v>0</v>
      </c>
      <c r="K72" s="214">
        <v>0</v>
      </c>
      <c r="L72" s="214">
        <v>0</v>
      </c>
      <c r="M72" s="214">
        <v>0</v>
      </c>
      <c r="N72" s="214">
        <v>0</v>
      </c>
      <c r="O72" s="214">
        <v>0</v>
      </c>
      <c r="P72" s="214">
        <v>0</v>
      </c>
      <c r="Q72" s="214">
        <v>0</v>
      </c>
      <c r="R72" s="214">
        <v>0</v>
      </c>
      <c r="S72" s="214">
        <v>0</v>
      </c>
      <c r="T72" s="214">
        <v>0</v>
      </c>
      <c r="U72" s="214">
        <v>0</v>
      </c>
      <c r="V72" s="214">
        <v>0</v>
      </c>
      <c r="W72" s="214">
        <v>0</v>
      </c>
      <c r="X72" s="214">
        <v>0</v>
      </c>
      <c r="Y72" s="214">
        <v>0</v>
      </c>
      <c r="Z72" s="214">
        <v>0</v>
      </c>
      <c r="AA72" s="214">
        <v>0</v>
      </c>
      <c r="AB72" s="214">
        <v>0</v>
      </c>
      <c r="AC72" s="214">
        <v>0</v>
      </c>
      <c r="AD72" s="214"/>
      <c r="AE72" s="420">
        <v>0</v>
      </c>
      <c r="AF72" s="420">
        <v>0</v>
      </c>
      <c r="AG72" s="420">
        <v>0</v>
      </c>
      <c r="AH72" s="420"/>
      <c r="AI72" s="574">
        <f t="shared" si="0"/>
        <v>0</v>
      </c>
      <c r="AJ72" s="212"/>
    </row>
    <row r="73" spans="2:36" ht="14.4">
      <c r="B73" s="211"/>
      <c r="C73" s="213" t="s">
        <v>89</v>
      </c>
      <c r="D73" s="214">
        <v>65883</v>
      </c>
      <c r="E73" s="214">
        <v>0</v>
      </c>
      <c r="F73" s="214">
        <v>0</v>
      </c>
      <c r="G73" s="214">
        <v>0</v>
      </c>
      <c r="H73" s="214">
        <v>0</v>
      </c>
      <c r="I73" s="214">
        <v>0</v>
      </c>
      <c r="J73" s="214">
        <v>0</v>
      </c>
      <c r="K73" s="214">
        <v>0</v>
      </c>
      <c r="L73" s="214">
        <v>0</v>
      </c>
      <c r="M73" s="214">
        <v>0</v>
      </c>
      <c r="N73" s="214">
        <v>0</v>
      </c>
      <c r="O73" s="214">
        <v>0</v>
      </c>
      <c r="P73" s="214">
        <v>0</v>
      </c>
      <c r="Q73" s="214">
        <v>0</v>
      </c>
      <c r="R73" s="214">
        <v>0</v>
      </c>
      <c r="S73" s="214">
        <v>0</v>
      </c>
      <c r="T73" s="214">
        <v>0</v>
      </c>
      <c r="U73" s="214">
        <v>0</v>
      </c>
      <c r="V73" s="214">
        <v>0</v>
      </c>
      <c r="W73" s="214">
        <v>0</v>
      </c>
      <c r="X73" s="214">
        <v>0</v>
      </c>
      <c r="Y73" s="214">
        <v>0</v>
      </c>
      <c r="Z73" s="214">
        <v>0</v>
      </c>
      <c r="AA73" s="214">
        <v>0</v>
      </c>
      <c r="AB73" s="214">
        <v>0</v>
      </c>
      <c r="AC73" s="214">
        <v>0</v>
      </c>
      <c r="AD73" s="214"/>
      <c r="AE73" s="420">
        <v>0</v>
      </c>
      <c r="AF73" s="420">
        <v>0</v>
      </c>
      <c r="AG73" s="420">
        <v>0</v>
      </c>
      <c r="AH73" s="420"/>
      <c r="AI73" s="574">
        <f t="shared" si="0"/>
        <v>65883</v>
      </c>
      <c r="AJ73" s="212"/>
    </row>
    <row r="74" spans="2:36" ht="14.4">
      <c r="B74" s="211"/>
      <c r="C74" s="213" t="s">
        <v>33</v>
      </c>
      <c r="D74" s="214">
        <v>2735</v>
      </c>
      <c r="E74" s="214">
        <v>313.56</v>
      </c>
      <c r="F74" s="214">
        <v>1735</v>
      </c>
      <c r="G74" s="214">
        <v>1735</v>
      </c>
      <c r="H74" s="214">
        <v>1735</v>
      </c>
      <c r="I74" s="214">
        <v>1735</v>
      </c>
      <c r="J74" s="214">
        <v>0</v>
      </c>
      <c r="K74" s="214">
        <v>0</v>
      </c>
      <c r="L74" s="214">
        <v>0</v>
      </c>
      <c r="M74" s="214">
        <v>0</v>
      </c>
      <c r="N74" s="214">
        <v>0</v>
      </c>
      <c r="O74" s="214">
        <v>1735</v>
      </c>
      <c r="P74" s="214">
        <v>1735</v>
      </c>
      <c r="Q74" s="214">
        <v>23.96</v>
      </c>
      <c r="R74" s="214">
        <v>0</v>
      </c>
      <c r="S74" s="214">
        <v>0</v>
      </c>
      <c r="T74" s="214">
        <v>0</v>
      </c>
      <c r="U74" s="214">
        <v>0</v>
      </c>
      <c r="V74" s="214">
        <v>0</v>
      </c>
      <c r="W74" s="214">
        <v>0</v>
      </c>
      <c r="X74" s="214">
        <v>0</v>
      </c>
      <c r="Y74" s="214">
        <v>0</v>
      </c>
      <c r="Z74" s="214">
        <v>0</v>
      </c>
      <c r="AA74" s="214">
        <v>0</v>
      </c>
      <c r="AB74" s="214">
        <v>0</v>
      </c>
      <c r="AC74" s="214">
        <v>0</v>
      </c>
      <c r="AD74" s="214"/>
      <c r="AE74" s="420">
        <v>0</v>
      </c>
      <c r="AF74" s="420">
        <v>0</v>
      </c>
      <c r="AG74" s="420">
        <v>2500</v>
      </c>
      <c r="AH74" s="420"/>
      <c r="AI74" s="574">
        <f t="shared" si="0"/>
        <v>15982.519999999999</v>
      </c>
      <c r="AJ74" s="212"/>
    </row>
    <row r="75" spans="2:36" ht="14.4">
      <c r="B75" s="211"/>
      <c r="C75" s="213" t="s">
        <v>90</v>
      </c>
      <c r="D75" s="214">
        <v>0</v>
      </c>
      <c r="E75" s="214">
        <v>0</v>
      </c>
      <c r="F75" s="214">
        <v>0</v>
      </c>
      <c r="G75" s="214">
        <v>0</v>
      </c>
      <c r="H75" s="214">
        <v>0</v>
      </c>
      <c r="I75" s="214">
        <v>0</v>
      </c>
      <c r="J75" s="214">
        <v>0</v>
      </c>
      <c r="K75" s="214">
        <v>0</v>
      </c>
      <c r="L75" s="214">
        <v>0</v>
      </c>
      <c r="M75" s="214">
        <v>0</v>
      </c>
      <c r="N75" s="214">
        <v>0</v>
      </c>
      <c r="O75" s="214">
        <v>0</v>
      </c>
      <c r="P75" s="214">
        <v>0</v>
      </c>
      <c r="Q75" s="214">
        <v>0</v>
      </c>
      <c r="R75" s="214">
        <v>0</v>
      </c>
      <c r="S75" s="214">
        <v>0</v>
      </c>
      <c r="T75" s="214">
        <v>0</v>
      </c>
      <c r="U75" s="214">
        <v>0</v>
      </c>
      <c r="V75" s="214">
        <v>0</v>
      </c>
      <c r="W75" s="214">
        <v>0</v>
      </c>
      <c r="X75" s="214">
        <v>0</v>
      </c>
      <c r="Y75" s="214">
        <v>0</v>
      </c>
      <c r="Z75" s="214">
        <v>0</v>
      </c>
      <c r="AA75" s="214">
        <v>0</v>
      </c>
      <c r="AB75" s="214">
        <v>0</v>
      </c>
      <c r="AC75" s="214">
        <v>0</v>
      </c>
      <c r="AD75" s="214"/>
      <c r="AE75" s="420">
        <v>0</v>
      </c>
      <c r="AF75" s="420">
        <v>0</v>
      </c>
      <c r="AG75" s="420">
        <v>0</v>
      </c>
      <c r="AH75" s="420"/>
      <c r="AI75" s="574">
        <f t="shared" ref="AI75:AI122" si="1">SUM(D75:AH75)</f>
        <v>0</v>
      </c>
      <c r="AJ75" s="212"/>
    </row>
    <row r="76" spans="2:36" ht="14.4">
      <c r="B76" s="211"/>
      <c r="C76" s="213" t="s">
        <v>91</v>
      </c>
      <c r="D76" s="214">
        <v>0</v>
      </c>
      <c r="E76" s="214">
        <v>0</v>
      </c>
      <c r="F76" s="214">
        <v>0</v>
      </c>
      <c r="G76" s="214">
        <v>650</v>
      </c>
      <c r="H76" s="214">
        <v>0</v>
      </c>
      <c r="I76" s="214">
        <v>0</v>
      </c>
      <c r="J76" s="214">
        <v>0</v>
      </c>
      <c r="K76" s="214">
        <v>0</v>
      </c>
      <c r="L76" s="214">
        <v>0</v>
      </c>
      <c r="M76" s="214">
        <v>0</v>
      </c>
      <c r="N76" s="214">
        <v>0</v>
      </c>
      <c r="O76" s="214">
        <v>0</v>
      </c>
      <c r="P76" s="214">
        <v>0</v>
      </c>
      <c r="Q76" s="214">
        <v>0</v>
      </c>
      <c r="R76" s="214">
        <v>0</v>
      </c>
      <c r="S76" s="214">
        <v>0</v>
      </c>
      <c r="T76" s="214">
        <v>0</v>
      </c>
      <c r="U76" s="214">
        <v>0</v>
      </c>
      <c r="V76" s="214">
        <v>0</v>
      </c>
      <c r="W76" s="214">
        <v>0</v>
      </c>
      <c r="X76" s="214">
        <v>0</v>
      </c>
      <c r="Y76" s="214">
        <v>0</v>
      </c>
      <c r="Z76" s="214">
        <v>0</v>
      </c>
      <c r="AA76" s="214">
        <v>0</v>
      </c>
      <c r="AB76" s="214">
        <v>0</v>
      </c>
      <c r="AC76" s="214">
        <v>0</v>
      </c>
      <c r="AD76" s="214"/>
      <c r="AE76" s="420">
        <v>0</v>
      </c>
      <c r="AF76" s="420">
        <v>0</v>
      </c>
      <c r="AG76" s="420">
        <v>0</v>
      </c>
      <c r="AH76" s="420"/>
      <c r="AI76" s="574">
        <f t="shared" si="1"/>
        <v>650</v>
      </c>
      <c r="AJ76" s="212"/>
    </row>
    <row r="77" spans="2:36" ht="14.4">
      <c r="B77" s="211"/>
      <c r="C77" s="213" t="s">
        <v>92</v>
      </c>
      <c r="D77" s="214">
        <v>0</v>
      </c>
      <c r="E77" s="214">
        <v>0</v>
      </c>
      <c r="F77" s="214">
        <v>0</v>
      </c>
      <c r="G77" s="214">
        <v>0</v>
      </c>
      <c r="H77" s="214">
        <v>0</v>
      </c>
      <c r="I77" s="214">
        <v>0</v>
      </c>
      <c r="J77" s="214">
        <v>0</v>
      </c>
      <c r="K77" s="214">
        <v>0</v>
      </c>
      <c r="L77" s="214">
        <v>0</v>
      </c>
      <c r="M77" s="214">
        <v>0</v>
      </c>
      <c r="N77" s="214">
        <v>0</v>
      </c>
      <c r="O77" s="214">
        <v>0</v>
      </c>
      <c r="P77" s="214">
        <v>0</v>
      </c>
      <c r="Q77" s="214">
        <v>0</v>
      </c>
      <c r="R77" s="214">
        <v>0</v>
      </c>
      <c r="S77" s="214">
        <v>0</v>
      </c>
      <c r="T77" s="214">
        <v>0</v>
      </c>
      <c r="U77" s="214">
        <v>0</v>
      </c>
      <c r="V77" s="214">
        <v>0</v>
      </c>
      <c r="W77" s="214">
        <v>0</v>
      </c>
      <c r="X77" s="214">
        <v>0</v>
      </c>
      <c r="Y77" s="214">
        <v>0</v>
      </c>
      <c r="Z77" s="214">
        <v>0</v>
      </c>
      <c r="AA77" s="214">
        <v>0</v>
      </c>
      <c r="AB77" s="214">
        <v>0</v>
      </c>
      <c r="AC77" s="214">
        <v>0</v>
      </c>
      <c r="AD77" s="214"/>
      <c r="AE77" s="420">
        <v>0</v>
      </c>
      <c r="AF77" s="420">
        <v>0</v>
      </c>
      <c r="AG77" s="420">
        <v>0</v>
      </c>
      <c r="AH77" s="420"/>
      <c r="AI77" s="574">
        <f t="shared" si="1"/>
        <v>0</v>
      </c>
      <c r="AJ77" s="212"/>
    </row>
    <row r="78" spans="2:36" ht="14.4">
      <c r="B78" s="211"/>
      <c r="C78" s="213" t="s">
        <v>93</v>
      </c>
      <c r="D78" s="214">
        <v>0</v>
      </c>
      <c r="E78" s="214">
        <v>0</v>
      </c>
      <c r="F78" s="214">
        <v>0</v>
      </c>
      <c r="G78" s="214">
        <v>0</v>
      </c>
      <c r="H78" s="214">
        <v>0</v>
      </c>
      <c r="I78" s="214">
        <v>0</v>
      </c>
      <c r="J78" s="214">
        <v>0</v>
      </c>
      <c r="K78" s="214">
        <v>0</v>
      </c>
      <c r="L78" s="214">
        <v>0</v>
      </c>
      <c r="M78" s="214">
        <v>0</v>
      </c>
      <c r="N78" s="214">
        <v>0</v>
      </c>
      <c r="O78" s="214">
        <v>0</v>
      </c>
      <c r="P78" s="214">
        <v>0</v>
      </c>
      <c r="Q78" s="214">
        <v>0</v>
      </c>
      <c r="R78" s="214">
        <v>0</v>
      </c>
      <c r="S78" s="214">
        <v>0</v>
      </c>
      <c r="T78" s="214">
        <v>0</v>
      </c>
      <c r="U78" s="214">
        <v>0</v>
      </c>
      <c r="V78" s="214">
        <v>0</v>
      </c>
      <c r="W78" s="214">
        <v>0</v>
      </c>
      <c r="X78" s="214">
        <v>0</v>
      </c>
      <c r="Y78" s="214">
        <v>0</v>
      </c>
      <c r="Z78" s="214">
        <v>0</v>
      </c>
      <c r="AA78" s="214">
        <v>0</v>
      </c>
      <c r="AB78" s="214">
        <v>0</v>
      </c>
      <c r="AC78" s="214">
        <v>0</v>
      </c>
      <c r="AD78" s="214"/>
      <c r="AE78" s="420">
        <v>0</v>
      </c>
      <c r="AF78" s="420">
        <v>0</v>
      </c>
      <c r="AG78" s="420">
        <v>0</v>
      </c>
      <c r="AH78" s="420"/>
      <c r="AI78" s="574">
        <f t="shared" si="1"/>
        <v>0</v>
      </c>
      <c r="AJ78" s="212"/>
    </row>
    <row r="79" spans="2:36" ht="14.4">
      <c r="B79" s="211"/>
      <c r="C79" s="213" t="s">
        <v>94</v>
      </c>
      <c r="D79" s="214">
        <v>232905</v>
      </c>
      <c r="E79" s="214">
        <v>78615</v>
      </c>
      <c r="F79" s="214">
        <v>41675</v>
      </c>
      <c r="G79" s="214">
        <v>42000</v>
      </c>
      <c r="H79" s="214">
        <v>2500</v>
      </c>
      <c r="I79" s="214">
        <v>350</v>
      </c>
      <c r="J79" s="214">
        <v>0</v>
      </c>
      <c r="K79" s="214">
        <v>0</v>
      </c>
      <c r="L79" s="214">
        <v>0</v>
      </c>
      <c r="M79" s="214">
        <v>2000</v>
      </c>
      <c r="N79" s="214">
        <v>0</v>
      </c>
      <c r="O79" s="214">
        <v>255</v>
      </c>
      <c r="P79" s="214">
        <v>3000</v>
      </c>
      <c r="Q79" s="214">
        <v>4000</v>
      </c>
      <c r="R79" s="214">
        <v>2200</v>
      </c>
      <c r="S79" s="214">
        <v>39950</v>
      </c>
      <c r="T79" s="214">
        <v>0</v>
      </c>
      <c r="U79" s="214">
        <v>0</v>
      </c>
      <c r="V79" s="214">
        <v>0</v>
      </c>
      <c r="W79" s="214">
        <v>0</v>
      </c>
      <c r="X79" s="214">
        <v>450</v>
      </c>
      <c r="Y79" s="214">
        <v>0</v>
      </c>
      <c r="Z79" s="214">
        <v>0</v>
      </c>
      <c r="AA79" s="214">
        <v>0</v>
      </c>
      <c r="AB79" s="214">
        <v>0</v>
      </c>
      <c r="AC79" s="214">
        <v>0</v>
      </c>
      <c r="AD79" s="214"/>
      <c r="AE79" s="420">
        <v>0</v>
      </c>
      <c r="AF79" s="420">
        <v>0</v>
      </c>
      <c r="AG79" s="420">
        <v>700</v>
      </c>
      <c r="AH79" s="420"/>
      <c r="AI79" s="574">
        <f t="shared" si="1"/>
        <v>450600</v>
      </c>
      <c r="AJ79" s="212"/>
    </row>
    <row r="80" spans="2:36" ht="14.4">
      <c r="B80" s="211"/>
      <c r="C80" s="213" t="s">
        <v>95</v>
      </c>
      <c r="D80" s="214">
        <v>9500</v>
      </c>
      <c r="E80" s="214">
        <v>0</v>
      </c>
      <c r="F80" s="214">
        <v>0</v>
      </c>
      <c r="G80" s="214">
        <v>59.49</v>
      </c>
      <c r="H80" s="214">
        <v>0</v>
      </c>
      <c r="I80" s="214">
        <v>0</v>
      </c>
      <c r="J80" s="214">
        <v>0</v>
      </c>
      <c r="K80" s="214">
        <v>0</v>
      </c>
      <c r="L80" s="214">
        <v>0</v>
      </c>
      <c r="M80" s="214">
        <v>0</v>
      </c>
      <c r="N80" s="214">
        <v>0</v>
      </c>
      <c r="O80" s="214">
        <v>15100</v>
      </c>
      <c r="P80" s="214">
        <v>0</v>
      </c>
      <c r="Q80" s="214">
        <v>0</v>
      </c>
      <c r="R80" s="214">
        <v>0</v>
      </c>
      <c r="S80" s="214">
        <v>0</v>
      </c>
      <c r="T80" s="214">
        <v>0</v>
      </c>
      <c r="U80" s="214">
        <v>0</v>
      </c>
      <c r="V80" s="214">
        <v>0</v>
      </c>
      <c r="W80" s="214">
        <v>0</v>
      </c>
      <c r="X80" s="214">
        <v>0</v>
      </c>
      <c r="Y80" s="214">
        <v>0</v>
      </c>
      <c r="Z80" s="214">
        <v>0</v>
      </c>
      <c r="AA80" s="214">
        <v>0</v>
      </c>
      <c r="AB80" s="214">
        <v>0</v>
      </c>
      <c r="AC80" s="214">
        <v>0</v>
      </c>
      <c r="AD80" s="214"/>
      <c r="AE80" s="420">
        <v>12100</v>
      </c>
      <c r="AF80" s="420">
        <v>0</v>
      </c>
      <c r="AG80" s="420">
        <v>0</v>
      </c>
      <c r="AH80" s="420"/>
      <c r="AI80" s="574">
        <f t="shared" si="1"/>
        <v>36759.49</v>
      </c>
      <c r="AJ80" s="212"/>
    </row>
    <row r="81" spans="2:36" ht="14.4">
      <c r="B81" s="211"/>
      <c r="C81" s="213" t="s">
        <v>96</v>
      </c>
      <c r="D81" s="214">
        <v>0</v>
      </c>
      <c r="E81" s="214">
        <v>0</v>
      </c>
      <c r="F81" s="214">
        <v>0</v>
      </c>
      <c r="G81" s="214">
        <v>0</v>
      </c>
      <c r="H81" s="214">
        <v>0</v>
      </c>
      <c r="I81" s="214">
        <v>0</v>
      </c>
      <c r="J81" s="214">
        <v>0</v>
      </c>
      <c r="K81" s="214">
        <v>0</v>
      </c>
      <c r="L81" s="214">
        <v>0</v>
      </c>
      <c r="M81" s="214">
        <v>0</v>
      </c>
      <c r="N81" s="214">
        <v>0</v>
      </c>
      <c r="O81" s="214">
        <v>0</v>
      </c>
      <c r="P81" s="214">
        <v>0</v>
      </c>
      <c r="Q81" s="214">
        <v>0</v>
      </c>
      <c r="R81" s="214">
        <v>0</v>
      </c>
      <c r="S81" s="214">
        <v>0</v>
      </c>
      <c r="T81" s="214">
        <v>0</v>
      </c>
      <c r="U81" s="214">
        <v>0</v>
      </c>
      <c r="V81" s="214">
        <v>0</v>
      </c>
      <c r="W81" s="214">
        <v>0</v>
      </c>
      <c r="X81" s="214">
        <v>0</v>
      </c>
      <c r="Y81" s="214">
        <v>0</v>
      </c>
      <c r="Z81" s="214">
        <v>0</v>
      </c>
      <c r="AA81" s="214">
        <v>0</v>
      </c>
      <c r="AB81" s="214">
        <v>0</v>
      </c>
      <c r="AC81" s="214">
        <v>0</v>
      </c>
      <c r="AD81" s="214"/>
      <c r="AE81" s="420">
        <v>0</v>
      </c>
      <c r="AF81" s="420">
        <v>0</v>
      </c>
      <c r="AG81" s="420">
        <v>0</v>
      </c>
      <c r="AH81" s="420"/>
      <c r="AI81" s="574">
        <f t="shared" si="1"/>
        <v>0</v>
      </c>
      <c r="AJ81" s="212"/>
    </row>
    <row r="82" spans="2:36" ht="14.4">
      <c r="B82" s="211"/>
      <c r="C82" s="213" t="s">
        <v>97</v>
      </c>
      <c r="D82" s="214">
        <v>4137.2</v>
      </c>
      <c r="E82" s="214">
        <v>0</v>
      </c>
      <c r="F82" s="214">
        <v>2348.4</v>
      </c>
      <c r="G82" s="214">
        <v>1174.2</v>
      </c>
      <c r="H82" s="214">
        <v>719.31</v>
      </c>
      <c r="I82" s="214">
        <v>296.31</v>
      </c>
      <c r="J82" s="214">
        <v>440</v>
      </c>
      <c r="K82" s="214">
        <v>296.31</v>
      </c>
      <c r="L82" s="214">
        <v>0</v>
      </c>
      <c r="M82" s="214">
        <v>296.31</v>
      </c>
      <c r="N82" s="214">
        <v>296.31</v>
      </c>
      <c r="O82" s="214">
        <v>1390.8</v>
      </c>
      <c r="P82" s="214">
        <v>423</v>
      </c>
      <c r="Q82" s="214">
        <v>296.31</v>
      </c>
      <c r="R82" s="214">
        <v>296.31</v>
      </c>
      <c r="S82" s="214">
        <v>719.31</v>
      </c>
      <c r="T82" s="214">
        <v>0</v>
      </c>
      <c r="U82" s="214">
        <v>296.31</v>
      </c>
      <c r="V82" s="214">
        <v>360</v>
      </c>
      <c r="W82" s="214">
        <v>885</v>
      </c>
      <c r="X82" s="214">
        <v>296.31</v>
      </c>
      <c r="Y82" s="214">
        <v>296.31</v>
      </c>
      <c r="Z82" s="214">
        <v>722</v>
      </c>
      <c r="AA82" s="214">
        <v>296.31</v>
      </c>
      <c r="AB82" s="214">
        <v>0</v>
      </c>
      <c r="AC82" s="214">
        <v>0</v>
      </c>
      <c r="AD82" s="214"/>
      <c r="AE82" s="420">
        <v>397</v>
      </c>
      <c r="AF82" s="420">
        <v>0</v>
      </c>
      <c r="AG82" s="420">
        <v>0</v>
      </c>
      <c r="AH82" s="420"/>
      <c r="AI82" s="574">
        <f t="shared" si="1"/>
        <v>16679.319999999992</v>
      </c>
      <c r="AJ82" s="212"/>
    </row>
    <row r="83" spans="2:36" ht="14.4">
      <c r="B83" s="211"/>
      <c r="C83" s="213" t="s">
        <v>192</v>
      </c>
      <c r="D83" s="214">
        <v>6500</v>
      </c>
      <c r="E83" s="214">
        <v>0</v>
      </c>
      <c r="F83" s="214">
        <v>0</v>
      </c>
      <c r="G83" s="214">
        <v>0</v>
      </c>
      <c r="H83" s="214">
        <v>0</v>
      </c>
      <c r="I83" s="214">
        <v>0</v>
      </c>
      <c r="J83" s="214">
        <v>0</v>
      </c>
      <c r="K83" s="214">
        <v>0</v>
      </c>
      <c r="L83" s="214">
        <v>0</v>
      </c>
      <c r="M83" s="214">
        <v>0</v>
      </c>
      <c r="N83" s="214">
        <v>0</v>
      </c>
      <c r="O83" s="214">
        <v>0</v>
      </c>
      <c r="P83" s="214">
        <v>0</v>
      </c>
      <c r="Q83" s="214">
        <v>0</v>
      </c>
      <c r="R83" s="214">
        <v>0</v>
      </c>
      <c r="S83" s="214">
        <v>0</v>
      </c>
      <c r="T83" s="214">
        <v>0</v>
      </c>
      <c r="U83" s="214">
        <v>0</v>
      </c>
      <c r="V83" s="214">
        <v>0</v>
      </c>
      <c r="W83" s="214">
        <v>0</v>
      </c>
      <c r="X83" s="214">
        <v>0</v>
      </c>
      <c r="Y83" s="214">
        <v>0</v>
      </c>
      <c r="Z83" s="214">
        <v>0</v>
      </c>
      <c r="AA83" s="214">
        <v>0</v>
      </c>
      <c r="AB83" s="214">
        <v>0</v>
      </c>
      <c r="AC83" s="214">
        <v>0</v>
      </c>
      <c r="AD83" s="214"/>
      <c r="AE83" s="420">
        <v>0</v>
      </c>
      <c r="AF83" s="420">
        <v>0</v>
      </c>
      <c r="AG83" s="420">
        <v>0</v>
      </c>
      <c r="AH83" s="420"/>
      <c r="AI83" s="574">
        <f t="shared" si="1"/>
        <v>6500</v>
      </c>
      <c r="AJ83" s="212"/>
    </row>
    <row r="84" spans="2:36" ht="14.4">
      <c r="B84" s="211"/>
      <c r="C84" s="213" t="s">
        <v>98</v>
      </c>
      <c r="D84" s="214">
        <v>0</v>
      </c>
      <c r="E84" s="214">
        <v>0</v>
      </c>
      <c r="F84" s="214">
        <v>0</v>
      </c>
      <c r="G84" s="214">
        <v>0</v>
      </c>
      <c r="H84" s="214">
        <v>0</v>
      </c>
      <c r="I84" s="214">
        <v>0</v>
      </c>
      <c r="J84" s="214">
        <v>0</v>
      </c>
      <c r="K84" s="214">
        <v>0</v>
      </c>
      <c r="L84" s="214">
        <v>0</v>
      </c>
      <c r="M84" s="214">
        <v>0</v>
      </c>
      <c r="N84" s="214">
        <v>0</v>
      </c>
      <c r="O84" s="214">
        <v>0</v>
      </c>
      <c r="P84" s="214">
        <v>0</v>
      </c>
      <c r="Q84" s="214">
        <v>0</v>
      </c>
      <c r="R84" s="214">
        <v>0</v>
      </c>
      <c r="S84" s="214">
        <v>0</v>
      </c>
      <c r="T84" s="214">
        <v>0</v>
      </c>
      <c r="U84" s="214">
        <v>0</v>
      </c>
      <c r="V84" s="214">
        <v>0</v>
      </c>
      <c r="W84" s="214">
        <v>0</v>
      </c>
      <c r="X84" s="214">
        <v>0</v>
      </c>
      <c r="Y84" s="214">
        <v>0</v>
      </c>
      <c r="Z84" s="214">
        <v>0</v>
      </c>
      <c r="AA84" s="214">
        <v>0</v>
      </c>
      <c r="AB84" s="214">
        <v>0</v>
      </c>
      <c r="AC84" s="214">
        <v>0</v>
      </c>
      <c r="AD84" s="214"/>
      <c r="AE84" s="420">
        <v>0</v>
      </c>
      <c r="AF84" s="420">
        <v>0</v>
      </c>
      <c r="AG84" s="420">
        <v>0</v>
      </c>
      <c r="AH84" s="420"/>
      <c r="AI84" s="574">
        <f t="shared" si="1"/>
        <v>0</v>
      </c>
      <c r="AJ84" s="212"/>
    </row>
    <row r="85" spans="2:36" ht="14.4">
      <c r="B85" s="211"/>
      <c r="C85" s="213" t="s">
        <v>99</v>
      </c>
      <c r="D85" s="214">
        <v>6433.05</v>
      </c>
      <c r="E85" s="214"/>
      <c r="F85" s="214">
        <v>0</v>
      </c>
      <c r="G85" s="214">
        <v>0</v>
      </c>
      <c r="H85" s="214">
        <v>0</v>
      </c>
      <c r="I85" s="214">
        <v>0</v>
      </c>
      <c r="J85" s="214">
        <v>0</v>
      </c>
      <c r="K85" s="214">
        <v>0</v>
      </c>
      <c r="L85" s="214">
        <v>0</v>
      </c>
      <c r="M85" s="214">
        <v>0</v>
      </c>
      <c r="N85" s="214">
        <v>0</v>
      </c>
      <c r="O85" s="214">
        <v>0</v>
      </c>
      <c r="P85" s="214">
        <v>0</v>
      </c>
      <c r="Q85" s="214">
        <v>0</v>
      </c>
      <c r="R85" s="214">
        <v>0</v>
      </c>
      <c r="S85" s="214">
        <v>0</v>
      </c>
      <c r="T85" s="214">
        <v>0</v>
      </c>
      <c r="U85" s="214">
        <v>0</v>
      </c>
      <c r="V85" s="214">
        <v>0</v>
      </c>
      <c r="W85" s="214">
        <v>0</v>
      </c>
      <c r="X85" s="214">
        <v>0</v>
      </c>
      <c r="Y85" s="214">
        <v>0</v>
      </c>
      <c r="Z85" s="214">
        <v>0</v>
      </c>
      <c r="AA85" s="214">
        <v>0</v>
      </c>
      <c r="AB85" s="214">
        <v>0</v>
      </c>
      <c r="AC85" s="214">
        <v>0</v>
      </c>
      <c r="AD85" s="214"/>
      <c r="AE85" s="420">
        <v>0</v>
      </c>
      <c r="AF85" s="420">
        <v>0</v>
      </c>
      <c r="AG85" s="420">
        <v>0</v>
      </c>
      <c r="AH85" s="420"/>
      <c r="AI85" s="574">
        <f t="shared" si="1"/>
        <v>6433.05</v>
      </c>
      <c r="AJ85" s="212"/>
    </row>
    <row r="86" spans="2:36" ht="14.4">
      <c r="B86" s="211"/>
      <c r="C86" s="213" t="s">
        <v>100</v>
      </c>
      <c r="D86" s="214">
        <v>1896.25</v>
      </c>
      <c r="E86" s="214">
        <v>103.08</v>
      </c>
      <c r="F86" s="214">
        <v>0</v>
      </c>
      <c r="G86" s="214">
        <v>11.91</v>
      </c>
      <c r="H86" s="214">
        <v>9.2899999999999991</v>
      </c>
      <c r="I86" s="214">
        <v>13.58</v>
      </c>
      <c r="J86" s="214">
        <v>0</v>
      </c>
      <c r="K86" s="214">
        <v>0</v>
      </c>
      <c r="L86" s="214">
        <v>0</v>
      </c>
      <c r="M86" s="214">
        <v>0</v>
      </c>
      <c r="N86" s="214">
        <v>0</v>
      </c>
      <c r="O86" s="214">
        <v>56.16</v>
      </c>
      <c r="P86" s="214">
        <v>8.8699999999999992</v>
      </c>
      <c r="Q86" s="214">
        <v>23.33</v>
      </c>
      <c r="R86" s="214">
        <v>0</v>
      </c>
      <c r="S86" s="214">
        <v>0</v>
      </c>
      <c r="T86" s="214">
        <v>43.17</v>
      </c>
      <c r="U86" s="214">
        <v>0</v>
      </c>
      <c r="V86" s="214">
        <v>0</v>
      </c>
      <c r="W86" s="214">
        <v>0</v>
      </c>
      <c r="X86" s="214">
        <v>0</v>
      </c>
      <c r="Y86" s="214">
        <v>0</v>
      </c>
      <c r="Z86" s="214">
        <v>168.33</v>
      </c>
      <c r="AA86" s="214">
        <v>176.5</v>
      </c>
      <c r="AB86" s="214">
        <v>0</v>
      </c>
      <c r="AC86" s="214">
        <v>0</v>
      </c>
      <c r="AD86" s="214"/>
      <c r="AE86" s="420">
        <v>76.67</v>
      </c>
      <c r="AF86" s="420">
        <v>0</v>
      </c>
      <c r="AG86" s="420">
        <v>0</v>
      </c>
      <c r="AH86" s="420"/>
      <c r="AI86" s="574">
        <f t="shared" si="1"/>
        <v>2587.14</v>
      </c>
      <c r="AJ86" s="212"/>
    </row>
    <row r="87" spans="2:36" ht="14.4">
      <c r="B87" s="211"/>
      <c r="C87" s="213" t="s">
        <v>101</v>
      </c>
      <c r="D87" s="214">
        <v>907.16</v>
      </c>
      <c r="E87" s="214">
        <v>1065.6600000000001</v>
      </c>
      <c r="F87" s="214">
        <v>0</v>
      </c>
      <c r="G87" s="214">
        <v>388.33</v>
      </c>
      <c r="H87" s="214">
        <v>457.42</v>
      </c>
      <c r="I87" s="214">
        <v>0</v>
      </c>
      <c r="J87" s="214">
        <v>0</v>
      </c>
      <c r="K87" s="214">
        <v>0</v>
      </c>
      <c r="L87" s="214">
        <v>0</v>
      </c>
      <c r="M87" s="214">
        <v>0</v>
      </c>
      <c r="N87" s="214">
        <v>0</v>
      </c>
      <c r="O87" s="214">
        <v>0</v>
      </c>
      <c r="P87" s="214">
        <v>0</v>
      </c>
      <c r="Q87" s="214">
        <v>23.33</v>
      </c>
      <c r="R87" s="214">
        <v>0</v>
      </c>
      <c r="S87" s="214">
        <v>0</v>
      </c>
      <c r="T87" s="214">
        <v>0</v>
      </c>
      <c r="U87" s="214">
        <v>0</v>
      </c>
      <c r="V87" s="214">
        <v>0</v>
      </c>
      <c r="W87" s="214">
        <v>0</v>
      </c>
      <c r="X87" s="214">
        <v>103.5</v>
      </c>
      <c r="Y87" s="214">
        <v>0</v>
      </c>
      <c r="Z87" s="214">
        <v>0</v>
      </c>
      <c r="AA87" s="214">
        <v>0</v>
      </c>
      <c r="AB87" s="214">
        <v>0</v>
      </c>
      <c r="AC87" s="214">
        <v>0</v>
      </c>
      <c r="AD87" s="214"/>
      <c r="AE87" s="420">
        <v>0</v>
      </c>
      <c r="AF87" s="420">
        <v>0</v>
      </c>
      <c r="AG87" s="420">
        <v>0</v>
      </c>
      <c r="AH87" s="420"/>
      <c r="AI87" s="574">
        <f t="shared" si="1"/>
        <v>2945.4</v>
      </c>
      <c r="AJ87" s="212"/>
    </row>
    <row r="88" spans="2:36" ht="14.4">
      <c r="B88" s="211"/>
      <c r="C88" s="213" t="s">
        <v>102</v>
      </c>
      <c r="D88" s="214">
        <v>18878.52</v>
      </c>
      <c r="E88" s="214">
        <v>851.66</v>
      </c>
      <c r="F88" s="214">
        <v>1139.1500000000001</v>
      </c>
      <c r="G88" s="214">
        <v>754.31</v>
      </c>
      <c r="H88" s="214">
        <v>1228.1500000000001</v>
      </c>
      <c r="I88" s="214">
        <v>790.43</v>
      </c>
      <c r="J88" s="214">
        <v>0</v>
      </c>
      <c r="K88" s="214">
        <v>412.09</v>
      </c>
      <c r="L88" s="214">
        <v>313.52999999999997</v>
      </c>
      <c r="M88" s="214">
        <v>895.73</v>
      </c>
      <c r="N88" s="214">
        <v>646.64</v>
      </c>
      <c r="O88" s="214">
        <v>1436.31</v>
      </c>
      <c r="P88" s="214">
        <v>1561.07</v>
      </c>
      <c r="Q88" s="214">
        <v>710.67</v>
      </c>
      <c r="R88" s="214">
        <v>69.790000000000006</v>
      </c>
      <c r="S88" s="214">
        <v>391.2</v>
      </c>
      <c r="T88" s="214">
        <v>0</v>
      </c>
      <c r="U88" s="214">
        <v>248.34</v>
      </c>
      <c r="V88" s="214">
        <v>266.27</v>
      </c>
      <c r="W88" s="214">
        <v>220.26</v>
      </c>
      <c r="X88" s="214">
        <v>341.77</v>
      </c>
      <c r="Y88" s="214">
        <v>371.58</v>
      </c>
      <c r="Z88" s="214">
        <v>325.01</v>
      </c>
      <c r="AA88" s="214">
        <v>168.76</v>
      </c>
      <c r="AB88" s="214">
        <v>375.5</v>
      </c>
      <c r="AC88" s="214">
        <v>611.14</v>
      </c>
      <c r="AD88" s="214"/>
      <c r="AE88" s="420">
        <v>3549.46</v>
      </c>
      <c r="AF88" s="420">
        <v>163.69</v>
      </c>
      <c r="AG88" s="420">
        <v>163.69</v>
      </c>
      <c r="AH88" s="420"/>
      <c r="AI88" s="574">
        <f t="shared" si="1"/>
        <v>36884.720000000008</v>
      </c>
      <c r="AJ88" s="212"/>
    </row>
    <row r="89" spans="2:36" ht="14.4">
      <c r="B89" s="211"/>
      <c r="C89" s="213" t="s">
        <v>103</v>
      </c>
      <c r="D89" s="214">
        <v>3301.12</v>
      </c>
      <c r="E89" s="214">
        <v>98.57</v>
      </c>
      <c r="F89" s="214">
        <v>106.41</v>
      </c>
      <c r="G89" s="214">
        <v>85.22</v>
      </c>
      <c r="H89" s="214">
        <v>127.61</v>
      </c>
      <c r="I89" s="214">
        <v>53.44</v>
      </c>
      <c r="J89" s="214">
        <v>53.44</v>
      </c>
      <c r="K89" s="214">
        <v>53.44</v>
      </c>
      <c r="L89" s="214">
        <v>53.44</v>
      </c>
      <c r="M89" s="214">
        <v>0</v>
      </c>
      <c r="N89" s="214">
        <v>53.44</v>
      </c>
      <c r="O89" s="214">
        <v>53.44</v>
      </c>
      <c r="P89" s="214">
        <v>53.44</v>
      </c>
      <c r="Q89" s="214">
        <v>53.44</v>
      </c>
      <c r="R89" s="214">
        <v>53.44</v>
      </c>
      <c r="S89" s="214">
        <v>53.44</v>
      </c>
      <c r="T89" s="214">
        <v>53.44</v>
      </c>
      <c r="U89" s="214">
        <v>387.97</v>
      </c>
      <c r="V89" s="214">
        <v>387.96</v>
      </c>
      <c r="W89" s="214">
        <v>387.96</v>
      </c>
      <c r="X89" s="214">
        <v>388.02</v>
      </c>
      <c r="Y89" s="214">
        <v>388.02</v>
      </c>
      <c r="Z89" s="214">
        <v>539.9</v>
      </c>
      <c r="AA89" s="214">
        <v>331.54</v>
      </c>
      <c r="AB89" s="214">
        <v>0</v>
      </c>
      <c r="AC89" s="214">
        <v>0</v>
      </c>
      <c r="AD89" s="214"/>
      <c r="AE89" s="420">
        <v>1402.26</v>
      </c>
      <c r="AF89" s="420">
        <v>0</v>
      </c>
      <c r="AG89" s="420">
        <v>0</v>
      </c>
      <c r="AH89" s="420"/>
      <c r="AI89" s="574">
        <f t="shared" si="1"/>
        <v>8520.3999999999978</v>
      </c>
      <c r="AJ89" s="212"/>
    </row>
    <row r="90" spans="2:36" ht="14.4">
      <c r="B90" s="211"/>
      <c r="C90" s="213" t="s">
        <v>104</v>
      </c>
      <c r="D90" s="214">
        <v>2350.1999999999998</v>
      </c>
      <c r="E90" s="214">
        <v>426.97</v>
      </c>
      <c r="F90" s="214">
        <v>195.7</v>
      </c>
      <c r="G90" s="214">
        <v>320.52999999999997</v>
      </c>
      <c r="H90" s="214">
        <v>929.54</v>
      </c>
      <c r="I90" s="214">
        <v>107.34</v>
      </c>
      <c r="J90" s="214">
        <v>0</v>
      </c>
      <c r="K90" s="214">
        <v>0</v>
      </c>
      <c r="L90" s="214">
        <v>45.81</v>
      </c>
      <c r="M90" s="214">
        <v>417.72</v>
      </c>
      <c r="N90" s="214">
        <v>107.34</v>
      </c>
      <c r="O90" s="455">
        <v>331.22</v>
      </c>
      <c r="P90" s="214">
        <v>267.3</v>
      </c>
      <c r="Q90" s="214">
        <v>305.82</v>
      </c>
      <c r="R90" s="214">
        <v>843.3</v>
      </c>
      <c r="S90" s="214">
        <v>128.79</v>
      </c>
      <c r="T90" s="214">
        <v>227.5</v>
      </c>
      <c r="U90" s="214">
        <v>321.64</v>
      </c>
      <c r="V90" s="214">
        <v>78.66</v>
      </c>
      <c r="W90" s="214">
        <v>79.91</v>
      </c>
      <c r="X90" s="214">
        <v>134.79</v>
      </c>
      <c r="Y90" s="214">
        <v>101.88</v>
      </c>
      <c r="Z90" s="214">
        <v>101.05</v>
      </c>
      <c r="AA90" s="214">
        <v>112.5</v>
      </c>
      <c r="AB90" s="214">
        <v>110.42</v>
      </c>
      <c r="AC90" s="214">
        <v>244.38</v>
      </c>
      <c r="AD90" s="214"/>
      <c r="AE90" s="420">
        <v>261.63</v>
      </c>
      <c r="AF90" s="420">
        <v>48.75</v>
      </c>
      <c r="AG90" s="420">
        <v>51.34</v>
      </c>
      <c r="AH90" s="420"/>
      <c r="AI90" s="574">
        <f t="shared" si="1"/>
        <v>8652.0300000000007</v>
      </c>
      <c r="AJ90" s="212"/>
    </row>
    <row r="91" spans="2:36" ht="14.4">
      <c r="B91" s="211"/>
      <c r="C91" s="213" t="s">
        <v>105</v>
      </c>
      <c r="D91" s="214">
        <v>1419.88</v>
      </c>
      <c r="E91" s="214">
        <v>8907.91</v>
      </c>
      <c r="F91" s="214">
        <v>55.35</v>
      </c>
      <c r="G91" s="214">
        <v>106.92</v>
      </c>
      <c r="H91" s="214">
        <v>485.59</v>
      </c>
      <c r="I91" s="214">
        <v>87.25</v>
      </c>
      <c r="J91" s="214">
        <v>0</v>
      </c>
      <c r="K91" s="214">
        <v>33.75</v>
      </c>
      <c r="L91" s="214">
        <v>0</v>
      </c>
      <c r="M91" s="214">
        <v>1025</v>
      </c>
      <c r="N91" s="214">
        <v>64.41</v>
      </c>
      <c r="O91" s="214">
        <v>300.45999999999998</v>
      </c>
      <c r="P91" s="214">
        <v>75.81</v>
      </c>
      <c r="Q91" s="214">
        <v>5967.45</v>
      </c>
      <c r="R91" s="214">
        <v>1093.48</v>
      </c>
      <c r="S91" s="214">
        <v>1004.92</v>
      </c>
      <c r="T91" s="214">
        <v>0</v>
      </c>
      <c r="U91" s="214">
        <v>570.41999999999996</v>
      </c>
      <c r="V91" s="214">
        <v>6</v>
      </c>
      <c r="W91" s="214">
        <v>17.3</v>
      </c>
      <c r="X91" s="214">
        <v>14.67</v>
      </c>
      <c r="Y91" s="214">
        <v>918.67</v>
      </c>
      <c r="Z91" s="214">
        <v>15</v>
      </c>
      <c r="AA91" s="214">
        <v>12.5</v>
      </c>
      <c r="AB91" s="214">
        <v>225.58</v>
      </c>
      <c r="AC91" s="214">
        <v>59.33</v>
      </c>
      <c r="AD91" s="214"/>
      <c r="AE91" s="420">
        <v>120.24</v>
      </c>
      <c r="AF91" s="420">
        <v>49.4</v>
      </c>
      <c r="AG91" s="420">
        <v>77.63</v>
      </c>
      <c r="AH91" s="420"/>
      <c r="AI91" s="574">
        <f t="shared" si="1"/>
        <v>22714.92</v>
      </c>
      <c r="AJ91" s="212"/>
    </row>
    <row r="92" spans="2:36" ht="14.4">
      <c r="B92" s="211"/>
      <c r="C92" s="213" t="s">
        <v>106</v>
      </c>
      <c r="D92" s="214">
        <v>0</v>
      </c>
      <c r="E92" s="214">
        <v>0</v>
      </c>
      <c r="F92" s="214">
        <v>0</v>
      </c>
      <c r="G92" s="214">
        <v>0</v>
      </c>
      <c r="H92" s="214">
        <v>0</v>
      </c>
      <c r="I92" s="214">
        <v>0</v>
      </c>
      <c r="J92" s="214">
        <v>0</v>
      </c>
      <c r="K92" s="214">
        <v>0</v>
      </c>
      <c r="L92" s="214">
        <v>0</v>
      </c>
      <c r="M92" s="214">
        <v>0</v>
      </c>
      <c r="N92" s="214">
        <v>0</v>
      </c>
      <c r="O92" s="214">
        <v>0</v>
      </c>
      <c r="P92" s="214">
        <v>0</v>
      </c>
      <c r="Q92" s="214">
        <v>0</v>
      </c>
      <c r="R92" s="214">
        <v>0</v>
      </c>
      <c r="S92" s="214">
        <v>0</v>
      </c>
      <c r="T92" s="214">
        <v>0</v>
      </c>
      <c r="U92" s="214">
        <v>0</v>
      </c>
      <c r="V92" s="214">
        <v>0</v>
      </c>
      <c r="W92" s="214">
        <v>0</v>
      </c>
      <c r="X92" s="214">
        <v>0</v>
      </c>
      <c r="Y92" s="214">
        <v>0</v>
      </c>
      <c r="Z92" s="214">
        <v>0</v>
      </c>
      <c r="AA92" s="214">
        <v>0</v>
      </c>
      <c r="AB92" s="214">
        <v>0</v>
      </c>
      <c r="AC92" s="214">
        <v>0</v>
      </c>
      <c r="AD92" s="214"/>
      <c r="AE92" s="420">
        <v>0</v>
      </c>
      <c r="AF92" s="420">
        <v>0</v>
      </c>
      <c r="AG92" s="420">
        <v>0</v>
      </c>
      <c r="AH92" s="420"/>
      <c r="AI92" s="574">
        <f t="shared" si="1"/>
        <v>0</v>
      </c>
      <c r="AJ92" s="212"/>
    </row>
    <row r="93" spans="2:36" ht="14.4">
      <c r="B93" s="211"/>
      <c r="C93" s="213" t="s">
        <v>107</v>
      </c>
      <c r="D93" s="214">
        <v>0</v>
      </c>
      <c r="E93" s="214">
        <v>0</v>
      </c>
      <c r="F93" s="214">
        <v>0</v>
      </c>
      <c r="G93" s="214">
        <v>0</v>
      </c>
      <c r="H93" s="214">
        <v>0</v>
      </c>
      <c r="I93" s="214">
        <v>0</v>
      </c>
      <c r="J93" s="214">
        <v>0</v>
      </c>
      <c r="K93" s="214">
        <v>0</v>
      </c>
      <c r="L93" s="214">
        <v>0</v>
      </c>
      <c r="M93" s="214">
        <v>0</v>
      </c>
      <c r="N93" s="214">
        <v>0</v>
      </c>
      <c r="O93" s="214">
        <v>0</v>
      </c>
      <c r="P93" s="214">
        <v>0</v>
      </c>
      <c r="Q93" s="214">
        <v>0</v>
      </c>
      <c r="R93" s="214">
        <v>0</v>
      </c>
      <c r="S93" s="214">
        <v>0</v>
      </c>
      <c r="T93" s="214">
        <v>0</v>
      </c>
      <c r="U93" s="214">
        <v>0</v>
      </c>
      <c r="V93" s="214">
        <v>0</v>
      </c>
      <c r="W93" s="214">
        <v>0</v>
      </c>
      <c r="X93" s="214">
        <v>0</v>
      </c>
      <c r="Y93" s="214">
        <v>0</v>
      </c>
      <c r="Z93" s="214">
        <v>0</v>
      </c>
      <c r="AA93" s="214">
        <v>0</v>
      </c>
      <c r="AB93" s="214">
        <v>0</v>
      </c>
      <c r="AC93" s="214">
        <v>0</v>
      </c>
      <c r="AD93" s="214"/>
      <c r="AE93" s="420">
        <v>0</v>
      </c>
      <c r="AF93" s="420">
        <v>0</v>
      </c>
      <c r="AG93" s="420">
        <v>0</v>
      </c>
      <c r="AH93" s="420"/>
      <c r="AI93" s="574">
        <f t="shared" si="1"/>
        <v>0</v>
      </c>
      <c r="AJ93" s="212"/>
    </row>
    <row r="94" spans="2:36" ht="14.4">
      <c r="B94" s="211"/>
      <c r="C94" s="213" t="s">
        <v>108</v>
      </c>
      <c r="D94" s="214">
        <v>0</v>
      </c>
      <c r="E94" s="214">
        <v>19130.5</v>
      </c>
      <c r="F94" s="214">
        <v>32513.22</v>
      </c>
      <c r="G94" s="214">
        <v>23662.880000000001</v>
      </c>
      <c r="H94" s="214">
        <v>5496.46</v>
      </c>
      <c r="I94" s="214">
        <v>0</v>
      </c>
      <c r="J94" s="214">
        <v>0</v>
      </c>
      <c r="K94" s="214">
        <v>0</v>
      </c>
      <c r="L94" s="214">
        <v>0</v>
      </c>
      <c r="M94" s="214">
        <v>377</v>
      </c>
      <c r="N94" s="214">
        <v>0</v>
      </c>
      <c r="O94" s="214">
        <v>1832</v>
      </c>
      <c r="P94" s="214">
        <v>308</v>
      </c>
      <c r="Q94" s="214">
        <v>32065.59</v>
      </c>
      <c r="R94" s="214">
        <v>1280</v>
      </c>
      <c r="S94" s="214">
        <v>3022.6</v>
      </c>
      <c r="T94" s="214">
        <v>0</v>
      </c>
      <c r="U94" s="214">
        <v>0</v>
      </c>
      <c r="V94" s="214">
        <v>0</v>
      </c>
      <c r="W94" s="214">
        <v>0</v>
      </c>
      <c r="X94" s="214">
        <v>0</v>
      </c>
      <c r="Y94" s="214">
        <v>0</v>
      </c>
      <c r="Z94" s="214">
        <v>0</v>
      </c>
      <c r="AA94" s="214">
        <v>0</v>
      </c>
      <c r="AB94" s="214">
        <v>0</v>
      </c>
      <c r="AC94" s="214">
        <v>0</v>
      </c>
      <c r="AD94" s="214"/>
      <c r="AE94" s="420">
        <v>975.39</v>
      </c>
      <c r="AF94" s="420">
        <v>0</v>
      </c>
      <c r="AG94" s="420">
        <v>0</v>
      </c>
      <c r="AH94" s="420"/>
      <c r="AI94" s="574">
        <f t="shared" si="1"/>
        <v>120663.64000000001</v>
      </c>
      <c r="AJ94" s="212"/>
    </row>
    <row r="95" spans="2:36" ht="14.4">
      <c r="B95" s="211"/>
      <c r="C95" s="213" t="s">
        <v>109</v>
      </c>
      <c r="D95" s="214">
        <v>0</v>
      </c>
      <c r="E95" s="214">
        <v>0</v>
      </c>
      <c r="F95" s="214">
        <v>0</v>
      </c>
      <c r="G95" s="214">
        <v>0</v>
      </c>
      <c r="H95" s="214">
        <v>0</v>
      </c>
      <c r="I95" s="214">
        <v>0</v>
      </c>
      <c r="J95" s="214">
        <v>0</v>
      </c>
      <c r="K95" s="214">
        <v>0</v>
      </c>
      <c r="L95" s="214">
        <v>0</v>
      </c>
      <c r="M95" s="214">
        <v>0</v>
      </c>
      <c r="N95" s="214">
        <v>0</v>
      </c>
      <c r="O95" s="214">
        <v>0</v>
      </c>
      <c r="P95" s="214">
        <v>0</v>
      </c>
      <c r="Q95" s="214">
        <v>0</v>
      </c>
      <c r="R95" s="214">
        <v>0</v>
      </c>
      <c r="S95" s="214">
        <v>0</v>
      </c>
      <c r="T95" s="214">
        <v>0</v>
      </c>
      <c r="U95" s="214">
        <v>0</v>
      </c>
      <c r="V95" s="214">
        <v>0</v>
      </c>
      <c r="W95" s="214">
        <v>0</v>
      </c>
      <c r="X95" s="214">
        <v>0</v>
      </c>
      <c r="Y95" s="214">
        <v>0</v>
      </c>
      <c r="Z95" s="214">
        <v>0</v>
      </c>
      <c r="AA95" s="214">
        <v>0</v>
      </c>
      <c r="AB95" s="214">
        <v>0</v>
      </c>
      <c r="AC95" s="214">
        <v>0</v>
      </c>
      <c r="AD95" s="214"/>
      <c r="AE95" s="420">
        <v>0</v>
      </c>
      <c r="AF95" s="420">
        <v>0</v>
      </c>
      <c r="AG95" s="420">
        <v>0</v>
      </c>
      <c r="AH95" s="420"/>
      <c r="AI95" s="574">
        <f t="shared" si="1"/>
        <v>0</v>
      </c>
      <c r="AJ95" s="212"/>
    </row>
    <row r="96" spans="2:36" ht="14.4">
      <c r="B96" s="211"/>
      <c r="C96" s="213" t="s">
        <v>110</v>
      </c>
      <c r="D96" s="214">
        <v>0</v>
      </c>
      <c r="E96" s="214">
        <v>0</v>
      </c>
      <c r="F96" s="214">
        <v>0</v>
      </c>
      <c r="G96" s="214">
        <v>0</v>
      </c>
      <c r="H96" s="214">
        <v>0</v>
      </c>
      <c r="I96" s="214">
        <v>0</v>
      </c>
      <c r="J96" s="214">
        <v>0</v>
      </c>
      <c r="K96" s="214">
        <v>0</v>
      </c>
      <c r="L96" s="214">
        <v>0</v>
      </c>
      <c r="M96" s="214">
        <v>0</v>
      </c>
      <c r="N96" s="214">
        <v>0</v>
      </c>
      <c r="O96" s="214">
        <v>166.66</v>
      </c>
      <c r="P96" s="214">
        <v>0</v>
      </c>
      <c r="Q96" s="214">
        <v>0</v>
      </c>
      <c r="R96" s="214">
        <v>0</v>
      </c>
      <c r="S96" s="214">
        <v>0</v>
      </c>
      <c r="T96" s="214">
        <v>0</v>
      </c>
      <c r="U96" s="214">
        <v>0</v>
      </c>
      <c r="V96" s="214">
        <v>0</v>
      </c>
      <c r="W96" s="214">
        <v>0</v>
      </c>
      <c r="X96" s="214">
        <v>0</v>
      </c>
      <c r="Y96" s="214">
        <v>0</v>
      </c>
      <c r="Z96" s="214">
        <v>0</v>
      </c>
      <c r="AA96" s="214">
        <v>0</v>
      </c>
      <c r="AB96" s="214">
        <v>0</v>
      </c>
      <c r="AC96" s="214">
        <v>0</v>
      </c>
      <c r="AD96" s="214"/>
      <c r="AE96" s="420">
        <v>0</v>
      </c>
      <c r="AF96" s="420">
        <v>0</v>
      </c>
      <c r="AG96" s="420">
        <v>0</v>
      </c>
      <c r="AH96" s="420"/>
      <c r="AI96" s="574">
        <f t="shared" si="1"/>
        <v>166.66</v>
      </c>
      <c r="AJ96" s="212"/>
    </row>
    <row r="97" spans="2:36" ht="14.4">
      <c r="B97" s="211"/>
      <c r="C97" s="213" t="s">
        <v>112</v>
      </c>
      <c r="D97" s="214">
        <v>0</v>
      </c>
      <c r="E97" s="214">
        <v>0</v>
      </c>
      <c r="F97" s="214">
        <v>3674.97</v>
      </c>
      <c r="G97" s="214">
        <v>0</v>
      </c>
      <c r="H97" s="214">
        <v>0</v>
      </c>
      <c r="I97" s="214">
        <v>0</v>
      </c>
      <c r="J97" s="214">
        <v>0</v>
      </c>
      <c r="K97" s="214">
        <v>0</v>
      </c>
      <c r="L97" s="214">
        <v>0</v>
      </c>
      <c r="M97" s="214">
        <v>0</v>
      </c>
      <c r="N97" s="214">
        <v>0</v>
      </c>
      <c r="O97" s="214">
        <v>0</v>
      </c>
      <c r="P97" s="214">
        <v>0</v>
      </c>
      <c r="Q97" s="214">
        <v>0</v>
      </c>
      <c r="R97" s="214">
        <v>0</v>
      </c>
      <c r="S97" s="214">
        <v>0</v>
      </c>
      <c r="T97" s="214">
        <v>0</v>
      </c>
      <c r="U97" s="214">
        <v>0</v>
      </c>
      <c r="V97" s="214">
        <v>0</v>
      </c>
      <c r="W97" s="214">
        <v>0</v>
      </c>
      <c r="X97" s="214">
        <v>0</v>
      </c>
      <c r="Y97" s="214">
        <v>0</v>
      </c>
      <c r="Z97" s="214">
        <v>1721.15</v>
      </c>
      <c r="AA97" s="214">
        <v>0</v>
      </c>
      <c r="AB97" s="214">
        <v>0</v>
      </c>
      <c r="AC97" s="214">
        <v>0</v>
      </c>
      <c r="AD97" s="214"/>
      <c r="AE97" s="420">
        <v>0</v>
      </c>
      <c r="AF97" s="420">
        <v>0</v>
      </c>
      <c r="AG97" s="420">
        <v>0</v>
      </c>
      <c r="AH97" s="420"/>
      <c r="AI97" s="574">
        <f t="shared" si="1"/>
        <v>5396.12</v>
      </c>
      <c r="AJ97" s="212"/>
    </row>
    <row r="98" spans="2:36" ht="14.4">
      <c r="B98" s="211"/>
      <c r="C98" s="213" t="s">
        <v>113</v>
      </c>
      <c r="D98" s="214">
        <v>0</v>
      </c>
      <c r="E98" s="214">
        <v>15.82</v>
      </c>
      <c r="F98" s="214">
        <v>0</v>
      </c>
      <c r="G98" s="214">
        <v>2.62</v>
      </c>
      <c r="H98" s="214">
        <v>0</v>
      </c>
      <c r="I98" s="214">
        <v>0</v>
      </c>
      <c r="J98" s="214">
        <v>0</v>
      </c>
      <c r="K98" s="214">
        <v>0</v>
      </c>
      <c r="L98" s="214">
        <v>1.72</v>
      </c>
      <c r="M98" s="214">
        <v>3216.32</v>
      </c>
      <c r="N98" s="214">
        <v>0</v>
      </c>
      <c r="O98" s="214">
        <v>240.04</v>
      </c>
      <c r="P98" s="214">
        <v>0</v>
      </c>
      <c r="Q98" s="214">
        <v>0</v>
      </c>
      <c r="R98" s="214">
        <v>10.06</v>
      </c>
      <c r="S98" s="214">
        <v>8.23</v>
      </c>
      <c r="T98" s="214">
        <v>0</v>
      </c>
      <c r="U98" s="214">
        <v>0</v>
      </c>
      <c r="V98" s="214">
        <v>0</v>
      </c>
      <c r="W98" s="214">
        <v>0.57999999999999996</v>
      </c>
      <c r="X98" s="214">
        <v>0</v>
      </c>
      <c r="Y98" s="214">
        <v>0</v>
      </c>
      <c r="Z98" s="214">
        <v>0</v>
      </c>
      <c r="AA98" s="214">
        <v>0</v>
      </c>
      <c r="AB98" s="214">
        <v>0</v>
      </c>
      <c r="AC98" s="214">
        <v>0</v>
      </c>
      <c r="AD98" s="214"/>
      <c r="AE98" s="420">
        <v>0</v>
      </c>
      <c r="AF98" s="420">
        <v>0</v>
      </c>
      <c r="AG98" s="420">
        <v>0</v>
      </c>
      <c r="AH98" s="420"/>
      <c r="AI98" s="574">
        <f t="shared" si="1"/>
        <v>3495.39</v>
      </c>
      <c r="AJ98" s="212"/>
    </row>
    <row r="99" spans="2:36" ht="14.4">
      <c r="B99" s="211"/>
      <c r="C99" s="213" t="s">
        <v>137</v>
      </c>
      <c r="D99" s="214">
        <v>0</v>
      </c>
      <c r="E99" s="214">
        <v>0</v>
      </c>
      <c r="F99" s="214">
        <v>0</v>
      </c>
      <c r="G99" s="214">
        <v>0</v>
      </c>
      <c r="H99" s="214">
        <v>0</v>
      </c>
      <c r="I99" s="214">
        <v>0</v>
      </c>
      <c r="J99" s="214">
        <v>0</v>
      </c>
      <c r="K99" s="214">
        <v>0</v>
      </c>
      <c r="L99" s="214">
        <v>0</v>
      </c>
      <c r="M99" s="214">
        <v>0</v>
      </c>
      <c r="N99" s="214">
        <v>0</v>
      </c>
      <c r="O99" s="214">
        <v>0</v>
      </c>
      <c r="P99" s="214">
        <v>0</v>
      </c>
      <c r="Q99" s="214">
        <v>0</v>
      </c>
      <c r="R99" s="214">
        <v>0</v>
      </c>
      <c r="S99" s="214">
        <v>0</v>
      </c>
      <c r="T99" s="214">
        <v>0</v>
      </c>
      <c r="U99" s="214">
        <v>0</v>
      </c>
      <c r="V99" s="214">
        <v>0</v>
      </c>
      <c r="W99" s="214">
        <v>0</v>
      </c>
      <c r="X99" s="214">
        <v>0</v>
      </c>
      <c r="Y99" s="214">
        <v>0</v>
      </c>
      <c r="Z99" s="214">
        <v>0</v>
      </c>
      <c r="AA99" s="214">
        <v>0</v>
      </c>
      <c r="AB99" s="214">
        <v>0</v>
      </c>
      <c r="AC99" s="214">
        <v>0</v>
      </c>
      <c r="AD99" s="214"/>
      <c r="AE99" s="420">
        <v>0</v>
      </c>
      <c r="AF99" s="420">
        <v>0</v>
      </c>
      <c r="AG99" s="420">
        <v>0</v>
      </c>
      <c r="AH99" s="420"/>
      <c r="AI99" s="574">
        <f t="shared" si="1"/>
        <v>0</v>
      </c>
      <c r="AJ99" s="212"/>
    </row>
    <row r="100" spans="2:36" ht="14.4">
      <c r="B100" s="211"/>
      <c r="C100" s="213" t="s">
        <v>140</v>
      </c>
      <c r="D100" s="214">
        <v>62284.62</v>
      </c>
      <c r="E100" s="214">
        <v>1799</v>
      </c>
      <c r="F100" s="214">
        <v>464</v>
      </c>
      <c r="G100" s="214">
        <v>1566</v>
      </c>
      <c r="H100" s="214">
        <v>0</v>
      </c>
      <c r="I100" s="214">
        <v>0</v>
      </c>
      <c r="J100" s="214">
        <v>300</v>
      </c>
      <c r="K100" s="214">
        <v>20</v>
      </c>
      <c r="L100" s="214">
        <v>0</v>
      </c>
      <c r="M100" s="214">
        <v>0</v>
      </c>
      <c r="N100" s="214">
        <v>60</v>
      </c>
      <c r="O100" s="214">
        <v>0</v>
      </c>
      <c r="P100" s="214">
        <v>0</v>
      </c>
      <c r="Q100" s="214">
        <v>901</v>
      </c>
      <c r="R100" s="214">
        <v>0</v>
      </c>
      <c r="S100" s="214">
        <v>116</v>
      </c>
      <c r="T100" s="214">
        <v>0</v>
      </c>
      <c r="U100" s="214">
        <v>0</v>
      </c>
      <c r="V100" s="214">
        <v>0</v>
      </c>
      <c r="W100" s="214">
        <v>0</v>
      </c>
      <c r="X100" s="214">
        <v>0</v>
      </c>
      <c r="Y100" s="214">
        <v>0</v>
      </c>
      <c r="Z100" s="214">
        <v>0</v>
      </c>
      <c r="AA100" s="214">
        <v>0</v>
      </c>
      <c r="AB100" s="214">
        <v>0</v>
      </c>
      <c r="AC100" s="214">
        <v>0</v>
      </c>
      <c r="AD100" s="214"/>
      <c r="AE100" s="420">
        <v>0</v>
      </c>
      <c r="AF100" s="420">
        <v>0</v>
      </c>
      <c r="AG100" s="420">
        <v>0</v>
      </c>
      <c r="AH100" s="420"/>
      <c r="AI100" s="574">
        <f t="shared" si="1"/>
        <v>67510.62</v>
      </c>
      <c r="AJ100" s="212"/>
    </row>
    <row r="101" spans="2:36" ht="14.4">
      <c r="B101" s="211"/>
      <c r="C101" s="213" t="s">
        <v>141</v>
      </c>
      <c r="D101" s="214">
        <v>0</v>
      </c>
      <c r="E101" s="214">
        <v>0</v>
      </c>
      <c r="F101" s="214">
        <v>0</v>
      </c>
      <c r="G101" s="214">
        <v>0</v>
      </c>
      <c r="H101" s="214">
        <v>0</v>
      </c>
      <c r="I101" s="214">
        <v>0</v>
      </c>
      <c r="J101" s="214">
        <v>0</v>
      </c>
      <c r="K101" s="214">
        <v>0</v>
      </c>
      <c r="L101" s="214">
        <v>0</v>
      </c>
      <c r="M101" s="214">
        <v>0</v>
      </c>
      <c r="N101" s="214">
        <v>0</v>
      </c>
      <c r="O101" s="214">
        <v>0</v>
      </c>
      <c r="P101" s="214">
        <v>0</v>
      </c>
      <c r="Q101" s="214">
        <v>0</v>
      </c>
      <c r="R101" s="214">
        <v>0</v>
      </c>
      <c r="S101" s="214">
        <v>0</v>
      </c>
      <c r="T101" s="214">
        <v>0</v>
      </c>
      <c r="U101" s="214">
        <v>0</v>
      </c>
      <c r="V101" s="214">
        <v>0</v>
      </c>
      <c r="W101" s="214">
        <v>0</v>
      </c>
      <c r="X101" s="214">
        <v>0</v>
      </c>
      <c r="Y101" s="214">
        <v>0</v>
      </c>
      <c r="Z101" s="214">
        <v>0</v>
      </c>
      <c r="AA101" s="214">
        <v>0</v>
      </c>
      <c r="AB101" s="214">
        <v>0</v>
      </c>
      <c r="AC101" s="214">
        <v>0</v>
      </c>
      <c r="AD101" s="214"/>
      <c r="AE101" s="420">
        <v>0</v>
      </c>
      <c r="AF101" s="420">
        <v>0</v>
      </c>
      <c r="AG101" s="420">
        <v>0</v>
      </c>
      <c r="AH101" s="420"/>
      <c r="AI101" s="574">
        <f t="shared" si="1"/>
        <v>0</v>
      </c>
      <c r="AJ101" s="212"/>
    </row>
    <row r="102" spans="2:36" ht="14.4">
      <c r="B102" s="211"/>
      <c r="C102" s="213" t="s">
        <v>193</v>
      </c>
      <c r="D102" s="214">
        <v>500</v>
      </c>
      <c r="E102" s="214">
        <v>0</v>
      </c>
      <c r="F102" s="214">
        <v>0</v>
      </c>
      <c r="G102" s="214">
        <v>0</v>
      </c>
      <c r="H102" s="214">
        <v>0</v>
      </c>
      <c r="I102" s="214">
        <v>0</v>
      </c>
      <c r="J102" s="214">
        <v>0</v>
      </c>
      <c r="K102" s="214">
        <v>0</v>
      </c>
      <c r="L102" s="214">
        <v>0</v>
      </c>
      <c r="M102" s="214">
        <v>0</v>
      </c>
      <c r="N102" s="214">
        <v>0</v>
      </c>
      <c r="O102" s="214">
        <v>0</v>
      </c>
      <c r="P102" s="214">
        <v>0</v>
      </c>
      <c r="Q102" s="214">
        <v>0</v>
      </c>
      <c r="R102" s="214">
        <v>0</v>
      </c>
      <c r="S102" s="214">
        <v>0</v>
      </c>
      <c r="T102" s="214">
        <v>0</v>
      </c>
      <c r="U102" s="214">
        <v>0</v>
      </c>
      <c r="V102" s="214">
        <v>0</v>
      </c>
      <c r="W102" s="214">
        <v>0</v>
      </c>
      <c r="X102" s="214">
        <v>0</v>
      </c>
      <c r="Y102" s="214">
        <v>0</v>
      </c>
      <c r="Z102" s="214">
        <v>0</v>
      </c>
      <c r="AA102" s="214">
        <v>0</v>
      </c>
      <c r="AB102" s="214">
        <v>0</v>
      </c>
      <c r="AC102" s="214">
        <v>0</v>
      </c>
      <c r="AD102" s="214"/>
      <c r="AE102" s="420">
        <v>0</v>
      </c>
      <c r="AF102" s="420">
        <v>0</v>
      </c>
      <c r="AG102" s="420">
        <v>0</v>
      </c>
      <c r="AH102" s="420"/>
      <c r="AI102" s="574">
        <f t="shared" si="1"/>
        <v>500</v>
      </c>
      <c r="AJ102" s="212"/>
    </row>
    <row r="103" spans="2:36" ht="14.4">
      <c r="B103" s="211"/>
      <c r="C103" s="213" t="s">
        <v>148</v>
      </c>
      <c r="D103" s="214">
        <v>0</v>
      </c>
      <c r="E103" s="214">
        <v>0</v>
      </c>
      <c r="F103" s="214">
        <v>0</v>
      </c>
      <c r="G103" s="214">
        <v>0</v>
      </c>
      <c r="H103" s="214">
        <v>0</v>
      </c>
      <c r="I103" s="214">
        <v>0</v>
      </c>
      <c r="J103" s="214">
        <v>0</v>
      </c>
      <c r="K103" s="214">
        <v>0</v>
      </c>
      <c r="L103" s="214">
        <v>0</v>
      </c>
      <c r="M103" s="214">
        <v>0</v>
      </c>
      <c r="N103" s="214">
        <v>0</v>
      </c>
      <c r="O103" s="214">
        <v>0</v>
      </c>
      <c r="P103" s="214">
        <v>0</v>
      </c>
      <c r="Q103" s="214">
        <v>0</v>
      </c>
      <c r="R103" s="214">
        <v>0</v>
      </c>
      <c r="S103" s="214">
        <v>0</v>
      </c>
      <c r="T103" s="214">
        <v>790</v>
      </c>
      <c r="U103" s="214">
        <v>0</v>
      </c>
      <c r="V103" s="214">
        <v>0</v>
      </c>
      <c r="W103" s="214">
        <v>0</v>
      </c>
      <c r="X103" s="214">
        <v>0</v>
      </c>
      <c r="Y103" s="214">
        <v>0</v>
      </c>
      <c r="Z103" s="214">
        <v>0</v>
      </c>
      <c r="AA103" s="214">
        <v>0</v>
      </c>
      <c r="AB103" s="214">
        <v>0</v>
      </c>
      <c r="AC103" s="214">
        <v>0</v>
      </c>
      <c r="AD103" s="214"/>
      <c r="AE103" s="420">
        <v>0</v>
      </c>
      <c r="AF103" s="420">
        <v>0</v>
      </c>
      <c r="AG103" s="420">
        <v>0</v>
      </c>
      <c r="AH103" s="420"/>
      <c r="AI103" s="574">
        <f t="shared" si="1"/>
        <v>790</v>
      </c>
      <c r="AJ103" s="212"/>
    </row>
    <row r="104" spans="2:36" ht="14.4">
      <c r="B104" s="211"/>
      <c r="C104" s="213" t="s">
        <v>186</v>
      </c>
      <c r="D104" s="214">
        <v>0</v>
      </c>
      <c r="E104" s="214">
        <v>0</v>
      </c>
      <c r="F104" s="214">
        <v>0</v>
      </c>
      <c r="G104" s="214">
        <v>0</v>
      </c>
      <c r="H104" s="214">
        <v>0</v>
      </c>
      <c r="I104" s="214">
        <v>0</v>
      </c>
      <c r="J104" s="214">
        <v>0</v>
      </c>
      <c r="K104" s="214">
        <v>0</v>
      </c>
      <c r="L104" s="214">
        <v>0</v>
      </c>
      <c r="M104" s="214">
        <v>0</v>
      </c>
      <c r="N104" s="214">
        <v>0</v>
      </c>
      <c r="O104" s="214">
        <v>0</v>
      </c>
      <c r="P104" s="214">
        <v>0</v>
      </c>
      <c r="Q104" s="214">
        <v>0</v>
      </c>
      <c r="R104" s="214">
        <v>0</v>
      </c>
      <c r="S104" s="214">
        <v>0</v>
      </c>
      <c r="T104" s="214">
        <v>0</v>
      </c>
      <c r="U104" s="214">
        <v>0</v>
      </c>
      <c r="V104" s="214">
        <v>0</v>
      </c>
      <c r="W104" s="214">
        <v>0</v>
      </c>
      <c r="X104" s="214">
        <v>0</v>
      </c>
      <c r="Y104" s="214">
        <v>0</v>
      </c>
      <c r="Z104" s="214">
        <v>0</v>
      </c>
      <c r="AA104" s="214">
        <v>0</v>
      </c>
      <c r="AB104" s="214">
        <v>0</v>
      </c>
      <c r="AC104" s="214">
        <v>0</v>
      </c>
      <c r="AD104" s="214"/>
      <c r="AE104" s="420">
        <v>0</v>
      </c>
      <c r="AF104" s="420">
        <v>0</v>
      </c>
      <c r="AG104" s="420">
        <v>0</v>
      </c>
      <c r="AH104" s="420"/>
      <c r="AI104" s="574">
        <f t="shared" si="1"/>
        <v>0</v>
      </c>
      <c r="AJ104" s="212"/>
    </row>
    <row r="105" spans="2:36" ht="14.4">
      <c r="B105" s="211"/>
      <c r="C105" s="213" t="s">
        <v>171</v>
      </c>
      <c r="D105" s="214">
        <v>0</v>
      </c>
      <c r="E105" s="214">
        <v>0</v>
      </c>
      <c r="F105" s="214">
        <v>0</v>
      </c>
      <c r="G105" s="214">
        <v>0</v>
      </c>
      <c r="H105" s="214">
        <v>0</v>
      </c>
      <c r="I105" s="214">
        <v>0</v>
      </c>
      <c r="J105" s="214">
        <v>0</v>
      </c>
      <c r="K105" s="214">
        <v>0</v>
      </c>
      <c r="L105" s="214">
        <v>0</v>
      </c>
      <c r="M105" s="214">
        <v>0</v>
      </c>
      <c r="N105" s="214">
        <v>0</v>
      </c>
      <c r="O105" s="214">
        <v>0</v>
      </c>
      <c r="P105" s="214">
        <v>0</v>
      </c>
      <c r="Q105" s="214">
        <v>0</v>
      </c>
      <c r="R105" s="214">
        <v>0</v>
      </c>
      <c r="S105" s="214">
        <v>0</v>
      </c>
      <c r="T105" s="214">
        <v>0</v>
      </c>
      <c r="U105" s="214">
        <v>0</v>
      </c>
      <c r="V105" s="214">
        <v>0</v>
      </c>
      <c r="W105" s="214">
        <v>0</v>
      </c>
      <c r="X105" s="214">
        <v>0</v>
      </c>
      <c r="Y105" s="214">
        <v>0</v>
      </c>
      <c r="Z105" s="214">
        <v>0</v>
      </c>
      <c r="AA105" s="214">
        <v>0</v>
      </c>
      <c r="AB105" s="214">
        <v>0</v>
      </c>
      <c r="AC105" s="214">
        <v>0</v>
      </c>
      <c r="AD105" s="214"/>
      <c r="AE105" s="420">
        <v>0</v>
      </c>
      <c r="AF105" s="420">
        <v>0</v>
      </c>
      <c r="AG105" s="420">
        <v>0</v>
      </c>
      <c r="AH105" s="420"/>
      <c r="AI105" s="574">
        <f t="shared" si="1"/>
        <v>0</v>
      </c>
      <c r="AJ105" s="212"/>
    </row>
    <row r="106" spans="2:36" ht="14.4">
      <c r="B106" s="211"/>
      <c r="C106" s="213" t="s">
        <v>180</v>
      </c>
      <c r="D106" s="214">
        <v>0</v>
      </c>
      <c r="E106" s="214">
        <v>0</v>
      </c>
      <c r="F106" s="214">
        <v>0</v>
      </c>
      <c r="G106" s="214">
        <v>0</v>
      </c>
      <c r="H106" s="214">
        <v>0</v>
      </c>
      <c r="I106" s="214">
        <v>0</v>
      </c>
      <c r="J106" s="214">
        <v>0</v>
      </c>
      <c r="K106" s="214">
        <v>0</v>
      </c>
      <c r="L106" s="214">
        <v>0</v>
      </c>
      <c r="M106" s="214">
        <v>0</v>
      </c>
      <c r="N106" s="214">
        <v>0</v>
      </c>
      <c r="O106" s="214">
        <v>0</v>
      </c>
      <c r="P106" s="214">
        <v>0</v>
      </c>
      <c r="Q106" s="214">
        <v>0</v>
      </c>
      <c r="R106" s="214">
        <v>0</v>
      </c>
      <c r="S106" s="214">
        <v>0</v>
      </c>
      <c r="T106" s="214">
        <v>0</v>
      </c>
      <c r="U106" s="214">
        <v>0</v>
      </c>
      <c r="V106" s="214">
        <v>0</v>
      </c>
      <c r="W106" s="214">
        <v>0</v>
      </c>
      <c r="X106" s="214">
        <v>0</v>
      </c>
      <c r="Y106" s="214">
        <v>0</v>
      </c>
      <c r="Z106" s="214">
        <v>0</v>
      </c>
      <c r="AA106" s="214">
        <v>0</v>
      </c>
      <c r="AB106" s="214">
        <v>0</v>
      </c>
      <c r="AC106" s="214">
        <v>0</v>
      </c>
      <c r="AD106" s="214"/>
      <c r="AE106" s="420">
        <v>0</v>
      </c>
      <c r="AF106" s="420">
        <v>0</v>
      </c>
      <c r="AG106" s="420">
        <v>0</v>
      </c>
      <c r="AH106" s="420"/>
      <c r="AI106" s="574">
        <f t="shared" si="1"/>
        <v>0</v>
      </c>
      <c r="AJ106" s="212"/>
    </row>
    <row r="107" spans="2:36" ht="14.4">
      <c r="B107" s="211"/>
      <c r="C107" s="213" t="s">
        <v>183</v>
      </c>
      <c r="D107" s="214">
        <v>0</v>
      </c>
      <c r="E107" s="214">
        <v>0</v>
      </c>
      <c r="F107" s="214">
        <v>0</v>
      </c>
      <c r="G107" s="214">
        <v>0</v>
      </c>
      <c r="H107" s="214">
        <v>0</v>
      </c>
      <c r="I107" s="214">
        <v>0</v>
      </c>
      <c r="J107" s="214">
        <v>0</v>
      </c>
      <c r="K107" s="214">
        <v>0</v>
      </c>
      <c r="L107" s="214">
        <v>0</v>
      </c>
      <c r="M107" s="214">
        <v>0</v>
      </c>
      <c r="N107" s="214">
        <v>0</v>
      </c>
      <c r="O107" s="214">
        <v>0</v>
      </c>
      <c r="P107" s="214">
        <v>0</v>
      </c>
      <c r="Q107" s="214">
        <v>0</v>
      </c>
      <c r="R107" s="214">
        <v>0</v>
      </c>
      <c r="S107" s="214">
        <v>0</v>
      </c>
      <c r="T107" s="214">
        <v>0</v>
      </c>
      <c r="U107" s="214">
        <v>0</v>
      </c>
      <c r="V107" s="214">
        <v>0</v>
      </c>
      <c r="W107" s="214">
        <v>0</v>
      </c>
      <c r="X107" s="214">
        <v>0</v>
      </c>
      <c r="Y107" s="214">
        <v>0</v>
      </c>
      <c r="Z107" s="214">
        <v>0</v>
      </c>
      <c r="AA107" s="214">
        <v>0</v>
      </c>
      <c r="AB107" s="214">
        <v>0</v>
      </c>
      <c r="AC107" s="214">
        <v>0</v>
      </c>
      <c r="AD107" s="214"/>
      <c r="AE107" s="420">
        <v>0</v>
      </c>
      <c r="AF107" s="420">
        <v>0</v>
      </c>
      <c r="AG107" s="420">
        <v>0</v>
      </c>
      <c r="AH107" s="420"/>
      <c r="AI107" s="574">
        <f t="shared" si="1"/>
        <v>0</v>
      </c>
      <c r="AJ107" s="212"/>
    </row>
    <row r="108" spans="2:36" ht="14.4">
      <c r="B108" s="211"/>
      <c r="C108" s="213" t="s">
        <v>195</v>
      </c>
      <c r="D108" s="214">
        <v>17814</v>
      </c>
      <c r="E108" s="214">
        <v>0</v>
      </c>
      <c r="F108" s="214">
        <v>0</v>
      </c>
      <c r="G108" s="214">
        <v>0</v>
      </c>
      <c r="H108" s="214">
        <v>0</v>
      </c>
      <c r="I108" s="214">
        <v>0</v>
      </c>
      <c r="J108" s="214">
        <v>0</v>
      </c>
      <c r="K108" s="214">
        <v>0</v>
      </c>
      <c r="L108" s="214">
        <v>0</v>
      </c>
      <c r="M108" s="214">
        <v>0</v>
      </c>
      <c r="N108" s="214">
        <v>0</v>
      </c>
      <c r="O108" s="214">
        <v>0</v>
      </c>
      <c r="P108" s="214">
        <v>0</v>
      </c>
      <c r="Q108" s="214">
        <v>0</v>
      </c>
      <c r="R108" s="214">
        <v>0</v>
      </c>
      <c r="S108" s="214">
        <v>0</v>
      </c>
      <c r="T108" s="214">
        <v>0</v>
      </c>
      <c r="U108" s="214">
        <v>0</v>
      </c>
      <c r="V108" s="214">
        <v>0</v>
      </c>
      <c r="W108" s="214">
        <v>0</v>
      </c>
      <c r="X108" s="214">
        <v>0</v>
      </c>
      <c r="Y108" s="214">
        <v>0</v>
      </c>
      <c r="Z108" s="214">
        <v>0</v>
      </c>
      <c r="AA108" s="214">
        <v>0</v>
      </c>
      <c r="AB108" s="214">
        <v>0</v>
      </c>
      <c r="AC108" s="214">
        <v>0</v>
      </c>
      <c r="AD108" s="214"/>
      <c r="AE108" s="420">
        <v>0</v>
      </c>
      <c r="AF108" s="420">
        <v>0</v>
      </c>
      <c r="AG108" s="420">
        <v>0</v>
      </c>
      <c r="AH108" s="420"/>
      <c r="AI108" s="574">
        <f t="shared" si="1"/>
        <v>17814</v>
      </c>
      <c r="AJ108" s="212"/>
    </row>
    <row r="109" spans="2:36" ht="14.4">
      <c r="B109" s="211"/>
      <c r="C109" s="213" t="s">
        <v>189</v>
      </c>
      <c r="D109" s="214">
        <v>16217.28</v>
      </c>
      <c r="E109" s="214">
        <v>0</v>
      </c>
      <c r="F109" s="214">
        <v>0</v>
      </c>
      <c r="G109" s="214">
        <v>0</v>
      </c>
      <c r="H109" s="214">
        <v>0</v>
      </c>
      <c r="I109" s="214">
        <v>0</v>
      </c>
      <c r="J109" s="214">
        <v>0</v>
      </c>
      <c r="K109" s="214">
        <v>0</v>
      </c>
      <c r="L109" s="214">
        <v>0</v>
      </c>
      <c r="M109" s="214">
        <v>0</v>
      </c>
      <c r="N109" s="214">
        <v>0</v>
      </c>
      <c r="O109" s="214">
        <v>0</v>
      </c>
      <c r="P109" s="214">
        <v>0</v>
      </c>
      <c r="Q109" s="214">
        <v>0</v>
      </c>
      <c r="R109" s="214">
        <v>0</v>
      </c>
      <c r="S109" s="214">
        <v>0</v>
      </c>
      <c r="T109" s="214">
        <v>0</v>
      </c>
      <c r="U109" s="214">
        <v>0</v>
      </c>
      <c r="V109" s="214">
        <v>0</v>
      </c>
      <c r="W109" s="214">
        <v>0</v>
      </c>
      <c r="X109" s="214">
        <v>0</v>
      </c>
      <c r="Y109" s="214">
        <v>0</v>
      </c>
      <c r="Z109" s="214">
        <v>0</v>
      </c>
      <c r="AA109" s="214">
        <v>0</v>
      </c>
      <c r="AB109" s="214">
        <v>0</v>
      </c>
      <c r="AC109" s="214">
        <v>0</v>
      </c>
      <c r="AD109" s="214"/>
      <c r="AE109" s="420">
        <v>0</v>
      </c>
      <c r="AF109" s="420">
        <v>0</v>
      </c>
      <c r="AG109" s="420">
        <v>0</v>
      </c>
      <c r="AH109" s="420"/>
      <c r="AI109" s="574">
        <f t="shared" si="1"/>
        <v>16217.28</v>
      </c>
      <c r="AJ109" s="212"/>
    </row>
    <row r="110" spans="2:36" ht="14.4">
      <c r="B110" s="211"/>
      <c r="C110" s="213" t="s">
        <v>188</v>
      </c>
      <c r="D110" s="214">
        <v>32715.46</v>
      </c>
      <c r="E110" s="214">
        <v>0</v>
      </c>
      <c r="F110" s="214">
        <v>0</v>
      </c>
      <c r="G110" s="214">
        <v>0</v>
      </c>
      <c r="H110" s="214">
        <v>0</v>
      </c>
      <c r="I110" s="214">
        <v>0</v>
      </c>
      <c r="J110" s="214">
        <v>0</v>
      </c>
      <c r="K110" s="214">
        <v>0</v>
      </c>
      <c r="L110" s="214">
        <v>0</v>
      </c>
      <c r="M110" s="214">
        <v>0</v>
      </c>
      <c r="N110" s="214">
        <v>0</v>
      </c>
      <c r="O110" s="214">
        <v>0</v>
      </c>
      <c r="P110" s="214">
        <v>0</v>
      </c>
      <c r="Q110" s="214">
        <v>0</v>
      </c>
      <c r="R110" s="214">
        <v>0</v>
      </c>
      <c r="S110" s="214">
        <v>0</v>
      </c>
      <c r="T110" s="214">
        <v>0</v>
      </c>
      <c r="U110" s="214">
        <v>0</v>
      </c>
      <c r="V110" s="214">
        <v>0</v>
      </c>
      <c r="W110" s="214">
        <v>0</v>
      </c>
      <c r="X110" s="214">
        <v>0</v>
      </c>
      <c r="Y110" s="214">
        <v>0</v>
      </c>
      <c r="Z110" s="214">
        <v>0</v>
      </c>
      <c r="AA110" s="214">
        <v>0</v>
      </c>
      <c r="AB110" s="214">
        <v>0</v>
      </c>
      <c r="AC110" s="214">
        <v>0</v>
      </c>
      <c r="AD110" s="214"/>
      <c r="AE110" s="420">
        <v>0</v>
      </c>
      <c r="AF110" s="420">
        <v>0</v>
      </c>
      <c r="AG110" s="420">
        <v>0</v>
      </c>
      <c r="AH110" s="420"/>
      <c r="AI110" s="574">
        <f t="shared" si="1"/>
        <v>32715.46</v>
      </c>
      <c r="AJ110" s="212"/>
    </row>
    <row r="111" spans="2:36" ht="14.4">
      <c r="B111" s="211"/>
      <c r="C111" s="213" t="s">
        <v>196</v>
      </c>
      <c r="D111" s="214">
        <v>57468.78</v>
      </c>
      <c r="E111" s="214">
        <v>0</v>
      </c>
      <c r="F111" s="214">
        <v>0</v>
      </c>
      <c r="G111" s="214">
        <v>0</v>
      </c>
      <c r="H111" s="214">
        <v>0</v>
      </c>
      <c r="I111" s="214">
        <v>0</v>
      </c>
      <c r="J111" s="214">
        <v>0</v>
      </c>
      <c r="K111" s="214">
        <v>0</v>
      </c>
      <c r="L111" s="214">
        <v>0</v>
      </c>
      <c r="M111" s="214">
        <v>0</v>
      </c>
      <c r="N111" s="214">
        <v>0</v>
      </c>
      <c r="O111" s="214">
        <v>0</v>
      </c>
      <c r="P111" s="214">
        <v>0</v>
      </c>
      <c r="Q111" s="214">
        <v>0</v>
      </c>
      <c r="R111" s="214">
        <v>0</v>
      </c>
      <c r="S111" s="214">
        <v>0</v>
      </c>
      <c r="T111" s="214">
        <v>0</v>
      </c>
      <c r="U111" s="214">
        <v>0</v>
      </c>
      <c r="V111" s="214">
        <v>0</v>
      </c>
      <c r="W111" s="214">
        <v>0</v>
      </c>
      <c r="X111" s="214">
        <v>0</v>
      </c>
      <c r="Y111" s="214">
        <v>0</v>
      </c>
      <c r="Z111" s="214">
        <v>0</v>
      </c>
      <c r="AA111" s="214">
        <v>0</v>
      </c>
      <c r="AB111" s="214">
        <v>0</v>
      </c>
      <c r="AC111" s="214">
        <v>0</v>
      </c>
      <c r="AD111" s="214"/>
      <c r="AE111" s="420">
        <v>0</v>
      </c>
      <c r="AF111" s="420">
        <v>0</v>
      </c>
      <c r="AG111" s="420">
        <v>0</v>
      </c>
      <c r="AH111" s="420"/>
      <c r="AI111" s="574">
        <f t="shared" si="1"/>
        <v>57468.78</v>
      </c>
      <c r="AJ111" s="212"/>
    </row>
    <row r="112" spans="2:36" ht="14.4">
      <c r="B112" s="211"/>
      <c r="C112" s="213" t="s">
        <v>197</v>
      </c>
      <c r="D112" s="214">
        <v>88117.95</v>
      </c>
      <c r="E112" s="214">
        <v>0</v>
      </c>
      <c r="F112" s="214">
        <v>0</v>
      </c>
      <c r="G112" s="214">
        <v>0</v>
      </c>
      <c r="H112" s="214">
        <v>0</v>
      </c>
      <c r="I112" s="214">
        <v>0</v>
      </c>
      <c r="J112" s="214">
        <v>0</v>
      </c>
      <c r="K112" s="214">
        <v>0</v>
      </c>
      <c r="L112" s="214">
        <v>0</v>
      </c>
      <c r="M112" s="214">
        <v>0</v>
      </c>
      <c r="N112" s="214">
        <v>0</v>
      </c>
      <c r="O112" s="214">
        <v>0</v>
      </c>
      <c r="P112" s="214">
        <v>0</v>
      </c>
      <c r="Q112" s="214">
        <v>0</v>
      </c>
      <c r="R112" s="214">
        <v>0</v>
      </c>
      <c r="S112" s="214">
        <v>0</v>
      </c>
      <c r="T112" s="214">
        <v>0</v>
      </c>
      <c r="U112" s="214">
        <v>0</v>
      </c>
      <c r="V112" s="214">
        <v>0</v>
      </c>
      <c r="W112" s="214">
        <v>0</v>
      </c>
      <c r="X112" s="214">
        <v>0</v>
      </c>
      <c r="Y112" s="214">
        <v>0</v>
      </c>
      <c r="Z112" s="214">
        <v>0</v>
      </c>
      <c r="AA112" s="214">
        <v>0</v>
      </c>
      <c r="AB112" s="214">
        <v>0</v>
      </c>
      <c r="AC112" s="214">
        <v>0</v>
      </c>
      <c r="AD112" s="214"/>
      <c r="AE112" s="420">
        <v>0</v>
      </c>
      <c r="AF112" s="420">
        <v>0</v>
      </c>
      <c r="AG112" s="420">
        <v>0</v>
      </c>
      <c r="AH112" s="420"/>
      <c r="AI112" s="574">
        <f t="shared" si="1"/>
        <v>88117.95</v>
      </c>
      <c r="AJ112" s="212"/>
    </row>
    <row r="113" spans="1:37" ht="14.4">
      <c r="B113" s="211"/>
      <c r="C113" s="213" t="s">
        <v>198</v>
      </c>
      <c r="D113" s="214">
        <v>45418.64</v>
      </c>
      <c r="E113" s="214">
        <v>0</v>
      </c>
      <c r="F113" s="214">
        <v>0</v>
      </c>
      <c r="G113" s="214">
        <v>0</v>
      </c>
      <c r="H113" s="214">
        <v>0</v>
      </c>
      <c r="I113" s="214">
        <v>0</v>
      </c>
      <c r="J113" s="214">
        <v>0</v>
      </c>
      <c r="K113" s="214">
        <v>0</v>
      </c>
      <c r="L113" s="214">
        <v>0</v>
      </c>
      <c r="M113" s="214">
        <v>0</v>
      </c>
      <c r="N113" s="214">
        <v>0</v>
      </c>
      <c r="O113" s="214">
        <v>0</v>
      </c>
      <c r="P113" s="214">
        <v>0</v>
      </c>
      <c r="Q113" s="214">
        <v>0</v>
      </c>
      <c r="R113" s="214">
        <v>0</v>
      </c>
      <c r="S113" s="214">
        <v>0</v>
      </c>
      <c r="T113" s="214">
        <v>0</v>
      </c>
      <c r="U113" s="214">
        <v>0</v>
      </c>
      <c r="V113" s="214">
        <v>0</v>
      </c>
      <c r="W113" s="214">
        <v>0</v>
      </c>
      <c r="X113" s="214">
        <v>0</v>
      </c>
      <c r="Y113" s="214">
        <v>0</v>
      </c>
      <c r="Z113" s="214">
        <v>0</v>
      </c>
      <c r="AA113" s="214">
        <v>0</v>
      </c>
      <c r="AB113" s="214">
        <v>0</v>
      </c>
      <c r="AC113" s="214">
        <v>0</v>
      </c>
      <c r="AD113" s="214"/>
      <c r="AE113" s="420">
        <v>0</v>
      </c>
      <c r="AF113" s="420">
        <v>0</v>
      </c>
      <c r="AG113" s="420">
        <v>0</v>
      </c>
      <c r="AH113" s="420"/>
      <c r="AI113" s="574">
        <f t="shared" si="1"/>
        <v>45418.64</v>
      </c>
      <c r="AJ113" s="212"/>
    </row>
    <row r="114" spans="1:37" ht="14.4">
      <c r="B114" s="211"/>
      <c r="C114" s="213" t="s">
        <v>201</v>
      </c>
      <c r="D114" s="214">
        <v>20328.900000000001</v>
      </c>
      <c r="E114" s="214">
        <v>0</v>
      </c>
      <c r="F114" s="214">
        <v>0</v>
      </c>
      <c r="G114" s="214">
        <v>0</v>
      </c>
      <c r="H114" s="214">
        <v>0</v>
      </c>
      <c r="I114" s="214">
        <v>0</v>
      </c>
      <c r="J114" s="214">
        <v>0</v>
      </c>
      <c r="K114" s="214">
        <v>0</v>
      </c>
      <c r="L114" s="214">
        <v>0</v>
      </c>
      <c r="M114" s="214">
        <v>0</v>
      </c>
      <c r="N114" s="214">
        <v>0</v>
      </c>
      <c r="O114" s="214">
        <v>0</v>
      </c>
      <c r="P114" s="214">
        <v>0</v>
      </c>
      <c r="Q114" s="214">
        <v>0</v>
      </c>
      <c r="R114" s="214">
        <v>0</v>
      </c>
      <c r="S114" s="214">
        <v>0</v>
      </c>
      <c r="T114" s="214">
        <v>0</v>
      </c>
      <c r="U114" s="214">
        <v>0</v>
      </c>
      <c r="V114" s="214">
        <v>0</v>
      </c>
      <c r="W114" s="214">
        <v>0</v>
      </c>
      <c r="X114" s="214">
        <v>0</v>
      </c>
      <c r="Y114" s="214">
        <v>0</v>
      </c>
      <c r="Z114" s="214">
        <v>0</v>
      </c>
      <c r="AA114" s="214">
        <v>0</v>
      </c>
      <c r="AB114" s="214">
        <v>0</v>
      </c>
      <c r="AC114" s="214">
        <v>0</v>
      </c>
      <c r="AD114" s="214"/>
      <c r="AE114" s="420">
        <v>0</v>
      </c>
      <c r="AF114" s="420">
        <v>0</v>
      </c>
      <c r="AG114" s="420">
        <v>0</v>
      </c>
      <c r="AH114" s="420"/>
      <c r="AI114" s="574">
        <f t="shared" si="1"/>
        <v>20328.900000000001</v>
      </c>
      <c r="AJ114" s="212"/>
    </row>
    <row r="115" spans="1:37" ht="14.4">
      <c r="B115" s="211"/>
      <c r="C115" s="213" t="s">
        <v>202</v>
      </c>
      <c r="D115" s="214">
        <v>31885.69</v>
      </c>
      <c r="E115" s="214">
        <v>0</v>
      </c>
      <c r="F115" s="214">
        <v>0</v>
      </c>
      <c r="G115" s="214">
        <v>0</v>
      </c>
      <c r="H115" s="214">
        <v>0</v>
      </c>
      <c r="I115" s="214">
        <v>0</v>
      </c>
      <c r="J115" s="214">
        <v>0</v>
      </c>
      <c r="K115" s="214">
        <v>0</v>
      </c>
      <c r="L115" s="214">
        <v>0</v>
      </c>
      <c r="M115" s="214">
        <v>0</v>
      </c>
      <c r="N115" s="214">
        <v>0</v>
      </c>
      <c r="O115" s="214">
        <v>0</v>
      </c>
      <c r="P115" s="214">
        <v>0</v>
      </c>
      <c r="Q115" s="214">
        <v>0</v>
      </c>
      <c r="R115" s="214">
        <v>0</v>
      </c>
      <c r="S115" s="214">
        <v>0</v>
      </c>
      <c r="T115" s="214">
        <v>0</v>
      </c>
      <c r="U115" s="214">
        <v>0</v>
      </c>
      <c r="V115" s="214">
        <v>0</v>
      </c>
      <c r="W115" s="214">
        <v>0</v>
      </c>
      <c r="X115" s="214">
        <v>0</v>
      </c>
      <c r="Y115" s="214">
        <v>0</v>
      </c>
      <c r="Z115" s="214">
        <v>0</v>
      </c>
      <c r="AA115" s="214">
        <v>0</v>
      </c>
      <c r="AB115" s="214">
        <v>0</v>
      </c>
      <c r="AC115" s="214">
        <v>0</v>
      </c>
      <c r="AD115" s="214"/>
      <c r="AE115" s="420">
        <v>0</v>
      </c>
      <c r="AF115" s="420">
        <v>0</v>
      </c>
      <c r="AG115" s="420">
        <v>0</v>
      </c>
      <c r="AH115" s="420"/>
      <c r="AI115" s="574">
        <f t="shared" si="1"/>
        <v>31885.69</v>
      </c>
      <c r="AJ115" s="212"/>
    </row>
    <row r="116" spans="1:37" ht="14.4">
      <c r="B116" s="211"/>
      <c r="C116" s="213" t="s">
        <v>206</v>
      </c>
      <c r="D116" s="214">
        <v>20793.88</v>
      </c>
      <c r="E116" s="214">
        <v>0</v>
      </c>
      <c r="F116" s="214">
        <v>0</v>
      </c>
      <c r="G116" s="214">
        <v>0</v>
      </c>
      <c r="H116" s="214">
        <v>0</v>
      </c>
      <c r="I116" s="214">
        <v>0</v>
      </c>
      <c r="J116" s="214">
        <v>0</v>
      </c>
      <c r="K116" s="214">
        <v>0</v>
      </c>
      <c r="L116" s="214">
        <v>0</v>
      </c>
      <c r="M116" s="214">
        <v>0</v>
      </c>
      <c r="N116" s="214">
        <v>0</v>
      </c>
      <c r="O116" s="214">
        <v>0</v>
      </c>
      <c r="P116" s="214">
        <v>0</v>
      </c>
      <c r="Q116" s="214">
        <v>0</v>
      </c>
      <c r="R116" s="214">
        <v>0</v>
      </c>
      <c r="S116" s="214">
        <v>0</v>
      </c>
      <c r="T116" s="214">
        <v>0</v>
      </c>
      <c r="U116" s="214">
        <v>0</v>
      </c>
      <c r="V116" s="214">
        <v>0</v>
      </c>
      <c r="W116" s="214">
        <v>0</v>
      </c>
      <c r="X116" s="214">
        <v>0</v>
      </c>
      <c r="Y116" s="214">
        <v>0</v>
      </c>
      <c r="Z116" s="214">
        <v>0</v>
      </c>
      <c r="AA116" s="214">
        <v>0</v>
      </c>
      <c r="AB116" s="214">
        <v>0</v>
      </c>
      <c r="AC116" s="214">
        <v>0</v>
      </c>
      <c r="AD116" s="214"/>
      <c r="AE116" s="420">
        <v>0</v>
      </c>
      <c r="AF116" s="420">
        <v>0</v>
      </c>
      <c r="AG116" s="420">
        <v>0</v>
      </c>
      <c r="AH116" s="420"/>
      <c r="AI116" s="574">
        <f t="shared" si="1"/>
        <v>20793.88</v>
      </c>
      <c r="AJ116" s="212"/>
    </row>
    <row r="117" spans="1:37" ht="14.4">
      <c r="B117" s="211"/>
      <c r="C117" s="213" t="s">
        <v>207</v>
      </c>
      <c r="D117" s="214">
        <v>10537.5</v>
      </c>
      <c r="E117" s="214">
        <v>3018.75</v>
      </c>
      <c r="F117" s="214">
        <v>3450</v>
      </c>
      <c r="G117" s="214">
        <v>3975</v>
      </c>
      <c r="H117" s="214">
        <v>431.25</v>
      </c>
      <c r="I117" s="214">
        <v>1293.75</v>
      </c>
      <c r="J117" s="214">
        <v>0</v>
      </c>
      <c r="K117" s="214">
        <v>0</v>
      </c>
      <c r="L117" s="214">
        <v>862.5</v>
      </c>
      <c r="M117" s="214">
        <v>1293.75</v>
      </c>
      <c r="N117" s="214">
        <v>431.25</v>
      </c>
      <c r="O117" s="214">
        <v>0</v>
      </c>
      <c r="P117" s="214">
        <v>431.25</v>
      </c>
      <c r="Q117" s="214">
        <v>431.25</v>
      </c>
      <c r="R117" s="214">
        <v>1387.5</v>
      </c>
      <c r="S117" s="214">
        <v>862.5</v>
      </c>
      <c r="T117" s="214">
        <v>0</v>
      </c>
      <c r="U117" s="214">
        <v>0</v>
      </c>
      <c r="V117" s="214">
        <v>0</v>
      </c>
      <c r="W117" s="214">
        <v>0</v>
      </c>
      <c r="X117" s="214">
        <v>431.25</v>
      </c>
      <c r="Y117" s="214">
        <v>431.25</v>
      </c>
      <c r="Z117" s="214">
        <v>0</v>
      </c>
      <c r="AA117" s="214">
        <v>431.25</v>
      </c>
      <c r="AB117" s="214">
        <v>0</v>
      </c>
      <c r="AC117" s="214">
        <v>431.25</v>
      </c>
      <c r="AD117" s="214"/>
      <c r="AE117" s="420">
        <v>431.25</v>
      </c>
      <c r="AF117" s="420">
        <v>0</v>
      </c>
      <c r="AG117" s="420">
        <v>0</v>
      </c>
      <c r="AH117" s="420"/>
      <c r="AI117" s="574">
        <f t="shared" si="1"/>
        <v>30562.5</v>
      </c>
      <c r="AJ117" s="212"/>
    </row>
    <row r="118" spans="1:37" ht="14.4">
      <c r="B118" s="211"/>
      <c r="C118" s="213" t="s">
        <v>208</v>
      </c>
      <c r="D118" s="214">
        <v>22944.91</v>
      </c>
      <c r="E118" s="214">
        <v>0</v>
      </c>
      <c r="F118" s="214">
        <v>0</v>
      </c>
      <c r="G118" s="214">
        <v>0</v>
      </c>
      <c r="H118" s="214">
        <v>0</v>
      </c>
      <c r="I118" s="214">
        <v>0</v>
      </c>
      <c r="J118" s="214">
        <v>0</v>
      </c>
      <c r="K118" s="214">
        <v>0</v>
      </c>
      <c r="L118" s="214">
        <v>0</v>
      </c>
      <c r="M118" s="214">
        <v>0</v>
      </c>
      <c r="N118" s="214">
        <v>0</v>
      </c>
      <c r="O118" s="214">
        <v>0</v>
      </c>
      <c r="P118" s="214">
        <v>0</v>
      </c>
      <c r="Q118" s="214">
        <v>0</v>
      </c>
      <c r="R118" s="214">
        <v>0</v>
      </c>
      <c r="S118" s="214">
        <v>0</v>
      </c>
      <c r="T118" s="214">
        <v>0</v>
      </c>
      <c r="U118" s="214">
        <v>0</v>
      </c>
      <c r="V118" s="214">
        <v>0</v>
      </c>
      <c r="W118" s="214">
        <v>0</v>
      </c>
      <c r="X118" s="214">
        <v>0</v>
      </c>
      <c r="Y118" s="214">
        <v>0</v>
      </c>
      <c r="Z118" s="214">
        <v>0</v>
      </c>
      <c r="AA118" s="214">
        <v>0</v>
      </c>
      <c r="AB118" s="214">
        <v>0</v>
      </c>
      <c r="AC118" s="214">
        <v>0</v>
      </c>
      <c r="AD118" s="214"/>
      <c r="AE118" s="420">
        <v>0</v>
      </c>
      <c r="AF118" s="420">
        <v>0</v>
      </c>
      <c r="AG118" s="420">
        <v>0</v>
      </c>
      <c r="AH118" s="420"/>
      <c r="AI118" s="574">
        <f t="shared" si="1"/>
        <v>22944.91</v>
      </c>
      <c r="AJ118" s="212"/>
    </row>
    <row r="119" spans="1:37" ht="14.4">
      <c r="B119" s="211"/>
      <c r="C119" s="240" t="s">
        <v>236</v>
      </c>
      <c r="D119" s="214">
        <v>24094.78</v>
      </c>
      <c r="E119" s="214">
        <v>0</v>
      </c>
      <c r="F119" s="214">
        <v>0</v>
      </c>
      <c r="G119" s="214">
        <v>0</v>
      </c>
      <c r="H119" s="214">
        <v>0</v>
      </c>
      <c r="I119" s="214">
        <v>0</v>
      </c>
      <c r="J119" s="214">
        <v>0</v>
      </c>
      <c r="K119" s="214">
        <v>0</v>
      </c>
      <c r="L119" s="214">
        <v>0</v>
      </c>
      <c r="M119" s="214">
        <v>0</v>
      </c>
      <c r="N119" s="214">
        <v>0</v>
      </c>
      <c r="O119" s="214">
        <v>0</v>
      </c>
      <c r="P119" s="214">
        <v>0</v>
      </c>
      <c r="Q119" s="214">
        <v>0</v>
      </c>
      <c r="R119" s="214">
        <v>0</v>
      </c>
      <c r="S119" s="214">
        <v>0</v>
      </c>
      <c r="T119" s="214">
        <v>0</v>
      </c>
      <c r="U119" s="214">
        <v>0</v>
      </c>
      <c r="V119" s="214">
        <v>0</v>
      </c>
      <c r="W119" s="214">
        <v>0</v>
      </c>
      <c r="X119" s="214">
        <v>0</v>
      </c>
      <c r="Y119" s="214">
        <v>0</v>
      </c>
      <c r="Z119" s="214">
        <v>0</v>
      </c>
      <c r="AA119" s="214">
        <v>0</v>
      </c>
      <c r="AB119" s="214">
        <v>0</v>
      </c>
      <c r="AC119" s="214">
        <v>0</v>
      </c>
      <c r="AD119" s="214"/>
      <c r="AE119" s="420">
        <v>0</v>
      </c>
      <c r="AF119" s="420">
        <v>0</v>
      </c>
      <c r="AG119" s="420">
        <v>0</v>
      </c>
      <c r="AH119" s="420"/>
      <c r="AI119" s="574">
        <f t="shared" si="1"/>
        <v>24094.78</v>
      </c>
      <c r="AJ119" s="212"/>
    </row>
    <row r="120" spans="1:37" ht="14.4">
      <c r="B120" s="211"/>
      <c r="C120" s="240" t="s">
        <v>209</v>
      </c>
      <c r="D120" s="214">
        <v>18700</v>
      </c>
      <c r="E120" s="214">
        <v>0</v>
      </c>
      <c r="F120" s="214">
        <v>0</v>
      </c>
      <c r="G120" s="214">
        <v>0</v>
      </c>
      <c r="H120" s="214">
        <v>0</v>
      </c>
      <c r="I120" s="214">
        <v>0</v>
      </c>
      <c r="J120" s="214">
        <v>0</v>
      </c>
      <c r="K120" s="214">
        <v>0</v>
      </c>
      <c r="L120" s="214">
        <v>0</v>
      </c>
      <c r="M120" s="214">
        <v>0</v>
      </c>
      <c r="N120" s="214">
        <v>0</v>
      </c>
      <c r="O120" s="214">
        <v>0</v>
      </c>
      <c r="P120" s="214">
        <v>0</v>
      </c>
      <c r="Q120" s="214">
        <v>0</v>
      </c>
      <c r="R120" s="214">
        <v>0</v>
      </c>
      <c r="S120" s="214">
        <v>0</v>
      </c>
      <c r="T120" s="214">
        <v>0</v>
      </c>
      <c r="U120" s="214">
        <v>0</v>
      </c>
      <c r="V120" s="214">
        <v>0</v>
      </c>
      <c r="W120" s="214">
        <v>0</v>
      </c>
      <c r="X120" s="214">
        <v>0</v>
      </c>
      <c r="Y120" s="214">
        <v>0</v>
      </c>
      <c r="Z120" s="214">
        <v>0</v>
      </c>
      <c r="AA120" s="214">
        <v>0</v>
      </c>
      <c r="AB120" s="214">
        <v>0</v>
      </c>
      <c r="AC120" s="214">
        <v>0</v>
      </c>
      <c r="AD120" s="241"/>
      <c r="AE120" s="420">
        <v>0</v>
      </c>
      <c r="AF120" s="420">
        <v>0</v>
      </c>
      <c r="AG120" s="420">
        <v>0</v>
      </c>
      <c r="AH120" s="420"/>
      <c r="AI120" s="574">
        <f t="shared" si="1"/>
        <v>18700</v>
      </c>
      <c r="AJ120" s="212"/>
    </row>
    <row r="121" spans="1:37" ht="14.4">
      <c r="B121" s="211"/>
      <c r="C121" s="150" t="s">
        <v>360</v>
      </c>
      <c r="D121" s="214">
        <v>0</v>
      </c>
      <c r="E121" s="214">
        <f>1219+183505.06</f>
        <v>184724.06</v>
      </c>
      <c r="F121" s="214">
        <f>348+110553.2</f>
        <v>110901.2</v>
      </c>
      <c r="G121" s="214">
        <v>0</v>
      </c>
      <c r="H121" s="214">
        <f>270+199426.6</f>
        <v>199696.6</v>
      </c>
      <c r="I121" s="214">
        <v>0</v>
      </c>
      <c r="J121" s="214">
        <v>0</v>
      </c>
      <c r="K121" s="214">
        <v>0</v>
      </c>
      <c r="L121" s="214">
        <v>0</v>
      </c>
      <c r="M121" s="214">
        <f>1029+17611.9</f>
        <v>18640.900000000001</v>
      </c>
      <c r="N121" s="214">
        <v>83.23</v>
      </c>
      <c r="O121" s="214">
        <f>19+138790.63</f>
        <v>138809.63</v>
      </c>
      <c r="P121" s="214">
        <f>30+58314.87</f>
        <v>58344.87</v>
      </c>
      <c r="Q121" s="214">
        <f>276+123015.55</f>
        <v>123291.55</v>
      </c>
      <c r="R121" s="214">
        <v>3.6</v>
      </c>
      <c r="S121" s="214">
        <v>60731.69</v>
      </c>
      <c r="T121" s="214">
        <v>0</v>
      </c>
      <c r="U121" s="214">
        <v>0</v>
      </c>
      <c r="V121" s="214">
        <v>0</v>
      </c>
      <c r="W121" s="214">
        <v>0</v>
      </c>
      <c r="X121" s="214">
        <v>0</v>
      </c>
      <c r="Y121" s="214">
        <v>0</v>
      </c>
      <c r="Z121" s="214">
        <v>0</v>
      </c>
      <c r="AA121" s="214">
        <v>0</v>
      </c>
      <c r="AB121" s="214">
        <v>0</v>
      </c>
      <c r="AC121" s="214">
        <v>0</v>
      </c>
      <c r="AD121" s="241"/>
      <c r="AE121" s="420">
        <f>78+48562.43</f>
        <v>48640.43</v>
      </c>
      <c r="AF121" s="420">
        <v>0</v>
      </c>
      <c r="AG121" s="420">
        <v>0</v>
      </c>
      <c r="AH121" s="420"/>
      <c r="AI121" s="574">
        <f t="shared" si="1"/>
        <v>943867.76000000013</v>
      </c>
      <c r="AJ121" s="212"/>
    </row>
    <row r="122" spans="1:37" ht="14.4">
      <c r="B122" s="211"/>
      <c r="C122" s="341" t="s">
        <v>400</v>
      </c>
      <c r="D122" s="241"/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  <c r="AA122" s="241"/>
      <c r="AB122" s="241"/>
      <c r="AC122" s="241"/>
      <c r="AD122" s="241"/>
      <c r="AE122" s="420"/>
      <c r="AF122" s="420"/>
      <c r="AG122" s="420"/>
      <c r="AH122" s="420"/>
      <c r="AI122" s="574">
        <f t="shared" si="1"/>
        <v>0</v>
      </c>
      <c r="AJ122" s="212"/>
    </row>
    <row r="123" spans="1:37" ht="14.4">
      <c r="B123" s="211"/>
      <c r="C123" s="149" t="s">
        <v>363</v>
      </c>
      <c r="D123" s="224">
        <f t="shared" ref="D123:L123" si="2">SUM(D10:D121)</f>
        <v>2115892.6399999992</v>
      </c>
      <c r="E123" s="224">
        <f t="shared" si="2"/>
        <v>702776.08999999985</v>
      </c>
      <c r="F123" s="224">
        <f t="shared" si="2"/>
        <v>591189.68999999994</v>
      </c>
      <c r="G123" s="224">
        <f t="shared" si="2"/>
        <v>442745.70999999996</v>
      </c>
      <c r="H123" s="224">
        <f t="shared" si="2"/>
        <v>511847.77</v>
      </c>
      <c r="I123" s="224">
        <f t="shared" si="2"/>
        <v>95193.369999999981</v>
      </c>
      <c r="J123" s="224">
        <f t="shared" si="2"/>
        <v>16530.760000000002</v>
      </c>
      <c r="K123" s="224">
        <f t="shared" si="2"/>
        <v>16765.349999999999</v>
      </c>
      <c r="L123" s="224">
        <f t="shared" si="2"/>
        <v>24960.77</v>
      </c>
      <c r="M123" s="224">
        <f t="shared" ref="M123:AI123" si="3">SUM(M10:M121)</f>
        <v>214956.22000000003</v>
      </c>
      <c r="N123" s="224">
        <f t="shared" si="3"/>
        <v>37334.65</v>
      </c>
      <c r="O123" s="224">
        <f t="shared" si="3"/>
        <v>455951.65999999992</v>
      </c>
      <c r="P123" s="224">
        <f t="shared" si="3"/>
        <v>274870.72000000003</v>
      </c>
      <c r="Q123" s="224">
        <f t="shared" si="3"/>
        <v>642499.96000000008</v>
      </c>
      <c r="R123" s="224">
        <f t="shared" si="3"/>
        <v>90131.67</v>
      </c>
      <c r="S123" s="224">
        <f t="shared" si="3"/>
        <v>349935.47</v>
      </c>
      <c r="T123" s="224">
        <f t="shared" si="3"/>
        <v>10628.91</v>
      </c>
      <c r="U123" s="224">
        <f t="shared" si="3"/>
        <v>22401.61</v>
      </c>
      <c r="V123" s="224">
        <f t="shared" si="3"/>
        <v>30373.89</v>
      </c>
      <c r="W123" s="224">
        <f t="shared" si="3"/>
        <v>10238.779999999999</v>
      </c>
      <c r="X123" s="224">
        <f t="shared" si="3"/>
        <v>43990.37999999999</v>
      </c>
      <c r="Y123" s="224">
        <f t="shared" si="3"/>
        <v>14503.05</v>
      </c>
      <c r="Z123" s="224">
        <f t="shared" si="3"/>
        <v>13239.8</v>
      </c>
      <c r="AA123" s="224">
        <f t="shared" si="3"/>
        <v>43629.43</v>
      </c>
      <c r="AB123" s="224">
        <f t="shared" si="3"/>
        <v>23345.090000000004</v>
      </c>
      <c r="AC123" s="224">
        <f t="shared" si="3"/>
        <v>20293.170000000002</v>
      </c>
      <c r="AD123" s="224">
        <f t="shared" si="3"/>
        <v>0</v>
      </c>
      <c r="AE123" s="224">
        <f t="shared" si="3"/>
        <v>366211.54</v>
      </c>
      <c r="AF123" s="224">
        <f t="shared" si="3"/>
        <v>13013.84</v>
      </c>
      <c r="AG123" s="224">
        <f t="shared" si="3"/>
        <v>10637.66</v>
      </c>
      <c r="AH123" s="224">
        <f t="shared" si="3"/>
        <v>0</v>
      </c>
      <c r="AI123" s="575">
        <f t="shared" si="3"/>
        <v>7206089.6500000013</v>
      </c>
      <c r="AJ123" s="212"/>
    </row>
    <row r="124" spans="1:37" ht="14.4">
      <c r="B124" s="218"/>
      <c r="C124" s="219"/>
      <c r="D124" s="395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  <c r="AB124" s="219"/>
      <c r="AC124" s="219"/>
      <c r="AD124" s="219"/>
      <c r="AE124" s="219"/>
      <c r="AF124" s="219"/>
      <c r="AG124" s="219"/>
      <c r="AH124" s="219"/>
      <c r="AI124" s="576"/>
      <c r="AJ124" s="212"/>
    </row>
    <row r="125" spans="1:37" ht="14.4">
      <c r="B125" s="209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577"/>
      <c r="AJ125" s="209"/>
    </row>
    <row r="126" spans="1:37" s="202" customFormat="1" ht="14.4">
      <c r="A126" s="190"/>
      <c r="B126" s="220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578"/>
      <c r="AJ126" s="222"/>
      <c r="AK126" s="223"/>
    </row>
    <row r="129" spans="1:36">
      <c r="A129" s="202"/>
    </row>
    <row r="130" spans="1:36" ht="21">
      <c r="A130" s="203"/>
      <c r="B130" s="204"/>
      <c r="C130" s="116" t="s">
        <v>272</v>
      </c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570"/>
      <c r="AJ130" s="117"/>
    </row>
    <row r="131" spans="1:36" ht="21">
      <c r="A131" s="206"/>
      <c r="B131" s="207"/>
      <c r="C131" s="119"/>
      <c r="D131" s="120"/>
      <c r="E131" s="634"/>
      <c r="F131" s="634"/>
      <c r="G131" s="634"/>
      <c r="H131" s="634"/>
      <c r="I131" s="634"/>
      <c r="J131" s="634"/>
      <c r="K131" s="120"/>
      <c r="L131" s="120"/>
      <c r="M131" s="120"/>
      <c r="N131" s="634" t="s">
        <v>371</v>
      </c>
      <c r="O131" s="634"/>
      <c r="P131" s="634"/>
      <c r="Q131" s="634"/>
      <c r="R131" s="634"/>
      <c r="S131" s="634"/>
      <c r="T131" s="634"/>
      <c r="U131" s="634"/>
      <c r="V131" s="634"/>
      <c r="W131" s="634"/>
      <c r="X131" s="634"/>
      <c r="Y131" s="634"/>
      <c r="Z131" s="634"/>
      <c r="AA131" s="120"/>
      <c r="AB131" s="120"/>
      <c r="AC131" s="120"/>
      <c r="AD131" s="120"/>
      <c r="AE131" s="120"/>
      <c r="AF131" s="120"/>
      <c r="AG131" s="120"/>
      <c r="AH131" s="120"/>
      <c r="AI131" s="571"/>
      <c r="AJ131" s="120"/>
    </row>
    <row r="132" spans="1:36" ht="14.4">
      <c r="A132" s="205"/>
    </row>
    <row r="133" spans="1:36" ht="14.4">
      <c r="B133" s="208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573"/>
      <c r="AJ133" s="210"/>
    </row>
    <row r="134" spans="1:36" ht="14.4">
      <c r="B134" s="211"/>
      <c r="C134" s="133" t="s">
        <v>264</v>
      </c>
      <c r="D134" s="126" t="s">
        <v>184</v>
      </c>
      <c r="E134" s="201" t="s">
        <v>36</v>
      </c>
      <c r="F134" s="201" t="s">
        <v>9</v>
      </c>
      <c r="G134" s="201" t="s">
        <v>25</v>
      </c>
      <c r="H134" s="201" t="s">
        <v>160</v>
      </c>
      <c r="I134" s="201" t="s">
        <v>139</v>
      </c>
      <c r="J134" s="201" t="s">
        <v>37</v>
      </c>
      <c r="K134" s="201" t="s">
        <v>133</v>
      </c>
      <c r="L134" s="201" t="s">
        <v>123</v>
      </c>
      <c r="M134" s="201" t="s">
        <v>145</v>
      </c>
      <c r="N134" s="201" t="s">
        <v>124</v>
      </c>
      <c r="O134" s="201" t="s">
        <v>169</v>
      </c>
      <c r="P134" s="201" t="s">
        <v>243</v>
      </c>
      <c r="Q134" s="201" t="s">
        <v>175</v>
      </c>
      <c r="R134" s="201" t="s">
        <v>170</v>
      </c>
      <c r="S134" s="201" t="s">
        <v>203</v>
      </c>
      <c r="T134" s="201" t="s">
        <v>172</v>
      </c>
      <c r="U134" s="201" t="s">
        <v>176</v>
      </c>
      <c r="V134" s="201" t="s">
        <v>177</v>
      </c>
      <c r="W134" s="201" t="s">
        <v>178</v>
      </c>
      <c r="X134" s="201" t="s">
        <v>179</v>
      </c>
      <c r="Y134" s="201" t="s">
        <v>181</v>
      </c>
      <c r="Z134" s="201" t="s">
        <v>182</v>
      </c>
      <c r="AA134" s="201" t="s">
        <v>187</v>
      </c>
      <c r="AB134" s="201" t="s">
        <v>233</v>
      </c>
      <c r="AC134" s="201" t="s">
        <v>240</v>
      </c>
      <c r="AD134" s="201" t="s">
        <v>245</v>
      </c>
      <c r="AE134" s="201" t="s">
        <v>357</v>
      </c>
      <c r="AF134" s="201" t="s">
        <v>362</v>
      </c>
      <c r="AG134" s="201" t="s">
        <v>361</v>
      </c>
      <c r="AH134" s="201" t="s">
        <v>234</v>
      </c>
      <c r="AI134" s="568" t="s">
        <v>239</v>
      </c>
      <c r="AJ134" s="212"/>
    </row>
    <row r="135" spans="1:36" ht="14.4">
      <c r="B135" s="211"/>
      <c r="C135" s="213" t="s">
        <v>40</v>
      </c>
      <c r="D135" s="214">
        <v>899945.03</v>
      </c>
      <c r="E135" s="214">
        <v>0</v>
      </c>
      <c r="F135" s="214">
        <v>0</v>
      </c>
      <c r="G135" s="214">
        <v>0</v>
      </c>
      <c r="H135" s="214">
        <v>0</v>
      </c>
      <c r="I135" s="214">
        <v>0</v>
      </c>
      <c r="J135" s="214">
        <v>0</v>
      </c>
      <c r="K135" s="214" t="s">
        <v>372</v>
      </c>
      <c r="L135" s="214">
        <v>0</v>
      </c>
      <c r="M135" s="214">
        <v>0</v>
      </c>
      <c r="N135" s="214">
        <v>0</v>
      </c>
      <c r="O135" s="214">
        <v>0</v>
      </c>
      <c r="P135" s="214">
        <v>0</v>
      </c>
      <c r="Q135" s="214">
        <v>0</v>
      </c>
      <c r="R135" s="214">
        <v>0</v>
      </c>
      <c r="S135" s="214">
        <v>0</v>
      </c>
      <c r="T135" s="214">
        <v>0</v>
      </c>
      <c r="U135" s="214">
        <v>0</v>
      </c>
      <c r="V135" s="214">
        <v>0</v>
      </c>
      <c r="W135" s="214">
        <v>0</v>
      </c>
      <c r="X135" s="214">
        <v>0</v>
      </c>
      <c r="Y135" s="214">
        <v>0</v>
      </c>
      <c r="Z135" s="214">
        <v>0</v>
      </c>
      <c r="AA135" s="214">
        <v>0</v>
      </c>
      <c r="AB135" s="214">
        <v>0</v>
      </c>
      <c r="AC135" s="214">
        <v>0</v>
      </c>
      <c r="AD135" s="214"/>
      <c r="AE135" s="420">
        <v>0</v>
      </c>
      <c r="AF135" s="420">
        <v>0</v>
      </c>
      <c r="AG135" s="420">
        <v>0</v>
      </c>
      <c r="AH135" s="420"/>
      <c r="AI135" s="574">
        <f>SUM(D135:AH135)</f>
        <v>899945.03</v>
      </c>
      <c r="AJ135" s="212"/>
    </row>
    <row r="136" spans="1:36" ht="14.4">
      <c r="B136" s="211"/>
      <c r="C136" s="213" t="s">
        <v>41</v>
      </c>
      <c r="D136" s="214">
        <v>365</v>
      </c>
      <c r="E136" s="214">
        <v>252633.84999999998</v>
      </c>
      <c r="F136" s="214">
        <v>374699.83</v>
      </c>
      <c r="G136" s="214">
        <v>243252.09999999998</v>
      </c>
      <c r="H136" s="214">
        <v>394064.43</v>
      </c>
      <c r="I136" s="214">
        <v>37302.720000000001</v>
      </c>
      <c r="J136" s="214">
        <v>13610.24</v>
      </c>
      <c r="K136" s="214">
        <v>16845.580000000002</v>
      </c>
      <c r="L136" s="214">
        <v>17968.12</v>
      </c>
      <c r="M136" s="214">
        <v>208792.35000000003</v>
      </c>
      <c r="N136" s="214">
        <v>19376.46</v>
      </c>
      <c r="O136" s="214">
        <v>299809.86</v>
      </c>
      <c r="P136" s="214">
        <v>198613.54</v>
      </c>
      <c r="Q136" s="214">
        <v>390468.92000000004</v>
      </c>
      <c r="R136" s="214">
        <v>27076.59</v>
      </c>
      <c r="S136" s="214">
        <v>150363.25</v>
      </c>
      <c r="T136" s="214">
        <v>9891</v>
      </c>
      <c r="U136" s="214">
        <v>15327.43</v>
      </c>
      <c r="V136" s="214">
        <v>20626.8</v>
      </c>
      <c r="W136" s="214">
        <v>7015.4</v>
      </c>
      <c r="X136" s="214">
        <v>9592.2000000000007</v>
      </c>
      <c r="Y136" s="214">
        <v>9115.74</v>
      </c>
      <c r="Z136" s="214">
        <v>6644.0599999999995</v>
      </c>
      <c r="AA136" s="214">
        <v>8786.130000000001</v>
      </c>
      <c r="AB136" s="214">
        <v>34570.9</v>
      </c>
      <c r="AC136" s="214">
        <v>16312.119999999999</v>
      </c>
      <c r="AD136" s="214"/>
      <c r="AE136" s="420">
        <v>310679.48</v>
      </c>
      <c r="AF136" s="420">
        <v>4835.46</v>
      </c>
      <c r="AG136" s="420">
        <v>15068.46</v>
      </c>
      <c r="AH136" s="420">
        <v>0</v>
      </c>
      <c r="AI136" s="574">
        <f t="shared" ref="AI136:AI199" si="4">SUM(D136:AH136)</f>
        <v>3113708.02</v>
      </c>
      <c r="AJ136" s="212"/>
    </row>
    <row r="137" spans="1:36" ht="14.4">
      <c r="B137" s="211"/>
      <c r="C137" s="213" t="s">
        <v>26</v>
      </c>
      <c r="D137" s="214">
        <v>1000</v>
      </c>
      <c r="E137" s="214">
        <v>0</v>
      </c>
      <c r="F137" s="214">
        <v>1855</v>
      </c>
      <c r="G137" s="214">
        <v>3225</v>
      </c>
      <c r="H137" s="214">
        <v>3480</v>
      </c>
      <c r="I137" s="214">
        <v>0</v>
      </c>
      <c r="J137" s="214">
        <v>0</v>
      </c>
      <c r="K137" s="214">
        <v>0</v>
      </c>
      <c r="L137" s="214">
        <v>0</v>
      </c>
      <c r="M137" s="214">
        <v>0</v>
      </c>
      <c r="N137" s="214">
        <v>0</v>
      </c>
      <c r="O137" s="214">
        <v>1000</v>
      </c>
      <c r="P137" s="214">
        <v>2722</v>
      </c>
      <c r="Q137" s="214">
        <v>0</v>
      </c>
      <c r="R137" s="214">
        <v>0</v>
      </c>
      <c r="S137" s="214">
        <v>3555</v>
      </c>
      <c r="T137" s="214">
        <v>0</v>
      </c>
      <c r="U137" s="214">
        <v>0</v>
      </c>
      <c r="V137" s="214">
        <v>0</v>
      </c>
      <c r="W137" s="214">
        <v>0</v>
      </c>
      <c r="X137" s="214">
        <v>0</v>
      </c>
      <c r="Y137" s="214">
        <v>0</v>
      </c>
      <c r="Z137" s="214">
        <v>0</v>
      </c>
      <c r="AA137" s="214">
        <v>0</v>
      </c>
      <c r="AB137" s="214">
        <v>0</v>
      </c>
      <c r="AC137" s="214">
        <v>0</v>
      </c>
      <c r="AD137" s="214"/>
      <c r="AE137" s="420">
        <v>1000</v>
      </c>
      <c r="AF137" s="420">
        <v>0</v>
      </c>
      <c r="AG137" s="420">
        <v>0</v>
      </c>
      <c r="AH137" s="420"/>
      <c r="AI137" s="574">
        <f t="shared" si="4"/>
        <v>17837</v>
      </c>
      <c r="AJ137" s="212"/>
    </row>
    <row r="138" spans="1:36" ht="14.4">
      <c r="B138" s="211"/>
      <c r="C138" s="213" t="s">
        <v>27</v>
      </c>
      <c r="D138" s="214">
        <v>0</v>
      </c>
      <c r="E138" s="214">
        <v>200</v>
      </c>
      <c r="F138" s="214">
        <v>0</v>
      </c>
      <c r="G138" s="214">
        <v>0</v>
      </c>
      <c r="H138" s="214">
        <v>0</v>
      </c>
      <c r="I138" s="214">
        <v>0</v>
      </c>
      <c r="J138" s="214">
        <v>0</v>
      </c>
      <c r="K138" s="214">
        <v>0</v>
      </c>
      <c r="L138" s="214">
        <v>0</v>
      </c>
      <c r="M138" s="214">
        <v>0</v>
      </c>
      <c r="N138" s="214">
        <v>0</v>
      </c>
      <c r="O138" s="214">
        <v>0</v>
      </c>
      <c r="P138" s="214">
        <v>0</v>
      </c>
      <c r="Q138" s="214">
        <v>0</v>
      </c>
      <c r="R138" s="214">
        <v>0</v>
      </c>
      <c r="S138" s="214">
        <v>0</v>
      </c>
      <c r="T138" s="214">
        <v>0</v>
      </c>
      <c r="U138" s="214">
        <v>0</v>
      </c>
      <c r="V138" s="214">
        <v>0</v>
      </c>
      <c r="W138" s="214">
        <v>0</v>
      </c>
      <c r="X138" s="214">
        <v>0</v>
      </c>
      <c r="Y138" s="214">
        <v>0</v>
      </c>
      <c r="Z138" s="214">
        <v>0</v>
      </c>
      <c r="AA138" s="214">
        <v>0</v>
      </c>
      <c r="AB138" s="214">
        <v>0</v>
      </c>
      <c r="AC138" s="214">
        <v>0</v>
      </c>
      <c r="AD138" s="214"/>
      <c r="AE138" s="420">
        <v>0</v>
      </c>
      <c r="AF138" s="420">
        <v>0</v>
      </c>
      <c r="AG138" s="420">
        <v>0</v>
      </c>
      <c r="AH138" s="420"/>
      <c r="AI138" s="574">
        <f t="shared" si="4"/>
        <v>200</v>
      </c>
      <c r="AJ138" s="212"/>
    </row>
    <row r="139" spans="1:36" ht="14.4">
      <c r="B139" s="211"/>
      <c r="C139" s="213" t="s">
        <v>42</v>
      </c>
      <c r="D139" s="214">
        <v>0</v>
      </c>
      <c r="E139" s="214">
        <v>0</v>
      </c>
      <c r="F139" s="214">
        <v>0</v>
      </c>
      <c r="G139" s="214">
        <v>0</v>
      </c>
      <c r="H139" s="214">
        <v>0</v>
      </c>
      <c r="I139" s="214">
        <v>0</v>
      </c>
      <c r="J139" s="214">
        <v>0</v>
      </c>
      <c r="K139" s="214">
        <v>0</v>
      </c>
      <c r="L139" s="214">
        <v>0</v>
      </c>
      <c r="M139" s="214">
        <v>0</v>
      </c>
      <c r="N139" s="214">
        <v>0</v>
      </c>
      <c r="O139" s="214">
        <v>0</v>
      </c>
      <c r="P139" s="214">
        <v>0</v>
      </c>
      <c r="Q139" s="214">
        <v>0</v>
      </c>
      <c r="R139" s="214">
        <v>0</v>
      </c>
      <c r="S139" s="214">
        <v>0</v>
      </c>
      <c r="T139" s="214">
        <v>0</v>
      </c>
      <c r="U139" s="214">
        <v>0</v>
      </c>
      <c r="V139" s="214">
        <v>0</v>
      </c>
      <c r="W139" s="214">
        <v>0</v>
      </c>
      <c r="X139" s="214">
        <v>0</v>
      </c>
      <c r="Y139" s="214">
        <v>0</v>
      </c>
      <c r="Z139" s="214">
        <v>0</v>
      </c>
      <c r="AA139" s="214">
        <v>0</v>
      </c>
      <c r="AB139" s="214">
        <v>0</v>
      </c>
      <c r="AC139" s="214">
        <v>0</v>
      </c>
      <c r="AD139" s="214"/>
      <c r="AE139" s="420">
        <v>0</v>
      </c>
      <c r="AF139" s="420">
        <v>0</v>
      </c>
      <c r="AG139" s="420">
        <v>0</v>
      </c>
      <c r="AH139" s="420"/>
      <c r="AI139" s="574">
        <f t="shared" si="4"/>
        <v>0</v>
      </c>
      <c r="AJ139" s="212"/>
    </row>
    <row r="140" spans="1:36" ht="14.4">
      <c r="B140" s="211"/>
      <c r="C140" s="213" t="s">
        <v>43</v>
      </c>
      <c r="D140" s="214">
        <v>0</v>
      </c>
      <c r="E140" s="214">
        <v>100000</v>
      </c>
      <c r="F140" s="214">
        <v>100000</v>
      </c>
      <c r="G140" s="214">
        <v>100000</v>
      </c>
      <c r="H140" s="214">
        <v>0</v>
      </c>
      <c r="I140" s="214">
        <v>0</v>
      </c>
      <c r="J140" s="214">
        <v>0</v>
      </c>
      <c r="K140" s="214">
        <v>0</v>
      </c>
      <c r="L140" s="214">
        <v>0</v>
      </c>
      <c r="M140" s="214">
        <v>0</v>
      </c>
      <c r="N140" s="214">
        <v>0</v>
      </c>
      <c r="O140" s="214">
        <v>0</v>
      </c>
      <c r="P140" s="214">
        <v>0</v>
      </c>
      <c r="Q140" s="214">
        <v>0</v>
      </c>
      <c r="R140" s="214">
        <v>0</v>
      </c>
      <c r="S140" s="214">
        <v>0</v>
      </c>
      <c r="T140" s="214">
        <v>0</v>
      </c>
      <c r="U140" s="214">
        <v>0</v>
      </c>
      <c r="V140" s="214">
        <v>0</v>
      </c>
      <c r="W140" s="214">
        <v>0</v>
      </c>
      <c r="X140" s="214">
        <v>0</v>
      </c>
      <c r="Y140" s="214">
        <v>0</v>
      </c>
      <c r="Z140" s="214">
        <v>0</v>
      </c>
      <c r="AA140" s="214">
        <v>0</v>
      </c>
      <c r="AB140" s="214">
        <v>0</v>
      </c>
      <c r="AC140" s="214">
        <v>0</v>
      </c>
      <c r="AD140" s="214"/>
      <c r="AE140" s="420">
        <v>0</v>
      </c>
      <c r="AF140" s="420">
        <v>0</v>
      </c>
      <c r="AG140" s="420">
        <v>0</v>
      </c>
      <c r="AH140" s="420"/>
      <c r="AI140" s="574">
        <f t="shared" si="4"/>
        <v>300000</v>
      </c>
      <c r="AJ140" s="212"/>
    </row>
    <row r="141" spans="1:36" ht="14.4">
      <c r="B141" s="211"/>
      <c r="C141" s="213" t="s">
        <v>44</v>
      </c>
      <c r="D141" s="214">
        <v>100000</v>
      </c>
      <c r="E141" s="214">
        <v>0</v>
      </c>
      <c r="F141" s="214">
        <v>0</v>
      </c>
      <c r="G141" s="214">
        <v>0</v>
      </c>
      <c r="H141" s="214">
        <v>0</v>
      </c>
      <c r="I141" s="214">
        <v>0</v>
      </c>
      <c r="J141" s="214">
        <v>0</v>
      </c>
      <c r="K141" s="214">
        <v>0</v>
      </c>
      <c r="L141" s="214">
        <v>0</v>
      </c>
      <c r="M141" s="214">
        <v>0</v>
      </c>
      <c r="N141" s="214">
        <v>0</v>
      </c>
      <c r="O141" s="214">
        <v>0</v>
      </c>
      <c r="P141" s="214">
        <v>0</v>
      </c>
      <c r="Q141" s="214">
        <v>0</v>
      </c>
      <c r="R141" s="214">
        <v>0</v>
      </c>
      <c r="S141" s="214">
        <v>0</v>
      </c>
      <c r="T141" s="214">
        <v>0</v>
      </c>
      <c r="U141" s="214">
        <v>0</v>
      </c>
      <c r="V141" s="214">
        <v>0</v>
      </c>
      <c r="W141" s="214">
        <v>0</v>
      </c>
      <c r="X141" s="214">
        <v>0</v>
      </c>
      <c r="Y141" s="214">
        <v>0</v>
      </c>
      <c r="Z141" s="214">
        <v>0</v>
      </c>
      <c r="AA141" s="214">
        <v>0</v>
      </c>
      <c r="AB141" s="214">
        <v>0</v>
      </c>
      <c r="AC141" s="214">
        <v>0</v>
      </c>
      <c r="AD141" s="214"/>
      <c r="AE141" s="420">
        <v>0</v>
      </c>
      <c r="AF141" s="420">
        <v>0</v>
      </c>
      <c r="AG141" s="420">
        <v>0</v>
      </c>
      <c r="AH141" s="420"/>
      <c r="AI141" s="574">
        <f t="shared" si="4"/>
        <v>100000</v>
      </c>
      <c r="AJ141" s="212"/>
    </row>
    <row r="142" spans="1:36" ht="14.4">
      <c r="B142" s="211"/>
      <c r="C142" s="213" t="s">
        <v>45</v>
      </c>
      <c r="D142" s="214">
        <v>40610</v>
      </c>
      <c r="E142" s="214">
        <v>0</v>
      </c>
      <c r="F142" s="214">
        <v>26200</v>
      </c>
      <c r="G142" s="214">
        <v>0</v>
      </c>
      <c r="H142" s="214">
        <v>35500</v>
      </c>
      <c r="I142" s="214">
        <v>0</v>
      </c>
      <c r="J142" s="214">
        <v>0</v>
      </c>
      <c r="K142" s="214">
        <v>0</v>
      </c>
      <c r="L142" s="214">
        <v>0</v>
      </c>
      <c r="M142" s="214">
        <v>11000</v>
      </c>
      <c r="N142" s="214">
        <v>12000</v>
      </c>
      <c r="O142" s="214">
        <v>21950</v>
      </c>
      <c r="P142" s="214">
        <v>20900</v>
      </c>
      <c r="Q142" s="214">
        <v>99176</v>
      </c>
      <c r="R142" s="214">
        <v>22420</v>
      </c>
      <c r="S142" s="214">
        <v>50625</v>
      </c>
      <c r="T142" s="214">
        <v>0</v>
      </c>
      <c r="U142" s="214">
        <v>0</v>
      </c>
      <c r="V142" s="214">
        <v>0</v>
      </c>
      <c r="W142" s="214">
        <v>0</v>
      </c>
      <c r="X142" s="214">
        <v>0</v>
      </c>
      <c r="Y142" s="214">
        <v>0</v>
      </c>
      <c r="Z142" s="214">
        <v>0</v>
      </c>
      <c r="AA142" s="214">
        <v>0</v>
      </c>
      <c r="AB142" s="214">
        <v>0</v>
      </c>
      <c r="AC142" s="214">
        <v>0</v>
      </c>
      <c r="AD142" s="214"/>
      <c r="AE142" s="420">
        <v>42750</v>
      </c>
      <c r="AF142" s="420">
        <v>0</v>
      </c>
      <c r="AG142" s="420">
        <v>0</v>
      </c>
      <c r="AH142" s="420"/>
      <c r="AI142" s="574">
        <f t="shared" si="4"/>
        <v>383131</v>
      </c>
      <c r="AJ142" s="212"/>
    </row>
    <row r="143" spans="1:36" ht="14.4">
      <c r="B143" s="211"/>
      <c r="C143" s="213" t="s">
        <v>156</v>
      </c>
      <c r="D143" s="214">
        <v>7710</v>
      </c>
      <c r="E143" s="214">
        <v>65</v>
      </c>
      <c r="F143" s="214">
        <v>0</v>
      </c>
      <c r="G143" s="214">
        <v>180</v>
      </c>
      <c r="H143" s="214">
        <v>0</v>
      </c>
      <c r="I143" s="214">
        <v>0</v>
      </c>
      <c r="J143" s="214">
        <v>0</v>
      </c>
      <c r="K143" s="214">
        <v>0</v>
      </c>
      <c r="L143" s="214">
        <v>0</v>
      </c>
      <c r="M143" s="214">
        <v>0</v>
      </c>
      <c r="N143" s="214">
        <v>0</v>
      </c>
      <c r="O143" s="214">
        <v>0</v>
      </c>
      <c r="P143" s="214">
        <v>0</v>
      </c>
      <c r="Q143" s="214">
        <v>85</v>
      </c>
      <c r="R143" s="214">
        <v>0</v>
      </c>
      <c r="S143" s="214">
        <v>25</v>
      </c>
      <c r="T143" s="214">
        <v>0</v>
      </c>
      <c r="U143" s="214">
        <v>0</v>
      </c>
      <c r="V143" s="214">
        <v>0</v>
      </c>
      <c r="W143" s="214">
        <v>0</v>
      </c>
      <c r="X143" s="214">
        <v>0</v>
      </c>
      <c r="Y143" s="214">
        <v>0</v>
      </c>
      <c r="Z143" s="214">
        <v>0</v>
      </c>
      <c r="AA143" s="214">
        <v>0</v>
      </c>
      <c r="AB143" s="214">
        <v>0</v>
      </c>
      <c r="AC143" s="214">
        <v>0</v>
      </c>
      <c r="AD143" s="214"/>
      <c r="AE143" s="420">
        <v>0</v>
      </c>
      <c r="AF143" s="420">
        <v>0</v>
      </c>
      <c r="AG143" s="420">
        <v>0</v>
      </c>
      <c r="AH143" s="420"/>
      <c r="AI143" s="574">
        <f t="shared" si="4"/>
        <v>8065</v>
      </c>
      <c r="AJ143" s="212"/>
    </row>
    <row r="144" spans="1:36" ht="14.4">
      <c r="B144" s="211"/>
      <c r="C144" s="213" t="s">
        <v>46</v>
      </c>
      <c r="D144" s="214">
        <v>15279.64</v>
      </c>
      <c r="E144" s="214">
        <v>783.54</v>
      </c>
      <c r="F144" s="214">
        <v>3052.17</v>
      </c>
      <c r="G144" s="214">
        <v>464.47</v>
      </c>
      <c r="H144" s="214">
        <v>147.13</v>
      </c>
      <c r="I144" s="214">
        <v>84.95</v>
      </c>
      <c r="J144" s="214">
        <v>0</v>
      </c>
      <c r="K144" s="214">
        <v>523.88</v>
      </c>
      <c r="L144" s="214">
        <v>65.87</v>
      </c>
      <c r="M144" s="214">
        <v>694.41</v>
      </c>
      <c r="N144" s="214">
        <v>54.67</v>
      </c>
      <c r="O144" s="214">
        <v>207.11</v>
      </c>
      <c r="P144" s="214">
        <v>606.82000000000005</v>
      </c>
      <c r="Q144" s="214">
        <v>348.43</v>
      </c>
      <c r="R144" s="214">
        <v>65.87</v>
      </c>
      <c r="S144" s="214">
        <v>526.1</v>
      </c>
      <c r="T144" s="214">
        <v>0</v>
      </c>
      <c r="U144" s="214">
        <v>168.67</v>
      </c>
      <c r="V144" s="214">
        <v>100</v>
      </c>
      <c r="W144" s="214">
        <v>450</v>
      </c>
      <c r="X144" s="214">
        <v>168.67</v>
      </c>
      <c r="Y144" s="214">
        <v>62.18</v>
      </c>
      <c r="Z144" s="214">
        <v>57.87</v>
      </c>
      <c r="AA144" s="214">
        <v>65.87</v>
      </c>
      <c r="AB144" s="214">
        <v>158.33000000000001</v>
      </c>
      <c r="AC144" s="214">
        <v>62.18</v>
      </c>
      <c r="AD144" s="214"/>
      <c r="AE144" s="420">
        <v>270.86</v>
      </c>
      <c r="AF144" s="420">
        <v>0</v>
      </c>
      <c r="AG144" s="420">
        <v>0</v>
      </c>
      <c r="AH144" s="420"/>
      <c r="AI144" s="574">
        <f t="shared" si="4"/>
        <v>24469.689999999995</v>
      </c>
      <c r="AJ144" s="212"/>
    </row>
    <row r="145" spans="2:36" ht="14.4">
      <c r="B145" s="211"/>
      <c r="C145" s="213" t="s">
        <v>47</v>
      </c>
      <c r="D145" s="214">
        <v>0</v>
      </c>
      <c r="E145" s="214">
        <v>0</v>
      </c>
      <c r="F145" s="214">
        <v>0</v>
      </c>
      <c r="G145" s="214">
        <v>0</v>
      </c>
      <c r="H145" s="214">
        <v>0</v>
      </c>
      <c r="I145" s="214">
        <v>0</v>
      </c>
      <c r="J145" s="214">
        <v>0</v>
      </c>
      <c r="K145" s="214">
        <v>0</v>
      </c>
      <c r="L145" s="214">
        <v>0</v>
      </c>
      <c r="M145" s="214">
        <v>0</v>
      </c>
      <c r="N145" s="214">
        <v>0</v>
      </c>
      <c r="O145" s="214">
        <v>0</v>
      </c>
      <c r="P145" s="214">
        <v>0</v>
      </c>
      <c r="Q145" s="214">
        <v>0</v>
      </c>
      <c r="R145" s="214">
        <v>0</v>
      </c>
      <c r="S145" s="214">
        <v>0</v>
      </c>
      <c r="T145" s="214">
        <v>0</v>
      </c>
      <c r="U145" s="214">
        <v>0</v>
      </c>
      <c r="V145" s="214">
        <v>0</v>
      </c>
      <c r="W145" s="214">
        <v>0</v>
      </c>
      <c r="X145" s="214">
        <v>0</v>
      </c>
      <c r="Y145" s="214">
        <v>0</v>
      </c>
      <c r="Z145" s="214">
        <v>0</v>
      </c>
      <c r="AA145" s="214">
        <v>0</v>
      </c>
      <c r="AB145" s="214">
        <v>0</v>
      </c>
      <c r="AC145" s="214">
        <v>0</v>
      </c>
      <c r="AD145" s="214"/>
      <c r="AE145" s="420">
        <v>0</v>
      </c>
      <c r="AF145" s="420">
        <v>0</v>
      </c>
      <c r="AG145" s="420">
        <v>0</v>
      </c>
      <c r="AH145" s="420"/>
      <c r="AI145" s="574">
        <f t="shared" si="4"/>
        <v>0</v>
      </c>
      <c r="AJ145" s="212"/>
    </row>
    <row r="146" spans="2:36" ht="14.4">
      <c r="B146" s="211"/>
      <c r="C146" s="213" t="s">
        <v>48</v>
      </c>
      <c r="D146" s="214">
        <v>3715</v>
      </c>
      <c r="E146" s="214">
        <v>1400</v>
      </c>
      <c r="F146" s="214">
        <v>600</v>
      </c>
      <c r="G146" s="214">
        <v>0</v>
      </c>
      <c r="H146" s="214">
        <v>900</v>
      </c>
      <c r="I146" s="214">
        <v>0</v>
      </c>
      <c r="J146" s="214">
        <v>0</v>
      </c>
      <c r="K146" s="214">
        <v>0</v>
      </c>
      <c r="L146" s="214">
        <v>0</v>
      </c>
      <c r="M146" s="214">
        <v>500</v>
      </c>
      <c r="N146" s="214">
        <v>0</v>
      </c>
      <c r="O146" s="214">
        <v>0</v>
      </c>
      <c r="P146" s="214">
        <v>500</v>
      </c>
      <c r="Q146" s="214">
        <v>1800</v>
      </c>
      <c r="R146" s="214">
        <v>0</v>
      </c>
      <c r="S146" s="214">
        <v>750</v>
      </c>
      <c r="T146" s="214">
        <v>0</v>
      </c>
      <c r="U146" s="214">
        <v>0</v>
      </c>
      <c r="V146" s="214">
        <v>0</v>
      </c>
      <c r="W146" s="214">
        <v>0</v>
      </c>
      <c r="X146" s="214">
        <v>0</v>
      </c>
      <c r="Y146" s="214">
        <v>0</v>
      </c>
      <c r="Z146" s="214">
        <v>0</v>
      </c>
      <c r="AA146" s="214">
        <v>0</v>
      </c>
      <c r="AB146" s="214">
        <v>0</v>
      </c>
      <c r="AC146" s="214">
        <v>0</v>
      </c>
      <c r="AD146" s="214"/>
      <c r="AE146" s="420">
        <v>0</v>
      </c>
      <c r="AF146" s="420">
        <v>0</v>
      </c>
      <c r="AG146" s="420">
        <v>0</v>
      </c>
      <c r="AH146" s="420"/>
      <c r="AI146" s="574">
        <f t="shared" si="4"/>
        <v>10165</v>
      </c>
      <c r="AJ146" s="212"/>
    </row>
    <row r="147" spans="2:36" ht="14.4">
      <c r="B147" s="211"/>
      <c r="C147" s="213" t="s">
        <v>49</v>
      </c>
      <c r="D147" s="214">
        <v>20700</v>
      </c>
      <c r="E147" s="214">
        <v>0</v>
      </c>
      <c r="F147" s="214">
        <v>0</v>
      </c>
      <c r="G147" s="214">
        <v>0</v>
      </c>
      <c r="H147" s="214">
        <v>0</v>
      </c>
      <c r="I147" s="214">
        <v>0</v>
      </c>
      <c r="J147" s="214">
        <v>0</v>
      </c>
      <c r="K147" s="214">
        <v>0</v>
      </c>
      <c r="L147" s="214">
        <v>0</v>
      </c>
      <c r="M147" s="214">
        <v>0</v>
      </c>
      <c r="N147" s="214">
        <v>0</v>
      </c>
      <c r="O147" s="214">
        <v>0</v>
      </c>
      <c r="P147" s="214">
        <v>0</v>
      </c>
      <c r="Q147" s="214">
        <v>0</v>
      </c>
      <c r="R147" s="214">
        <v>0</v>
      </c>
      <c r="S147" s="214">
        <v>0</v>
      </c>
      <c r="T147" s="214">
        <v>0</v>
      </c>
      <c r="U147" s="214">
        <v>0</v>
      </c>
      <c r="V147" s="214">
        <v>0</v>
      </c>
      <c r="W147" s="214">
        <v>0</v>
      </c>
      <c r="X147" s="214">
        <v>0</v>
      </c>
      <c r="Y147" s="214">
        <v>0</v>
      </c>
      <c r="Z147" s="214">
        <v>0</v>
      </c>
      <c r="AA147" s="214">
        <v>0</v>
      </c>
      <c r="AB147" s="214">
        <v>0</v>
      </c>
      <c r="AC147" s="214">
        <v>0</v>
      </c>
      <c r="AD147" s="214"/>
      <c r="AE147" s="420">
        <v>0</v>
      </c>
      <c r="AF147" s="420">
        <v>0</v>
      </c>
      <c r="AG147" s="420">
        <v>0</v>
      </c>
      <c r="AH147" s="420"/>
      <c r="AI147" s="574">
        <f t="shared" si="4"/>
        <v>20700</v>
      </c>
      <c r="AJ147" s="212"/>
    </row>
    <row r="148" spans="2:36" ht="14.4">
      <c r="B148" s="211"/>
      <c r="C148" s="213" t="s">
        <v>158</v>
      </c>
      <c r="D148" s="214">
        <v>1870</v>
      </c>
      <c r="E148" s="214">
        <v>13450</v>
      </c>
      <c r="F148" s="214">
        <v>0</v>
      </c>
      <c r="G148" s="214">
        <v>0</v>
      </c>
      <c r="H148" s="214">
        <v>0</v>
      </c>
      <c r="I148" s="214">
        <v>0</v>
      </c>
      <c r="J148" s="214">
        <v>0</v>
      </c>
      <c r="K148" s="214">
        <v>0</v>
      </c>
      <c r="L148" s="214">
        <v>0</v>
      </c>
      <c r="M148" s="214">
        <v>0</v>
      </c>
      <c r="N148" s="214">
        <v>0</v>
      </c>
      <c r="O148" s="214">
        <v>0</v>
      </c>
      <c r="P148" s="214">
        <v>0</v>
      </c>
      <c r="Q148" s="214">
        <v>3185</v>
      </c>
      <c r="R148" s="214">
        <v>0</v>
      </c>
      <c r="S148" s="214">
        <v>0</v>
      </c>
      <c r="T148" s="214">
        <v>0</v>
      </c>
      <c r="U148" s="214">
        <v>0</v>
      </c>
      <c r="V148" s="214">
        <v>0</v>
      </c>
      <c r="W148" s="214">
        <v>0</v>
      </c>
      <c r="X148" s="214">
        <v>0</v>
      </c>
      <c r="Y148" s="214">
        <v>0</v>
      </c>
      <c r="Z148" s="214">
        <v>0</v>
      </c>
      <c r="AA148" s="214">
        <v>0</v>
      </c>
      <c r="AB148" s="214">
        <v>0</v>
      </c>
      <c r="AC148" s="214">
        <v>0</v>
      </c>
      <c r="AD148" s="214"/>
      <c r="AE148" s="420">
        <v>0</v>
      </c>
      <c r="AF148" s="420">
        <v>0</v>
      </c>
      <c r="AG148" s="420">
        <v>0</v>
      </c>
      <c r="AH148" s="420"/>
      <c r="AI148" s="574">
        <f t="shared" si="4"/>
        <v>18505</v>
      </c>
      <c r="AJ148" s="212"/>
    </row>
    <row r="149" spans="2:36" ht="14.4">
      <c r="B149" s="211"/>
      <c r="C149" s="213" t="s">
        <v>50</v>
      </c>
      <c r="D149" s="214">
        <v>0</v>
      </c>
      <c r="E149" s="214">
        <v>0</v>
      </c>
      <c r="F149" s="214">
        <v>0</v>
      </c>
      <c r="G149" s="214">
        <v>0</v>
      </c>
      <c r="H149" s="214">
        <v>0</v>
      </c>
      <c r="I149" s="214">
        <v>0</v>
      </c>
      <c r="J149" s="214">
        <v>0</v>
      </c>
      <c r="K149" s="214">
        <v>0</v>
      </c>
      <c r="L149" s="214">
        <v>0</v>
      </c>
      <c r="M149" s="214">
        <v>0</v>
      </c>
      <c r="N149" s="214">
        <v>0</v>
      </c>
      <c r="O149" s="214">
        <v>0</v>
      </c>
      <c r="P149" s="214">
        <v>0</v>
      </c>
      <c r="Q149" s="214">
        <v>0</v>
      </c>
      <c r="R149" s="214">
        <v>0</v>
      </c>
      <c r="S149" s="214">
        <v>0</v>
      </c>
      <c r="T149" s="214">
        <v>0</v>
      </c>
      <c r="U149" s="214">
        <v>0</v>
      </c>
      <c r="V149" s="214">
        <v>0</v>
      </c>
      <c r="W149" s="214">
        <v>0</v>
      </c>
      <c r="X149" s="214">
        <v>0</v>
      </c>
      <c r="Y149" s="214">
        <v>0</v>
      </c>
      <c r="Z149" s="214">
        <v>0</v>
      </c>
      <c r="AA149" s="214">
        <v>0</v>
      </c>
      <c r="AB149" s="214">
        <v>0</v>
      </c>
      <c r="AC149" s="214">
        <v>0</v>
      </c>
      <c r="AD149" s="214"/>
      <c r="AE149" s="420">
        <v>0</v>
      </c>
      <c r="AF149" s="420">
        <v>0</v>
      </c>
      <c r="AG149" s="420">
        <v>0</v>
      </c>
      <c r="AH149" s="420"/>
      <c r="AI149" s="574">
        <f t="shared" si="4"/>
        <v>0</v>
      </c>
      <c r="AJ149" s="212"/>
    </row>
    <row r="150" spans="2:36" ht="14.4">
      <c r="B150" s="211"/>
      <c r="C150" s="213" t="s">
        <v>51</v>
      </c>
      <c r="D150" s="214">
        <v>0</v>
      </c>
      <c r="E150" s="214">
        <v>0</v>
      </c>
      <c r="F150" s="214">
        <v>0</v>
      </c>
      <c r="G150" s="214">
        <v>0</v>
      </c>
      <c r="H150" s="214">
        <v>0</v>
      </c>
      <c r="I150" s="214">
        <v>0</v>
      </c>
      <c r="J150" s="214">
        <v>0</v>
      </c>
      <c r="K150" s="214">
        <v>0</v>
      </c>
      <c r="L150" s="214">
        <v>0</v>
      </c>
      <c r="M150" s="214">
        <v>0</v>
      </c>
      <c r="N150" s="214">
        <v>0</v>
      </c>
      <c r="O150" s="214">
        <v>0</v>
      </c>
      <c r="P150" s="214">
        <v>0</v>
      </c>
      <c r="Q150" s="214">
        <v>0</v>
      </c>
      <c r="R150" s="214">
        <v>0</v>
      </c>
      <c r="S150" s="214">
        <v>0</v>
      </c>
      <c r="T150" s="214">
        <v>0</v>
      </c>
      <c r="U150" s="214">
        <v>0</v>
      </c>
      <c r="V150" s="214">
        <v>0</v>
      </c>
      <c r="W150" s="214">
        <v>0</v>
      </c>
      <c r="X150" s="214">
        <v>0</v>
      </c>
      <c r="Y150" s="214">
        <v>0</v>
      </c>
      <c r="Z150" s="214">
        <v>0</v>
      </c>
      <c r="AA150" s="214">
        <v>0</v>
      </c>
      <c r="AB150" s="214">
        <v>0</v>
      </c>
      <c r="AC150" s="214">
        <v>0</v>
      </c>
      <c r="AD150" s="214"/>
      <c r="AE150" s="420">
        <v>0</v>
      </c>
      <c r="AF150" s="420">
        <v>0</v>
      </c>
      <c r="AG150" s="420">
        <v>0</v>
      </c>
      <c r="AH150" s="420"/>
      <c r="AI150" s="574">
        <f t="shared" si="4"/>
        <v>0</v>
      </c>
      <c r="AJ150" s="212"/>
    </row>
    <row r="151" spans="2:36" ht="14.4">
      <c r="B151" s="211"/>
      <c r="C151" s="213" t="s">
        <v>52</v>
      </c>
      <c r="D151" s="214">
        <v>0</v>
      </c>
      <c r="E151" s="214">
        <v>0</v>
      </c>
      <c r="F151" s="214">
        <v>0</v>
      </c>
      <c r="G151" s="214">
        <v>0</v>
      </c>
      <c r="H151" s="214">
        <v>0</v>
      </c>
      <c r="I151" s="214">
        <v>0</v>
      </c>
      <c r="J151" s="214">
        <v>0</v>
      </c>
      <c r="K151" s="214">
        <v>0</v>
      </c>
      <c r="L151" s="214">
        <v>0</v>
      </c>
      <c r="M151" s="214">
        <v>0</v>
      </c>
      <c r="N151" s="214">
        <v>0</v>
      </c>
      <c r="O151" s="214">
        <v>80</v>
      </c>
      <c r="P151" s="214">
        <v>0</v>
      </c>
      <c r="Q151" s="214">
        <v>0</v>
      </c>
      <c r="R151" s="214">
        <v>0</v>
      </c>
      <c r="S151" s="214">
        <v>0</v>
      </c>
      <c r="T151" s="214">
        <v>0</v>
      </c>
      <c r="U151" s="214">
        <v>0</v>
      </c>
      <c r="V151" s="214">
        <v>0</v>
      </c>
      <c r="W151" s="214">
        <v>0</v>
      </c>
      <c r="X151" s="214">
        <v>0</v>
      </c>
      <c r="Y151" s="214">
        <v>0</v>
      </c>
      <c r="Z151" s="214">
        <v>0</v>
      </c>
      <c r="AA151" s="214">
        <v>0</v>
      </c>
      <c r="AB151" s="214">
        <v>0</v>
      </c>
      <c r="AC151" s="214">
        <v>0</v>
      </c>
      <c r="AD151" s="214"/>
      <c r="AE151" s="420">
        <v>0</v>
      </c>
      <c r="AF151" s="420">
        <v>0</v>
      </c>
      <c r="AG151" s="420">
        <v>0</v>
      </c>
      <c r="AH151" s="420"/>
      <c r="AI151" s="574">
        <f t="shared" si="4"/>
        <v>80</v>
      </c>
      <c r="AJ151" s="212"/>
    </row>
    <row r="152" spans="2:36" ht="14.4">
      <c r="B152" s="211"/>
      <c r="C152" s="213" t="s">
        <v>174</v>
      </c>
      <c r="D152" s="214">
        <v>6110</v>
      </c>
      <c r="E152" s="214">
        <v>4442.1000000000004</v>
      </c>
      <c r="F152" s="214">
        <v>4442.1000000000004</v>
      </c>
      <c r="G152" s="214">
        <v>4442.1000000000004</v>
      </c>
      <c r="H152" s="214">
        <v>4442.1000000000004</v>
      </c>
      <c r="I152" s="214">
        <v>7499</v>
      </c>
      <c r="J152" s="214">
        <v>833</v>
      </c>
      <c r="K152" s="214">
        <v>833</v>
      </c>
      <c r="L152" s="214">
        <v>833</v>
      </c>
      <c r="M152" s="214">
        <v>4442.1000000000004</v>
      </c>
      <c r="N152" s="214">
        <v>833</v>
      </c>
      <c r="O152" s="214">
        <v>4442.1000000000004</v>
      </c>
      <c r="P152" s="214">
        <v>4442.1000000000004</v>
      </c>
      <c r="Q152" s="214">
        <v>4442.1000000000004</v>
      </c>
      <c r="R152" s="214">
        <v>4442.1000000000004</v>
      </c>
      <c r="S152" s="214">
        <v>4442.1000000000004</v>
      </c>
      <c r="T152" s="214">
        <v>0</v>
      </c>
      <c r="U152" s="214">
        <v>833</v>
      </c>
      <c r="V152" s="214">
        <v>833</v>
      </c>
      <c r="W152" s="214">
        <v>833</v>
      </c>
      <c r="X152" s="214">
        <v>7499</v>
      </c>
      <c r="Y152" s="214">
        <v>833</v>
      </c>
      <c r="Z152" s="214">
        <v>833</v>
      </c>
      <c r="AA152" s="214">
        <v>7499</v>
      </c>
      <c r="AB152" s="214">
        <v>833</v>
      </c>
      <c r="AC152" s="214">
        <v>833</v>
      </c>
      <c r="AD152" s="214"/>
      <c r="AE152" s="420">
        <v>833</v>
      </c>
      <c r="AF152" s="420">
        <v>833</v>
      </c>
      <c r="AG152" s="446">
        <v>833</v>
      </c>
      <c r="AH152" s="420"/>
      <c r="AI152" s="574">
        <f t="shared" si="4"/>
        <v>84690</v>
      </c>
      <c r="AJ152" s="212"/>
    </row>
    <row r="153" spans="2:36" ht="14.4">
      <c r="B153" s="211"/>
      <c r="C153" s="213" t="s">
        <v>53</v>
      </c>
      <c r="D153" s="214">
        <v>19050</v>
      </c>
      <c r="E153" s="214">
        <v>1072.73</v>
      </c>
      <c r="F153" s="214">
        <v>0</v>
      </c>
      <c r="G153" s="214">
        <v>38915.61</v>
      </c>
      <c r="H153" s="214">
        <v>0</v>
      </c>
      <c r="I153" s="214">
        <v>0</v>
      </c>
      <c r="J153" s="214">
        <v>0</v>
      </c>
      <c r="K153" s="214">
        <v>0</v>
      </c>
      <c r="L153" s="214">
        <v>0</v>
      </c>
      <c r="M153" s="214">
        <v>0</v>
      </c>
      <c r="N153" s="214">
        <v>0</v>
      </c>
      <c r="O153" s="214">
        <v>0</v>
      </c>
      <c r="P153" s="214">
        <v>0</v>
      </c>
      <c r="Q153" s="214">
        <v>500</v>
      </c>
      <c r="R153" s="214">
        <v>400</v>
      </c>
      <c r="S153" s="214">
        <v>350</v>
      </c>
      <c r="T153" s="214">
        <v>0</v>
      </c>
      <c r="U153" s="214">
        <v>0</v>
      </c>
      <c r="V153" s="214">
        <v>0</v>
      </c>
      <c r="W153" s="214">
        <v>0</v>
      </c>
      <c r="X153" s="214">
        <v>0</v>
      </c>
      <c r="Y153" s="214">
        <v>0</v>
      </c>
      <c r="Z153" s="214">
        <v>0</v>
      </c>
      <c r="AA153" s="214">
        <v>0</v>
      </c>
      <c r="AB153" s="214">
        <v>0</v>
      </c>
      <c r="AC153" s="214">
        <v>0</v>
      </c>
      <c r="AD153" s="214"/>
      <c r="AE153" s="420">
        <v>0</v>
      </c>
      <c r="AF153" s="420">
        <v>0</v>
      </c>
      <c r="AG153" s="446">
        <v>693.7</v>
      </c>
      <c r="AH153" s="420"/>
      <c r="AI153" s="574">
        <f t="shared" si="4"/>
        <v>60982.039999999994</v>
      </c>
      <c r="AJ153" s="212"/>
    </row>
    <row r="154" spans="2:36" ht="14.4">
      <c r="B154" s="211"/>
      <c r="C154" s="213" t="s">
        <v>191</v>
      </c>
      <c r="D154" s="214">
        <v>49802.65</v>
      </c>
      <c r="E154" s="214">
        <v>0</v>
      </c>
      <c r="F154" s="214">
        <v>1978.52</v>
      </c>
      <c r="G154" s="214">
        <v>0</v>
      </c>
      <c r="H154" s="214">
        <v>0</v>
      </c>
      <c r="I154" s="214">
        <v>0</v>
      </c>
      <c r="J154" s="214">
        <v>0</v>
      </c>
      <c r="K154" s="214">
        <v>0</v>
      </c>
      <c r="L154" s="214">
        <v>0</v>
      </c>
      <c r="M154" s="214">
        <v>0</v>
      </c>
      <c r="N154" s="214">
        <v>0</v>
      </c>
      <c r="O154" s="214">
        <v>0</v>
      </c>
      <c r="P154" s="214">
        <v>0</v>
      </c>
      <c r="Q154" s="214">
        <v>683.66</v>
      </c>
      <c r="R154" s="214">
        <v>0</v>
      </c>
      <c r="S154" s="214">
        <v>0</v>
      </c>
      <c r="T154" s="214">
        <v>0</v>
      </c>
      <c r="U154" s="214">
        <v>0</v>
      </c>
      <c r="V154" s="214">
        <v>0</v>
      </c>
      <c r="W154" s="214">
        <v>0</v>
      </c>
      <c r="X154" s="214">
        <v>0</v>
      </c>
      <c r="Y154" s="214">
        <v>0</v>
      </c>
      <c r="Z154" s="214">
        <v>0</v>
      </c>
      <c r="AA154" s="214">
        <v>0</v>
      </c>
      <c r="AB154" s="214">
        <v>0</v>
      </c>
      <c r="AC154" s="214">
        <v>0</v>
      </c>
      <c r="AD154" s="214"/>
      <c r="AE154" s="420">
        <v>0</v>
      </c>
      <c r="AF154" s="420">
        <v>0</v>
      </c>
      <c r="AG154" s="420">
        <v>0</v>
      </c>
      <c r="AH154" s="420"/>
      <c r="AI154" s="574">
        <f t="shared" si="4"/>
        <v>52464.83</v>
      </c>
      <c r="AJ154" s="212"/>
    </row>
    <row r="155" spans="2:36" ht="14.4">
      <c r="B155" s="211"/>
      <c r="C155" s="213" t="s">
        <v>29</v>
      </c>
      <c r="D155" s="214">
        <v>35</v>
      </c>
      <c r="E155" s="214">
        <v>0</v>
      </c>
      <c r="F155" s="214">
        <v>0</v>
      </c>
      <c r="G155" s="214">
        <v>0</v>
      </c>
      <c r="H155" s="214">
        <v>0</v>
      </c>
      <c r="I155" s="214">
        <v>0</v>
      </c>
      <c r="J155" s="214">
        <v>0</v>
      </c>
      <c r="K155" s="214">
        <v>0</v>
      </c>
      <c r="L155" s="214">
        <v>0</v>
      </c>
      <c r="M155" s="214">
        <v>0</v>
      </c>
      <c r="N155" s="214">
        <v>0</v>
      </c>
      <c r="O155" s="214">
        <v>0</v>
      </c>
      <c r="P155" s="214">
        <v>0</v>
      </c>
      <c r="Q155" s="214">
        <v>0</v>
      </c>
      <c r="R155" s="214">
        <v>0</v>
      </c>
      <c r="S155" s="214">
        <v>0</v>
      </c>
      <c r="T155" s="214">
        <v>0</v>
      </c>
      <c r="U155" s="214">
        <v>0</v>
      </c>
      <c r="V155" s="214">
        <v>0</v>
      </c>
      <c r="W155" s="214">
        <v>0</v>
      </c>
      <c r="X155" s="214">
        <v>0</v>
      </c>
      <c r="Y155" s="214">
        <v>0</v>
      </c>
      <c r="Z155" s="214">
        <v>0</v>
      </c>
      <c r="AA155" s="214">
        <v>0</v>
      </c>
      <c r="AB155" s="214">
        <v>0</v>
      </c>
      <c r="AC155" s="214">
        <v>0</v>
      </c>
      <c r="AD155" s="214"/>
      <c r="AE155" s="420">
        <v>25</v>
      </c>
      <c r="AF155" s="420">
        <v>0</v>
      </c>
      <c r="AG155" s="420">
        <v>0</v>
      </c>
      <c r="AH155" s="420"/>
      <c r="AI155" s="574">
        <f t="shared" si="4"/>
        <v>60</v>
      </c>
      <c r="AJ155" s="212"/>
    </row>
    <row r="156" spans="2:36" ht="14.4">
      <c r="B156" s="211"/>
      <c r="C156" s="213" t="s">
        <v>54</v>
      </c>
      <c r="D156" s="214">
        <v>0</v>
      </c>
      <c r="E156" s="214">
        <v>0</v>
      </c>
      <c r="F156" s="214">
        <v>0</v>
      </c>
      <c r="G156" s="214">
        <v>0</v>
      </c>
      <c r="H156" s="214">
        <v>0</v>
      </c>
      <c r="I156" s="214">
        <v>0</v>
      </c>
      <c r="J156" s="214">
        <v>0</v>
      </c>
      <c r="K156" s="214">
        <v>0</v>
      </c>
      <c r="L156" s="214">
        <v>0</v>
      </c>
      <c r="M156" s="214">
        <v>0</v>
      </c>
      <c r="N156" s="214">
        <v>0</v>
      </c>
      <c r="O156" s="214">
        <v>0</v>
      </c>
      <c r="P156" s="214">
        <v>0</v>
      </c>
      <c r="Q156" s="214">
        <v>0</v>
      </c>
      <c r="R156" s="214">
        <v>0</v>
      </c>
      <c r="S156" s="214">
        <v>0</v>
      </c>
      <c r="T156" s="214">
        <v>0</v>
      </c>
      <c r="U156" s="214">
        <v>0</v>
      </c>
      <c r="V156" s="214">
        <v>0</v>
      </c>
      <c r="W156" s="214">
        <v>0</v>
      </c>
      <c r="X156" s="214">
        <v>0</v>
      </c>
      <c r="Y156" s="214">
        <v>0</v>
      </c>
      <c r="Z156" s="214">
        <v>0</v>
      </c>
      <c r="AA156" s="214">
        <v>0</v>
      </c>
      <c r="AB156" s="214">
        <v>0</v>
      </c>
      <c r="AC156" s="214">
        <v>0</v>
      </c>
      <c r="AD156" s="214"/>
      <c r="AE156" s="420">
        <v>0</v>
      </c>
      <c r="AF156" s="420">
        <v>0</v>
      </c>
      <c r="AG156" s="420">
        <v>0</v>
      </c>
      <c r="AH156" s="420"/>
      <c r="AI156" s="574">
        <f t="shared" si="4"/>
        <v>0</v>
      </c>
      <c r="AJ156" s="212"/>
    </row>
    <row r="157" spans="2:36" ht="14.4">
      <c r="B157" s="211"/>
      <c r="C157" s="213" t="s">
        <v>31</v>
      </c>
      <c r="D157" s="214">
        <v>979</v>
      </c>
      <c r="E157" s="214">
        <v>187</v>
      </c>
      <c r="F157" s="214">
        <v>70</v>
      </c>
      <c r="G157" s="214">
        <v>210</v>
      </c>
      <c r="H157" s="214">
        <v>0</v>
      </c>
      <c r="I157" s="214">
        <v>0</v>
      </c>
      <c r="J157" s="214">
        <v>0</v>
      </c>
      <c r="K157" s="214">
        <v>0</v>
      </c>
      <c r="L157" s="214">
        <v>0</v>
      </c>
      <c r="M157" s="214">
        <v>0</v>
      </c>
      <c r="N157" s="214">
        <v>0</v>
      </c>
      <c r="O157" s="214">
        <v>183</v>
      </c>
      <c r="P157" s="214">
        <v>60</v>
      </c>
      <c r="Q157" s="214">
        <v>50</v>
      </c>
      <c r="R157" s="214">
        <v>0</v>
      </c>
      <c r="S157" s="214">
        <v>120</v>
      </c>
      <c r="T157" s="214">
        <v>0</v>
      </c>
      <c r="U157" s="214">
        <v>0</v>
      </c>
      <c r="V157" s="214">
        <v>0</v>
      </c>
      <c r="W157" s="214">
        <v>0</v>
      </c>
      <c r="X157" s="214">
        <v>0</v>
      </c>
      <c r="Y157" s="214">
        <v>0</v>
      </c>
      <c r="Z157" s="214">
        <v>0</v>
      </c>
      <c r="AA157" s="214">
        <v>0</v>
      </c>
      <c r="AB157" s="214">
        <v>0</v>
      </c>
      <c r="AC157" s="214">
        <v>0</v>
      </c>
      <c r="AD157" s="214"/>
      <c r="AE157" s="420">
        <v>85</v>
      </c>
      <c r="AF157" s="420">
        <v>0</v>
      </c>
      <c r="AG157" s="420">
        <v>0</v>
      </c>
      <c r="AH157" s="420"/>
      <c r="AI157" s="574">
        <f t="shared" si="4"/>
        <v>1944</v>
      </c>
      <c r="AJ157" s="212"/>
    </row>
    <row r="158" spans="2:36" ht="14.4">
      <c r="B158" s="211"/>
      <c r="C158" s="213" t="s">
        <v>55</v>
      </c>
      <c r="D158" s="214">
        <v>100</v>
      </c>
      <c r="E158" s="214">
        <v>75</v>
      </c>
      <c r="F158" s="214">
        <v>0</v>
      </c>
      <c r="G158" s="214">
        <v>80</v>
      </c>
      <c r="H158" s="214">
        <v>0</v>
      </c>
      <c r="I158" s="214">
        <v>0</v>
      </c>
      <c r="J158" s="214">
        <v>0</v>
      </c>
      <c r="K158" s="214">
        <v>0</v>
      </c>
      <c r="L158" s="214">
        <v>0</v>
      </c>
      <c r="M158" s="214">
        <v>0</v>
      </c>
      <c r="N158" s="214">
        <v>0</v>
      </c>
      <c r="O158" s="214">
        <v>0</v>
      </c>
      <c r="P158" s="214">
        <v>100</v>
      </c>
      <c r="Q158" s="214">
        <v>0</v>
      </c>
      <c r="R158" s="214">
        <v>0</v>
      </c>
      <c r="S158" s="214">
        <v>0</v>
      </c>
      <c r="T158" s="214">
        <v>0</v>
      </c>
      <c r="U158" s="214">
        <v>0</v>
      </c>
      <c r="V158" s="214">
        <v>0</v>
      </c>
      <c r="W158" s="214">
        <v>0</v>
      </c>
      <c r="X158" s="214">
        <v>0</v>
      </c>
      <c r="Y158" s="214">
        <v>0</v>
      </c>
      <c r="Z158" s="214">
        <v>0</v>
      </c>
      <c r="AA158" s="214">
        <v>0</v>
      </c>
      <c r="AB158" s="214">
        <v>0</v>
      </c>
      <c r="AC158" s="214">
        <v>0</v>
      </c>
      <c r="AD158" s="214"/>
      <c r="AE158" s="420">
        <v>0</v>
      </c>
      <c r="AF158" s="420">
        <v>0</v>
      </c>
      <c r="AG158" s="420">
        <v>0</v>
      </c>
      <c r="AH158" s="420"/>
      <c r="AI158" s="574">
        <f t="shared" si="4"/>
        <v>355</v>
      </c>
      <c r="AJ158" s="212"/>
    </row>
    <row r="159" spans="2:36" ht="14.4">
      <c r="B159" s="211"/>
      <c r="C159" s="213" t="s">
        <v>56</v>
      </c>
      <c r="D159" s="214">
        <v>393.97</v>
      </c>
      <c r="E159" s="214">
        <v>217.24</v>
      </c>
      <c r="F159" s="214">
        <v>217.24</v>
      </c>
      <c r="G159" s="214">
        <v>139.91</v>
      </c>
      <c r="H159" s="214">
        <v>95.73</v>
      </c>
      <c r="I159" s="214">
        <v>0</v>
      </c>
      <c r="J159" s="214">
        <v>0</v>
      </c>
      <c r="K159" s="214">
        <v>0</v>
      </c>
      <c r="L159" s="214">
        <v>0</v>
      </c>
      <c r="M159" s="214">
        <v>0</v>
      </c>
      <c r="N159" s="214">
        <v>0</v>
      </c>
      <c r="O159" s="214">
        <v>69.959999999999994</v>
      </c>
      <c r="P159" s="214">
        <v>0</v>
      </c>
      <c r="Q159" s="214">
        <v>209.87</v>
      </c>
      <c r="R159" s="214">
        <v>0</v>
      </c>
      <c r="S159" s="214">
        <v>0</v>
      </c>
      <c r="T159" s="214">
        <v>0</v>
      </c>
      <c r="U159" s="214">
        <v>0</v>
      </c>
      <c r="V159" s="214">
        <v>0</v>
      </c>
      <c r="W159" s="214">
        <v>0</v>
      </c>
      <c r="X159" s="214">
        <v>0</v>
      </c>
      <c r="Y159" s="214">
        <v>0</v>
      </c>
      <c r="Z159" s="214">
        <v>0</v>
      </c>
      <c r="AA159" s="214">
        <v>0</v>
      </c>
      <c r="AB159" s="214">
        <v>0</v>
      </c>
      <c r="AC159" s="214">
        <v>0</v>
      </c>
      <c r="AD159" s="214"/>
      <c r="AE159" s="420">
        <v>0</v>
      </c>
      <c r="AF159" s="420">
        <v>0</v>
      </c>
      <c r="AG159" s="420">
        <v>0</v>
      </c>
      <c r="AH159" s="420"/>
      <c r="AI159" s="574">
        <f t="shared" si="4"/>
        <v>1343.92</v>
      </c>
      <c r="AJ159" s="212"/>
    </row>
    <row r="160" spans="2:36" ht="14.4">
      <c r="B160" s="211"/>
      <c r="C160" s="213" t="s">
        <v>57</v>
      </c>
      <c r="D160" s="214">
        <v>0</v>
      </c>
      <c r="E160" s="214">
        <v>0</v>
      </c>
      <c r="F160" s="214">
        <v>0</v>
      </c>
      <c r="G160" s="214">
        <v>0</v>
      </c>
      <c r="H160" s="214">
        <v>0</v>
      </c>
      <c r="I160" s="214">
        <v>0</v>
      </c>
      <c r="J160" s="214">
        <v>0</v>
      </c>
      <c r="K160" s="214">
        <v>0</v>
      </c>
      <c r="L160" s="214">
        <v>0</v>
      </c>
      <c r="M160" s="214">
        <v>0</v>
      </c>
      <c r="N160" s="214">
        <v>0</v>
      </c>
      <c r="O160" s="214">
        <v>0</v>
      </c>
      <c r="P160" s="214">
        <v>0</v>
      </c>
      <c r="Q160" s="214">
        <v>0</v>
      </c>
      <c r="R160" s="214">
        <v>0</v>
      </c>
      <c r="S160" s="214">
        <v>0</v>
      </c>
      <c r="T160" s="214">
        <v>0</v>
      </c>
      <c r="U160" s="214">
        <v>0</v>
      </c>
      <c r="V160" s="214">
        <v>0</v>
      </c>
      <c r="W160" s="214">
        <v>0</v>
      </c>
      <c r="X160" s="214">
        <v>0</v>
      </c>
      <c r="Y160" s="214">
        <v>0</v>
      </c>
      <c r="Z160" s="214">
        <v>0</v>
      </c>
      <c r="AA160" s="214">
        <v>0</v>
      </c>
      <c r="AB160" s="214">
        <v>0</v>
      </c>
      <c r="AC160" s="214">
        <v>0</v>
      </c>
      <c r="AD160" s="214"/>
      <c r="AE160" s="420">
        <v>0</v>
      </c>
      <c r="AF160" s="420">
        <v>0</v>
      </c>
      <c r="AG160" s="420">
        <v>0</v>
      </c>
      <c r="AH160" s="420"/>
      <c r="AI160" s="574">
        <f t="shared" si="4"/>
        <v>0</v>
      </c>
      <c r="AJ160" s="212"/>
    </row>
    <row r="161" spans="2:36" ht="14.4">
      <c r="B161" s="211"/>
      <c r="C161" s="213" t="s">
        <v>58</v>
      </c>
      <c r="D161" s="214">
        <v>255</v>
      </c>
      <c r="E161" s="214">
        <v>4230</v>
      </c>
      <c r="F161" s="214">
        <v>3850</v>
      </c>
      <c r="G161" s="214">
        <v>0</v>
      </c>
      <c r="H161" s="214">
        <v>0</v>
      </c>
      <c r="I161" s="214">
        <v>0</v>
      </c>
      <c r="J161" s="214">
        <v>0</v>
      </c>
      <c r="K161" s="214">
        <v>0</v>
      </c>
      <c r="L161" s="214">
        <v>0</v>
      </c>
      <c r="M161" s="214">
        <v>0</v>
      </c>
      <c r="N161" s="214">
        <v>0</v>
      </c>
      <c r="O161" s="214">
        <v>0</v>
      </c>
      <c r="P161" s="214">
        <v>0</v>
      </c>
      <c r="Q161" s="214">
        <v>0</v>
      </c>
      <c r="R161" s="214">
        <v>0</v>
      </c>
      <c r="S161" s="214">
        <v>0</v>
      </c>
      <c r="T161" s="214">
        <v>0</v>
      </c>
      <c r="U161" s="214">
        <v>0</v>
      </c>
      <c r="V161" s="214">
        <v>0</v>
      </c>
      <c r="W161" s="214">
        <v>0</v>
      </c>
      <c r="X161" s="214">
        <v>0</v>
      </c>
      <c r="Y161" s="214">
        <v>0</v>
      </c>
      <c r="Z161" s="214">
        <v>0</v>
      </c>
      <c r="AA161" s="214">
        <v>0</v>
      </c>
      <c r="AB161" s="214">
        <v>0</v>
      </c>
      <c r="AC161" s="214">
        <v>0</v>
      </c>
      <c r="AD161" s="214"/>
      <c r="AE161" s="420">
        <v>0</v>
      </c>
      <c r="AF161" s="420">
        <v>0</v>
      </c>
      <c r="AG161" s="420">
        <v>0</v>
      </c>
      <c r="AH161" s="420"/>
      <c r="AI161" s="574">
        <f t="shared" si="4"/>
        <v>8335</v>
      </c>
      <c r="AJ161" s="212"/>
    </row>
    <row r="162" spans="2:36" ht="14.4">
      <c r="B162" s="211"/>
      <c r="C162" s="213" t="s">
        <v>59</v>
      </c>
      <c r="D162" s="214">
        <v>565</v>
      </c>
      <c r="E162" s="214">
        <v>0</v>
      </c>
      <c r="F162" s="214">
        <v>1050</v>
      </c>
      <c r="G162" s="214">
        <v>0</v>
      </c>
      <c r="H162" s="214">
        <v>0</v>
      </c>
      <c r="I162" s="214">
        <v>0</v>
      </c>
      <c r="J162" s="214">
        <v>0</v>
      </c>
      <c r="K162" s="214">
        <v>0</v>
      </c>
      <c r="L162" s="214">
        <v>0</v>
      </c>
      <c r="M162" s="214">
        <v>0</v>
      </c>
      <c r="N162" s="214">
        <v>0</v>
      </c>
      <c r="O162" s="214">
        <v>0</v>
      </c>
      <c r="P162" s="214">
        <v>0</v>
      </c>
      <c r="Q162" s="214">
        <v>0</v>
      </c>
      <c r="R162" s="214">
        <v>350</v>
      </c>
      <c r="S162" s="214">
        <v>0</v>
      </c>
      <c r="T162" s="214">
        <v>0</v>
      </c>
      <c r="U162" s="214">
        <v>0</v>
      </c>
      <c r="V162" s="214">
        <v>0</v>
      </c>
      <c r="W162" s="214">
        <v>0</v>
      </c>
      <c r="X162" s="214">
        <v>0</v>
      </c>
      <c r="Y162" s="214">
        <v>0</v>
      </c>
      <c r="Z162" s="214">
        <v>0</v>
      </c>
      <c r="AA162" s="214">
        <v>0</v>
      </c>
      <c r="AB162" s="214">
        <v>0</v>
      </c>
      <c r="AC162" s="214">
        <v>0</v>
      </c>
      <c r="AD162" s="214"/>
      <c r="AE162" s="420">
        <v>0</v>
      </c>
      <c r="AF162" s="420">
        <v>0</v>
      </c>
      <c r="AG162" s="420">
        <v>0</v>
      </c>
      <c r="AH162" s="420"/>
      <c r="AI162" s="574">
        <f t="shared" si="4"/>
        <v>1965</v>
      </c>
      <c r="AJ162" s="212"/>
    </row>
    <row r="163" spans="2:36" ht="14.4">
      <c r="B163" s="211"/>
      <c r="C163" s="213" t="s">
        <v>60</v>
      </c>
      <c r="D163" s="214">
        <v>0</v>
      </c>
      <c r="E163" s="214">
        <v>0</v>
      </c>
      <c r="F163" s="214">
        <v>0</v>
      </c>
      <c r="G163" s="214">
        <v>0</v>
      </c>
      <c r="H163" s="214">
        <v>0</v>
      </c>
      <c r="I163" s="214">
        <v>0</v>
      </c>
      <c r="J163" s="214">
        <v>0</v>
      </c>
      <c r="K163" s="214">
        <v>0</v>
      </c>
      <c r="L163" s="214">
        <v>0</v>
      </c>
      <c r="M163" s="214">
        <v>0</v>
      </c>
      <c r="N163" s="214">
        <v>0</v>
      </c>
      <c r="O163" s="214">
        <v>0</v>
      </c>
      <c r="P163" s="214">
        <v>0</v>
      </c>
      <c r="Q163" s="214">
        <v>0</v>
      </c>
      <c r="R163" s="214">
        <v>0</v>
      </c>
      <c r="S163" s="214">
        <v>0</v>
      </c>
      <c r="T163" s="214">
        <v>0</v>
      </c>
      <c r="U163" s="214">
        <v>0</v>
      </c>
      <c r="V163" s="214">
        <v>0</v>
      </c>
      <c r="W163" s="214">
        <v>0</v>
      </c>
      <c r="X163" s="214">
        <v>0</v>
      </c>
      <c r="Y163" s="214">
        <v>0</v>
      </c>
      <c r="Z163" s="214">
        <v>0</v>
      </c>
      <c r="AA163" s="214">
        <v>0</v>
      </c>
      <c r="AB163" s="214">
        <v>0</v>
      </c>
      <c r="AC163" s="214">
        <v>0</v>
      </c>
      <c r="AD163" s="214"/>
      <c r="AE163" s="420">
        <v>0</v>
      </c>
      <c r="AF163" s="420">
        <v>0</v>
      </c>
      <c r="AG163" s="420">
        <v>0</v>
      </c>
      <c r="AH163" s="420"/>
      <c r="AI163" s="574">
        <f t="shared" si="4"/>
        <v>0</v>
      </c>
      <c r="AJ163" s="212"/>
    </row>
    <row r="164" spans="2:36" ht="14.4">
      <c r="B164" s="211"/>
      <c r="C164" s="213" t="s">
        <v>61</v>
      </c>
      <c r="D164" s="214">
        <v>6660</v>
      </c>
      <c r="E164" s="214">
        <v>1950</v>
      </c>
      <c r="F164" s="214">
        <v>200</v>
      </c>
      <c r="G164" s="214">
        <v>60</v>
      </c>
      <c r="H164" s="214">
        <v>225</v>
      </c>
      <c r="I164" s="214">
        <v>0</v>
      </c>
      <c r="J164" s="214">
        <v>0</v>
      </c>
      <c r="K164" s="214">
        <v>0</v>
      </c>
      <c r="L164" s="214">
        <v>0</v>
      </c>
      <c r="M164" s="214">
        <v>0</v>
      </c>
      <c r="N164" s="214">
        <v>0</v>
      </c>
      <c r="O164" s="214">
        <v>0</v>
      </c>
      <c r="P164" s="214">
        <v>0</v>
      </c>
      <c r="Q164" s="214">
        <v>1940</v>
      </c>
      <c r="R164" s="214">
        <v>0</v>
      </c>
      <c r="S164" s="214">
        <v>50</v>
      </c>
      <c r="T164" s="214">
        <v>0</v>
      </c>
      <c r="U164" s="214">
        <v>0</v>
      </c>
      <c r="V164" s="214">
        <v>0</v>
      </c>
      <c r="W164" s="214">
        <v>0</v>
      </c>
      <c r="X164" s="214">
        <v>0</v>
      </c>
      <c r="Y164" s="214">
        <v>0</v>
      </c>
      <c r="Z164" s="214">
        <v>0</v>
      </c>
      <c r="AA164" s="214">
        <v>0</v>
      </c>
      <c r="AB164" s="214">
        <v>0</v>
      </c>
      <c r="AC164" s="214">
        <v>0</v>
      </c>
      <c r="AD164" s="214"/>
      <c r="AE164" s="420">
        <v>4000</v>
      </c>
      <c r="AF164" s="420">
        <v>0</v>
      </c>
      <c r="AG164" s="420">
        <v>0</v>
      </c>
      <c r="AH164" s="420"/>
      <c r="AI164" s="574">
        <f t="shared" si="4"/>
        <v>15085</v>
      </c>
      <c r="AJ164" s="212"/>
    </row>
    <row r="165" spans="2:36" ht="14.4">
      <c r="B165" s="211"/>
      <c r="C165" s="213" t="s">
        <v>62</v>
      </c>
      <c r="D165" s="214">
        <v>26190</v>
      </c>
      <c r="E165" s="214">
        <v>4325</v>
      </c>
      <c r="F165" s="214">
        <v>0</v>
      </c>
      <c r="G165" s="214">
        <v>0</v>
      </c>
      <c r="H165" s="214">
        <v>0</v>
      </c>
      <c r="I165" s="214">
        <v>0</v>
      </c>
      <c r="J165" s="214">
        <v>0</v>
      </c>
      <c r="K165" s="214">
        <v>2755</v>
      </c>
      <c r="L165" s="214">
        <v>0</v>
      </c>
      <c r="M165" s="214">
        <v>0</v>
      </c>
      <c r="N165" s="214">
        <v>0</v>
      </c>
      <c r="O165" s="214">
        <v>0</v>
      </c>
      <c r="P165" s="214">
        <v>0</v>
      </c>
      <c r="Q165" s="214">
        <v>0</v>
      </c>
      <c r="R165" s="214">
        <v>0</v>
      </c>
      <c r="S165" s="214">
        <v>0</v>
      </c>
      <c r="T165" s="214">
        <v>0</v>
      </c>
      <c r="U165" s="214">
        <v>0</v>
      </c>
      <c r="V165" s="214">
        <v>0</v>
      </c>
      <c r="W165" s="214">
        <v>0</v>
      </c>
      <c r="X165" s="214">
        <v>0</v>
      </c>
      <c r="Y165" s="214">
        <v>0</v>
      </c>
      <c r="Z165" s="214">
        <v>0</v>
      </c>
      <c r="AA165" s="214">
        <v>0</v>
      </c>
      <c r="AB165" s="214">
        <v>0</v>
      </c>
      <c r="AC165" s="214">
        <v>0</v>
      </c>
      <c r="AD165" s="214"/>
      <c r="AE165" s="420">
        <v>0</v>
      </c>
      <c r="AF165" s="420">
        <v>0</v>
      </c>
      <c r="AG165" s="446">
        <v>3750</v>
      </c>
      <c r="AH165" s="420"/>
      <c r="AI165" s="574">
        <f t="shared" si="4"/>
        <v>37020</v>
      </c>
      <c r="AJ165" s="212"/>
    </row>
    <row r="166" spans="2:36" ht="14.4">
      <c r="B166" s="211"/>
      <c r="C166" s="213" t="s">
        <v>63</v>
      </c>
      <c r="D166" s="214">
        <v>0</v>
      </c>
      <c r="E166" s="214">
        <v>0</v>
      </c>
      <c r="F166" s="214">
        <v>0</v>
      </c>
      <c r="G166" s="214">
        <v>0</v>
      </c>
      <c r="H166" s="214">
        <v>0</v>
      </c>
      <c r="I166" s="214">
        <v>0</v>
      </c>
      <c r="J166" s="214">
        <v>0</v>
      </c>
      <c r="K166" s="214">
        <v>0</v>
      </c>
      <c r="L166" s="214">
        <v>0</v>
      </c>
      <c r="M166" s="214">
        <v>0</v>
      </c>
      <c r="N166" s="214">
        <v>0</v>
      </c>
      <c r="O166" s="214">
        <v>0</v>
      </c>
      <c r="P166" s="214">
        <v>0</v>
      </c>
      <c r="Q166" s="214">
        <v>0</v>
      </c>
      <c r="R166" s="214">
        <v>0</v>
      </c>
      <c r="S166" s="214">
        <v>0</v>
      </c>
      <c r="T166" s="214">
        <v>0</v>
      </c>
      <c r="U166" s="214">
        <v>0</v>
      </c>
      <c r="V166" s="214">
        <v>0</v>
      </c>
      <c r="W166" s="214">
        <v>0</v>
      </c>
      <c r="X166" s="214">
        <v>0</v>
      </c>
      <c r="Y166" s="214">
        <v>0</v>
      </c>
      <c r="Z166" s="214">
        <v>0</v>
      </c>
      <c r="AA166" s="214">
        <v>0</v>
      </c>
      <c r="AB166" s="214">
        <v>0</v>
      </c>
      <c r="AC166" s="214">
        <v>0</v>
      </c>
      <c r="AD166" s="214"/>
      <c r="AE166" s="420">
        <v>0</v>
      </c>
      <c r="AF166" s="420">
        <v>0</v>
      </c>
      <c r="AG166" s="420">
        <v>0</v>
      </c>
      <c r="AH166" s="420"/>
      <c r="AI166" s="574">
        <f t="shared" si="4"/>
        <v>0</v>
      </c>
      <c r="AJ166" s="212"/>
    </row>
    <row r="167" spans="2:36" ht="14.4">
      <c r="B167" s="211"/>
      <c r="C167" s="213" t="s">
        <v>64</v>
      </c>
      <c r="D167" s="214">
        <v>4000</v>
      </c>
      <c r="E167" s="214">
        <v>0</v>
      </c>
      <c r="F167" s="214">
        <v>0</v>
      </c>
      <c r="G167" s="214">
        <v>0</v>
      </c>
      <c r="H167" s="214">
        <v>0</v>
      </c>
      <c r="I167" s="214">
        <v>0</v>
      </c>
      <c r="J167" s="214">
        <v>0</v>
      </c>
      <c r="K167" s="214">
        <v>0</v>
      </c>
      <c r="L167" s="214">
        <v>0</v>
      </c>
      <c r="M167" s="214">
        <v>0</v>
      </c>
      <c r="N167" s="214">
        <v>0</v>
      </c>
      <c r="O167" s="214">
        <v>0</v>
      </c>
      <c r="P167" s="214">
        <v>0</v>
      </c>
      <c r="Q167" s="214">
        <v>0</v>
      </c>
      <c r="R167" s="214">
        <v>0</v>
      </c>
      <c r="S167" s="214">
        <v>0</v>
      </c>
      <c r="T167" s="214">
        <v>2000</v>
      </c>
      <c r="U167" s="214">
        <v>0</v>
      </c>
      <c r="V167" s="214">
        <v>0</v>
      </c>
      <c r="W167" s="214">
        <v>0</v>
      </c>
      <c r="X167" s="214">
        <v>0</v>
      </c>
      <c r="Y167" s="214">
        <v>0</v>
      </c>
      <c r="Z167" s="214">
        <v>0</v>
      </c>
      <c r="AA167" s="214">
        <v>0</v>
      </c>
      <c r="AB167" s="214">
        <v>600</v>
      </c>
      <c r="AC167" s="214">
        <v>600</v>
      </c>
      <c r="AD167" s="214"/>
      <c r="AE167" s="420">
        <v>0</v>
      </c>
      <c r="AF167" s="420">
        <v>0</v>
      </c>
      <c r="AG167" s="420">
        <v>0</v>
      </c>
      <c r="AH167" s="420"/>
      <c r="AI167" s="574">
        <f t="shared" si="4"/>
        <v>7200</v>
      </c>
      <c r="AJ167" s="212"/>
    </row>
    <row r="168" spans="2:36" ht="14.4">
      <c r="B168" s="211"/>
      <c r="C168" s="213" t="s">
        <v>28</v>
      </c>
      <c r="D168" s="214">
        <v>14245</v>
      </c>
      <c r="E168" s="214">
        <v>0</v>
      </c>
      <c r="F168" s="214">
        <v>0</v>
      </c>
      <c r="G168" s="214">
        <v>0</v>
      </c>
      <c r="H168" s="214">
        <v>0</v>
      </c>
      <c r="I168" s="214">
        <v>0</v>
      </c>
      <c r="J168" s="214">
        <v>0</v>
      </c>
      <c r="K168" s="214">
        <v>0</v>
      </c>
      <c r="L168" s="214">
        <v>0</v>
      </c>
      <c r="M168" s="214">
        <v>0</v>
      </c>
      <c r="N168" s="214">
        <v>0</v>
      </c>
      <c r="O168" s="214">
        <v>0</v>
      </c>
      <c r="P168" s="214">
        <v>0</v>
      </c>
      <c r="Q168" s="214">
        <v>0</v>
      </c>
      <c r="R168" s="214">
        <v>0</v>
      </c>
      <c r="S168" s="214">
        <v>0</v>
      </c>
      <c r="T168" s="214">
        <v>0</v>
      </c>
      <c r="U168" s="214">
        <v>0</v>
      </c>
      <c r="V168" s="214">
        <v>0</v>
      </c>
      <c r="W168" s="214">
        <v>0</v>
      </c>
      <c r="X168" s="214">
        <v>0</v>
      </c>
      <c r="Y168" s="214">
        <v>0</v>
      </c>
      <c r="Z168" s="214">
        <v>0</v>
      </c>
      <c r="AA168" s="214">
        <v>0</v>
      </c>
      <c r="AB168" s="214">
        <v>0</v>
      </c>
      <c r="AC168" s="214">
        <v>0</v>
      </c>
      <c r="AD168" s="214"/>
      <c r="AE168" s="420">
        <v>0</v>
      </c>
      <c r="AF168" s="420">
        <v>0</v>
      </c>
      <c r="AG168" s="420">
        <v>0</v>
      </c>
      <c r="AH168" s="420"/>
      <c r="AI168" s="574">
        <f t="shared" si="4"/>
        <v>14245</v>
      </c>
      <c r="AJ168" s="212"/>
    </row>
    <row r="169" spans="2:36" ht="14.4">
      <c r="B169" s="211"/>
      <c r="C169" s="213" t="s">
        <v>157</v>
      </c>
      <c r="D169" s="214">
        <v>0</v>
      </c>
      <c r="E169" s="214">
        <v>1190</v>
      </c>
      <c r="F169" s="214">
        <v>533.04999999999995</v>
      </c>
      <c r="G169" s="214">
        <v>60.77</v>
      </c>
      <c r="H169" s="214">
        <v>0</v>
      </c>
      <c r="I169" s="214">
        <v>0</v>
      </c>
      <c r="J169" s="214">
        <v>0</v>
      </c>
      <c r="K169" s="214">
        <v>0</v>
      </c>
      <c r="L169" s="214">
        <v>0</v>
      </c>
      <c r="M169" s="214">
        <v>0</v>
      </c>
      <c r="N169" s="214">
        <v>0</v>
      </c>
      <c r="O169" s="214">
        <v>0</v>
      </c>
      <c r="P169" s="214">
        <v>49.26</v>
      </c>
      <c r="Q169" s="214">
        <v>552.6</v>
      </c>
      <c r="R169" s="214">
        <v>267.29000000000002</v>
      </c>
      <c r="S169" s="214">
        <v>0</v>
      </c>
      <c r="T169" s="214">
        <v>0</v>
      </c>
      <c r="U169" s="214">
        <v>0</v>
      </c>
      <c r="V169" s="214">
        <v>0</v>
      </c>
      <c r="W169" s="214">
        <v>0</v>
      </c>
      <c r="X169" s="214">
        <v>0</v>
      </c>
      <c r="Y169" s="214">
        <v>0</v>
      </c>
      <c r="Z169" s="214">
        <v>0</v>
      </c>
      <c r="AA169" s="214">
        <v>0</v>
      </c>
      <c r="AB169" s="214">
        <v>0</v>
      </c>
      <c r="AC169" s="214">
        <v>0</v>
      </c>
      <c r="AD169" s="214"/>
      <c r="AE169" s="420">
        <v>0</v>
      </c>
      <c r="AF169" s="420">
        <v>66.5</v>
      </c>
      <c r="AG169" s="420">
        <v>0</v>
      </c>
      <c r="AH169" s="420"/>
      <c r="AI169" s="574">
        <f t="shared" si="4"/>
        <v>2719.47</v>
      </c>
      <c r="AJ169" s="212"/>
    </row>
    <row r="170" spans="2:36" ht="14.4">
      <c r="B170" s="211"/>
      <c r="C170" s="213" t="s">
        <v>65</v>
      </c>
      <c r="D170" s="214">
        <v>18000</v>
      </c>
      <c r="E170" s="214">
        <v>0</v>
      </c>
      <c r="F170" s="214">
        <v>0</v>
      </c>
      <c r="G170" s="214">
        <v>0</v>
      </c>
      <c r="H170" s="214">
        <v>0</v>
      </c>
      <c r="I170" s="214">
        <v>0</v>
      </c>
      <c r="J170" s="214">
        <v>0</v>
      </c>
      <c r="K170" s="214">
        <v>0</v>
      </c>
      <c r="L170" s="214">
        <v>0</v>
      </c>
      <c r="M170" s="214">
        <v>0</v>
      </c>
      <c r="N170" s="214">
        <v>0</v>
      </c>
      <c r="O170" s="214">
        <v>0</v>
      </c>
      <c r="P170" s="214">
        <v>0</v>
      </c>
      <c r="Q170" s="214">
        <v>0</v>
      </c>
      <c r="R170" s="214">
        <v>0</v>
      </c>
      <c r="S170" s="214">
        <v>0</v>
      </c>
      <c r="T170" s="214">
        <v>0</v>
      </c>
      <c r="U170" s="214">
        <v>0</v>
      </c>
      <c r="V170" s="214">
        <v>0</v>
      </c>
      <c r="W170" s="214">
        <v>0</v>
      </c>
      <c r="X170" s="214">
        <v>0</v>
      </c>
      <c r="Y170" s="214">
        <v>0</v>
      </c>
      <c r="Z170" s="214">
        <v>0</v>
      </c>
      <c r="AA170" s="214">
        <v>0</v>
      </c>
      <c r="AB170" s="214">
        <v>0</v>
      </c>
      <c r="AC170" s="214">
        <v>0</v>
      </c>
      <c r="AD170" s="214"/>
      <c r="AE170" s="420">
        <v>0</v>
      </c>
      <c r="AF170" s="420">
        <v>0</v>
      </c>
      <c r="AG170" s="420">
        <v>0</v>
      </c>
      <c r="AH170" s="420"/>
      <c r="AI170" s="574">
        <f t="shared" si="4"/>
        <v>18000</v>
      </c>
      <c r="AJ170" s="212"/>
    </row>
    <row r="171" spans="2:36" ht="14.4">
      <c r="B171" s="211"/>
      <c r="C171" s="213" t="s">
        <v>66</v>
      </c>
      <c r="D171" s="214">
        <v>0</v>
      </c>
      <c r="E171" s="214">
        <v>0</v>
      </c>
      <c r="F171" s="214">
        <v>0</v>
      </c>
      <c r="G171" s="214">
        <v>0</v>
      </c>
      <c r="H171" s="214">
        <v>0</v>
      </c>
      <c r="I171" s="214">
        <v>0</v>
      </c>
      <c r="J171" s="214">
        <v>0</v>
      </c>
      <c r="K171" s="214">
        <v>0</v>
      </c>
      <c r="L171" s="214">
        <v>0</v>
      </c>
      <c r="M171" s="214">
        <v>0</v>
      </c>
      <c r="N171" s="214">
        <v>0</v>
      </c>
      <c r="O171" s="214">
        <v>0</v>
      </c>
      <c r="P171" s="214">
        <v>0</v>
      </c>
      <c r="Q171" s="214">
        <v>0</v>
      </c>
      <c r="R171" s="214">
        <v>0</v>
      </c>
      <c r="S171" s="214">
        <v>0</v>
      </c>
      <c r="T171" s="214">
        <v>0</v>
      </c>
      <c r="U171" s="214">
        <v>0</v>
      </c>
      <c r="V171" s="214">
        <v>0</v>
      </c>
      <c r="W171" s="214">
        <v>0</v>
      </c>
      <c r="X171" s="214">
        <v>0</v>
      </c>
      <c r="Y171" s="214">
        <v>0</v>
      </c>
      <c r="Z171" s="214">
        <v>0</v>
      </c>
      <c r="AA171" s="214">
        <v>0</v>
      </c>
      <c r="AB171" s="214">
        <v>0</v>
      </c>
      <c r="AC171" s="214">
        <v>0</v>
      </c>
      <c r="AD171" s="214"/>
      <c r="AE171" s="420">
        <v>0</v>
      </c>
      <c r="AF171" s="420">
        <v>0</v>
      </c>
      <c r="AG171" s="420">
        <v>0</v>
      </c>
      <c r="AH171" s="420"/>
      <c r="AI171" s="574">
        <f t="shared" si="4"/>
        <v>0</v>
      </c>
      <c r="AJ171" s="212"/>
    </row>
    <row r="172" spans="2:36" ht="14.4">
      <c r="B172" s="211"/>
      <c r="C172" s="213" t="s">
        <v>30</v>
      </c>
      <c r="D172" s="214">
        <v>12961.75</v>
      </c>
      <c r="E172" s="214">
        <v>11522.25</v>
      </c>
      <c r="F172" s="214">
        <v>14555.5</v>
      </c>
      <c r="G172" s="214">
        <v>8999.5</v>
      </c>
      <c r="H172" s="214">
        <v>3995.8</v>
      </c>
      <c r="I172" s="214">
        <v>0</v>
      </c>
      <c r="J172" s="214">
        <v>1700.25</v>
      </c>
      <c r="K172" s="214">
        <v>0</v>
      </c>
      <c r="L172" s="214">
        <v>0</v>
      </c>
      <c r="M172" s="214">
        <v>2700.25</v>
      </c>
      <c r="N172" s="214">
        <v>855.25</v>
      </c>
      <c r="O172" s="214">
        <v>4225.25</v>
      </c>
      <c r="P172" s="214">
        <v>2666.5</v>
      </c>
      <c r="Q172" s="214">
        <v>15225.25</v>
      </c>
      <c r="R172" s="214">
        <v>2200.25</v>
      </c>
      <c r="S172" s="214">
        <v>4325.25</v>
      </c>
      <c r="T172" s="214">
        <v>0</v>
      </c>
      <c r="U172" s="214">
        <v>2666.5</v>
      </c>
      <c r="V172" s="214">
        <v>899.5</v>
      </c>
      <c r="W172" s="214">
        <v>1200.25</v>
      </c>
      <c r="X172" s="214">
        <v>0</v>
      </c>
      <c r="Y172" s="214">
        <v>2200.25</v>
      </c>
      <c r="Z172" s="214">
        <v>1700.5</v>
      </c>
      <c r="AA172" s="214">
        <v>1900.5</v>
      </c>
      <c r="AB172" s="214">
        <v>6985.25</v>
      </c>
      <c r="AC172" s="214">
        <v>4757.25</v>
      </c>
      <c r="AD172" s="214"/>
      <c r="AE172" s="420">
        <v>1900.25</v>
      </c>
      <c r="AF172" s="420">
        <v>0</v>
      </c>
      <c r="AG172" s="420">
        <v>0</v>
      </c>
      <c r="AH172" s="420"/>
      <c r="AI172" s="574">
        <f t="shared" si="4"/>
        <v>110143.3</v>
      </c>
      <c r="AJ172" s="212"/>
    </row>
    <row r="173" spans="2:36" ht="14.4">
      <c r="B173" s="211"/>
      <c r="C173" s="213" t="s">
        <v>67</v>
      </c>
      <c r="D173" s="214">
        <v>18799</v>
      </c>
      <c r="E173" s="214">
        <v>0</v>
      </c>
      <c r="F173" s="214">
        <v>0</v>
      </c>
      <c r="G173" s="214">
        <v>100</v>
      </c>
      <c r="H173" s="214">
        <v>0</v>
      </c>
      <c r="I173" s="214">
        <v>0</v>
      </c>
      <c r="J173" s="214">
        <v>0</v>
      </c>
      <c r="K173" s="214">
        <v>0</v>
      </c>
      <c r="L173" s="214">
        <v>0</v>
      </c>
      <c r="M173" s="214">
        <v>0</v>
      </c>
      <c r="N173" s="214">
        <v>0</v>
      </c>
      <c r="O173" s="214">
        <v>0</v>
      </c>
      <c r="P173" s="214">
        <v>0</v>
      </c>
      <c r="Q173" s="214">
        <v>0</v>
      </c>
      <c r="R173" s="214">
        <v>0</v>
      </c>
      <c r="S173" s="214">
        <v>95</v>
      </c>
      <c r="T173" s="214">
        <v>0</v>
      </c>
      <c r="U173" s="214">
        <v>0</v>
      </c>
      <c r="V173" s="214">
        <v>0</v>
      </c>
      <c r="W173" s="214">
        <v>0</v>
      </c>
      <c r="X173" s="214">
        <v>0</v>
      </c>
      <c r="Y173" s="214">
        <v>0</v>
      </c>
      <c r="Z173" s="214">
        <v>0</v>
      </c>
      <c r="AA173" s="214">
        <v>0</v>
      </c>
      <c r="AB173" s="214">
        <v>0</v>
      </c>
      <c r="AC173" s="214">
        <v>0</v>
      </c>
      <c r="AD173" s="214"/>
      <c r="AE173" s="420">
        <v>0</v>
      </c>
      <c r="AF173" s="420">
        <v>0</v>
      </c>
      <c r="AG173" s="420">
        <v>0</v>
      </c>
      <c r="AH173" s="420"/>
      <c r="AI173" s="574">
        <f t="shared" si="4"/>
        <v>18994</v>
      </c>
      <c r="AJ173" s="212"/>
    </row>
    <row r="174" spans="2:36" ht="14.4">
      <c r="B174" s="211"/>
      <c r="C174" s="213" t="s">
        <v>111</v>
      </c>
      <c r="D174" s="214">
        <v>0</v>
      </c>
      <c r="E174" s="214">
        <v>400</v>
      </c>
      <c r="F174" s="214">
        <v>1000</v>
      </c>
      <c r="G174" s="214">
        <v>500</v>
      </c>
      <c r="H174" s="214">
        <v>700</v>
      </c>
      <c r="I174" s="214">
        <v>0</v>
      </c>
      <c r="J174" s="214">
        <v>0</v>
      </c>
      <c r="K174" s="214">
        <v>0</v>
      </c>
      <c r="L174" s="214">
        <v>0</v>
      </c>
      <c r="M174" s="214">
        <v>0</v>
      </c>
      <c r="N174" s="214">
        <v>0</v>
      </c>
      <c r="O174" s="214">
        <v>200</v>
      </c>
      <c r="P174" s="214">
        <v>300</v>
      </c>
      <c r="Q174" s="214">
        <v>1500</v>
      </c>
      <c r="R174" s="214">
        <v>0</v>
      </c>
      <c r="S174" s="214">
        <v>0</v>
      </c>
      <c r="T174" s="214">
        <v>0</v>
      </c>
      <c r="U174" s="214">
        <v>0</v>
      </c>
      <c r="V174" s="214">
        <v>0</v>
      </c>
      <c r="W174" s="214">
        <v>0</v>
      </c>
      <c r="X174" s="214">
        <v>0</v>
      </c>
      <c r="Y174" s="214">
        <v>0</v>
      </c>
      <c r="Z174" s="214">
        <v>0</v>
      </c>
      <c r="AA174" s="214">
        <v>0</v>
      </c>
      <c r="AB174" s="214">
        <v>100</v>
      </c>
      <c r="AC174" s="214">
        <v>0</v>
      </c>
      <c r="AD174" s="214"/>
      <c r="AE174" s="420">
        <v>1100</v>
      </c>
      <c r="AF174" s="420">
        <v>0</v>
      </c>
      <c r="AG174" s="420">
        <v>0</v>
      </c>
      <c r="AH174" s="420"/>
      <c r="AI174" s="574">
        <f t="shared" si="4"/>
        <v>5800</v>
      </c>
      <c r="AJ174" s="212"/>
    </row>
    <row r="175" spans="2:36" ht="14.4">
      <c r="B175" s="211"/>
      <c r="C175" s="213" t="s">
        <v>68</v>
      </c>
      <c r="D175" s="214">
        <v>0</v>
      </c>
      <c r="E175" s="214">
        <v>0</v>
      </c>
      <c r="F175" s="214">
        <v>0</v>
      </c>
      <c r="G175" s="214">
        <v>0</v>
      </c>
      <c r="H175" s="214">
        <v>0</v>
      </c>
      <c r="I175" s="214">
        <v>0</v>
      </c>
      <c r="J175" s="214">
        <v>0</v>
      </c>
      <c r="K175" s="214">
        <v>0</v>
      </c>
      <c r="L175" s="214">
        <v>0</v>
      </c>
      <c r="M175" s="214">
        <v>0</v>
      </c>
      <c r="N175" s="214">
        <v>0</v>
      </c>
      <c r="O175" s="214">
        <v>0</v>
      </c>
      <c r="P175" s="214">
        <v>0</v>
      </c>
      <c r="Q175" s="214">
        <v>0</v>
      </c>
      <c r="R175" s="214">
        <v>0</v>
      </c>
      <c r="S175" s="214">
        <v>0</v>
      </c>
      <c r="T175" s="214">
        <v>0</v>
      </c>
      <c r="U175" s="214">
        <v>0</v>
      </c>
      <c r="V175" s="214">
        <v>0</v>
      </c>
      <c r="W175" s="214">
        <v>0</v>
      </c>
      <c r="X175" s="214">
        <v>0</v>
      </c>
      <c r="Y175" s="214">
        <v>0</v>
      </c>
      <c r="Z175" s="214">
        <v>0</v>
      </c>
      <c r="AA175" s="214">
        <v>0</v>
      </c>
      <c r="AB175" s="214">
        <v>0</v>
      </c>
      <c r="AC175" s="214">
        <v>0</v>
      </c>
      <c r="AD175" s="214"/>
      <c r="AE175" s="420">
        <v>0</v>
      </c>
      <c r="AF175" s="420">
        <v>0</v>
      </c>
      <c r="AG175" s="420">
        <v>0</v>
      </c>
      <c r="AH175" s="420"/>
      <c r="AI175" s="574">
        <f t="shared" si="4"/>
        <v>0</v>
      </c>
      <c r="AJ175" s="212"/>
    </row>
    <row r="176" spans="2:36" ht="14.4">
      <c r="B176" s="211"/>
      <c r="C176" s="213" t="s">
        <v>69</v>
      </c>
      <c r="D176" s="214">
        <v>0</v>
      </c>
      <c r="E176" s="214">
        <v>400</v>
      </c>
      <c r="F176" s="214">
        <v>0</v>
      </c>
      <c r="G176" s="214">
        <v>800</v>
      </c>
      <c r="H176" s="214">
        <v>0</v>
      </c>
      <c r="I176" s="214">
        <v>0</v>
      </c>
      <c r="J176" s="214">
        <v>0</v>
      </c>
      <c r="K176" s="214">
        <v>0</v>
      </c>
      <c r="L176" s="214">
        <v>0</v>
      </c>
      <c r="M176" s="214">
        <v>0</v>
      </c>
      <c r="N176" s="214">
        <v>0</v>
      </c>
      <c r="O176" s="214">
        <v>0</v>
      </c>
      <c r="P176" s="214">
        <v>0</v>
      </c>
      <c r="Q176" s="214">
        <v>0</v>
      </c>
      <c r="R176" s="214">
        <v>0</v>
      </c>
      <c r="S176" s="214">
        <v>0</v>
      </c>
      <c r="T176" s="214">
        <v>0</v>
      </c>
      <c r="U176" s="214">
        <v>0</v>
      </c>
      <c r="V176" s="214">
        <v>0</v>
      </c>
      <c r="W176" s="214">
        <v>0</v>
      </c>
      <c r="X176" s="214">
        <v>0</v>
      </c>
      <c r="Y176" s="214">
        <v>0</v>
      </c>
      <c r="Z176" s="214">
        <v>0</v>
      </c>
      <c r="AA176" s="214">
        <v>0</v>
      </c>
      <c r="AB176" s="214">
        <v>0</v>
      </c>
      <c r="AC176" s="214">
        <v>0</v>
      </c>
      <c r="AD176" s="214"/>
      <c r="AE176" s="420">
        <v>0</v>
      </c>
      <c r="AF176" s="420">
        <v>0</v>
      </c>
      <c r="AG176" s="420">
        <v>0</v>
      </c>
      <c r="AH176" s="420"/>
      <c r="AI176" s="574">
        <f t="shared" si="4"/>
        <v>1200</v>
      </c>
      <c r="AJ176" s="212"/>
    </row>
    <row r="177" spans="2:36" ht="14.4">
      <c r="B177" s="211"/>
      <c r="C177" s="213" t="s">
        <v>70</v>
      </c>
      <c r="D177" s="214">
        <v>4680</v>
      </c>
      <c r="E177" s="214">
        <v>0</v>
      </c>
      <c r="F177" s="214">
        <v>0</v>
      </c>
      <c r="G177" s="214">
        <v>0</v>
      </c>
      <c r="H177" s="214">
        <v>770</v>
      </c>
      <c r="I177" s="214">
        <v>0</v>
      </c>
      <c r="J177" s="214">
        <v>0</v>
      </c>
      <c r="K177" s="214">
        <v>0</v>
      </c>
      <c r="L177" s="214">
        <v>0</v>
      </c>
      <c r="M177" s="214">
        <v>0</v>
      </c>
      <c r="N177" s="214">
        <v>0</v>
      </c>
      <c r="O177" s="214">
        <v>0</v>
      </c>
      <c r="P177" s="214">
        <v>0</v>
      </c>
      <c r="Q177" s="214">
        <v>0</v>
      </c>
      <c r="R177" s="214">
        <v>0</v>
      </c>
      <c r="S177" s="214">
        <v>0</v>
      </c>
      <c r="T177" s="214">
        <v>0</v>
      </c>
      <c r="U177" s="214">
        <v>0</v>
      </c>
      <c r="V177" s="214">
        <v>0</v>
      </c>
      <c r="W177" s="214">
        <v>0</v>
      </c>
      <c r="X177" s="214">
        <v>0</v>
      </c>
      <c r="Y177" s="214">
        <v>0</v>
      </c>
      <c r="Z177" s="214">
        <v>0</v>
      </c>
      <c r="AA177" s="214">
        <v>0</v>
      </c>
      <c r="AB177" s="214">
        <v>0</v>
      </c>
      <c r="AC177" s="214">
        <v>0</v>
      </c>
      <c r="AD177" s="214"/>
      <c r="AE177" s="420">
        <v>0</v>
      </c>
      <c r="AF177" s="420">
        <v>0</v>
      </c>
      <c r="AG177" s="446">
        <v>220</v>
      </c>
      <c r="AH177" s="420"/>
      <c r="AI177" s="574">
        <f t="shared" si="4"/>
        <v>5670</v>
      </c>
      <c r="AJ177" s="212"/>
    </row>
    <row r="178" spans="2:36" ht="14.4">
      <c r="B178" s="211"/>
      <c r="C178" s="213" t="s">
        <v>71</v>
      </c>
      <c r="D178" s="214">
        <v>0</v>
      </c>
      <c r="E178" s="214">
        <v>0</v>
      </c>
      <c r="F178" s="214">
        <v>0</v>
      </c>
      <c r="G178" s="214">
        <v>0</v>
      </c>
      <c r="H178" s="214">
        <v>0</v>
      </c>
      <c r="I178" s="214">
        <v>0</v>
      </c>
      <c r="J178" s="214">
        <v>0</v>
      </c>
      <c r="K178" s="214">
        <v>0</v>
      </c>
      <c r="L178" s="214">
        <v>0</v>
      </c>
      <c r="M178" s="214">
        <v>0</v>
      </c>
      <c r="N178" s="214">
        <v>0</v>
      </c>
      <c r="O178" s="214">
        <v>0</v>
      </c>
      <c r="P178" s="214">
        <v>0</v>
      </c>
      <c r="Q178" s="214">
        <v>0</v>
      </c>
      <c r="R178" s="214">
        <v>0</v>
      </c>
      <c r="S178" s="214">
        <v>0</v>
      </c>
      <c r="T178" s="214">
        <v>0</v>
      </c>
      <c r="U178" s="214">
        <v>0</v>
      </c>
      <c r="V178" s="214">
        <v>0</v>
      </c>
      <c r="W178" s="214">
        <v>0</v>
      </c>
      <c r="X178" s="214">
        <v>0</v>
      </c>
      <c r="Y178" s="214">
        <v>0</v>
      </c>
      <c r="Z178" s="214">
        <v>0</v>
      </c>
      <c r="AA178" s="214">
        <v>0</v>
      </c>
      <c r="AB178" s="214">
        <v>0</v>
      </c>
      <c r="AC178" s="214">
        <v>0</v>
      </c>
      <c r="AD178" s="214"/>
      <c r="AE178" s="420">
        <v>0</v>
      </c>
      <c r="AF178" s="420">
        <v>0</v>
      </c>
      <c r="AG178" s="420">
        <v>0</v>
      </c>
      <c r="AH178" s="420"/>
      <c r="AI178" s="574">
        <f t="shared" si="4"/>
        <v>0</v>
      </c>
      <c r="AJ178" s="212"/>
    </row>
    <row r="179" spans="2:36" ht="14.4">
      <c r="B179" s="211"/>
      <c r="C179" s="213" t="s">
        <v>159</v>
      </c>
      <c r="D179" s="214">
        <v>18390</v>
      </c>
      <c r="E179" s="214">
        <v>0</v>
      </c>
      <c r="F179" s="214">
        <v>0</v>
      </c>
      <c r="G179" s="214">
        <v>0</v>
      </c>
      <c r="H179" s="214">
        <v>0</v>
      </c>
      <c r="I179" s="214">
        <v>0</v>
      </c>
      <c r="J179" s="214">
        <v>0</v>
      </c>
      <c r="K179" s="214">
        <v>0</v>
      </c>
      <c r="L179" s="214">
        <v>0</v>
      </c>
      <c r="M179" s="214">
        <v>0</v>
      </c>
      <c r="N179" s="214">
        <v>0</v>
      </c>
      <c r="O179" s="214">
        <v>0</v>
      </c>
      <c r="P179" s="214">
        <v>0</v>
      </c>
      <c r="Q179" s="214">
        <v>0</v>
      </c>
      <c r="R179" s="214">
        <v>0</v>
      </c>
      <c r="S179" s="214">
        <v>0</v>
      </c>
      <c r="T179" s="214">
        <v>0</v>
      </c>
      <c r="U179" s="214">
        <v>0</v>
      </c>
      <c r="V179" s="214">
        <v>0</v>
      </c>
      <c r="W179" s="214">
        <v>0</v>
      </c>
      <c r="X179" s="214">
        <v>0</v>
      </c>
      <c r="Y179" s="214">
        <v>0</v>
      </c>
      <c r="Z179" s="214">
        <v>0</v>
      </c>
      <c r="AA179" s="214">
        <v>0</v>
      </c>
      <c r="AB179" s="214">
        <v>0</v>
      </c>
      <c r="AC179" s="214">
        <v>0</v>
      </c>
      <c r="AD179" s="214"/>
      <c r="AE179" s="420">
        <v>0</v>
      </c>
      <c r="AF179" s="420">
        <v>0</v>
      </c>
      <c r="AG179" s="420">
        <v>0</v>
      </c>
      <c r="AH179" s="420"/>
      <c r="AI179" s="574">
        <f t="shared" si="4"/>
        <v>18390</v>
      </c>
      <c r="AJ179" s="212"/>
    </row>
    <row r="180" spans="2:36" ht="14.4">
      <c r="B180" s="211"/>
      <c r="C180" s="213" t="s">
        <v>72</v>
      </c>
      <c r="D180" s="214">
        <v>0</v>
      </c>
      <c r="E180" s="214">
        <v>0</v>
      </c>
      <c r="F180" s="214">
        <v>0</v>
      </c>
      <c r="G180" s="214">
        <v>0</v>
      </c>
      <c r="H180" s="214">
        <v>0</v>
      </c>
      <c r="I180" s="214">
        <v>0</v>
      </c>
      <c r="J180" s="214">
        <v>0</v>
      </c>
      <c r="K180" s="214">
        <v>0</v>
      </c>
      <c r="L180" s="214">
        <v>0</v>
      </c>
      <c r="M180" s="214">
        <v>0</v>
      </c>
      <c r="N180" s="214">
        <v>0</v>
      </c>
      <c r="O180" s="214">
        <v>0</v>
      </c>
      <c r="P180" s="214">
        <v>0</v>
      </c>
      <c r="Q180" s="214">
        <v>0</v>
      </c>
      <c r="R180" s="214">
        <v>0</v>
      </c>
      <c r="S180" s="214">
        <v>0</v>
      </c>
      <c r="T180" s="214">
        <v>0</v>
      </c>
      <c r="U180" s="214">
        <v>0</v>
      </c>
      <c r="V180" s="214">
        <v>0</v>
      </c>
      <c r="W180" s="214">
        <v>0</v>
      </c>
      <c r="X180" s="214">
        <v>0</v>
      </c>
      <c r="Y180" s="214">
        <v>0</v>
      </c>
      <c r="Z180" s="214">
        <v>0</v>
      </c>
      <c r="AA180" s="214">
        <v>0</v>
      </c>
      <c r="AB180" s="214">
        <v>0</v>
      </c>
      <c r="AC180" s="214">
        <v>0</v>
      </c>
      <c r="AD180" s="214"/>
      <c r="AE180" s="420">
        <v>0</v>
      </c>
      <c r="AF180" s="420">
        <v>0</v>
      </c>
      <c r="AG180" s="420">
        <v>0</v>
      </c>
      <c r="AH180" s="420"/>
      <c r="AI180" s="574">
        <f t="shared" si="4"/>
        <v>0</v>
      </c>
      <c r="AJ180" s="212"/>
    </row>
    <row r="181" spans="2:36" ht="14.4">
      <c r="B181" s="211"/>
      <c r="C181" s="213" t="s">
        <v>73</v>
      </c>
      <c r="D181" s="214">
        <v>0</v>
      </c>
      <c r="E181" s="214">
        <v>0</v>
      </c>
      <c r="F181" s="214">
        <v>0</v>
      </c>
      <c r="G181" s="214">
        <v>0</v>
      </c>
      <c r="H181" s="214">
        <v>0</v>
      </c>
      <c r="I181" s="214">
        <v>0</v>
      </c>
      <c r="J181" s="214">
        <v>0</v>
      </c>
      <c r="K181" s="214">
        <v>0</v>
      </c>
      <c r="L181" s="214">
        <v>0</v>
      </c>
      <c r="M181" s="214">
        <v>0</v>
      </c>
      <c r="N181" s="214">
        <v>0</v>
      </c>
      <c r="O181" s="214">
        <v>0</v>
      </c>
      <c r="P181" s="214">
        <v>0</v>
      </c>
      <c r="Q181" s="214">
        <v>0</v>
      </c>
      <c r="R181" s="214">
        <v>0</v>
      </c>
      <c r="S181" s="214">
        <v>0</v>
      </c>
      <c r="T181" s="214">
        <v>0</v>
      </c>
      <c r="U181" s="214">
        <v>0</v>
      </c>
      <c r="V181" s="214">
        <v>0</v>
      </c>
      <c r="W181" s="214">
        <v>0</v>
      </c>
      <c r="X181" s="214">
        <v>0</v>
      </c>
      <c r="Y181" s="214">
        <v>0</v>
      </c>
      <c r="Z181" s="214">
        <v>0</v>
      </c>
      <c r="AA181" s="214">
        <v>0</v>
      </c>
      <c r="AB181" s="214">
        <v>0</v>
      </c>
      <c r="AC181" s="214">
        <v>0</v>
      </c>
      <c r="AD181" s="214"/>
      <c r="AE181" s="420">
        <v>0</v>
      </c>
      <c r="AF181" s="420">
        <v>0</v>
      </c>
      <c r="AG181" s="420">
        <v>0</v>
      </c>
      <c r="AH181" s="420"/>
      <c r="AI181" s="574">
        <f t="shared" si="4"/>
        <v>0</v>
      </c>
      <c r="AJ181" s="212"/>
    </row>
    <row r="182" spans="2:36" ht="14.4">
      <c r="B182" s="211"/>
      <c r="C182" s="213" t="s">
        <v>74</v>
      </c>
      <c r="D182" s="214">
        <v>0</v>
      </c>
      <c r="E182" s="214">
        <v>0</v>
      </c>
      <c r="F182" s="214">
        <v>0</v>
      </c>
      <c r="G182" s="214">
        <v>0</v>
      </c>
      <c r="H182" s="214">
        <v>0</v>
      </c>
      <c r="I182" s="214">
        <v>0</v>
      </c>
      <c r="J182" s="214">
        <v>0</v>
      </c>
      <c r="K182" s="214">
        <v>0</v>
      </c>
      <c r="L182" s="214">
        <v>0</v>
      </c>
      <c r="M182" s="214">
        <v>0</v>
      </c>
      <c r="N182" s="214">
        <v>0</v>
      </c>
      <c r="O182" s="214">
        <v>0</v>
      </c>
      <c r="P182" s="214">
        <v>0</v>
      </c>
      <c r="Q182" s="214">
        <v>0</v>
      </c>
      <c r="R182" s="214">
        <v>0</v>
      </c>
      <c r="S182" s="214">
        <v>0</v>
      </c>
      <c r="T182" s="214">
        <v>0</v>
      </c>
      <c r="U182" s="214">
        <v>0</v>
      </c>
      <c r="V182" s="214">
        <v>0</v>
      </c>
      <c r="W182" s="214">
        <v>0</v>
      </c>
      <c r="X182" s="214">
        <v>0</v>
      </c>
      <c r="Y182" s="214">
        <v>0</v>
      </c>
      <c r="Z182" s="214">
        <v>0</v>
      </c>
      <c r="AA182" s="214">
        <v>0</v>
      </c>
      <c r="AB182" s="214">
        <v>0</v>
      </c>
      <c r="AC182" s="214">
        <v>0</v>
      </c>
      <c r="AD182" s="214"/>
      <c r="AE182" s="420">
        <v>0</v>
      </c>
      <c r="AF182" s="420">
        <v>0</v>
      </c>
      <c r="AG182" s="420">
        <v>0</v>
      </c>
      <c r="AH182" s="420"/>
      <c r="AI182" s="574">
        <f t="shared" si="4"/>
        <v>0</v>
      </c>
      <c r="AJ182" s="212"/>
    </row>
    <row r="183" spans="2:36" ht="14.4">
      <c r="B183" s="211"/>
      <c r="C183" s="213" t="s">
        <v>246</v>
      </c>
      <c r="D183" s="214">
        <v>9460</v>
      </c>
      <c r="E183" s="214">
        <v>0</v>
      </c>
      <c r="F183" s="214">
        <v>0</v>
      </c>
      <c r="G183" s="214">
        <v>0</v>
      </c>
      <c r="H183" s="214">
        <v>0</v>
      </c>
      <c r="I183" s="214">
        <v>0</v>
      </c>
      <c r="J183" s="214">
        <v>0</v>
      </c>
      <c r="K183" s="214">
        <v>0</v>
      </c>
      <c r="L183" s="214">
        <v>0</v>
      </c>
      <c r="M183" s="214">
        <v>0</v>
      </c>
      <c r="N183" s="214">
        <v>0</v>
      </c>
      <c r="O183" s="214">
        <v>0</v>
      </c>
      <c r="P183" s="214">
        <v>0</v>
      </c>
      <c r="Q183" s="214">
        <v>0</v>
      </c>
      <c r="R183" s="214">
        <v>0</v>
      </c>
      <c r="S183" s="214">
        <v>0</v>
      </c>
      <c r="T183" s="214">
        <v>0</v>
      </c>
      <c r="U183" s="214">
        <v>0</v>
      </c>
      <c r="V183" s="214">
        <v>0</v>
      </c>
      <c r="W183" s="214">
        <v>0</v>
      </c>
      <c r="X183" s="214">
        <v>0</v>
      </c>
      <c r="Y183" s="214">
        <v>0</v>
      </c>
      <c r="Z183" s="214">
        <v>0</v>
      </c>
      <c r="AA183" s="214">
        <v>0</v>
      </c>
      <c r="AB183" s="214">
        <v>0</v>
      </c>
      <c r="AC183" s="214">
        <v>0</v>
      </c>
      <c r="AD183" s="214"/>
      <c r="AE183" s="420">
        <v>0</v>
      </c>
      <c r="AF183" s="420">
        <v>0</v>
      </c>
      <c r="AG183" s="420">
        <v>0</v>
      </c>
      <c r="AH183" s="420"/>
      <c r="AI183" s="574">
        <f t="shared" si="4"/>
        <v>9460</v>
      </c>
      <c r="AJ183" s="212"/>
    </row>
    <row r="184" spans="2:36" ht="14.4">
      <c r="B184" s="211"/>
      <c r="C184" s="213" t="s">
        <v>75</v>
      </c>
      <c r="D184" s="214">
        <v>0</v>
      </c>
      <c r="E184" s="214">
        <v>0</v>
      </c>
      <c r="F184" s="214">
        <v>0</v>
      </c>
      <c r="G184" s="214">
        <v>0</v>
      </c>
      <c r="H184" s="214">
        <v>0</v>
      </c>
      <c r="I184" s="214">
        <v>0</v>
      </c>
      <c r="J184" s="214">
        <v>0</v>
      </c>
      <c r="K184" s="214">
        <v>0</v>
      </c>
      <c r="L184" s="214">
        <v>0</v>
      </c>
      <c r="M184" s="214">
        <v>0</v>
      </c>
      <c r="N184" s="214">
        <v>0</v>
      </c>
      <c r="O184" s="214">
        <v>0</v>
      </c>
      <c r="P184" s="214">
        <v>0</v>
      </c>
      <c r="Q184" s="214">
        <v>0</v>
      </c>
      <c r="R184" s="214">
        <v>0</v>
      </c>
      <c r="S184" s="214">
        <v>0</v>
      </c>
      <c r="T184" s="214">
        <v>0</v>
      </c>
      <c r="U184" s="214">
        <v>0</v>
      </c>
      <c r="V184" s="214">
        <v>0</v>
      </c>
      <c r="W184" s="214">
        <v>0</v>
      </c>
      <c r="X184" s="214">
        <v>0</v>
      </c>
      <c r="Y184" s="214">
        <v>0</v>
      </c>
      <c r="Z184" s="214">
        <v>0</v>
      </c>
      <c r="AA184" s="214">
        <v>0</v>
      </c>
      <c r="AB184" s="214">
        <v>0</v>
      </c>
      <c r="AC184" s="214">
        <v>0</v>
      </c>
      <c r="AD184" s="214"/>
      <c r="AE184" s="420">
        <v>0</v>
      </c>
      <c r="AF184" s="420">
        <v>0</v>
      </c>
      <c r="AG184" s="420">
        <v>0</v>
      </c>
      <c r="AH184" s="420"/>
      <c r="AI184" s="574">
        <f t="shared" si="4"/>
        <v>0</v>
      </c>
      <c r="AJ184" s="212"/>
    </row>
    <row r="185" spans="2:36" ht="14.4">
      <c r="B185" s="211"/>
      <c r="C185" s="213" t="s">
        <v>76</v>
      </c>
      <c r="D185" s="214">
        <v>0</v>
      </c>
      <c r="E185" s="214">
        <v>0</v>
      </c>
      <c r="F185" s="214">
        <v>0</v>
      </c>
      <c r="G185" s="214">
        <v>0</v>
      </c>
      <c r="H185" s="214">
        <v>0</v>
      </c>
      <c r="I185" s="214">
        <v>0</v>
      </c>
      <c r="J185" s="214">
        <v>0</v>
      </c>
      <c r="K185" s="214">
        <v>0</v>
      </c>
      <c r="L185" s="214">
        <v>0</v>
      </c>
      <c r="M185" s="214">
        <v>0</v>
      </c>
      <c r="N185" s="214">
        <v>0</v>
      </c>
      <c r="O185" s="214">
        <v>0</v>
      </c>
      <c r="P185" s="214">
        <v>0</v>
      </c>
      <c r="Q185" s="214">
        <v>0</v>
      </c>
      <c r="R185" s="214">
        <v>0</v>
      </c>
      <c r="S185" s="214">
        <v>0</v>
      </c>
      <c r="T185" s="214">
        <v>0</v>
      </c>
      <c r="U185" s="214">
        <v>0</v>
      </c>
      <c r="V185" s="214">
        <v>0</v>
      </c>
      <c r="W185" s="214">
        <v>0</v>
      </c>
      <c r="X185" s="214">
        <v>0</v>
      </c>
      <c r="Y185" s="214">
        <v>0</v>
      </c>
      <c r="Z185" s="214">
        <v>0</v>
      </c>
      <c r="AA185" s="214">
        <v>0</v>
      </c>
      <c r="AB185" s="214">
        <v>0</v>
      </c>
      <c r="AC185" s="214">
        <v>0</v>
      </c>
      <c r="AD185" s="214"/>
      <c r="AE185" s="420">
        <v>0</v>
      </c>
      <c r="AF185" s="420">
        <v>0</v>
      </c>
      <c r="AG185" s="420">
        <v>0</v>
      </c>
      <c r="AH185" s="420"/>
      <c r="AI185" s="574">
        <f t="shared" si="4"/>
        <v>0</v>
      </c>
      <c r="AJ185" s="212"/>
    </row>
    <row r="186" spans="2:36" ht="14.4">
      <c r="B186" s="211"/>
      <c r="C186" s="213" t="s">
        <v>77</v>
      </c>
      <c r="D186" s="214">
        <v>0</v>
      </c>
      <c r="E186" s="214">
        <v>0</v>
      </c>
      <c r="F186" s="214">
        <v>0</v>
      </c>
      <c r="G186" s="214">
        <v>0</v>
      </c>
      <c r="H186" s="214">
        <v>0</v>
      </c>
      <c r="I186" s="214">
        <v>0</v>
      </c>
      <c r="J186" s="214">
        <v>0</v>
      </c>
      <c r="K186" s="214">
        <v>0</v>
      </c>
      <c r="L186" s="214">
        <v>0</v>
      </c>
      <c r="M186" s="214">
        <v>0</v>
      </c>
      <c r="N186" s="214">
        <v>0</v>
      </c>
      <c r="O186" s="214">
        <v>0</v>
      </c>
      <c r="P186" s="214">
        <v>0</v>
      </c>
      <c r="Q186" s="214">
        <v>0</v>
      </c>
      <c r="R186" s="214">
        <v>0</v>
      </c>
      <c r="S186" s="214">
        <v>0</v>
      </c>
      <c r="T186" s="214">
        <v>0</v>
      </c>
      <c r="U186" s="214">
        <v>0</v>
      </c>
      <c r="V186" s="214">
        <v>0</v>
      </c>
      <c r="W186" s="214">
        <v>0</v>
      </c>
      <c r="X186" s="214">
        <v>0</v>
      </c>
      <c r="Y186" s="214">
        <v>0</v>
      </c>
      <c r="Z186" s="214">
        <v>0</v>
      </c>
      <c r="AA186" s="214">
        <v>0</v>
      </c>
      <c r="AB186" s="214">
        <v>0</v>
      </c>
      <c r="AC186" s="214">
        <v>0</v>
      </c>
      <c r="AD186" s="214"/>
      <c r="AE186" s="420">
        <v>0</v>
      </c>
      <c r="AF186" s="420">
        <v>0</v>
      </c>
      <c r="AG186" s="420">
        <v>0</v>
      </c>
      <c r="AH186" s="420"/>
      <c r="AI186" s="574">
        <f t="shared" si="4"/>
        <v>0</v>
      </c>
      <c r="AJ186" s="212"/>
    </row>
    <row r="187" spans="2:36" ht="14.4">
      <c r="B187" s="211"/>
      <c r="C187" s="213" t="s">
        <v>78</v>
      </c>
      <c r="D187" s="214">
        <v>0</v>
      </c>
      <c r="E187" s="214">
        <v>0</v>
      </c>
      <c r="F187" s="214">
        <v>0</v>
      </c>
      <c r="G187" s="214">
        <v>0</v>
      </c>
      <c r="H187" s="214">
        <v>0</v>
      </c>
      <c r="I187" s="214">
        <v>0</v>
      </c>
      <c r="J187" s="214">
        <v>0</v>
      </c>
      <c r="K187" s="214">
        <v>0</v>
      </c>
      <c r="L187" s="214">
        <v>0</v>
      </c>
      <c r="M187" s="214">
        <v>0</v>
      </c>
      <c r="N187" s="214">
        <v>0</v>
      </c>
      <c r="O187" s="214">
        <v>0</v>
      </c>
      <c r="P187" s="214">
        <v>0</v>
      </c>
      <c r="Q187" s="214">
        <v>0</v>
      </c>
      <c r="R187" s="214">
        <v>0</v>
      </c>
      <c r="S187" s="214">
        <v>0</v>
      </c>
      <c r="T187" s="214">
        <v>0</v>
      </c>
      <c r="U187" s="214">
        <v>0</v>
      </c>
      <c r="V187" s="214">
        <v>0</v>
      </c>
      <c r="W187" s="214">
        <v>0</v>
      </c>
      <c r="X187" s="214">
        <v>0</v>
      </c>
      <c r="Y187" s="214">
        <v>0</v>
      </c>
      <c r="Z187" s="214">
        <v>0</v>
      </c>
      <c r="AA187" s="214">
        <v>0</v>
      </c>
      <c r="AB187" s="214">
        <v>0</v>
      </c>
      <c r="AC187" s="214">
        <v>0</v>
      </c>
      <c r="AD187" s="214"/>
      <c r="AE187" s="420">
        <v>0</v>
      </c>
      <c r="AF187" s="420">
        <v>0</v>
      </c>
      <c r="AG187" s="420">
        <v>0</v>
      </c>
      <c r="AH187" s="420"/>
      <c r="AI187" s="574">
        <f t="shared" si="4"/>
        <v>0</v>
      </c>
      <c r="AJ187" s="212"/>
    </row>
    <row r="188" spans="2:36" ht="14.4">
      <c r="B188" s="211"/>
      <c r="C188" s="213" t="s">
        <v>79</v>
      </c>
      <c r="D188" s="214">
        <v>0</v>
      </c>
      <c r="E188" s="214">
        <v>0</v>
      </c>
      <c r="F188" s="214">
        <v>0</v>
      </c>
      <c r="G188" s="214">
        <v>0</v>
      </c>
      <c r="H188" s="214">
        <v>0</v>
      </c>
      <c r="I188" s="214">
        <v>0</v>
      </c>
      <c r="J188" s="214">
        <v>0</v>
      </c>
      <c r="K188" s="214">
        <v>0</v>
      </c>
      <c r="L188" s="214">
        <v>0</v>
      </c>
      <c r="M188" s="214">
        <v>0</v>
      </c>
      <c r="N188" s="214">
        <v>0</v>
      </c>
      <c r="O188" s="214">
        <v>0</v>
      </c>
      <c r="P188" s="214">
        <v>0</v>
      </c>
      <c r="Q188" s="214">
        <v>0</v>
      </c>
      <c r="R188" s="214">
        <v>0</v>
      </c>
      <c r="S188" s="214">
        <v>0</v>
      </c>
      <c r="T188" s="214">
        <v>0</v>
      </c>
      <c r="U188" s="214">
        <v>0</v>
      </c>
      <c r="V188" s="214">
        <v>0</v>
      </c>
      <c r="W188" s="214">
        <v>0</v>
      </c>
      <c r="X188" s="214">
        <v>0</v>
      </c>
      <c r="Y188" s="214">
        <v>0</v>
      </c>
      <c r="Z188" s="214">
        <v>0</v>
      </c>
      <c r="AA188" s="214">
        <v>0</v>
      </c>
      <c r="AB188" s="214">
        <v>0</v>
      </c>
      <c r="AC188" s="214">
        <v>0</v>
      </c>
      <c r="AD188" s="214"/>
      <c r="AE188" s="420">
        <v>0</v>
      </c>
      <c r="AF188" s="420">
        <v>0</v>
      </c>
      <c r="AG188" s="420">
        <v>0</v>
      </c>
      <c r="AH188" s="420"/>
      <c r="AI188" s="574">
        <f t="shared" si="4"/>
        <v>0</v>
      </c>
      <c r="AJ188" s="212"/>
    </row>
    <row r="189" spans="2:36" ht="14.4">
      <c r="B189" s="211"/>
      <c r="C189" s="213" t="s">
        <v>80</v>
      </c>
      <c r="D189" s="214">
        <v>0</v>
      </c>
      <c r="E189" s="214">
        <v>0</v>
      </c>
      <c r="F189" s="214">
        <v>0</v>
      </c>
      <c r="G189" s="214">
        <v>0</v>
      </c>
      <c r="H189" s="214">
        <v>0</v>
      </c>
      <c r="I189" s="214">
        <v>0</v>
      </c>
      <c r="J189" s="214">
        <v>0</v>
      </c>
      <c r="K189" s="214">
        <v>0</v>
      </c>
      <c r="L189" s="214">
        <v>0</v>
      </c>
      <c r="M189" s="214">
        <v>0</v>
      </c>
      <c r="N189" s="214">
        <v>0</v>
      </c>
      <c r="O189" s="214">
        <v>0</v>
      </c>
      <c r="P189" s="214">
        <v>0</v>
      </c>
      <c r="Q189" s="214">
        <v>0</v>
      </c>
      <c r="R189" s="214">
        <v>0</v>
      </c>
      <c r="S189" s="214">
        <v>0</v>
      </c>
      <c r="T189" s="214">
        <v>0</v>
      </c>
      <c r="U189" s="214">
        <v>0</v>
      </c>
      <c r="V189" s="214">
        <v>0</v>
      </c>
      <c r="W189" s="214">
        <v>0</v>
      </c>
      <c r="X189" s="214">
        <v>0</v>
      </c>
      <c r="Y189" s="214">
        <v>0</v>
      </c>
      <c r="Z189" s="214">
        <v>0</v>
      </c>
      <c r="AA189" s="214">
        <v>0</v>
      </c>
      <c r="AB189" s="214">
        <v>0</v>
      </c>
      <c r="AC189" s="214">
        <v>0</v>
      </c>
      <c r="AD189" s="214"/>
      <c r="AE189" s="420">
        <v>0</v>
      </c>
      <c r="AF189" s="420">
        <v>0</v>
      </c>
      <c r="AG189" s="420">
        <v>0</v>
      </c>
      <c r="AH189" s="420"/>
      <c r="AI189" s="574">
        <f t="shared" si="4"/>
        <v>0</v>
      </c>
      <c r="AJ189" s="212"/>
    </row>
    <row r="190" spans="2:36" ht="14.4">
      <c r="B190" s="211"/>
      <c r="C190" s="213" t="s">
        <v>81</v>
      </c>
      <c r="D190" s="214">
        <v>0</v>
      </c>
      <c r="E190" s="214">
        <v>0</v>
      </c>
      <c r="F190" s="214">
        <v>0</v>
      </c>
      <c r="G190" s="214">
        <v>0</v>
      </c>
      <c r="H190" s="214">
        <v>0</v>
      </c>
      <c r="I190" s="214">
        <v>0</v>
      </c>
      <c r="J190" s="214">
        <v>0</v>
      </c>
      <c r="K190" s="214">
        <v>0</v>
      </c>
      <c r="L190" s="214">
        <v>0</v>
      </c>
      <c r="M190" s="214">
        <v>0</v>
      </c>
      <c r="N190" s="214">
        <v>0</v>
      </c>
      <c r="O190" s="214">
        <v>0</v>
      </c>
      <c r="P190" s="214">
        <v>0</v>
      </c>
      <c r="Q190" s="214">
        <v>0</v>
      </c>
      <c r="R190" s="214">
        <v>0</v>
      </c>
      <c r="S190" s="214">
        <v>0</v>
      </c>
      <c r="T190" s="214">
        <v>0</v>
      </c>
      <c r="U190" s="214">
        <v>0</v>
      </c>
      <c r="V190" s="214">
        <v>0</v>
      </c>
      <c r="W190" s="214">
        <v>0</v>
      </c>
      <c r="X190" s="214">
        <v>0</v>
      </c>
      <c r="Y190" s="214">
        <v>0</v>
      </c>
      <c r="Z190" s="214">
        <v>0</v>
      </c>
      <c r="AA190" s="214">
        <v>0</v>
      </c>
      <c r="AB190" s="214">
        <v>0</v>
      </c>
      <c r="AC190" s="214">
        <v>0</v>
      </c>
      <c r="AD190" s="214"/>
      <c r="AE190" s="420">
        <v>0</v>
      </c>
      <c r="AF190" s="420">
        <v>0</v>
      </c>
      <c r="AG190" s="420">
        <v>0</v>
      </c>
      <c r="AH190" s="420"/>
      <c r="AI190" s="574">
        <f t="shared" si="4"/>
        <v>0</v>
      </c>
      <c r="AJ190" s="212"/>
    </row>
    <row r="191" spans="2:36" ht="14.4">
      <c r="B191" s="211"/>
      <c r="C191" s="213" t="s">
        <v>82</v>
      </c>
      <c r="D191" s="214">
        <v>0</v>
      </c>
      <c r="E191" s="214">
        <v>0</v>
      </c>
      <c r="F191" s="214">
        <v>0</v>
      </c>
      <c r="G191" s="214">
        <v>0</v>
      </c>
      <c r="H191" s="214">
        <v>0</v>
      </c>
      <c r="I191" s="214">
        <v>0</v>
      </c>
      <c r="J191" s="214">
        <v>0</v>
      </c>
      <c r="K191" s="214">
        <v>0</v>
      </c>
      <c r="L191" s="214">
        <v>0</v>
      </c>
      <c r="M191" s="214">
        <v>0</v>
      </c>
      <c r="N191" s="214">
        <v>0</v>
      </c>
      <c r="O191" s="214">
        <v>0</v>
      </c>
      <c r="P191" s="214">
        <v>0</v>
      </c>
      <c r="Q191" s="214">
        <v>0</v>
      </c>
      <c r="R191" s="214">
        <v>0</v>
      </c>
      <c r="S191" s="214">
        <v>0</v>
      </c>
      <c r="T191" s="214">
        <v>0</v>
      </c>
      <c r="U191" s="214">
        <v>0</v>
      </c>
      <c r="V191" s="214">
        <v>0</v>
      </c>
      <c r="W191" s="214">
        <v>0</v>
      </c>
      <c r="X191" s="214">
        <v>0</v>
      </c>
      <c r="Y191" s="214">
        <v>0</v>
      </c>
      <c r="Z191" s="214">
        <v>0</v>
      </c>
      <c r="AA191" s="214">
        <v>0</v>
      </c>
      <c r="AB191" s="214">
        <v>0</v>
      </c>
      <c r="AC191" s="214">
        <v>0</v>
      </c>
      <c r="AD191" s="214"/>
      <c r="AE191" s="420">
        <v>0</v>
      </c>
      <c r="AF191" s="420">
        <v>0</v>
      </c>
      <c r="AG191" s="420">
        <v>0</v>
      </c>
      <c r="AH191" s="420"/>
      <c r="AI191" s="574">
        <f t="shared" si="4"/>
        <v>0</v>
      </c>
      <c r="AJ191" s="212"/>
    </row>
    <row r="192" spans="2:36" ht="14.4">
      <c r="B192" s="211"/>
      <c r="C192" s="213" t="s">
        <v>83</v>
      </c>
      <c r="D192" s="214">
        <v>0</v>
      </c>
      <c r="E192" s="214">
        <v>0</v>
      </c>
      <c r="F192" s="214">
        <v>0</v>
      </c>
      <c r="G192" s="214">
        <v>0</v>
      </c>
      <c r="H192" s="214">
        <v>0</v>
      </c>
      <c r="I192" s="214">
        <v>0</v>
      </c>
      <c r="J192" s="214">
        <v>0</v>
      </c>
      <c r="K192" s="214">
        <v>0</v>
      </c>
      <c r="L192" s="214">
        <v>0</v>
      </c>
      <c r="M192" s="214">
        <v>0</v>
      </c>
      <c r="N192" s="214">
        <v>0</v>
      </c>
      <c r="O192" s="214">
        <v>0</v>
      </c>
      <c r="P192" s="214">
        <v>0</v>
      </c>
      <c r="Q192" s="214">
        <v>0</v>
      </c>
      <c r="R192" s="214">
        <v>0</v>
      </c>
      <c r="S192" s="214">
        <v>0</v>
      </c>
      <c r="T192" s="214">
        <v>0</v>
      </c>
      <c r="U192" s="214">
        <v>0</v>
      </c>
      <c r="V192" s="214">
        <v>0</v>
      </c>
      <c r="W192" s="214">
        <v>0</v>
      </c>
      <c r="X192" s="214">
        <v>0</v>
      </c>
      <c r="Y192" s="214">
        <v>0</v>
      </c>
      <c r="Z192" s="214">
        <v>0</v>
      </c>
      <c r="AA192" s="214">
        <v>0</v>
      </c>
      <c r="AB192" s="214">
        <v>0</v>
      </c>
      <c r="AC192" s="214">
        <v>0</v>
      </c>
      <c r="AD192" s="214"/>
      <c r="AE192" s="420">
        <v>0</v>
      </c>
      <c r="AF192" s="420">
        <v>0</v>
      </c>
      <c r="AG192" s="420">
        <v>0</v>
      </c>
      <c r="AH192" s="420"/>
      <c r="AI192" s="574">
        <f t="shared" si="4"/>
        <v>0</v>
      </c>
      <c r="AJ192" s="212"/>
    </row>
    <row r="193" spans="2:36" ht="14.4">
      <c r="B193" s="211"/>
      <c r="C193" s="213" t="s">
        <v>84</v>
      </c>
      <c r="D193" s="214">
        <v>0</v>
      </c>
      <c r="E193" s="214">
        <v>0</v>
      </c>
      <c r="F193" s="214">
        <v>0</v>
      </c>
      <c r="G193" s="214">
        <v>0</v>
      </c>
      <c r="H193" s="214">
        <v>0</v>
      </c>
      <c r="I193" s="214">
        <v>0</v>
      </c>
      <c r="J193" s="214">
        <v>0</v>
      </c>
      <c r="K193" s="214">
        <v>0</v>
      </c>
      <c r="L193" s="214">
        <v>0</v>
      </c>
      <c r="M193" s="214">
        <v>0</v>
      </c>
      <c r="N193" s="214">
        <v>0</v>
      </c>
      <c r="O193" s="214">
        <v>0</v>
      </c>
      <c r="P193" s="214">
        <v>0</v>
      </c>
      <c r="Q193" s="214">
        <v>0</v>
      </c>
      <c r="R193" s="214">
        <v>0</v>
      </c>
      <c r="S193" s="214">
        <v>0</v>
      </c>
      <c r="T193" s="214">
        <v>0</v>
      </c>
      <c r="U193" s="214">
        <v>0</v>
      </c>
      <c r="V193" s="214">
        <v>0</v>
      </c>
      <c r="W193" s="214">
        <v>0</v>
      </c>
      <c r="X193" s="214">
        <v>0</v>
      </c>
      <c r="Y193" s="214">
        <v>0</v>
      </c>
      <c r="Z193" s="214">
        <v>0</v>
      </c>
      <c r="AA193" s="214">
        <v>0</v>
      </c>
      <c r="AB193" s="214">
        <v>0</v>
      </c>
      <c r="AC193" s="214">
        <v>0</v>
      </c>
      <c r="AD193" s="214"/>
      <c r="AE193" s="420">
        <v>0</v>
      </c>
      <c r="AF193" s="420">
        <v>0</v>
      </c>
      <c r="AG193" s="420">
        <v>0</v>
      </c>
      <c r="AH193" s="420"/>
      <c r="AI193" s="574">
        <f t="shared" si="4"/>
        <v>0</v>
      </c>
      <c r="AJ193" s="212"/>
    </row>
    <row r="194" spans="2:36" ht="14.4">
      <c r="B194" s="211"/>
      <c r="C194" s="213" t="s">
        <v>85</v>
      </c>
      <c r="D194" s="214">
        <v>0</v>
      </c>
      <c r="E194" s="214">
        <v>0</v>
      </c>
      <c r="F194" s="214">
        <v>100</v>
      </c>
      <c r="G194" s="214">
        <v>0</v>
      </c>
      <c r="H194" s="214">
        <v>100</v>
      </c>
      <c r="I194" s="214">
        <v>9792</v>
      </c>
      <c r="J194" s="214">
        <v>100</v>
      </c>
      <c r="K194" s="214">
        <v>100</v>
      </c>
      <c r="L194" s="214">
        <v>100</v>
      </c>
      <c r="M194" s="214">
        <v>100</v>
      </c>
      <c r="N194" s="214">
        <v>0</v>
      </c>
      <c r="O194" s="214">
        <v>100</v>
      </c>
      <c r="P194" s="214">
        <v>100</v>
      </c>
      <c r="Q194" s="214">
        <v>100</v>
      </c>
      <c r="R194" s="214">
        <v>0</v>
      </c>
      <c r="S194" s="214">
        <v>0</v>
      </c>
      <c r="T194" s="214">
        <v>0</v>
      </c>
      <c r="U194" s="214">
        <v>100</v>
      </c>
      <c r="V194" s="214">
        <v>100</v>
      </c>
      <c r="W194" s="214">
        <v>100</v>
      </c>
      <c r="X194" s="214">
        <v>9792</v>
      </c>
      <c r="Y194" s="214">
        <v>100</v>
      </c>
      <c r="Z194" s="214">
        <v>100</v>
      </c>
      <c r="AA194" s="214">
        <v>100</v>
      </c>
      <c r="AB194" s="214">
        <v>100</v>
      </c>
      <c r="AC194" s="214">
        <v>100</v>
      </c>
      <c r="AD194" s="214"/>
      <c r="AE194" s="420">
        <v>100</v>
      </c>
      <c r="AF194" s="420">
        <v>0</v>
      </c>
      <c r="AG194" s="420">
        <v>0</v>
      </c>
      <c r="AH194" s="420"/>
      <c r="AI194" s="574">
        <f t="shared" si="4"/>
        <v>21384</v>
      </c>
      <c r="AJ194" s="212"/>
    </row>
    <row r="195" spans="2:36" ht="14.4">
      <c r="B195" s="211"/>
      <c r="C195" s="213" t="s">
        <v>86</v>
      </c>
      <c r="D195" s="214">
        <v>0</v>
      </c>
      <c r="E195" s="214">
        <v>0</v>
      </c>
      <c r="F195" s="214">
        <v>0</v>
      </c>
      <c r="G195" s="214">
        <v>0</v>
      </c>
      <c r="H195" s="214">
        <v>0</v>
      </c>
      <c r="I195" s="214">
        <v>0</v>
      </c>
      <c r="J195" s="214">
        <v>0</v>
      </c>
      <c r="K195" s="214">
        <v>0</v>
      </c>
      <c r="L195" s="214">
        <v>0</v>
      </c>
      <c r="M195" s="214">
        <v>0</v>
      </c>
      <c r="N195" s="214">
        <v>0</v>
      </c>
      <c r="O195" s="214">
        <v>0</v>
      </c>
      <c r="P195" s="214">
        <v>0</v>
      </c>
      <c r="Q195" s="214">
        <v>0</v>
      </c>
      <c r="R195" s="214">
        <v>0</v>
      </c>
      <c r="S195" s="214">
        <v>0</v>
      </c>
      <c r="T195" s="214">
        <v>0</v>
      </c>
      <c r="U195" s="214">
        <v>0</v>
      </c>
      <c r="V195" s="214">
        <v>0</v>
      </c>
      <c r="W195" s="214">
        <v>0</v>
      </c>
      <c r="X195" s="214">
        <v>0</v>
      </c>
      <c r="Y195" s="214">
        <v>0</v>
      </c>
      <c r="Z195" s="214">
        <v>0</v>
      </c>
      <c r="AA195" s="214">
        <v>0</v>
      </c>
      <c r="AB195" s="214">
        <v>0</v>
      </c>
      <c r="AC195" s="214">
        <v>0</v>
      </c>
      <c r="AD195" s="214"/>
      <c r="AE195" s="420">
        <v>0</v>
      </c>
      <c r="AF195" s="420">
        <v>0</v>
      </c>
      <c r="AG195" s="420">
        <v>0</v>
      </c>
      <c r="AH195" s="420"/>
      <c r="AI195" s="574">
        <f t="shared" si="4"/>
        <v>0</v>
      </c>
      <c r="AJ195" s="212"/>
    </row>
    <row r="196" spans="2:36" ht="14.4">
      <c r="B196" s="211"/>
      <c r="C196" s="213" t="s">
        <v>87</v>
      </c>
      <c r="D196" s="214">
        <v>0</v>
      </c>
      <c r="E196" s="214">
        <v>0</v>
      </c>
      <c r="F196" s="214">
        <v>0</v>
      </c>
      <c r="G196" s="214">
        <v>0</v>
      </c>
      <c r="H196" s="214">
        <v>0</v>
      </c>
      <c r="I196" s="214">
        <v>0</v>
      </c>
      <c r="J196" s="214">
        <v>0</v>
      </c>
      <c r="K196" s="214">
        <v>0</v>
      </c>
      <c r="L196" s="214">
        <v>0</v>
      </c>
      <c r="M196" s="214">
        <v>0</v>
      </c>
      <c r="N196" s="214">
        <v>0</v>
      </c>
      <c r="O196" s="214">
        <v>0</v>
      </c>
      <c r="P196" s="214">
        <v>0</v>
      </c>
      <c r="Q196" s="214">
        <v>0</v>
      </c>
      <c r="R196" s="214">
        <v>0</v>
      </c>
      <c r="S196" s="214">
        <v>0</v>
      </c>
      <c r="T196" s="214">
        <v>0</v>
      </c>
      <c r="U196" s="214">
        <v>0</v>
      </c>
      <c r="V196" s="214">
        <v>0</v>
      </c>
      <c r="W196" s="214">
        <v>0</v>
      </c>
      <c r="X196" s="214">
        <v>0</v>
      </c>
      <c r="Y196" s="214">
        <v>0</v>
      </c>
      <c r="Z196" s="214">
        <v>0</v>
      </c>
      <c r="AA196" s="214">
        <v>0</v>
      </c>
      <c r="AB196" s="214">
        <v>0</v>
      </c>
      <c r="AC196" s="214">
        <v>0</v>
      </c>
      <c r="AD196" s="214"/>
      <c r="AE196" s="420">
        <v>0</v>
      </c>
      <c r="AF196" s="420">
        <v>0</v>
      </c>
      <c r="AG196" s="420">
        <v>0</v>
      </c>
      <c r="AH196" s="420"/>
      <c r="AI196" s="574">
        <f t="shared" si="4"/>
        <v>0</v>
      </c>
      <c r="AJ196" s="212"/>
    </row>
    <row r="197" spans="2:36" ht="14.4">
      <c r="B197" s="211"/>
      <c r="C197" s="213" t="s">
        <v>88</v>
      </c>
      <c r="D197" s="214">
        <v>0</v>
      </c>
      <c r="E197" s="214">
        <v>0</v>
      </c>
      <c r="F197" s="214">
        <v>0</v>
      </c>
      <c r="G197" s="214">
        <v>0</v>
      </c>
      <c r="H197" s="214">
        <v>0</v>
      </c>
      <c r="I197" s="214">
        <v>0</v>
      </c>
      <c r="J197" s="214">
        <v>0</v>
      </c>
      <c r="K197" s="214">
        <v>0</v>
      </c>
      <c r="L197" s="214">
        <v>0</v>
      </c>
      <c r="M197" s="214">
        <v>0</v>
      </c>
      <c r="N197" s="214">
        <v>0</v>
      </c>
      <c r="O197" s="214">
        <v>0</v>
      </c>
      <c r="P197" s="214">
        <v>0</v>
      </c>
      <c r="Q197" s="214">
        <v>0</v>
      </c>
      <c r="R197" s="214">
        <v>0</v>
      </c>
      <c r="S197" s="214">
        <v>0</v>
      </c>
      <c r="T197" s="214">
        <v>0</v>
      </c>
      <c r="U197" s="214">
        <v>0</v>
      </c>
      <c r="V197" s="214">
        <v>0</v>
      </c>
      <c r="W197" s="214">
        <v>0</v>
      </c>
      <c r="X197" s="214">
        <v>0</v>
      </c>
      <c r="Y197" s="214">
        <v>0</v>
      </c>
      <c r="Z197" s="214">
        <v>0</v>
      </c>
      <c r="AA197" s="214">
        <v>0</v>
      </c>
      <c r="AB197" s="214">
        <v>0</v>
      </c>
      <c r="AC197" s="214">
        <v>0</v>
      </c>
      <c r="AD197" s="214"/>
      <c r="AE197" s="420">
        <v>0</v>
      </c>
      <c r="AF197" s="420">
        <v>0</v>
      </c>
      <c r="AG197" s="420">
        <v>0</v>
      </c>
      <c r="AH197" s="420"/>
      <c r="AI197" s="574">
        <f t="shared" si="4"/>
        <v>0</v>
      </c>
      <c r="AJ197" s="212"/>
    </row>
    <row r="198" spans="2:36" ht="14.4">
      <c r="B198" s="211"/>
      <c r="C198" s="213" t="s">
        <v>89</v>
      </c>
      <c r="D198" s="214">
        <v>65708</v>
      </c>
      <c r="E198" s="214">
        <v>0</v>
      </c>
      <c r="F198" s="214">
        <v>0</v>
      </c>
      <c r="G198" s="214">
        <v>0</v>
      </c>
      <c r="H198" s="214">
        <v>0</v>
      </c>
      <c r="I198" s="214">
        <v>0</v>
      </c>
      <c r="J198" s="214">
        <v>0</v>
      </c>
      <c r="K198" s="214">
        <v>0</v>
      </c>
      <c r="L198" s="214">
        <v>0</v>
      </c>
      <c r="M198" s="214">
        <v>0</v>
      </c>
      <c r="N198" s="214">
        <v>0</v>
      </c>
      <c r="O198" s="214">
        <v>0</v>
      </c>
      <c r="P198" s="214">
        <v>0</v>
      </c>
      <c r="Q198" s="214">
        <v>0</v>
      </c>
      <c r="R198" s="214">
        <v>0</v>
      </c>
      <c r="S198" s="214">
        <v>3005</v>
      </c>
      <c r="T198" s="214">
        <v>0</v>
      </c>
      <c r="U198" s="214">
        <v>0</v>
      </c>
      <c r="V198" s="214">
        <v>0</v>
      </c>
      <c r="W198" s="214">
        <v>0</v>
      </c>
      <c r="X198" s="214">
        <v>0</v>
      </c>
      <c r="Y198" s="214">
        <v>0</v>
      </c>
      <c r="Z198" s="214">
        <v>0</v>
      </c>
      <c r="AA198" s="214">
        <v>0</v>
      </c>
      <c r="AB198" s="214">
        <v>0</v>
      </c>
      <c r="AC198" s="214">
        <v>0</v>
      </c>
      <c r="AD198" s="214"/>
      <c r="AE198" s="420">
        <v>0</v>
      </c>
      <c r="AF198" s="420">
        <v>0</v>
      </c>
      <c r="AG198" s="420">
        <v>0</v>
      </c>
      <c r="AH198" s="420"/>
      <c r="AI198" s="574">
        <f t="shared" si="4"/>
        <v>68713</v>
      </c>
      <c r="AJ198" s="212"/>
    </row>
    <row r="199" spans="2:36" ht="14.4">
      <c r="B199" s="211"/>
      <c r="C199" s="213" t="s">
        <v>33</v>
      </c>
      <c r="D199" s="214">
        <v>12802.01</v>
      </c>
      <c r="E199" s="214">
        <v>1959.65</v>
      </c>
      <c r="F199" s="214">
        <v>1959.65</v>
      </c>
      <c r="G199" s="214">
        <v>1959.65</v>
      </c>
      <c r="H199" s="214">
        <v>1959.65</v>
      </c>
      <c r="I199" s="214">
        <v>1959.65</v>
      </c>
      <c r="J199" s="214">
        <v>1959.65</v>
      </c>
      <c r="K199" s="214">
        <v>1959.65</v>
      </c>
      <c r="L199" s="214">
        <v>1959.65</v>
      </c>
      <c r="M199" s="214">
        <v>1959.65</v>
      </c>
      <c r="N199" s="214">
        <v>1959.65</v>
      </c>
      <c r="O199" s="214">
        <v>1959.65</v>
      </c>
      <c r="P199" s="214">
        <v>1959.65</v>
      </c>
      <c r="Q199" s="214">
        <v>1959.65</v>
      </c>
      <c r="R199" s="214">
        <v>1959.65</v>
      </c>
      <c r="S199" s="214">
        <v>1959.65</v>
      </c>
      <c r="T199" s="214">
        <v>0</v>
      </c>
      <c r="U199" s="214">
        <v>1959.65</v>
      </c>
      <c r="V199" s="214">
        <v>1959.65</v>
      </c>
      <c r="W199" s="214">
        <v>0</v>
      </c>
      <c r="X199" s="214">
        <v>1959.65</v>
      </c>
      <c r="Y199" s="214">
        <v>1959.65</v>
      </c>
      <c r="Z199" s="214">
        <v>1959.65</v>
      </c>
      <c r="AA199" s="214">
        <v>1959.65</v>
      </c>
      <c r="AB199" s="214">
        <v>1959.65</v>
      </c>
      <c r="AC199" s="214">
        <v>1959.65</v>
      </c>
      <c r="AD199" s="214"/>
      <c r="AE199" s="420">
        <v>1959.65</v>
      </c>
      <c r="AF199" s="420">
        <v>5421.18</v>
      </c>
      <c r="AG199" s="446">
        <v>5421.18</v>
      </c>
      <c r="AH199" s="420"/>
      <c r="AI199" s="574">
        <f t="shared" si="4"/>
        <v>70675.97000000003</v>
      </c>
      <c r="AJ199" s="212"/>
    </row>
    <row r="200" spans="2:36" ht="14.4">
      <c r="B200" s="211"/>
      <c r="C200" s="213" t="s">
        <v>90</v>
      </c>
      <c r="D200" s="214">
        <v>0</v>
      </c>
      <c r="E200" s="214">
        <v>0</v>
      </c>
      <c r="F200" s="214">
        <v>0</v>
      </c>
      <c r="G200" s="214">
        <v>0</v>
      </c>
      <c r="H200" s="214">
        <v>0</v>
      </c>
      <c r="I200" s="214">
        <v>0</v>
      </c>
      <c r="J200" s="214">
        <v>0</v>
      </c>
      <c r="K200" s="214">
        <v>0</v>
      </c>
      <c r="L200" s="214">
        <v>0</v>
      </c>
      <c r="M200" s="214">
        <v>0</v>
      </c>
      <c r="N200" s="214">
        <v>0</v>
      </c>
      <c r="O200" s="214">
        <v>0</v>
      </c>
      <c r="P200" s="214">
        <v>0</v>
      </c>
      <c r="Q200" s="214">
        <v>0</v>
      </c>
      <c r="R200" s="214">
        <v>0</v>
      </c>
      <c r="S200" s="214">
        <v>0</v>
      </c>
      <c r="T200" s="214">
        <v>0</v>
      </c>
      <c r="U200" s="214">
        <v>0</v>
      </c>
      <c r="V200" s="214">
        <v>0</v>
      </c>
      <c r="W200" s="214">
        <v>0</v>
      </c>
      <c r="X200" s="214">
        <v>0</v>
      </c>
      <c r="Y200" s="214">
        <v>0</v>
      </c>
      <c r="Z200" s="214">
        <v>0</v>
      </c>
      <c r="AA200" s="214">
        <v>0</v>
      </c>
      <c r="AB200" s="214">
        <v>0</v>
      </c>
      <c r="AC200" s="214">
        <v>0</v>
      </c>
      <c r="AD200" s="214"/>
      <c r="AE200" s="420">
        <v>0</v>
      </c>
      <c r="AF200" s="420">
        <v>0</v>
      </c>
      <c r="AG200" s="420">
        <v>0</v>
      </c>
      <c r="AH200" s="420"/>
      <c r="AI200" s="574">
        <f t="shared" ref="AI200:AI244" si="5">SUM(D200:AH200)</f>
        <v>0</v>
      </c>
      <c r="AJ200" s="212"/>
    </row>
    <row r="201" spans="2:36" ht="14.4">
      <c r="B201" s="211"/>
      <c r="C201" s="213" t="s">
        <v>91</v>
      </c>
      <c r="D201" s="214">
        <v>0</v>
      </c>
      <c r="E201" s="214">
        <v>0</v>
      </c>
      <c r="F201" s="214">
        <v>0</v>
      </c>
      <c r="G201" s="214">
        <v>0</v>
      </c>
      <c r="H201" s="214">
        <v>0</v>
      </c>
      <c r="I201" s="214">
        <v>0</v>
      </c>
      <c r="J201" s="214">
        <v>0</v>
      </c>
      <c r="K201" s="214">
        <v>0</v>
      </c>
      <c r="L201" s="214">
        <v>0</v>
      </c>
      <c r="M201" s="214">
        <v>0</v>
      </c>
      <c r="N201" s="214">
        <v>0</v>
      </c>
      <c r="O201" s="214">
        <v>0</v>
      </c>
      <c r="P201" s="214">
        <v>0</v>
      </c>
      <c r="Q201" s="214">
        <v>0</v>
      </c>
      <c r="R201" s="214">
        <v>0</v>
      </c>
      <c r="S201" s="214">
        <v>350</v>
      </c>
      <c r="T201" s="214">
        <v>0</v>
      </c>
      <c r="U201" s="214">
        <v>0</v>
      </c>
      <c r="V201" s="214">
        <v>0</v>
      </c>
      <c r="W201" s="214">
        <v>0</v>
      </c>
      <c r="X201" s="214">
        <v>0</v>
      </c>
      <c r="Y201" s="214">
        <v>0</v>
      </c>
      <c r="Z201" s="214">
        <v>0</v>
      </c>
      <c r="AA201" s="214">
        <v>0</v>
      </c>
      <c r="AB201" s="214">
        <v>0</v>
      </c>
      <c r="AC201" s="214">
        <v>0</v>
      </c>
      <c r="AD201" s="214"/>
      <c r="AE201" s="420">
        <v>0</v>
      </c>
      <c r="AF201" s="420">
        <v>7875</v>
      </c>
      <c r="AG201" s="446">
        <v>1625</v>
      </c>
      <c r="AH201" s="420"/>
      <c r="AI201" s="574">
        <f t="shared" si="5"/>
        <v>9850</v>
      </c>
      <c r="AJ201" s="212"/>
    </row>
    <row r="202" spans="2:36" ht="14.4">
      <c r="B202" s="211"/>
      <c r="C202" s="213" t="s">
        <v>92</v>
      </c>
      <c r="D202" s="214">
        <v>0</v>
      </c>
      <c r="E202" s="214">
        <v>0</v>
      </c>
      <c r="F202" s="214">
        <v>0</v>
      </c>
      <c r="G202" s="214">
        <v>0</v>
      </c>
      <c r="H202" s="214">
        <v>0</v>
      </c>
      <c r="I202" s="214">
        <v>0</v>
      </c>
      <c r="J202" s="214">
        <v>0</v>
      </c>
      <c r="K202" s="214">
        <v>0</v>
      </c>
      <c r="L202" s="214">
        <v>0</v>
      </c>
      <c r="M202" s="214">
        <v>0</v>
      </c>
      <c r="N202" s="214">
        <v>0</v>
      </c>
      <c r="O202" s="214">
        <v>0</v>
      </c>
      <c r="P202" s="214">
        <v>0</v>
      </c>
      <c r="Q202" s="214">
        <v>0</v>
      </c>
      <c r="R202" s="214">
        <v>0</v>
      </c>
      <c r="S202" s="214">
        <v>0</v>
      </c>
      <c r="T202" s="214">
        <v>0</v>
      </c>
      <c r="U202" s="214">
        <v>0</v>
      </c>
      <c r="V202" s="214">
        <v>0</v>
      </c>
      <c r="W202" s="214">
        <v>0</v>
      </c>
      <c r="X202" s="214">
        <v>0</v>
      </c>
      <c r="Y202" s="214">
        <v>0</v>
      </c>
      <c r="Z202" s="214">
        <v>0</v>
      </c>
      <c r="AA202" s="214">
        <v>0</v>
      </c>
      <c r="AB202" s="214">
        <v>0</v>
      </c>
      <c r="AC202" s="214">
        <v>0</v>
      </c>
      <c r="AD202" s="214"/>
      <c r="AE202" s="420">
        <v>0</v>
      </c>
      <c r="AF202" s="420">
        <v>0</v>
      </c>
      <c r="AG202" s="420">
        <v>0</v>
      </c>
      <c r="AH202" s="420"/>
      <c r="AI202" s="574">
        <f t="shared" si="5"/>
        <v>0</v>
      </c>
      <c r="AJ202" s="212"/>
    </row>
    <row r="203" spans="2:36" ht="14.4">
      <c r="B203" s="211"/>
      <c r="C203" s="213" t="s">
        <v>93</v>
      </c>
      <c r="D203" s="214">
        <v>0</v>
      </c>
      <c r="E203" s="214">
        <v>0</v>
      </c>
      <c r="F203" s="214">
        <v>0</v>
      </c>
      <c r="G203" s="214">
        <v>0</v>
      </c>
      <c r="H203" s="214">
        <v>0</v>
      </c>
      <c r="I203" s="214">
        <v>0</v>
      </c>
      <c r="J203" s="214">
        <v>0</v>
      </c>
      <c r="K203" s="214">
        <v>0</v>
      </c>
      <c r="L203" s="214">
        <v>0</v>
      </c>
      <c r="M203" s="214">
        <v>0</v>
      </c>
      <c r="N203" s="214">
        <v>0</v>
      </c>
      <c r="O203" s="214">
        <v>0</v>
      </c>
      <c r="P203" s="214">
        <v>0</v>
      </c>
      <c r="Q203" s="214">
        <v>0</v>
      </c>
      <c r="R203" s="214">
        <v>0</v>
      </c>
      <c r="S203" s="214">
        <v>0</v>
      </c>
      <c r="T203" s="214">
        <v>0</v>
      </c>
      <c r="U203" s="214">
        <v>0</v>
      </c>
      <c r="V203" s="214">
        <v>0</v>
      </c>
      <c r="W203" s="214">
        <v>0</v>
      </c>
      <c r="X203" s="214">
        <v>0</v>
      </c>
      <c r="Y203" s="214">
        <v>0</v>
      </c>
      <c r="Z203" s="214">
        <v>0</v>
      </c>
      <c r="AA203" s="214">
        <v>0</v>
      </c>
      <c r="AB203" s="214">
        <v>0</v>
      </c>
      <c r="AC203" s="214">
        <v>0</v>
      </c>
      <c r="AD203" s="214"/>
      <c r="AE203" s="420">
        <v>0</v>
      </c>
      <c r="AF203" s="420">
        <v>0</v>
      </c>
      <c r="AG203" s="420">
        <v>0</v>
      </c>
      <c r="AH203" s="420"/>
      <c r="AI203" s="574">
        <f t="shared" si="5"/>
        <v>0</v>
      </c>
      <c r="AJ203" s="212"/>
    </row>
    <row r="204" spans="2:36" ht="14.4">
      <c r="B204" s="211"/>
      <c r="C204" s="213" t="s">
        <v>94</v>
      </c>
      <c r="D204" s="214">
        <v>92815</v>
      </c>
      <c r="E204" s="214">
        <v>6865</v>
      </c>
      <c r="F204" s="214">
        <v>5500</v>
      </c>
      <c r="G204" s="214">
        <v>6000</v>
      </c>
      <c r="H204" s="214">
        <v>2500</v>
      </c>
      <c r="I204" s="214">
        <v>400</v>
      </c>
      <c r="J204" s="214">
        <v>0</v>
      </c>
      <c r="K204" s="214">
        <v>0</v>
      </c>
      <c r="L204" s="214">
        <v>0</v>
      </c>
      <c r="M204" s="214">
        <v>2000</v>
      </c>
      <c r="N204" s="214">
        <v>0</v>
      </c>
      <c r="O204" s="214">
        <v>240</v>
      </c>
      <c r="P204" s="214">
        <v>3000</v>
      </c>
      <c r="Q204" s="214">
        <v>4330</v>
      </c>
      <c r="R204" s="214">
        <v>2200</v>
      </c>
      <c r="S204" s="214">
        <v>3645</v>
      </c>
      <c r="T204" s="214">
        <v>0</v>
      </c>
      <c r="U204" s="214">
        <v>0</v>
      </c>
      <c r="V204" s="214">
        <v>0</v>
      </c>
      <c r="W204" s="214">
        <v>0</v>
      </c>
      <c r="X204" s="214">
        <v>550</v>
      </c>
      <c r="Y204" s="214">
        <v>0</v>
      </c>
      <c r="Z204" s="214">
        <v>0</v>
      </c>
      <c r="AA204" s="214">
        <v>0</v>
      </c>
      <c r="AB204" s="214">
        <v>0</v>
      </c>
      <c r="AC204" s="214">
        <v>0</v>
      </c>
      <c r="AD204" s="214"/>
      <c r="AE204" s="420">
        <v>230</v>
      </c>
      <c r="AF204" s="420">
        <v>0</v>
      </c>
      <c r="AG204" s="420">
        <v>0</v>
      </c>
      <c r="AH204" s="420"/>
      <c r="AI204" s="574">
        <f t="shared" si="5"/>
        <v>130275</v>
      </c>
      <c r="AJ204" s="212"/>
    </row>
    <row r="205" spans="2:36" ht="14.4">
      <c r="B205" s="211"/>
      <c r="C205" s="213" t="s">
        <v>95</v>
      </c>
      <c r="D205" s="214">
        <v>3091</v>
      </c>
      <c r="E205" s="214">
        <v>0</v>
      </c>
      <c r="F205" s="214">
        <v>0</v>
      </c>
      <c r="G205" s="214">
        <v>0</v>
      </c>
      <c r="H205" s="214">
        <v>0</v>
      </c>
      <c r="I205" s="214">
        <v>0</v>
      </c>
      <c r="J205" s="214">
        <v>0</v>
      </c>
      <c r="K205" s="214">
        <v>0</v>
      </c>
      <c r="L205" s="214">
        <v>0</v>
      </c>
      <c r="M205" s="214">
        <v>0</v>
      </c>
      <c r="N205" s="214">
        <v>0</v>
      </c>
      <c r="O205" s="214">
        <v>0</v>
      </c>
      <c r="P205" s="214">
        <v>0</v>
      </c>
      <c r="Q205" s="214">
        <v>0</v>
      </c>
      <c r="R205" s="214">
        <v>0</v>
      </c>
      <c r="S205" s="214">
        <v>290</v>
      </c>
      <c r="T205" s="214">
        <v>0</v>
      </c>
      <c r="U205" s="214">
        <v>0</v>
      </c>
      <c r="V205" s="214">
        <v>0</v>
      </c>
      <c r="W205" s="214">
        <v>0</v>
      </c>
      <c r="X205" s="214">
        <v>0</v>
      </c>
      <c r="Y205" s="214">
        <v>0</v>
      </c>
      <c r="Z205" s="214">
        <v>0</v>
      </c>
      <c r="AA205" s="214">
        <v>0</v>
      </c>
      <c r="AB205" s="214">
        <v>0</v>
      </c>
      <c r="AC205" s="214">
        <v>0</v>
      </c>
      <c r="AD205" s="214"/>
      <c r="AE205" s="420">
        <v>1410</v>
      </c>
      <c r="AF205" s="420">
        <v>0</v>
      </c>
      <c r="AG205" s="420">
        <v>0</v>
      </c>
      <c r="AH205" s="420"/>
      <c r="AI205" s="574">
        <f t="shared" si="5"/>
        <v>4791</v>
      </c>
      <c r="AJ205" s="212"/>
    </row>
    <row r="206" spans="2:36" ht="14.4">
      <c r="B206" s="211"/>
      <c r="C206" s="213" t="s">
        <v>96</v>
      </c>
      <c r="D206" s="214">
        <v>4690</v>
      </c>
      <c r="E206" s="214">
        <v>1865</v>
      </c>
      <c r="F206" s="214">
        <v>706</v>
      </c>
      <c r="G206" s="214">
        <v>706</v>
      </c>
      <c r="H206" s="214">
        <v>1865</v>
      </c>
      <c r="I206" s="214">
        <v>706</v>
      </c>
      <c r="J206" s="214">
        <v>0</v>
      </c>
      <c r="K206" s="214">
        <v>0</v>
      </c>
      <c r="L206" s="214">
        <v>0</v>
      </c>
      <c r="M206" s="214">
        <v>706</v>
      </c>
      <c r="N206" s="214">
        <v>0</v>
      </c>
      <c r="O206" s="214">
        <v>706</v>
      </c>
      <c r="P206" s="214">
        <v>0</v>
      </c>
      <c r="Q206" s="214">
        <v>706</v>
      </c>
      <c r="R206" s="214">
        <v>706</v>
      </c>
      <c r="S206" s="214">
        <v>706</v>
      </c>
      <c r="T206" s="214">
        <v>1865</v>
      </c>
      <c r="U206" s="214">
        <v>0</v>
      </c>
      <c r="V206" s="214">
        <v>0</v>
      </c>
      <c r="W206" s="214">
        <v>0</v>
      </c>
      <c r="X206" s="214">
        <v>0</v>
      </c>
      <c r="Y206" s="214">
        <v>0</v>
      </c>
      <c r="Z206" s="214">
        <v>0</v>
      </c>
      <c r="AA206" s="214">
        <v>0</v>
      </c>
      <c r="AB206" s="214">
        <v>0</v>
      </c>
      <c r="AC206" s="214">
        <v>0</v>
      </c>
      <c r="AD206" s="214"/>
      <c r="AE206" s="420">
        <v>0</v>
      </c>
      <c r="AF206" s="420">
        <v>0</v>
      </c>
      <c r="AG206" s="420">
        <v>0</v>
      </c>
      <c r="AH206" s="420"/>
      <c r="AI206" s="574">
        <f t="shared" si="5"/>
        <v>15933</v>
      </c>
      <c r="AJ206" s="212"/>
    </row>
    <row r="207" spans="2:36" ht="14.4">
      <c r="B207" s="211"/>
      <c r="C207" s="213" t="s">
        <v>97</v>
      </c>
      <c r="D207" s="214">
        <v>1965.5</v>
      </c>
      <c r="E207" s="214">
        <v>0</v>
      </c>
      <c r="F207" s="214">
        <v>0</v>
      </c>
      <c r="G207" s="214">
        <v>0</v>
      </c>
      <c r="H207" s="214">
        <v>719.31</v>
      </c>
      <c r="I207" s="214">
        <v>296.31</v>
      </c>
      <c r="J207" s="214">
        <v>0</v>
      </c>
      <c r="K207" s="214">
        <v>296.31</v>
      </c>
      <c r="L207" s="214">
        <v>0</v>
      </c>
      <c r="M207" s="214">
        <v>296.31</v>
      </c>
      <c r="N207" s="214">
        <v>296.31</v>
      </c>
      <c r="O207" s="214">
        <v>0</v>
      </c>
      <c r="P207" s="214">
        <v>423</v>
      </c>
      <c r="Q207" s="214">
        <v>592.62</v>
      </c>
      <c r="R207" s="214">
        <v>296.31</v>
      </c>
      <c r="S207" s="214">
        <v>719.31</v>
      </c>
      <c r="T207" s="214">
        <v>0</v>
      </c>
      <c r="U207" s="214">
        <v>296.31</v>
      </c>
      <c r="V207" s="214">
        <v>731.5</v>
      </c>
      <c r="W207" s="214">
        <v>0</v>
      </c>
      <c r="X207" s="214">
        <v>296.31</v>
      </c>
      <c r="Y207" s="214">
        <v>296.31</v>
      </c>
      <c r="Z207" s="214">
        <v>375</v>
      </c>
      <c r="AA207" s="214">
        <v>296.31</v>
      </c>
      <c r="AB207" s="214">
        <v>0</v>
      </c>
      <c r="AC207" s="214">
        <v>0</v>
      </c>
      <c r="AD207" s="214"/>
      <c r="AE207" s="420">
        <v>400</v>
      </c>
      <c r="AF207" s="420">
        <v>0</v>
      </c>
      <c r="AG207" s="446">
        <v>190</v>
      </c>
      <c r="AH207" s="420"/>
      <c r="AI207" s="574">
        <f t="shared" si="5"/>
        <v>8783.0300000000007</v>
      </c>
      <c r="AJ207" s="212"/>
    </row>
    <row r="208" spans="2:36" ht="14.4">
      <c r="B208" s="211"/>
      <c r="C208" s="213" t="s">
        <v>192</v>
      </c>
      <c r="D208" s="214">
        <v>0</v>
      </c>
      <c r="E208" s="214">
        <v>0</v>
      </c>
      <c r="F208" s="214">
        <v>0</v>
      </c>
      <c r="G208" s="214">
        <v>0</v>
      </c>
      <c r="H208" s="214">
        <v>0</v>
      </c>
      <c r="I208" s="214">
        <v>0</v>
      </c>
      <c r="J208" s="214">
        <v>0</v>
      </c>
      <c r="K208" s="214">
        <v>0</v>
      </c>
      <c r="L208" s="214">
        <v>0</v>
      </c>
      <c r="M208" s="214">
        <v>0</v>
      </c>
      <c r="N208" s="214">
        <v>0</v>
      </c>
      <c r="O208" s="214">
        <v>0</v>
      </c>
      <c r="P208" s="214">
        <v>0</v>
      </c>
      <c r="Q208" s="214">
        <v>0</v>
      </c>
      <c r="R208" s="214">
        <v>0</v>
      </c>
      <c r="S208" s="214">
        <v>0</v>
      </c>
      <c r="T208" s="214">
        <v>0</v>
      </c>
      <c r="U208" s="214">
        <v>0</v>
      </c>
      <c r="V208" s="214">
        <v>0</v>
      </c>
      <c r="W208" s="214">
        <v>0</v>
      </c>
      <c r="X208" s="214">
        <v>0</v>
      </c>
      <c r="Y208" s="214">
        <v>0</v>
      </c>
      <c r="Z208" s="214">
        <v>0</v>
      </c>
      <c r="AA208" s="214">
        <v>0</v>
      </c>
      <c r="AB208" s="214">
        <v>0</v>
      </c>
      <c r="AC208" s="214">
        <v>0</v>
      </c>
      <c r="AD208" s="214"/>
      <c r="AE208" s="420">
        <v>0</v>
      </c>
      <c r="AF208" s="420">
        <v>0</v>
      </c>
      <c r="AG208" s="420">
        <v>0</v>
      </c>
      <c r="AH208" s="420"/>
      <c r="AI208" s="574">
        <f t="shared" si="5"/>
        <v>0</v>
      </c>
      <c r="AJ208" s="212"/>
    </row>
    <row r="209" spans="2:36" ht="14.4">
      <c r="B209" s="211"/>
      <c r="C209" s="213" t="s">
        <v>98</v>
      </c>
      <c r="D209" s="214">
        <v>0</v>
      </c>
      <c r="E209" s="214">
        <v>0</v>
      </c>
      <c r="F209" s="214">
        <v>0</v>
      </c>
      <c r="G209" s="214">
        <v>0</v>
      </c>
      <c r="H209" s="214">
        <v>0</v>
      </c>
      <c r="I209" s="214">
        <v>0</v>
      </c>
      <c r="J209" s="214">
        <v>0</v>
      </c>
      <c r="K209" s="214">
        <v>0</v>
      </c>
      <c r="L209" s="214">
        <v>0</v>
      </c>
      <c r="M209" s="214">
        <v>0</v>
      </c>
      <c r="N209" s="214">
        <v>0</v>
      </c>
      <c r="O209" s="214">
        <v>0</v>
      </c>
      <c r="P209" s="214">
        <v>0</v>
      </c>
      <c r="Q209" s="214">
        <v>0</v>
      </c>
      <c r="R209" s="214">
        <v>0</v>
      </c>
      <c r="S209" s="214">
        <v>0</v>
      </c>
      <c r="T209" s="214">
        <v>0</v>
      </c>
      <c r="U209" s="214">
        <v>0</v>
      </c>
      <c r="V209" s="214">
        <v>0</v>
      </c>
      <c r="W209" s="214">
        <v>0</v>
      </c>
      <c r="X209" s="214">
        <v>0</v>
      </c>
      <c r="Y209" s="214">
        <v>0</v>
      </c>
      <c r="Z209" s="214">
        <v>0</v>
      </c>
      <c r="AA209" s="214">
        <v>0</v>
      </c>
      <c r="AB209" s="214">
        <v>0</v>
      </c>
      <c r="AC209" s="214">
        <v>0</v>
      </c>
      <c r="AD209" s="214"/>
      <c r="AE209" s="420">
        <v>0</v>
      </c>
      <c r="AF209" s="420">
        <v>0</v>
      </c>
      <c r="AG209" s="420">
        <v>0</v>
      </c>
      <c r="AH209" s="420"/>
      <c r="AI209" s="574">
        <f t="shared" si="5"/>
        <v>0</v>
      </c>
      <c r="AJ209" s="212"/>
    </row>
    <row r="210" spans="2:36" ht="14.4">
      <c r="B210" s="211"/>
      <c r="C210" s="213" t="s">
        <v>99</v>
      </c>
      <c r="D210" s="214">
        <v>6433.05</v>
      </c>
      <c r="E210" s="214">
        <v>0</v>
      </c>
      <c r="F210" s="214">
        <v>0</v>
      </c>
      <c r="G210" s="214">
        <v>0</v>
      </c>
      <c r="H210" s="214">
        <v>0</v>
      </c>
      <c r="I210" s="214">
        <v>0</v>
      </c>
      <c r="J210" s="214">
        <v>0</v>
      </c>
      <c r="K210" s="214">
        <v>0</v>
      </c>
      <c r="L210" s="214">
        <v>0</v>
      </c>
      <c r="M210" s="214">
        <v>0</v>
      </c>
      <c r="N210" s="214">
        <v>0</v>
      </c>
      <c r="O210" s="214">
        <v>0</v>
      </c>
      <c r="P210" s="214">
        <v>0</v>
      </c>
      <c r="Q210" s="214">
        <v>0</v>
      </c>
      <c r="R210" s="214">
        <v>0</v>
      </c>
      <c r="S210" s="214">
        <v>0</v>
      </c>
      <c r="T210" s="214">
        <v>0</v>
      </c>
      <c r="U210" s="214">
        <v>0</v>
      </c>
      <c r="V210" s="214">
        <v>0</v>
      </c>
      <c r="W210" s="214">
        <v>0</v>
      </c>
      <c r="X210" s="214">
        <v>0</v>
      </c>
      <c r="Y210" s="214">
        <v>0</v>
      </c>
      <c r="Z210" s="214">
        <v>0</v>
      </c>
      <c r="AA210" s="214">
        <v>0</v>
      </c>
      <c r="AB210" s="214">
        <v>0</v>
      </c>
      <c r="AC210" s="214">
        <v>0</v>
      </c>
      <c r="AD210" s="214"/>
      <c r="AE210" s="420">
        <v>0</v>
      </c>
      <c r="AF210" s="420">
        <v>0</v>
      </c>
      <c r="AG210" s="420">
        <v>0</v>
      </c>
      <c r="AH210" s="420"/>
      <c r="AI210" s="574">
        <f t="shared" si="5"/>
        <v>6433.05</v>
      </c>
      <c r="AJ210" s="212"/>
    </row>
    <row r="211" spans="2:36" ht="14.4">
      <c r="B211" s="211"/>
      <c r="C211" s="213" t="s">
        <v>100</v>
      </c>
      <c r="D211" s="214">
        <v>1896.25</v>
      </c>
      <c r="E211" s="214">
        <v>103.08</v>
      </c>
      <c r="F211" s="214">
        <v>0</v>
      </c>
      <c r="G211" s="214">
        <v>11.91</v>
      </c>
      <c r="H211" s="214">
        <v>0</v>
      </c>
      <c r="I211" s="214">
        <v>13.58</v>
      </c>
      <c r="J211" s="214">
        <v>0</v>
      </c>
      <c r="K211" s="214">
        <v>0</v>
      </c>
      <c r="L211" s="214">
        <v>0</v>
      </c>
      <c r="M211" s="214">
        <v>0</v>
      </c>
      <c r="N211" s="214">
        <v>0</v>
      </c>
      <c r="O211" s="214">
        <v>56.16</v>
      </c>
      <c r="P211" s="214">
        <v>8.8699999999999992</v>
      </c>
      <c r="Q211" s="214">
        <v>23.33</v>
      </c>
      <c r="R211" s="214">
        <v>0</v>
      </c>
      <c r="S211" s="214">
        <v>0</v>
      </c>
      <c r="T211" s="214">
        <v>43.17</v>
      </c>
      <c r="U211" s="214">
        <v>0</v>
      </c>
      <c r="V211" s="214">
        <v>0</v>
      </c>
      <c r="W211" s="214">
        <v>0</v>
      </c>
      <c r="X211" s="214">
        <v>0</v>
      </c>
      <c r="Y211" s="214">
        <v>0</v>
      </c>
      <c r="Z211" s="214">
        <v>168.33</v>
      </c>
      <c r="AA211" s="214">
        <v>176.5</v>
      </c>
      <c r="AB211" s="214">
        <v>0</v>
      </c>
      <c r="AC211" s="214">
        <v>0</v>
      </c>
      <c r="AD211" s="214"/>
      <c r="AE211" s="420">
        <v>76.67</v>
      </c>
      <c r="AF211" s="420">
        <v>0</v>
      </c>
      <c r="AG211" s="420">
        <v>0</v>
      </c>
      <c r="AH211" s="420"/>
      <c r="AI211" s="574">
        <f t="shared" si="5"/>
        <v>2577.85</v>
      </c>
      <c r="AJ211" s="212"/>
    </row>
    <row r="212" spans="2:36" ht="14.4">
      <c r="B212" s="211"/>
      <c r="C212" s="213" t="s">
        <v>101</v>
      </c>
      <c r="D212" s="214">
        <v>907.16</v>
      </c>
      <c r="E212" s="214">
        <v>1065.6600000000001</v>
      </c>
      <c r="F212" s="214">
        <v>0</v>
      </c>
      <c r="G212" s="214">
        <v>388.33</v>
      </c>
      <c r="H212" s="214">
        <v>457.42</v>
      </c>
      <c r="I212" s="214">
        <v>0</v>
      </c>
      <c r="J212" s="214">
        <v>0</v>
      </c>
      <c r="K212" s="214">
        <v>0</v>
      </c>
      <c r="L212" s="214">
        <v>0</v>
      </c>
      <c r="M212" s="214">
        <v>0</v>
      </c>
      <c r="N212" s="214">
        <v>0</v>
      </c>
      <c r="O212" s="214">
        <v>0</v>
      </c>
      <c r="P212" s="214">
        <v>0</v>
      </c>
      <c r="Q212" s="214">
        <v>23.33</v>
      </c>
      <c r="R212" s="214">
        <v>0</v>
      </c>
      <c r="S212" s="214">
        <v>0</v>
      </c>
      <c r="T212" s="214">
        <v>0</v>
      </c>
      <c r="U212" s="214">
        <v>0</v>
      </c>
      <c r="V212" s="214">
        <v>0</v>
      </c>
      <c r="W212" s="214">
        <v>0</v>
      </c>
      <c r="X212" s="214">
        <v>103.5</v>
      </c>
      <c r="Y212" s="214">
        <v>0</v>
      </c>
      <c r="Z212" s="214">
        <v>0</v>
      </c>
      <c r="AA212" s="214">
        <v>0</v>
      </c>
      <c r="AB212" s="214">
        <v>0</v>
      </c>
      <c r="AC212" s="214">
        <v>0</v>
      </c>
      <c r="AD212" s="214"/>
      <c r="AE212" s="420">
        <v>0</v>
      </c>
      <c r="AF212" s="420">
        <v>0</v>
      </c>
      <c r="AG212" s="420">
        <v>0</v>
      </c>
      <c r="AH212" s="420"/>
      <c r="AI212" s="574">
        <f t="shared" si="5"/>
        <v>2945.4</v>
      </c>
      <c r="AJ212" s="212"/>
    </row>
    <row r="213" spans="2:36" ht="14.4">
      <c r="B213" s="211"/>
      <c r="C213" s="213" t="s">
        <v>102</v>
      </c>
      <c r="D213" s="214">
        <v>18993.78</v>
      </c>
      <c r="E213" s="214">
        <v>782.95</v>
      </c>
      <c r="F213" s="214">
        <v>1176.3399999999999</v>
      </c>
      <c r="G213" s="214">
        <v>754.31</v>
      </c>
      <c r="H213" s="214">
        <v>1431.03</v>
      </c>
      <c r="I213" s="214">
        <v>804.13</v>
      </c>
      <c r="J213" s="214">
        <v>0</v>
      </c>
      <c r="K213" s="214">
        <v>418.63</v>
      </c>
      <c r="L213" s="214">
        <v>300.93</v>
      </c>
      <c r="M213" s="214">
        <v>895.73</v>
      </c>
      <c r="N213" s="214">
        <v>690.84</v>
      </c>
      <c r="O213" s="214">
        <v>2047.69</v>
      </c>
      <c r="P213" s="214">
        <v>1633.4</v>
      </c>
      <c r="Q213" s="214">
        <v>934.62</v>
      </c>
      <c r="R213" s="214">
        <v>91.27</v>
      </c>
      <c r="S213" s="214">
        <v>378.6</v>
      </c>
      <c r="T213" s="214">
        <v>0</v>
      </c>
      <c r="U213" s="214">
        <v>95.07</v>
      </c>
      <c r="V213" s="214">
        <v>0</v>
      </c>
      <c r="W213" s="214">
        <v>0</v>
      </c>
      <c r="X213" s="214">
        <v>336.73</v>
      </c>
      <c r="Y213" s="214">
        <v>371.58</v>
      </c>
      <c r="Z213" s="214">
        <v>349.19</v>
      </c>
      <c r="AA213" s="214">
        <v>168.76</v>
      </c>
      <c r="AB213" s="214">
        <v>375.5</v>
      </c>
      <c r="AC213" s="214">
        <v>448.24</v>
      </c>
      <c r="AD213" s="214"/>
      <c r="AE213" s="420">
        <v>3549.46</v>
      </c>
      <c r="AF213" s="420">
        <v>1850.38</v>
      </c>
      <c r="AG213" s="446">
        <v>1785.78</v>
      </c>
      <c r="AH213" s="420"/>
      <c r="AI213" s="574">
        <f t="shared" si="5"/>
        <v>40664.939999999995</v>
      </c>
      <c r="AJ213" s="212"/>
    </row>
    <row r="214" spans="2:36" ht="14.4">
      <c r="B214" s="211"/>
      <c r="C214" s="213" t="s">
        <v>103</v>
      </c>
      <c r="D214" s="214">
        <v>3301.12</v>
      </c>
      <c r="E214" s="214">
        <v>98.57</v>
      </c>
      <c r="F214" s="214">
        <v>106.41</v>
      </c>
      <c r="G214" s="214">
        <v>85.22</v>
      </c>
      <c r="H214" s="214">
        <v>127.61</v>
      </c>
      <c r="I214" s="214">
        <v>53.44</v>
      </c>
      <c r="J214" s="214">
        <v>53.44</v>
      </c>
      <c r="K214" s="214">
        <v>53.44</v>
      </c>
      <c r="L214" s="214">
        <v>53.44</v>
      </c>
      <c r="M214" s="214">
        <v>0</v>
      </c>
      <c r="N214" s="214">
        <v>53.44</v>
      </c>
      <c r="O214" s="214">
        <v>53.44</v>
      </c>
      <c r="P214" s="214">
        <v>77.64</v>
      </c>
      <c r="Q214" s="214">
        <v>53.44</v>
      </c>
      <c r="R214" s="214">
        <v>53.44</v>
      </c>
      <c r="S214" s="214">
        <v>53.44</v>
      </c>
      <c r="T214" s="214">
        <v>53.44</v>
      </c>
      <c r="U214" s="214">
        <v>127.96</v>
      </c>
      <c r="V214" s="214">
        <v>225.06</v>
      </c>
      <c r="W214" s="214">
        <v>225.06</v>
      </c>
      <c r="X214" s="214">
        <v>387.03</v>
      </c>
      <c r="Y214" s="214">
        <v>388.02</v>
      </c>
      <c r="Z214" s="214">
        <v>539.9</v>
      </c>
      <c r="AA214" s="214">
        <v>331.54</v>
      </c>
      <c r="AB214" s="214">
        <v>0</v>
      </c>
      <c r="AC214" s="214">
        <v>0</v>
      </c>
      <c r="AD214" s="214"/>
      <c r="AE214" s="420">
        <v>1402.26</v>
      </c>
      <c r="AF214" s="420">
        <v>0</v>
      </c>
      <c r="AG214" s="446">
        <v>0</v>
      </c>
      <c r="AH214" s="420"/>
      <c r="AI214" s="574">
        <f t="shared" si="5"/>
        <v>7957.7999999999984</v>
      </c>
      <c r="AJ214" s="212"/>
    </row>
    <row r="215" spans="2:36" ht="14.4">
      <c r="B215" s="211"/>
      <c r="C215" s="213" t="s">
        <v>104</v>
      </c>
      <c r="D215" s="214">
        <v>2348.56</v>
      </c>
      <c r="E215" s="214">
        <v>398.44</v>
      </c>
      <c r="F215" s="214">
        <v>195.7</v>
      </c>
      <c r="G215" s="214">
        <v>320.52999999999997</v>
      </c>
      <c r="H215" s="214">
        <v>888.82</v>
      </c>
      <c r="I215" s="214">
        <v>107.34</v>
      </c>
      <c r="J215" s="214">
        <v>0</v>
      </c>
      <c r="K215" s="214">
        <v>0</v>
      </c>
      <c r="L215" s="214">
        <v>3.44</v>
      </c>
      <c r="M215" s="214">
        <v>417.72</v>
      </c>
      <c r="N215" s="214">
        <v>107.34</v>
      </c>
      <c r="O215" s="214">
        <v>297.14</v>
      </c>
      <c r="P215" s="214">
        <v>267.3</v>
      </c>
      <c r="Q215" s="214">
        <v>305.82</v>
      </c>
      <c r="R215" s="214">
        <v>843.3</v>
      </c>
      <c r="S215" s="214">
        <v>121.51</v>
      </c>
      <c r="T215" s="214">
        <v>227.5</v>
      </c>
      <c r="U215" s="214">
        <v>279.27</v>
      </c>
      <c r="V215" s="214">
        <v>44.58</v>
      </c>
      <c r="W215" s="214">
        <v>45.83</v>
      </c>
      <c r="X215" s="214">
        <v>134.79</v>
      </c>
      <c r="Y215" s="214">
        <v>101.88</v>
      </c>
      <c r="Z215" s="214">
        <v>101.05</v>
      </c>
      <c r="AA215" s="214">
        <v>112.5</v>
      </c>
      <c r="AB215" s="214">
        <v>110.42</v>
      </c>
      <c r="AC215" s="214">
        <v>244.38</v>
      </c>
      <c r="AD215" s="214"/>
      <c r="AE215" s="420">
        <v>327.29000000000002</v>
      </c>
      <c r="AF215" s="420">
        <v>302.44</v>
      </c>
      <c r="AG215" s="446">
        <v>318.27</v>
      </c>
      <c r="AH215" s="420"/>
      <c r="AI215" s="574">
        <f t="shared" si="5"/>
        <v>8973.1600000000017</v>
      </c>
      <c r="AJ215" s="212"/>
    </row>
    <row r="216" spans="2:36" ht="14.4">
      <c r="B216" s="211"/>
      <c r="C216" s="213" t="s">
        <v>105</v>
      </c>
      <c r="D216" s="214">
        <v>1401.31</v>
      </c>
      <c r="E216" s="214">
        <v>8907.91</v>
      </c>
      <c r="F216" s="214">
        <v>0</v>
      </c>
      <c r="G216" s="214">
        <v>106.92</v>
      </c>
      <c r="H216" s="214">
        <v>415.11</v>
      </c>
      <c r="I216" s="214">
        <v>87.25</v>
      </c>
      <c r="J216" s="214">
        <v>0</v>
      </c>
      <c r="K216" s="214">
        <v>33.75</v>
      </c>
      <c r="L216" s="214">
        <v>6.88</v>
      </c>
      <c r="M216" s="214">
        <v>1025</v>
      </c>
      <c r="N216" s="214">
        <v>0</v>
      </c>
      <c r="O216" s="214">
        <v>264.27</v>
      </c>
      <c r="P216" s="214">
        <v>75.81</v>
      </c>
      <c r="Q216" s="214">
        <v>5967.45</v>
      </c>
      <c r="R216" s="214">
        <v>1051.8499999999999</v>
      </c>
      <c r="S216" s="214">
        <v>1004.92</v>
      </c>
      <c r="T216" s="214">
        <v>0</v>
      </c>
      <c r="U216" s="214">
        <v>570.41999999999996</v>
      </c>
      <c r="V216" s="214">
        <v>6</v>
      </c>
      <c r="W216" s="214">
        <v>17.3</v>
      </c>
      <c r="X216" s="214">
        <v>14.67</v>
      </c>
      <c r="Y216" s="214">
        <v>918.67</v>
      </c>
      <c r="Z216" s="214">
        <v>15</v>
      </c>
      <c r="AA216" s="214">
        <v>12.5</v>
      </c>
      <c r="AB216" s="214">
        <v>225.58</v>
      </c>
      <c r="AC216" s="214">
        <v>59.33</v>
      </c>
      <c r="AD216" s="214"/>
      <c r="AE216" s="420">
        <v>456.76</v>
      </c>
      <c r="AF216" s="420">
        <v>328.04</v>
      </c>
      <c r="AG216" s="446">
        <v>503.04</v>
      </c>
      <c r="AH216" s="420"/>
      <c r="AI216" s="574">
        <f t="shared" si="5"/>
        <v>23475.739999999994</v>
      </c>
      <c r="AJ216" s="212"/>
    </row>
    <row r="217" spans="2:36" ht="14.4">
      <c r="B217" s="211"/>
      <c r="C217" s="213" t="s">
        <v>106</v>
      </c>
      <c r="D217" s="214">
        <v>0</v>
      </c>
      <c r="E217" s="214">
        <v>0</v>
      </c>
      <c r="F217" s="214">
        <v>0</v>
      </c>
      <c r="G217" s="214">
        <v>0</v>
      </c>
      <c r="H217" s="214">
        <v>0</v>
      </c>
      <c r="I217" s="214">
        <v>0</v>
      </c>
      <c r="J217" s="214">
        <v>0</v>
      </c>
      <c r="K217" s="214">
        <v>0</v>
      </c>
      <c r="L217" s="214">
        <v>0</v>
      </c>
      <c r="M217" s="214">
        <v>0</v>
      </c>
      <c r="N217" s="214">
        <v>0</v>
      </c>
      <c r="O217" s="214">
        <v>0</v>
      </c>
      <c r="P217" s="214">
        <v>0</v>
      </c>
      <c r="Q217" s="214">
        <v>0</v>
      </c>
      <c r="R217" s="214">
        <v>0</v>
      </c>
      <c r="S217" s="214">
        <v>0</v>
      </c>
      <c r="T217" s="214">
        <v>0</v>
      </c>
      <c r="U217" s="214">
        <v>0</v>
      </c>
      <c r="V217" s="214">
        <v>0</v>
      </c>
      <c r="W217" s="214">
        <v>0</v>
      </c>
      <c r="X217" s="214">
        <v>0</v>
      </c>
      <c r="Y217" s="214">
        <v>0</v>
      </c>
      <c r="Z217" s="214">
        <v>0</v>
      </c>
      <c r="AA217" s="214">
        <v>0</v>
      </c>
      <c r="AB217" s="214">
        <v>0</v>
      </c>
      <c r="AC217" s="214">
        <v>0</v>
      </c>
      <c r="AD217" s="214"/>
      <c r="AE217" s="420">
        <v>0</v>
      </c>
      <c r="AF217" s="420">
        <v>0</v>
      </c>
      <c r="AG217" s="420">
        <v>0</v>
      </c>
      <c r="AH217" s="420"/>
      <c r="AI217" s="574">
        <f t="shared" si="5"/>
        <v>0</v>
      </c>
      <c r="AJ217" s="212"/>
    </row>
    <row r="218" spans="2:36" ht="14.4">
      <c r="B218" s="211"/>
      <c r="C218" s="213" t="s">
        <v>107</v>
      </c>
      <c r="D218" s="214">
        <v>0</v>
      </c>
      <c r="E218" s="214">
        <v>0</v>
      </c>
      <c r="F218" s="214">
        <v>0</v>
      </c>
      <c r="G218" s="214">
        <v>0</v>
      </c>
      <c r="H218" s="214">
        <v>0</v>
      </c>
      <c r="I218" s="214">
        <v>0</v>
      </c>
      <c r="J218" s="214">
        <v>0</v>
      </c>
      <c r="K218" s="214">
        <v>0</v>
      </c>
      <c r="L218" s="214">
        <v>0</v>
      </c>
      <c r="M218" s="214">
        <v>0</v>
      </c>
      <c r="N218" s="214">
        <v>0</v>
      </c>
      <c r="O218" s="214">
        <v>0</v>
      </c>
      <c r="P218" s="214">
        <v>0</v>
      </c>
      <c r="Q218" s="214">
        <v>0</v>
      </c>
      <c r="R218" s="214">
        <v>0</v>
      </c>
      <c r="S218" s="214">
        <v>0</v>
      </c>
      <c r="T218" s="214">
        <v>0</v>
      </c>
      <c r="U218" s="214">
        <v>0</v>
      </c>
      <c r="V218" s="214">
        <v>0</v>
      </c>
      <c r="W218" s="214">
        <v>0</v>
      </c>
      <c r="X218" s="214">
        <v>0</v>
      </c>
      <c r="Y218" s="214">
        <v>0</v>
      </c>
      <c r="Z218" s="214">
        <v>0</v>
      </c>
      <c r="AA218" s="214">
        <v>0</v>
      </c>
      <c r="AB218" s="214">
        <v>0</v>
      </c>
      <c r="AC218" s="214">
        <v>0</v>
      </c>
      <c r="AD218" s="214"/>
      <c r="AE218" s="420">
        <v>0</v>
      </c>
      <c r="AF218" s="420">
        <v>0</v>
      </c>
      <c r="AG218" s="420">
        <v>0</v>
      </c>
      <c r="AH218" s="420"/>
      <c r="AI218" s="574">
        <f t="shared" si="5"/>
        <v>0</v>
      </c>
      <c r="AJ218" s="212"/>
    </row>
    <row r="219" spans="2:36" ht="14.4">
      <c r="B219" s="211"/>
      <c r="C219" s="213" t="s">
        <v>108</v>
      </c>
      <c r="D219" s="214"/>
      <c r="E219" s="214">
        <v>19331.73</v>
      </c>
      <c r="F219" s="214">
        <v>32669.88</v>
      </c>
      <c r="G219" s="214">
        <v>22712.66</v>
      </c>
      <c r="H219" s="214">
        <v>4139.2</v>
      </c>
      <c r="I219" s="214"/>
      <c r="J219" s="214"/>
      <c r="K219" s="214"/>
      <c r="L219" s="214"/>
      <c r="M219" s="214">
        <v>205</v>
      </c>
      <c r="N219" s="214"/>
      <c r="O219" s="214">
        <v>1331.24</v>
      </c>
      <c r="P219" s="214">
        <v>401.69</v>
      </c>
      <c r="Q219" s="214">
        <v>31764.07</v>
      </c>
      <c r="R219" s="214">
        <v>914</v>
      </c>
      <c r="S219" s="214">
        <v>2737.95</v>
      </c>
      <c r="T219" s="214"/>
      <c r="U219" s="214"/>
      <c r="V219" s="214"/>
      <c r="W219" s="214"/>
      <c r="X219" s="214"/>
      <c r="Y219" s="214"/>
      <c r="Z219" s="214"/>
      <c r="AA219" s="214"/>
      <c r="AB219" s="214"/>
      <c r="AC219" s="214"/>
      <c r="AD219" s="214"/>
      <c r="AE219" s="420">
        <v>507</v>
      </c>
      <c r="AF219" s="420"/>
      <c r="AG219" s="420">
        <v>204</v>
      </c>
      <c r="AH219" s="420"/>
      <c r="AI219" s="574">
        <f t="shared" si="5"/>
        <v>116918.42</v>
      </c>
      <c r="AJ219" s="212"/>
    </row>
    <row r="220" spans="2:36" ht="14.4">
      <c r="B220" s="211"/>
      <c r="C220" s="213" t="s">
        <v>109</v>
      </c>
      <c r="D220" s="214">
        <v>0</v>
      </c>
      <c r="E220" s="214">
        <v>0</v>
      </c>
      <c r="F220" s="214">
        <v>0</v>
      </c>
      <c r="G220" s="214">
        <v>0</v>
      </c>
      <c r="H220" s="214">
        <v>0</v>
      </c>
      <c r="I220" s="214">
        <v>0</v>
      </c>
      <c r="J220" s="214">
        <v>0</v>
      </c>
      <c r="K220" s="214">
        <v>0</v>
      </c>
      <c r="L220" s="214">
        <v>0</v>
      </c>
      <c r="M220" s="214">
        <v>0</v>
      </c>
      <c r="N220" s="214">
        <v>0</v>
      </c>
      <c r="O220" s="214">
        <v>0</v>
      </c>
      <c r="P220" s="214">
        <v>0</v>
      </c>
      <c r="Q220" s="214">
        <v>0</v>
      </c>
      <c r="R220" s="214">
        <v>0</v>
      </c>
      <c r="S220" s="214">
        <v>0</v>
      </c>
      <c r="T220" s="214">
        <v>0</v>
      </c>
      <c r="U220" s="214">
        <v>0</v>
      </c>
      <c r="V220" s="214">
        <v>0</v>
      </c>
      <c r="W220" s="214">
        <v>0</v>
      </c>
      <c r="X220" s="214">
        <v>0</v>
      </c>
      <c r="Y220" s="214">
        <v>0</v>
      </c>
      <c r="Z220" s="214">
        <v>0</v>
      </c>
      <c r="AA220" s="214">
        <v>0</v>
      </c>
      <c r="AB220" s="214">
        <v>0</v>
      </c>
      <c r="AC220" s="214">
        <v>0</v>
      </c>
      <c r="AD220" s="214"/>
      <c r="AE220" s="420">
        <v>0</v>
      </c>
      <c r="AF220" s="420">
        <v>0</v>
      </c>
      <c r="AG220" s="420">
        <v>0</v>
      </c>
      <c r="AH220" s="420"/>
      <c r="AI220" s="574">
        <f t="shared" si="5"/>
        <v>0</v>
      </c>
      <c r="AJ220" s="212"/>
    </row>
    <row r="221" spans="2:36" ht="14.4">
      <c r="B221" s="211"/>
      <c r="C221" s="213" t="s">
        <v>110</v>
      </c>
      <c r="D221" s="214">
        <v>0</v>
      </c>
      <c r="E221" s="214">
        <v>0</v>
      </c>
      <c r="F221" s="214">
        <v>0</v>
      </c>
      <c r="G221" s="214">
        <v>0</v>
      </c>
      <c r="H221" s="214">
        <v>0</v>
      </c>
      <c r="I221" s="214">
        <v>0</v>
      </c>
      <c r="J221" s="214">
        <v>0</v>
      </c>
      <c r="K221" s="214">
        <v>0</v>
      </c>
      <c r="L221" s="214">
        <v>0</v>
      </c>
      <c r="M221" s="214">
        <v>0</v>
      </c>
      <c r="N221" s="214">
        <v>0</v>
      </c>
      <c r="O221" s="214">
        <v>166.66</v>
      </c>
      <c r="P221" s="214">
        <v>0</v>
      </c>
      <c r="Q221" s="214">
        <v>0</v>
      </c>
      <c r="R221" s="214">
        <v>0</v>
      </c>
      <c r="S221" s="214">
        <v>0</v>
      </c>
      <c r="T221" s="214">
        <v>0</v>
      </c>
      <c r="U221" s="214">
        <v>0</v>
      </c>
      <c r="V221" s="214">
        <v>0</v>
      </c>
      <c r="W221" s="214">
        <v>0</v>
      </c>
      <c r="X221" s="214">
        <v>0</v>
      </c>
      <c r="Y221" s="214">
        <v>0</v>
      </c>
      <c r="Z221" s="214">
        <v>0</v>
      </c>
      <c r="AA221" s="214">
        <v>0</v>
      </c>
      <c r="AB221" s="214">
        <v>0</v>
      </c>
      <c r="AC221" s="214">
        <v>0</v>
      </c>
      <c r="AD221" s="214"/>
      <c r="AE221" s="420">
        <v>0</v>
      </c>
      <c r="AF221" s="420">
        <v>0</v>
      </c>
      <c r="AG221" s="420">
        <v>0</v>
      </c>
      <c r="AH221" s="420"/>
      <c r="AI221" s="574">
        <f t="shared" si="5"/>
        <v>166.66</v>
      </c>
      <c r="AJ221" s="212"/>
    </row>
    <row r="222" spans="2:36" ht="14.4">
      <c r="B222" s="211"/>
      <c r="C222" s="213" t="s">
        <v>112</v>
      </c>
      <c r="D222" s="214">
        <v>0</v>
      </c>
      <c r="E222" s="214">
        <v>2454.2399999999998</v>
      </c>
      <c r="F222" s="214">
        <v>0</v>
      </c>
      <c r="G222" s="214">
        <v>0</v>
      </c>
      <c r="H222" s="214">
        <v>0</v>
      </c>
      <c r="I222" s="214">
        <v>0</v>
      </c>
      <c r="J222" s="214">
        <v>0</v>
      </c>
      <c r="K222" s="214">
        <v>0</v>
      </c>
      <c r="L222" s="214">
        <v>0</v>
      </c>
      <c r="M222" s="214">
        <v>0</v>
      </c>
      <c r="N222" s="214">
        <v>0</v>
      </c>
      <c r="O222" s="214">
        <v>0</v>
      </c>
      <c r="P222" s="214">
        <v>0</v>
      </c>
      <c r="Q222" s="214">
        <v>0</v>
      </c>
      <c r="R222" s="214">
        <v>0</v>
      </c>
      <c r="S222" s="214">
        <v>0</v>
      </c>
      <c r="T222" s="214">
        <v>0</v>
      </c>
      <c r="U222" s="214">
        <v>0</v>
      </c>
      <c r="V222" s="214">
        <v>0</v>
      </c>
      <c r="W222" s="214">
        <v>0</v>
      </c>
      <c r="X222" s="214">
        <v>0</v>
      </c>
      <c r="Y222" s="214">
        <v>0</v>
      </c>
      <c r="Z222" s="214">
        <v>0</v>
      </c>
      <c r="AA222" s="214">
        <v>0</v>
      </c>
      <c r="AB222" s="214">
        <v>0</v>
      </c>
      <c r="AC222" s="214">
        <v>0</v>
      </c>
      <c r="AD222" s="214"/>
      <c r="AE222" s="420">
        <v>0</v>
      </c>
      <c r="AF222" s="420">
        <v>0</v>
      </c>
      <c r="AG222" s="420">
        <v>0</v>
      </c>
      <c r="AH222" s="420"/>
      <c r="AI222" s="574">
        <f t="shared" si="5"/>
        <v>2454.2399999999998</v>
      </c>
      <c r="AJ222" s="212"/>
    </row>
    <row r="223" spans="2:36" ht="14.4">
      <c r="B223" s="211"/>
      <c r="C223" s="213" t="s">
        <v>113</v>
      </c>
      <c r="D223" s="214">
        <v>0</v>
      </c>
      <c r="E223" s="214">
        <v>0</v>
      </c>
      <c r="F223" s="214">
        <v>0</v>
      </c>
      <c r="G223" s="214">
        <v>0</v>
      </c>
      <c r="H223" s="214">
        <v>0</v>
      </c>
      <c r="I223" s="214">
        <v>0</v>
      </c>
      <c r="J223" s="214">
        <v>0</v>
      </c>
      <c r="K223" s="214">
        <v>0</v>
      </c>
      <c r="L223" s="214">
        <v>0</v>
      </c>
      <c r="M223" s="214">
        <v>0</v>
      </c>
      <c r="N223" s="214">
        <v>0</v>
      </c>
      <c r="O223" s="214">
        <v>0</v>
      </c>
      <c r="P223" s="214">
        <v>0</v>
      </c>
      <c r="Q223" s="214">
        <v>0</v>
      </c>
      <c r="R223" s="214">
        <v>0</v>
      </c>
      <c r="S223" s="214">
        <v>0</v>
      </c>
      <c r="T223" s="214">
        <v>0</v>
      </c>
      <c r="U223" s="214">
        <v>0</v>
      </c>
      <c r="V223" s="214">
        <v>0</v>
      </c>
      <c r="W223" s="214">
        <v>0</v>
      </c>
      <c r="X223" s="214">
        <v>0</v>
      </c>
      <c r="Y223" s="214">
        <v>0</v>
      </c>
      <c r="Z223" s="214">
        <v>0</v>
      </c>
      <c r="AA223" s="214">
        <v>0</v>
      </c>
      <c r="AB223" s="214">
        <v>0</v>
      </c>
      <c r="AC223" s="214">
        <v>0</v>
      </c>
      <c r="AD223" s="214"/>
      <c r="AE223" s="420">
        <v>0</v>
      </c>
      <c r="AF223" s="420">
        <v>0</v>
      </c>
      <c r="AG223" s="420">
        <v>0</v>
      </c>
      <c r="AH223" s="420"/>
      <c r="AI223" s="574">
        <f t="shared" si="5"/>
        <v>0</v>
      </c>
      <c r="AJ223" s="212"/>
    </row>
    <row r="224" spans="2:36" ht="14.4">
      <c r="B224" s="211"/>
      <c r="C224" s="213" t="s">
        <v>137</v>
      </c>
      <c r="D224" s="214">
        <v>27145</v>
      </c>
      <c r="E224" s="214">
        <v>0</v>
      </c>
      <c r="F224" s="214">
        <v>0</v>
      </c>
      <c r="G224" s="214">
        <v>0</v>
      </c>
      <c r="H224" s="214">
        <v>0</v>
      </c>
      <c r="I224" s="214">
        <v>0</v>
      </c>
      <c r="J224" s="214">
        <v>0</v>
      </c>
      <c r="K224" s="214">
        <v>0</v>
      </c>
      <c r="L224" s="214">
        <v>0</v>
      </c>
      <c r="M224" s="214">
        <v>0</v>
      </c>
      <c r="N224" s="214">
        <v>0</v>
      </c>
      <c r="O224" s="214">
        <v>0</v>
      </c>
      <c r="P224" s="214">
        <v>0</v>
      </c>
      <c r="Q224" s="214">
        <v>0</v>
      </c>
      <c r="R224" s="214">
        <v>0</v>
      </c>
      <c r="S224" s="214">
        <v>0</v>
      </c>
      <c r="T224" s="214">
        <v>0</v>
      </c>
      <c r="U224" s="214">
        <v>0</v>
      </c>
      <c r="V224" s="214">
        <v>0</v>
      </c>
      <c r="W224" s="214">
        <v>0</v>
      </c>
      <c r="X224" s="214">
        <v>0</v>
      </c>
      <c r="Y224" s="214">
        <v>0</v>
      </c>
      <c r="Z224" s="214">
        <v>0</v>
      </c>
      <c r="AA224" s="214">
        <v>0</v>
      </c>
      <c r="AB224" s="214">
        <v>0</v>
      </c>
      <c r="AC224" s="214">
        <v>0</v>
      </c>
      <c r="AD224" s="214"/>
      <c r="AE224" s="420">
        <v>0</v>
      </c>
      <c r="AF224" s="420">
        <v>0</v>
      </c>
      <c r="AG224" s="420">
        <v>0</v>
      </c>
      <c r="AH224" s="420"/>
      <c r="AI224" s="574">
        <f t="shared" si="5"/>
        <v>27145</v>
      </c>
      <c r="AJ224" s="212"/>
    </row>
    <row r="225" spans="2:36" ht="14.4">
      <c r="B225" s="211"/>
      <c r="C225" s="213" t="s">
        <v>140</v>
      </c>
      <c r="D225" s="214">
        <v>6017</v>
      </c>
      <c r="E225" s="214">
        <v>0</v>
      </c>
      <c r="F225" s="214">
        <v>144</v>
      </c>
      <c r="G225" s="214">
        <v>1508</v>
      </c>
      <c r="H225" s="214">
        <v>1949.07</v>
      </c>
      <c r="I225" s="214">
        <v>0</v>
      </c>
      <c r="J225" s="214">
        <v>0</v>
      </c>
      <c r="K225" s="214">
        <v>0</v>
      </c>
      <c r="L225" s="214">
        <v>1169</v>
      </c>
      <c r="M225" s="214">
        <v>0</v>
      </c>
      <c r="N225" s="214">
        <v>135</v>
      </c>
      <c r="O225" s="214">
        <v>1226</v>
      </c>
      <c r="P225" s="214">
        <v>0</v>
      </c>
      <c r="Q225" s="214">
        <v>821</v>
      </c>
      <c r="R225" s="214">
        <v>0</v>
      </c>
      <c r="S225" s="214">
        <v>0</v>
      </c>
      <c r="T225" s="214">
        <v>0</v>
      </c>
      <c r="U225" s="214">
        <v>0</v>
      </c>
      <c r="V225" s="214">
        <v>0</v>
      </c>
      <c r="W225" s="214">
        <v>0</v>
      </c>
      <c r="X225" s="214">
        <v>0</v>
      </c>
      <c r="Y225" s="214">
        <v>0</v>
      </c>
      <c r="Z225" s="214">
        <v>0</v>
      </c>
      <c r="AA225" s="214">
        <v>0</v>
      </c>
      <c r="AB225" s="214">
        <v>809</v>
      </c>
      <c r="AC225" s="214">
        <v>0</v>
      </c>
      <c r="AD225" s="214"/>
      <c r="AE225" s="420">
        <v>0</v>
      </c>
      <c r="AF225" s="420">
        <v>0</v>
      </c>
      <c r="AG225" s="420">
        <v>0</v>
      </c>
      <c r="AH225" s="420"/>
      <c r="AI225" s="574">
        <f t="shared" si="5"/>
        <v>13778.07</v>
      </c>
      <c r="AJ225" s="212"/>
    </row>
    <row r="226" spans="2:36" ht="14.4">
      <c r="B226" s="211"/>
      <c r="C226" s="213" t="s">
        <v>141</v>
      </c>
      <c r="D226" s="214">
        <v>0</v>
      </c>
      <c r="E226" s="214">
        <v>0</v>
      </c>
      <c r="F226" s="214">
        <v>0</v>
      </c>
      <c r="G226" s="214">
        <v>0</v>
      </c>
      <c r="H226" s="214">
        <v>0</v>
      </c>
      <c r="I226" s="214">
        <v>0</v>
      </c>
      <c r="J226" s="214">
        <v>0</v>
      </c>
      <c r="K226" s="214">
        <v>0</v>
      </c>
      <c r="L226" s="214">
        <v>0</v>
      </c>
      <c r="M226" s="214">
        <v>0</v>
      </c>
      <c r="N226" s="214">
        <v>0</v>
      </c>
      <c r="O226" s="214">
        <v>0</v>
      </c>
      <c r="P226" s="214">
        <v>0</v>
      </c>
      <c r="Q226" s="214">
        <v>0</v>
      </c>
      <c r="R226" s="214">
        <v>0</v>
      </c>
      <c r="S226" s="214">
        <v>0</v>
      </c>
      <c r="T226" s="214">
        <v>0</v>
      </c>
      <c r="U226" s="214">
        <v>0</v>
      </c>
      <c r="V226" s="214">
        <v>0</v>
      </c>
      <c r="W226" s="214">
        <v>0</v>
      </c>
      <c r="X226" s="214">
        <v>0</v>
      </c>
      <c r="Y226" s="214">
        <v>0</v>
      </c>
      <c r="Z226" s="214">
        <v>0</v>
      </c>
      <c r="AA226" s="214">
        <v>0</v>
      </c>
      <c r="AB226" s="214">
        <v>0</v>
      </c>
      <c r="AC226" s="214">
        <v>0</v>
      </c>
      <c r="AD226" s="214"/>
      <c r="AE226" s="420">
        <v>0</v>
      </c>
      <c r="AF226" s="420">
        <v>0</v>
      </c>
      <c r="AG226" s="420">
        <v>0</v>
      </c>
      <c r="AH226" s="420"/>
      <c r="AI226" s="574">
        <f t="shared" si="5"/>
        <v>0</v>
      </c>
      <c r="AJ226" s="212"/>
    </row>
    <row r="227" spans="2:36" ht="14.4">
      <c r="B227" s="211"/>
      <c r="C227" s="213" t="s">
        <v>193</v>
      </c>
      <c r="D227" s="214">
        <v>500</v>
      </c>
      <c r="E227" s="214">
        <v>0</v>
      </c>
      <c r="F227" s="214">
        <v>0</v>
      </c>
      <c r="G227" s="214">
        <v>0</v>
      </c>
      <c r="H227" s="214">
        <v>0</v>
      </c>
      <c r="I227" s="214">
        <v>0</v>
      </c>
      <c r="J227" s="214">
        <v>0</v>
      </c>
      <c r="K227" s="214">
        <v>0</v>
      </c>
      <c r="L227" s="214">
        <v>0</v>
      </c>
      <c r="M227" s="214">
        <v>0</v>
      </c>
      <c r="N227" s="214">
        <v>0</v>
      </c>
      <c r="O227" s="214">
        <v>0</v>
      </c>
      <c r="P227" s="214">
        <v>0</v>
      </c>
      <c r="Q227" s="214">
        <v>0</v>
      </c>
      <c r="R227" s="214">
        <v>0</v>
      </c>
      <c r="S227" s="214">
        <v>0</v>
      </c>
      <c r="T227" s="214">
        <v>0</v>
      </c>
      <c r="U227" s="214">
        <v>0</v>
      </c>
      <c r="V227" s="214">
        <v>0</v>
      </c>
      <c r="W227" s="214">
        <v>0</v>
      </c>
      <c r="X227" s="214">
        <v>0</v>
      </c>
      <c r="Y227" s="214">
        <v>0</v>
      </c>
      <c r="Z227" s="214">
        <v>0</v>
      </c>
      <c r="AA227" s="214">
        <v>0</v>
      </c>
      <c r="AB227" s="214">
        <v>0</v>
      </c>
      <c r="AC227" s="214">
        <v>0</v>
      </c>
      <c r="AD227" s="214"/>
      <c r="AE227" s="420">
        <v>0</v>
      </c>
      <c r="AF227" s="420">
        <v>0</v>
      </c>
      <c r="AG227" s="420">
        <v>0</v>
      </c>
      <c r="AH227" s="420"/>
      <c r="AI227" s="574">
        <f t="shared" si="5"/>
        <v>500</v>
      </c>
      <c r="AJ227" s="212"/>
    </row>
    <row r="228" spans="2:36" ht="14.4">
      <c r="B228" s="211"/>
      <c r="C228" s="213" t="s">
        <v>148</v>
      </c>
      <c r="D228" s="214">
        <v>0</v>
      </c>
      <c r="E228" s="214">
        <v>0</v>
      </c>
      <c r="F228" s="214">
        <v>0</v>
      </c>
      <c r="G228" s="214">
        <v>0</v>
      </c>
      <c r="H228" s="214">
        <v>0</v>
      </c>
      <c r="I228" s="214">
        <v>0</v>
      </c>
      <c r="J228" s="214">
        <v>0</v>
      </c>
      <c r="K228" s="214">
        <v>0</v>
      </c>
      <c r="L228" s="214">
        <v>0</v>
      </c>
      <c r="M228" s="214">
        <v>0</v>
      </c>
      <c r="N228" s="214">
        <v>0</v>
      </c>
      <c r="O228" s="214">
        <v>0</v>
      </c>
      <c r="P228" s="214">
        <v>0</v>
      </c>
      <c r="Q228" s="214">
        <v>0</v>
      </c>
      <c r="R228" s="214">
        <v>0</v>
      </c>
      <c r="S228" s="214">
        <v>0</v>
      </c>
      <c r="T228" s="214">
        <v>3570</v>
      </c>
      <c r="U228" s="214">
        <v>0</v>
      </c>
      <c r="V228" s="214">
        <v>0</v>
      </c>
      <c r="W228" s="214">
        <v>0</v>
      </c>
      <c r="X228" s="214">
        <v>0</v>
      </c>
      <c r="Y228" s="214">
        <v>0</v>
      </c>
      <c r="Z228" s="214">
        <v>0</v>
      </c>
      <c r="AA228" s="214">
        <v>0</v>
      </c>
      <c r="AB228" s="214">
        <v>0</v>
      </c>
      <c r="AC228" s="214">
        <v>0</v>
      </c>
      <c r="AD228" s="214"/>
      <c r="AE228" s="420">
        <v>0</v>
      </c>
      <c r="AF228" s="420">
        <v>0</v>
      </c>
      <c r="AG228" s="420">
        <v>0</v>
      </c>
      <c r="AH228" s="420"/>
      <c r="AI228" s="574">
        <f t="shared" si="5"/>
        <v>3570</v>
      </c>
      <c r="AJ228" s="212"/>
    </row>
    <row r="229" spans="2:36" ht="14.4">
      <c r="B229" s="211"/>
      <c r="C229" s="213" t="s">
        <v>186</v>
      </c>
      <c r="D229" s="214">
        <v>0</v>
      </c>
      <c r="E229" s="214">
        <v>0</v>
      </c>
      <c r="F229" s="214">
        <v>0</v>
      </c>
      <c r="G229" s="214">
        <v>0</v>
      </c>
      <c r="H229" s="214">
        <v>0</v>
      </c>
      <c r="I229" s="214">
        <v>0</v>
      </c>
      <c r="J229" s="214">
        <v>0</v>
      </c>
      <c r="K229" s="214">
        <v>0</v>
      </c>
      <c r="L229" s="214">
        <v>0</v>
      </c>
      <c r="M229" s="214">
        <v>0</v>
      </c>
      <c r="N229" s="214">
        <v>0</v>
      </c>
      <c r="O229" s="214">
        <v>0</v>
      </c>
      <c r="P229" s="214">
        <v>0</v>
      </c>
      <c r="Q229" s="214">
        <v>0</v>
      </c>
      <c r="R229" s="214">
        <v>0</v>
      </c>
      <c r="S229" s="214">
        <v>0</v>
      </c>
      <c r="T229" s="214">
        <v>0</v>
      </c>
      <c r="U229" s="214">
        <v>0</v>
      </c>
      <c r="V229" s="214">
        <v>0</v>
      </c>
      <c r="W229" s="214">
        <v>0</v>
      </c>
      <c r="X229" s="214">
        <v>0</v>
      </c>
      <c r="Y229" s="214">
        <v>0</v>
      </c>
      <c r="Z229" s="214">
        <v>0</v>
      </c>
      <c r="AA229" s="214">
        <v>0</v>
      </c>
      <c r="AB229" s="214">
        <v>0</v>
      </c>
      <c r="AC229" s="214">
        <v>0</v>
      </c>
      <c r="AD229" s="214"/>
      <c r="AE229" s="420">
        <v>0</v>
      </c>
      <c r="AF229" s="420">
        <v>0</v>
      </c>
      <c r="AG229" s="420">
        <v>0</v>
      </c>
      <c r="AH229" s="420"/>
      <c r="AI229" s="574">
        <f t="shared" si="5"/>
        <v>0</v>
      </c>
      <c r="AJ229" s="212"/>
    </row>
    <row r="230" spans="2:36" ht="14.4">
      <c r="B230" s="211"/>
      <c r="C230" s="213" t="s">
        <v>171</v>
      </c>
      <c r="D230" s="214">
        <v>0</v>
      </c>
      <c r="E230" s="214">
        <v>0</v>
      </c>
      <c r="F230" s="214">
        <v>0</v>
      </c>
      <c r="G230" s="214">
        <v>0</v>
      </c>
      <c r="H230" s="214">
        <v>0</v>
      </c>
      <c r="I230" s="214">
        <v>0</v>
      </c>
      <c r="J230" s="214">
        <v>0</v>
      </c>
      <c r="K230" s="214">
        <v>0</v>
      </c>
      <c r="L230" s="214">
        <v>0</v>
      </c>
      <c r="M230" s="214">
        <v>0</v>
      </c>
      <c r="N230" s="214">
        <v>0</v>
      </c>
      <c r="O230" s="214">
        <v>0</v>
      </c>
      <c r="P230" s="214">
        <v>0</v>
      </c>
      <c r="Q230" s="214">
        <v>0</v>
      </c>
      <c r="R230" s="214">
        <v>0</v>
      </c>
      <c r="S230" s="214">
        <v>0</v>
      </c>
      <c r="T230" s="214">
        <v>0</v>
      </c>
      <c r="U230" s="214">
        <v>0</v>
      </c>
      <c r="V230" s="214">
        <v>0</v>
      </c>
      <c r="W230" s="214">
        <v>0</v>
      </c>
      <c r="X230" s="214">
        <v>0</v>
      </c>
      <c r="Y230" s="214">
        <v>0</v>
      </c>
      <c r="Z230" s="214">
        <v>0</v>
      </c>
      <c r="AA230" s="214">
        <v>0</v>
      </c>
      <c r="AB230" s="214">
        <v>0</v>
      </c>
      <c r="AC230" s="214">
        <v>0</v>
      </c>
      <c r="AD230" s="214"/>
      <c r="AE230" s="420">
        <v>0</v>
      </c>
      <c r="AF230" s="420">
        <v>0</v>
      </c>
      <c r="AG230" s="420">
        <v>0</v>
      </c>
      <c r="AH230" s="420"/>
      <c r="AI230" s="574">
        <f t="shared" si="5"/>
        <v>0</v>
      </c>
      <c r="AJ230" s="212"/>
    </row>
    <row r="231" spans="2:36" ht="14.4">
      <c r="B231" s="211"/>
      <c r="C231" s="213" t="s">
        <v>180</v>
      </c>
      <c r="D231" s="214">
        <v>0</v>
      </c>
      <c r="E231" s="214">
        <v>0</v>
      </c>
      <c r="F231" s="214">
        <v>0</v>
      </c>
      <c r="G231" s="214">
        <v>0</v>
      </c>
      <c r="H231" s="214">
        <v>0</v>
      </c>
      <c r="I231" s="214">
        <v>0</v>
      </c>
      <c r="J231" s="214">
        <v>0</v>
      </c>
      <c r="K231" s="214">
        <v>0</v>
      </c>
      <c r="L231" s="214">
        <v>0</v>
      </c>
      <c r="M231" s="214">
        <v>0</v>
      </c>
      <c r="N231" s="214">
        <v>0</v>
      </c>
      <c r="O231" s="214">
        <v>0</v>
      </c>
      <c r="P231" s="214">
        <v>0</v>
      </c>
      <c r="Q231" s="214">
        <v>0</v>
      </c>
      <c r="R231" s="214">
        <v>0</v>
      </c>
      <c r="S231" s="214">
        <v>0</v>
      </c>
      <c r="T231" s="214">
        <v>0</v>
      </c>
      <c r="U231" s="214">
        <v>0</v>
      </c>
      <c r="V231" s="214">
        <v>0</v>
      </c>
      <c r="W231" s="214">
        <v>0</v>
      </c>
      <c r="X231" s="214">
        <v>0</v>
      </c>
      <c r="Y231" s="214">
        <v>0</v>
      </c>
      <c r="Z231" s="214">
        <v>0</v>
      </c>
      <c r="AA231" s="214">
        <v>0</v>
      </c>
      <c r="AB231" s="214">
        <v>0</v>
      </c>
      <c r="AC231" s="214">
        <v>0</v>
      </c>
      <c r="AD231" s="214"/>
      <c r="AE231" s="420">
        <v>0</v>
      </c>
      <c r="AF231" s="420">
        <v>0</v>
      </c>
      <c r="AG231" s="420">
        <v>0</v>
      </c>
      <c r="AH231" s="420"/>
      <c r="AI231" s="574">
        <f t="shared" si="5"/>
        <v>0</v>
      </c>
      <c r="AJ231" s="212"/>
    </row>
    <row r="232" spans="2:36" ht="14.4">
      <c r="B232" s="211"/>
      <c r="C232" s="213" t="s">
        <v>183</v>
      </c>
      <c r="D232" s="214">
        <v>0</v>
      </c>
      <c r="E232" s="214">
        <v>10154</v>
      </c>
      <c r="F232" s="214">
        <v>1622</v>
      </c>
      <c r="G232" s="214">
        <v>3520</v>
      </c>
      <c r="H232" s="214">
        <v>1940</v>
      </c>
      <c r="I232" s="214">
        <v>0</v>
      </c>
      <c r="J232" s="214">
        <v>0</v>
      </c>
      <c r="K232" s="214">
        <v>0</v>
      </c>
      <c r="L232" s="214">
        <v>0</v>
      </c>
      <c r="M232" s="214">
        <v>187</v>
      </c>
      <c r="N232" s="214">
        <v>0</v>
      </c>
      <c r="O232" s="214">
        <v>146</v>
      </c>
      <c r="P232" s="214">
        <v>0</v>
      </c>
      <c r="Q232" s="214">
        <v>7418</v>
      </c>
      <c r="R232" s="214">
        <v>0</v>
      </c>
      <c r="S232" s="214">
        <v>3653</v>
      </c>
      <c r="T232" s="214">
        <v>0</v>
      </c>
      <c r="U232" s="214">
        <v>0</v>
      </c>
      <c r="V232" s="214">
        <v>0</v>
      </c>
      <c r="W232" s="214">
        <v>0</v>
      </c>
      <c r="X232" s="214">
        <v>0</v>
      </c>
      <c r="Y232" s="214">
        <v>0</v>
      </c>
      <c r="Z232" s="214">
        <v>0</v>
      </c>
      <c r="AA232" s="214">
        <v>0</v>
      </c>
      <c r="AB232" s="214">
        <v>0</v>
      </c>
      <c r="AC232" s="214">
        <v>0</v>
      </c>
      <c r="AD232" s="214"/>
      <c r="AE232" s="420">
        <v>0</v>
      </c>
      <c r="AF232" s="420">
        <v>0</v>
      </c>
      <c r="AG232" s="420">
        <v>0</v>
      </c>
      <c r="AH232" s="420"/>
      <c r="AI232" s="574">
        <f t="shared" si="5"/>
        <v>28640</v>
      </c>
      <c r="AJ232" s="212"/>
    </row>
    <row r="233" spans="2:36" ht="14.4">
      <c r="B233" s="211"/>
      <c r="C233" s="213" t="s">
        <v>195</v>
      </c>
      <c r="D233" s="214">
        <v>17814</v>
      </c>
      <c r="E233" s="214">
        <v>0</v>
      </c>
      <c r="F233" s="214">
        <v>0</v>
      </c>
      <c r="G233" s="214">
        <v>0</v>
      </c>
      <c r="H233" s="214">
        <v>0</v>
      </c>
      <c r="I233" s="214">
        <v>0</v>
      </c>
      <c r="J233" s="214">
        <v>0</v>
      </c>
      <c r="K233" s="214">
        <v>0</v>
      </c>
      <c r="L233" s="214">
        <v>0</v>
      </c>
      <c r="M233" s="214">
        <v>0</v>
      </c>
      <c r="N233" s="214">
        <v>0</v>
      </c>
      <c r="O233" s="214">
        <v>0</v>
      </c>
      <c r="P233" s="214">
        <v>0</v>
      </c>
      <c r="Q233" s="214">
        <v>0</v>
      </c>
      <c r="R233" s="214">
        <v>0</v>
      </c>
      <c r="S233" s="214">
        <v>0</v>
      </c>
      <c r="T233" s="214">
        <v>0</v>
      </c>
      <c r="U233" s="214">
        <v>0</v>
      </c>
      <c r="V233" s="214">
        <v>0</v>
      </c>
      <c r="W233" s="214">
        <v>0</v>
      </c>
      <c r="X233" s="214">
        <v>0</v>
      </c>
      <c r="Y233" s="214">
        <v>0</v>
      </c>
      <c r="Z233" s="214">
        <v>0</v>
      </c>
      <c r="AA233" s="214">
        <v>0</v>
      </c>
      <c r="AB233" s="214">
        <v>0</v>
      </c>
      <c r="AC233" s="214">
        <v>0</v>
      </c>
      <c r="AD233" s="214"/>
      <c r="AE233" s="420">
        <v>0</v>
      </c>
      <c r="AF233" s="420">
        <v>0</v>
      </c>
      <c r="AG233" s="420">
        <v>0</v>
      </c>
      <c r="AH233" s="420"/>
      <c r="AI233" s="574">
        <f t="shared" si="5"/>
        <v>17814</v>
      </c>
      <c r="AJ233" s="212"/>
    </row>
    <row r="234" spans="2:36" ht="14.4">
      <c r="B234" s="211"/>
      <c r="C234" s="213" t="s">
        <v>189</v>
      </c>
      <c r="D234" s="214">
        <v>16217.28</v>
      </c>
      <c r="E234" s="214">
        <v>0</v>
      </c>
      <c r="F234" s="214">
        <v>0</v>
      </c>
      <c r="G234" s="214">
        <v>0</v>
      </c>
      <c r="H234" s="214">
        <v>0</v>
      </c>
      <c r="I234" s="214">
        <v>0</v>
      </c>
      <c r="J234" s="214">
        <v>0</v>
      </c>
      <c r="K234" s="214">
        <v>0</v>
      </c>
      <c r="L234" s="214">
        <v>0</v>
      </c>
      <c r="M234" s="214">
        <v>0</v>
      </c>
      <c r="N234" s="214">
        <v>0</v>
      </c>
      <c r="O234" s="214">
        <v>0</v>
      </c>
      <c r="P234" s="214">
        <v>0</v>
      </c>
      <c r="Q234" s="214">
        <v>0</v>
      </c>
      <c r="R234" s="214">
        <v>0</v>
      </c>
      <c r="S234" s="214">
        <v>0</v>
      </c>
      <c r="T234" s="214">
        <v>0</v>
      </c>
      <c r="U234" s="214">
        <v>0</v>
      </c>
      <c r="V234" s="214">
        <v>0</v>
      </c>
      <c r="W234" s="214">
        <v>0</v>
      </c>
      <c r="X234" s="214">
        <v>0</v>
      </c>
      <c r="Y234" s="214">
        <v>0</v>
      </c>
      <c r="Z234" s="214">
        <v>0</v>
      </c>
      <c r="AA234" s="214">
        <v>0</v>
      </c>
      <c r="AB234" s="214">
        <v>0</v>
      </c>
      <c r="AC234" s="214">
        <v>0</v>
      </c>
      <c r="AD234" s="214"/>
      <c r="AE234" s="420">
        <v>0</v>
      </c>
      <c r="AF234" s="420">
        <v>0</v>
      </c>
      <c r="AG234" s="420">
        <v>0</v>
      </c>
      <c r="AH234" s="420"/>
      <c r="AI234" s="574">
        <f t="shared" si="5"/>
        <v>16217.28</v>
      </c>
      <c r="AJ234" s="212"/>
    </row>
    <row r="235" spans="2:36" ht="14.4">
      <c r="B235" s="211"/>
      <c r="C235" s="213" t="s">
        <v>188</v>
      </c>
      <c r="D235" s="214">
        <v>32715.46</v>
      </c>
      <c r="E235" s="214">
        <v>0</v>
      </c>
      <c r="F235" s="214">
        <v>0</v>
      </c>
      <c r="G235" s="214">
        <v>0</v>
      </c>
      <c r="H235" s="214">
        <v>0</v>
      </c>
      <c r="I235" s="214">
        <v>0</v>
      </c>
      <c r="J235" s="214">
        <v>0</v>
      </c>
      <c r="K235" s="214">
        <v>0</v>
      </c>
      <c r="L235" s="214">
        <v>0</v>
      </c>
      <c r="M235" s="214">
        <v>0</v>
      </c>
      <c r="N235" s="214">
        <v>0</v>
      </c>
      <c r="O235" s="214">
        <v>0</v>
      </c>
      <c r="P235" s="214">
        <v>0</v>
      </c>
      <c r="Q235" s="214">
        <v>0</v>
      </c>
      <c r="R235" s="214">
        <v>0</v>
      </c>
      <c r="S235" s="214">
        <v>0</v>
      </c>
      <c r="T235" s="214">
        <v>0</v>
      </c>
      <c r="U235" s="214">
        <v>0</v>
      </c>
      <c r="V235" s="214">
        <v>0</v>
      </c>
      <c r="W235" s="214">
        <v>0</v>
      </c>
      <c r="X235" s="214">
        <v>0</v>
      </c>
      <c r="Y235" s="214">
        <v>0</v>
      </c>
      <c r="Z235" s="214">
        <v>0</v>
      </c>
      <c r="AA235" s="214">
        <v>0</v>
      </c>
      <c r="AB235" s="214">
        <v>0</v>
      </c>
      <c r="AC235" s="214">
        <v>0</v>
      </c>
      <c r="AD235" s="214"/>
      <c r="AE235" s="420">
        <v>0</v>
      </c>
      <c r="AF235" s="420">
        <v>0</v>
      </c>
      <c r="AG235" s="420">
        <v>0</v>
      </c>
      <c r="AH235" s="420"/>
      <c r="AI235" s="574">
        <f t="shared" si="5"/>
        <v>32715.46</v>
      </c>
      <c r="AJ235" s="212"/>
    </row>
    <row r="236" spans="2:36" ht="14.4">
      <c r="B236" s="211"/>
      <c r="C236" s="213" t="s">
        <v>196</v>
      </c>
      <c r="D236" s="214">
        <v>57468.78</v>
      </c>
      <c r="E236" s="214">
        <v>0</v>
      </c>
      <c r="F236" s="214">
        <v>0</v>
      </c>
      <c r="G236" s="214">
        <v>0</v>
      </c>
      <c r="H236" s="214">
        <v>0</v>
      </c>
      <c r="I236" s="214">
        <v>0</v>
      </c>
      <c r="J236" s="214">
        <v>0</v>
      </c>
      <c r="K236" s="214">
        <v>0</v>
      </c>
      <c r="L236" s="214">
        <v>0</v>
      </c>
      <c r="M236" s="214">
        <v>0</v>
      </c>
      <c r="N236" s="214">
        <v>0</v>
      </c>
      <c r="O236" s="214">
        <v>0</v>
      </c>
      <c r="P236" s="214">
        <v>0</v>
      </c>
      <c r="Q236" s="214">
        <v>0</v>
      </c>
      <c r="R236" s="214">
        <v>0</v>
      </c>
      <c r="S236" s="214">
        <v>0</v>
      </c>
      <c r="T236" s="214">
        <v>0</v>
      </c>
      <c r="U236" s="214">
        <v>0</v>
      </c>
      <c r="V236" s="214">
        <v>0</v>
      </c>
      <c r="W236" s="214">
        <v>0</v>
      </c>
      <c r="X236" s="214">
        <v>0</v>
      </c>
      <c r="Y236" s="214">
        <v>0</v>
      </c>
      <c r="Z236" s="214">
        <v>0</v>
      </c>
      <c r="AA236" s="214">
        <v>0</v>
      </c>
      <c r="AB236" s="214">
        <v>0</v>
      </c>
      <c r="AC236" s="214">
        <v>0</v>
      </c>
      <c r="AD236" s="214"/>
      <c r="AE236" s="420">
        <v>0</v>
      </c>
      <c r="AF236" s="420">
        <v>0</v>
      </c>
      <c r="AG236" s="420">
        <v>0</v>
      </c>
      <c r="AH236" s="420"/>
      <c r="AI236" s="574">
        <f t="shared" si="5"/>
        <v>57468.78</v>
      </c>
      <c r="AJ236" s="212"/>
    </row>
    <row r="237" spans="2:36" ht="14.4">
      <c r="B237" s="211"/>
      <c r="C237" s="213" t="s">
        <v>197</v>
      </c>
      <c r="D237" s="214">
        <v>88117.95</v>
      </c>
      <c r="E237" s="214">
        <v>0</v>
      </c>
      <c r="F237" s="214">
        <v>0</v>
      </c>
      <c r="G237" s="214">
        <v>0</v>
      </c>
      <c r="H237" s="214">
        <v>0</v>
      </c>
      <c r="I237" s="214">
        <v>0</v>
      </c>
      <c r="J237" s="214">
        <v>0</v>
      </c>
      <c r="K237" s="214">
        <v>0</v>
      </c>
      <c r="L237" s="214">
        <v>0</v>
      </c>
      <c r="M237" s="214">
        <v>0</v>
      </c>
      <c r="N237" s="214">
        <v>0</v>
      </c>
      <c r="O237" s="214">
        <v>0</v>
      </c>
      <c r="P237" s="214">
        <v>0</v>
      </c>
      <c r="Q237" s="214">
        <v>0</v>
      </c>
      <c r="R237" s="214">
        <v>0</v>
      </c>
      <c r="S237" s="214">
        <v>0</v>
      </c>
      <c r="T237" s="214">
        <v>0</v>
      </c>
      <c r="U237" s="214">
        <v>0</v>
      </c>
      <c r="V237" s="214">
        <v>0</v>
      </c>
      <c r="W237" s="214">
        <v>0</v>
      </c>
      <c r="X237" s="214">
        <v>0</v>
      </c>
      <c r="Y237" s="214">
        <v>0</v>
      </c>
      <c r="Z237" s="214">
        <v>0</v>
      </c>
      <c r="AA237" s="214">
        <v>0</v>
      </c>
      <c r="AB237" s="214">
        <v>0</v>
      </c>
      <c r="AC237" s="214">
        <v>0</v>
      </c>
      <c r="AD237" s="214"/>
      <c r="AE237" s="420">
        <v>0</v>
      </c>
      <c r="AF237" s="420">
        <v>0</v>
      </c>
      <c r="AG237" s="420">
        <v>0</v>
      </c>
      <c r="AH237" s="420"/>
      <c r="AI237" s="574">
        <f t="shared" si="5"/>
        <v>88117.95</v>
      </c>
      <c r="AJ237" s="212"/>
    </row>
    <row r="238" spans="2:36" ht="14.4">
      <c r="B238" s="211"/>
      <c r="C238" s="213" t="s">
        <v>198</v>
      </c>
      <c r="D238" s="214">
        <v>45418.64</v>
      </c>
      <c r="E238" s="214">
        <v>0</v>
      </c>
      <c r="F238" s="214">
        <v>0</v>
      </c>
      <c r="G238" s="214">
        <v>0</v>
      </c>
      <c r="H238" s="214">
        <v>0</v>
      </c>
      <c r="I238" s="214">
        <v>0</v>
      </c>
      <c r="J238" s="214">
        <v>0</v>
      </c>
      <c r="K238" s="214">
        <v>0</v>
      </c>
      <c r="L238" s="214">
        <v>0</v>
      </c>
      <c r="M238" s="214">
        <v>0</v>
      </c>
      <c r="N238" s="214">
        <v>0</v>
      </c>
      <c r="O238" s="214">
        <v>0</v>
      </c>
      <c r="P238" s="214">
        <v>0</v>
      </c>
      <c r="Q238" s="214">
        <v>0</v>
      </c>
      <c r="R238" s="214">
        <v>0</v>
      </c>
      <c r="S238" s="214">
        <v>0</v>
      </c>
      <c r="T238" s="214">
        <v>0</v>
      </c>
      <c r="U238" s="214">
        <v>0</v>
      </c>
      <c r="V238" s="214">
        <v>0</v>
      </c>
      <c r="W238" s="214">
        <v>0</v>
      </c>
      <c r="X238" s="214">
        <v>0</v>
      </c>
      <c r="Y238" s="214">
        <v>0</v>
      </c>
      <c r="Z238" s="214">
        <v>0</v>
      </c>
      <c r="AA238" s="214">
        <v>0</v>
      </c>
      <c r="AB238" s="214">
        <v>0</v>
      </c>
      <c r="AC238" s="214">
        <v>0</v>
      </c>
      <c r="AD238" s="214"/>
      <c r="AE238" s="420">
        <v>0</v>
      </c>
      <c r="AF238" s="420">
        <v>0</v>
      </c>
      <c r="AG238" s="420">
        <v>0</v>
      </c>
      <c r="AH238" s="420"/>
      <c r="AI238" s="574">
        <f t="shared" si="5"/>
        <v>45418.64</v>
      </c>
      <c r="AJ238" s="212"/>
    </row>
    <row r="239" spans="2:36" ht="14.4">
      <c r="B239" s="211"/>
      <c r="C239" s="213" t="s">
        <v>201</v>
      </c>
      <c r="D239" s="214">
        <v>20328.900000000001</v>
      </c>
      <c r="E239" s="214">
        <v>0</v>
      </c>
      <c r="F239" s="214">
        <v>0</v>
      </c>
      <c r="G239" s="214">
        <v>0</v>
      </c>
      <c r="H239" s="214">
        <v>0</v>
      </c>
      <c r="I239" s="214">
        <v>0</v>
      </c>
      <c r="J239" s="214">
        <v>0</v>
      </c>
      <c r="K239" s="214">
        <v>0</v>
      </c>
      <c r="L239" s="214">
        <v>0</v>
      </c>
      <c r="M239" s="214">
        <v>0</v>
      </c>
      <c r="N239" s="214">
        <v>0</v>
      </c>
      <c r="O239" s="214">
        <v>0</v>
      </c>
      <c r="P239" s="214">
        <v>0</v>
      </c>
      <c r="Q239" s="214">
        <v>0</v>
      </c>
      <c r="R239" s="214">
        <v>0</v>
      </c>
      <c r="S239" s="214">
        <v>0</v>
      </c>
      <c r="T239" s="214">
        <v>0</v>
      </c>
      <c r="U239" s="214">
        <v>0</v>
      </c>
      <c r="V239" s="214">
        <v>0</v>
      </c>
      <c r="W239" s="214">
        <v>0</v>
      </c>
      <c r="X239" s="214">
        <v>0</v>
      </c>
      <c r="Y239" s="214">
        <v>0</v>
      </c>
      <c r="Z239" s="214">
        <v>0</v>
      </c>
      <c r="AA239" s="214">
        <v>0</v>
      </c>
      <c r="AB239" s="214">
        <v>0</v>
      </c>
      <c r="AC239" s="214">
        <v>0</v>
      </c>
      <c r="AD239" s="214"/>
      <c r="AE239" s="420">
        <v>0</v>
      </c>
      <c r="AF239" s="420">
        <v>0</v>
      </c>
      <c r="AG239" s="420">
        <v>0</v>
      </c>
      <c r="AH239" s="420"/>
      <c r="AI239" s="574">
        <f t="shared" si="5"/>
        <v>20328.900000000001</v>
      </c>
      <c r="AJ239" s="212"/>
    </row>
    <row r="240" spans="2:36" ht="14.4">
      <c r="B240" s="211"/>
      <c r="C240" s="213" t="s">
        <v>202</v>
      </c>
      <c r="D240" s="214">
        <v>31885.69</v>
      </c>
      <c r="E240" s="214">
        <v>0</v>
      </c>
      <c r="F240" s="214">
        <v>0</v>
      </c>
      <c r="G240" s="214">
        <v>0</v>
      </c>
      <c r="H240" s="214">
        <v>0</v>
      </c>
      <c r="I240" s="214">
        <v>0</v>
      </c>
      <c r="J240" s="214">
        <v>0</v>
      </c>
      <c r="K240" s="214">
        <v>0</v>
      </c>
      <c r="L240" s="214">
        <v>0</v>
      </c>
      <c r="M240" s="214">
        <v>0</v>
      </c>
      <c r="N240" s="214">
        <v>0</v>
      </c>
      <c r="O240" s="214">
        <v>0</v>
      </c>
      <c r="P240" s="214">
        <v>0</v>
      </c>
      <c r="Q240" s="214">
        <v>0</v>
      </c>
      <c r="R240" s="214">
        <v>0</v>
      </c>
      <c r="S240" s="214">
        <v>0</v>
      </c>
      <c r="T240" s="214">
        <v>0</v>
      </c>
      <c r="U240" s="214">
        <v>0</v>
      </c>
      <c r="V240" s="214">
        <v>0</v>
      </c>
      <c r="W240" s="214">
        <v>0</v>
      </c>
      <c r="X240" s="214">
        <v>0</v>
      </c>
      <c r="Y240" s="214">
        <v>0</v>
      </c>
      <c r="Z240" s="214">
        <v>0</v>
      </c>
      <c r="AA240" s="214">
        <v>0</v>
      </c>
      <c r="AB240" s="214">
        <v>0</v>
      </c>
      <c r="AC240" s="214">
        <v>0</v>
      </c>
      <c r="AD240" s="214"/>
      <c r="AE240" s="420">
        <v>0</v>
      </c>
      <c r="AF240" s="420">
        <v>0</v>
      </c>
      <c r="AG240" s="420">
        <v>0</v>
      </c>
      <c r="AH240" s="420"/>
      <c r="AI240" s="574">
        <f t="shared" si="5"/>
        <v>31885.69</v>
      </c>
      <c r="AJ240" s="212"/>
    </row>
    <row r="241" spans="1:37" ht="14.4">
      <c r="B241" s="211"/>
      <c r="C241" s="213" t="s">
        <v>206</v>
      </c>
      <c r="D241" s="214">
        <v>20793.88</v>
      </c>
      <c r="E241" s="214">
        <v>0</v>
      </c>
      <c r="F241" s="214">
        <v>0</v>
      </c>
      <c r="G241" s="214">
        <v>0</v>
      </c>
      <c r="H241" s="214">
        <v>0</v>
      </c>
      <c r="I241" s="214">
        <v>0</v>
      </c>
      <c r="J241" s="214">
        <v>0</v>
      </c>
      <c r="K241" s="214">
        <v>0</v>
      </c>
      <c r="L241" s="214">
        <v>0</v>
      </c>
      <c r="M241" s="214">
        <v>0</v>
      </c>
      <c r="N241" s="214">
        <v>0</v>
      </c>
      <c r="O241" s="214">
        <v>0</v>
      </c>
      <c r="P241" s="214">
        <v>0</v>
      </c>
      <c r="Q241" s="214">
        <v>0</v>
      </c>
      <c r="R241" s="214">
        <v>0</v>
      </c>
      <c r="S241" s="214">
        <v>0</v>
      </c>
      <c r="T241" s="214">
        <v>0</v>
      </c>
      <c r="U241" s="214">
        <v>0</v>
      </c>
      <c r="V241" s="214">
        <v>0</v>
      </c>
      <c r="W241" s="214">
        <v>0</v>
      </c>
      <c r="X241" s="214">
        <v>0</v>
      </c>
      <c r="Y241" s="214">
        <v>0</v>
      </c>
      <c r="Z241" s="214">
        <v>0</v>
      </c>
      <c r="AA241" s="214">
        <v>0</v>
      </c>
      <c r="AB241" s="214">
        <v>0</v>
      </c>
      <c r="AC241" s="214">
        <v>0</v>
      </c>
      <c r="AD241" s="214"/>
      <c r="AE241" s="420">
        <v>0</v>
      </c>
      <c r="AF241" s="420">
        <v>0</v>
      </c>
      <c r="AG241" s="420">
        <v>0</v>
      </c>
      <c r="AH241" s="420"/>
      <c r="AI241" s="574">
        <f t="shared" si="5"/>
        <v>20793.88</v>
      </c>
      <c r="AJ241" s="212"/>
    </row>
    <row r="242" spans="1:37" ht="14.4">
      <c r="B242" s="211"/>
      <c r="C242" s="213" t="s">
        <v>207</v>
      </c>
      <c r="D242" s="214">
        <v>10537.5</v>
      </c>
      <c r="E242" s="214">
        <v>3018.75</v>
      </c>
      <c r="F242" s="214">
        <v>3450</v>
      </c>
      <c r="G242" s="214">
        <v>3975</v>
      </c>
      <c r="H242" s="214">
        <v>431.25</v>
      </c>
      <c r="I242" s="214">
        <v>1293.75</v>
      </c>
      <c r="J242" s="214"/>
      <c r="K242" s="214"/>
      <c r="L242" s="214">
        <v>862.5</v>
      </c>
      <c r="M242" s="214">
        <v>1293.75</v>
      </c>
      <c r="N242" s="214">
        <v>431.25</v>
      </c>
      <c r="O242" s="214"/>
      <c r="P242" s="214">
        <v>431.25</v>
      </c>
      <c r="Q242" s="214">
        <v>431.25</v>
      </c>
      <c r="R242" s="214">
        <v>1387.5</v>
      </c>
      <c r="S242" s="214">
        <v>862.5</v>
      </c>
      <c r="T242" s="214"/>
      <c r="U242" s="214"/>
      <c r="V242" s="214"/>
      <c r="W242" s="214"/>
      <c r="X242" s="214">
        <v>431.25</v>
      </c>
      <c r="Y242" s="214">
        <v>431.25</v>
      </c>
      <c r="Z242" s="214"/>
      <c r="AA242" s="214">
        <v>431.25</v>
      </c>
      <c r="AB242" s="214"/>
      <c r="AC242" s="214">
        <v>431.25</v>
      </c>
      <c r="AD242" s="214"/>
      <c r="AE242" s="420">
        <v>431.25</v>
      </c>
      <c r="AF242" s="420"/>
      <c r="AG242" s="420"/>
      <c r="AH242" s="420"/>
      <c r="AI242" s="574">
        <f t="shared" si="5"/>
        <v>30562.5</v>
      </c>
      <c r="AJ242" s="212"/>
    </row>
    <row r="243" spans="1:37" ht="14.4">
      <c r="B243" s="211"/>
      <c r="C243" s="213" t="s">
        <v>208</v>
      </c>
      <c r="D243" s="214">
        <v>22944.91</v>
      </c>
      <c r="E243" s="214">
        <v>0</v>
      </c>
      <c r="F243" s="214">
        <v>0</v>
      </c>
      <c r="G243" s="214">
        <v>0</v>
      </c>
      <c r="H243" s="214">
        <v>0</v>
      </c>
      <c r="I243" s="214">
        <v>0</v>
      </c>
      <c r="J243" s="214">
        <v>0</v>
      </c>
      <c r="K243" s="214">
        <v>0</v>
      </c>
      <c r="L243" s="214">
        <v>0</v>
      </c>
      <c r="M243" s="214">
        <v>0</v>
      </c>
      <c r="N243" s="214">
        <v>0</v>
      </c>
      <c r="O243" s="214">
        <v>0</v>
      </c>
      <c r="P243" s="214">
        <v>0</v>
      </c>
      <c r="Q243" s="214">
        <v>0</v>
      </c>
      <c r="R243" s="214">
        <v>0</v>
      </c>
      <c r="S243" s="214">
        <v>0</v>
      </c>
      <c r="T243" s="214">
        <v>0</v>
      </c>
      <c r="U243" s="214">
        <v>0</v>
      </c>
      <c r="V243" s="214">
        <v>0</v>
      </c>
      <c r="W243" s="214">
        <v>0</v>
      </c>
      <c r="X243" s="214">
        <v>0</v>
      </c>
      <c r="Y243" s="214">
        <v>0</v>
      </c>
      <c r="Z243" s="214">
        <v>0</v>
      </c>
      <c r="AA243" s="214">
        <v>0</v>
      </c>
      <c r="AB243" s="214">
        <v>0</v>
      </c>
      <c r="AC243" s="214">
        <v>0</v>
      </c>
      <c r="AD243" s="214"/>
      <c r="AE243" s="420">
        <v>0</v>
      </c>
      <c r="AF243" s="420">
        <v>0</v>
      </c>
      <c r="AG243" s="420">
        <v>0</v>
      </c>
      <c r="AH243" s="420"/>
      <c r="AI243" s="574">
        <f t="shared" si="5"/>
        <v>22944.91</v>
      </c>
      <c r="AJ243" s="212"/>
    </row>
    <row r="244" spans="1:37" ht="14.4">
      <c r="B244" s="211"/>
      <c r="C244" s="240" t="s">
        <v>236</v>
      </c>
      <c r="D244" s="214">
        <v>24094.78</v>
      </c>
      <c r="E244" s="214">
        <v>0</v>
      </c>
      <c r="F244" s="214">
        <v>0</v>
      </c>
      <c r="G244" s="214">
        <v>0</v>
      </c>
      <c r="H244" s="214">
        <v>0</v>
      </c>
      <c r="I244" s="214">
        <v>0</v>
      </c>
      <c r="J244" s="214">
        <v>0</v>
      </c>
      <c r="K244" s="214">
        <v>0</v>
      </c>
      <c r="L244" s="214">
        <v>0</v>
      </c>
      <c r="M244" s="214">
        <v>0</v>
      </c>
      <c r="N244" s="214">
        <v>0</v>
      </c>
      <c r="O244" s="214">
        <v>0</v>
      </c>
      <c r="P244" s="214">
        <v>0</v>
      </c>
      <c r="Q244" s="214">
        <v>0</v>
      </c>
      <c r="R244" s="214">
        <v>0</v>
      </c>
      <c r="S244" s="214">
        <v>0</v>
      </c>
      <c r="T244" s="214">
        <v>0</v>
      </c>
      <c r="U244" s="214">
        <v>0</v>
      </c>
      <c r="V244" s="214">
        <v>0</v>
      </c>
      <c r="W244" s="214">
        <v>0</v>
      </c>
      <c r="X244" s="214">
        <v>0</v>
      </c>
      <c r="Y244" s="214">
        <v>0</v>
      </c>
      <c r="Z244" s="214">
        <v>0</v>
      </c>
      <c r="AA244" s="214">
        <v>0</v>
      </c>
      <c r="AB244" s="214">
        <v>0</v>
      </c>
      <c r="AC244" s="214">
        <v>0</v>
      </c>
      <c r="AD244" s="214"/>
      <c r="AE244" s="420">
        <v>0</v>
      </c>
      <c r="AF244" s="420">
        <v>0</v>
      </c>
      <c r="AG244" s="420">
        <v>0</v>
      </c>
      <c r="AH244" s="420"/>
      <c r="AI244" s="574">
        <f t="shared" si="5"/>
        <v>24094.78</v>
      </c>
      <c r="AJ244" s="212"/>
    </row>
    <row r="245" spans="1:37" ht="14.4">
      <c r="B245" s="211"/>
      <c r="C245" s="240" t="s">
        <v>209</v>
      </c>
      <c r="D245" s="214">
        <v>28000</v>
      </c>
      <c r="E245" s="214">
        <v>0</v>
      </c>
      <c r="F245" s="214">
        <v>0</v>
      </c>
      <c r="G245" s="214">
        <v>0</v>
      </c>
      <c r="H245" s="214">
        <v>0</v>
      </c>
      <c r="I245" s="214">
        <v>0</v>
      </c>
      <c r="J245" s="214">
        <v>0</v>
      </c>
      <c r="K245" s="214">
        <v>0</v>
      </c>
      <c r="L245" s="214">
        <v>0</v>
      </c>
      <c r="M245" s="214">
        <v>0</v>
      </c>
      <c r="N245" s="214">
        <v>0</v>
      </c>
      <c r="O245" s="214">
        <v>0</v>
      </c>
      <c r="P245" s="214">
        <v>0</v>
      </c>
      <c r="Q245" s="214">
        <v>0</v>
      </c>
      <c r="R245" s="214">
        <v>0</v>
      </c>
      <c r="S245" s="214">
        <v>0</v>
      </c>
      <c r="T245" s="214">
        <v>0</v>
      </c>
      <c r="U245" s="214">
        <v>0</v>
      </c>
      <c r="V245" s="214">
        <v>0</v>
      </c>
      <c r="W245" s="214">
        <v>0</v>
      </c>
      <c r="X245" s="214">
        <v>0</v>
      </c>
      <c r="Y245" s="214">
        <v>0</v>
      </c>
      <c r="Z245" s="214">
        <v>0</v>
      </c>
      <c r="AA245" s="214">
        <v>0</v>
      </c>
      <c r="AB245" s="214">
        <v>0</v>
      </c>
      <c r="AC245" s="214">
        <v>0</v>
      </c>
      <c r="AD245" s="241"/>
      <c r="AE245" s="420">
        <v>0</v>
      </c>
      <c r="AF245" s="420">
        <v>0</v>
      </c>
      <c r="AG245" s="420">
        <v>0</v>
      </c>
      <c r="AH245" s="420"/>
      <c r="AI245" s="574">
        <f>SUM(D245:AH245)</f>
        <v>28000</v>
      </c>
      <c r="AJ245" s="212"/>
    </row>
    <row r="246" spans="1:37" ht="14.4">
      <c r="B246" s="211"/>
      <c r="C246" s="240" t="s">
        <v>360</v>
      </c>
      <c r="D246" s="214">
        <v>0</v>
      </c>
      <c r="E246" s="214">
        <f>24815.91+202482.92</f>
        <v>227298.83000000002</v>
      </c>
      <c r="F246" s="214">
        <f>17834+111820.15</f>
        <v>129654.15</v>
      </c>
      <c r="G246" s="214">
        <v>0</v>
      </c>
      <c r="H246" s="214">
        <f>16109+236136.03</f>
        <v>252245.03</v>
      </c>
      <c r="I246" s="214">
        <v>0</v>
      </c>
      <c r="J246" s="214">
        <v>0</v>
      </c>
      <c r="K246" s="214">
        <v>0</v>
      </c>
      <c r="L246" s="214">
        <v>0</v>
      </c>
      <c r="M246" s="214">
        <f>8359+13910.33</f>
        <v>22269.33</v>
      </c>
      <c r="N246" s="214">
        <v>100.74</v>
      </c>
      <c r="O246" s="214">
        <f>7199.5+156967.99</f>
        <v>164167.49</v>
      </c>
      <c r="P246" s="214">
        <f>12989+63470.86</f>
        <v>76459.86</v>
      </c>
      <c r="Q246" s="214">
        <f>5090.07+133929.55</f>
        <v>139019.62</v>
      </c>
      <c r="R246" s="214">
        <v>36.020000000000003</v>
      </c>
      <c r="S246" s="214">
        <f>15269+54409.25</f>
        <v>69678.25</v>
      </c>
      <c r="T246" s="214">
        <v>0</v>
      </c>
      <c r="U246" s="214">
        <v>0</v>
      </c>
      <c r="V246" s="214">
        <v>0</v>
      </c>
      <c r="W246" s="214">
        <v>0</v>
      </c>
      <c r="X246" s="214">
        <v>0</v>
      </c>
      <c r="Y246" s="214">
        <v>0</v>
      </c>
      <c r="Z246" s="214">
        <v>0</v>
      </c>
      <c r="AA246" s="214">
        <v>0</v>
      </c>
      <c r="AB246" s="214">
        <v>0</v>
      </c>
      <c r="AC246" s="214">
        <v>0</v>
      </c>
      <c r="AD246" s="241"/>
      <c r="AE246" s="420">
        <f>9847.78+152833.76</f>
        <v>162681.54</v>
      </c>
      <c r="AF246" s="420">
        <v>0</v>
      </c>
      <c r="AG246" s="420">
        <v>0</v>
      </c>
      <c r="AH246" s="420"/>
      <c r="AI246" s="574">
        <f>SUM(D246:AH246)</f>
        <v>1243610.8599999999</v>
      </c>
      <c r="AJ246" s="212"/>
      <c r="AK246" s="456"/>
    </row>
    <row r="247" spans="1:37" ht="14.4">
      <c r="B247" s="211"/>
      <c r="C247" s="516" t="s">
        <v>400</v>
      </c>
      <c r="D247" s="241">
        <v>145389.75</v>
      </c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  <c r="AB247" s="241"/>
      <c r="AC247" s="241"/>
      <c r="AD247" s="241"/>
      <c r="AE247" s="420"/>
      <c r="AF247" s="420"/>
      <c r="AG247" s="420"/>
      <c r="AH247" s="420"/>
      <c r="AI247" s="574">
        <f>SUM(D247:AH247)</f>
        <v>145389.75</v>
      </c>
      <c r="AJ247" s="212"/>
      <c r="AK247" s="456"/>
    </row>
    <row r="248" spans="1:37" ht="14.4">
      <c r="B248" s="211"/>
      <c r="C248" s="149" t="s">
        <v>239</v>
      </c>
      <c r="D248" s="224">
        <f>SUM(D135:D247)</f>
        <v>2113613.2999999998</v>
      </c>
      <c r="E248" s="224">
        <f t="shared" ref="E248:AH248" si="6">SUM(E135:E247)</f>
        <v>682847.5199999999</v>
      </c>
      <c r="F248" s="224">
        <f t="shared" si="6"/>
        <v>711587.53999999992</v>
      </c>
      <c r="G248" s="224">
        <f t="shared" si="6"/>
        <v>443477.98999999987</v>
      </c>
      <c r="H248" s="224">
        <f t="shared" si="6"/>
        <v>715488.69</v>
      </c>
      <c r="I248" s="224">
        <f t="shared" si="6"/>
        <v>60400.119999999995</v>
      </c>
      <c r="J248" s="224">
        <f t="shared" si="6"/>
        <v>18256.579999999998</v>
      </c>
      <c r="K248" s="224">
        <f t="shared" si="6"/>
        <v>23819.240000000005</v>
      </c>
      <c r="L248" s="224">
        <f t="shared" si="6"/>
        <v>23322.829999999998</v>
      </c>
      <c r="M248" s="224">
        <f t="shared" si="6"/>
        <v>259484.60000000003</v>
      </c>
      <c r="N248" s="224">
        <f t="shared" si="6"/>
        <v>36893.94999999999</v>
      </c>
      <c r="O248" s="224">
        <f t="shared" si="6"/>
        <v>504929.01999999996</v>
      </c>
      <c r="P248" s="224">
        <f t="shared" si="6"/>
        <v>315798.69</v>
      </c>
      <c r="Q248" s="224">
        <f t="shared" si="6"/>
        <v>714617.02999999968</v>
      </c>
      <c r="R248" s="224">
        <f t="shared" si="6"/>
        <v>66761.440000000002</v>
      </c>
      <c r="S248" s="224">
        <f t="shared" si="6"/>
        <v>304391.83000000007</v>
      </c>
      <c r="T248" s="224">
        <f t="shared" si="6"/>
        <v>17650.11</v>
      </c>
      <c r="U248" s="224">
        <f t="shared" si="6"/>
        <v>22424.28</v>
      </c>
      <c r="V248" s="224">
        <f t="shared" si="6"/>
        <v>25526.090000000004</v>
      </c>
      <c r="W248" s="224">
        <f t="shared" si="6"/>
        <v>9886.8399999999983</v>
      </c>
      <c r="X248" s="224">
        <f t="shared" si="6"/>
        <v>31265.800000000003</v>
      </c>
      <c r="Y248" s="224">
        <f t="shared" si="6"/>
        <v>16778.53</v>
      </c>
      <c r="Z248" s="224">
        <f t="shared" si="6"/>
        <v>12843.55</v>
      </c>
      <c r="AA248" s="224">
        <f t="shared" si="6"/>
        <v>21840.510000000002</v>
      </c>
      <c r="AB248" s="224">
        <f t="shared" si="6"/>
        <v>46827.630000000005</v>
      </c>
      <c r="AC248" s="224">
        <f t="shared" si="6"/>
        <v>25807.400000000005</v>
      </c>
      <c r="AD248" s="224">
        <f t="shared" si="6"/>
        <v>0</v>
      </c>
      <c r="AE248" s="224">
        <f t="shared" si="6"/>
        <v>536175.47</v>
      </c>
      <c r="AF248" s="224">
        <f t="shared" si="6"/>
        <v>21512</v>
      </c>
      <c r="AG248" s="224">
        <f t="shared" si="6"/>
        <v>30612.43</v>
      </c>
      <c r="AH248" s="224">
        <f t="shared" si="6"/>
        <v>0</v>
      </c>
      <c r="AI248" s="575">
        <f>SUM(AI135:AI247)</f>
        <v>7814841.0100000016</v>
      </c>
      <c r="AJ248" s="212"/>
    </row>
    <row r="249" spans="1:37" ht="14.4">
      <c r="B249" s="218"/>
      <c r="C249" s="219"/>
      <c r="D249" s="498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I249" s="576"/>
      <c r="AJ249" s="212"/>
    </row>
    <row r="250" spans="1:37" ht="14.4">
      <c r="B250" s="209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  <c r="AA250" s="202"/>
      <c r="AB250" s="202"/>
      <c r="AC250" s="202"/>
      <c r="AD250" s="202"/>
      <c r="AE250" s="202"/>
      <c r="AF250" s="202"/>
      <c r="AG250" s="202"/>
      <c r="AH250" s="202"/>
      <c r="AI250" s="577"/>
      <c r="AJ250" s="209"/>
    </row>
    <row r="251" spans="1:37" ht="14.4">
      <c r="B251" s="220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578"/>
      <c r="AJ251" s="222"/>
    </row>
    <row r="255" spans="1:37">
      <c r="A255" s="202"/>
    </row>
    <row r="256" spans="1:37" ht="21">
      <c r="A256" s="203"/>
      <c r="B256" s="204"/>
      <c r="C256" s="116" t="s">
        <v>272</v>
      </c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570"/>
      <c r="AJ256" s="117"/>
    </row>
    <row r="257" spans="1:36" ht="21">
      <c r="A257" s="206"/>
      <c r="B257" s="207"/>
      <c r="C257" s="119"/>
      <c r="D257" s="120"/>
      <c r="E257" s="634"/>
      <c r="F257" s="634"/>
      <c r="G257" s="634"/>
      <c r="H257" s="634"/>
      <c r="I257" s="634"/>
      <c r="J257" s="634"/>
      <c r="K257" s="120"/>
      <c r="L257" s="120"/>
      <c r="M257" s="120"/>
      <c r="N257" s="634" t="s">
        <v>374</v>
      </c>
      <c r="O257" s="634"/>
      <c r="P257" s="634"/>
      <c r="Q257" s="634"/>
      <c r="R257" s="634"/>
      <c r="S257" s="634"/>
      <c r="T257" s="634"/>
      <c r="U257" s="634"/>
      <c r="V257" s="634"/>
      <c r="W257" s="634"/>
      <c r="X257" s="634"/>
      <c r="Y257" s="634"/>
      <c r="Z257" s="634"/>
      <c r="AA257" s="120"/>
      <c r="AB257" s="120"/>
      <c r="AC257" s="120"/>
      <c r="AD257" s="120"/>
      <c r="AE257" s="120"/>
      <c r="AF257" s="120"/>
      <c r="AG257" s="120"/>
      <c r="AH257" s="120"/>
      <c r="AI257" s="571"/>
      <c r="AJ257" s="120"/>
    </row>
    <row r="258" spans="1:36" ht="14.4">
      <c r="A258" s="205"/>
    </row>
    <row r="259" spans="1:36" ht="14.4">
      <c r="B259" s="208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573"/>
      <c r="AJ259" s="210"/>
    </row>
    <row r="260" spans="1:36" ht="14.4">
      <c r="B260" s="211"/>
      <c r="C260" s="133" t="s">
        <v>264</v>
      </c>
      <c r="D260" s="126" t="s">
        <v>184</v>
      </c>
      <c r="E260" s="201" t="s">
        <v>36</v>
      </c>
      <c r="F260" s="201" t="s">
        <v>9</v>
      </c>
      <c r="G260" s="201" t="s">
        <v>25</v>
      </c>
      <c r="H260" s="201" t="s">
        <v>160</v>
      </c>
      <c r="I260" s="201" t="s">
        <v>139</v>
      </c>
      <c r="J260" s="201" t="s">
        <v>37</v>
      </c>
      <c r="K260" s="201" t="s">
        <v>133</v>
      </c>
      <c r="L260" s="201" t="s">
        <v>123</v>
      </c>
      <c r="M260" s="201" t="s">
        <v>145</v>
      </c>
      <c r="N260" s="201" t="s">
        <v>124</v>
      </c>
      <c r="O260" s="201" t="s">
        <v>169</v>
      </c>
      <c r="P260" s="201" t="s">
        <v>243</v>
      </c>
      <c r="Q260" s="201" t="s">
        <v>175</v>
      </c>
      <c r="R260" s="201" t="s">
        <v>170</v>
      </c>
      <c r="S260" s="201" t="s">
        <v>203</v>
      </c>
      <c r="T260" s="201" t="s">
        <v>172</v>
      </c>
      <c r="U260" s="201" t="s">
        <v>176</v>
      </c>
      <c r="V260" s="201" t="s">
        <v>177</v>
      </c>
      <c r="W260" s="201" t="s">
        <v>178</v>
      </c>
      <c r="X260" s="201" t="s">
        <v>179</v>
      </c>
      <c r="Y260" s="201" t="s">
        <v>181</v>
      </c>
      <c r="Z260" s="201" t="s">
        <v>182</v>
      </c>
      <c r="AA260" s="201" t="s">
        <v>187</v>
      </c>
      <c r="AB260" s="201" t="s">
        <v>233</v>
      </c>
      <c r="AC260" s="201" t="s">
        <v>240</v>
      </c>
      <c r="AD260" s="201" t="s">
        <v>245</v>
      </c>
      <c r="AE260" s="201" t="s">
        <v>357</v>
      </c>
      <c r="AF260" s="201" t="s">
        <v>362</v>
      </c>
      <c r="AG260" s="201" t="s">
        <v>361</v>
      </c>
      <c r="AH260" s="201" t="s">
        <v>234</v>
      </c>
      <c r="AI260" s="568" t="s">
        <v>239</v>
      </c>
      <c r="AJ260" s="212"/>
    </row>
    <row r="261" spans="1:36" ht="14.4">
      <c r="B261" s="211"/>
      <c r="C261" s="213" t="s">
        <v>40</v>
      </c>
      <c r="D261" s="214">
        <v>896301.69000000006</v>
      </c>
      <c r="E261" s="214">
        <v>0</v>
      </c>
      <c r="F261" s="214">
        <v>0</v>
      </c>
      <c r="G261" s="214">
        <v>0</v>
      </c>
      <c r="H261" s="214">
        <v>0</v>
      </c>
      <c r="I261" s="214">
        <v>0</v>
      </c>
      <c r="J261" s="214">
        <v>0</v>
      </c>
      <c r="K261" s="214">
        <v>0</v>
      </c>
      <c r="L261" s="214">
        <v>0</v>
      </c>
      <c r="M261" s="214">
        <v>0</v>
      </c>
      <c r="N261" s="214">
        <v>0</v>
      </c>
      <c r="O261" s="214">
        <v>0</v>
      </c>
      <c r="P261" s="214">
        <v>0</v>
      </c>
      <c r="Q261" s="214">
        <v>0</v>
      </c>
      <c r="R261" s="214">
        <v>0</v>
      </c>
      <c r="S261" s="214">
        <v>0</v>
      </c>
      <c r="T261" s="214">
        <v>0</v>
      </c>
      <c r="U261" s="214">
        <v>0</v>
      </c>
      <c r="V261" s="214">
        <v>0</v>
      </c>
      <c r="W261" s="214">
        <v>0</v>
      </c>
      <c r="X261" s="214">
        <v>0</v>
      </c>
      <c r="Y261" s="214">
        <v>0</v>
      </c>
      <c r="Z261" s="214">
        <v>0</v>
      </c>
      <c r="AA261" s="214">
        <v>0</v>
      </c>
      <c r="AB261" s="214">
        <v>0</v>
      </c>
      <c r="AC261" s="214">
        <v>0</v>
      </c>
      <c r="AD261" s="214"/>
      <c r="AE261" s="420">
        <v>0</v>
      </c>
      <c r="AF261" s="420">
        <v>0</v>
      </c>
      <c r="AG261" s="420">
        <v>0</v>
      </c>
      <c r="AH261" s="420"/>
      <c r="AI261" s="574">
        <f>SUM(D261:AH261)</f>
        <v>896301.69000000006</v>
      </c>
      <c r="AJ261" s="212"/>
    </row>
    <row r="262" spans="1:36" ht="14.4">
      <c r="B262" s="211"/>
      <c r="C262" s="213" t="s">
        <v>41</v>
      </c>
      <c r="D262" s="214">
        <v>0</v>
      </c>
      <c r="E262" s="214">
        <v>267258.58999999997</v>
      </c>
      <c r="F262" s="214">
        <v>306375.26</v>
      </c>
      <c r="G262" s="214">
        <v>247282.90000000002</v>
      </c>
      <c r="H262" s="214">
        <v>335845.78</v>
      </c>
      <c r="I262" s="214">
        <v>35815.870000000003</v>
      </c>
      <c r="J262" s="214">
        <v>14160.81</v>
      </c>
      <c r="K262" s="214">
        <v>18625.82</v>
      </c>
      <c r="L262" s="214">
        <v>16804.39</v>
      </c>
      <c r="M262" s="214">
        <v>171741.38</v>
      </c>
      <c r="N262" s="214">
        <v>19159.870000000003</v>
      </c>
      <c r="O262" s="214">
        <v>276124.17</v>
      </c>
      <c r="P262" s="214">
        <v>166673.57</v>
      </c>
      <c r="Q262" s="214">
        <v>373906.57</v>
      </c>
      <c r="R262" s="214">
        <v>51935.520000000004</v>
      </c>
      <c r="S262" s="214">
        <v>144648.63</v>
      </c>
      <c r="T262" s="214">
        <v>9712.7999999999993</v>
      </c>
      <c r="U262" s="214">
        <v>15868.93</v>
      </c>
      <c r="V262" s="214">
        <v>19356.599999999999</v>
      </c>
      <c r="W262" s="214">
        <v>7377.72</v>
      </c>
      <c r="X262" s="214">
        <v>9373.7200000000012</v>
      </c>
      <c r="Y262" s="214">
        <v>8921.24</v>
      </c>
      <c r="Z262" s="214">
        <v>6666.01</v>
      </c>
      <c r="AA262" s="214">
        <v>8655.7999999999993</v>
      </c>
      <c r="AB262" s="214">
        <v>25912.559999999998</v>
      </c>
      <c r="AC262" s="214">
        <v>15174.37</v>
      </c>
      <c r="AD262" s="214"/>
      <c r="AE262" s="420">
        <v>312375.61</v>
      </c>
      <c r="AF262" s="420">
        <v>9376.64</v>
      </c>
      <c r="AG262" s="420">
        <v>31893.120000000003</v>
      </c>
      <c r="AH262" s="420">
        <v>0</v>
      </c>
      <c r="AI262" s="574">
        <f t="shared" ref="AI262:AI325" si="7">SUM(D262:AH262)</f>
        <v>2927024.2500000009</v>
      </c>
      <c r="AJ262" s="212"/>
    </row>
    <row r="263" spans="1:36" ht="14.4">
      <c r="B263" s="211"/>
      <c r="C263" s="213" t="s">
        <v>26</v>
      </c>
      <c r="D263" s="214">
        <v>17462</v>
      </c>
      <c r="E263" s="214">
        <v>5553</v>
      </c>
      <c r="F263" s="214">
        <v>2001</v>
      </c>
      <c r="G263" s="214">
        <v>3150</v>
      </c>
      <c r="H263" s="214">
        <v>3553</v>
      </c>
      <c r="I263" s="214">
        <v>0</v>
      </c>
      <c r="J263" s="214">
        <v>0</v>
      </c>
      <c r="K263" s="214">
        <v>0</v>
      </c>
      <c r="L263" s="214">
        <v>0</v>
      </c>
      <c r="M263" s="214">
        <v>0</v>
      </c>
      <c r="N263" s="214">
        <v>0</v>
      </c>
      <c r="O263" s="214">
        <v>1200</v>
      </c>
      <c r="P263" s="214">
        <v>6568</v>
      </c>
      <c r="Q263" s="214">
        <v>0</v>
      </c>
      <c r="R263" s="214">
        <v>8400</v>
      </c>
      <c r="S263" s="214">
        <v>4105</v>
      </c>
      <c r="T263" s="214">
        <v>0</v>
      </c>
      <c r="U263" s="214">
        <v>0</v>
      </c>
      <c r="V263" s="214">
        <v>0</v>
      </c>
      <c r="W263" s="214">
        <v>0</v>
      </c>
      <c r="X263" s="214">
        <v>0</v>
      </c>
      <c r="Y263" s="214">
        <v>0</v>
      </c>
      <c r="Z263" s="214">
        <v>0</v>
      </c>
      <c r="AA263" s="214">
        <v>0</v>
      </c>
      <c r="AB263" s="214">
        <v>0</v>
      </c>
      <c r="AC263" s="214">
        <v>0</v>
      </c>
      <c r="AD263" s="214"/>
      <c r="AE263" s="420">
        <v>1000</v>
      </c>
      <c r="AF263" s="420">
        <v>0</v>
      </c>
      <c r="AG263" s="420">
        <v>0</v>
      </c>
      <c r="AH263" s="420"/>
      <c r="AI263" s="574">
        <f t="shared" si="7"/>
        <v>52992</v>
      </c>
      <c r="AJ263" s="212"/>
    </row>
    <row r="264" spans="1:36" ht="14.4">
      <c r="B264" s="211"/>
      <c r="C264" s="213" t="s">
        <v>27</v>
      </c>
      <c r="D264" s="214">
        <v>0</v>
      </c>
      <c r="E264" s="214">
        <v>200</v>
      </c>
      <c r="F264" s="214">
        <v>0</v>
      </c>
      <c r="G264" s="214">
        <v>0</v>
      </c>
      <c r="H264" s="214">
        <v>0</v>
      </c>
      <c r="I264" s="214">
        <v>0</v>
      </c>
      <c r="J264" s="214">
        <v>0</v>
      </c>
      <c r="K264" s="214">
        <v>0</v>
      </c>
      <c r="L264" s="214">
        <v>0</v>
      </c>
      <c r="M264" s="214">
        <v>0</v>
      </c>
      <c r="N264" s="214">
        <v>0</v>
      </c>
      <c r="O264" s="214">
        <v>0</v>
      </c>
      <c r="P264" s="214">
        <v>0</v>
      </c>
      <c r="Q264" s="214">
        <v>0</v>
      </c>
      <c r="R264" s="214">
        <v>0</v>
      </c>
      <c r="S264" s="214">
        <v>0</v>
      </c>
      <c r="T264" s="214">
        <v>0</v>
      </c>
      <c r="U264" s="214">
        <v>0</v>
      </c>
      <c r="V264" s="214">
        <v>0</v>
      </c>
      <c r="W264" s="214">
        <v>0</v>
      </c>
      <c r="X264" s="214">
        <v>0</v>
      </c>
      <c r="Y264" s="214">
        <v>0</v>
      </c>
      <c r="Z264" s="214">
        <v>0</v>
      </c>
      <c r="AA264" s="214">
        <v>0</v>
      </c>
      <c r="AB264" s="214">
        <v>0</v>
      </c>
      <c r="AC264" s="214">
        <v>0</v>
      </c>
      <c r="AD264" s="214"/>
      <c r="AE264" s="420">
        <v>680</v>
      </c>
      <c r="AF264" s="420">
        <v>0</v>
      </c>
      <c r="AG264" s="420">
        <v>0</v>
      </c>
      <c r="AH264" s="420"/>
      <c r="AI264" s="574">
        <f t="shared" si="7"/>
        <v>880</v>
      </c>
      <c r="AJ264" s="212"/>
    </row>
    <row r="265" spans="1:36" ht="14.4">
      <c r="B265" s="211"/>
      <c r="C265" s="213" t="s">
        <v>42</v>
      </c>
      <c r="D265" s="214">
        <v>800</v>
      </c>
      <c r="E265" s="214">
        <v>350</v>
      </c>
      <c r="F265" s="214">
        <v>600</v>
      </c>
      <c r="G265" s="214">
        <v>350</v>
      </c>
      <c r="H265" s="214">
        <v>200</v>
      </c>
      <c r="I265" s="214">
        <v>0</v>
      </c>
      <c r="J265" s="214">
        <v>0</v>
      </c>
      <c r="K265" s="214">
        <v>0</v>
      </c>
      <c r="L265" s="214">
        <v>0</v>
      </c>
      <c r="M265" s="214">
        <v>350</v>
      </c>
      <c r="N265" s="214">
        <v>0</v>
      </c>
      <c r="O265" s="214">
        <v>400</v>
      </c>
      <c r="P265" s="214">
        <v>400</v>
      </c>
      <c r="Q265" s="214">
        <v>0</v>
      </c>
      <c r="R265" s="214">
        <v>0</v>
      </c>
      <c r="S265" s="214">
        <v>300</v>
      </c>
      <c r="T265" s="214">
        <v>0</v>
      </c>
      <c r="U265" s="214">
        <v>0</v>
      </c>
      <c r="V265" s="214">
        <v>0</v>
      </c>
      <c r="W265" s="214">
        <v>0</v>
      </c>
      <c r="X265" s="214">
        <v>0</v>
      </c>
      <c r="Y265" s="214">
        <v>0</v>
      </c>
      <c r="Z265" s="214">
        <v>0</v>
      </c>
      <c r="AA265" s="214">
        <v>0</v>
      </c>
      <c r="AB265" s="214">
        <v>0</v>
      </c>
      <c r="AC265" s="214">
        <v>0</v>
      </c>
      <c r="AD265" s="214"/>
      <c r="AE265" s="420">
        <v>0</v>
      </c>
      <c r="AF265" s="420">
        <v>0</v>
      </c>
      <c r="AG265" s="420">
        <v>0</v>
      </c>
      <c r="AH265" s="420"/>
      <c r="AI265" s="574">
        <f t="shared" si="7"/>
        <v>3750</v>
      </c>
      <c r="AJ265" s="212"/>
    </row>
    <row r="266" spans="1:36" ht="14.4">
      <c r="B266" s="211"/>
      <c r="C266" s="213" t="s">
        <v>43</v>
      </c>
      <c r="D266" s="214">
        <v>0</v>
      </c>
      <c r="E266" s="214">
        <v>100000</v>
      </c>
      <c r="F266" s="214">
        <v>100000</v>
      </c>
      <c r="G266" s="214">
        <v>100000</v>
      </c>
      <c r="H266" s="214">
        <v>0</v>
      </c>
      <c r="I266" s="214">
        <v>0</v>
      </c>
      <c r="J266" s="214">
        <v>0</v>
      </c>
      <c r="K266" s="214">
        <v>0</v>
      </c>
      <c r="L266" s="214">
        <v>0</v>
      </c>
      <c r="M266" s="214">
        <v>0</v>
      </c>
      <c r="N266" s="214">
        <v>0</v>
      </c>
      <c r="O266" s="214">
        <v>0</v>
      </c>
      <c r="P266" s="214">
        <v>0</v>
      </c>
      <c r="Q266" s="214">
        <v>0</v>
      </c>
      <c r="R266" s="214">
        <v>0</v>
      </c>
      <c r="S266" s="214">
        <v>0</v>
      </c>
      <c r="T266" s="214">
        <v>0</v>
      </c>
      <c r="U266" s="214">
        <v>0</v>
      </c>
      <c r="V266" s="214">
        <v>0</v>
      </c>
      <c r="W266" s="214">
        <v>0</v>
      </c>
      <c r="X266" s="214">
        <v>0</v>
      </c>
      <c r="Y266" s="214">
        <v>0</v>
      </c>
      <c r="Z266" s="214">
        <v>0</v>
      </c>
      <c r="AA266" s="214">
        <v>0</v>
      </c>
      <c r="AB266" s="214">
        <v>0</v>
      </c>
      <c r="AC266" s="214">
        <v>0</v>
      </c>
      <c r="AD266" s="214"/>
      <c r="AE266" s="420">
        <v>0</v>
      </c>
      <c r="AF266" s="420">
        <v>0</v>
      </c>
      <c r="AG266" s="420">
        <v>0</v>
      </c>
      <c r="AH266" s="420"/>
      <c r="AI266" s="574">
        <f t="shared" si="7"/>
        <v>300000</v>
      </c>
      <c r="AJ266" s="212"/>
    </row>
    <row r="267" spans="1:36" ht="14.4">
      <c r="B267" s="211"/>
      <c r="C267" s="213" t="s">
        <v>44</v>
      </c>
      <c r="D267" s="214">
        <v>100000</v>
      </c>
      <c r="E267" s="214">
        <v>0</v>
      </c>
      <c r="F267" s="214">
        <v>0</v>
      </c>
      <c r="G267" s="214">
        <v>0</v>
      </c>
      <c r="H267" s="214">
        <v>0</v>
      </c>
      <c r="I267" s="214">
        <v>0</v>
      </c>
      <c r="J267" s="214">
        <v>0</v>
      </c>
      <c r="K267" s="214">
        <v>0</v>
      </c>
      <c r="L267" s="214">
        <v>0</v>
      </c>
      <c r="M267" s="214">
        <v>0</v>
      </c>
      <c r="N267" s="214">
        <v>0</v>
      </c>
      <c r="O267" s="214">
        <v>0</v>
      </c>
      <c r="P267" s="214">
        <v>0</v>
      </c>
      <c r="Q267" s="214">
        <v>0</v>
      </c>
      <c r="R267" s="214">
        <v>0</v>
      </c>
      <c r="S267" s="214">
        <v>0</v>
      </c>
      <c r="T267" s="214">
        <v>0</v>
      </c>
      <c r="U267" s="214">
        <v>0</v>
      </c>
      <c r="V267" s="214">
        <v>0</v>
      </c>
      <c r="W267" s="214">
        <v>0</v>
      </c>
      <c r="X267" s="214">
        <v>0</v>
      </c>
      <c r="Y267" s="214">
        <v>0</v>
      </c>
      <c r="Z267" s="214">
        <v>0</v>
      </c>
      <c r="AA267" s="214">
        <v>0</v>
      </c>
      <c r="AB267" s="214">
        <v>0</v>
      </c>
      <c r="AC267" s="214">
        <v>0</v>
      </c>
      <c r="AD267" s="214"/>
      <c r="AE267" s="420">
        <v>0</v>
      </c>
      <c r="AF267" s="420">
        <v>0</v>
      </c>
      <c r="AG267" s="420">
        <v>0</v>
      </c>
      <c r="AH267" s="420"/>
      <c r="AI267" s="574">
        <f t="shared" si="7"/>
        <v>100000</v>
      </c>
      <c r="AJ267" s="212"/>
    </row>
    <row r="268" spans="1:36" ht="14.4">
      <c r="B268" s="211"/>
      <c r="C268" s="213" t="s">
        <v>45</v>
      </c>
      <c r="D268" s="214">
        <f>610+40000</f>
        <v>40610</v>
      </c>
      <c r="E268" s="214">
        <v>0</v>
      </c>
      <c r="F268" s="214">
        <v>26200</v>
      </c>
      <c r="G268" s="214">
        <v>0</v>
      </c>
      <c r="H268" s="214">
        <v>35500</v>
      </c>
      <c r="I268" s="214">
        <v>0</v>
      </c>
      <c r="J268" s="214">
        <v>0</v>
      </c>
      <c r="K268" s="214">
        <v>0</v>
      </c>
      <c r="L268" s="214">
        <v>0</v>
      </c>
      <c r="M268" s="214">
        <v>11000</v>
      </c>
      <c r="N268" s="214">
        <v>12000</v>
      </c>
      <c r="O268" s="214">
        <v>22125</v>
      </c>
      <c r="P268" s="214">
        <v>20900</v>
      </c>
      <c r="Q268" s="214">
        <v>102596</v>
      </c>
      <c r="R268" s="214">
        <v>22420</v>
      </c>
      <c r="S268" s="214">
        <f>90625-40000</f>
        <v>50625</v>
      </c>
      <c r="T268" s="214">
        <v>0</v>
      </c>
      <c r="U268" s="214">
        <v>0</v>
      </c>
      <c r="V268" s="214">
        <v>0</v>
      </c>
      <c r="W268" s="214">
        <v>0</v>
      </c>
      <c r="X268" s="214">
        <v>0</v>
      </c>
      <c r="Y268" s="214">
        <v>0</v>
      </c>
      <c r="Z268" s="214">
        <v>0</v>
      </c>
      <c r="AA268" s="214">
        <v>0</v>
      </c>
      <c r="AB268" s="214">
        <v>0</v>
      </c>
      <c r="AC268" s="214">
        <v>0</v>
      </c>
      <c r="AD268" s="214"/>
      <c r="AE268" s="420">
        <v>42925</v>
      </c>
      <c r="AF268" s="420">
        <v>0</v>
      </c>
      <c r="AG268" s="420">
        <v>0</v>
      </c>
      <c r="AH268" s="420"/>
      <c r="AI268" s="574">
        <f t="shared" si="7"/>
        <v>386901</v>
      </c>
      <c r="AJ268" s="212"/>
    </row>
    <row r="269" spans="1:36" ht="14.4">
      <c r="B269" s="211"/>
      <c r="C269" s="213" t="s">
        <v>156</v>
      </c>
      <c r="D269" s="214">
        <v>3555.6</v>
      </c>
      <c r="E269" s="214">
        <v>925.25</v>
      </c>
      <c r="F269" s="214">
        <v>996.5</v>
      </c>
      <c r="G269" s="214">
        <v>999.5</v>
      </c>
      <c r="H269" s="214">
        <v>995.5</v>
      </c>
      <c r="I269" s="214">
        <v>0</v>
      </c>
      <c r="J269" s="214">
        <v>0</v>
      </c>
      <c r="K269" s="214">
        <v>0</v>
      </c>
      <c r="L269" s="214">
        <v>0</v>
      </c>
      <c r="M269" s="214">
        <v>655.5</v>
      </c>
      <c r="N269" s="214">
        <v>0</v>
      </c>
      <c r="O269" s="214">
        <v>655.5</v>
      </c>
      <c r="P269" s="214">
        <v>0</v>
      </c>
      <c r="Q269" s="214">
        <v>735.15</v>
      </c>
      <c r="R269" s="214">
        <v>0</v>
      </c>
      <c r="S269" s="214">
        <v>909.5</v>
      </c>
      <c r="T269" s="214">
        <v>0</v>
      </c>
      <c r="U269" s="214">
        <v>0</v>
      </c>
      <c r="V269" s="214">
        <v>0</v>
      </c>
      <c r="W269" s="214">
        <v>0</v>
      </c>
      <c r="X269" s="214">
        <v>0</v>
      </c>
      <c r="Y269" s="214">
        <v>0</v>
      </c>
      <c r="Z269" s="214">
        <v>0</v>
      </c>
      <c r="AA269" s="214">
        <v>0</v>
      </c>
      <c r="AB269" s="214">
        <v>0</v>
      </c>
      <c r="AC269" s="214">
        <v>0</v>
      </c>
      <c r="AD269" s="214"/>
      <c r="AE269" s="420">
        <v>230</v>
      </c>
      <c r="AF269" s="420">
        <v>0</v>
      </c>
      <c r="AG269" s="420">
        <v>0</v>
      </c>
      <c r="AH269" s="420"/>
      <c r="AI269" s="574">
        <f t="shared" si="7"/>
        <v>10658</v>
      </c>
      <c r="AJ269" s="212"/>
    </row>
    <row r="270" spans="1:36" ht="14.4">
      <c r="B270" s="211"/>
      <c r="C270" s="213" t="s">
        <v>46</v>
      </c>
      <c r="D270" s="214">
        <v>12903.64</v>
      </c>
      <c r="E270" s="214">
        <v>783.54</v>
      </c>
      <c r="F270" s="214">
        <v>1715</v>
      </c>
      <c r="G270" s="214">
        <v>489.46</v>
      </c>
      <c r="H270" s="214">
        <v>147.13</v>
      </c>
      <c r="I270" s="214">
        <v>84.95</v>
      </c>
      <c r="J270" s="214">
        <v>0</v>
      </c>
      <c r="K270" s="214">
        <v>523.88</v>
      </c>
      <c r="L270" s="214">
        <v>65.87</v>
      </c>
      <c r="M270" s="214">
        <v>694.4</v>
      </c>
      <c r="N270" s="214">
        <v>54.67</v>
      </c>
      <c r="O270" s="214">
        <v>567.11</v>
      </c>
      <c r="P270" s="214">
        <v>638.80999999999995</v>
      </c>
      <c r="Q270" s="214">
        <v>348.43</v>
      </c>
      <c r="R270" s="214">
        <v>65.87</v>
      </c>
      <c r="S270" s="214">
        <v>501.1</v>
      </c>
      <c r="T270" s="214">
        <v>0</v>
      </c>
      <c r="U270" s="214">
        <v>168.67</v>
      </c>
      <c r="V270" s="214">
        <v>0</v>
      </c>
      <c r="W270" s="214">
        <v>450</v>
      </c>
      <c r="X270" s="214">
        <v>168.67</v>
      </c>
      <c r="Y270" s="214">
        <v>62.18</v>
      </c>
      <c r="Z270" s="214">
        <v>57.87</v>
      </c>
      <c r="AA270" s="214">
        <v>65.87</v>
      </c>
      <c r="AB270" s="214">
        <v>188.33</v>
      </c>
      <c r="AC270" s="214">
        <v>62.18</v>
      </c>
      <c r="AD270" s="214"/>
      <c r="AE270" s="420">
        <v>385.86</v>
      </c>
      <c r="AF270" s="420">
        <v>200</v>
      </c>
      <c r="AG270" s="420">
        <v>0</v>
      </c>
      <c r="AH270" s="420"/>
      <c r="AI270" s="574">
        <f t="shared" si="7"/>
        <v>21393.489999999994</v>
      </c>
      <c r="AJ270" s="212"/>
    </row>
    <row r="271" spans="1:36" ht="14.4">
      <c r="B271" s="211"/>
      <c r="C271" s="213" t="s">
        <v>47</v>
      </c>
      <c r="D271" s="214">
        <v>0</v>
      </c>
      <c r="E271" s="214">
        <v>0</v>
      </c>
      <c r="F271" s="214">
        <v>0</v>
      </c>
      <c r="G271" s="214">
        <v>0</v>
      </c>
      <c r="H271" s="214">
        <v>0</v>
      </c>
      <c r="I271" s="214">
        <v>0</v>
      </c>
      <c r="J271" s="214">
        <v>0</v>
      </c>
      <c r="K271" s="214">
        <v>0</v>
      </c>
      <c r="L271" s="214">
        <v>0</v>
      </c>
      <c r="M271" s="214">
        <v>0</v>
      </c>
      <c r="N271" s="214">
        <v>0</v>
      </c>
      <c r="O271" s="214">
        <v>0</v>
      </c>
      <c r="P271" s="214">
        <v>0</v>
      </c>
      <c r="Q271" s="214">
        <v>0</v>
      </c>
      <c r="R271" s="214">
        <v>0</v>
      </c>
      <c r="S271" s="214">
        <v>0</v>
      </c>
      <c r="T271" s="214">
        <v>0</v>
      </c>
      <c r="U271" s="214">
        <v>0</v>
      </c>
      <c r="V271" s="214">
        <v>0</v>
      </c>
      <c r="W271" s="214">
        <v>0</v>
      </c>
      <c r="X271" s="214">
        <v>0</v>
      </c>
      <c r="Y271" s="214">
        <v>0</v>
      </c>
      <c r="Z271" s="214">
        <v>0</v>
      </c>
      <c r="AA271" s="214">
        <v>0</v>
      </c>
      <c r="AB271" s="214">
        <v>0</v>
      </c>
      <c r="AC271" s="214">
        <v>0</v>
      </c>
      <c r="AD271" s="214"/>
      <c r="AE271" s="420">
        <v>0</v>
      </c>
      <c r="AF271" s="420">
        <v>0</v>
      </c>
      <c r="AG271" s="420">
        <v>0</v>
      </c>
      <c r="AH271" s="420"/>
      <c r="AI271" s="574">
        <f t="shared" si="7"/>
        <v>0</v>
      </c>
      <c r="AJ271" s="212"/>
    </row>
    <row r="272" spans="1:36" ht="14.4">
      <c r="B272" s="211"/>
      <c r="C272" s="213" t="s">
        <v>48</v>
      </c>
      <c r="D272" s="214">
        <v>1205</v>
      </c>
      <c r="E272" s="214">
        <v>1400</v>
      </c>
      <c r="F272" s="214">
        <v>500</v>
      </c>
      <c r="G272" s="214">
        <v>0</v>
      </c>
      <c r="H272" s="214">
        <v>650</v>
      </c>
      <c r="I272" s="214">
        <v>0</v>
      </c>
      <c r="J272" s="214">
        <v>0</v>
      </c>
      <c r="K272" s="214">
        <v>0</v>
      </c>
      <c r="L272" s="214">
        <v>0</v>
      </c>
      <c r="M272" s="214">
        <v>750</v>
      </c>
      <c r="N272" s="214">
        <v>0</v>
      </c>
      <c r="O272" s="214">
        <v>900</v>
      </c>
      <c r="P272" s="214">
        <v>750</v>
      </c>
      <c r="Q272" s="214">
        <v>0</v>
      </c>
      <c r="R272" s="214">
        <v>0</v>
      </c>
      <c r="S272" s="214">
        <v>650</v>
      </c>
      <c r="T272" s="214">
        <v>0</v>
      </c>
      <c r="U272" s="214">
        <v>0</v>
      </c>
      <c r="V272" s="214">
        <v>0</v>
      </c>
      <c r="W272" s="214">
        <v>0</v>
      </c>
      <c r="X272" s="214">
        <v>0</v>
      </c>
      <c r="Y272" s="214">
        <v>0</v>
      </c>
      <c r="Z272" s="214">
        <v>0</v>
      </c>
      <c r="AA272" s="214">
        <v>0</v>
      </c>
      <c r="AB272" s="214">
        <v>0</v>
      </c>
      <c r="AC272" s="214">
        <v>0</v>
      </c>
      <c r="AD272" s="214"/>
      <c r="AE272" s="420">
        <v>650</v>
      </c>
      <c r="AF272" s="420">
        <v>0</v>
      </c>
      <c r="AG272" s="420">
        <v>0</v>
      </c>
      <c r="AH272" s="420"/>
      <c r="AI272" s="574">
        <f t="shared" si="7"/>
        <v>7455</v>
      </c>
      <c r="AJ272" s="212"/>
    </row>
    <row r="273" spans="2:36" ht="14.4">
      <c r="B273" s="211"/>
      <c r="C273" s="213" t="s">
        <v>49</v>
      </c>
      <c r="D273" s="214">
        <v>665</v>
      </c>
      <c r="E273" s="214">
        <v>0</v>
      </c>
      <c r="F273" s="214">
        <v>0</v>
      </c>
      <c r="G273" s="214">
        <v>0</v>
      </c>
      <c r="H273" s="214">
        <v>0</v>
      </c>
      <c r="I273" s="214">
        <v>0</v>
      </c>
      <c r="J273" s="214">
        <v>0</v>
      </c>
      <c r="K273" s="214">
        <v>0</v>
      </c>
      <c r="L273" s="214">
        <v>0</v>
      </c>
      <c r="M273" s="214">
        <v>0</v>
      </c>
      <c r="N273" s="214">
        <v>0</v>
      </c>
      <c r="O273" s="214">
        <v>0</v>
      </c>
      <c r="P273" s="214">
        <v>0</v>
      </c>
      <c r="Q273" s="214">
        <v>0</v>
      </c>
      <c r="R273" s="214">
        <v>0</v>
      </c>
      <c r="S273" s="214">
        <v>0</v>
      </c>
      <c r="T273" s="214">
        <v>0</v>
      </c>
      <c r="U273" s="214">
        <v>0</v>
      </c>
      <c r="V273" s="214">
        <v>0</v>
      </c>
      <c r="W273" s="214">
        <v>0</v>
      </c>
      <c r="X273" s="214">
        <v>0</v>
      </c>
      <c r="Y273" s="214">
        <v>0</v>
      </c>
      <c r="Z273" s="214">
        <v>0</v>
      </c>
      <c r="AA273" s="214">
        <v>0</v>
      </c>
      <c r="AB273" s="214">
        <v>0</v>
      </c>
      <c r="AC273" s="214">
        <v>0</v>
      </c>
      <c r="AD273" s="214"/>
      <c r="AE273" s="420">
        <v>0</v>
      </c>
      <c r="AF273" s="420">
        <v>0</v>
      </c>
      <c r="AG273" s="420">
        <v>0</v>
      </c>
      <c r="AH273" s="420"/>
      <c r="AI273" s="574">
        <f t="shared" si="7"/>
        <v>665</v>
      </c>
      <c r="AJ273" s="212"/>
    </row>
    <row r="274" spans="2:36" ht="14.4">
      <c r="B274" s="211"/>
      <c r="C274" s="213" t="s">
        <v>158</v>
      </c>
      <c r="D274" s="214">
        <v>380</v>
      </c>
      <c r="E274" s="214">
        <v>2500</v>
      </c>
      <c r="F274" s="214">
        <v>0</v>
      </c>
      <c r="G274" s="214">
        <v>0</v>
      </c>
      <c r="H274" s="214">
        <v>0</v>
      </c>
      <c r="I274" s="214">
        <v>0</v>
      </c>
      <c r="J274" s="214">
        <v>0</v>
      </c>
      <c r="K274" s="214">
        <v>0</v>
      </c>
      <c r="L274" s="214">
        <v>0</v>
      </c>
      <c r="M274" s="214">
        <v>0</v>
      </c>
      <c r="N274" s="214">
        <v>0</v>
      </c>
      <c r="O274" s="214">
        <v>0</v>
      </c>
      <c r="P274" s="214">
        <v>0</v>
      </c>
      <c r="Q274" s="214">
        <v>3810</v>
      </c>
      <c r="R274" s="214">
        <v>0</v>
      </c>
      <c r="S274" s="214">
        <v>0</v>
      </c>
      <c r="T274" s="214">
        <v>0</v>
      </c>
      <c r="U274" s="214">
        <v>0</v>
      </c>
      <c r="V274" s="214">
        <v>0</v>
      </c>
      <c r="W274" s="214">
        <v>0</v>
      </c>
      <c r="X274" s="214">
        <v>0</v>
      </c>
      <c r="Y274" s="214">
        <v>0</v>
      </c>
      <c r="Z274" s="214">
        <v>0</v>
      </c>
      <c r="AA274" s="214">
        <v>0</v>
      </c>
      <c r="AB274" s="214">
        <v>0</v>
      </c>
      <c r="AC274" s="214">
        <v>0</v>
      </c>
      <c r="AD274" s="214"/>
      <c r="AE274" s="420">
        <v>205</v>
      </c>
      <c r="AF274" s="420">
        <v>0</v>
      </c>
      <c r="AG274" s="420">
        <v>0</v>
      </c>
      <c r="AH274" s="420"/>
      <c r="AI274" s="574">
        <f t="shared" si="7"/>
        <v>6895</v>
      </c>
      <c r="AJ274" s="212"/>
    </row>
    <row r="275" spans="2:36" ht="14.4">
      <c r="B275" s="211"/>
      <c r="C275" s="213" t="s">
        <v>50</v>
      </c>
      <c r="D275" s="214">
        <v>4500</v>
      </c>
      <c r="E275" s="214">
        <v>0</v>
      </c>
      <c r="F275" s="214">
        <v>0</v>
      </c>
      <c r="G275" s="214">
        <v>1500</v>
      </c>
      <c r="H275" s="214">
        <v>3750</v>
      </c>
      <c r="I275" s="214">
        <v>3000</v>
      </c>
      <c r="J275" s="214">
        <v>0</v>
      </c>
      <c r="K275" s="214">
        <v>750</v>
      </c>
      <c r="L275" s="214">
        <v>1500</v>
      </c>
      <c r="M275" s="214">
        <v>750</v>
      </c>
      <c r="N275" s="214">
        <v>750</v>
      </c>
      <c r="O275" s="214">
        <v>750</v>
      </c>
      <c r="P275" s="214">
        <v>0</v>
      </c>
      <c r="Q275" s="214">
        <v>1500</v>
      </c>
      <c r="R275" s="214">
        <v>0</v>
      </c>
      <c r="S275" s="214">
        <v>0</v>
      </c>
      <c r="T275" s="214">
        <v>0</v>
      </c>
      <c r="U275" s="214">
        <v>0</v>
      </c>
      <c r="V275" s="214">
        <v>750</v>
      </c>
      <c r="W275" s="214">
        <v>0</v>
      </c>
      <c r="X275" s="214">
        <v>750</v>
      </c>
      <c r="Y275" s="214">
        <v>0</v>
      </c>
      <c r="Z275" s="214">
        <v>0</v>
      </c>
      <c r="AA275" s="214">
        <v>0</v>
      </c>
      <c r="AB275" s="214">
        <v>0</v>
      </c>
      <c r="AC275" s="214">
        <v>0</v>
      </c>
      <c r="AD275" s="214"/>
      <c r="AE275" s="420">
        <v>750</v>
      </c>
      <c r="AF275" s="420">
        <v>0</v>
      </c>
      <c r="AG275" s="420">
        <v>750</v>
      </c>
      <c r="AH275" s="420"/>
      <c r="AI275" s="574">
        <f t="shared" si="7"/>
        <v>21750</v>
      </c>
      <c r="AJ275" s="212"/>
    </row>
    <row r="276" spans="2:36" ht="14.4">
      <c r="B276" s="211"/>
      <c r="C276" s="213" t="s">
        <v>51</v>
      </c>
      <c r="D276" s="214">
        <v>2250</v>
      </c>
      <c r="E276" s="214">
        <v>2250</v>
      </c>
      <c r="F276" s="214">
        <v>0</v>
      </c>
      <c r="G276" s="214">
        <v>4500</v>
      </c>
      <c r="H276" s="214">
        <v>2250</v>
      </c>
      <c r="I276" s="214">
        <v>0</v>
      </c>
      <c r="J276" s="214">
        <v>0</v>
      </c>
      <c r="K276" s="214">
        <v>0</v>
      </c>
      <c r="L276" s="214">
        <v>0</v>
      </c>
      <c r="M276" s="214">
        <v>0</v>
      </c>
      <c r="N276" s="214">
        <v>0</v>
      </c>
      <c r="O276" s="214">
        <v>4500</v>
      </c>
      <c r="P276" s="214">
        <v>0</v>
      </c>
      <c r="Q276" s="214">
        <v>6750</v>
      </c>
      <c r="R276" s="214">
        <v>0</v>
      </c>
      <c r="S276" s="214">
        <v>0</v>
      </c>
      <c r="T276" s="214">
        <v>0</v>
      </c>
      <c r="U276" s="214">
        <v>0</v>
      </c>
      <c r="V276" s="214">
        <v>0</v>
      </c>
      <c r="W276" s="214">
        <v>0</v>
      </c>
      <c r="X276" s="214">
        <v>0</v>
      </c>
      <c r="Y276" s="214">
        <v>0</v>
      </c>
      <c r="Z276" s="214">
        <v>0</v>
      </c>
      <c r="AA276" s="214">
        <v>0</v>
      </c>
      <c r="AB276" s="214">
        <v>0</v>
      </c>
      <c r="AC276" s="214">
        <v>0</v>
      </c>
      <c r="AD276" s="214"/>
      <c r="AE276" s="420">
        <v>6750</v>
      </c>
      <c r="AF276" s="420">
        <v>0</v>
      </c>
      <c r="AG276" s="420">
        <v>0</v>
      </c>
      <c r="AH276" s="420"/>
      <c r="AI276" s="574">
        <f t="shared" si="7"/>
        <v>29250</v>
      </c>
      <c r="AJ276" s="212"/>
    </row>
    <row r="277" spans="2:36" ht="14.4">
      <c r="B277" s="211"/>
      <c r="C277" s="213" t="s">
        <v>52</v>
      </c>
      <c r="D277" s="214">
        <v>0</v>
      </c>
      <c r="E277" s="214">
        <v>0</v>
      </c>
      <c r="F277" s="214">
        <v>0</v>
      </c>
      <c r="G277" s="214">
        <v>0</v>
      </c>
      <c r="H277" s="214">
        <v>0</v>
      </c>
      <c r="I277" s="214">
        <v>0</v>
      </c>
      <c r="J277" s="214">
        <v>0</v>
      </c>
      <c r="K277" s="214">
        <v>0</v>
      </c>
      <c r="L277" s="214">
        <v>0</v>
      </c>
      <c r="M277" s="214">
        <v>0</v>
      </c>
      <c r="N277" s="214">
        <v>0</v>
      </c>
      <c r="O277" s="214">
        <v>0</v>
      </c>
      <c r="P277" s="214">
        <v>0</v>
      </c>
      <c r="Q277" s="214">
        <v>0</v>
      </c>
      <c r="R277" s="214">
        <v>0</v>
      </c>
      <c r="S277" s="214">
        <v>0</v>
      </c>
      <c r="T277" s="214">
        <v>0</v>
      </c>
      <c r="U277" s="214">
        <v>0</v>
      </c>
      <c r="V277" s="214">
        <v>0</v>
      </c>
      <c r="W277" s="214">
        <v>0</v>
      </c>
      <c r="X277" s="214">
        <v>0</v>
      </c>
      <c r="Y277" s="214">
        <v>0</v>
      </c>
      <c r="Z277" s="214">
        <v>0</v>
      </c>
      <c r="AA277" s="214">
        <v>0</v>
      </c>
      <c r="AB277" s="214">
        <v>0</v>
      </c>
      <c r="AC277" s="214">
        <v>0</v>
      </c>
      <c r="AD277" s="214"/>
      <c r="AE277" s="420">
        <v>0</v>
      </c>
      <c r="AF277" s="420">
        <v>0</v>
      </c>
      <c r="AG277" s="420">
        <v>0</v>
      </c>
      <c r="AH277" s="420"/>
      <c r="AI277" s="574">
        <f t="shared" si="7"/>
        <v>0</v>
      </c>
      <c r="AJ277" s="212"/>
    </row>
    <row r="278" spans="2:36" ht="14.4">
      <c r="B278" s="211"/>
      <c r="C278" s="213" t="s">
        <v>174</v>
      </c>
      <c r="D278" s="214">
        <v>0</v>
      </c>
      <c r="E278" s="214">
        <v>3952.5</v>
      </c>
      <c r="F278" s="214">
        <v>3952.5</v>
      </c>
      <c r="G278" s="214">
        <v>3952.5</v>
      </c>
      <c r="H278" s="214">
        <v>3952.5</v>
      </c>
      <c r="I278" s="214">
        <v>648</v>
      </c>
      <c r="J278" s="214">
        <v>648</v>
      </c>
      <c r="K278" s="214">
        <v>648</v>
      </c>
      <c r="L278" s="214">
        <v>648</v>
      </c>
      <c r="M278" s="214">
        <v>3952.5</v>
      </c>
      <c r="N278" s="214">
        <v>648</v>
      </c>
      <c r="O278" s="214">
        <v>3952.5</v>
      </c>
      <c r="P278" s="214">
        <v>3952.5</v>
      </c>
      <c r="Q278" s="214">
        <v>3952.5</v>
      </c>
      <c r="R278" s="214">
        <v>3952.5</v>
      </c>
      <c r="S278" s="214">
        <v>3952.5</v>
      </c>
      <c r="T278" s="214">
        <v>648</v>
      </c>
      <c r="U278" s="214">
        <v>648</v>
      </c>
      <c r="V278" s="214">
        <v>648</v>
      </c>
      <c r="W278" s="214">
        <v>648</v>
      </c>
      <c r="X278" s="214">
        <v>648</v>
      </c>
      <c r="Y278" s="214">
        <v>648</v>
      </c>
      <c r="Z278" s="214">
        <v>648</v>
      </c>
      <c r="AA278" s="214">
        <v>648</v>
      </c>
      <c r="AB278" s="214">
        <v>648</v>
      </c>
      <c r="AC278" s="214">
        <v>648</v>
      </c>
      <c r="AD278" s="214"/>
      <c r="AE278" s="420">
        <v>648</v>
      </c>
      <c r="AF278" s="420">
        <v>648</v>
      </c>
      <c r="AG278" s="420">
        <v>648</v>
      </c>
      <c r="AH278" s="420"/>
      <c r="AI278" s="574">
        <f t="shared" si="7"/>
        <v>51189</v>
      </c>
      <c r="AJ278" s="212"/>
    </row>
    <row r="279" spans="2:36" ht="14.4">
      <c r="B279" s="211"/>
      <c r="C279" s="213" t="s">
        <v>53</v>
      </c>
      <c r="D279" s="214">
        <v>9620</v>
      </c>
      <c r="E279" s="214">
        <v>700</v>
      </c>
      <c r="F279" s="214">
        <v>0</v>
      </c>
      <c r="G279" s="214">
        <v>43171.11</v>
      </c>
      <c r="H279" s="214">
        <v>0</v>
      </c>
      <c r="I279" s="214">
        <v>0</v>
      </c>
      <c r="J279" s="214">
        <v>0</v>
      </c>
      <c r="K279" s="214">
        <v>0</v>
      </c>
      <c r="L279" s="214">
        <v>0</v>
      </c>
      <c r="M279" s="214">
        <v>0</v>
      </c>
      <c r="N279" s="214">
        <v>3934</v>
      </c>
      <c r="O279" s="214">
        <v>0</v>
      </c>
      <c r="P279" s="214">
        <v>0</v>
      </c>
      <c r="Q279" s="214">
        <v>0</v>
      </c>
      <c r="R279" s="214">
        <v>400</v>
      </c>
      <c r="S279" s="214">
        <v>835</v>
      </c>
      <c r="T279" s="214">
        <v>0</v>
      </c>
      <c r="U279" s="214">
        <v>0</v>
      </c>
      <c r="V279" s="214">
        <v>0</v>
      </c>
      <c r="W279" s="214">
        <v>0</v>
      </c>
      <c r="X279" s="214">
        <v>0</v>
      </c>
      <c r="Y279" s="214">
        <v>0</v>
      </c>
      <c r="Z279" s="214">
        <v>0</v>
      </c>
      <c r="AA279" s="214">
        <v>0</v>
      </c>
      <c r="AB279" s="214">
        <v>0</v>
      </c>
      <c r="AC279" s="214">
        <v>0</v>
      </c>
      <c r="AD279" s="214"/>
      <c r="AE279" s="420">
        <v>0</v>
      </c>
      <c r="AF279" s="420">
        <v>0</v>
      </c>
      <c r="AG279" s="420">
        <v>0</v>
      </c>
      <c r="AH279" s="420"/>
      <c r="AI279" s="574">
        <f t="shared" si="7"/>
        <v>58660.11</v>
      </c>
      <c r="AJ279" s="212"/>
    </row>
    <row r="280" spans="2:36" ht="14.4">
      <c r="B280" s="211"/>
      <c r="C280" s="213" t="s">
        <v>191</v>
      </c>
      <c r="D280" s="214">
        <v>241186.75</v>
      </c>
      <c r="E280" s="214">
        <v>0</v>
      </c>
      <c r="F280" s="214">
        <v>640.94000000000005</v>
      </c>
      <c r="G280" s="214">
        <v>0</v>
      </c>
      <c r="H280" s="214">
        <v>0</v>
      </c>
      <c r="I280" s="214">
        <v>0</v>
      </c>
      <c r="J280" s="214">
        <v>0</v>
      </c>
      <c r="K280" s="214">
        <v>0</v>
      </c>
      <c r="L280" s="214">
        <v>0</v>
      </c>
      <c r="M280" s="214">
        <v>0</v>
      </c>
      <c r="N280" s="214">
        <v>0</v>
      </c>
      <c r="O280" s="214">
        <v>0</v>
      </c>
      <c r="P280" s="214">
        <v>0</v>
      </c>
      <c r="Q280" s="214">
        <v>0</v>
      </c>
      <c r="R280" s="214">
        <v>0</v>
      </c>
      <c r="S280" s="214">
        <v>0</v>
      </c>
      <c r="T280" s="214">
        <v>0</v>
      </c>
      <c r="U280" s="214">
        <v>0</v>
      </c>
      <c r="V280" s="214">
        <v>0</v>
      </c>
      <c r="W280" s="214">
        <v>0</v>
      </c>
      <c r="X280" s="214">
        <v>0</v>
      </c>
      <c r="Y280" s="214">
        <v>0</v>
      </c>
      <c r="Z280" s="214">
        <v>0</v>
      </c>
      <c r="AA280" s="214">
        <v>0</v>
      </c>
      <c r="AB280" s="214">
        <v>0</v>
      </c>
      <c r="AC280" s="214">
        <v>0</v>
      </c>
      <c r="AD280" s="214"/>
      <c r="AE280" s="420">
        <v>0</v>
      </c>
      <c r="AF280" s="420">
        <v>0</v>
      </c>
      <c r="AG280" s="420">
        <v>0</v>
      </c>
      <c r="AH280" s="420"/>
      <c r="AI280" s="574">
        <f t="shared" si="7"/>
        <v>241827.69</v>
      </c>
      <c r="AJ280" s="212"/>
    </row>
    <row r="281" spans="2:36" ht="14.4">
      <c r="B281" s="211"/>
      <c r="C281" s="213" t="s">
        <v>29</v>
      </c>
      <c r="D281" s="214">
        <v>0</v>
      </c>
      <c r="E281" s="214">
        <v>0</v>
      </c>
      <c r="F281" s="214">
        <v>205</v>
      </c>
      <c r="G281" s="214">
        <v>165</v>
      </c>
      <c r="H281" s="214">
        <v>0</v>
      </c>
      <c r="I281" s="214">
        <v>0</v>
      </c>
      <c r="J281" s="214">
        <v>0</v>
      </c>
      <c r="K281" s="214">
        <v>0</v>
      </c>
      <c r="L281" s="214">
        <v>0</v>
      </c>
      <c r="M281" s="214">
        <v>0</v>
      </c>
      <c r="N281" s="214">
        <v>0</v>
      </c>
      <c r="O281" s="214">
        <v>0</v>
      </c>
      <c r="P281" s="214">
        <v>0</v>
      </c>
      <c r="Q281" s="214">
        <v>0</v>
      </c>
      <c r="R281" s="214">
        <v>0</v>
      </c>
      <c r="S281" s="214">
        <v>0</v>
      </c>
      <c r="T281" s="214">
        <v>0</v>
      </c>
      <c r="U281" s="214">
        <v>0</v>
      </c>
      <c r="V281" s="214">
        <v>0</v>
      </c>
      <c r="W281" s="214">
        <v>0</v>
      </c>
      <c r="X281" s="214">
        <v>0</v>
      </c>
      <c r="Y281" s="214">
        <v>0</v>
      </c>
      <c r="Z281" s="214">
        <v>0</v>
      </c>
      <c r="AA281" s="214">
        <v>0</v>
      </c>
      <c r="AB281" s="214">
        <v>0</v>
      </c>
      <c r="AC281" s="214">
        <v>0</v>
      </c>
      <c r="AD281" s="214"/>
      <c r="AE281" s="420">
        <v>0</v>
      </c>
      <c r="AF281" s="420">
        <v>0</v>
      </c>
      <c r="AG281" s="420">
        <v>0</v>
      </c>
      <c r="AH281" s="420"/>
      <c r="AI281" s="574">
        <f t="shared" si="7"/>
        <v>370</v>
      </c>
      <c r="AJ281" s="212"/>
    </row>
    <row r="282" spans="2:36" ht="14.4">
      <c r="B282" s="211"/>
      <c r="C282" s="213" t="s">
        <v>54</v>
      </c>
      <c r="D282" s="214">
        <v>0</v>
      </c>
      <c r="E282" s="214">
        <v>0</v>
      </c>
      <c r="F282" s="214">
        <v>0</v>
      </c>
      <c r="G282" s="214">
        <v>0</v>
      </c>
      <c r="H282" s="214">
        <v>0</v>
      </c>
      <c r="I282" s="214">
        <v>0</v>
      </c>
      <c r="J282" s="214">
        <v>0</v>
      </c>
      <c r="K282" s="214">
        <v>0</v>
      </c>
      <c r="L282" s="214">
        <v>0</v>
      </c>
      <c r="M282" s="214">
        <v>0</v>
      </c>
      <c r="N282" s="214">
        <v>0</v>
      </c>
      <c r="O282" s="214">
        <v>0</v>
      </c>
      <c r="P282" s="214">
        <v>0</v>
      </c>
      <c r="Q282" s="214">
        <v>0</v>
      </c>
      <c r="R282" s="214">
        <v>0</v>
      </c>
      <c r="S282" s="214">
        <v>0</v>
      </c>
      <c r="T282" s="214">
        <v>0</v>
      </c>
      <c r="U282" s="214">
        <v>0</v>
      </c>
      <c r="V282" s="214">
        <v>0</v>
      </c>
      <c r="W282" s="214">
        <v>0</v>
      </c>
      <c r="X282" s="214">
        <v>0</v>
      </c>
      <c r="Y282" s="214">
        <v>0</v>
      </c>
      <c r="Z282" s="214">
        <v>0</v>
      </c>
      <c r="AA282" s="214">
        <v>0</v>
      </c>
      <c r="AB282" s="214">
        <v>0</v>
      </c>
      <c r="AC282" s="214">
        <v>0</v>
      </c>
      <c r="AD282" s="214"/>
      <c r="AE282" s="420">
        <v>0</v>
      </c>
      <c r="AF282" s="420">
        <v>0</v>
      </c>
      <c r="AG282" s="420">
        <v>0</v>
      </c>
      <c r="AH282" s="420"/>
      <c r="AI282" s="574">
        <f t="shared" si="7"/>
        <v>0</v>
      </c>
      <c r="AJ282" s="212"/>
    </row>
    <row r="283" spans="2:36" ht="14.4">
      <c r="B283" s="211"/>
      <c r="C283" s="213" t="s">
        <v>31</v>
      </c>
      <c r="D283" s="214">
        <v>702</v>
      </c>
      <c r="E283" s="214">
        <v>330</v>
      </c>
      <c r="F283" s="214">
        <v>60</v>
      </c>
      <c r="G283" s="214">
        <v>80</v>
      </c>
      <c r="H283" s="214">
        <v>0</v>
      </c>
      <c r="I283" s="214">
        <v>0</v>
      </c>
      <c r="J283" s="214">
        <v>0</v>
      </c>
      <c r="K283" s="214">
        <v>0</v>
      </c>
      <c r="L283" s="214">
        <v>0</v>
      </c>
      <c r="M283" s="214">
        <v>325</v>
      </c>
      <c r="N283" s="214">
        <v>0</v>
      </c>
      <c r="O283" s="214">
        <v>151</v>
      </c>
      <c r="P283" s="214">
        <v>195</v>
      </c>
      <c r="Q283" s="214">
        <v>479</v>
      </c>
      <c r="R283" s="214">
        <v>65</v>
      </c>
      <c r="S283" s="214">
        <v>80</v>
      </c>
      <c r="T283" s="214">
        <v>0</v>
      </c>
      <c r="U283" s="214">
        <v>0</v>
      </c>
      <c r="V283" s="214">
        <v>0</v>
      </c>
      <c r="W283" s="214">
        <v>0</v>
      </c>
      <c r="X283" s="214">
        <v>0</v>
      </c>
      <c r="Y283" s="214">
        <v>0</v>
      </c>
      <c r="Z283" s="214">
        <v>0</v>
      </c>
      <c r="AA283" s="214">
        <v>0</v>
      </c>
      <c r="AB283" s="214">
        <v>0</v>
      </c>
      <c r="AC283" s="214">
        <v>0</v>
      </c>
      <c r="AD283" s="214"/>
      <c r="AE283" s="420">
        <v>307</v>
      </c>
      <c r="AF283" s="420">
        <v>0</v>
      </c>
      <c r="AG283" s="420">
        <v>0</v>
      </c>
      <c r="AH283" s="420"/>
      <c r="AI283" s="574">
        <f t="shared" si="7"/>
        <v>2774</v>
      </c>
      <c r="AJ283" s="212"/>
    </row>
    <row r="284" spans="2:36" ht="14.4">
      <c r="B284" s="211"/>
      <c r="C284" s="213" t="s">
        <v>55</v>
      </c>
      <c r="D284" s="214">
        <v>100</v>
      </c>
      <c r="E284" s="214">
        <v>75</v>
      </c>
      <c r="F284" s="214">
        <v>0</v>
      </c>
      <c r="G284" s="214">
        <v>80</v>
      </c>
      <c r="H284" s="214">
        <v>0</v>
      </c>
      <c r="I284" s="214">
        <v>0</v>
      </c>
      <c r="J284" s="214">
        <v>0</v>
      </c>
      <c r="K284" s="214">
        <v>0</v>
      </c>
      <c r="L284" s="214">
        <v>0</v>
      </c>
      <c r="M284" s="214">
        <v>0</v>
      </c>
      <c r="N284" s="214">
        <v>0</v>
      </c>
      <c r="O284" s="214">
        <v>0</v>
      </c>
      <c r="P284" s="214">
        <v>100</v>
      </c>
      <c r="Q284" s="214">
        <v>0</v>
      </c>
      <c r="R284" s="214">
        <v>0</v>
      </c>
      <c r="S284" s="214">
        <v>0</v>
      </c>
      <c r="T284" s="214">
        <v>0</v>
      </c>
      <c r="U284" s="214">
        <v>0</v>
      </c>
      <c r="V284" s="214">
        <v>0</v>
      </c>
      <c r="W284" s="214">
        <v>0</v>
      </c>
      <c r="X284" s="214">
        <v>0</v>
      </c>
      <c r="Y284" s="214">
        <v>0</v>
      </c>
      <c r="Z284" s="214">
        <v>0</v>
      </c>
      <c r="AA284" s="214">
        <v>0</v>
      </c>
      <c r="AB284" s="214">
        <v>0</v>
      </c>
      <c r="AC284" s="214">
        <v>0</v>
      </c>
      <c r="AD284" s="214"/>
      <c r="AE284" s="420">
        <v>0</v>
      </c>
      <c r="AF284" s="420">
        <v>0</v>
      </c>
      <c r="AG284" s="420">
        <v>0</v>
      </c>
      <c r="AH284" s="420"/>
      <c r="AI284" s="574">
        <f t="shared" si="7"/>
        <v>355</v>
      </c>
      <c r="AJ284" s="212"/>
    </row>
    <row r="285" spans="2:36" ht="14.4">
      <c r="B285" s="211"/>
      <c r="C285" s="213" t="s">
        <v>56</v>
      </c>
      <c r="D285" s="214">
        <v>393.97</v>
      </c>
      <c r="E285" s="214">
        <v>217.24</v>
      </c>
      <c r="F285" s="214">
        <v>217.24</v>
      </c>
      <c r="G285" s="214">
        <v>139.91</v>
      </c>
      <c r="H285" s="214">
        <v>95.73</v>
      </c>
      <c r="I285" s="214">
        <v>0</v>
      </c>
      <c r="J285" s="214">
        <v>0</v>
      </c>
      <c r="K285" s="214">
        <v>0</v>
      </c>
      <c r="L285" s="214">
        <v>0</v>
      </c>
      <c r="M285" s="214">
        <v>0</v>
      </c>
      <c r="N285" s="214">
        <v>0</v>
      </c>
      <c r="O285" s="214">
        <v>69.959999999999994</v>
      </c>
      <c r="P285" s="214">
        <v>0</v>
      </c>
      <c r="Q285" s="214">
        <v>209.87</v>
      </c>
      <c r="R285" s="214">
        <v>0</v>
      </c>
      <c r="S285" s="214">
        <v>0</v>
      </c>
      <c r="T285" s="214">
        <v>0</v>
      </c>
      <c r="U285" s="214">
        <v>0</v>
      </c>
      <c r="V285" s="214">
        <v>0</v>
      </c>
      <c r="W285" s="214">
        <v>0</v>
      </c>
      <c r="X285" s="214">
        <v>0</v>
      </c>
      <c r="Y285" s="214">
        <v>0</v>
      </c>
      <c r="Z285" s="214">
        <v>0</v>
      </c>
      <c r="AA285" s="214">
        <v>0</v>
      </c>
      <c r="AB285" s="214">
        <v>0</v>
      </c>
      <c r="AC285" s="214">
        <v>0</v>
      </c>
      <c r="AD285" s="214"/>
      <c r="AE285" s="420">
        <v>0</v>
      </c>
      <c r="AF285" s="420">
        <v>0</v>
      </c>
      <c r="AG285" s="420">
        <v>0</v>
      </c>
      <c r="AH285" s="420"/>
      <c r="AI285" s="574">
        <f t="shared" si="7"/>
        <v>1343.92</v>
      </c>
      <c r="AJ285" s="212"/>
    </row>
    <row r="286" spans="2:36" ht="14.4">
      <c r="B286" s="211"/>
      <c r="C286" s="213" t="s">
        <v>57</v>
      </c>
      <c r="D286" s="214">
        <v>0</v>
      </c>
      <c r="E286" s="214">
        <v>0</v>
      </c>
      <c r="F286" s="214">
        <v>0</v>
      </c>
      <c r="G286" s="214">
        <v>2000</v>
      </c>
      <c r="H286" s="214">
        <v>0</v>
      </c>
      <c r="I286" s="214">
        <v>0</v>
      </c>
      <c r="J286" s="214">
        <v>0</v>
      </c>
      <c r="K286" s="214">
        <v>0</v>
      </c>
      <c r="L286" s="214">
        <v>0</v>
      </c>
      <c r="M286" s="214">
        <v>0</v>
      </c>
      <c r="N286" s="214">
        <v>0</v>
      </c>
      <c r="O286" s="214">
        <v>0</v>
      </c>
      <c r="P286" s="214">
        <v>0</v>
      </c>
      <c r="Q286" s="214">
        <v>0</v>
      </c>
      <c r="R286" s="214">
        <v>0</v>
      </c>
      <c r="S286" s="214">
        <v>0</v>
      </c>
      <c r="T286" s="214">
        <v>0</v>
      </c>
      <c r="U286" s="214">
        <v>0</v>
      </c>
      <c r="V286" s="214">
        <v>0</v>
      </c>
      <c r="W286" s="214">
        <v>0</v>
      </c>
      <c r="X286" s="214">
        <v>0</v>
      </c>
      <c r="Y286" s="214">
        <v>0</v>
      </c>
      <c r="Z286" s="214">
        <v>0</v>
      </c>
      <c r="AA286" s="214">
        <v>0</v>
      </c>
      <c r="AB286" s="214">
        <v>0</v>
      </c>
      <c r="AC286" s="214">
        <v>0</v>
      </c>
      <c r="AD286" s="214"/>
      <c r="AE286" s="420">
        <v>0</v>
      </c>
      <c r="AF286" s="420">
        <v>0</v>
      </c>
      <c r="AG286" s="420">
        <v>0</v>
      </c>
      <c r="AH286" s="420"/>
      <c r="AI286" s="574">
        <f t="shared" si="7"/>
        <v>2000</v>
      </c>
      <c r="AJ286" s="212"/>
    </row>
    <row r="287" spans="2:36" ht="14.4">
      <c r="B287" s="211"/>
      <c r="C287" s="213" t="s">
        <v>58</v>
      </c>
      <c r="D287" s="214">
        <v>370</v>
      </c>
      <c r="E287" s="214">
        <v>0</v>
      </c>
      <c r="F287" s="214">
        <v>0</v>
      </c>
      <c r="G287" s="214">
        <v>0</v>
      </c>
      <c r="H287" s="214">
        <v>0</v>
      </c>
      <c r="I287" s="214">
        <v>0</v>
      </c>
      <c r="J287" s="214">
        <v>0</v>
      </c>
      <c r="K287" s="214">
        <v>0</v>
      </c>
      <c r="L287" s="214">
        <v>0</v>
      </c>
      <c r="M287" s="214">
        <v>0</v>
      </c>
      <c r="N287" s="214">
        <v>0</v>
      </c>
      <c r="O287" s="214">
        <v>0</v>
      </c>
      <c r="P287" s="214">
        <v>0</v>
      </c>
      <c r="Q287" s="214">
        <v>0</v>
      </c>
      <c r="R287" s="214">
        <v>0</v>
      </c>
      <c r="S287" s="214">
        <v>50</v>
      </c>
      <c r="T287" s="214">
        <v>0</v>
      </c>
      <c r="U287" s="214">
        <v>0</v>
      </c>
      <c r="V287" s="214">
        <v>0</v>
      </c>
      <c r="W287" s="214">
        <v>0</v>
      </c>
      <c r="X287" s="214">
        <v>0</v>
      </c>
      <c r="Y287" s="214">
        <v>0</v>
      </c>
      <c r="Z287" s="214">
        <v>0</v>
      </c>
      <c r="AA287" s="214">
        <v>0</v>
      </c>
      <c r="AB287" s="214">
        <v>0</v>
      </c>
      <c r="AC287" s="214">
        <v>0</v>
      </c>
      <c r="AD287" s="214"/>
      <c r="AE287" s="420">
        <v>0</v>
      </c>
      <c r="AF287" s="420">
        <v>0</v>
      </c>
      <c r="AG287" s="420">
        <v>0</v>
      </c>
      <c r="AH287" s="420"/>
      <c r="AI287" s="574">
        <f t="shared" si="7"/>
        <v>420</v>
      </c>
      <c r="AJ287" s="212"/>
    </row>
    <row r="288" spans="2:36" ht="14.4">
      <c r="B288" s="211"/>
      <c r="C288" s="213" t="s">
        <v>59</v>
      </c>
      <c r="D288" s="214">
        <v>0</v>
      </c>
      <c r="E288" s="214">
        <v>0</v>
      </c>
      <c r="F288" s="214">
        <v>0</v>
      </c>
      <c r="G288" s="214">
        <v>0</v>
      </c>
      <c r="H288" s="214">
        <v>0</v>
      </c>
      <c r="I288" s="214">
        <v>0</v>
      </c>
      <c r="J288" s="214">
        <v>0</v>
      </c>
      <c r="K288" s="214">
        <v>0</v>
      </c>
      <c r="L288" s="214">
        <v>0</v>
      </c>
      <c r="M288" s="214">
        <v>0</v>
      </c>
      <c r="N288" s="214">
        <v>0</v>
      </c>
      <c r="O288" s="214">
        <v>0</v>
      </c>
      <c r="P288" s="214">
        <v>0</v>
      </c>
      <c r="Q288" s="214">
        <v>0</v>
      </c>
      <c r="R288" s="214">
        <v>0</v>
      </c>
      <c r="S288" s="214">
        <v>0</v>
      </c>
      <c r="T288" s="214">
        <v>0</v>
      </c>
      <c r="U288" s="214">
        <v>0</v>
      </c>
      <c r="V288" s="214">
        <v>0</v>
      </c>
      <c r="W288" s="214">
        <v>0</v>
      </c>
      <c r="X288" s="214">
        <v>0</v>
      </c>
      <c r="Y288" s="214">
        <v>0</v>
      </c>
      <c r="Z288" s="214">
        <v>0</v>
      </c>
      <c r="AA288" s="214">
        <v>0</v>
      </c>
      <c r="AB288" s="214">
        <v>0</v>
      </c>
      <c r="AC288" s="214">
        <v>0</v>
      </c>
      <c r="AD288" s="214"/>
      <c r="AE288" s="420">
        <v>0</v>
      </c>
      <c r="AF288" s="420">
        <v>0</v>
      </c>
      <c r="AG288" s="420">
        <v>0</v>
      </c>
      <c r="AH288" s="420"/>
      <c r="AI288" s="574">
        <f t="shared" si="7"/>
        <v>0</v>
      </c>
      <c r="AJ288" s="212"/>
    </row>
    <row r="289" spans="2:36" ht="14.4">
      <c r="B289" s="211"/>
      <c r="C289" s="213" t="s">
        <v>60</v>
      </c>
      <c r="D289" s="214">
        <v>0</v>
      </c>
      <c r="E289" s="214">
        <v>0</v>
      </c>
      <c r="F289" s="214">
        <v>0</v>
      </c>
      <c r="G289" s="214">
        <v>0</v>
      </c>
      <c r="H289" s="214">
        <v>0</v>
      </c>
      <c r="I289" s="214">
        <v>0</v>
      </c>
      <c r="J289" s="214">
        <v>0</v>
      </c>
      <c r="K289" s="214">
        <v>0</v>
      </c>
      <c r="L289" s="214">
        <v>0</v>
      </c>
      <c r="M289" s="214">
        <v>0</v>
      </c>
      <c r="N289" s="214">
        <v>0</v>
      </c>
      <c r="O289" s="214">
        <v>0</v>
      </c>
      <c r="P289" s="214">
        <v>0</v>
      </c>
      <c r="Q289" s="214">
        <v>0</v>
      </c>
      <c r="R289" s="214">
        <v>0</v>
      </c>
      <c r="S289" s="214">
        <v>0</v>
      </c>
      <c r="T289" s="214">
        <v>0</v>
      </c>
      <c r="U289" s="214">
        <v>0</v>
      </c>
      <c r="V289" s="214">
        <v>0</v>
      </c>
      <c r="W289" s="214">
        <v>0</v>
      </c>
      <c r="X289" s="214">
        <v>0</v>
      </c>
      <c r="Y289" s="214">
        <v>0</v>
      </c>
      <c r="Z289" s="214">
        <v>0</v>
      </c>
      <c r="AA289" s="214">
        <v>0</v>
      </c>
      <c r="AB289" s="214">
        <v>0</v>
      </c>
      <c r="AC289" s="214">
        <v>0</v>
      </c>
      <c r="AD289" s="214"/>
      <c r="AE289" s="420">
        <v>0</v>
      </c>
      <c r="AF289" s="420">
        <v>0</v>
      </c>
      <c r="AG289" s="420">
        <v>0</v>
      </c>
      <c r="AH289" s="420"/>
      <c r="AI289" s="574">
        <f t="shared" si="7"/>
        <v>0</v>
      </c>
      <c r="AJ289" s="212"/>
    </row>
    <row r="290" spans="2:36" ht="14.4">
      <c r="B290" s="211"/>
      <c r="C290" s="213" t="s">
        <v>61</v>
      </c>
      <c r="D290" s="214">
        <v>1950</v>
      </c>
      <c r="E290" s="214">
        <v>0</v>
      </c>
      <c r="F290" s="214">
        <v>200</v>
      </c>
      <c r="G290" s="214">
        <v>0</v>
      </c>
      <c r="H290" s="214">
        <v>9875</v>
      </c>
      <c r="I290" s="214">
        <v>0</v>
      </c>
      <c r="J290" s="214">
        <v>430</v>
      </c>
      <c r="K290" s="214">
        <v>0</v>
      </c>
      <c r="L290" s="214">
        <v>0</v>
      </c>
      <c r="M290" s="214">
        <v>0</v>
      </c>
      <c r="N290" s="214">
        <v>0</v>
      </c>
      <c r="O290" s="214">
        <v>0</v>
      </c>
      <c r="P290" s="214">
        <v>0</v>
      </c>
      <c r="Q290" s="214">
        <v>14200</v>
      </c>
      <c r="R290" s="214">
        <v>0</v>
      </c>
      <c r="S290" s="214">
        <v>0</v>
      </c>
      <c r="T290" s="214">
        <v>0</v>
      </c>
      <c r="U290" s="214">
        <v>0</v>
      </c>
      <c r="V290" s="214">
        <v>0</v>
      </c>
      <c r="W290" s="214">
        <v>0</v>
      </c>
      <c r="X290" s="214">
        <v>0</v>
      </c>
      <c r="Y290" s="214">
        <v>0</v>
      </c>
      <c r="Z290" s="214">
        <v>0</v>
      </c>
      <c r="AA290" s="214">
        <v>0</v>
      </c>
      <c r="AB290" s="214">
        <v>0</v>
      </c>
      <c r="AC290" s="214">
        <v>0</v>
      </c>
      <c r="AD290" s="214"/>
      <c r="AE290" s="420">
        <v>1000</v>
      </c>
      <c r="AF290" s="420">
        <v>0</v>
      </c>
      <c r="AG290" s="420">
        <v>0</v>
      </c>
      <c r="AH290" s="420"/>
      <c r="AI290" s="574">
        <f t="shared" si="7"/>
        <v>27655</v>
      </c>
      <c r="AJ290" s="212"/>
    </row>
    <row r="291" spans="2:36" ht="14.4">
      <c r="B291" s="211"/>
      <c r="C291" s="213" t="s">
        <v>62</v>
      </c>
      <c r="D291" s="214">
        <v>17225</v>
      </c>
      <c r="E291" s="214">
        <v>0</v>
      </c>
      <c r="F291" s="214">
        <v>0</v>
      </c>
      <c r="G291" s="214">
        <v>0</v>
      </c>
      <c r="H291" s="214">
        <v>0</v>
      </c>
      <c r="I291" s="214">
        <v>500</v>
      </c>
      <c r="J291" s="214">
        <v>0</v>
      </c>
      <c r="K291" s="214">
        <v>0</v>
      </c>
      <c r="L291" s="214">
        <v>0</v>
      </c>
      <c r="M291" s="214">
        <v>0</v>
      </c>
      <c r="N291" s="214">
        <v>0</v>
      </c>
      <c r="O291" s="214">
        <v>3000</v>
      </c>
      <c r="P291" s="214">
        <v>0</v>
      </c>
      <c r="Q291" s="214">
        <v>0</v>
      </c>
      <c r="R291" s="214">
        <v>0</v>
      </c>
      <c r="S291" s="214">
        <v>0</v>
      </c>
      <c r="T291" s="214">
        <v>0</v>
      </c>
      <c r="U291" s="214">
        <v>0</v>
      </c>
      <c r="V291" s="214">
        <v>0</v>
      </c>
      <c r="W291" s="214">
        <v>0</v>
      </c>
      <c r="X291" s="214">
        <v>0</v>
      </c>
      <c r="Y291" s="214">
        <v>0</v>
      </c>
      <c r="Z291" s="214">
        <v>0</v>
      </c>
      <c r="AA291" s="214">
        <v>0</v>
      </c>
      <c r="AB291" s="214">
        <v>0</v>
      </c>
      <c r="AC291" s="214">
        <v>0</v>
      </c>
      <c r="AD291" s="214"/>
      <c r="AE291" s="420">
        <v>0</v>
      </c>
      <c r="AF291" s="420">
        <v>0</v>
      </c>
      <c r="AG291" s="420">
        <v>0</v>
      </c>
      <c r="AH291" s="420"/>
      <c r="AI291" s="574">
        <f t="shared" si="7"/>
        <v>20725</v>
      </c>
      <c r="AJ291" s="212"/>
    </row>
    <row r="292" spans="2:36" ht="14.4">
      <c r="B292" s="211"/>
      <c r="C292" s="213" t="s">
        <v>63</v>
      </c>
      <c r="D292" s="214">
        <v>0</v>
      </c>
      <c r="E292" s="214">
        <v>0</v>
      </c>
      <c r="F292" s="214">
        <v>0</v>
      </c>
      <c r="G292" s="214">
        <v>0</v>
      </c>
      <c r="H292" s="214">
        <v>0</v>
      </c>
      <c r="I292" s="214">
        <v>0</v>
      </c>
      <c r="J292" s="214">
        <v>0</v>
      </c>
      <c r="K292" s="214">
        <v>0</v>
      </c>
      <c r="L292" s="214">
        <v>0</v>
      </c>
      <c r="M292" s="214">
        <v>0</v>
      </c>
      <c r="N292" s="214">
        <v>0</v>
      </c>
      <c r="O292" s="214">
        <v>0</v>
      </c>
      <c r="P292" s="214">
        <v>0</v>
      </c>
      <c r="Q292" s="214">
        <v>0</v>
      </c>
      <c r="R292" s="214">
        <v>0</v>
      </c>
      <c r="S292" s="214">
        <v>0</v>
      </c>
      <c r="T292" s="214">
        <v>0</v>
      </c>
      <c r="U292" s="214">
        <v>0</v>
      </c>
      <c r="V292" s="214">
        <v>0</v>
      </c>
      <c r="W292" s="214">
        <v>0</v>
      </c>
      <c r="X292" s="214">
        <v>0</v>
      </c>
      <c r="Y292" s="214">
        <v>0</v>
      </c>
      <c r="Z292" s="214">
        <v>0</v>
      </c>
      <c r="AA292" s="214">
        <v>0</v>
      </c>
      <c r="AB292" s="214">
        <v>0</v>
      </c>
      <c r="AC292" s="214">
        <v>0</v>
      </c>
      <c r="AD292" s="214"/>
      <c r="AE292" s="420">
        <v>0</v>
      </c>
      <c r="AF292" s="420">
        <v>0</v>
      </c>
      <c r="AG292" s="420">
        <v>0</v>
      </c>
      <c r="AH292" s="420"/>
      <c r="AI292" s="574">
        <f t="shared" si="7"/>
        <v>0</v>
      </c>
      <c r="AJ292" s="212"/>
    </row>
    <row r="293" spans="2:36" ht="14.4">
      <c r="B293" s="211"/>
      <c r="C293" s="213" t="s">
        <v>64</v>
      </c>
      <c r="D293" s="214">
        <v>4500</v>
      </c>
      <c r="E293" s="214">
        <v>29500</v>
      </c>
      <c r="F293" s="214">
        <v>25100</v>
      </c>
      <c r="G293" s="214">
        <v>17400</v>
      </c>
      <c r="H293" s="214">
        <v>30500</v>
      </c>
      <c r="I293" s="214">
        <v>0</v>
      </c>
      <c r="J293" s="214">
        <v>0</v>
      </c>
      <c r="K293" s="214">
        <v>0</v>
      </c>
      <c r="L293" s="214">
        <v>0</v>
      </c>
      <c r="M293" s="214">
        <v>8700</v>
      </c>
      <c r="N293" s="214">
        <v>0</v>
      </c>
      <c r="O293" s="214">
        <v>17000</v>
      </c>
      <c r="P293" s="214">
        <v>4250</v>
      </c>
      <c r="Q293" s="214">
        <v>25300</v>
      </c>
      <c r="R293" s="214">
        <v>1900</v>
      </c>
      <c r="S293" s="214">
        <v>11300</v>
      </c>
      <c r="T293" s="214">
        <v>0</v>
      </c>
      <c r="U293" s="214">
        <v>0</v>
      </c>
      <c r="V293" s="214">
        <v>0</v>
      </c>
      <c r="W293" s="214">
        <v>0</v>
      </c>
      <c r="X293" s="214">
        <v>0</v>
      </c>
      <c r="Y293" s="214">
        <v>0</v>
      </c>
      <c r="Z293" s="214">
        <v>0</v>
      </c>
      <c r="AA293" s="214">
        <v>0</v>
      </c>
      <c r="AB293" s="214">
        <v>0</v>
      </c>
      <c r="AC293" s="214">
        <v>0</v>
      </c>
      <c r="AD293" s="214"/>
      <c r="AE293" s="420">
        <v>12200</v>
      </c>
      <c r="AF293" s="420">
        <v>0</v>
      </c>
      <c r="AG293" s="420">
        <v>0</v>
      </c>
      <c r="AH293" s="420"/>
      <c r="AI293" s="574">
        <f t="shared" si="7"/>
        <v>187650</v>
      </c>
      <c r="AJ293" s="212"/>
    </row>
    <row r="294" spans="2:36" ht="14.4">
      <c r="B294" s="211"/>
      <c r="C294" s="213" t="s">
        <v>28</v>
      </c>
      <c r="D294" s="214">
        <v>6760</v>
      </c>
      <c r="E294" s="214">
        <v>0</v>
      </c>
      <c r="F294" s="214">
        <v>0</v>
      </c>
      <c r="G294" s="214">
        <v>0</v>
      </c>
      <c r="H294" s="214">
        <v>0</v>
      </c>
      <c r="I294" s="214">
        <v>0</v>
      </c>
      <c r="J294" s="214">
        <v>0</v>
      </c>
      <c r="K294" s="214">
        <v>0</v>
      </c>
      <c r="L294" s="214">
        <v>0</v>
      </c>
      <c r="M294" s="214">
        <v>0</v>
      </c>
      <c r="N294" s="214">
        <v>0</v>
      </c>
      <c r="O294" s="214">
        <v>0</v>
      </c>
      <c r="P294" s="214">
        <v>0</v>
      </c>
      <c r="Q294" s="214">
        <v>0</v>
      </c>
      <c r="R294" s="214">
        <v>0</v>
      </c>
      <c r="S294" s="214">
        <v>0</v>
      </c>
      <c r="T294" s="214">
        <v>0</v>
      </c>
      <c r="U294" s="214">
        <v>0</v>
      </c>
      <c r="V294" s="214">
        <v>0</v>
      </c>
      <c r="W294" s="214">
        <v>0</v>
      </c>
      <c r="X294" s="214">
        <v>0</v>
      </c>
      <c r="Y294" s="214">
        <v>0</v>
      </c>
      <c r="Z294" s="214">
        <v>0</v>
      </c>
      <c r="AA294" s="214">
        <v>0</v>
      </c>
      <c r="AB294" s="214">
        <v>0</v>
      </c>
      <c r="AC294" s="214">
        <v>0</v>
      </c>
      <c r="AD294" s="214"/>
      <c r="AE294" s="420">
        <v>0</v>
      </c>
      <c r="AF294" s="420">
        <v>0</v>
      </c>
      <c r="AG294" s="420">
        <v>0</v>
      </c>
      <c r="AH294" s="420"/>
      <c r="AI294" s="574">
        <f t="shared" si="7"/>
        <v>6760</v>
      </c>
      <c r="AJ294" s="212"/>
    </row>
    <row r="295" spans="2:36" ht="14.4">
      <c r="B295" s="211"/>
      <c r="C295" s="213" t="s">
        <v>157</v>
      </c>
      <c r="D295" s="214">
        <v>0</v>
      </c>
      <c r="E295" s="214">
        <v>2000.82</v>
      </c>
      <c r="F295" s="214">
        <v>0</v>
      </c>
      <c r="G295" s="214">
        <v>0</v>
      </c>
      <c r="H295" s="214">
        <v>0</v>
      </c>
      <c r="I295" s="214">
        <v>0</v>
      </c>
      <c r="J295" s="214">
        <v>0</v>
      </c>
      <c r="K295" s="214">
        <v>0</v>
      </c>
      <c r="L295" s="214">
        <v>0</v>
      </c>
      <c r="M295" s="214">
        <v>0</v>
      </c>
      <c r="N295" s="214">
        <v>0</v>
      </c>
      <c r="O295" s="214">
        <v>0</v>
      </c>
      <c r="P295" s="214">
        <v>577.66</v>
      </c>
      <c r="Q295" s="214">
        <v>1139.81</v>
      </c>
      <c r="R295" s="214">
        <v>0</v>
      </c>
      <c r="S295" s="214">
        <v>0</v>
      </c>
      <c r="T295" s="214">
        <v>0</v>
      </c>
      <c r="U295" s="214">
        <v>0</v>
      </c>
      <c r="V295" s="214">
        <v>0</v>
      </c>
      <c r="W295" s="214">
        <v>0</v>
      </c>
      <c r="X295" s="214">
        <v>0</v>
      </c>
      <c r="Y295" s="214">
        <v>0</v>
      </c>
      <c r="Z295" s="214">
        <v>0</v>
      </c>
      <c r="AA295" s="214">
        <v>0</v>
      </c>
      <c r="AB295" s="214">
        <v>0</v>
      </c>
      <c r="AC295" s="214">
        <v>0</v>
      </c>
      <c r="AD295" s="214"/>
      <c r="AE295" s="420">
        <v>0</v>
      </c>
      <c r="AF295" s="420">
        <v>0</v>
      </c>
      <c r="AG295" s="420">
        <v>0</v>
      </c>
      <c r="AH295" s="420"/>
      <c r="AI295" s="574">
        <f t="shared" si="7"/>
        <v>3718.29</v>
      </c>
      <c r="AJ295" s="212"/>
    </row>
    <row r="296" spans="2:36" ht="14.4">
      <c r="B296" s="211"/>
      <c r="C296" s="213" t="s">
        <v>65</v>
      </c>
      <c r="D296" s="214">
        <v>28000</v>
      </c>
      <c r="E296" s="214">
        <v>0</v>
      </c>
      <c r="F296" s="214">
        <v>0</v>
      </c>
      <c r="G296" s="214">
        <v>0</v>
      </c>
      <c r="H296" s="214">
        <v>0</v>
      </c>
      <c r="I296" s="214">
        <v>0</v>
      </c>
      <c r="J296" s="214">
        <v>0</v>
      </c>
      <c r="K296" s="214">
        <v>0</v>
      </c>
      <c r="L296" s="214">
        <v>0</v>
      </c>
      <c r="M296" s="214">
        <v>0</v>
      </c>
      <c r="N296" s="214">
        <v>0</v>
      </c>
      <c r="O296" s="214">
        <v>0</v>
      </c>
      <c r="P296" s="214">
        <v>0</v>
      </c>
      <c r="Q296" s="214">
        <v>0</v>
      </c>
      <c r="R296" s="214">
        <v>0</v>
      </c>
      <c r="S296" s="214">
        <v>0</v>
      </c>
      <c r="T296" s="214">
        <v>0</v>
      </c>
      <c r="U296" s="214">
        <v>0</v>
      </c>
      <c r="V296" s="214">
        <v>0</v>
      </c>
      <c r="W296" s="214">
        <v>0</v>
      </c>
      <c r="X296" s="214">
        <v>0</v>
      </c>
      <c r="Y296" s="214">
        <v>0</v>
      </c>
      <c r="Z296" s="214">
        <v>0</v>
      </c>
      <c r="AA296" s="214">
        <v>0</v>
      </c>
      <c r="AB296" s="214">
        <v>0</v>
      </c>
      <c r="AC296" s="214">
        <v>0</v>
      </c>
      <c r="AD296" s="214"/>
      <c r="AE296" s="420">
        <v>0</v>
      </c>
      <c r="AF296" s="420">
        <v>0</v>
      </c>
      <c r="AG296" s="420">
        <v>0</v>
      </c>
      <c r="AH296" s="420"/>
      <c r="AI296" s="574">
        <f t="shared" si="7"/>
        <v>28000</v>
      </c>
      <c r="AJ296" s="212"/>
    </row>
    <row r="297" spans="2:36" ht="14.4">
      <c r="B297" s="211"/>
      <c r="C297" s="213" t="s">
        <v>66</v>
      </c>
      <c r="D297" s="214">
        <v>0</v>
      </c>
      <c r="E297" s="214">
        <v>0</v>
      </c>
      <c r="F297" s="214">
        <v>0</v>
      </c>
      <c r="G297" s="214">
        <v>0</v>
      </c>
      <c r="H297" s="214">
        <v>0</v>
      </c>
      <c r="I297" s="214">
        <v>0</v>
      </c>
      <c r="J297" s="214">
        <v>0</v>
      </c>
      <c r="K297" s="214">
        <v>0</v>
      </c>
      <c r="L297" s="214">
        <v>0</v>
      </c>
      <c r="M297" s="214">
        <v>0</v>
      </c>
      <c r="N297" s="214">
        <v>0</v>
      </c>
      <c r="O297" s="214">
        <v>0</v>
      </c>
      <c r="P297" s="214">
        <v>0</v>
      </c>
      <c r="Q297" s="214">
        <v>0</v>
      </c>
      <c r="R297" s="214">
        <v>0</v>
      </c>
      <c r="S297" s="214">
        <v>0</v>
      </c>
      <c r="T297" s="214">
        <v>0</v>
      </c>
      <c r="U297" s="214">
        <v>0</v>
      </c>
      <c r="V297" s="214">
        <v>0</v>
      </c>
      <c r="W297" s="214">
        <v>0</v>
      </c>
      <c r="X297" s="214">
        <v>0</v>
      </c>
      <c r="Y297" s="214">
        <v>0</v>
      </c>
      <c r="Z297" s="214">
        <v>0</v>
      </c>
      <c r="AA297" s="214">
        <v>0</v>
      </c>
      <c r="AB297" s="214">
        <v>0</v>
      </c>
      <c r="AC297" s="214">
        <v>0</v>
      </c>
      <c r="AD297" s="214"/>
      <c r="AE297" s="420">
        <v>0</v>
      </c>
      <c r="AF297" s="420">
        <v>0</v>
      </c>
      <c r="AG297" s="420">
        <v>0</v>
      </c>
      <c r="AH297" s="420"/>
      <c r="AI297" s="574">
        <f t="shared" si="7"/>
        <v>0</v>
      </c>
      <c r="AJ297" s="212"/>
    </row>
    <row r="298" spans="2:36" ht="14.4">
      <c r="B298" s="211"/>
      <c r="C298" s="213" t="s">
        <v>30</v>
      </c>
      <c r="D298" s="214">
        <v>9703.91</v>
      </c>
      <c r="E298" s="214">
        <v>7255.5</v>
      </c>
      <c r="F298" s="214">
        <v>8048.9</v>
      </c>
      <c r="G298" s="214">
        <v>4665.5</v>
      </c>
      <c r="H298" s="214">
        <v>5525.25</v>
      </c>
      <c r="I298" s="214">
        <v>0</v>
      </c>
      <c r="J298" s="214">
        <v>666.25</v>
      </c>
      <c r="K298" s="214">
        <v>0</v>
      </c>
      <c r="L298" s="214">
        <v>0</v>
      </c>
      <c r="M298" s="214">
        <v>1800.25</v>
      </c>
      <c r="N298" s="214">
        <v>899.5</v>
      </c>
      <c r="O298" s="214">
        <v>2226.25</v>
      </c>
      <c r="P298" s="214">
        <v>3666.25</v>
      </c>
      <c r="Q298" s="214">
        <v>8777.5</v>
      </c>
      <c r="R298" s="214">
        <v>2200.25</v>
      </c>
      <c r="S298" s="214">
        <v>2225.2600000000002</v>
      </c>
      <c r="T298" s="214">
        <v>0</v>
      </c>
      <c r="U298" s="214">
        <v>988.5</v>
      </c>
      <c r="V298" s="214">
        <v>888.5</v>
      </c>
      <c r="W298" s="214">
        <v>900.5</v>
      </c>
      <c r="X298" s="214">
        <v>0</v>
      </c>
      <c r="Y298" s="214">
        <v>1252.52</v>
      </c>
      <c r="Z298" s="214">
        <v>1200.25</v>
      </c>
      <c r="AA298" s="214">
        <v>0</v>
      </c>
      <c r="AB298" s="214">
        <v>3225.6</v>
      </c>
      <c r="AC298" s="214">
        <v>3275.8</v>
      </c>
      <c r="AD298" s="214"/>
      <c r="AE298" s="420">
        <v>3900.25</v>
      </c>
      <c r="AF298" s="420">
        <v>899.5</v>
      </c>
      <c r="AG298" s="420">
        <v>1200.25</v>
      </c>
      <c r="AH298" s="420"/>
      <c r="AI298" s="574">
        <f t="shared" si="7"/>
        <v>75392.240000000005</v>
      </c>
      <c r="AJ298" s="212"/>
    </row>
    <row r="299" spans="2:36" ht="14.4">
      <c r="B299" s="211"/>
      <c r="C299" s="213" t="s">
        <v>67</v>
      </c>
      <c r="D299" s="214">
        <v>0</v>
      </c>
      <c r="E299" s="214">
        <v>16000</v>
      </c>
      <c r="F299" s="214">
        <v>6450</v>
      </c>
      <c r="G299" s="214">
        <v>12050</v>
      </c>
      <c r="H299" s="214">
        <v>16500</v>
      </c>
      <c r="I299" s="214">
        <v>0</v>
      </c>
      <c r="J299" s="214">
        <v>1500</v>
      </c>
      <c r="K299" s="214">
        <v>3000</v>
      </c>
      <c r="L299" s="214">
        <v>3000</v>
      </c>
      <c r="M299" s="214">
        <v>7500</v>
      </c>
      <c r="N299" s="214">
        <v>2250</v>
      </c>
      <c r="O299" s="214">
        <v>3000</v>
      </c>
      <c r="P299" s="214">
        <v>4500</v>
      </c>
      <c r="Q299" s="214">
        <v>6000</v>
      </c>
      <c r="R299" s="214">
        <v>4500</v>
      </c>
      <c r="S299" s="214">
        <v>9000</v>
      </c>
      <c r="T299" s="214">
        <v>0</v>
      </c>
      <c r="U299" s="214">
        <v>0</v>
      </c>
      <c r="V299" s="214">
        <v>0</v>
      </c>
      <c r="W299" s="214">
        <v>0</v>
      </c>
      <c r="X299" s="214">
        <v>0</v>
      </c>
      <c r="Y299" s="214">
        <v>0</v>
      </c>
      <c r="Z299" s="214">
        <v>0</v>
      </c>
      <c r="AA299" s="214">
        <v>0</v>
      </c>
      <c r="AB299" s="214">
        <v>750</v>
      </c>
      <c r="AC299" s="214">
        <v>0</v>
      </c>
      <c r="AD299" s="214"/>
      <c r="AE299" s="420">
        <v>3950</v>
      </c>
      <c r="AF299" s="420">
        <v>6000</v>
      </c>
      <c r="AG299" s="420">
        <v>6000</v>
      </c>
      <c r="AH299" s="420"/>
      <c r="AI299" s="574">
        <f t="shared" si="7"/>
        <v>111950</v>
      </c>
      <c r="AJ299" s="212"/>
    </row>
    <row r="300" spans="2:36" ht="14.4">
      <c r="B300" s="211"/>
      <c r="C300" s="213" t="s">
        <v>111</v>
      </c>
      <c r="D300" s="214">
        <v>100</v>
      </c>
      <c r="E300" s="214">
        <v>200</v>
      </c>
      <c r="F300" s="214">
        <v>900</v>
      </c>
      <c r="G300" s="214">
        <v>0</v>
      </c>
      <c r="H300" s="214">
        <v>1100</v>
      </c>
      <c r="I300" s="214">
        <v>0</v>
      </c>
      <c r="J300" s="214">
        <v>0</v>
      </c>
      <c r="K300" s="214">
        <v>0</v>
      </c>
      <c r="L300" s="214">
        <v>0</v>
      </c>
      <c r="M300" s="214">
        <v>0</v>
      </c>
      <c r="N300" s="214">
        <v>0</v>
      </c>
      <c r="O300" s="214">
        <v>400</v>
      </c>
      <c r="P300" s="214">
        <v>200</v>
      </c>
      <c r="Q300" s="214">
        <v>300</v>
      </c>
      <c r="R300" s="214">
        <v>0</v>
      </c>
      <c r="S300" s="214">
        <v>200</v>
      </c>
      <c r="T300" s="214">
        <v>0</v>
      </c>
      <c r="U300" s="214">
        <v>0</v>
      </c>
      <c r="V300" s="214">
        <v>0</v>
      </c>
      <c r="W300" s="214">
        <v>0</v>
      </c>
      <c r="X300" s="214">
        <v>0</v>
      </c>
      <c r="Y300" s="214">
        <v>0</v>
      </c>
      <c r="Z300" s="214">
        <v>0</v>
      </c>
      <c r="AA300" s="214">
        <v>0</v>
      </c>
      <c r="AB300" s="214">
        <v>0</v>
      </c>
      <c r="AC300" s="214">
        <v>0</v>
      </c>
      <c r="AD300" s="214"/>
      <c r="AE300" s="420">
        <v>700</v>
      </c>
      <c r="AF300" s="420">
        <v>0</v>
      </c>
      <c r="AG300" s="420">
        <v>0</v>
      </c>
      <c r="AH300" s="420"/>
      <c r="AI300" s="574">
        <f t="shared" si="7"/>
        <v>4100</v>
      </c>
      <c r="AJ300" s="212"/>
    </row>
    <row r="301" spans="2:36" ht="14.4">
      <c r="B301" s="211"/>
      <c r="C301" s="213" t="s">
        <v>68</v>
      </c>
      <c r="D301" s="214">
        <v>0</v>
      </c>
      <c r="E301" s="214">
        <v>3420</v>
      </c>
      <c r="F301" s="214">
        <v>3420</v>
      </c>
      <c r="G301" s="214">
        <v>3420</v>
      </c>
      <c r="H301" s="214">
        <v>3420</v>
      </c>
      <c r="I301" s="214">
        <v>0</v>
      </c>
      <c r="J301" s="214">
        <v>0</v>
      </c>
      <c r="K301" s="214">
        <v>0</v>
      </c>
      <c r="L301" s="214">
        <v>0</v>
      </c>
      <c r="M301" s="214">
        <v>3420</v>
      </c>
      <c r="N301" s="214">
        <v>0</v>
      </c>
      <c r="O301" s="214">
        <v>3420</v>
      </c>
      <c r="P301" s="214">
        <v>3420</v>
      </c>
      <c r="Q301" s="214">
        <v>3420</v>
      </c>
      <c r="R301" s="214">
        <v>3420</v>
      </c>
      <c r="S301" s="214">
        <v>3420</v>
      </c>
      <c r="T301" s="214">
        <v>0</v>
      </c>
      <c r="U301" s="214">
        <v>0</v>
      </c>
      <c r="V301" s="214">
        <v>0</v>
      </c>
      <c r="W301" s="214">
        <v>0</v>
      </c>
      <c r="X301" s="214">
        <v>0</v>
      </c>
      <c r="Y301" s="214">
        <v>0</v>
      </c>
      <c r="Z301" s="214">
        <v>0</v>
      </c>
      <c r="AA301" s="214">
        <v>0</v>
      </c>
      <c r="AB301" s="214">
        <v>0</v>
      </c>
      <c r="AC301" s="214">
        <v>0</v>
      </c>
      <c r="AD301" s="214"/>
      <c r="AE301" s="420">
        <v>0</v>
      </c>
      <c r="AF301" s="420">
        <v>0</v>
      </c>
      <c r="AG301" s="420">
        <v>0</v>
      </c>
      <c r="AH301" s="420"/>
      <c r="AI301" s="574">
        <f t="shared" si="7"/>
        <v>34200</v>
      </c>
      <c r="AJ301" s="212"/>
    </row>
    <row r="302" spans="2:36" ht="14.4">
      <c r="B302" s="211"/>
      <c r="C302" s="213" t="s">
        <v>69</v>
      </c>
      <c r="D302" s="214">
        <v>0</v>
      </c>
      <c r="E302" s="214">
        <v>0</v>
      </c>
      <c r="F302" s="214">
        <v>0</v>
      </c>
      <c r="G302" s="214">
        <v>0</v>
      </c>
      <c r="H302" s="214">
        <v>0</v>
      </c>
      <c r="I302" s="214">
        <v>0</v>
      </c>
      <c r="J302" s="214">
        <v>0</v>
      </c>
      <c r="K302" s="214">
        <v>0</v>
      </c>
      <c r="L302" s="214">
        <v>0</v>
      </c>
      <c r="M302" s="214">
        <v>0</v>
      </c>
      <c r="N302" s="214">
        <v>0</v>
      </c>
      <c r="O302" s="214">
        <v>0</v>
      </c>
      <c r="P302" s="214">
        <v>0</v>
      </c>
      <c r="Q302" s="214">
        <v>0</v>
      </c>
      <c r="R302" s="214">
        <v>0</v>
      </c>
      <c r="S302" s="214">
        <v>0</v>
      </c>
      <c r="T302" s="214">
        <v>0</v>
      </c>
      <c r="U302" s="214">
        <v>0</v>
      </c>
      <c r="V302" s="214">
        <v>0</v>
      </c>
      <c r="W302" s="214">
        <v>0</v>
      </c>
      <c r="X302" s="214">
        <v>0</v>
      </c>
      <c r="Y302" s="214">
        <v>0</v>
      </c>
      <c r="Z302" s="214">
        <v>0</v>
      </c>
      <c r="AA302" s="214">
        <v>0</v>
      </c>
      <c r="AB302" s="214">
        <v>0</v>
      </c>
      <c r="AC302" s="214">
        <v>0</v>
      </c>
      <c r="AD302" s="214"/>
      <c r="AE302" s="420">
        <v>0</v>
      </c>
      <c r="AF302" s="420">
        <v>0</v>
      </c>
      <c r="AG302" s="420">
        <v>0</v>
      </c>
      <c r="AH302" s="420"/>
      <c r="AI302" s="574">
        <f t="shared" si="7"/>
        <v>0</v>
      </c>
      <c r="AJ302" s="212"/>
    </row>
    <row r="303" spans="2:36" ht="14.4">
      <c r="B303" s="211"/>
      <c r="C303" s="213" t="s">
        <v>70</v>
      </c>
      <c r="D303" s="214">
        <v>31265</v>
      </c>
      <c r="E303" s="214">
        <v>11800</v>
      </c>
      <c r="F303" s="214">
        <v>12000</v>
      </c>
      <c r="G303" s="214">
        <v>14140</v>
      </c>
      <c r="H303" s="214">
        <v>14600</v>
      </c>
      <c r="I303" s="214">
        <v>410</v>
      </c>
      <c r="J303" s="214">
        <v>0</v>
      </c>
      <c r="K303" s="214">
        <v>0</v>
      </c>
      <c r="L303" s="214">
        <v>0</v>
      </c>
      <c r="M303" s="214">
        <v>9120</v>
      </c>
      <c r="N303" s="214">
        <v>0</v>
      </c>
      <c r="O303" s="214">
        <v>13920</v>
      </c>
      <c r="P303" s="214">
        <v>11480</v>
      </c>
      <c r="Q303" s="214">
        <v>9225</v>
      </c>
      <c r="R303" s="214">
        <v>4320</v>
      </c>
      <c r="S303" s="214">
        <v>9110</v>
      </c>
      <c r="T303" s="214">
        <v>0</v>
      </c>
      <c r="U303" s="214">
        <v>0</v>
      </c>
      <c r="V303" s="214">
        <v>0</v>
      </c>
      <c r="W303" s="214">
        <v>0</v>
      </c>
      <c r="X303" s="214">
        <v>1060</v>
      </c>
      <c r="Y303" s="214">
        <v>0</v>
      </c>
      <c r="Z303" s="214">
        <v>0</v>
      </c>
      <c r="AA303" s="214">
        <v>0</v>
      </c>
      <c r="AB303" s="214">
        <v>0</v>
      </c>
      <c r="AC303" s="214">
        <v>0</v>
      </c>
      <c r="AD303" s="214"/>
      <c r="AE303" s="420">
        <v>10800</v>
      </c>
      <c r="AF303" s="420">
        <v>0</v>
      </c>
      <c r="AG303" s="420">
        <v>0</v>
      </c>
      <c r="AH303" s="420"/>
      <c r="AI303" s="574">
        <f t="shared" si="7"/>
        <v>153250</v>
      </c>
      <c r="AJ303" s="212"/>
    </row>
    <row r="304" spans="2:36" ht="14.4">
      <c r="B304" s="211"/>
      <c r="C304" s="213" t="s">
        <v>71</v>
      </c>
      <c r="D304" s="214">
        <v>0</v>
      </c>
      <c r="E304" s="214">
        <v>0</v>
      </c>
      <c r="F304" s="214">
        <v>0</v>
      </c>
      <c r="G304" s="214">
        <v>0</v>
      </c>
      <c r="H304" s="214">
        <v>0</v>
      </c>
      <c r="I304" s="214">
        <v>0</v>
      </c>
      <c r="J304" s="214">
        <v>0</v>
      </c>
      <c r="K304" s="214">
        <v>0</v>
      </c>
      <c r="L304" s="214">
        <v>0</v>
      </c>
      <c r="M304" s="214">
        <v>0</v>
      </c>
      <c r="N304" s="214">
        <v>0</v>
      </c>
      <c r="O304" s="214">
        <v>0</v>
      </c>
      <c r="P304" s="214">
        <v>0</v>
      </c>
      <c r="Q304" s="214">
        <v>0</v>
      </c>
      <c r="R304" s="214">
        <v>0</v>
      </c>
      <c r="S304" s="214">
        <v>0</v>
      </c>
      <c r="T304" s="214">
        <v>0</v>
      </c>
      <c r="U304" s="214">
        <v>0</v>
      </c>
      <c r="V304" s="214">
        <v>0</v>
      </c>
      <c r="W304" s="214">
        <v>0</v>
      </c>
      <c r="X304" s="214">
        <v>0</v>
      </c>
      <c r="Y304" s="214">
        <v>0</v>
      </c>
      <c r="Z304" s="214">
        <v>0</v>
      </c>
      <c r="AA304" s="214">
        <v>0</v>
      </c>
      <c r="AB304" s="214">
        <v>0</v>
      </c>
      <c r="AC304" s="214">
        <v>0</v>
      </c>
      <c r="AD304" s="214"/>
      <c r="AE304" s="420">
        <v>0</v>
      </c>
      <c r="AF304" s="420">
        <v>0</v>
      </c>
      <c r="AG304" s="420">
        <v>0</v>
      </c>
      <c r="AH304" s="420"/>
      <c r="AI304" s="574">
        <f t="shared" si="7"/>
        <v>0</v>
      </c>
      <c r="AJ304" s="212"/>
    </row>
    <row r="305" spans="2:36" ht="14.4">
      <c r="B305" s="211"/>
      <c r="C305" s="213" t="s">
        <v>159</v>
      </c>
      <c r="D305" s="214">
        <v>16510</v>
      </c>
      <c r="E305" s="214">
        <v>0</v>
      </c>
      <c r="F305" s="214">
        <v>0</v>
      </c>
      <c r="G305" s="214">
        <v>0</v>
      </c>
      <c r="H305" s="214">
        <v>0</v>
      </c>
      <c r="I305" s="214">
        <v>0</v>
      </c>
      <c r="J305" s="214">
        <v>0</v>
      </c>
      <c r="K305" s="214">
        <v>0</v>
      </c>
      <c r="L305" s="214">
        <v>0</v>
      </c>
      <c r="M305" s="214">
        <v>0</v>
      </c>
      <c r="N305" s="214">
        <v>0</v>
      </c>
      <c r="O305" s="214">
        <v>0</v>
      </c>
      <c r="P305" s="214">
        <v>0</v>
      </c>
      <c r="Q305" s="214">
        <v>0</v>
      </c>
      <c r="R305" s="214">
        <v>0</v>
      </c>
      <c r="S305" s="214">
        <v>0</v>
      </c>
      <c r="T305" s="214">
        <v>0</v>
      </c>
      <c r="U305" s="214">
        <v>0</v>
      </c>
      <c r="V305" s="214">
        <v>0</v>
      </c>
      <c r="W305" s="214">
        <v>0</v>
      </c>
      <c r="X305" s="214">
        <v>0</v>
      </c>
      <c r="Y305" s="214">
        <v>0</v>
      </c>
      <c r="Z305" s="214">
        <v>0</v>
      </c>
      <c r="AA305" s="214">
        <v>0</v>
      </c>
      <c r="AB305" s="214">
        <v>0</v>
      </c>
      <c r="AC305" s="214">
        <v>0</v>
      </c>
      <c r="AD305" s="214"/>
      <c r="AE305" s="420">
        <v>0</v>
      </c>
      <c r="AF305" s="420">
        <v>0</v>
      </c>
      <c r="AG305" s="420">
        <v>0</v>
      </c>
      <c r="AH305" s="420"/>
      <c r="AI305" s="574">
        <f t="shared" si="7"/>
        <v>16510</v>
      </c>
      <c r="AJ305" s="212"/>
    </row>
    <row r="306" spans="2:36" ht="14.4">
      <c r="B306" s="211"/>
      <c r="C306" s="213" t="s">
        <v>72</v>
      </c>
      <c r="D306" s="214">
        <v>6000</v>
      </c>
      <c r="E306" s="214">
        <v>0</v>
      </c>
      <c r="F306" s="214">
        <v>0</v>
      </c>
      <c r="G306" s="214">
        <v>0</v>
      </c>
      <c r="H306" s="214">
        <v>0</v>
      </c>
      <c r="I306" s="214">
        <v>0</v>
      </c>
      <c r="J306" s="214">
        <v>0</v>
      </c>
      <c r="K306" s="214">
        <v>0</v>
      </c>
      <c r="L306" s="214">
        <v>0</v>
      </c>
      <c r="M306" s="214">
        <v>0</v>
      </c>
      <c r="N306" s="214">
        <v>0</v>
      </c>
      <c r="O306" s="214">
        <v>0</v>
      </c>
      <c r="P306" s="214">
        <v>0</v>
      </c>
      <c r="Q306" s="214">
        <v>0</v>
      </c>
      <c r="R306" s="214">
        <v>0</v>
      </c>
      <c r="S306" s="214">
        <v>0</v>
      </c>
      <c r="T306" s="214">
        <v>0</v>
      </c>
      <c r="U306" s="214">
        <v>0</v>
      </c>
      <c r="V306" s="214">
        <v>0</v>
      </c>
      <c r="W306" s="214">
        <v>0</v>
      </c>
      <c r="X306" s="214">
        <v>0</v>
      </c>
      <c r="Y306" s="214">
        <v>0</v>
      </c>
      <c r="Z306" s="214">
        <v>0</v>
      </c>
      <c r="AA306" s="214">
        <v>0</v>
      </c>
      <c r="AB306" s="214">
        <v>0</v>
      </c>
      <c r="AC306" s="214">
        <v>0</v>
      </c>
      <c r="AD306" s="214"/>
      <c r="AE306" s="420">
        <v>0</v>
      </c>
      <c r="AF306" s="420">
        <v>0</v>
      </c>
      <c r="AG306" s="420">
        <v>0</v>
      </c>
      <c r="AH306" s="420"/>
      <c r="AI306" s="574">
        <f t="shared" si="7"/>
        <v>6000</v>
      </c>
      <c r="AJ306" s="212"/>
    </row>
    <row r="307" spans="2:36" ht="14.4">
      <c r="B307" s="211"/>
      <c r="C307" s="213" t="s">
        <v>73</v>
      </c>
      <c r="D307" s="214">
        <v>0</v>
      </c>
      <c r="E307" s="214">
        <v>0</v>
      </c>
      <c r="F307" s="214">
        <v>0</v>
      </c>
      <c r="G307" s="214">
        <v>0</v>
      </c>
      <c r="H307" s="214">
        <v>0</v>
      </c>
      <c r="I307" s="214">
        <v>0</v>
      </c>
      <c r="J307" s="214">
        <v>0</v>
      </c>
      <c r="K307" s="214">
        <v>0</v>
      </c>
      <c r="L307" s="214">
        <v>0</v>
      </c>
      <c r="M307" s="214">
        <v>0</v>
      </c>
      <c r="N307" s="214">
        <v>0</v>
      </c>
      <c r="O307" s="214">
        <v>0</v>
      </c>
      <c r="P307" s="214">
        <v>0</v>
      </c>
      <c r="Q307" s="214">
        <v>0</v>
      </c>
      <c r="R307" s="214">
        <v>0</v>
      </c>
      <c r="S307" s="214">
        <v>0</v>
      </c>
      <c r="T307" s="214">
        <v>0</v>
      </c>
      <c r="U307" s="214">
        <v>0</v>
      </c>
      <c r="V307" s="214">
        <v>0</v>
      </c>
      <c r="W307" s="214">
        <v>0</v>
      </c>
      <c r="X307" s="214">
        <v>0</v>
      </c>
      <c r="Y307" s="214">
        <v>0</v>
      </c>
      <c r="Z307" s="214">
        <v>0</v>
      </c>
      <c r="AA307" s="214">
        <v>0</v>
      </c>
      <c r="AB307" s="214">
        <v>0</v>
      </c>
      <c r="AC307" s="214">
        <v>0</v>
      </c>
      <c r="AD307" s="214"/>
      <c r="AE307" s="420">
        <v>0</v>
      </c>
      <c r="AF307" s="420">
        <v>0</v>
      </c>
      <c r="AG307" s="420">
        <v>0</v>
      </c>
      <c r="AH307" s="420"/>
      <c r="AI307" s="574">
        <f t="shared" si="7"/>
        <v>0</v>
      </c>
      <c r="AJ307" s="212"/>
    </row>
    <row r="308" spans="2:36" ht="14.4">
      <c r="B308" s="211"/>
      <c r="C308" s="213" t="s">
        <v>74</v>
      </c>
      <c r="D308" s="214">
        <v>0</v>
      </c>
      <c r="E308" s="214">
        <v>0</v>
      </c>
      <c r="F308" s="214">
        <v>0</v>
      </c>
      <c r="G308" s="214">
        <v>0</v>
      </c>
      <c r="H308" s="214">
        <v>0</v>
      </c>
      <c r="I308" s="214">
        <v>0</v>
      </c>
      <c r="J308" s="214">
        <v>0</v>
      </c>
      <c r="K308" s="214">
        <v>0</v>
      </c>
      <c r="L308" s="214">
        <v>0</v>
      </c>
      <c r="M308" s="214">
        <v>0</v>
      </c>
      <c r="N308" s="214">
        <v>0</v>
      </c>
      <c r="O308" s="214">
        <v>0</v>
      </c>
      <c r="P308" s="214">
        <v>0</v>
      </c>
      <c r="Q308" s="214">
        <v>0</v>
      </c>
      <c r="R308" s="214">
        <v>0</v>
      </c>
      <c r="S308" s="214">
        <v>0</v>
      </c>
      <c r="T308" s="214">
        <v>0</v>
      </c>
      <c r="U308" s="214">
        <v>0</v>
      </c>
      <c r="V308" s="214">
        <v>0</v>
      </c>
      <c r="W308" s="214">
        <v>0</v>
      </c>
      <c r="X308" s="214">
        <v>0</v>
      </c>
      <c r="Y308" s="214">
        <v>0</v>
      </c>
      <c r="Z308" s="214">
        <v>0</v>
      </c>
      <c r="AA308" s="214">
        <v>0</v>
      </c>
      <c r="AB308" s="214">
        <v>0</v>
      </c>
      <c r="AC308" s="214">
        <v>0</v>
      </c>
      <c r="AD308" s="214"/>
      <c r="AE308" s="420">
        <v>0</v>
      </c>
      <c r="AF308" s="420">
        <v>0</v>
      </c>
      <c r="AG308" s="420">
        <v>0</v>
      </c>
      <c r="AH308" s="420"/>
      <c r="AI308" s="574">
        <f t="shared" si="7"/>
        <v>0</v>
      </c>
      <c r="AJ308" s="212"/>
    </row>
    <row r="309" spans="2:36" ht="14.4">
      <c r="B309" s="211"/>
      <c r="C309" s="213" t="s">
        <v>246</v>
      </c>
      <c r="D309" s="214">
        <v>23875</v>
      </c>
      <c r="E309" s="214">
        <v>0</v>
      </c>
      <c r="F309" s="214">
        <v>0</v>
      </c>
      <c r="G309" s="214">
        <v>0</v>
      </c>
      <c r="H309" s="214">
        <v>0</v>
      </c>
      <c r="I309" s="214">
        <v>0</v>
      </c>
      <c r="J309" s="214">
        <v>0</v>
      </c>
      <c r="K309" s="214">
        <v>0</v>
      </c>
      <c r="L309" s="214">
        <v>0</v>
      </c>
      <c r="M309" s="214">
        <v>0</v>
      </c>
      <c r="N309" s="214">
        <v>0</v>
      </c>
      <c r="O309" s="214">
        <v>0</v>
      </c>
      <c r="P309" s="214">
        <v>0</v>
      </c>
      <c r="Q309" s="214">
        <v>0</v>
      </c>
      <c r="R309" s="214">
        <v>0</v>
      </c>
      <c r="S309" s="214">
        <v>0</v>
      </c>
      <c r="T309" s="214">
        <v>0</v>
      </c>
      <c r="U309" s="214">
        <v>0</v>
      </c>
      <c r="V309" s="214">
        <v>0</v>
      </c>
      <c r="W309" s="214">
        <v>0</v>
      </c>
      <c r="X309" s="214">
        <v>0</v>
      </c>
      <c r="Y309" s="214">
        <v>0</v>
      </c>
      <c r="Z309" s="214">
        <v>0</v>
      </c>
      <c r="AA309" s="214">
        <v>0</v>
      </c>
      <c r="AB309" s="214">
        <v>0</v>
      </c>
      <c r="AC309" s="214">
        <v>0</v>
      </c>
      <c r="AD309" s="214"/>
      <c r="AE309" s="420">
        <v>0</v>
      </c>
      <c r="AF309" s="420">
        <v>0</v>
      </c>
      <c r="AG309" s="420">
        <v>0</v>
      </c>
      <c r="AH309" s="420"/>
      <c r="AI309" s="574">
        <f t="shared" si="7"/>
        <v>23875</v>
      </c>
      <c r="AJ309" s="212"/>
    </row>
    <row r="310" spans="2:36" ht="14.4">
      <c r="B310" s="211"/>
      <c r="C310" s="213" t="s">
        <v>75</v>
      </c>
      <c r="D310" s="214">
        <v>0</v>
      </c>
      <c r="E310" s="214">
        <v>0</v>
      </c>
      <c r="F310" s="214">
        <v>0</v>
      </c>
      <c r="G310" s="214">
        <v>0</v>
      </c>
      <c r="H310" s="214">
        <v>0</v>
      </c>
      <c r="I310" s="214">
        <v>0</v>
      </c>
      <c r="J310" s="214">
        <v>0</v>
      </c>
      <c r="K310" s="214">
        <v>0</v>
      </c>
      <c r="L310" s="214">
        <v>0</v>
      </c>
      <c r="M310" s="214">
        <v>0</v>
      </c>
      <c r="N310" s="214">
        <v>0</v>
      </c>
      <c r="O310" s="214">
        <v>0</v>
      </c>
      <c r="P310" s="214">
        <v>0</v>
      </c>
      <c r="Q310" s="214">
        <v>0</v>
      </c>
      <c r="R310" s="214">
        <v>0</v>
      </c>
      <c r="S310" s="214">
        <v>0</v>
      </c>
      <c r="T310" s="214">
        <v>0</v>
      </c>
      <c r="U310" s="214">
        <v>0</v>
      </c>
      <c r="V310" s="214">
        <v>0</v>
      </c>
      <c r="W310" s="214">
        <v>0</v>
      </c>
      <c r="X310" s="214">
        <v>0</v>
      </c>
      <c r="Y310" s="214">
        <v>0</v>
      </c>
      <c r="Z310" s="214">
        <v>0</v>
      </c>
      <c r="AA310" s="214">
        <v>0</v>
      </c>
      <c r="AB310" s="214">
        <v>0</v>
      </c>
      <c r="AC310" s="214">
        <v>0</v>
      </c>
      <c r="AD310" s="214"/>
      <c r="AE310" s="420">
        <v>0</v>
      </c>
      <c r="AF310" s="420">
        <v>0</v>
      </c>
      <c r="AG310" s="420">
        <v>0</v>
      </c>
      <c r="AH310" s="420"/>
      <c r="AI310" s="574">
        <f t="shared" si="7"/>
        <v>0</v>
      </c>
      <c r="AJ310" s="212"/>
    </row>
    <row r="311" spans="2:36" ht="14.4">
      <c r="B311" s="211"/>
      <c r="C311" s="213" t="s">
        <v>76</v>
      </c>
      <c r="D311" s="214">
        <v>0</v>
      </c>
      <c r="E311" s="214">
        <v>0</v>
      </c>
      <c r="F311" s="214">
        <v>0</v>
      </c>
      <c r="G311" s="214">
        <v>0</v>
      </c>
      <c r="H311" s="214">
        <v>0</v>
      </c>
      <c r="I311" s="214">
        <v>0</v>
      </c>
      <c r="J311" s="214">
        <v>0</v>
      </c>
      <c r="K311" s="214">
        <v>0</v>
      </c>
      <c r="L311" s="214">
        <v>0</v>
      </c>
      <c r="M311" s="214">
        <v>0</v>
      </c>
      <c r="N311" s="214">
        <v>0</v>
      </c>
      <c r="O311" s="214">
        <v>0</v>
      </c>
      <c r="P311" s="214">
        <v>0</v>
      </c>
      <c r="Q311" s="214">
        <v>0</v>
      </c>
      <c r="R311" s="214">
        <v>0</v>
      </c>
      <c r="S311" s="214">
        <v>0</v>
      </c>
      <c r="T311" s="214">
        <v>0</v>
      </c>
      <c r="U311" s="214">
        <v>0</v>
      </c>
      <c r="V311" s="214">
        <v>0</v>
      </c>
      <c r="W311" s="214">
        <v>0</v>
      </c>
      <c r="X311" s="214">
        <v>0</v>
      </c>
      <c r="Y311" s="214">
        <v>0</v>
      </c>
      <c r="Z311" s="214">
        <v>0</v>
      </c>
      <c r="AA311" s="214">
        <v>0</v>
      </c>
      <c r="AB311" s="214">
        <v>0</v>
      </c>
      <c r="AC311" s="214">
        <v>0</v>
      </c>
      <c r="AD311" s="214"/>
      <c r="AE311" s="420">
        <v>0</v>
      </c>
      <c r="AF311" s="420">
        <v>0</v>
      </c>
      <c r="AG311" s="420">
        <v>0</v>
      </c>
      <c r="AH311" s="420"/>
      <c r="AI311" s="574">
        <f t="shared" si="7"/>
        <v>0</v>
      </c>
      <c r="AJ311" s="212"/>
    </row>
    <row r="312" spans="2:36" ht="14.4">
      <c r="B312" s="211"/>
      <c r="C312" s="213" t="s">
        <v>77</v>
      </c>
      <c r="D312" s="214">
        <v>0</v>
      </c>
      <c r="E312" s="214">
        <v>0</v>
      </c>
      <c r="F312" s="214">
        <v>0</v>
      </c>
      <c r="G312" s="214">
        <v>0</v>
      </c>
      <c r="H312" s="214">
        <v>0</v>
      </c>
      <c r="I312" s="214">
        <v>0</v>
      </c>
      <c r="J312" s="214">
        <v>0</v>
      </c>
      <c r="K312" s="214">
        <v>0</v>
      </c>
      <c r="L312" s="214">
        <v>0</v>
      </c>
      <c r="M312" s="214">
        <v>0</v>
      </c>
      <c r="N312" s="214">
        <v>0</v>
      </c>
      <c r="O312" s="214">
        <v>0</v>
      </c>
      <c r="P312" s="214">
        <v>0</v>
      </c>
      <c r="Q312" s="214">
        <v>0</v>
      </c>
      <c r="R312" s="214">
        <v>0</v>
      </c>
      <c r="S312" s="214">
        <v>0</v>
      </c>
      <c r="T312" s="214">
        <v>0</v>
      </c>
      <c r="U312" s="214">
        <v>0</v>
      </c>
      <c r="V312" s="214">
        <v>0</v>
      </c>
      <c r="W312" s="214">
        <v>0</v>
      </c>
      <c r="X312" s="214">
        <v>0</v>
      </c>
      <c r="Y312" s="214">
        <v>0</v>
      </c>
      <c r="Z312" s="214">
        <v>0</v>
      </c>
      <c r="AA312" s="214">
        <v>0</v>
      </c>
      <c r="AB312" s="214">
        <v>0</v>
      </c>
      <c r="AC312" s="214">
        <v>0</v>
      </c>
      <c r="AD312" s="214"/>
      <c r="AE312" s="420">
        <v>0</v>
      </c>
      <c r="AF312" s="420">
        <v>0</v>
      </c>
      <c r="AG312" s="420">
        <v>0</v>
      </c>
      <c r="AH312" s="420"/>
      <c r="AI312" s="574">
        <f t="shared" si="7"/>
        <v>0</v>
      </c>
      <c r="AJ312" s="212"/>
    </row>
    <row r="313" spans="2:36" ht="14.4">
      <c r="B313" s="211"/>
      <c r="C313" s="213" t="s">
        <v>78</v>
      </c>
      <c r="D313" s="214">
        <v>0</v>
      </c>
      <c r="E313" s="214">
        <v>0</v>
      </c>
      <c r="F313" s="214">
        <v>0</v>
      </c>
      <c r="G313" s="214">
        <v>0</v>
      </c>
      <c r="H313" s="214">
        <v>0</v>
      </c>
      <c r="I313" s="214">
        <v>0</v>
      </c>
      <c r="J313" s="214">
        <v>0</v>
      </c>
      <c r="K313" s="214">
        <v>0</v>
      </c>
      <c r="L313" s="214">
        <v>0</v>
      </c>
      <c r="M313" s="214">
        <v>0</v>
      </c>
      <c r="N313" s="214">
        <v>0</v>
      </c>
      <c r="O313" s="214">
        <v>0</v>
      </c>
      <c r="P313" s="214">
        <v>0</v>
      </c>
      <c r="Q313" s="214">
        <v>0</v>
      </c>
      <c r="R313" s="214">
        <v>0</v>
      </c>
      <c r="S313" s="214">
        <v>0</v>
      </c>
      <c r="T313" s="214">
        <v>0</v>
      </c>
      <c r="U313" s="214">
        <v>0</v>
      </c>
      <c r="V313" s="214">
        <v>0</v>
      </c>
      <c r="W313" s="214">
        <v>0</v>
      </c>
      <c r="X313" s="214">
        <v>0</v>
      </c>
      <c r="Y313" s="214">
        <v>0</v>
      </c>
      <c r="Z313" s="214">
        <v>0</v>
      </c>
      <c r="AA313" s="214">
        <v>0</v>
      </c>
      <c r="AB313" s="214">
        <v>0</v>
      </c>
      <c r="AC313" s="214">
        <v>0</v>
      </c>
      <c r="AD313" s="214"/>
      <c r="AE313" s="420">
        <v>0</v>
      </c>
      <c r="AF313" s="420">
        <v>0</v>
      </c>
      <c r="AG313" s="420">
        <v>0</v>
      </c>
      <c r="AH313" s="420"/>
      <c r="AI313" s="574">
        <f t="shared" si="7"/>
        <v>0</v>
      </c>
      <c r="AJ313" s="212"/>
    </row>
    <row r="314" spans="2:36" ht="14.4">
      <c r="B314" s="211"/>
      <c r="C314" s="213" t="s">
        <v>79</v>
      </c>
      <c r="D314" s="214">
        <v>0</v>
      </c>
      <c r="E314" s="214">
        <v>0</v>
      </c>
      <c r="F314" s="214">
        <v>0</v>
      </c>
      <c r="G314" s="214">
        <v>0</v>
      </c>
      <c r="H314" s="214">
        <v>0</v>
      </c>
      <c r="I314" s="214">
        <v>0</v>
      </c>
      <c r="J314" s="214">
        <v>0</v>
      </c>
      <c r="K314" s="214">
        <v>0</v>
      </c>
      <c r="L314" s="214">
        <v>0</v>
      </c>
      <c r="M314" s="214">
        <v>0</v>
      </c>
      <c r="N314" s="214">
        <v>0</v>
      </c>
      <c r="O314" s="214">
        <v>0</v>
      </c>
      <c r="P314" s="214">
        <v>0</v>
      </c>
      <c r="Q314" s="214">
        <v>0</v>
      </c>
      <c r="R314" s="214">
        <v>0</v>
      </c>
      <c r="S314" s="214">
        <v>0</v>
      </c>
      <c r="T314" s="214">
        <v>0</v>
      </c>
      <c r="U314" s="214">
        <v>0</v>
      </c>
      <c r="V314" s="214">
        <v>0</v>
      </c>
      <c r="W314" s="214">
        <v>0</v>
      </c>
      <c r="X314" s="214">
        <v>0</v>
      </c>
      <c r="Y314" s="214">
        <v>0</v>
      </c>
      <c r="Z314" s="214">
        <v>0</v>
      </c>
      <c r="AA314" s="214">
        <v>0</v>
      </c>
      <c r="AB314" s="214">
        <v>0</v>
      </c>
      <c r="AC314" s="214">
        <v>0</v>
      </c>
      <c r="AD314" s="214"/>
      <c r="AE314" s="420">
        <v>0</v>
      </c>
      <c r="AF314" s="420">
        <v>0</v>
      </c>
      <c r="AG314" s="420">
        <v>0</v>
      </c>
      <c r="AH314" s="420"/>
      <c r="AI314" s="574">
        <f t="shared" si="7"/>
        <v>0</v>
      </c>
      <c r="AJ314" s="212"/>
    </row>
    <row r="315" spans="2:36" ht="14.4">
      <c r="B315" s="211"/>
      <c r="C315" s="213" t="s">
        <v>80</v>
      </c>
      <c r="D315" s="214">
        <v>0</v>
      </c>
      <c r="E315" s="214">
        <v>0</v>
      </c>
      <c r="F315" s="214">
        <v>0</v>
      </c>
      <c r="G315" s="214">
        <v>0</v>
      </c>
      <c r="H315" s="214">
        <v>0</v>
      </c>
      <c r="I315" s="214">
        <v>0</v>
      </c>
      <c r="J315" s="214">
        <v>0</v>
      </c>
      <c r="K315" s="214">
        <v>0</v>
      </c>
      <c r="L315" s="214">
        <v>0</v>
      </c>
      <c r="M315" s="214">
        <v>0</v>
      </c>
      <c r="N315" s="214">
        <v>0</v>
      </c>
      <c r="O315" s="214">
        <v>0</v>
      </c>
      <c r="P315" s="214">
        <v>0</v>
      </c>
      <c r="Q315" s="214">
        <v>0</v>
      </c>
      <c r="R315" s="214">
        <v>0</v>
      </c>
      <c r="S315" s="214">
        <v>0</v>
      </c>
      <c r="T315" s="214">
        <v>0</v>
      </c>
      <c r="U315" s="214">
        <v>0</v>
      </c>
      <c r="V315" s="214">
        <v>0</v>
      </c>
      <c r="W315" s="214">
        <v>0</v>
      </c>
      <c r="X315" s="214">
        <v>0</v>
      </c>
      <c r="Y315" s="214">
        <v>0</v>
      </c>
      <c r="Z315" s="214">
        <v>0</v>
      </c>
      <c r="AA315" s="214">
        <v>0</v>
      </c>
      <c r="AB315" s="214">
        <v>0</v>
      </c>
      <c r="AC315" s="214">
        <v>0</v>
      </c>
      <c r="AD315" s="214"/>
      <c r="AE315" s="420">
        <v>0</v>
      </c>
      <c r="AF315" s="420">
        <v>0</v>
      </c>
      <c r="AG315" s="420">
        <v>0</v>
      </c>
      <c r="AH315" s="420"/>
      <c r="AI315" s="574">
        <f t="shared" si="7"/>
        <v>0</v>
      </c>
      <c r="AJ315" s="212"/>
    </row>
    <row r="316" spans="2:36" ht="14.4">
      <c r="B316" s="211"/>
      <c r="C316" s="213" t="s">
        <v>81</v>
      </c>
      <c r="D316" s="214">
        <v>0</v>
      </c>
      <c r="E316" s="214">
        <v>0</v>
      </c>
      <c r="F316" s="214">
        <v>0</v>
      </c>
      <c r="G316" s="214">
        <v>0</v>
      </c>
      <c r="H316" s="214">
        <v>0</v>
      </c>
      <c r="I316" s="214">
        <v>0</v>
      </c>
      <c r="J316" s="214">
        <v>0</v>
      </c>
      <c r="K316" s="214">
        <v>0</v>
      </c>
      <c r="L316" s="214">
        <v>0</v>
      </c>
      <c r="M316" s="214">
        <v>0</v>
      </c>
      <c r="N316" s="214">
        <v>0</v>
      </c>
      <c r="O316" s="214">
        <v>0</v>
      </c>
      <c r="P316" s="214">
        <v>0</v>
      </c>
      <c r="Q316" s="214">
        <v>0</v>
      </c>
      <c r="R316" s="214">
        <v>0</v>
      </c>
      <c r="S316" s="214">
        <v>0</v>
      </c>
      <c r="T316" s="214">
        <v>0</v>
      </c>
      <c r="U316" s="214">
        <v>0</v>
      </c>
      <c r="V316" s="214">
        <v>0</v>
      </c>
      <c r="W316" s="214">
        <v>0</v>
      </c>
      <c r="X316" s="214">
        <v>0</v>
      </c>
      <c r="Y316" s="214">
        <v>0</v>
      </c>
      <c r="Z316" s="214">
        <v>0</v>
      </c>
      <c r="AA316" s="214">
        <v>0</v>
      </c>
      <c r="AB316" s="214">
        <v>0</v>
      </c>
      <c r="AC316" s="214">
        <v>0</v>
      </c>
      <c r="AD316" s="214"/>
      <c r="AE316" s="420" t="s">
        <v>200</v>
      </c>
      <c r="AF316" s="420">
        <v>0</v>
      </c>
      <c r="AG316" s="420">
        <v>0</v>
      </c>
      <c r="AH316" s="420"/>
      <c r="AI316" s="574">
        <f t="shared" si="7"/>
        <v>0</v>
      </c>
      <c r="AJ316" s="212"/>
    </row>
    <row r="317" spans="2:36" ht="14.4">
      <c r="B317" s="211"/>
      <c r="C317" s="213" t="s">
        <v>82</v>
      </c>
      <c r="D317" s="214">
        <v>0</v>
      </c>
      <c r="E317" s="214">
        <v>0</v>
      </c>
      <c r="F317" s="214">
        <v>0</v>
      </c>
      <c r="G317" s="214">
        <v>0</v>
      </c>
      <c r="H317" s="214">
        <v>0</v>
      </c>
      <c r="I317" s="214">
        <v>0</v>
      </c>
      <c r="J317" s="214">
        <v>0</v>
      </c>
      <c r="K317" s="214">
        <v>0</v>
      </c>
      <c r="L317" s="214">
        <v>0</v>
      </c>
      <c r="M317" s="214">
        <v>0</v>
      </c>
      <c r="N317" s="214">
        <v>0</v>
      </c>
      <c r="O317" s="214">
        <v>0</v>
      </c>
      <c r="P317" s="214">
        <v>0</v>
      </c>
      <c r="Q317" s="214">
        <v>0</v>
      </c>
      <c r="R317" s="214">
        <v>0</v>
      </c>
      <c r="S317" s="214">
        <v>0</v>
      </c>
      <c r="T317" s="214">
        <v>0</v>
      </c>
      <c r="U317" s="214">
        <v>0</v>
      </c>
      <c r="V317" s="214">
        <v>0</v>
      </c>
      <c r="W317" s="214">
        <v>0</v>
      </c>
      <c r="X317" s="214">
        <v>0</v>
      </c>
      <c r="Y317" s="214">
        <v>0</v>
      </c>
      <c r="Z317" s="214">
        <v>0</v>
      </c>
      <c r="AA317" s="214">
        <v>0</v>
      </c>
      <c r="AB317" s="214">
        <v>0</v>
      </c>
      <c r="AC317" s="214">
        <v>0</v>
      </c>
      <c r="AD317" s="214"/>
      <c r="AE317" s="420">
        <v>0</v>
      </c>
      <c r="AF317" s="420">
        <v>0</v>
      </c>
      <c r="AG317" s="420">
        <v>0</v>
      </c>
      <c r="AH317" s="420"/>
      <c r="AI317" s="574">
        <f t="shared" si="7"/>
        <v>0</v>
      </c>
      <c r="AJ317" s="212"/>
    </row>
    <row r="318" spans="2:36" ht="14.4">
      <c r="B318" s="211"/>
      <c r="C318" s="213" t="s">
        <v>83</v>
      </c>
      <c r="D318" s="214">
        <v>0</v>
      </c>
      <c r="E318" s="214">
        <v>0</v>
      </c>
      <c r="F318" s="214">
        <v>0</v>
      </c>
      <c r="G318" s="214">
        <v>0</v>
      </c>
      <c r="H318" s="214">
        <v>0</v>
      </c>
      <c r="I318" s="214">
        <v>0</v>
      </c>
      <c r="J318" s="214">
        <v>0</v>
      </c>
      <c r="K318" s="214">
        <v>0</v>
      </c>
      <c r="L318" s="214">
        <v>0</v>
      </c>
      <c r="M318" s="214">
        <v>0</v>
      </c>
      <c r="N318" s="214">
        <v>0</v>
      </c>
      <c r="O318" s="214">
        <v>0</v>
      </c>
      <c r="P318" s="214">
        <v>0</v>
      </c>
      <c r="Q318" s="214">
        <v>0</v>
      </c>
      <c r="R318" s="214">
        <v>0</v>
      </c>
      <c r="S318" s="214">
        <v>0</v>
      </c>
      <c r="T318" s="214">
        <v>0</v>
      </c>
      <c r="U318" s="214">
        <v>0</v>
      </c>
      <c r="V318" s="214">
        <v>0</v>
      </c>
      <c r="W318" s="214">
        <v>0</v>
      </c>
      <c r="X318" s="214">
        <v>0</v>
      </c>
      <c r="Y318" s="214">
        <v>0</v>
      </c>
      <c r="Z318" s="214">
        <v>0</v>
      </c>
      <c r="AA318" s="214">
        <v>0</v>
      </c>
      <c r="AB318" s="214">
        <v>0</v>
      </c>
      <c r="AC318" s="214">
        <v>0</v>
      </c>
      <c r="AD318" s="214"/>
      <c r="AE318" s="420">
        <v>0</v>
      </c>
      <c r="AF318" s="420">
        <v>0</v>
      </c>
      <c r="AG318" s="420">
        <v>0</v>
      </c>
      <c r="AH318" s="420"/>
      <c r="AI318" s="574">
        <f t="shared" si="7"/>
        <v>0</v>
      </c>
      <c r="AJ318" s="212"/>
    </row>
    <row r="319" spans="2:36" ht="14.4">
      <c r="B319" s="211"/>
      <c r="C319" s="213" t="s">
        <v>84</v>
      </c>
      <c r="D319" s="214">
        <v>0</v>
      </c>
      <c r="E319" s="214">
        <v>0</v>
      </c>
      <c r="F319" s="214">
        <v>0</v>
      </c>
      <c r="G319" s="214">
        <v>0</v>
      </c>
      <c r="H319" s="214">
        <v>0</v>
      </c>
      <c r="I319" s="214">
        <v>0</v>
      </c>
      <c r="J319" s="214">
        <v>0</v>
      </c>
      <c r="K319" s="214">
        <v>0</v>
      </c>
      <c r="L319" s="214">
        <v>0</v>
      </c>
      <c r="M319" s="214">
        <v>0</v>
      </c>
      <c r="N319" s="214">
        <v>0</v>
      </c>
      <c r="O319" s="214">
        <v>0</v>
      </c>
      <c r="P319" s="214">
        <v>0</v>
      </c>
      <c r="Q319" s="214">
        <v>0</v>
      </c>
      <c r="R319" s="214">
        <v>0</v>
      </c>
      <c r="S319" s="214">
        <v>0</v>
      </c>
      <c r="T319" s="214">
        <v>0</v>
      </c>
      <c r="U319" s="214">
        <v>0</v>
      </c>
      <c r="V319" s="214">
        <v>0</v>
      </c>
      <c r="W319" s="214">
        <v>0</v>
      </c>
      <c r="X319" s="214">
        <v>0</v>
      </c>
      <c r="Y319" s="214">
        <v>0</v>
      </c>
      <c r="Z319" s="214">
        <v>0</v>
      </c>
      <c r="AA319" s="214">
        <v>0</v>
      </c>
      <c r="AB319" s="214">
        <v>0</v>
      </c>
      <c r="AC319" s="214">
        <v>0</v>
      </c>
      <c r="AD319" s="214"/>
      <c r="AE319" s="420">
        <v>0</v>
      </c>
      <c r="AF319" s="420">
        <v>0</v>
      </c>
      <c r="AG319" s="420">
        <v>0</v>
      </c>
      <c r="AH319" s="420"/>
      <c r="AI319" s="574">
        <f t="shared" si="7"/>
        <v>0</v>
      </c>
      <c r="AJ319" s="212"/>
    </row>
    <row r="320" spans="2:36" ht="14.4">
      <c r="B320" s="211"/>
      <c r="C320" s="213" t="s">
        <v>85</v>
      </c>
      <c r="D320" s="214">
        <v>0</v>
      </c>
      <c r="E320" s="214">
        <v>0</v>
      </c>
      <c r="F320" s="214">
        <v>100</v>
      </c>
      <c r="G320" s="214">
        <v>0</v>
      </c>
      <c r="H320" s="214">
        <v>21468</v>
      </c>
      <c r="I320" s="214">
        <v>16600</v>
      </c>
      <c r="J320" s="214">
        <v>100</v>
      </c>
      <c r="K320" s="214">
        <v>100</v>
      </c>
      <c r="L320" s="214">
        <v>100</v>
      </c>
      <c r="M320" s="214">
        <v>100</v>
      </c>
      <c r="N320" s="214">
        <v>0</v>
      </c>
      <c r="O320" s="214">
        <v>100</v>
      </c>
      <c r="P320" s="214">
        <v>100</v>
      </c>
      <c r="Q320" s="214">
        <v>100</v>
      </c>
      <c r="R320" s="214">
        <v>0</v>
      </c>
      <c r="S320" s="214">
        <v>0</v>
      </c>
      <c r="T320" s="214">
        <v>0</v>
      </c>
      <c r="U320" s="214">
        <v>100</v>
      </c>
      <c r="V320" s="214">
        <v>100</v>
      </c>
      <c r="W320" s="214">
        <v>100</v>
      </c>
      <c r="X320" s="214">
        <v>3100</v>
      </c>
      <c r="Y320" s="214">
        <v>100</v>
      </c>
      <c r="Z320" s="214">
        <v>100</v>
      </c>
      <c r="AA320" s="214">
        <v>100</v>
      </c>
      <c r="AB320" s="214">
        <v>100</v>
      </c>
      <c r="AC320" s="214">
        <v>100</v>
      </c>
      <c r="AD320" s="214"/>
      <c r="AE320" s="420">
        <v>100</v>
      </c>
      <c r="AF320" s="420">
        <v>100</v>
      </c>
      <c r="AG320" s="420">
        <v>100</v>
      </c>
      <c r="AH320" s="420"/>
      <c r="AI320" s="574">
        <f t="shared" si="7"/>
        <v>43068</v>
      </c>
      <c r="AJ320" s="212"/>
    </row>
    <row r="321" spans="2:36" ht="14.4">
      <c r="B321" s="211"/>
      <c r="C321" s="213" t="s">
        <v>86</v>
      </c>
      <c r="D321" s="214">
        <v>0</v>
      </c>
      <c r="E321" s="214">
        <v>0</v>
      </c>
      <c r="F321" s="214">
        <v>0</v>
      </c>
      <c r="G321" s="214">
        <v>0</v>
      </c>
      <c r="H321" s="214">
        <v>0</v>
      </c>
      <c r="I321" s="214">
        <v>0</v>
      </c>
      <c r="J321" s="214">
        <v>0</v>
      </c>
      <c r="K321" s="214">
        <v>0</v>
      </c>
      <c r="L321" s="214">
        <v>0</v>
      </c>
      <c r="M321" s="214">
        <v>0</v>
      </c>
      <c r="N321" s="214">
        <v>0</v>
      </c>
      <c r="O321" s="214">
        <v>0</v>
      </c>
      <c r="P321" s="214">
        <v>0</v>
      </c>
      <c r="Q321" s="214">
        <v>0</v>
      </c>
      <c r="R321" s="214">
        <v>0</v>
      </c>
      <c r="S321" s="214">
        <v>0</v>
      </c>
      <c r="T321" s="214">
        <v>0</v>
      </c>
      <c r="U321" s="214">
        <v>0</v>
      </c>
      <c r="V321" s="214">
        <v>0</v>
      </c>
      <c r="W321" s="214">
        <v>0</v>
      </c>
      <c r="X321" s="214">
        <v>0</v>
      </c>
      <c r="Y321" s="214">
        <v>0</v>
      </c>
      <c r="Z321" s="214">
        <v>0</v>
      </c>
      <c r="AA321" s="214">
        <v>0</v>
      </c>
      <c r="AB321" s="214">
        <v>0</v>
      </c>
      <c r="AC321" s="214">
        <v>0</v>
      </c>
      <c r="AD321" s="214"/>
      <c r="AE321" s="420">
        <v>0</v>
      </c>
      <c r="AF321" s="420">
        <v>0</v>
      </c>
      <c r="AG321" s="420">
        <v>0</v>
      </c>
      <c r="AH321" s="420"/>
      <c r="AI321" s="574">
        <f t="shared" si="7"/>
        <v>0</v>
      </c>
      <c r="AJ321" s="212"/>
    </row>
    <row r="322" spans="2:36" ht="14.4">
      <c r="B322" s="211"/>
      <c r="C322" s="213" t="s">
        <v>87</v>
      </c>
      <c r="D322" s="214">
        <v>0</v>
      </c>
      <c r="E322" s="214">
        <v>0</v>
      </c>
      <c r="F322" s="214">
        <v>0</v>
      </c>
      <c r="G322" s="214">
        <v>0</v>
      </c>
      <c r="H322" s="214">
        <v>0</v>
      </c>
      <c r="I322" s="214">
        <v>0</v>
      </c>
      <c r="J322" s="214">
        <v>0</v>
      </c>
      <c r="K322" s="214">
        <v>0</v>
      </c>
      <c r="L322" s="214">
        <v>0</v>
      </c>
      <c r="M322" s="214">
        <v>0</v>
      </c>
      <c r="N322" s="214">
        <v>0</v>
      </c>
      <c r="O322" s="214">
        <v>0</v>
      </c>
      <c r="P322" s="214">
        <v>0</v>
      </c>
      <c r="Q322" s="214">
        <v>0</v>
      </c>
      <c r="R322" s="214">
        <v>0</v>
      </c>
      <c r="S322" s="214">
        <v>0</v>
      </c>
      <c r="T322" s="214">
        <v>0</v>
      </c>
      <c r="U322" s="214">
        <v>0</v>
      </c>
      <c r="V322" s="214">
        <v>0</v>
      </c>
      <c r="W322" s="214">
        <v>0</v>
      </c>
      <c r="X322" s="214">
        <v>0</v>
      </c>
      <c r="Y322" s="214">
        <v>0</v>
      </c>
      <c r="Z322" s="214">
        <v>0</v>
      </c>
      <c r="AA322" s="214">
        <v>0</v>
      </c>
      <c r="AB322" s="214">
        <v>0</v>
      </c>
      <c r="AC322" s="214">
        <v>0</v>
      </c>
      <c r="AD322" s="214"/>
      <c r="AE322" s="420">
        <v>0</v>
      </c>
      <c r="AF322" s="420">
        <v>0</v>
      </c>
      <c r="AG322" s="420">
        <v>0</v>
      </c>
      <c r="AH322" s="420"/>
      <c r="AI322" s="574">
        <f t="shared" si="7"/>
        <v>0</v>
      </c>
      <c r="AJ322" s="212"/>
    </row>
    <row r="323" spans="2:36" ht="14.4">
      <c r="B323" s="211"/>
      <c r="C323" s="213" t="s">
        <v>88</v>
      </c>
      <c r="D323" s="214">
        <v>0</v>
      </c>
      <c r="E323" s="214">
        <v>0</v>
      </c>
      <c r="F323" s="214">
        <v>0</v>
      </c>
      <c r="G323" s="214">
        <v>0</v>
      </c>
      <c r="H323" s="214">
        <v>0</v>
      </c>
      <c r="I323" s="214">
        <v>0</v>
      </c>
      <c r="J323" s="214">
        <v>0</v>
      </c>
      <c r="K323" s="214">
        <v>0</v>
      </c>
      <c r="L323" s="214">
        <v>0</v>
      </c>
      <c r="M323" s="214">
        <v>0</v>
      </c>
      <c r="N323" s="214">
        <v>0</v>
      </c>
      <c r="O323" s="214">
        <v>0</v>
      </c>
      <c r="P323" s="214">
        <v>0</v>
      </c>
      <c r="Q323" s="214">
        <v>0</v>
      </c>
      <c r="R323" s="214">
        <v>0</v>
      </c>
      <c r="S323" s="214">
        <v>0</v>
      </c>
      <c r="T323" s="214">
        <v>0</v>
      </c>
      <c r="U323" s="214">
        <v>0</v>
      </c>
      <c r="V323" s="214">
        <v>0</v>
      </c>
      <c r="W323" s="214">
        <v>0</v>
      </c>
      <c r="X323" s="214">
        <v>0</v>
      </c>
      <c r="Y323" s="214">
        <v>0</v>
      </c>
      <c r="Z323" s="214">
        <v>0</v>
      </c>
      <c r="AA323" s="214">
        <v>0</v>
      </c>
      <c r="AB323" s="214">
        <v>0</v>
      </c>
      <c r="AC323" s="214">
        <v>0</v>
      </c>
      <c r="AD323" s="214"/>
      <c r="AE323" s="420">
        <v>0</v>
      </c>
      <c r="AF323" s="420">
        <v>0</v>
      </c>
      <c r="AG323" s="420">
        <v>0</v>
      </c>
      <c r="AH323" s="420"/>
      <c r="AI323" s="574">
        <f t="shared" si="7"/>
        <v>0</v>
      </c>
      <c r="AJ323" s="212"/>
    </row>
    <row r="324" spans="2:36" ht="14.4">
      <c r="B324" s="211"/>
      <c r="C324" s="213" t="s">
        <v>89</v>
      </c>
      <c r="D324" s="214">
        <v>68268</v>
      </c>
      <c r="E324" s="214">
        <v>0</v>
      </c>
      <c r="F324" s="214">
        <v>0</v>
      </c>
      <c r="G324" s="214">
        <v>0</v>
      </c>
      <c r="H324" s="214">
        <v>0</v>
      </c>
      <c r="I324" s="214">
        <v>0</v>
      </c>
      <c r="J324" s="214">
        <v>0</v>
      </c>
      <c r="K324" s="214">
        <v>0</v>
      </c>
      <c r="L324" s="214">
        <v>0</v>
      </c>
      <c r="M324" s="214">
        <v>0</v>
      </c>
      <c r="N324" s="214">
        <v>0</v>
      </c>
      <c r="O324" s="214">
        <v>0</v>
      </c>
      <c r="P324" s="214">
        <v>0</v>
      </c>
      <c r="Q324" s="214">
        <v>0</v>
      </c>
      <c r="R324" s="214">
        <v>0</v>
      </c>
      <c r="S324" s="214">
        <v>0</v>
      </c>
      <c r="T324" s="214">
        <v>0</v>
      </c>
      <c r="U324" s="214">
        <v>0</v>
      </c>
      <c r="V324" s="214">
        <v>0</v>
      </c>
      <c r="W324" s="214">
        <v>0</v>
      </c>
      <c r="X324" s="214">
        <v>0</v>
      </c>
      <c r="Y324" s="214">
        <v>0</v>
      </c>
      <c r="Z324" s="214">
        <v>0</v>
      </c>
      <c r="AA324" s="214">
        <v>0</v>
      </c>
      <c r="AB324" s="214">
        <v>0</v>
      </c>
      <c r="AC324" s="214">
        <v>0</v>
      </c>
      <c r="AD324" s="214"/>
      <c r="AE324" s="420">
        <v>0</v>
      </c>
      <c r="AF324" s="420">
        <v>0</v>
      </c>
      <c r="AG324" s="420">
        <v>0</v>
      </c>
      <c r="AH324" s="420"/>
      <c r="AI324" s="574">
        <f t="shared" si="7"/>
        <v>68268</v>
      </c>
      <c r="AJ324" s="212"/>
    </row>
    <row r="325" spans="2:36" ht="14.4">
      <c r="B325" s="211"/>
      <c r="C325" s="213" t="s">
        <v>33</v>
      </c>
      <c r="D325" s="214">
        <v>1281.5</v>
      </c>
      <c r="E325" s="214">
        <v>1281.5</v>
      </c>
      <c r="F325" s="214">
        <v>1281.5</v>
      </c>
      <c r="G325" s="214">
        <v>1281.5</v>
      </c>
      <c r="H325" s="214">
        <v>1281.5</v>
      </c>
      <c r="I325" s="214">
        <v>0</v>
      </c>
      <c r="J325" s="214">
        <v>0</v>
      </c>
      <c r="K325" s="214">
        <v>0</v>
      </c>
      <c r="L325" s="214">
        <v>0</v>
      </c>
      <c r="M325" s="214">
        <v>0</v>
      </c>
      <c r="N325" s="214">
        <v>0</v>
      </c>
      <c r="O325" s="214">
        <v>1281.5</v>
      </c>
      <c r="P325" s="214">
        <v>1281.5</v>
      </c>
      <c r="Q325" s="214">
        <v>1281.5</v>
      </c>
      <c r="R325" s="214">
        <v>0</v>
      </c>
      <c r="S325" s="214">
        <v>0</v>
      </c>
      <c r="T325" s="214">
        <v>0</v>
      </c>
      <c r="U325" s="214">
        <v>0</v>
      </c>
      <c r="V325" s="214">
        <v>0</v>
      </c>
      <c r="W325" s="214">
        <v>0</v>
      </c>
      <c r="X325" s="214">
        <v>0</v>
      </c>
      <c r="Y325" s="214">
        <v>0</v>
      </c>
      <c r="Z325" s="214">
        <v>0</v>
      </c>
      <c r="AA325" s="214">
        <v>0</v>
      </c>
      <c r="AB325" s="214">
        <v>0</v>
      </c>
      <c r="AC325" s="214">
        <v>0</v>
      </c>
      <c r="AD325" s="214"/>
      <c r="AE325" s="420">
        <v>0</v>
      </c>
      <c r="AF325" s="420">
        <v>0</v>
      </c>
      <c r="AG325" s="420">
        <v>0</v>
      </c>
      <c r="AH325" s="420"/>
      <c r="AI325" s="574">
        <f t="shared" si="7"/>
        <v>10252</v>
      </c>
      <c r="AJ325" s="212"/>
    </row>
    <row r="326" spans="2:36" ht="14.4">
      <c r="B326" s="211"/>
      <c r="C326" s="213" t="s">
        <v>90</v>
      </c>
      <c r="D326" s="214">
        <v>0</v>
      </c>
      <c r="E326" s="214">
        <v>0</v>
      </c>
      <c r="F326" s="214">
        <v>0</v>
      </c>
      <c r="G326" s="214">
        <v>0</v>
      </c>
      <c r="H326" s="214">
        <v>0</v>
      </c>
      <c r="I326" s="214">
        <v>0</v>
      </c>
      <c r="J326" s="214">
        <v>0</v>
      </c>
      <c r="K326" s="214">
        <v>0</v>
      </c>
      <c r="L326" s="214">
        <v>0</v>
      </c>
      <c r="M326" s="214">
        <v>0</v>
      </c>
      <c r="N326" s="214">
        <v>0</v>
      </c>
      <c r="O326" s="214">
        <v>0</v>
      </c>
      <c r="P326" s="214">
        <v>0</v>
      </c>
      <c r="Q326" s="214">
        <v>0</v>
      </c>
      <c r="R326" s="214">
        <v>0</v>
      </c>
      <c r="S326" s="214">
        <v>0</v>
      </c>
      <c r="T326" s="214">
        <v>0</v>
      </c>
      <c r="U326" s="214">
        <v>0</v>
      </c>
      <c r="V326" s="214">
        <v>0</v>
      </c>
      <c r="W326" s="214">
        <v>0</v>
      </c>
      <c r="X326" s="214">
        <v>0</v>
      </c>
      <c r="Y326" s="214">
        <v>0</v>
      </c>
      <c r="Z326" s="214">
        <v>0</v>
      </c>
      <c r="AA326" s="214">
        <v>0</v>
      </c>
      <c r="AB326" s="214">
        <v>0</v>
      </c>
      <c r="AC326" s="214">
        <v>0</v>
      </c>
      <c r="AD326" s="214"/>
      <c r="AE326" s="420">
        <v>0</v>
      </c>
      <c r="AF326" s="420">
        <v>0</v>
      </c>
      <c r="AG326" s="420">
        <v>0</v>
      </c>
      <c r="AH326" s="420"/>
      <c r="AI326" s="574">
        <f t="shared" ref="AI326:AI373" si="8">SUM(D326:AH326)</f>
        <v>0</v>
      </c>
      <c r="AJ326" s="212"/>
    </row>
    <row r="327" spans="2:36" ht="14.4">
      <c r="B327" s="211"/>
      <c r="C327" s="213" t="s">
        <v>91</v>
      </c>
      <c r="D327" s="214">
        <v>11650</v>
      </c>
      <c r="E327" s="214">
        <v>0</v>
      </c>
      <c r="F327" s="214">
        <v>400</v>
      </c>
      <c r="G327" s="214">
        <v>0</v>
      </c>
      <c r="H327" s="214">
        <v>0</v>
      </c>
      <c r="I327" s="214">
        <v>0</v>
      </c>
      <c r="J327" s="214">
        <v>0</v>
      </c>
      <c r="K327" s="214">
        <v>0</v>
      </c>
      <c r="L327" s="214">
        <v>0</v>
      </c>
      <c r="M327" s="214">
        <v>0</v>
      </c>
      <c r="N327" s="214">
        <v>0</v>
      </c>
      <c r="O327" s="214">
        <v>0</v>
      </c>
      <c r="P327" s="214">
        <v>0</v>
      </c>
      <c r="Q327" s="214">
        <v>0</v>
      </c>
      <c r="R327" s="214">
        <v>0</v>
      </c>
      <c r="S327" s="214">
        <v>0</v>
      </c>
      <c r="T327" s="214">
        <v>0</v>
      </c>
      <c r="U327" s="214">
        <v>0</v>
      </c>
      <c r="V327" s="214">
        <v>0</v>
      </c>
      <c r="W327" s="214">
        <v>0</v>
      </c>
      <c r="X327" s="214">
        <v>0</v>
      </c>
      <c r="Y327" s="214">
        <v>0</v>
      </c>
      <c r="Z327" s="214">
        <v>0</v>
      </c>
      <c r="AA327" s="214">
        <v>0</v>
      </c>
      <c r="AB327" s="214">
        <v>0</v>
      </c>
      <c r="AC327" s="214">
        <v>0</v>
      </c>
      <c r="AD327" s="214"/>
      <c r="AE327" s="420">
        <v>0</v>
      </c>
      <c r="AF327" s="420">
        <v>0</v>
      </c>
      <c r="AG327" s="420">
        <v>0</v>
      </c>
      <c r="AH327" s="420"/>
      <c r="AI327" s="574">
        <f t="shared" si="8"/>
        <v>12050</v>
      </c>
      <c r="AJ327" s="212"/>
    </row>
    <row r="328" spans="2:36" ht="14.4">
      <c r="B328" s="211"/>
      <c r="C328" s="213" t="s">
        <v>92</v>
      </c>
      <c r="D328" s="214">
        <v>0</v>
      </c>
      <c r="E328" s="214">
        <v>0</v>
      </c>
      <c r="F328" s="214">
        <v>0</v>
      </c>
      <c r="G328" s="214">
        <v>0</v>
      </c>
      <c r="H328" s="214">
        <v>0</v>
      </c>
      <c r="I328" s="214">
        <v>0</v>
      </c>
      <c r="J328" s="214">
        <v>0</v>
      </c>
      <c r="K328" s="214">
        <v>0</v>
      </c>
      <c r="L328" s="214">
        <v>0</v>
      </c>
      <c r="M328" s="214">
        <v>0</v>
      </c>
      <c r="N328" s="214">
        <v>0</v>
      </c>
      <c r="O328" s="214">
        <v>0</v>
      </c>
      <c r="P328" s="214">
        <v>0</v>
      </c>
      <c r="Q328" s="214">
        <v>0</v>
      </c>
      <c r="R328" s="214">
        <v>0</v>
      </c>
      <c r="S328" s="214">
        <v>0</v>
      </c>
      <c r="T328" s="214">
        <v>0</v>
      </c>
      <c r="U328" s="214">
        <v>0</v>
      </c>
      <c r="V328" s="214">
        <v>0</v>
      </c>
      <c r="W328" s="214">
        <v>0</v>
      </c>
      <c r="X328" s="214">
        <v>0</v>
      </c>
      <c r="Y328" s="214">
        <v>0</v>
      </c>
      <c r="Z328" s="214">
        <v>0</v>
      </c>
      <c r="AA328" s="214">
        <v>0</v>
      </c>
      <c r="AB328" s="214">
        <v>0</v>
      </c>
      <c r="AC328" s="214">
        <v>0</v>
      </c>
      <c r="AD328" s="214"/>
      <c r="AE328" s="420">
        <v>0</v>
      </c>
      <c r="AF328" s="420">
        <v>0</v>
      </c>
      <c r="AG328" s="420">
        <v>0</v>
      </c>
      <c r="AH328" s="420"/>
      <c r="AI328" s="574">
        <f t="shared" si="8"/>
        <v>0</v>
      </c>
      <c r="AJ328" s="212"/>
    </row>
    <row r="329" spans="2:36" ht="14.4">
      <c r="B329" s="211"/>
      <c r="C329" s="213" t="s">
        <v>93</v>
      </c>
      <c r="D329" s="214">
        <v>3700</v>
      </c>
      <c r="E329" s="214">
        <v>0</v>
      </c>
      <c r="F329" s="214">
        <v>0</v>
      </c>
      <c r="G329" s="214">
        <v>0</v>
      </c>
      <c r="H329" s="214">
        <v>0</v>
      </c>
      <c r="I329" s="214">
        <v>0</v>
      </c>
      <c r="J329" s="214">
        <v>0</v>
      </c>
      <c r="K329" s="214">
        <v>0</v>
      </c>
      <c r="L329" s="214">
        <v>0</v>
      </c>
      <c r="M329" s="214">
        <v>0</v>
      </c>
      <c r="N329" s="214">
        <v>0</v>
      </c>
      <c r="O329" s="214">
        <v>0</v>
      </c>
      <c r="P329" s="214">
        <v>0</v>
      </c>
      <c r="Q329" s="214">
        <v>0</v>
      </c>
      <c r="R329" s="214">
        <v>0</v>
      </c>
      <c r="S329" s="214">
        <v>0</v>
      </c>
      <c r="T329" s="214">
        <v>0</v>
      </c>
      <c r="U329" s="214">
        <v>0</v>
      </c>
      <c r="V329" s="214">
        <v>0</v>
      </c>
      <c r="W329" s="214">
        <v>0</v>
      </c>
      <c r="X329" s="214">
        <v>0</v>
      </c>
      <c r="Y329" s="214">
        <v>0</v>
      </c>
      <c r="Z329" s="214">
        <v>0</v>
      </c>
      <c r="AA329" s="214">
        <v>0</v>
      </c>
      <c r="AB329" s="214">
        <v>0</v>
      </c>
      <c r="AC329" s="214">
        <v>0</v>
      </c>
      <c r="AD329" s="214"/>
      <c r="AE329" s="420">
        <v>0</v>
      </c>
      <c r="AF329" s="420">
        <v>0</v>
      </c>
      <c r="AG329" s="420">
        <v>0</v>
      </c>
      <c r="AH329" s="420"/>
      <c r="AI329" s="574">
        <f t="shared" si="8"/>
        <v>3700</v>
      </c>
      <c r="AJ329" s="212"/>
    </row>
    <row r="330" spans="2:36" ht="14.4">
      <c r="B330" s="211"/>
      <c r="C330" s="213" t="s">
        <v>94</v>
      </c>
      <c r="D330" s="214">
        <v>93295</v>
      </c>
      <c r="E330" s="214">
        <v>7255</v>
      </c>
      <c r="F330" s="214">
        <v>5600</v>
      </c>
      <c r="G330" s="214">
        <v>6220</v>
      </c>
      <c r="H330" s="214">
        <v>2500</v>
      </c>
      <c r="I330" s="214">
        <v>300</v>
      </c>
      <c r="J330" s="214">
        <v>0</v>
      </c>
      <c r="K330" s="214">
        <v>0</v>
      </c>
      <c r="L330" s="214">
        <v>1820</v>
      </c>
      <c r="M330" s="214">
        <v>2665</v>
      </c>
      <c r="N330" s="214">
        <v>0</v>
      </c>
      <c r="O330" s="214">
        <v>45</v>
      </c>
      <c r="P330" s="214">
        <v>3000</v>
      </c>
      <c r="Q330" s="214">
        <v>4400</v>
      </c>
      <c r="R330" s="214">
        <v>2500</v>
      </c>
      <c r="S330" s="214">
        <v>150</v>
      </c>
      <c r="T330" s="214">
        <v>0</v>
      </c>
      <c r="U330" s="214">
        <v>0</v>
      </c>
      <c r="V330" s="214">
        <v>0</v>
      </c>
      <c r="W330" s="214">
        <v>0</v>
      </c>
      <c r="X330" s="214">
        <v>450</v>
      </c>
      <c r="Y330" s="214">
        <v>0</v>
      </c>
      <c r="Z330" s="214">
        <v>0</v>
      </c>
      <c r="AA330" s="214">
        <v>0</v>
      </c>
      <c r="AB330" s="214">
        <v>0</v>
      </c>
      <c r="AC330" s="214">
        <v>0</v>
      </c>
      <c r="AD330" s="214"/>
      <c r="AE330" s="420">
        <v>2200</v>
      </c>
      <c r="AF330" s="420">
        <v>0</v>
      </c>
      <c r="AG330" s="420">
        <v>0</v>
      </c>
      <c r="AH330" s="420"/>
      <c r="AI330" s="574">
        <f t="shared" si="8"/>
        <v>132400</v>
      </c>
      <c r="AJ330" s="212"/>
    </row>
    <row r="331" spans="2:36" ht="14.4">
      <c r="B331" s="211"/>
      <c r="C331" s="213" t="s">
        <v>95</v>
      </c>
      <c r="D331" s="214">
        <v>0</v>
      </c>
      <c r="E331" s="214">
        <v>0</v>
      </c>
      <c r="F331" s="214">
        <v>0</v>
      </c>
      <c r="G331" s="214">
        <v>0</v>
      </c>
      <c r="H331" s="214">
        <v>0</v>
      </c>
      <c r="I331" s="214">
        <v>0</v>
      </c>
      <c r="J331" s="214">
        <v>0</v>
      </c>
      <c r="K331" s="214">
        <v>0</v>
      </c>
      <c r="L331" s="214">
        <v>0</v>
      </c>
      <c r="M331" s="214">
        <v>0</v>
      </c>
      <c r="N331" s="214">
        <v>0</v>
      </c>
      <c r="O331" s="214">
        <v>2820</v>
      </c>
      <c r="P331" s="214">
        <v>4250</v>
      </c>
      <c r="Q331" s="214">
        <v>0</v>
      </c>
      <c r="R331" s="214">
        <v>0</v>
      </c>
      <c r="S331" s="214">
        <v>0</v>
      </c>
      <c r="T331" s="214">
        <v>0</v>
      </c>
      <c r="U331" s="214">
        <v>0</v>
      </c>
      <c r="V331" s="214">
        <v>0</v>
      </c>
      <c r="W331" s="214">
        <v>0</v>
      </c>
      <c r="X331" s="214">
        <v>0</v>
      </c>
      <c r="Y331" s="214">
        <v>0</v>
      </c>
      <c r="Z331" s="214">
        <v>0</v>
      </c>
      <c r="AA331" s="214">
        <v>0</v>
      </c>
      <c r="AB331" s="214">
        <v>0</v>
      </c>
      <c r="AC331" s="214">
        <v>0</v>
      </c>
      <c r="AD331" s="214"/>
      <c r="AE331" s="420">
        <v>7650</v>
      </c>
      <c r="AF331" s="420">
        <v>1200</v>
      </c>
      <c r="AG331" s="420">
        <v>1200</v>
      </c>
      <c r="AH331" s="420"/>
      <c r="AI331" s="574">
        <f t="shared" si="8"/>
        <v>17120</v>
      </c>
      <c r="AJ331" s="212"/>
    </row>
    <row r="332" spans="2:36" ht="14.4">
      <c r="B332" s="211"/>
      <c r="C332" s="213" t="s">
        <v>96</v>
      </c>
      <c r="D332" s="214">
        <v>0</v>
      </c>
      <c r="E332" s="214">
        <v>0</v>
      </c>
      <c r="F332" s="214">
        <v>0</v>
      </c>
      <c r="G332" s="214">
        <v>0</v>
      </c>
      <c r="H332" s="214">
        <v>0</v>
      </c>
      <c r="I332" s="214">
        <v>0</v>
      </c>
      <c r="J332" s="214">
        <v>0</v>
      </c>
      <c r="K332" s="214">
        <v>0</v>
      </c>
      <c r="L332" s="214">
        <v>0</v>
      </c>
      <c r="M332" s="214">
        <v>0</v>
      </c>
      <c r="N332" s="214">
        <v>0</v>
      </c>
      <c r="O332" s="214">
        <v>0</v>
      </c>
      <c r="P332" s="214">
        <v>0</v>
      </c>
      <c r="Q332" s="214">
        <v>0</v>
      </c>
      <c r="R332" s="214">
        <v>0</v>
      </c>
      <c r="S332" s="214">
        <v>0</v>
      </c>
      <c r="T332" s="214">
        <v>0</v>
      </c>
      <c r="U332" s="214">
        <v>0</v>
      </c>
      <c r="V332" s="214">
        <v>0</v>
      </c>
      <c r="W332" s="214">
        <v>0</v>
      </c>
      <c r="X332" s="214">
        <v>0</v>
      </c>
      <c r="Y332" s="214">
        <v>0</v>
      </c>
      <c r="Z332" s="214">
        <v>0</v>
      </c>
      <c r="AA332" s="214">
        <v>0</v>
      </c>
      <c r="AB332" s="214">
        <v>0</v>
      </c>
      <c r="AC332" s="214">
        <v>0</v>
      </c>
      <c r="AD332" s="214"/>
      <c r="AE332" s="420">
        <v>0</v>
      </c>
      <c r="AF332" s="420">
        <v>0</v>
      </c>
      <c r="AG332" s="420">
        <v>0</v>
      </c>
      <c r="AH332" s="420"/>
      <c r="AI332" s="574">
        <f t="shared" si="8"/>
        <v>0</v>
      </c>
      <c r="AJ332" s="212"/>
    </row>
    <row r="333" spans="2:36" ht="14.4">
      <c r="B333" s="211"/>
      <c r="C333" s="213" t="s">
        <v>97</v>
      </c>
      <c r="D333" s="214">
        <v>1965.51</v>
      </c>
      <c r="E333" s="214">
        <v>0</v>
      </c>
      <c r="F333" s="214">
        <v>130</v>
      </c>
      <c r="G333" s="214">
        <v>0</v>
      </c>
      <c r="H333" s="214">
        <v>719.31</v>
      </c>
      <c r="I333" s="214">
        <v>296.31</v>
      </c>
      <c r="J333" s="214">
        <v>0</v>
      </c>
      <c r="K333" s="214">
        <v>296.31</v>
      </c>
      <c r="L333" s="214">
        <v>0</v>
      </c>
      <c r="M333" s="214">
        <v>296.31</v>
      </c>
      <c r="N333" s="214">
        <v>296.31</v>
      </c>
      <c r="O333" s="214">
        <v>60</v>
      </c>
      <c r="P333" s="214">
        <v>423</v>
      </c>
      <c r="Q333" s="214">
        <v>592.63</v>
      </c>
      <c r="R333" s="214">
        <v>296.31</v>
      </c>
      <c r="S333" s="214">
        <v>719.31</v>
      </c>
      <c r="T333" s="214">
        <v>0</v>
      </c>
      <c r="U333" s="214">
        <v>296.31</v>
      </c>
      <c r="V333" s="214">
        <v>0</v>
      </c>
      <c r="W333" s="214">
        <v>0</v>
      </c>
      <c r="X333" s="214">
        <v>296.31</v>
      </c>
      <c r="Y333" s="214">
        <v>296.31</v>
      </c>
      <c r="Z333" s="214">
        <v>375</v>
      </c>
      <c r="AA333" s="214">
        <v>296.31</v>
      </c>
      <c r="AB333" s="214">
        <v>0</v>
      </c>
      <c r="AC333" s="214">
        <v>320</v>
      </c>
      <c r="AD333" s="214"/>
      <c r="AE333" s="420">
        <v>0</v>
      </c>
      <c r="AF333" s="420">
        <v>0</v>
      </c>
      <c r="AG333" s="420">
        <v>715</v>
      </c>
      <c r="AH333" s="420"/>
      <c r="AI333" s="574">
        <f t="shared" si="8"/>
        <v>8686.5500000000011</v>
      </c>
      <c r="AJ333" s="212"/>
    </row>
    <row r="334" spans="2:36" ht="14.4">
      <c r="B334" s="211"/>
      <c r="C334" s="213" t="s">
        <v>192</v>
      </c>
      <c r="D334" s="214">
        <v>18000</v>
      </c>
      <c r="E334" s="214">
        <v>0</v>
      </c>
      <c r="F334" s="214">
        <v>0</v>
      </c>
      <c r="G334" s="214">
        <v>0</v>
      </c>
      <c r="H334" s="214">
        <v>0</v>
      </c>
      <c r="I334" s="214">
        <v>0</v>
      </c>
      <c r="J334" s="214">
        <v>0</v>
      </c>
      <c r="K334" s="214">
        <v>0</v>
      </c>
      <c r="L334" s="214">
        <v>0</v>
      </c>
      <c r="M334" s="214">
        <v>0</v>
      </c>
      <c r="N334" s="214">
        <v>0</v>
      </c>
      <c r="O334" s="214">
        <v>0</v>
      </c>
      <c r="P334" s="214">
        <v>0</v>
      </c>
      <c r="Q334" s="214">
        <v>0</v>
      </c>
      <c r="R334" s="214">
        <v>0</v>
      </c>
      <c r="S334" s="214">
        <v>0</v>
      </c>
      <c r="T334" s="214">
        <v>0</v>
      </c>
      <c r="U334" s="214">
        <v>0</v>
      </c>
      <c r="V334" s="214">
        <v>0</v>
      </c>
      <c r="W334" s="214">
        <v>0</v>
      </c>
      <c r="X334" s="214">
        <v>0</v>
      </c>
      <c r="Y334" s="214">
        <v>0</v>
      </c>
      <c r="Z334" s="214">
        <v>0</v>
      </c>
      <c r="AA334" s="214">
        <v>0</v>
      </c>
      <c r="AB334" s="214">
        <v>0</v>
      </c>
      <c r="AC334" s="214">
        <v>0</v>
      </c>
      <c r="AD334" s="214"/>
      <c r="AE334" s="420">
        <v>0</v>
      </c>
      <c r="AF334" s="420">
        <v>0</v>
      </c>
      <c r="AG334" s="420">
        <v>0</v>
      </c>
      <c r="AH334" s="420"/>
      <c r="AI334" s="574">
        <f t="shared" si="8"/>
        <v>18000</v>
      </c>
      <c r="AJ334" s="212"/>
    </row>
    <row r="335" spans="2:36" ht="14.4">
      <c r="B335" s="211"/>
      <c r="C335" s="213" t="s">
        <v>98</v>
      </c>
      <c r="D335" s="214">
        <v>0</v>
      </c>
      <c r="E335" s="214">
        <v>0</v>
      </c>
      <c r="F335" s="214">
        <v>0</v>
      </c>
      <c r="G335" s="214">
        <v>0</v>
      </c>
      <c r="H335" s="214">
        <v>0</v>
      </c>
      <c r="I335" s="214">
        <v>0</v>
      </c>
      <c r="J335" s="214">
        <v>0</v>
      </c>
      <c r="K335" s="214">
        <v>0</v>
      </c>
      <c r="L335" s="214">
        <v>0</v>
      </c>
      <c r="M335" s="214">
        <v>0</v>
      </c>
      <c r="N335" s="214">
        <v>0</v>
      </c>
      <c r="O335" s="214">
        <v>0</v>
      </c>
      <c r="P335" s="214">
        <v>0</v>
      </c>
      <c r="Q335" s="214">
        <v>0</v>
      </c>
      <c r="R335" s="214">
        <v>0</v>
      </c>
      <c r="S335" s="214">
        <v>0</v>
      </c>
      <c r="T335" s="214">
        <v>0</v>
      </c>
      <c r="U335" s="214">
        <v>0</v>
      </c>
      <c r="V335" s="214">
        <v>0</v>
      </c>
      <c r="W335" s="214">
        <v>0</v>
      </c>
      <c r="X335" s="214">
        <v>0</v>
      </c>
      <c r="Y335" s="214">
        <v>0</v>
      </c>
      <c r="Z335" s="214">
        <v>0</v>
      </c>
      <c r="AA335" s="214">
        <v>0</v>
      </c>
      <c r="AB335" s="214">
        <v>0</v>
      </c>
      <c r="AC335" s="214">
        <v>0</v>
      </c>
      <c r="AD335" s="214"/>
      <c r="AE335" s="420">
        <v>0</v>
      </c>
      <c r="AF335" s="420">
        <v>0</v>
      </c>
      <c r="AG335" s="420">
        <v>0</v>
      </c>
      <c r="AH335" s="420"/>
      <c r="AI335" s="574">
        <f t="shared" si="8"/>
        <v>0</v>
      </c>
      <c r="AJ335" s="212"/>
    </row>
    <row r="336" spans="2:36" ht="14.4">
      <c r="B336" s="211"/>
      <c r="C336" s="213" t="s">
        <v>99</v>
      </c>
      <c r="D336" s="214">
        <v>6433.05</v>
      </c>
      <c r="E336" s="214">
        <v>0</v>
      </c>
      <c r="F336" s="214">
        <v>0</v>
      </c>
      <c r="G336" s="214">
        <v>0</v>
      </c>
      <c r="H336" s="214">
        <v>0</v>
      </c>
      <c r="I336" s="214">
        <v>0</v>
      </c>
      <c r="J336" s="214">
        <v>0</v>
      </c>
      <c r="K336" s="214">
        <v>0</v>
      </c>
      <c r="L336" s="214">
        <v>0</v>
      </c>
      <c r="M336" s="214">
        <v>0</v>
      </c>
      <c r="N336" s="214">
        <v>0</v>
      </c>
      <c r="O336" s="214">
        <v>0</v>
      </c>
      <c r="P336" s="214">
        <v>0</v>
      </c>
      <c r="Q336" s="214">
        <v>0</v>
      </c>
      <c r="R336" s="214">
        <v>0</v>
      </c>
      <c r="S336" s="214">
        <v>0</v>
      </c>
      <c r="T336" s="214">
        <v>0</v>
      </c>
      <c r="U336" s="214">
        <v>0</v>
      </c>
      <c r="V336" s="214">
        <v>0</v>
      </c>
      <c r="W336" s="214">
        <v>0</v>
      </c>
      <c r="X336" s="214">
        <v>0</v>
      </c>
      <c r="Y336" s="214">
        <v>0</v>
      </c>
      <c r="Z336" s="214">
        <v>0</v>
      </c>
      <c r="AA336" s="214">
        <v>0</v>
      </c>
      <c r="AB336" s="214">
        <v>0</v>
      </c>
      <c r="AC336" s="214">
        <v>0</v>
      </c>
      <c r="AD336" s="214"/>
      <c r="AE336" s="420">
        <v>0</v>
      </c>
      <c r="AF336" s="420">
        <v>0</v>
      </c>
      <c r="AG336" s="420">
        <v>0</v>
      </c>
      <c r="AH336" s="420"/>
      <c r="AI336" s="574">
        <f t="shared" si="8"/>
        <v>6433.05</v>
      </c>
      <c r="AJ336" s="212"/>
    </row>
    <row r="337" spans="2:36" ht="14.4">
      <c r="B337" s="211"/>
      <c r="C337" s="213" t="s">
        <v>100</v>
      </c>
      <c r="D337" s="214">
        <v>1896.25</v>
      </c>
      <c r="E337" s="214">
        <v>103.08</v>
      </c>
      <c r="F337" s="214">
        <v>0</v>
      </c>
      <c r="G337" s="214">
        <v>11.91</v>
      </c>
      <c r="H337" s="214">
        <v>0</v>
      </c>
      <c r="I337" s="214">
        <v>13.58</v>
      </c>
      <c r="J337" s="214">
        <v>0</v>
      </c>
      <c r="K337" s="214">
        <v>0</v>
      </c>
      <c r="L337" s="214">
        <v>0</v>
      </c>
      <c r="M337" s="214">
        <v>0</v>
      </c>
      <c r="N337" s="214">
        <v>0</v>
      </c>
      <c r="O337" s="214">
        <v>56.16</v>
      </c>
      <c r="P337" s="214">
        <v>8.8699999999999992</v>
      </c>
      <c r="Q337" s="214">
        <v>23.33</v>
      </c>
      <c r="R337" s="214">
        <v>0</v>
      </c>
      <c r="S337" s="214">
        <v>0</v>
      </c>
      <c r="T337" s="214">
        <v>43.17</v>
      </c>
      <c r="U337" s="214">
        <v>0</v>
      </c>
      <c r="V337" s="214">
        <v>0</v>
      </c>
      <c r="W337" s="214">
        <v>0</v>
      </c>
      <c r="X337" s="214">
        <v>0</v>
      </c>
      <c r="Y337" s="214">
        <v>0</v>
      </c>
      <c r="Z337" s="214">
        <v>168.33</v>
      </c>
      <c r="AA337" s="214">
        <v>176.5</v>
      </c>
      <c r="AB337" s="214">
        <v>0</v>
      </c>
      <c r="AC337" s="214">
        <v>0</v>
      </c>
      <c r="AD337" s="214"/>
      <c r="AE337" s="420">
        <v>76.67</v>
      </c>
      <c r="AF337" s="420">
        <v>0</v>
      </c>
      <c r="AG337" s="420">
        <v>0</v>
      </c>
      <c r="AH337" s="420"/>
      <c r="AI337" s="574">
        <f t="shared" si="8"/>
        <v>2577.85</v>
      </c>
      <c r="AJ337" s="212"/>
    </row>
    <row r="338" spans="2:36" ht="14.4">
      <c r="B338" s="211"/>
      <c r="C338" s="213" t="s">
        <v>101</v>
      </c>
      <c r="D338" s="214">
        <v>907.16</v>
      </c>
      <c r="E338" s="214">
        <v>1065.6600000000001</v>
      </c>
      <c r="F338" s="214">
        <v>0</v>
      </c>
      <c r="G338" s="214">
        <v>388.33</v>
      </c>
      <c r="H338" s="214">
        <v>457.42</v>
      </c>
      <c r="I338" s="214">
        <v>0</v>
      </c>
      <c r="J338" s="214">
        <v>0</v>
      </c>
      <c r="K338" s="214">
        <v>0</v>
      </c>
      <c r="L338" s="214">
        <v>0</v>
      </c>
      <c r="M338" s="214">
        <v>0</v>
      </c>
      <c r="N338" s="214">
        <v>0</v>
      </c>
      <c r="O338" s="214">
        <v>0</v>
      </c>
      <c r="P338" s="214">
        <v>0</v>
      </c>
      <c r="Q338" s="214">
        <v>23.33</v>
      </c>
      <c r="R338" s="214">
        <v>0</v>
      </c>
      <c r="S338" s="214">
        <v>0</v>
      </c>
      <c r="T338" s="214">
        <v>0</v>
      </c>
      <c r="U338" s="214">
        <v>0</v>
      </c>
      <c r="V338" s="214">
        <v>0</v>
      </c>
      <c r="W338" s="214">
        <v>0</v>
      </c>
      <c r="X338" s="214">
        <v>103.5</v>
      </c>
      <c r="Y338" s="214">
        <v>0</v>
      </c>
      <c r="Z338" s="214">
        <v>0</v>
      </c>
      <c r="AA338" s="214">
        <v>0</v>
      </c>
      <c r="AB338" s="214">
        <v>0</v>
      </c>
      <c r="AC338" s="214">
        <v>0</v>
      </c>
      <c r="AD338" s="214"/>
      <c r="AE338" s="420">
        <v>0</v>
      </c>
      <c r="AF338" s="420">
        <v>0</v>
      </c>
      <c r="AG338" s="420">
        <v>0</v>
      </c>
      <c r="AH338" s="420"/>
      <c r="AI338" s="574">
        <f t="shared" si="8"/>
        <v>2945.4</v>
      </c>
      <c r="AJ338" s="212"/>
    </row>
    <row r="339" spans="2:36" ht="14.4">
      <c r="B339" s="211"/>
      <c r="C339" s="213" t="s">
        <v>102</v>
      </c>
      <c r="D339" s="214">
        <v>19516.61</v>
      </c>
      <c r="E339" s="214">
        <v>809.83</v>
      </c>
      <c r="F339" s="214">
        <v>1176.3399999999999</v>
      </c>
      <c r="G339" s="214">
        <v>754.31</v>
      </c>
      <c r="H339" s="214">
        <v>1571.19</v>
      </c>
      <c r="I339" s="214">
        <v>792.77</v>
      </c>
      <c r="J339" s="214">
        <v>0</v>
      </c>
      <c r="K339" s="214">
        <v>407.27</v>
      </c>
      <c r="L339" s="214">
        <v>289.57</v>
      </c>
      <c r="M339" s="214">
        <v>895.73</v>
      </c>
      <c r="N339" s="214">
        <v>622.67999999999995</v>
      </c>
      <c r="O339" s="214">
        <v>2387.4</v>
      </c>
      <c r="P339" s="214">
        <v>1633.4</v>
      </c>
      <c r="Q339" s="214">
        <v>1030.8399999999999</v>
      </c>
      <c r="R339" s="214">
        <v>29.57</v>
      </c>
      <c r="S339" s="214">
        <v>367.24</v>
      </c>
      <c r="T339" s="214">
        <v>0</v>
      </c>
      <c r="U339" s="214">
        <v>22.92</v>
      </c>
      <c r="V339" s="214">
        <v>0</v>
      </c>
      <c r="W339" s="214">
        <v>0</v>
      </c>
      <c r="X339" s="214">
        <v>23.96</v>
      </c>
      <c r="Y339" s="214">
        <v>371.58</v>
      </c>
      <c r="Z339" s="214">
        <v>362.68</v>
      </c>
      <c r="AA339" s="214">
        <v>168.76</v>
      </c>
      <c r="AB339" s="214">
        <v>375.5</v>
      </c>
      <c r="AC339" s="214">
        <v>276.62</v>
      </c>
      <c r="AD339" s="214"/>
      <c r="AE339" s="420">
        <v>3549.46</v>
      </c>
      <c r="AF339" s="420">
        <v>1947.16</v>
      </c>
      <c r="AG339" s="420">
        <v>2250.87</v>
      </c>
      <c r="AH339" s="420"/>
      <c r="AI339" s="574">
        <f t="shared" si="8"/>
        <v>41634.260000000017</v>
      </c>
      <c r="AJ339" s="212"/>
    </row>
    <row r="340" spans="2:36" ht="14.4">
      <c r="B340" s="211"/>
      <c r="C340" s="213" t="s">
        <v>103</v>
      </c>
      <c r="D340" s="214">
        <v>3301.12</v>
      </c>
      <c r="E340" s="214">
        <v>98.57</v>
      </c>
      <c r="F340" s="214">
        <v>106.41</v>
      </c>
      <c r="G340" s="214">
        <v>85.22</v>
      </c>
      <c r="H340" s="214">
        <v>127.61</v>
      </c>
      <c r="I340" s="214">
        <v>53.44</v>
      </c>
      <c r="J340" s="214">
        <v>53.44</v>
      </c>
      <c r="K340" s="214">
        <v>53.44</v>
      </c>
      <c r="L340" s="214">
        <v>53.44</v>
      </c>
      <c r="M340" s="214">
        <v>0</v>
      </c>
      <c r="N340" s="214">
        <v>53.44</v>
      </c>
      <c r="O340" s="214">
        <v>53.44</v>
      </c>
      <c r="P340" s="214">
        <v>98.65</v>
      </c>
      <c r="Q340" s="214">
        <v>53.44</v>
      </c>
      <c r="R340" s="214">
        <v>53.44</v>
      </c>
      <c r="S340" s="214">
        <v>53.44</v>
      </c>
      <c r="T340" s="214">
        <v>53.44</v>
      </c>
      <c r="U340" s="214">
        <v>53.44</v>
      </c>
      <c r="V340" s="214">
        <v>53.44</v>
      </c>
      <c r="W340" s="214">
        <v>53.44</v>
      </c>
      <c r="X340" s="214">
        <v>53.44</v>
      </c>
      <c r="Y340" s="214">
        <v>388.02</v>
      </c>
      <c r="Z340" s="214">
        <v>539.9</v>
      </c>
      <c r="AA340" s="214">
        <v>331.54</v>
      </c>
      <c r="AB340" s="214">
        <v>0</v>
      </c>
      <c r="AC340" s="214">
        <v>0</v>
      </c>
      <c r="AD340" s="214"/>
      <c r="AE340" s="420">
        <v>1402.26</v>
      </c>
      <c r="AF340" s="420">
        <v>0</v>
      </c>
      <c r="AG340" s="420">
        <v>40.659999999999997</v>
      </c>
      <c r="AH340" s="420"/>
      <c r="AI340" s="574">
        <f t="shared" si="8"/>
        <v>7268.1199999999963</v>
      </c>
      <c r="AJ340" s="212"/>
    </row>
    <row r="341" spans="2:36" ht="14.4">
      <c r="B341" s="211"/>
      <c r="C341" s="213" t="s">
        <v>104</v>
      </c>
      <c r="D341" s="214">
        <v>3732.3</v>
      </c>
      <c r="E341" s="214">
        <v>395</v>
      </c>
      <c r="F341" s="214">
        <v>195.7</v>
      </c>
      <c r="G341" s="214">
        <v>320.52999999999997</v>
      </c>
      <c r="H341" s="214">
        <v>888.82</v>
      </c>
      <c r="I341" s="214">
        <v>107.34</v>
      </c>
      <c r="J341" s="214">
        <v>0</v>
      </c>
      <c r="K341" s="214">
        <v>0</v>
      </c>
      <c r="L341" s="214">
        <v>0</v>
      </c>
      <c r="M341" s="214">
        <v>417.72</v>
      </c>
      <c r="N341" s="214">
        <v>107.34</v>
      </c>
      <c r="O341" s="214">
        <v>297.14</v>
      </c>
      <c r="P341" s="214">
        <v>267.3</v>
      </c>
      <c r="Q341" s="214">
        <v>305.82</v>
      </c>
      <c r="R341" s="214">
        <v>843.3</v>
      </c>
      <c r="S341" s="214">
        <v>121.51</v>
      </c>
      <c r="T341" s="214">
        <v>227.5</v>
      </c>
      <c r="U341" s="214">
        <v>275.83</v>
      </c>
      <c r="V341" s="214">
        <v>44.58</v>
      </c>
      <c r="W341" s="214">
        <v>45.83</v>
      </c>
      <c r="X341" s="214">
        <v>97.88</v>
      </c>
      <c r="Y341" s="214">
        <v>101.88</v>
      </c>
      <c r="Z341" s="214">
        <v>101.05</v>
      </c>
      <c r="AA341" s="214">
        <v>112.5</v>
      </c>
      <c r="AB341" s="214">
        <v>110.42</v>
      </c>
      <c r="AC341" s="214">
        <v>244.38</v>
      </c>
      <c r="AD341" s="214"/>
      <c r="AE341" s="420">
        <v>327.29000000000002</v>
      </c>
      <c r="AF341" s="420">
        <v>302.44</v>
      </c>
      <c r="AG341" s="420">
        <v>318.27</v>
      </c>
      <c r="AH341" s="420"/>
      <c r="AI341" s="574">
        <f t="shared" si="8"/>
        <v>10309.669999999998</v>
      </c>
      <c r="AJ341" s="212"/>
    </row>
    <row r="342" spans="2:36" ht="14.4">
      <c r="B342" s="211"/>
      <c r="C342" s="213" t="s">
        <v>105</v>
      </c>
      <c r="D342" s="214">
        <v>1238.3800000000001</v>
      </c>
      <c r="E342" s="214">
        <v>8891.7800000000007</v>
      </c>
      <c r="F342" s="214">
        <v>0</v>
      </c>
      <c r="G342" s="214">
        <v>106.92</v>
      </c>
      <c r="H342" s="214">
        <v>0</v>
      </c>
      <c r="I342" s="214">
        <v>87.25</v>
      </c>
      <c r="J342" s="214">
        <v>0</v>
      </c>
      <c r="K342" s="214">
        <v>33.75</v>
      </c>
      <c r="L342" s="214">
        <v>0</v>
      </c>
      <c r="M342" s="214">
        <v>1025</v>
      </c>
      <c r="N342" s="214">
        <v>0</v>
      </c>
      <c r="O342" s="214">
        <v>264.27</v>
      </c>
      <c r="P342" s="214">
        <v>75.81</v>
      </c>
      <c r="Q342" s="214">
        <v>5967.45</v>
      </c>
      <c r="R342" s="214">
        <v>887.49</v>
      </c>
      <c r="S342" s="214">
        <v>1004.92</v>
      </c>
      <c r="T342" s="214">
        <v>0</v>
      </c>
      <c r="U342" s="214">
        <v>570.41999999999996</v>
      </c>
      <c r="V342" s="214">
        <v>6</v>
      </c>
      <c r="W342" s="214">
        <v>17.3</v>
      </c>
      <c r="X342" s="214">
        <v>14.67</v>
      </c>
      <c r="Y342" s="214">
        <v>918.67</v>
      </c>
      <c r="Z342" s="214">
        <v>15</v>
      </c>
      <c r="AA342" s="214">
        <v>12.5</v>
      </c>
      <c r="AB342" s="214">
        <v>225.58</v>
      </c>
      <c r="AC342" s="214">
        <v>59.33</v>
      </c>
      <c r="AD342" s="214"/>
      <c r="AE342" s="420">
        <v>1072.1199999999999</v>
      </c>
      <c r="AF342" s="420">
        <v>340.15</v>
      </c>
      <c r="AG342" s="420">
        <v>515.15</v>
      </c>
      <c r="AH342" s="420"/>
      <c r="AI342" s="574">
        <f t="shared" si="8"/>
        <v>23349.91</v>
      </c>
      <c r="AJ342" s="212"/>
    </row>
    <row r="343" spans="2:36" ht="14.4">
      <c r="B343" s="211"/>
      <c r="C343" s="213" t="s">
        <v>106</v>
      </c>
      <c r="D343" s="214">
        <v>0</v>
      </c>
      <c r="E343" s="214">
        <v>0</v>
      </c>
      <c r="F343" s="214">
        <v>0</v>
      </c>
      <c r="G343" s="214">
        <v>0</v>
      </c>
      <c r="H343" s="214">
        <v>0</v>
      </c>
      <c r="I343" s="214">
        <v>0</v>
      </c>
      <c r="J343" s="214">
        <v>0</v>
      </c>
      <c r="K343" s="214">
        <v>0</v>
      </c>
      <c r="L343" s="214">
        <v>0</v>
      </c>
      <c r="M343" s="214">
        <v>0</v>
      </c>
      <c r="N343" s="214">
        <v>0</v>
      </c>
      <c r="O343" s="214">
        <v>0</v>
      </c>
      <c r="P343" s="214">
        <v>0</v>
      </c>
      <c r="Q343" s="214">
        <v>0</v>
      </c>
      <c r="R343" s="214">
        <v>0</v>
      </c>
      <c r="S343" s="214">
        <v>0</v>
      </c>
      <c r="T343" s="214">
        <v>0</v>
      </c>
      <c r="U343" s="214">
        <v>0</v>
      </c>
      <c r="V343" s="214">
        <v>0</v>
      </c>
      <c r="W343" s="214">
        <v>0</v>
      </c>
      <c r="X343" s="214">
        <v>0</v>
      </c>
      <c r="Y343" s="214">
        <v>0</v>
      </c>
      <c r="Z343" s="214">
        <v>0</v>
      </c>
      <c r="AA343" s="214">
        <v>0</v>
      </c>
      <c r="AB343" s="214">
        <v>0</v>
      </c>
      <c r="AC343" s="214">
        <v>0</v>
      </c>
      <c r="AD343" s="214"/>
      <c r="AE343" s="420">
        <v>0</v>
      </c>
      <c r="AF343" s="420">
        <v>0</v>
      </c>
      <c r="AG343" s="420">
        <v>0</v>
      </c>
      <c r="AH343" s="420"/>
      <c r="AI343" s="574">
        <f t="shared" si="8"/>
        <v>0</v>
      </c>
      <c r="AJ343" s="212"/>
    </row>
    <row r="344" spans="2:36" ht="14.4">
      <c r="B344" s="211"/>
      <c r="C344" s="213" t="s">
        <v>107</v>
      </c>
      <c r="D344" s="214">
        <v>0</v>
      </c>
      <c r="E344" s="214">
        <v>0</v>
      </c>
      <c r="F344" s="214">
        <v>0</v>
      </c>
      <c r="G344" s="214">
        <v>0</v>
      </c>
      <c r="H344" s="214">
        <v>0</v>
      </c>
      <c r="I344" s="214">
        <v>0</v>
      </c>
      <c r="J344" s="214">
        <v>0</v>
      </c>
      <c r="K344" s="214">
        <v>0</v>
      </c>
      <c r="L344" s="214">
        <v>0</v>
      </c>
      <c r="M344" s="214">
        <v>0</v>
      </c>
      <c r="N344" s="214">
        <v>0</v>
      </c>
      <c r="O344" s="214">
        <v>0</v>
      </c>
      <c r="P344" s="214">
        <v>0</v>
      </c>
      <c r="Q344" s="214">
        <v>0</v>
      </c>
      <c r="R344" s="214">
        <v>0</v>
      </c>
      <c r="S344" s="214">
        <v>0</v>
      </c>
      <c r="T344" s="214">
        <v>0</v>
      </c>
      <c r="U344" s="214">
        <v>0</v>
      </c>
      <c r="V344" s="214">
        <v>0</v>
      </c>
      <c r="W344" s="214">
        <v>0</v>
      </c>
      <c r="X344" s="214">
        <v>0</v>
      </c>
      <c r="Y344" s="214">
        <v>0</v>
      </c>
      <c r="Z344" s="214">
        <v>0</v>
      </c>
      <c r="AA344" s="214">
        <v>0</v>
      </c>
      <c r="AB344" s="214">
        <v>0</v>
      </c>
      <c r="AC344" s="214">
        <v>0</v>
      </c>
      <c r="AD344" s="214"/>
      <c r="AE344" s="420">
        <v>0</v>
      </c>
      <c r="AF344" s="420">
        <v>0</v>
      </c>
      <c r="AG344" s="420">
        <v>0</v>
      </c>
      <c r="AH344" s="420"/>
      <c r="AI344" s="574">
        <f t="shared" si="8"/>
        <v>0</v>
      </c>
      <c r="AJ344" s="212"/>
    </row>
    <row r="345" spans="2:36" ht="14.4">
      <c r="B345" s="211"/>
      <c r="C345" s="213" t="s">
        <v>108</v>
      </c>
      <c r="D345" s="214">
        <v>0</v>
      </c>
      <c r="E345" s="214">
        <v>18087.84</v>
      </c>
      <c r="F345" s="214">
        <v>36431.760000000002</v>
      </c>
      <c r="G345" s="214">
        <v>14865.68</v>
      </c>
      <c r="H345" s="214">
        <v>4878.78</v>
      </c>
      <c r="I345" s="214"/>
      <c r="J345" s="214"/>
      <c r="K345" s="214"/>
      <c r="L345" s="214"/>
      <c r="M345" s="214">
        <v>142</v>
      </c>
      <c r="N345" s="214"/>
      <c r="O345" s="214">
        <v>2535.64</v>
      </c>
      <c r="P345" s="214">
        <v>471</v>
      </c>
      <c r="Q345" s="214">
        <v>37942.69</v>
      </c>
      <c r="R345" s="214">
        <v>1580</v>
      </c>
      <c r="S345" s="214">
        <v>2142</v>
      </c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4"/>
      <c r="AD345" s="214"/>
      <c r="AE345" s="420">
        <v>890.52</v>
      </c>
      <c r="AF345" s="420"/>
      <c r="AG345" s="420">
        <v>211</v>
      </c>
      <c r="AH345" s="420"/>
      <c r="AI345" s="574">
        <f t="shared" si="8"/>
        <v>120178.91</v>
      </c>
      <c r="AJ345" s="212"/>
    </row>
    <row r="346" spans="2:36" ht="14.4">
      <c r="B346" s="211"/>
      <c r="C346" s="213" t="s">
        <v>109</v>
      </c>
      <c r="D346" s="214">
        <v>0</v>
      </c>
      <c r="E346" s="214">
        <v>0</v>
      </c>
      <c r="F346" s="214">
        <v>0</v>
      </c>
      <c r="G346" s="214">
        <v>0</v>
      </c>
      <c r="H346" s="214">
        <v>0</v>
      </c>
      <c r="I346" s="214">
        <v>0</v>
      </c>
      <c r="J346" s="214">
        <v>0</v>
      </c>
      <c r="K346" s="214">
        <v>0</v>
      </c>
      <c r="L346" s="214">
        <v>0</v>
      </c>
      <c r="M346" s="214">
        <v>0</v>
      </c>
      <c r="N346" s="214">
        <v>0</v>
      </c>
      <c r="O346" s="214">
        <v>0</v>
      </c>
      <c r="P346" s="214">
        <v>0</v>
      </c>
      <c r="Q346" s="214">
        <v>0</v>
      </c>
      <c r="R346" s="214">
        <v>0</v>
      </c>
      <c r="S346" s="214">
        <v>0</v>
      </c>
      <c r="T346" s="214">
        <v>0</v>
      </c>
      <c r="U346" s="214">
        <v>0</v>
      </c>
      <c r="V346" s="214">
        <v>0</v>
      </c>
      <c r="W346" s="214">
        <v>0</v>
      </c>
      <c r="X346" s="214">
        <v>0</v>
      </c>
      <c r="Y346" s="214">
        <v>0</v>
      </c>
      <c r="Z346" s="214">
        <v>0</v>
      </c>
      <c r="AA346" s="214">
        <v>0</v>
      </c>
      <c r="AB346" s="214">
        <v>0</v>
      </c>
      <c r="AC346" s="214">
        <v>0</v>
      </c>
      <c r="AD346" s="214"/>
      <c r="AE346" s="420">
        <v>0</v>
      </c>
      <c r="AF346" s="420">
        <v>0</v>
      </c>
      <c r="AG346" s="420">
        <v>0</v>
      </c>
      <c r="AH346" s="420"/>
      <c r="AI346" s="574">
        <f t="shared" si="8"/>
        <v>0</v>
      </c>
      <c r="AJ346" s="212"/>
    </row>
    <row r="347" spans="2:36" ht="14.4">
      <c r="B347" s="211"/>
      <c r="C347" s="213" t="s">
        <v>110</v>
      </c>
      <c r="D347" s="214">
        <v>0</v>
      </c>
      <c r="E347" s="214">
        <v>0</v>
      </c>
      <c r="F347" s="214">
        <v>0</v>
      </c>
      <c r="G347" s="214">
        <v>0</v>
      </c>
      <c r="H347" s="214">
        <v>0</v>
      </c>
      <c r="I347" s="214">
        <v>0</v>
      </c>
      <c r="J347" s="214">
        <v>0</v>
      </c>
      <c r="K347" s="214">
        <v>0</v>
      </c>
      <c r="L347" s="214">
        <v>0</v>
      </c>
      <c r="M347" s="214">
        <v>0</v>
      </c>
      <c r="N347" s="214">
        <v>0</v>
      </c>
      <c r="O347" s="214">
        <v>166.66</v>
      </c>
      <c r="P347" s="214">
        <v>0</v>
      </c>
      <c r="Q347" s="214">
        <v>0</v>
      </c>
      <c r="R347" s="214">
        <v>0</v>
      </c>
      <c r="S347" s="214">
        <v>0</v>
      </c>
      <c r="T347" s="214">
        <v>0</v>
      </c>
      <c r="U347" s="214">
        <v>0</v>
      </c>
      <c r="V347" s="214">
        <v>0</v>
      </c>
      <c r="W347" s="214">
        <v>0</v>
      </c>
      <c r="X347" s="214">
        <v>0</v>
      </c>
      <c r="Y347" s="214">
        <v>0</v>
      </c>
      <c r="Z347" s="214">
        <v>0</v>
      </c>
      <c r="AA347" s="214">
        <v>0</v>
      </c>
      <c r="AB347" s="214">
        <v>0</v>
      </c>
      <c r="AC347" s="214">
        <v>0</v>
      </c>
      <c r="AD347" s="214"/>
      <c r="AE347" s="420">
        <v>0</v>
      </c>
      <c r="AF347" s="420">
        <v>0</v>
      </c>
      <c r="AG347" s="420">
        <v>0</v>
      </c>
      <c r="AH347" s="420"/>
      <c r="AI347" s="574">
        <f t="shared" si="8"/>
        <v>166.66</v>
      </c>
      <c r="AJ347" s="212"/>
    </row>
    <row r="348" spans="2:36" ht="14.4">
      <c r="B348" s="211"/>
      <c r="C348" s="213" t="s">
        <v>112</v>
      </c>
      <c r="D348" s="214"/>
      <c r="E348" s="214"/>
      <c r="F348" s="214"/>
      <c r="G348" s="214"/>
      <c r="H348" s="214"/>
      <c r="I348" s="214">
        <v>0</v>
      </c>
      <c r="J348" s="214"/>
      <c r="K348" s="214"/>
      <c r="L348" s="214"/>
      <c r="M348" s="214">
        <v>768.5</v>
      </c>
      <c r="N348" s="214"/>
      <c r="O348" s="214"/>
      <c r="P348" s="214"/>
      <c r="Q348" s="214"/>
      <c r="R348" s="214"/>
      <c r="S348" s="214"/>
      <c r="T348" s="214"/>
      <c r="U348" s="214"/>
      <c r="V348" s="214"/>
      <c r="W348" s="214">
        <v>190</v>
      </c>
      <c r="X348" s="214"/>
      <c r="Y348" s="214"/>
      <c r="Z348" s="214"/>
      <c r="AA348" s="214"/>
      <c r="AB348" s="214"/>
      <c r="AC348" s="214"/>
      <c r="AD348" s="214"/>
      <c r="AE348" s="420"/>
      <c r="AF348" s="420"/>
      <c r="AG348" s="420"/>
      <c r="AH348" s="420"/>
      <c r="AI348" s="574">
        <f t="shared" si="8"/>
        <v>958.5</v>
      </c>
      <c r="AJ348" s="212"/>
    </row>
    <row r="349" spans="2:36" ht="14.4">
      <c r="B349" s="211"/>
      <c r="C349" s="213" t="s">
        <v>113</v>
      </c>
      <c r="D349" s="214">
        <v>0</v>
      </c>
      <c r="E349" s="214">
        <v>0</v>
      </c>
      <c r="F349" s="214">
        <v>0</v>
      </c>
      <c r="G349" s="214">
        <v>0</v>
      </c>
      <c r="H349" s="214">
        <v>0</v>
      </c>
      <c r="I349" s="214">
        <v>0</v>
      </c>
      <c r="J349" s="214">
        <v>0</v>
      </c>
      <c r="K349" s="214">
        <v>0</v>
      </c>
      <c r="L349" s="214">
        <v>0</v>
      </c>
      <c r="M349" s="214">
        <v>0</v>
      </c>
      <c r="N349" s="214">
        <v>0</v>
      </c>
      <c r="O349" s="214">
        <v>0</v>
      </c>
      <c r="P349" s="214">
        <v>0</v>
      </c>
      <c r="Q349" s="214">
        <v>0</v>
      </c>
      <c r="R349" s="214">
        <v>0</v>
      </c>
      <c r="S349" s="214">
        <v>0</v>
      </c>
      <c r="T349" s="214">
        <v>0</v>
      </c>
      <c r="U349" s="214">
        <v>0</v>
      </c>
      <c r="V349" s="214">
        <v>0</v>
      </c>
      <c r="W349" s="214">
        <v>0</v>
      </c>
      <c r="X349" s="214">
        <v>0</v>
      </c>
      <c r="Y349" s="214">
        <v>0</v>
      </c>
      <c r="Z349" s="214">
        <v>0</v>
      </c>
      <c r="AA349" s="214">
        <v>0</v>
      </c>
      <c r="AB349" s="214">
        <v>0</v>
      </c>
      <c r="AC349" s="214">
        <v>0</v>
      </c>
      <c r="AD349" s="214"/>
      <c r="AE349" s="420">
        <v>0</v>
      </c>
      <c r="AF349" s="420">
        <v>0</v>
      </c>
      <c r="AG349" s="420">
        <v>0</v>
      </c>
      <c r="AH349" s="420"/>
      <c r="AI349" s="574">
        <f t="shared" si="8"/>
        <v>0</v>
      </c>
      <c r="AJ349" s="212"/>
    </row>
    <row r="350" spans="2:36" ht="14.4">
      <c r="B350" s="211"/>
      <c r="C350" s="213" t="s">
        <v>137</v>
      </c>
      <c r="D350" s="214">
        <v>0</v>
      </c>
      <c r="E350" s="214">
        <v>0</v>
      </c>
      <c r="F350" s="214">
        <v>0</v>
      </c>
      <c r="G350" s="214">
        <v>0</v>
      </c>
      <c r="H350" s="214">
        <v>0</v>
      </c>
      <c r="I350" s="214">
        <v>0</v>
      </c>
      <c r="J350" s="214">
        <v>0</v>
      </c>
      <c r="K350" s="214">
        <v>0</v>
      </c>
      <c r="L350" s="214">
        <v>0</v>
      </c>
      <c r="M350" s="214">
        <v>0</v>
      </c>
      <c r="N350" s="214">
        <v>0</v>
      </c>
      <c r="O350" s="214">
        <v>0</v>
      </c>
      <c r="P350" s="214">
        <v>0</v>
      </c>
      <c r="Q350" s="214">
        <v>0</v>
      </c>
      <c r="R350" s="214">
        <v>0</v>
      </c>
      <c r="S350" s="214">
        <v>0</v>
      </c>
      <c r="T350" s="214">
        <v>0</v>
      </c>
      <c r="U350" s="214">
        <v>0</v>
      </c>
      <c r="V350" s="214">
        <v>0</v>
      </c>
      <c r="W350" s="214">
        <v>0</v>
      </c>
      <c r="X350" s="214">
        <v>0</v>
      </c>
      <c r="Y350" s="214">
        <v>0</v>
      </c>
      <c r="Z350" s="214">
        <v>0</v>
      </c>
      <c r="AA350" s="214">
        <v>0</v>
      </c>
      <c r="AB350" s="214">
        <v>0</v>
      </c>
      <c r="AC350" s="214">
        <v>0</v>
      </c>
      <c r="AD350" s="214"/>
      <c r="AE350" s="420">
        <v>0</v>
      </c>
      <c r="AF350" s="420">
        <v>0</v>
      </c>
      <c r="AG350" s="420">
        <v>0</v>
      </c>
      <c r="AH350" s="420"/>
      <c r="AI350" s="574">
        <f t="shared" si="8"/>
        <v>0</v>
      </c>
      <c r="AJ350" s="212"/>
    </row>
    <row r="351" spans="2:36" ht="14.4">
      <c r="B351" s="211"/>
      <c r="C351" s="213" t="s">
        <v>140</v>
      </c>
      <c r="D351" s="214">
        <v>0</v>
      </c>
      <c r="E351" s="214">
        <v>651</v>
      </c>
      <c r="F351" s="214">
        <v>0</v>
      </c>
      <c r="G351" s="214">
        <v>512</v>
      </c>
      <c r="H351" s="214">
        <v>0</v>
      </c>
      <c r="I351" s="214">
        <v>0</v>
      </c>
      <c r="J351" s="214">
        <v>0</v>
      </c>
      <c r="K351" s="214">
        <v>0</v>
      </c>
      <c r="L351" s="214">
        <v>1172</v>
      </c>
      <c r="M351" s="214">
        <v>0</v>
      </c>
      <c r="N351" s="214">
        <v>175</v>
      </c>
      <c r="O351" s="214">
        <v>1000</v>
      </c>
      <c r="P351" s="214">
        <v>0</v>
      </c>
      <c r="Q351" s="214">
        <v>1260</v>
      </c>
      <c r="R351" s="214">
        <v>0</v>
      </c>
      <c r="S351" s="214">
        <v>169</v>
      </c>
      <c r="T351" s="214">
        <v>0</v>
      </c>
      <c r="U351" s="214">
        <v>0</v>
      </c>
      <c r="V351" s="214">
        <v>0</v>
      </c>
      <c r="W351" s="214">
        <v>0</v>
      </c>
      <c r="X351" s="214">
        <v>0</v>
      </c>
      <c r="Y351" s="214">
        <v>0</v>
      </c>
      <c r="Z351" s="214">
        <v>0</v>
      </c>
      <c r="AA351" s="214">
        <v>0</v>
      </c>
      <c r="AB351" s="214">
        <v>0</v>
      </c>
      <c r="AC351" s="214">
        <v>0</v>
      </c>
      <c r="AD351" s="214"/>
      <c r="AE351" s="420">
        <v>800</v>
      </c>
      <c r="AF351" s="420">
        <v>0</v>
      </c>
      <c r="AG351" s="420">
        <v>0</v>
      </c>
      <c r="AH351" s="420"/>
      <c r="AI351" s="574">
        <f t="shared" si="8"/>
        <v>5739</v>
      </c>
      <c r="AJ351" s="212"/>
    </row>
    <row r="352" spans="2:36" ht="14.4">
      <c r="B352" s="211"/>
      <c r="C352" s="213" t="s">
        <v>141</v>
      </c>
      <c r="D352" s="214">
        <v>0</v>
      </c>
      <c r="E352" s="214">
        <v>0</v>
      </c>
      <c r="F352" s="214">
        <v>0</v>
      </c>
      <c r="G352" s="214">
        <v>0</v>
      </c>
      <c r="H352" s="214">
        <v>0</v>
      </c>
      <c r="I352" s="214">
        <v>0</v>
      </c>
      <c r="J352" s="214">
        <v>0</v>
      </c>
      <c r="K352" s="214">
        <v>0</v>
      </c>
      <c r="L352" s="214">
        <v>0</v>
      </c>
      <c r="M352" s="214">
        <v>0</v>
      </c>
      <c r="N352" s="214">
        <v>0</v>
      </c>
      <c r="O352" s="214">
        <v>0</v>
      </c>
      <c r="P352" s="214">
        <v>0</v>
      </c>
      <c r="Q352" s="214">
        <v>0</v>
      </c>
      <c r="R352" s="214">
        <v>0</v>
      </c>
      <c r="S352" s="214">
        <v>0</v>
      </c>
      <c r="T352" s="214">
        <v>0</v>
      </c>
      <c r="U352" s="214">
        <v>0</v>
      </c>
      <c r="V352" s="214">
        <v>0</v>
      </c>
      <c r="W352" s="214">
        <v>0</v>
      </c>
      <c r="X352" s="214">
        <v>0</v>
      </c>
      <c r="Y352" s="214">
        <v>0</v>
      </c>
      <c r="Z352" s="214">
        <v>0</v>
      </c>
      <c r="AA352" s="214">
        <v>0</v>
      </c>
      <c r="AB352" s="214">
        <v>0</v>
      </c>
      <c r="AC352" s="214">
        <v>0</v>
      </c>
      <c r="AD352" s="214"/>
      <c r="AE352" s="420">
        <v>0</v>
      </c>
      <c r="AF352" s="420">
        <v>0</v>
      </c>
      <c r="AG352" s="420">
        <v>0</v>
      </c>
      <c r="AH352" s="420"/>
      <c r="AI352" s="574">
        <f t="shared" si="8"/>
        <v>0</v>
      </c>
      <c r="AJ352" s="212"/>
    </row>
    <row r="353" spans="2:36" ht="14.4">
      <c r="B353" s="211"/>
      <c r="C353" s="213" t="s">
        <v>193</v>
      </c>
      <c r="D353" s="214">
        <v>500</v>
      </c>
      <c r="E353" s="214">
        <v>0</v>
      </c>
      <c r="F353" s="214">
        <v>0</v>
      </c>
      <c r="G353" s="214">
        <v>0</v>
      </c>
      <c r="H353" s="214">
        <v>0</v>
      </c>
      <c r="I353" s="214">
        <v>0</v>
      </c>
      <c r="J353" s="214">
        <v>0</v>
      </c>
      <c r="K353" s="214">
        <v>0</v>
      </c>
      <c r="L353" s="214">
        <v>0</v>
      </c>
      <c r="M353" s="214">
        <v>0</v>
      </c>
      <c r="N353" s="214">
        <v>0</v>
      </c>
      <c r="O353" s="214">
        <v>0</v>
      </c>
      <c r="P353" s="214">
        <v>0</v>
      </c>
      <c r="Q353" s="214">
        <v>0</v>
      </c>
      <c r="R353" s="214">
        <v>0</v>
      </c>
      <c r="S353" s="214">
        <v>0</v>
      </c>
      <c r="T353" s="214">
        <v>0</v>
      </c>
      <c r="U353" s="214">
        <v>0</v>
      </c>
      <c r="V353" s="214">
        <v>0</v>
      </c>
      <c r="W353" s="214">
        <v>0</v>
      </c>
      <c r="X353" s="214">
        <v>0</v>
      </c>
      <c r="Y353" s="214">
        <v>0</v>
      </c>
      <c r="Z353" s="214">
        <v>0</v>
      </c>
      <c r="AA353" s="214">
        <v>0</v>
      </c>
      <c r="AB353" s="214">
        <v>0</v>
      </c>
      <c r="AC353" s="214">
        <v>0</v>
      </c>
      <c r="AD353" s="214"/>
      <c r="AE353" s="420">
        <v>0</v>
      </c>
      <c r="AF353" s="420">
        <v>0</v>
      </c>
      <c r="AG353" s="420">
        <v>0</v>
      </c>
      <c r="AH353" s="420"/>
      <c r="AI353" s="574">
        <f t="shared" si="8"/>
        <v>500</v>
      </c>
      <c r="AJ353" s="212"/>
    </row>
    <row r="354" spans="2:36" ht="14.4">
      <c r="B354" s="211"/>
      <c r="C354" s="213" t="s">
        <v>148</v>
      </c>
      <c r="D354" s="214">
        <v>0</v>
      </c>
      <c r="E354" s="214">
        <v>0</v>
      </c>
      <c r="F354" s="214">
        <v>0</v>
      </c>
      <c r="G354" s="214">
        <v>0</v>
      </c>
      <c r="H354" s="214">
        <v>0</v>
      </c>
      <c r="I354" s="214">
        <v>0</v>
      </c>
      <c r="J354" s="214">
        <v>0</v>
      </c>
      <c r="K354" s="214">
        <v>0</v>
      </c>
      <c r="L354" s="214">
        <v>0</v>
      </c>
      <c r="M354" s="214">
        <v>0</v>
      </c>
      <c r="N354" s="214">
        <v>0</v>
      </c>
      <c r="O354" s="214">
        <v>0</v>
      </c>
      <c r="P354" s="214">
        <v>0</v>
      </c>
      <c r="Q354" s="214">
        <v>0</v>
      </c>
      <c r="R354" s="214">
        <v>0</v>
      </c>
      <c r="S354" s="214">
        <v>0</v>
      </c>
      <c r="T354" s="214">
        <v>5270</v>
      </c>
      <c r="U354" s="214">
        <v>0</v>
      </c>
      <c r="V354" s="214">
        <v>0</v>
      </c>
      <c r="W354" s="214">
        <v>0</v>
      </c>
      <c r="X354" s="214">
        <v>0</v>
      </c>
      <c r="Y354" s="214">
        <v>0</v>
      </c>
      <c r="Z354" s="214">
        <v>0</v>
      </c>
      <c r="AA354" s="214">
        <v>0</v>
      </c>
      <c r="AB354" s="214">
        <v>0</v>
      </c>
      <c r="AC354" s="214">
        <v>0</v>
      </c>
      <c r="AD354" s="214"/>
      <c r="AE354" s="420">
        <v>0</v>
      </c>
      <c r="AF354" s="420">
        <v>0</v>
      </c>
      <c r="AG354" s="420">
        <v>0</v>
      </c>
      <c r="AH354" s="420"/>
      <c r="AI354" s="574">
        <f t="shared" si="8"/>
        <v>5270</v>
      </c>
      <c r="AJ354" s="212"/>
    </row>
    <row r="355" spans="2:36" ht="14.4">
      <c r="B355" s="211"/>
      <c r="C355" s="213" t="s">
        <v>186</v>
      </c>
      <c r="D355" s="214">
        <v>0</v>
      </c>
      <c r="E355" s="214">
        <v>0</v>
      </c>
      <c r="F355" s="214">
        <v>0</v>
      </c>
      <c r="G355" s="214">
        <v>0</v>
      </c>
      <c r="H355" s="214">
        <v>0</v>
      </c>
      <c r="I355" s="214">
        <v>0</v>
      </c>
      <c r="J355" s="214">
        <v>0</v>
      </c>
      <c r="K355" s="214">
        <v>0</v>
      </c>
      <c r="L355" s="214">
        <v>0</v>
      </c>
      <c r="M355" s="214">
        <v>0</v>
      </c>
      <c r="N355" s="214">
        <v>0</v>
      </c>
      <c r="O355" s="214">
        <v>0</v>
      </c>
      <c r="P355" s="214">
        <v>0</v>
      </c>
      <c r="Q355" s="214">
        <v>0</v>
      </c>
      <c r="R355" s="214">
        <v>0</v>
      </c>
      <c r="S355" s="214">
        <v>0</v>
      </c>
      <c r="T355" s="214">
        <v>0</v>
      </c>
      <c r="U355" s="214">
        <v>0</v>
      </c>
      <c r="V355" s="214">
        <v>0</v>
      </c>
      <c r="W355" s="214">
        <v>0</v>
      </c>
      <c r="X355" s="214">
        <v>0</v>
      </c>
      <c r="Y355" s="214">
        <v>0</v>
      </c>
      <c r="Z355" s="214">
        <v>0</v>
      </c>
      <c r="AA355" s="214">
        <v>0</v>
      </c>
      <c r="AB355" s="214">
        <v>0</v>
      </c>
      <c r="AC355" s="214">
        <v>0</v>
      </c>
      <c r="AD355" s="214"/>
      <c r="AE355" s="420">
        <v>0</v>
      </c>
      <c r="AF355" s="420">
        <v>0</v>
      </c>
      <c r="AG355" s="420">
        <v>0</v>
      </c>
      <c r="AH355" s="420"/>
      <c r="AI355" s="574">
        <f t="shared" si="8"/>
        <v>0</v>
      </c>
      <c r="AJ355" s="212"/>
    </row>
    <row r="356" spans="2:36" ht="14.4">
      <c r="B356" s="211"/>
      <c r="C356" s="213" t="s">
        <v>171</v>
      </c>
      <c r="D356" s="214">
        <v>0</v>
      </c>
      <c r="E356" s="214">
        <v>0</v>
      </c>
      <c r="F356" s="214">
        <v>0</v>
      </c>
      <c r="G356" s="214">
        <v>0</v>
      </c>
      <c r="H356" s="214">
        <v>0</v>
      </c>
      <c r="I356" s="214">
        <v>0</v>
      </c>
      <c r="J356" s="214">
        <v>0</v>
      </c>
      <c r="K356" s="214">
        <v>0</v>
      </c>
      <c r="L356" s="214">
        <v>0</v>
      </c>
      <c r="M356" s="214">
        <v>0</v>
      </c>
      <c r="N356" s="214">
        <v>0</v>
      </c>
      <c r="O356" s="214">
        <v>0</v>
      </c>
      <c r="P356" s="214">
        <v>0</v>
      </c>
      <c r="Q356" s="214">
        <v>0</v>
      </c>
      <c r="R356" s="214">
        <v>0</v>
      </c>
      <c r="S356" s="214">
        <v>0</v>
      </c>
      <c r="T356" s="214">
        <v>0</v>
      </c>
      <c r="U356" s="214">
        <v>0</v>
      </c>
      <c r="V356" s="214">
        <v>0</v>
      </c>
      <c r="W356" s="214">
        <v>0</v>
      </c>
      <c r="X356" s="214">
        <v>0</v>
      </c>
      <c r="Y356" s="214">
        <v>0</v>
      </c>
      <c r="Z356" s="214">
        <v>0</v>
      </c>
      <c r="AA356" s="214">
        <v>0</v>
      </c>
      <c r="AB356" s="214">
        <v>0</v>
      </c>
      <c r="AC356" s="214">
        <v>0</v>
      </c>
      <c r="AD356" s="214"/>
      <c r="AE356" s="420">
        <v>0</v>
      </c>
      <c r="AF356" s="420">
        <v>0</v>
      </c>
      <c r="AG356" s="420">
        <v>0</v>
      </c>
      <c r="AH356" s="420"/>
      <c r="AI356" s="574">
        <f t="shared" si="8"/>
        <v>0</v>
      </c>
      <c r="AJ356" s="212"/>
    </row>
    <row r="357" spans="2:36" ht="14.4">
      <c r="B357" s="211"/>
      <c r="C357" s="213" t="s">
        <v>180</v>
      </c>
      <c r="D357" s="214">
        <v>0</v>
      </c>
      <c r="E357" s="214">
        <v>0</v>
      </c>
      <c r="F357" s="214">
        <v>0</v>
      </c>
      <c r="G357" s="214">
        <v>0</v>
      </c>
      <c r="H357" s="214">
        <v>0</v>
      </c>
      <c r="I357" s="214">
        <v>0</v>
      </c>
      <c r="J357" s="214">
        <v>0</v>
      </c>
      <c r="K357" s="214">
        <v>0</v>
      </c>
      <c r="L357" s="214">
        <v>0</v>
      </c>
      <c r="M357" s="214">
        <v>0</v>
      </c>
      <c r="N357" s="214">
        <v>0</v>
      </c>
      <c r="O357" s="214">
        <v>0</v>
      </c>
      <c r="P357" s="214">
        <v>0</v>
      </c>
      <c r="Q357" s="214">
        <v>0</v>
      </c>
      <c r="R357" s="214">
        <v>0</v>
      </c>
      <c r="S357" s="214">
        <v>0</v>
      </c>
      <c r="T357" s="214">
        <v>0</v>
      </c>
      <c r="U357" s="214">
        <v>0</v>
      </c>
      <c r="V357" s="214">
        <v>0</v>
      </c>
      <c r="W357" s="214">
        <v>0</v>
      </c>
      <c r="X357" s="214">
        <v>0</v>
      </c>
      <c r="Y357" s="214">
        <v>0</v>
      </c>
      <c r="Z357" s="214">
        <v>0</v>
      </c>
      <c r="AA357" s="214">
        <v>0</v>
      </c>
      <c r="AB357" s="214">
        <v>0</v>
      </c>
      <c r="AC357" s="214">
        <v>0</v>
      </c>
      <c r="AD357" s="214"/>
      <c r="AE357" s="420">
        <v>0</v>
      </c>
      <c r="AF357" s="420">
        <v>0</v>
      </c>
      <c r="AG357" s="420">
        <v>0</v>
      </c>
      <c r="AH357" s="420"/>
      <c r="AI357" s="574">
        <f t="shared" si="8"/>
        <v>0</v>
      </c>
      <c r="AJ357" s="212"/>
    </row>
    <row r="358" spans="2:36" ht="14.4">
      <c r="B358" s="211"/>
      <c r="C358" s="213" t="s">
        <v>183</v>
      </c>
      <c r="D358" s="214">
        <v>0</v>
      </c>
      <c r="E358" s="214">
        <v>0</v>
      </c>
      <c r="F358" s="214">
        <v>0</v>
      </c>
      <c r="G358" s="214">
        <v>0</v>
      </c>
      <c r="H358" s="214">
        <v>0</v>
      </c>
      <c r="I358" s="214">
        <v>0</v>
      </c>
      <c r="J358" s="214">
        <v>0</v>
      </c>
      <c r="K358" s="214">
        <v>0</v>
      </c>
      <c r="L358" s="214">
        <v>0</v>
      </c>
      <c r="M358" s="214">
        <v>0</v>
      </c>
      <c r="N358" s="214">
        <v>0</v>
      </c>
      <c r="O358" s="214">
        <v>0</v>
      </c>
      <c r="P358" s="214">
        <v>0</v>
      </c>
      <c r="Q358" s="214">
        <v>0</v>
      </c>
      <c r="R358" s="214">
        <v>0</v>
      </c>
      <c r="S358" s="214">
        <v>0</v>
      </c>
      <c r="T358" s="214">
        <v>0</v>
      </c>
      <c r="U358" s="214">
        <v>0</v>
      </c>
      <c r="V358" s="214">
        <v>0</v>
      </c>
      <c r="W358" s="214">
        <v>0</v>
      </c>
      <c r="X358" s="214">
        <v>0</v>
      </c>
      <c r="Y358" s="214">
        <v>0</v>
      </c>
      <c r="Z358" s="214">
        <v>0</v>
      </c>
      <c r="AA358" s="214">
        <v>0</v>
      </c>
      <c r="AB358" s="214">
        <v>0</v>
      </c>
      <c r="AC358" s="214">
        <v>0</v>
      </c>
      <c r="AD358" s="214"/>
      <c r="AE358" s="420">
        <v>0</v>
      </c>
      <c r="AF358" s="420">
        <v>0</v>
      </c>
      <c r="AG358" s="420">
        <v>0</v>
      </c>
      <c r="AH358" s="420"/>
      <c r="AI358" s="574">
        <f t="shared" si="8"/>
        <v>0</v>
      </c>
      <c r="AJ358" s="212"/>
    </row>
    <row r="359" spans="2:36" ht="14.4">
      <c r="B359" s="211"/>
      <c r="C359" s="213" t="s">
        <v>195</v>
      </c>
      <c r="D359" s="214">
        <v>17814</v>
      </c>
      <c r="E359" s="214">
        <v>0</v>
      </c>
      <c r="F359" s="214">
        <v>0</v>
      </c>
      <c r="G359" s="214">
        <v>0</v>
      </c>
      <c r="H359" s="214">
        <v>0</v>
      </c>
      <c r="I359" s="214">
        <v>0</v>
      </c>
      <c r="J359" s="214">
        <v>0</v>
      </c>
      <c r="K359" s="214">
        <v>0</v>
      </c>
      <c r="L359" s="214">
        <v>0</v>
      </c>
      <c r="M359" s="214">
        <v>0</v>
      </c>
      <c r="N359" s="214">
        <v>0</v>
      </c>
      <c r="O359" s="214">
        <v>0</v>
      </c>
      <c r="P359" s="214">
        <v>0</v>
      </c>
      <c r="Q359" s="214">
        <v>0</v>
      </c>
      <c r="R359" s="214">
        <v>0</v>
      </c>
      <c r="S359" s="214">
        <v>0</v>
      </c>
      <c r="T359" s="214">
        <v>0</v>
      </c>
      <c r="U359" s="214">
        <v>0</v>
      </c>
      <c r="V359" s="214">
        <v>0</v>
      </c>
      <c r="W359" s="214">
        <v>0</v>
      </c>
      <c r="X359" s="214">
        <v>0</v>
      </c>
      <c r="Y359" s="214">
        <v>0</v>
      </c>
      <c r="Z359" s="214">
        <v>0</v>
      </c>
      <c r="AA359" s="214">
        <v>0</v>
      </c>
      <c r="AB359" s="214">
        <v>0</v>
      </c>
      <c r="AC359" s="214">
        <v>0</v>
      </c>
      <c r="AD359" s="214"/>
      <c r="AE359" s="420">
        <v>0</v>
      </c>
      <c r="AF359" s="420">
        <v>0</v>
      </c>
      <c r="AG359" s="420">
        <v>0</v>
      </c>
      <c r="AH359" s="420"/>
      <c r="AI359" s="574">
        <f t="shared" si="8"/>
        <v>17814</v>
      </c>
      <c r="AJ359" s="212"/>
    </row>
    <row r="360" spans="2:36" ht="14.4">
      <c r="B360" s="211"/>
      <c r="C360" s="213" t="s">
        <v>189</v>
      </c>
      <c r="D360" s="214">
        <v>16217.28</v>
      </c>
      <c r="E360" s="214">
        <v>0</v>
      </c>
      <c r="F360" s="214">
        <v>0</v>
      </c>
      <c r="G360" s="214">
        <v>0</v>
      </c>
      <c r="H360" s="214">
        <v>0</v>
      </c>
      <c r="I360" s="214">
        <v>0</v>
      </c>
      <c r="J360" s="214">
        <v>0</v>
      </c>
      <c r="K360" s="214">
        <v>0</v>
      </c>
      <c r="L360" s="214">
        <v>0</v>
      </c>
      <c r="M360" s="214">
        <v>0</v>
      </c>
      <c r="N360" s="214">
        <v>0</v>
      </c>
      <c r="O360" s="214">
        <v>0</v>
      </c>
      <c r="P360" s="214">
        <v>0</v>
      </c>
      <c r="Q360" s="214">
        <v>0</v>
      </c>
      <c r="R360" s="214">
        <v>0</v>
      </c>
      <c r="S360" s="214">
        <v>0</v>
      </c>
      <c r="T360" s="214">
        <v>0</v>
      </c>
      <c r="U360" s="214">
        <v>0</v>
      </c>
      <c r="V360" s="214">
        <v>0</v>
      </c>
      <c r="W360" s="214">
        <v>0</v>
      </c>
      <c r="X360" s="214">
        <v>0</v>
      </c>
      <c r="Y360" s="214">
        <v>0</v>
      </c>
      <c r="Z360" s="214">
        <v>0</v>
      </c>
      <c r="AA360" s="214">
        <v>0</v>
      </c>
      <c r="AB360" s="214">
        <v>0</v>
      </c>
      <c r="AC360" s="214">
        <v>0</v>
      </c>
      <c r="AD360" s="214"/>
      <c r="AE360" s="420">
        <v>0</v>
      </c>
      <c r="AF360" s="420">
        <v>0</v>
      </c>
      <c r="AG360" s="420">
        <v>0</v>
      </c>
      <c r="AH360" s="420"/>
      <c r="AI360" s="574">
        <f t="shared" si="8"/>
        <v>16217.28</v>
      </c>
      <c r="AJ360" s="212"/>
    </row>
    <row r="361" spans="2:36" ht="14.4">
      <c r="B361" s="211"/>
      <c r="C361" s="213" t="s">
        <v>188</v>
      </c>
      <c r="D361" s="214">
        <f>114402.7-81687</f>
        <v>32715.699999999997</v>
      </c>
      <c r="E361" s="214">
        <v>0</v>
      </c>
      <c r="F361" s="214">
        <v>0</v>
      </c>
      <c r="G361" s="214">
        <v>0</v>
      </c>
      <c r="H361" s="214">
        <v>0</v>
      </c>
      <c r="I361" s="214">
        <v>0</v>
      </c>
      <c r="J361" s="214">
        <v>0</v>
      </c>
      <c r="K361" s="214">
        <v>0</v>
      </c>
      <c r="L361" s="214">
        <v>0</v>
      </c>
      <c r="M361" s="214">
        <v>0</v>
      </c>
      <c r="N361" s="214">
        <v>0</v>
      </c>
      <c r="O361" s="214">
        <v>0</v>
      </c>
      <c r="P361" s="214">
        <v>0</v>
      </c>
      <c r="Q361" s="214">
        <v>0</v>
      </c>
      <c r="R361" s="214">
        <v>0</v>
      </c>
      <c r="S361" s="214">
        <v>0</v>
      </c>
      <c r="T361" s="214">
        <v>0</v>
      </c>
      <c r="U361" s="214">
        <v>0</v>
      </c>
      <c r="V361" s="214">
        <v>0</v>
      </c>
      <c r="W361" s="214">
        <v>0</v>
      </c>
      <c r="X361" s="214">
        <v>0</v>
      </c>
      <c r="Y361" s="214">
        <v>0</v>
      </c>
      <c r="Z361" s="214">
        <v>0</v>
      </c>
      <c r="AA361" s="214">
        <v>0</v>
      </c>
      <c r="AB361" s="214">
        <v>0</v>
      </c>
      <c r="AC361" s="214">
        <v>0</v>
      </c>
      <c r="AD361" s="214"/>
      <c r="AE361" s="420">
        <v>0</v>
      </c>
      <c r="AF361" s="420">
        <v>0</v>
      </c>
      <c r="AG361" s="420">
        <v>0</v>
      </c>
      <c r="AH361" s="420"/>
      <c r="AI361" s="574">
        <f t="shared" si="8"/>
        <v>32715.699999999997</v>
      </c>
      <c r="AJ361" s="212"/>
    </row>
    <row r="362" spans="2:36" ht="14.4">
      <c r="B362" s="211"/>
      <c r="C362" s="213" t="s">
        <v>196</v>
      </c>
      <c r="D362" s="214">
        <v>57468.78</v>
      </c>
      <c r="E362" s="214">
        <v>0</v>
      </c>
      <c r="F362" s="214">
        <v>0</v>
      </c>
      <c r="G362" s="214">
        <v>0</v>
      </c>
      <c r="H362" s="214">
        <v>0</v>
      </c>
      <c r="I362" s="214">
        <v>0</v>
      </c>
      <c r="J362" s="214">
        <v>0</v>
      </c>
      <c r="K362" s="214">
        <v>0</v>
      </c>
      <c r="L362" s="214">
        <v>0</v>
      </c>
      <c r="M362" s="214">
        <v>0</v>
      </c>
      <c r="N362" s="214">
        <v>0</v>
      </c>
      <c r="O362" s="214">
        <v>0</v>
      </c>
      <c r="P362" s="214">
        <v>0</v>
      </c>
      <c r="Q362" s="214">
        <v>0</v>
      </c>
      <c r="R362" s="214">
        <v>0</v>
      </c>
      <c r="S362" s="214">
        <v>0</v>
      </c>
      <c r="T362" s="214">
        <v>0</v>
      </c>
      <c r="U362" s="214">
        <v>0</v>
      </c>
      <c r="V362" s="214">
        <v>0</v>
      </c>
      <c r="W362" s="214">
        <v>0</v>
      </c>
      <c r="X362" s="214">
        <v>0</v>
      </c>
      <c r="Y362" s="214">
        <v>0</v>
      </c>
      <c r="Z362" s="214">
        <v>0</v>
      </c>
      <c r="AA362" s="214">
        <v>0</v>
      </c>
      <c r="AB362" s="214">
        <v>0</v>
      </c>
      <c r="AC362" s="214">
        <v>0</v>
      </c>
      <c r="AD362" s="214"/>
      <c r="AE362" s="420">
        <v>0</v>
      </c>
      <c r="AF362" s="420">
        <v>0</v>
      </c>
      <c r="AG362" s="420">
        <v>0</v>
      </c>
      <c r="AH362" s="420"/>
      <c r="AI362" s="574">
        <f t="shared" si="8"/>
        <v>57468.78</v>
      </c>
      <c r="AJ362" s="212"/>
    </row>
    <row r="363" spans="2:36" ht="14.4">
      <c r="B363" s="211"/>
      <c r="C363" s="213" t="s">
        <v>197</v>
      </c>
      <c r="D363" s="214">
        <v>81687</v>
      </c>
      <c r="E363" s="214">
        <v>0</v>
      </c>
      <c r="F363" s="214">
        <v>0</v>
      </c>
      <c r="G363" s="214">
        <v>0</v>
      </c>
      <c r="H363" s="214">
        <v>0</v>
      </c>
      <c r="I363" s="214">
        <v>0</v>
      </c>
      <c r="J363" s="214">
        <v>0</v>
      </c>
      <c r="K363" s="214">
        <v>0</v>
      </c>
      <c r="L363" s="214">
        <v>0</v>
      </c>
      <c r="M363" s="214">
        <v>0</v>
      </c>
      <c r="N363" s="214">
        <v>0</v>
      </c>
      <c r="O363" s="214">
        <v>0</v>
      </c>
      <c r="P363" s="214">
        <v>0</v>
      </c>
      <c r="Q363" s="214">
        <v>0</v>
      </c>
      <c r="R363" s="214">
        <v>0</v>
      </c>
      <c r="S363" s="214">
        <v>0</v>
      </c>
      <c r="T363" s="214">
        <v>0</v>
      </c>
      <c r="U363" s="214">
        <v>0</v>
      </c>
      <c r="V363" s="214">
        <v>0</v>
      </c>
      <c r="W363" s="214">
        <v>0</v>
      </c>
      <c r="X363" s="214">
        <v>0</v>
      </c>
      <c r="Y363" s="214">
        <v>0</v>
      </c>
      <c r="Z363" s="214">
        <v>0</v>
      </c>
      <c r="AA363" s="214">
        <v>0</v>
      </c>
      <c r="AB363" s="214">
        <v>0</v>
      </c>
      <c r="AC363" s="214">
        <v>0</v>
      </c>
      <c r="AD363" s="214"/>
      <c r="AE363" s="420">
        <v>0</v>
      </c>
      <c r="AF363" s="420">
        <v>0</v>
      </c>
      <c r="AG363" s="420">
        <v>0</v>
      </c>
      <c r="AH363" s="420"/>
      <c r="AI363" s="574">
        <f t="shared" si="8"/>
        <v>81687</v>
      </c>
      <c r="AJ363" s="212"/>
    </row>
    <row r="364" spans="2:36" ht="14.4">
      <c r="B364" s="211"/>
      <c r="C364" s="213" t="s">
        <v>198</v>
      </c>
      <c r="D364" s="214">
        <v>45418.64</v>
      </c>
      <c r="E364" s="214">
        <v>0</v>
      </c>
      <c r="F364" s="214">
        <v>0</v>
      </c>
      <c r="G364" s="214">
        <v>0</v>
      </c>
      <c r="H364" s="214">
        <v>0</v>
      </c>
      <c r="I364" s="214">
        <v>0</v>
      </c>
      <c r="J364" s="214">
        <v>0</v>
      </c>
      <c r="K364" s="214">
        <v>0</v>
      </c>
      <c r="L364" s="214">
        <v>0</v>
      </c>
      <c r="M364" s="214">
        <v>0</v>
      </c>
      <c r="N364" s="214">
        <v>0</v>
      </c>
      <c r="O364" s="214">
        <v>0</v>
      </c>
      <c r="P364" s="214">
        <v>0</v>
      </c>
      <c r="Q364" s="214">
        <v>0</v>
      </c>
      <c r="R364" s="214">
        <v>0</v>
      </c>
      <c r="S364" s="214">
        <v>0</v>
      </c>
      <c r="T364" s="214">
        <v>0</v>
      </c>
      <c r="U364" s="214">
        <v>0</v>
      </c>
      <c r="V364" s="214">
        <v>0</v>
      </c>
      <c r="W364" s="214">
        <v>0</v>
      </c>
      <c r="X364" s="214">
        <v>0</v>
      </c>
      <c r="Y364" s="214">
        <v>0</v>
      </c>
      <c r="Z364" s="214">
        <v>0</v>
      </c>
      <c r="AA364" s="214">
        <v>0</v>
      </c>
      <c r="AB364" s="214">
        <v>0</v>
      </c>
      <c r="AC364" s="214">
        <v>0</v>
      </c>
      <c r="AD364" s="214"/>
      <c r="AE364" s="420">
        <v>0</v>
      </c>
      <c r="AF364" s="420">
        <v>0</v>
      </c>
      <c r="AG364" s="420">
        <v>0</v>
      </c>
      <c r="AH364" s="420"/>
      <c r="AI364" s="574">
        <f t="shared" si="8"/>
        <v>45418.64</v>
      </c>
      <c r="AJ364" s="212"/>
    </row>
    <row r="365" spans="2:36" ht="14.4">
      <c r="B365" s="211"/>
      <c r="C365" s="213" t="s">
        <v>201</v>
      </c>
      <c r="D365" s="214">
        <v>20328.900000000001</v>
      </c>
      <c r="E365" s="214">
        <v>0</v>
      </c>
      <c r="F365" s="214">
        <v>0</v>
      </c>
      <c r="G365" s="214">
        <v>0</v>
      </c>
      <c r="H365" s="214">
        <v>0</v>
      </c>
      <c r="I365" s="214">
        <v>0</v>
      </c>
      <c r="J365" s="214">
        <v>0</v>
      </c>
      <c r="K365" s="214">
        <v>0</v>
      </c>
      <c r="L365" s="214">
        <v>0</v>
      </c>
      <c r="M365" s="214">
        <v>0</v>
      </c>
      <c r="N365" s="214">
        <v>0</v>
      </c>
      <c r="O365" s="214">
        <v>0</v>
      </c>
      <c r="P365" s="214">
        <v>0</v>
      </c>
      <c r="Q365" s="214">
        <v>0</v>
      </c>
      <c r="R365" s="214">
        <v>0</v>
      </c>
      <c r="S365" s="214">
        <v>0</v>
      </c>
      <c r="T365" s="214">
        <v>0</v>
      </c>
      <c r="U365" s="214">
        <v>0</v>
      </c>
      <c r="V365" s="214">
        <v>0</v>
      </c>
      <c r="W365" s="214">
        <v>0</v>
      </c>
      <c r="X365" s="214">
        <v>0</v>
      </c>
      <c r="Y365" s="214">
        <v>0</v>
      </c>
      <c r="Z365" s="214">
        <v>0</v>
      </c>
      <c r="AA365" s="214">
        <v>0</v>
      </c>
      <c r="AB365" s="214">
        <v>0</v>
      </c>
      <c r="AC365" s="214">
        <v>0</v>
      </c>
      <c r="AD365" s="214"/>
      <c r="AE365" s="420">
        <v>0</v>
      </c>
      <c r="AF365" s="420">
        <v>0</v>
      </c>
      <c r="AG365" s="420">
        <v>0</v>
      </c>
      <c r="AH365" s="420"/>
      <c r="AI365" s="574">
        <f t="shared" si="8"/>
        <v>20328.900000000001</v>
      </c>
      <c r="AJ365" s="212"/>
    </row>
    <row r="366" spans="2:36" ht="14.4">
      <c r="B366" s="211"/>
      <c r="C366" s="213" t="s">
        <v>202</v>
      </c>
      <c r="D366" s="214">
        <v>17785.95</v>
      </c>
      <c r="E366" s="214">
        <v>0</v>
      </c>
      <c r="F366" s="214">
        <v>0</v>
      </c>
      <c r="G366" s="214">
        <v>0</v>
      </c>
      <c r="H366" s="214">
        <v>0</v>
      </c>
      <c r="I366" s="214">
        <v>0</v>
      </c>
      <c r="J366" s="214">
        <v>0</v>
      </c>
      <c r="K366" s="214">
        <v>0</v>
      </c>
      <c r="L366" s="214">
        <v>0</v>
      </c>
      <c r="M366" s="214">
        <v>0</v>
      </c>
      <c r="N366" s="214">
        <v>0</v>
      </c>
      <c r="O366" s="214">
        <v>0</v>
      </c>
      <c r="P366" s="214">
        <v>0</v>
      </c>
      <c r="Q366" s="214">
        <v>0</v>
      </c>
      <c r="R366" s="214">
        <v>0</v>
      </c>
      <c r="S366" s="214">
        <v>0</v>
      </c>
      <c r="T366" s="214">
        <v>0</v>
      </c>
      <c r="U366" s="214">
        <v>0</v>
      </c>
      <c r="V366" s="214">
        <v>0</v>
      </c>
      <c r="W366" s="214">
        <v>0</v>
      </c>
      <c r="X366" s="214">
        <v>0</v>
      </c>
      <c r="Y366" s="214">
        <v>0</v>
      </c>
      <c r="Z366" s="214">
        <v>0</v>
      </c>
      <c r="AA366" s="214">
        <v>0</v>
      </c>
      <c r="AB366" s="214">
        <v>0</v>
      </c>
      <c r="AC366" s="214">
        <v>0</v>
      </c>
      <c r="AD366" s="214"/>
      <c r="AE366" s="420">
        <v>0</v>
      </c>
      <c r="AF366" s="420">
        <v>0</v>
      </c>
      <c r="AG366" s="420">
        <v>0</v>
      </c>
      <c r="AH366" s="420"/>
      <c r="AI366" s="574">
        <f t="shared" si="8"/>
        <v>17785.95</v>
      </c>
      <c r="AJ366" s="212"/>
    </row>
    <row r="367" spans="2:36" ht="14.4">
      <c r="B367" s="211"/>
      <c r="C367" s="213" t="s">
        <v>206</v>
      </c>
      <c r="D367" s="214">
        <v>20793.88</v>
      </c>
      <c r="E367" s="214">
        <v>0</v>
      </c>
      <c r="F367" s="214">
        <v>0</v>
      </c>
      <c r="G367" s="214">
        <v>0</v>
      </c>
      <c r="H367" s="214">
        <v>0</v>
      </c>
      <c r="I367" s="214">
        <v>0</v>
      </c>
      <c r="J367" s="214">
        <v>0</v>
      </c>
      <c r="K367" s="214">
        <v>0</v>
      </c>
      <c r="L367" s="214">
        <v>0</v>
      </c>
      <c r="M367" s="214">
        <v>0</v>
      </c>
      <c r="N367" s="214">
        <v>0</v>
      </c>
      <c r="O367" s="214">
        <v>0</v>
      </c>
      <c r="P367" s="214">
        <v>0</v>
      </c>
      <c r="Q367" s="214">
        <v>0</v>
      </c>
      <c r="R367" s="214">
        <v>0</v>
      </c>
      <c r="S367" s="214">
        <v>0</v>
      </c>
      <c r="T367" s="214">
        <v>0</v>
      </c>
      <c r="U367" s="214">
        <v>0</v>
      </c>
      <c r="V367" s="214">
        <v>0</v>
      </c>
      <c r="W367" s="214">
        <v>0</v>
      </c>
      <c r="X367" s="214">
        <v>0</v>
      </c>
      <c r="Y367" s="214">
        <v>0</v>
      </c>
      <c r="Z367" s="214">
        <v>0</v>
      </c>
      <c r="AA367" s="214">
        <v>0</v>
      </c>
      <c r="AB367" s="214">
        <v>0</v>
      </c>
      <c r="AC367" s="214">
        <v>0</v>
      </c>
      <c r="AD367" s="214"/>
      <c r="AE367" s="420">
        <v>0</v>
      </c>
      <c r="AF367" s="420">
        <v>0</v>
      </c>
      <c r="AG367" s="420">
        <v>0</v>
      </c>
      <c r="AH367" s="420"/>
      <c r="AI367" s="574">
        <f t="shared" si="8"/>
        <v>20793.88</v>
      </c>
      <c r="AJ367" s="212"/>
    </row>
    <row r="368" spans="2:36" ht="14.4">
      <c r="B368" s="211"/>
      <c r="C368" s="213" t="s">
        <v>207</v>
      </c>
      <c r="D368" s="214">
        <v>10537.5</v>
      </c>
      <c r="E368" s="214">
        <v>3018.75</v>
      </c>
      <c r="F368" s="214">
        <v>3450</v>
      </c>
      <c r="G368" s="214">
        <v>3975</v>
      </c>
      <c r="H368" s="214">
        <v>431.25</v>
      </c>
      <c r="I368" s="214">
        <v>1293.75</v>
      </c>
      <c r="J368" s="214"/>
      <c r="K368" s="214"/>
      <c r="L368" s="214">
        <v>862.5</v>
      </c>
      <c r="M368" s="214">
        <v>1293.75</v>
      </c>
      <c r="N368" s="214">
        <v>431.25</v>
      </c>
      <c r="O368" s="214"/>
      <c r="P368" s="214">
        <v>431.25</v>
      </c>
      <c r="Q368" s="214">
        <v>431.25</v>
      </c>
      <c r="R368" s="214">
        <v>1387.5</v>
      </c>
      <c r="S368" s="214">
        <v>862.5</v>
      </c>
      <c r="T368" s="214"/>
      <c r="U368" s="214"/>
      <c r="V368" s="214"/>
      <c r="W368" s="214"/>
      <c r="X368" s="214">
        <v>431.25</v>
      </c>
      <c r="Y368" s="214">
        <v>431.25</v>
      </c>
      <c r="Z368" s="214"/>
      <c r="AA368" s="214">
        <v>431.25</v>
      </c>
      <c r="AB368" s="214"/>
      <c r="AC368" s="214">
        <v>862.5</v>
      </c>
      <c r="AD368" s="214"/>
      <c r="AE368" s="420">
        <v>431.25</v>
      </c>
      <c r="AF368" s="420"/>
      <c r="AG368" s="420"/>
      <c r="AH368" s="420"/>
      <c r="AI368" s="574">
        <f t="shared" si="8"/>
        <v>30993.75</v>
      </c>
      <c r="AJ368" s="212"/>
    </row>
    <row r="369" spans="1:36" ht="14.4">
      <c r="B369" s="211"/>
      <c r="C369" s="213" t="s">
        <v>208</v>
      </c>
      <c r="D369" s="214">
        <v>22944.91</v>
      </c>
      <c r="E369" s="214">
        <v>0</v>
      </c>
      <c r="F369" s="214">
        <v>0</v>
      </c>
      <c r="G369" s="214">
        <v>0</v>
      </c>
      <c r="H369" s="214">
        <v>0</v>
      </c>
      <c r="I369" s="214">
        <v>0</v>
      </c>
      <c r="J369" s="214">
        <v>0</v>
      </c>
      <c r="K369" s="214">
        <v>0</v>
      </c>
      <c r="L369" s="214">
        <v>0</v>
      </c>
      <c r="M369" s="214">
        <v>0</v>
      </c>
      <c r="N369" s="214">
        <v>0</v>
      </c>
      <c r="O369" s="214">
        <v>0</v>
      </c>
      <c r="P369" s="214">
        <v>0</v>
      </c>
      <c r="Q369" s="214">
        <v>0</v>
      </c>
      <c r="R369" s="214">
        <v>0</v>
      </c>
      <c r="S369" s="214">
        <v>0</v>
      </c>
      <c r="T369" s="214">
        <v>0</v>
      </c>
      <c r="U369" s="214">
        <v>0</v>
      </c>
      <c r="V369" s="214">
        <v>0</v>
      </c>
      <c r="W369" s="214">
        <v>0</v>
      </c>
      <c r="X369" s="214">
        <v>0</v>
      </c>
      <c r="Y369" s="214">
        <v>0</v>
      </c>
      <c r="Z369" s="214">
        <v>0</v>
      </c>
      <c r="AA369" s="214">
        <v>0</v>
      </c>
      <c r="AB369" s="214">
        <v>0</v>
      </c>
      <c r="AC369" s="214">
        <v>0</v>
      </c>
      <c r="AD369" s="214"/>
      <c r="AE369" s="420">
        <v>0</v>
      </c>
      <c r="AF369" s="420">
        <v>0</v>
      </c>
      <c r="AG369" s="420">
        <v>0</v>
      </c>
      <c r="AH369" s="420"/>
      <c r="AI369" s="574">
        <f t="shared" si="8"/>
        <v>22944.91</v>
      </c>
      <c r="AJ369" s="212"/>
    </row>
    <row r="370" spans="1:36" ht="14.4">
      <c r="B370" s="211"/>
      <c r="C370" s="240" t="s">
        <v>236</v>
      </c>
      <c r="D370" s="241">
        <v>24094.78</v>
      </c>
      <c r="E370" s="241">
        <v>0</v>
      </c>
      <c r="F370" s="241">
        <v>0</v>
      </c>
      <c r="G370" s="241">
        <v>0</v>
      </c>
      <c r="H370" s="241">
        <v>0</v>
      </c>
      <c r="I370" s="241">
        <v>0</v>
      </c>
      <c r="J370" s="241">
        <v>0</v>
      </c>
      <c r="K370" s="241">
        <v>0</v>
      </c>
      <c r="L370" s="241">
        <v>0</v>
      </c>
      <c r="M370" s="241">
        <v>0</v>
      </c>
      <c r="N370" s="241">
        <v>0</v>
      </c>
      <c r="O370" s="241">
        <v>0</v>
      </c>
      <c r="P370" s="241">
        <v>0</v>
      </c>
      <c r="Q370" s="241">
        <v>0</v>
      </c>
      <c r="R370" s="241">
        <v>0</v>
      </c>
      <c r="S370" s="241">
        <v>0</v>
      </c>
      <c r="T370" s="241">
        <v>0</v>
      </c>
      <c r="U370" s="241">
        <v>0</v>
      </c>
      <c r="V370" s="241">
        <v>0</v>
      </c>
      <c r="W370" s="241">
        <v>0</v>
      </c>
      <c r="X370" s="241">
        <v>0</v>
      </c>
      <c r="Y370" s="241">
        <v>0</v>
      </c>
      <c r="Z370" s="241">
        <v>0</v>
      </c>
      <c r="AA370" s="241">
        <v>0</v>
      </c>
      <c r="AB370" s="241">
        <v>0</v>
      </c>
      <c r="AC370" s="241">
        <v>0</v>
      </c>
      <c r="AD370" s="241"/>
      <c r="AE370" s="420">
        <v>0</v>
      </c>
      <c r="AF370" s="420">
        <v>0</v>
      </c>
      <c r="AG370" s="420">
        <v>0</v>
      </c>
      <c r="AH370" s="420"/>
      <c r="AI370" s="574">
        <f t="shared" si="8"/>
        <v>24094.78</v>
      </c>
      <c r="AJ370" s="212"/>
    </row>
    <row r="371" spans="1:36" ht="14.4">
      <c r="B371" s="211"/>
      <c r="C371" s="240" t="s">
        <v>209</v>
      </c>
      <c r="D371" s="241">
        <v>6000</v>
      </c>
      <c r="E371" s="241">
        <v>0</v>
      </c>
      <c r="F371" s="241">
        <v>0</v>
      </c>
      <c r="G371" s="241">
        <v>0</v>
      </c>
      <c r="H371" s="241">
        <v>0</v>
      </c>
      <c r="I371" s="241">
        <v>0</v>
      </c>
      <c r="J371" s="241">
        <v>0</v>
      </c>
      <c r="K371" s="241">
        <v>0</v>
      </c>
      <c r="L371" s="241">
        <v>0</v>
      </c>
      <c r="M371" s="241">
        <v>0</v>
      </c>
      <c r="N371" s="241">
        <v>0</v>
      </c>
      <c r="O371" s="241">
        <v>0</v>
      </c>
      <c r="P371" s="241">
        <v>0</v>
      </c>
      <c r="Q371" s="241">
        <v>0</v>
      </c>
      <c r="R371" s="241">
        <v>0</v>
      </c>
      <c r="S371" s="241">
        <v>0</v>
      </c>
      <c r="T371" s="241">
        <v>0</v>
      </c>
      <c r="U371" s="241">
        <v>0</v>
      </c>
      <c r="V371" s="241">
        <v>0</v>
      </c>
      <c r="W371" s="241">
        <v>0</v>
      </c>
      <c r="X371" s="241">
        <v>0</v>
      </c>
      <c r="Y371" s="241">
        <v>0</v>
      </c>
      <c r="Z371" s="241">
        <v>0</v>
      </c>
      <c r="AA371" s="241">
        <v>0</v>
      </c>
      <c r="AB371" s="241">
        <v>0</v>
      </c>
      <c r="AC371" s="241">
        <v>0</v>
      </c>
      <c r="AD371" s="241"/>
      <c r="AE371" s="420">
        <v>0</v>
      </c>
      <c r="AF371" s="420">
        <v>0</v>
      </c>
      <c r="AG371" s="420">
        <v>0</v>
      </c>
      <c r="AH371" s="420"/>
      <c r="AI371" s="574">
        <f t="shared" si="8"/>
        <v>6000</v>
      </c>
      <c r="AJ371" s="212"/>
    </row>
    <row r="372" spans="1:36" ht="14.4">
      <c r="B372" s="211"/>
      <c r="C372" s="240" t="s">
        <v>360</v>
      </c>
      <c r="D372" s="241">
        <v>0</v>
      </c>
      <c r="E372" s="241">
        <v>258410.07</v>
      </c>
      <c r="F372" s="241">
        <v>101674.29</v>
      </c>
      <c r="G372" s="241">
        <v>38</v>
      </c>
      <c r="H372" s="241">
        <v>265493.17000000004</v>
      </c>
      <c r="I372" s="241">
        <v>0</v>
      </c>
      <c r="J372" s="241">
        <v>0</v>
      </c>
      <c r="K372" s="241">
        <v>0</v>
      </c>
      <c r="L372" s="241">
        <v>0</v>
      </c>
      <c r="M372" s="241">
        <v>57316.67</v>
      </c>
      <c r="N372" s="241">
        <v>98</v>
      </c>
      <c r="O372" s="241">
        <v>193264.56</v>
      </c>
      <c r="P372" s="241">
        <v>73014.070000000007</v>
      </c>
      <c r="Q372" s="241">
        <v>128626.3</v>
      </c>
      <c r="R372" s="241">
        <v>4.08</v>
      </c>
      <c r="S372" s="241">
        <v>66009.98000000001</v>
      </c>
      <c r="T372" s="241">
        <v>0</v>
      </c>
      <c r="U372" s="241">
        <v>0</v>
      </c>
      <c r="V372" s="241">
        <v>0</v>
      </c>
      <c r="W372" s="241">
        <v>0</v>
      </c>
      <c r="X372" s="241">
        <v>0</v>
      </c>
      <c r="Y372" s="241">
        <v>0</v>
      </c>
      <c r="Z372" s="241">
        <v>0</v>
      </c>
      <c r="AA372" s="241">
        <v>0</v>
      </c>
      <c r="AB372" s="241">
        <v>0</v>
      </c>
      <c r="AC372" s="241">
        <v>0</v>
      </c>
      <c r="AD372" s="241">
        <v>0</v>
      </c>
      <c r="AE372" s="420">
        <v>215298.46000000002</v>
      </c>
      <c r="AF372" s="420">
        <v>0</v>
      </c>
      <c r="AG372" s="420">
        <v>0</v>
      </c>
      <c r="AH372" s="420">
        <v>0</v>
      </c>
      <c r="AI372" s="574">
        <f t="shared" si="8"/>
        <v>1359247.6500000001</v>
      </c>
      <c r="AJ372" s="212"/>
    </row>
    <row r="373" spans="1:36" ht="14.4">
      <c r="B373" s="211"/>
      <c r="C373" s="516" t="s">
        <v>400</v>
      </c>
      <c r="D373" s="241">
        <v>145389.75</v>
      </c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420"/>
      <c r="AF373" s="420"/>
      <c r="AG373" s="420"/>
      <c r="AH373" s="420"/>
      <c r="AI373" s="574">
        <f t="shared" si="8"/>
        <v>145389.75</v>
      </c>
      <c r="AJ373" s="212"/>
    </row>
    <row r="374" spans="1:36" ht="14.4">
      <c r="B374" s="211"/>
      <c r="C374" s="149" t="s">
        <v>239</v>
      </c>
      <c r="D374" s="224">
        <f>SUM(D261:D373)</f>
        <v>2233776.5099999998</v>
      </c>
      <c r="E374" s="224">
        <f t="shared" ref="E374:AH374" si="9">SUM(E261:E372)</f>
        <v>756739.52</v>
      </c>
      <c r="F374" s="224">
        <f t="shared" si="9"/>
        <v>650128.34000000008</v>
      </c>
      <c r="G374" s="224">
        <f t="shared" si="9"/>
        <v>488095.27999999997</v>
      </c>
      <c r="H374" s="224">
        <f t="shared" si="9"/>
        <v>768276.94000000006</v>
      </c>
      <c r="I374" s="224">
        <f t="shared" si="9"/>
        <v>60003.259999999995</v>
      </c>
      <c r="J374" s="224">
        <f t="shared" si="9"/>
        <v>17558.499999999996</v>
      </c>
      <c r="K374" s="224">
        <f t="shared" si="9"/>
        <v>24438.47</v>
      </c>
      <c r="L374" s="224">
        <f t="shared" si="9"/>
        <v>26315.769999999997</v>
      </c>
      <c r="M374" s="224">
        <f t="shared" si="9"/>
        <v>285679.71000000002</v>
      </c>
      <c r="N374" s="224">
        <f t="shared" si="9"/>
        <v>41480.06</v>
      </c>
      <c r="O374" s="224">
        <f t="shared" si="9"/>
        <v>558693.26</v>
      </c>
      <c r="P374" s="224">
        <f t="shared" si="9"/>
        <v>313326.64</v>
      </c>
      <c r="Q374" s="224">
        <f t="shared" si="9"/>
        <v>744688.40999999992</v>
      </c>
      <c r="R374" s="224">
        <f t="shared" si="9"/>
        <v>111160.83000000002</v>
      </c>
      <c r="S374" s="224">
        <f t="shared" si="9"/>
        <v>313511.89</v>
      </c>
      <c r="T374" s="224">
        <f t="shared" si="9"/>
        <v>15954.91</v>
      </c>
      <c r="U374" s="224">
        <f t="shared" si="9"/>
        <v>18993.019999999997</v>
      </c>
      <c r="V374" s="224">
        <f t="shared" si="9"/>
        <v>21847.119999999999</v>
      </c>
      <c r="W374" s="224">
        <f t="shared" si="9"/>
        <v>9782.7900000000009</v>
      </c>
      <c r="X374" s="224">
        <f t="shared" si="9"/>
        <v>16571.400000000001</v>
      </c>
      <c r="Y374" s="224">
        <f t="shared" si="9"/>
        <v>13491.65</v>
      </c>
      <c r="Z374" s="224">
        <f t="shared" si="9"/>
        <v>10234.09</v>
      </c>
      <c r="AA374" s="224">
        <f t="shared" si="9"/>
        <v>10999.03</v>
      </c>
      <c r="AB374" s="224">
        <f t="shared" si="9"/>
        <v>31535.989999999998</v>
      </c>
      <c r="AC374" s="224">
        <f t="shared" si="9"/>
        <v>21023.180000000004</v>
      </c>
      <c r="AD374" s="224">
        <f t="shared" si="9"/>
        <v>0</v>
      </c>
      <c r="AE374" s="224">
        <f t="shared" si="9"/>
        <v>633254.75</v>
      </c>
      <c r="AF374" s="224">
        <f t="shared" si="9"/>
        <v>21013.89</v>
      </c>
      <c r="AG374" s="224">
        <f t="shared" si="9"/>
        <v>45842.320000000007</v>
      </c>
      <c r="AH374" s="224">
        <f t="shared" si="9"/>
        <v>0</v>
      </c>
      <c r="AI374" s="575">
        <f>SUM(AI261:AI373)</f>
        <v>8264417.530000004</v>
      </c>
      <c r="AJ374" s="212"/>
    </row>
    <row r="375" spans="1:36" ht="14.4">
      <c r="B375" s="218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576"/>
      <c r="AJ375" s="212"/>
    </row>
    <row r="376" spans="1:36" ht="14.4">
      <c r="B376" s="209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  <c r="AA376" s="202"/>
      <c r="AB376" s="202"/>
      <c r="AC376" s="202"/>
      <c r="AD376" s="202"/>
      <c r="AE376" s="202"/>
      <c r="AF376" s="202"/>
      <c r="AG376" s="202"/>
      <c r="AH376" s="202"/>
      <c r="AI376" s="577"/>
      <c r="AJ376" s="209"/>
    </row>
    <row r="377" spans="1:36" ht="14.4">
      <c r="B377" s="220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578"/>
      <c r="AJ377" s="222"/>
    </row>
    <row r="381" spans="1:36">
      <c r="A381" s="202"/>
    </row>
    <row r="382" spans="1:36" ht="21">
      <c r="A382" s="203"/>
      <c r="B382" s="204"/>
      <c r="C382" s="116" t="s">
        <v>272</v>
      </c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570"/>
      <c r="AJ382" s="117"/>
    </row>
    <row r="383" spans="1:36" ht="21">
      <c r="A383" s="206"/>
      <c r="B383" s="207"/>
      <c r="C383" s="119"/>
      <c r="D383" s="120"/>
      <c r="E383" s="634"/>
      <c r="F383" s="634"/>
      <c r="G383" s="634"/>
      <c r="H383" s="634"/>
      <c r="I383" s="634"/>
      <c r="J383" s="634"/>
      <c r="K383" s="120"/>
      <c r="L383" s="120"/>
      <c r="M383" s="120"/>
      <c r="N383" s="634" t="s">
        <v>386</v>
      </c>
      <c r="O383" s="634"/>
      <c r="P383" s="634"/>
      <c r="Q383" s="634"/>
      <c r="R383" s="634"/>
      <c r="S383" s="634"/>
      <c r="T383" s="634"/>
      <c r="U383" s="634"/>
      <c r="V383" s="634"/>
      <c r="W383" s="634"/>
      <c r="X383" s="634"/>
      <c r="Y383" s="634"/>
      <c r="Z383" s="634"/>
      <c r="AA383" s="120"/>
      <c r="AB383" s="120"/>
      <c r="AC383" s="120"/>
      <c r="AD383" s="120"/>
      <c r="AE383" s="120"/>
      <c r="AF383" s="120"/>
      <c r="AG383" s="120"/>
      <c r="AH383" s="120"/>
      <c r="AI383" s="571"/>
      <c r="AJ383" s="120"/>
    </row>
    <row r="384" spans="1:36" ht="14.4">
      <c r="A384" s="205"/>
    </row>
    <row r="385" spans="2:36" ht="14.4">
      <c r="B385" s="208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  <c r="AH385" s="209"/>
      <c r="AI385" s="573"/>
      <c r="AJ385" s="210"/>
    </row>
    <row r="386" spans="2:36" ht="14.4">
      <c r="B386" s="211"/>
      <c r="C386" s="133" t="s">
        <v>264</v>
      </c>
      <c r="D386" s="126" t="s">
        <v>184</v>
      </c>
      <c r="E386" s="201" t="s">
        <v>36</v>
      </c>
      <c r="F386" s="201" t="s">
        <v>9</v>
      </c>
      <c r="G386" s="201" t="s">
        <v>25</v>
      </c>
      <c r="H386" s="201" t="s">
        <v>160</v>
      </c>
      <c r="I386" s="201" t="s">
        <v>139</v>
      </c>
      <c r="J386" s="201" t="s">
        <v>37</v>
      </c>
      <c r="K386" s="201" t="s">
        <v>133</v>
      </c>
      <c r="L386" s="201" t="s">
        <v>123</v>
      </c>
      <c r="M386" s="201" t="s">
        <v>145</v>
      </c>
      <c r="N386" s="201" t="s">
        <v>124</v>
      </c>
      <c r="O386" s="201" t="s">
        <v>169</v>
      </c>
      <c r="P386" s="201" t="s">
        <v>243</v>
      </c>
      <c r="Q386" s="201" t="s">
        <v>175</v>
      </c>
      <c r="R386" s="201" t="s">
        <v>170</v>
      </c>
      <c r="S386" s="201" t="s">
        <v>203</v>
      </c>
      <c r="T386" s="201" t="s">
        <v>172</v>
      </c>
      <c r="U386" s="201" t="s">
        <v>176</v>
      </c>
      <c r="V386" s="201" t="s">
        <v>177</v>
      </c>
      <c r="W386" s="201" t="s">
        <v>178</v>
      </c>
      <c r="X386" s="201" t="s">
        <v>179</v>
      </c>
      <c r="Y386" s="201" t="s">
        <v>181</v>
      </c>
      <c r="Z386" s="201" t="s">
        <v>182</v>
      </c>
      <c r="AA386" s="201" t="s">
        <v>187</v>
      </c>
      <c r="AB386" s="201" t="s">
        <v>233</v>
      </c>
      <c r="AC386" s="201" t="s">
        <v>240</v>
      </c>
      <c r="AD386" s="201" t="s">
        <v>245</v>
      </c>
      <c r="AE386" s="201" t="s">
        <v>357</v>
      </c>
      <c r="AF386" s="201" t="s">
        <v>362</v>
      </c>
      <c r="AG386" s="201" t="s">
        <v>361</v>
      </c>
      <c r="AH386" s="201" t="s">
        <v>234</v>
      </c>
      <c r="AI386" s="568" t="s">
        <v>239</v>
      </c>
      <c r="AJ386" s="212"/>
    </row>
    <row r="387" spans="2:36" ht="14.4">
      <c r="B387" s="211"/>
      <c r="C387" s="213" t="s">
        <v>40</v>
      </c>
      <c r="D387" s="214">
        <v>903218.51</v>
      </c>
      <c r="E387" s="214"/>
      <c r="F387" s="214">
        <v>0</v>
      </c>
      <c r="G387" s="214">
        <v>0</v>
      </c>
      <c r="H387" s="214">
        <v>0</v>
      </c>
      <c r="I387" s="214">
        <v>0</v>
      </c>
      <c r="J387" s="214">
        <v>0</v>
      </c>
      <c r="K387" s="214">
        <v>0</v>
      </c>
      <c r="L387" s="214">
        <v>0</v>
      </c>
      <c r="M387" s="214">
        <v>0</v>
      </c>
      <c r="N387" s="214">
        <v>0</v>
      </c>
      <c r="O387" s="214">
        <v>0</v>
      </c>
      <c r="P387" s="214">
        <v>0</v>
      </c>
      <c r="Q387" s="214">
        <v>0</v>
      </c>
      <c r="R387" s="214">
        <v>0</v>
      </c>
      <c r="S387" s="214">
        <v>0</v>
      </c>
      <c r="T387" s="214">
        <v>0</v>
      </c>
      <c r="U387" s="214">
        <v>0</v>
      </c>
      <c r="V387" s="214">
        <v>0</v>
      </c>
      <c r="W387" s="214">
        <v>0</v>
      </c>
      <c r="X387" s="214">
        <v>0</v>
      </c>
      <c r="Y387" s="214">
        <v>0</v>
      </c>
      <c r="Z387" s="214">
        <v>0</v>
      </c>
      <c r="AA387" s="214">
        <v>0</v>
      </c>
      <c r="AB387" s="214">
        <v>0</v>
      </c>
      <c r="AC387" s="214">
        <v>0</v>
      </c>
      <c r="AD387" s="214"/>
      <c r="AE387" s="420">
        <v>0</v>
      </c>
      <c r="AF387" s="420">
        <v>0</v>
      </c>
      <c r="AG387" s="420">
        <v>0</v>
      </c>
      <c r="AH387" s="420"/>
      <c r="AI387" s="574">
        <f>SUM(D387:AH387)</f>
        <v>903218.51</v>
      </c>
      <c r="AJ387" s="212"/>
    </row>
    <row r="388" spans="2:36" ht="14.4">
      <c r="B388" s="211"/>
      <c r="C388" s="213" t="s">
        <v>41</v>
      </c>
      <c r="D388" s="214">
        <v>0</v>
      </c>
      <c r="E388" s="214">
        <v>268532.35000000003</v>
      </c>
      <c r="F388" s="214">
        <v>336340.38</v>
      </c>
      <c r="G388" s="214">
        <v>241871.53</v>
      </c>
      <c r="H388" s="214">
        <v>351978.74</v>
      </c>
      <c r="I388" s="214">
        <v>35818.18</v>
      </c>
      <c r="J388" s="214">
        <v>10701.58</v>
      </c>
      <c r="K388" s="214">
        <v>18427.23</v>
      </c>
      <c r="L388" s="214">
        <v>16878.650000000001</v>
      </c>
      <c r="M388" s="214">
        <v>189497.33000000002</v>
      </c>
      <c r="N388" s="214">
        <v>18303.330000000002</v>
      </c>
      <c r="O388" s="214">
        <v>314917.07999999996</v>
      </c>
      <c r="P388" s="214">
        <v>187774.61</v>
      </c>
      <c r="Q388" s="214">
        <v>403586.22000000003</v>
      </c>
      <c r="R388" s="214">
        <v>41396.11</v>
      </c>
      <c r="S388" s="214">
        <v>166781.63</v>
      </c>
      <c r="T388" s="214">
        <v>9712.7999999999993</v>
      </c>
      <c r="U388" s="214">
        <v>15961.779999999999</v>
      </c>
      <c r="V388" s="214">
        <v>19636.07</v>
      </c>
      <c r="W388" s="214">
        <v>7374.01</v>
      </c>
      <c r="X388" s="214">
        <v>9367.7999999999993</v>
      </c>
      <c r="Y388" s="214">
        <v>8934.17</v>
      </c>
      <c r="Z388" s="214">
        <v>6828.13</v>
      </c>
      <c r="AA388" s="214">
        <v>8655.7999999999993</v>
      </c>
      <c r="AB388" s="214">
        <v>25682.050000000003</v>
      </c>
      <c r="AC388" s="214">
        <v>15648.07</v>
      </c>
      <c r="AD388" s="214"/>
      <c r="AE388" s="420">
        <v>314149.40000000002</v>
      </c>
      <c r="AF388" s="420">
        <v>8355.59</v>
      </c>
      <c r="AG388" s="420">
        <v>21944.98</v>
      </c>
      <c r="AH388" s="420">
        <v>0</v>
      </c>
      <c r="AI388" s="574">
        <f t="shared" ref="AI388:AI451" si="10">SUM(D388:AH388)</f>
        <v>3075055.5999999978</v>
      </c>
      <c r="AJ388" s="212"/>
    </row>
    <row r="389" spans="2:36" ht="14.4">
      <c r="B389" s="211"/>
      <c r="C389" s="213" t="s">
        <v>26</v>
      </c>
      <c r="D389" s="214">
        <v>2000</v>
      </c>
      <c r="E389" s="214">
        <v>0</v>
      </c>
      <c r="F389" s="214">
        <v>3075</v>
      </c>
      <c r="G389" s="214">
        <v>3430</v>
      </c>
      <c r="H389" s="214">
        <v>3813</v>
      </c>
      <c r="I389" s="214">
        <v>0</v>
      </c>
      <c r="J389" s="214">
        <v>0</v>
      </c>
      <c r="K389" s="214">
        <v>0</v>
      </c>
      <c r="L389" s="214">
        <v>0</v>
      </c>
      <c r="M389" s="214">
        <v>0</v>
      </c>
      <c r="N389" s="214">
        <v>0</v>
      </c>
      <c r="O389" s="214">
        <v>1500</v>
      </c>
      <c r="P389" s="214">
        <v>2191</v>
      </c>
      <c r="Q389" s="214">
        <v>11350</v>
      </c>
      <c r="R389" s="214">
        <v>4200</v>
      </c>
      <c r="S389" s="214">
        <v>4007</v>
      </c>
      <c r="T389" s="214">
        <v>0</v>
      </c>
      <c r="U389" s="214">
        <v>0</v>
      </c>
      <c r="V389" s="214">
        <v>0</v>
      </c>
      <c r="W389" s="214">
        <v>0</v>
      </c>
      <c r="X389" s="214">
        <v>0</v>
      </c>
      <c r="Y389" s="214">
        <v>0</v>
      </c>
      <c r="Z389" s="214">
        <v>0</v>
      </c>
      <c r="AA389" s="214">
        <v>0</v>
      </c>
      <c r="AB389" s="214">
        <v>0</v>
      </c>
      <c r="AC389" s="214">
        <v>0</v>
      </c>
      <c r="AD389" s="214"/>
      <c r="AE389" s="420">
        <v>1000</v>
      </c>
      <c r="AF389" s="420">
        <v>0</v>
      </c>
      <c r="AG389" s="420">
        <v>0</v>
      </c>
      <c r="AH389" s="420"/>
      <c r="AI389" s="574">
        <f t="shared" si="10"/>
        <v>36566</v>
      </c>
      <c r="AJ389" s="212"/>
    </row>
    <row r="390" spans="2:36" ht="14.4">
      <c r="B390" s="211"/>
      <c r="C390" s="213" t="s">
        <v>27</v>
      </c>
      <c r="D390" s="214">
        <v>0</v>
      </c>
      <c r="E390" s="214">
        <v>200</v>
      </c>
      <c r="F390" s="214">
        <v>0</v>
      </c>
      <c r="G390" s="214">
        <v>580</v>
      </c>
      <c r="H390" s="214">
        <v>2020</v>
      </c>
      <c r="I390" s="214">
        <v>0</v>
      </c>
      <c r="J390" s="214">
        <v>0</v>
      </c>
      <c r="K390" s="214">
        <v>0</v>
      </c>
      <c r="L390" s="214">
        <v>0</v>
      </c>
      <c r="M390" s="214">
        <v>0</v>
      </c>
      <c r="N390" s="214">
        <v>0</v>
      </c>
      <c r="O390" s="214">
        <v>0</v>
      </c>
      <c r="P390" s="214">
        <v>0</v>
      </c>
      <c r="Q390" s="214">
        <v>0</v>
      </c>
      <c r="R390" s="214">
        <v>0</v>
      </c>
      <c r="S390" s="214">
        <v>0</v>
      </c>
      <c r="T390" s="214">
        <v>0</v>
      </c>
      <c r="U390" s="214">
        <v>0</v>
      </c>
      <c r="V390" s="214">
        <v>0</v>
      </c>
      <c r="W390" s="214">
        <v>0</v>
      </c>
      <c r="X390" s="214">
        <v>0</v>
      </c>
      <c r="Y390" s="214">
        <v>0</v>
      </c>
      <c r="Z390" s="214">
        <v>0</v>
      </c>
      <c r="AA390" s="214">
        <v>0</v>
      </c>
      <c r="AB390" s="214">
        <v>0</v>
      </c>
      <c r="AC390" s="214">
        <v>0</v>
      </c>
      <c r="AD390" s="214"/>
      <c r="AE390" s="420">
        <v>0</v>
      </c>
      <c r="AF390" s="420">
        <v>0</v>
      </c>
      <c r="AG390" s="420">
        <v>0</v>
      </c>
      <c r="AH390" s="420"/>
      <c r="AI390" s="574">
        <f t="shared" si="10"/>
        <v>2800</v>
      </c>
      <c r="AJ390" s="212"/>
    </row>
    <row r="391" spans="2:36" ht="14.4">
      <c r="B391" s="211"/>
      <c r="C391" s="213" t="s">
        <v>42</v>
      </c>
      <c r="D391" s="214">
        <v>0</v>
      </c>
      <c r="E391" s="214">
        <v>0</v>
      </c>
      <c r="F391" s="214">
        <v>0</v>
      </c>
      <c r="G391" s="214">
        <v>0</v>
      </c>
      <c r="H391" s="214">
        <v>0</v>
      </c>
      <c r="I391" s="214">
        <v>0</v>
      </c>
      <c r="J391" s="214">
        <v>0</v>
      </c>
      <c r="K391" s="214">
        <v>0</v>
      </c>
      <c r="L391" s="214">
        <v>0</v>
      </c>
      <c r="M391" s="214">
        <v>0</v>
      </c>
      <c r="N391" s="214">
        <v>0</v>
      </c>
      <c r="O391" s="214">
        <v>0</v>
      </c>
      <c r="P391" s="214">
        <v>0</v>
      </c>
      <c r="Q391" s="214">
        <v>0</v>
      </c>
      <c r="R391" s="214">
        <v>0</v>
      </c>
      <c r="S391" s="214">
        <v>0</v>
      </c>
      <c r="T391" s="214">
        <v>0</v>
      </c>
      <c r="U391" s="214">
        <v>0</v>
      </c>
      <c r="V391" s="214">
        <v>0</v>
      </c>
      <c r="W391" s="214">
        <v>0</v>
      </c>
      <c r="X391" s="214">
        <v>0</v>
      </c>
      <c r="Y391" s="214">
        <v>0</v>
      </c>
      <c r="Z391" s="214">
        <v>0</v>
      </c>
      <c r="AA391" s="214">
        <v>0</v>
      </c>
      <c r="AB391" s="214">
        <v>0</v>
      </c>
      <c r="AC391" s="214">
        <v>0</v>
      </c>
      <c r="AD391" s="214"/>
      <c r="AE391" s="420">
        <v>0</v>
      </c>
      <c r="AF391" s="420">
        <v>0</v>
      </c>
      <c r="AG391" s="420">
        <v>0</v>
      </c>
      <c r="AH391" s="420"/>
      <c r="AI391" s="574">
        <f t="shared" si="10"/>
        <v>0</v>
      </c>
      <c r="AJ391" s="212"/>
    </row>
    <row r="392" spans="2:36" ht="14.4">
      <c r="B392" s="211"/>
      <c r="C392" s="213" t="s">
        <v>43</v>
      </c>
      <c r="D392" s="214">
        <v>0</v>
      </c>
      <c r="E392" s="214">
        <v>100000</v>
      </c>
      <c r="F392" s="214">
        <v>100000</v>
      </c>
      <c r="G392" s="214">
        <v>100000</v>
      </c>
      <c r="H392" s="214">
        <v>0</v>
      </c>
      <c r="I392" s="214">
        <v>0</v>
      </c>
      <c r="J392" s="214">
        <v>0</v>
      </c>
      <c r="K392" s="214">
        <v>0</v>
      </c>
      <c r="L392" s="214">
        <v>0</v>
      </c>
      <c r="M392" s="214">
        <v>0</v>
      </c>
      <c r="N392" s="214">
        <v>0</v>
      </c>
      <c r="O392" s="214">
        <v>0</v>
      </c>
      <c r="P392" s="214">
        <v>0</v>
      </c>
      <c r="Q392" s="214">
        <v>0</v>
      </c>
      <c r="R392" s="214">
        <v>0</v>
      </c>
      <c r="S392" s="214">
        <v>0</v>
      </c>
      <c r="T392" s="214">
        <v>0</v>
      </c>
      <c r="U392" s="214">
        <v>0</v>
      </c>
      <c r="V392" s="214">
        <v>0</v>
      </c>
      <c r="W392" s="214">
        <v>0</v>
      </c>
      <c r="X392" s="214">
        <v>0</v>
      </c>
      <c r="Y392" s="214">
        <v>0</v>
      </c>
      <c r="Z392" s="214">
        <v>0</v>
      </c>
      <c r="AA392" s="214">
        <v>0</v>
      </c>
      <c r="AB392" s="214">
        <v>0</v>
      </c>
      <c r="AC392" s="214">
        <v>0</v>
      </c>
      <c r="AD392" s="214"/>
      <c r="AE392" s="420">
        <v>0</v>
      </c>
      <c r="AF392" s="420">
        <v>0</v>
      </c>
      <c r="AG392" s="420">
        <v>0</v>
      </c>
      <c r="AH392" s="420"/>
      <c r="AI392" s="574">
        <f t="shared" si="10"/>
        <v>300000</v>
      </c>
      <c r="AJ392" s="212"/>
    </row>
    <row r="393" spans="2:36" ht="14.4">
      <c r="B393" s="211"/>
      <c r="C393" s="213" t="s">
        <v>44</v>
      </c>
      <c r="D393" s="214">
        <v>100000</v>
      </c>
      <c r="E393" s="214">
        <v>0</v>
      </c>
      <c r="F393" s="214">
        <v>0</v>
      </c>
      <c r="G393" s="214">
        <v>0</v>
      </c>
      <c r="H393" s="214">
        <v>0</v>
      </c>
      <c r="I393" s="214">
        <v>0</v>
      </c>
      <c r="J393" s="214">
        <v>0</v>
      </c>
      <c r="K393" s="214">
        <v>0</v>
      </c>
      <c r="L393" s="214">
        <v>0</v>
      </c>
      <c r="M393" s="214">
        <v>0</v>
      </c>
      <c r="N393" s="214">
        <v>0</v>
      </c>
      <c r="O393" s="214">
        <v>0</v>
      </c>
      <c r="P393" s="214">
        <v>0</v>
      </c>
      <c r="Q393" s="214">
        <v>0</v>
      </c>
      <c r="R393" s="214">
        <v>0</v>
      </c>
      <c r="S393" s="214">
        <v>0</v>
      </c>
      <c r="T393" s="214">
        <v>0</v>
      </c>
      <c r="U393" s="214">
        <v>0</v>
      </c>
      <c r="V393" s="214">
        <v>0</v>
      </c>
      <c r="W393" s="214">
        <v>0</v>
      </c>
      <c r="X393" s="214">
        <v>0</v>
      </c>
      <c r="Y393" s="214">
        <v>0</v>
      </c>
      <c r="Z393" s="214">
        <v>0</v>
      </c>
      <c r="AA393" s="214">
        <v>0</v>
      </c>
      <c r="AB393" s="214">
        <v>0</v>
      </c>
      <c r="AC393" s="214">
        <v>0</v>
      </c>
      <c r="AD393" s="214"/>
      <c r="AE393" s="420">
        <v>0</v>
      </c>
      <c r="AF393" s="420">
        <v>0</v>
      </c>
      <c r="AG393" s="420">
        <v>0</v>
      </c>
      <c r="AH393" s="420"/>
      <c r="AI393" s="574">
        <f t="shared" si="10"/>
        <v>100000</v>
      </c>
      <c r="AJ393" s="212"/>
    </row>
    <row r="394" spans="2:36" ht="14.4">
      <c r="B394" s="211"/>
      <c r="C394" s="213" t="s">
        <v>45</v>
      </c>
      <c r="D394" s="214">
        <v>40610</v>
      </c>
      <c r="E394" s="214">
        <v>0</v>
      </c>
      <c r="F394" s="214">
        <v>26200</v>
      </c>
      <c r="G394" s="214">
        <v>0</v>
      </c>
      <c r="H394" s="214">
        <v>35500</v>
      </c>
      <c r="I394" s="214">
        <v>0</v>
      </c>
      <c r="J394" s="214">
        <v>0</v>
      </c>
      <c r="K394" s="214">
        <v>0</v>
      </c>
      <c r="L394" s="214">
        <v>0</v>
      </c>
      <c r="M394" s="214">
        <v>11000</v>
      </c>
      <c r="N394" s="214">
        <v>16320</v>
      </c>
      <c r="O394" s="214">
        <v>22000</v>
      </c>
      <c r="P394" s="214">
        <v>20900</v>
      </c>
      <c r="Q394" s="214">
        <v>100886</v>
      </c>
      <c r="R394" s="214">
        <v>22420</v>
      </c>
      <c r="S394" s="214">
        <v>50625</v>
      </c>
      <c r="T394" s="214">
        <v>0</v>
      </c>
      <c r="U394" s="214">
        <v>0</v>
      </c>
      <c r="V394" s="214">
        <v>0</v>
      </c>
      <c r="W394" s="214">
        <v>0</v>
      </c>
      <c r="X394" s="214">
        <v>0</v>
      </c>
      <c r="Y394" s="214">
        <v>0</v>
      </c>
      <c r="Z394" s="214">
        <v>0</v>
      </c>
      <c r="AA394" s="214">
        <v>0</v>
      </c>
      <c r="AB394" s="214">
        <v>0</v>
      </c>
      <c r="AC394" s="214">
        <v>0</v>
      </c>
      <c r="AD394" s="214"/>
      <c r="AE394" s="420">
        <v>42800</v>
      </c>
      <c r="AF394" s="420">
        <v>0</v>
      </c>
      <c r="AG394" s="420">
        <v>0</v>
      </c>
      <c r="AH394" s="420"/>
      <c r="AI394" s="574">
        <f t="shared" si="10"/>
        <v>389261</v>
      </c>
      <c r="AJ394" s="212"/>
    </row>
    <row r="395" spans="2:36" ht="14.4">
      <c r="B395" s="211"/>
      <c r="C395" s="213" t="s">
        <v>156</v>
      </c>
      <c r="D395" s="214">
        <v>9375</v>
      </c>
      <c r="E395" s="214">
        <v>65</v>
      </c>
      <c r="F395" s="214">
        <v>0</v>
      </c>
      <c r="G395" s="214">
        <v>0</v>
      </c>
      <c r="H395" s="214">
        <v>0</v>
      </c>
      <c r="I395" s="214">
        <v>0</v>
      </c>
      <c r="J395" s="214">
        <v>0</v>
      </c>
      <c r="K395" s="214">
        <v>0</v>
      </c>
      <c r="L395" s="214">
        <v>0</v>
      </c>
      <c r="M395" s="214">
        <v>0</v>
      </c>
      <c r="N395" s="214">
        <v>0</v>
      </c>
      <c r="O395" s="214">
        <v>160</v>
      </c>
      <c r="P395" s="214">
        <v>0</v>
      </c>
      <c r="Q395" s="214">
        <v>0</v>
      </c>
      <c r="R395" s="214">
        <v>0</v>
      </c>
      <c r="S395" s="214">
        <v>35</v>
      </c>
      <c r="T395" s="214">
        <v>0</v>
      </c>
      <c r="U395" s="214">
        <v>0</v>
      </c>
      <c r="V395" s="214">
        <v>0</v>
      </c>
      <c r="W395" s="214">
        <v>0</v>
      </c>
      <c r="X395" s="214">
        <v>0</v>
      </c>
      <c r="Y395" s="214">
        <v>0</v>
      </c>
      <c r="Z395" s="214">
        <v>0</v>
      </c>
      <c r="AA395" s="214">
        <v>0</v>
      </c>
      <c r="AB395" s="214">
        <v>0</v>
      </c>
      <c r="AC395" s="214">
        <v>0</v>
      </c>
      <c r="AD395" s="214"/>
      <c r="AE395" s="420">
        <v>50</v>
      </c>
      <c r="AF395" s="420">
        <v>0</v>
      </c>
      <c r="AG395" s="420">
        <v>0</v>
      </c>
      <c r="AH395" s="420"/>
      <c r="AI395" s="574">
        <f t="shared" si="10"/>
        <v>9685</v>
      </c>
      <c r="AJ395" s="212"/>
    </row>
    <row r="396" spans="2:36" ht="14.4">
      <c r="B396" s="211"/>
      <c r="C396" s="213" t="s">
        <v>46</v>
      </c>
      <c r="D396" s="214">
        <v>12719.11</v>
      </c>
      <c r="E396" s="214">
        <v>791.98</v>
      </c>
      <c r="F396" s="214">
        <v>2010</v>
      </c>
      <c r="G396" s="214">
        <v>444.46</v>
      </c>
      <c r="H396" s="214">
        <v>147.13</v>
      </c>
      <c r="I396" s="214">
        <v>84.95</v>
      </c>
      <c r="J396" s="214">
        <v>97.81</v>
      </c>
      <c r="K396" s="214">
        <v>523.88</v>
      </c>
      <c r="L396" s="214">
        <v>65.87</v>
      </c>
      <c r="M396" s="214">
        <v>694.4</v>
      </c>
      <c r="N396" s="214">
        <v>54.67</v>
      </c>
      <c r="O396" s="214">
        <v>232.11</v>
      </c>
      <c r="P396" s="214">
        <v>663.81</v>
      </c>
      <c r="Q396" s="214">
        <v>378.43</v>
      </c>
      <c r="R396" s="214">
        <v>165.87</v>
      </c>
      <c r="S396" s="214">
        <v>501.1</v>
      </c>
      <c r="T396" s="214">
        <v>0</v>
      </c>
      <c r="U396" s="214">
        <v>168.67</v>
      </c>
      <c r="V396" s="214">
        <v>54</v>
      </c>
      <c r="W396" s="214">
        <v>504</v>
      </c>
      <c r="X396" s="214">
        <v>168.67</v>
      </c>
      <c r="Y396" s="214">
        <v>62.18</v>
      </c>
      <c r="Z396" s="214">
        <v>57.87</v>
      </c>
      <c r="AA396" s="214">
        <v>65.87</v>
      </c>
      <c r="AB396" s="214">
        <v>68.33</v>
      </c>
      <c r="AC396" s="214">
        <v>62.18</v>
      </c>
      <c r="AD396" s="214"/>
      <c r="AE396" s="420">
        <v>270.86</v>
      </c>
      <c r="AF396" s="420">
        <v>84</v>
      </c>
      <c r="AG396" s="420">
        <v>84</v>
      </c>
      <c r="AH396" s="420"/>
      <c r="AI396" s="574">
        <f t="shared" si="10"/>
        <v>21226.209999999995</v>
      </c>
      <c r="AJ396" s="212"/>
    </row>
    <row r="397" spans="2:36" ht="14.4">
      <c r="B397" s="211"/>
      <c r="C397" s="213" t="s">
        <v>47</v>
      </c>
      <c r="D397" s="214">
        <v>0</v>
      </c>
      <c r="E397" s="214">
        <v>0</v>
      </c>
      <c r="F397" s="214">
        <v>0</v>
      </c>
      <c r="G397" s="214">
        <v>0</v>
      </c>
      <c r="H397" s="214">
        <v>0</v>
      </c>
      <c r="I397" s="214">
        <v>0</v>
      </c>
      <c r="J397" s="214">
        <v>0</v>
      </c>
      <c r="K397" s="214">
        <v>0</v>
      </c>
      <c r="L397" s="214">
        <v>0</v>
      </c>
      <c r="M397" s="214">
        <v>0</v>
      </c>
      <c r="N397" s="214">
        <v>0</v>
      </c>
      <c r="O397" s="214">
        <v>0</v>
      </c>
      <c r="P397" s="214">
        <v>0</v>
      </c>
      <c r="Q397" s="214">
        <v>0</v>
      </c>
      <c r="R397" s="214">
        <v>0</v>
      </c>
      <c r="S397" s="214">
        <v>0</v>
      </c>
      <c r="T397" s="214">
        <v>0</v>
      </c>
      <c r="U397" s="214">
        <v>0</v>
      </c>
      <c r="V397" s="214">
        <v>0</v>
      </c>
      <c r="W397" s="214">
        <v>0</v>
      </c>
      <c r="X397" s="214">
        <v>0</v>
      </c>
      <c r="Y397" s="214">
        <v>0</v>
      </c>
      <c r="Z397" s="214">
        <v>0</v>
      </c>
      <c r="AA397" s="214">
        <v>0</v>
      </c>
      <c r="AB397" s="214">
        <v>0</v>
      </c>
      <c r="AC397" s="214">
        <v>0</v>
      </c>
      <c r="AD397" s="214"/>
      <c r="AE397" s="420">
        <v>0</v>
      </c>
      <c r="AF397" s="420">
        <v>0</v>
      </c>
      <c r="AG397" s="420">
        <v>0</v>
      </c>
      <c r="AH397" s="420"/>
      <c r="AI397" s="574">
        <f t="shared" si="10"/>
        <v>0</v>
      </c>
      <c r="AJ397" s="212"/>
    </row>
    <row r="398" spans="2:36" ht="14.4">
      <c r="B398" s="211"/>
      <c r="C398" s="213" t="s">
        <v>48</v>
      </c>
      <c r="D398" s="214">
        <v>1500</v>
      </c>
      <c r="E398" s="214">
        <v>1400</v>
      </c>
      <c r="F398" s="214">
        <v>750</v>
      </c>
      <c r="G398" s="214">
        <v>0</v>
      </c>
      <c r="H398" s="214">
        <v>900</v>
      </c>
      <c r="I398" s="214">
        <v>0</v>
      </c>
      <c r="J398" s="214">
        <v>0</v>
      </c>
      <c r="K398" s="214">
        <v>0</v>
      </c>
      <c r="L398" s="214">
        <v>0</v>
      </c>
      <c r="M398" s="214">
        <v>500</v>
      </c>
      <c r="N398" s="214">
        <v>0</v>
      </c>
      <c r="O398" s="214">
        <v>650</v>
      </c>
      <c r="P398" s="214">
        <v>0</v>
      </c>
      <c r="Q398" s="214">
        <v>750</v>
      </c>
      <c r="R398" s="214">
        <v>0</v>
      </c>
      <c r="S398" s="214">
        <v>0</v>
      </c>
      <c r="T398" s="214">
        <v>0</v>
      </c>
      <c r="U398" s="214">
        <v>0</v>
      </c>
      <c r="V398" s="214">
        <v>0</v>
      </c>
      <c r="W398" s="214">
        <v>0</v>
      </c>
      <c r="X398" s="214">
        <v>0</v>
      </c>
      <c r="Y398" s="214">
        <v>0</v>
      </c>
      <c r="Z398" s="214">
        <v>0</v>
      </c>
      <c r="AA398" s="214">
        <v>0</v>
      </c>
      <c r="AB398" s="214">
        <v>0</v>
      </c>
      <c r="AC398" s="214">
        <v>0</v>
      </c>
      <c r="AD398" s="214"/>
      <c r="AE398" s="420">
        <v>900</v>
      </c>
      <c r="AF398" s="420">
        <v>0</v>
      </c>
      <c r="AG398" s="420">
        <v>0</v>
      </c>
      <c r="AH398" s="420"/>
      <c r="AI398" s="574">
        <f t="shared" si="10"/>
        <v>7350</v>
      </c>
      <c r="AJ398" s="212"/>
    </row>
    <row r="399" spans="2:36" ht="14.4">
      <c r="B399" s="211"/>
      <c r="C399" s="213" t="s">
        <v>49</v>
      </c>
      <c r="D399" s="214">
        <v>118565</v>
      </c>
      <c r="E399" s="214">
        <v>0</v>
      </c>
      <c r="F399" s="214">
        <v>0</v>
      </c>
      <c r="G399" s="214">
        <v>0</v>
      </c>
      <c r="H399" s="214">
        <v>0</v>
      </c>
      <c r="I399" s="214">
        <v>0</v>
      </c>
      <c r="J399" s="214">
        <v>0</v>
      </c>
      <c r="K399" s="214">
        <v>0</v>
      </c>
      <c r="L399" s="214">
        <v>0</v>
      </c>
      <c r="M399" s="214">
        <v>0</v>
      </c>
      <c r="N399" s="214">
        <v>0</v>
      </c>
      <c r="O399" s="214">
        <v>0</v>
      </c>
      <c r="P399" s="214">
        <v>0</v>
      </c>
      <c r="Q399" s="214">
        <v>0</v>
      </c>
      <c r="R399" s="214">
        <v>0</v>
      </c>
      <c r="S399" s="214">
        <v>0</v>
      </c>
      <c r="T399" s="214">
        <v>0</v>
      </c>
      <c r="U399" s="214">
        <v>0</v>
      </c>
      <c r="V399" s="214">
        <v>0</v>
      </c>
      <c r="W399" s="214">
        <v>0</v>
      </c>
      <c r="X399" s="214">
        <v>0</v>
      </c>
      <c r="Y399" s="214">
        <v>0</v>
      </c>
      <c r="Z399" s="214">
        <v>0</v>
      </c>
      <c r="AA399" s="214">
        <v>0</v>
      </c>
      <c r="AB399" s="214">
        <v>0</v>
      </c>
      <c r="AC399" s="214">
        <v>0</v>
      </c>
      <c r="AD399" s="214"/>
      <c r="AE399" s="420">
        <v>0</v>
      </c>
      <c r="AF399" s="420">
        <v>0</v>
      </c>
      <c r="AG399" s="420">
        <v>0</v>
      </c>
      <c r="AH399" s="420"/>
      <c r="AI399" s="574">
        <f t="shared" si="10"/>
        <v>118565</v>
      </c>
      <c r="AJ399" s="212"/>
    </row>
    <row r="400" spans="2:36" ht="14.4">
      <c r="B400" s="211"/>
      <c r="C400" s="213" t="s">
        <v>158</v>
      </c>
      <c r="D400" s="214">
        <v>595</v>
      </c>
      <c r="E400" s="214">
        <v>2800</v>
      </c>
      <c r="F400" s="214">
        <v>300</v>
      </c>
      <c r="G400" s="214">
        <v>300</v>
      </c>
      <c r="H400" s="214">
        <v>0</v>
      </c>
      <c r="I400" s="214">
        <v>0</v>
      </c>
      <c r="J400" s="214">
        <v>0</v>
      </c>
      <c r="K400" s="214">
        <v>0</v>
      </c>
      <c r="L400" s="214">
        <v>0</v>
      </c>
      <c r="M400" s="214">
        <v>0</v>
      </c>
      <c r="N400" s="214">
        <v>0</v>
      </c>
      <c r="O400" s="214">
        <v>0</v>
      </c>
      <c r="P400" s="214">
        <v>0</v>
      </c>
      <c r="Q400" s="214">
        <v>0</v>
      </c>
      <c r="R400" s="214">
        <v>0</v>
      </c>
      <c r="S400" s="214">
        <v>0</v>
      </c>
      <c r="T400" s="214">
        <v>0</v>
      </c>
      <c r="U400" s="214">
        <v>0</v>
      </c>
      <c r="V400" s="214">
        <v>0</v>
      </c>
      <c r="W400" s="214">
        <v>0</v>
      </c>
      <c r="X400" s="214">
        <v>0</v>
      </c>
      <c r="Y400" s="214">
        <v>0</v>
      </c>
      <c r="Z400" s="214">
        <v>0</v>
      </c>
      <c r="AA400" s="214">
        <v>0</v>
      </c>
      <c r="AB400" s="214">
        <v>0</v>
      </c>
      <c r="AC400" s="214">
        <v>0</v>
      </c>
      <c r="AD400" s="214"/>
      <c r="AE400" s="420">
        <v>0</v>
      </c>
      <c r="AF400" s="420">
        <v>0</v>
      </c>
      <c r="AG400" s="420">
        <v>0</v>
      </c>
      <c r="AH400" s="420"/>
      <c r="AI400" s="574">
        <f t="shared" si="10"/>
        <v>3995</v>
      </c>
      <c r="AJ400" s="212"/>
    </row>
    <row r="401" spans="2:36" ht="14.4">
      <c r="B401" s="211"/>
      <c r="C401" s="213" t="s">
        <v>50</v>
      </c>
      <c r="D401" s="214">
        <v>6000</v>
      </c>
      <c r="E401" s="214">
        <v>1500</v>
      </c>
      <c r="F401" s="214">
        <v>1500</v>
      </c>
      <c r="G401" s="214">
        <v>1500</v>
      </c>
      <c r="H401" s="214">
        <v>3000</v>
      </c>
      <c r="I401" s="214">
        <v>1500</v>
      </c>
      <c r="J401" s="214">
        <v>750</v>
      </c>
      <c r="K401" s="214">
        <v>750</v>
      </c>
      <c r="L401" s="214">
        <v>750</v>
      </c>
      <c r="M401" s="214">
        <v>750</v>
      </c>
      <c r="N401" s="214">
        <v>750</v>
      </c>
      <c r="O401" s="214">
        <v>1500</v>
      </c>
      <c r="P401" s="214">
        <v>750</v>
      </c>
      <c r="Q401" s="214">
        <v>2250</v>
      </c>
      <c r="R401" s="214">
        <v>0</v>
      </c>
      <c r="S401" s="214">
        <v>750</v>
      </c>
      <c r="T401" s="214">
        <v>0</v>
      </c>
      <c r="U401" s="214">
        <v>750</v>
      </c>
      <c r="V401" s="214">
        <v>750</v>
      </c>
      <c r="W401" s="214">
        <v>750</v>
      </c>
      <c r="X401" s="214">
        <v>750</v>
      </c>
      <c r="Y401" s="214">
        <v>0</v>
      </c>
      <c r="Z401" s="214">
        <v>750</v>
      </c>
      <c r="AA401" s="214">
        <v>750</v>
      </c>
      <c r="AB401" s="214">
        <v>750</v>
      </c>
      <c r="AC401" s="214">
        <v>750</v>
      </c>
      <c r="AD401" s="214"/>
      <c r="AE401" s="420">
        <v>750</v>
      </c>
      <c r="AF401" s="420">
        <v>750</v>
      </c>
      <c r="AG401" s="420">
        <v>750</v>
      </c>
      <c r="AH401" s="420"/>
      <c r="AI401" s="574">
        <f t="shared" si="10"/>
        <v>32250</v>
      </c>
      <c r="AJ401" s="212"/>
    </row>
    <row r="402" spans="2:36" ht="14.4">
      <c r="B402" s="211"/>
      <c r="C402" s="213" t="s">
        <v>51</v>
      </c>
      <c r="D402" s="214">
        <v>0</v>
      </c>
      <c r="E402" s="214">
        <v>2250</v>
      </c>
      <c r="F402" s="214">
        <v>2250</v>
      </c>
      <c r="G402" s="214">
        <v>2250</v>
      </c>
      <c r="H402" s="214">
        <v>2250</v>
      </c>
      <c r="I402" s="214">
        <v>2250</v>
      </c>
      <c r="J402" s="214">
        <v>2250</v>
      </c>
      <c r="K402" s="214">
        <v>0</v>
      </c>
      <c r="L402" s="214">
        <v>2250</v>
      </c>
      <c r="M402" s="214">
        <v>4500</v>
      </c>
      <c r="N402" s="214">
        <v>0</v>
      </c>
      <c r="O402" s="214">
        <v>2250</v>
      </c>
      <c r="P402" s="214">
        <v>2250</v>
      </c>
      <c r="Q402" s="214">
        <v>2250</v>
      </c>
      <c r="R402" s="214">
        <v>2250</v>
      </c>
      <c r="S402" s="214">
        <v>0</v>
      </c>
      <c r="T402" s="214">
        <v>0</v>
      </c>
      <c r="U402" s="214">
        <v>0</v>
      </c>
      <c r="V402" s="214">
        <v>2250</v>
      </c>
      <c r="W402" s="214">
        <v>2250</v>
      </c>
      <c r="X402" s="214">
        <v>2250</v>
      </c>
      <c r="Y402" s="214">
        <v>0</v>
      </c>
      <c r="Z402" s="214">
        <v>2250</v>
      </c>
      <c r="AA402" s="214">
        <v>0</v>
      </c>
      <c r="AB402" s="214">
        <v>2250</v>
      </c>
      <c r="AC402" s="214">
        <v>0</v>
      </c>
      <c r="AD402" s="214"/>
      <c r="AE402" s="420">
        <v>2250</v>
      </c>
      <c r="AF402" s="420">
        <v>2250</v>
      </c>
      <c r="AG402" s="420">
        <v>2250</v>
      </c>
      <c r="AH402" s="420"/>
      <c r="AI402" s="574">
        <f t="shared" si="10"/>
        <v>47250</v>
      </c>
      <c r="AJ402" s="212"/>
    </row>
    <row r="403" spans="2:36" ht="14.4">
      <c r="B403" s="211"/>
      <c r="C403" s="213" t="s">
        <v>52</v>
      </c>
      <c r="D403" s="214">
        <v>0</v>
      </c>
      <c r="E403" s="214">
        <v>0</v>
      </c>
      <c r="F403" s="214">
        <v>0</v>
      </c>
      <c r="G403" s="214">
        <v>0</v>
      </c>
      <c r="H403" s="214">
        <v>0</v>
      </c>
      <c r="I403" s="214">
        <v>0</v>
      </c>
      <c r="J403" s="214">
        <v>0</v>
      </c>
      <c r="K403" s="214">
        <v>0</v>
      </c>
      <c r="L403" s="214">
        <v>0</v>
      </c>
      <c r="M403" s="214">
        <v>0</v>
      </c>
      <c r="N403" s="214">
        <v>0</v>
      </c>
      <c r="O403" s="214">
        <v>0</v>
      </c>
      <c r="P403" s="214">
        <v>0</v>
      </c>
      <c r="Q403" s="214">
        <v>0</v>
      </c>
      <c r="R403" s="214">
        <v>0</v>
      </c>
      <c r="S403" s="214">
        <v>0</v>
      </c>
      <c r="T403" s="214">
        <v>0</v>
      </c>
      <c r="U403" s="214">
        <v>0</v>
      </c>
      <c r="V403" s="214">
        <v>0</v>
      </c>
      <c r="W403" s="214">
        <v>0</v>
      </c>
      <c r="X403" s="214">
        <v>0</v>
      </c>
      <c r="Y403" s="214">
        <v>0</v>
      </c>
      <c r="Z403" s="214">
        <v>0</v>
      </c>
      <c r="AA403" s="214">
        <v>0</v>
      </c>
      <c r="AB403" s="214">
        <v>0</v>
      </c>
      <c r="AC403" s="214">
        <v>0</v>
      </c>
      <c r="AD403" s="214"/>
      <c r="AE403" s="420">
        <v>0</v>
      </c>
      <c r="AF403" s="420">
        <v>0</v>
      </c>
      <c r="AG403" s="420">
        <v>0</v>
      </c>
      <c r="AH403" s="420"/>
      <c r="AI403" s="574">
        <f t="shared" si="10"/>
        <v>0</v>
      </c>
      <c r="AJ403" s="212"/>
    </row>
    <row r="404" spans="2:36" ht="14.4">
      <c r="B404" s="211"/>
      <c r="C404" s="213" t="s">
        <v>174</v>
      </c>
      <c r="D404" s="214">
        <v>793</v>
      </c>
      <c r="E404" s="214">
        <v>3436.9</v>
      </c>
      <c r="F404" s="214">
        <v>3436.9</v>
      </c>
      <c r="G404" s="214">
        <v>3436.9</v>
      </c>
      <c r="H404" s="214">
        <v>3436.9</v>
      </c>
      <c r="I404" s="214">
        <v>35793</v>
      </c>
      <c r="J404" s="214">
        <v>793</v>
      </c>
      <c r="K404" s="214">
        <v>793</v>
      </c>
      <c r="L404" s="214">
        <v>793</v>
      </c>
      <c r="M404" s="214">
        <v>3436.9</v>
      </c>
      <c r="N404" s="214">
        <v>793</v>
      </c>
      <c r="O404" s="214">
        <v>3436.9</v>
      </c>
      <c r="P404" s="214">
        <v>3436.9</v>
      </c>
      <c r="Q404" s="214">
        <v>3436.9</v>
      </c>
      <c r="R404" s="214">
        <v>3436.9</v>
      </c>
      <c r="S404" s="214">
        <v>3436.9</v>
      </c>
      <c r="T404" s="214">
        <v>793</v>
      </c>
      <c r="U404" s="214">
        <v>793</v>
      </c>
      <c r="V404" s="214">
        <v>793</v>
      </c>
      <c r="W404" s="214">
        <v>793</v>
      </c>
      <c r="X404" s="214">
        <v>30793</v>
      </c>
      <c r="Y404" s="214">
        <v>793</v>
      </c>
      <c r="Z404" s="214">
        <v>793</v>
      </c>
      <c r="AA404" s="214">
        <v>30793</v>
      </c>
      <c r="AB404" s="214">
        <v>793</v>
      </c>
      <c r="AC404" s="214">
        <v>793</v>
      </c>
      <c r="AD404" s="214"/>
      <c r="AE404" s="420">
        <v>793</v>
      </c>
      <c r="AF404" s="420">
        <v>793</v>
      </c>
      <c r="AG404" s="420">
        <v>793</v>
      </c>
      <c r="AH404" s="420"/>
      <c r="AI404" s="574">
        <f t="shared" si="10"/>
        <v>144436</v>
      </c>
      <c r="AJ404" s="212"/>
    </row>
    <row r="405" spans="2:36" ht="14.4">
      <c r="B405" s="211"/>
      <c r="C405" s="213" t="s">
        <v>53</v>
      </c>
      <c r="D405" s="214">
        <v>4250</v>
      </c>
      <c r="E405" s="214">
        <v>0</v>
      </c>
      <c r="F405" s="214">
        <v>200</v>
      </c>
      <c r="G405" s="214">
        <v>34149.29</v>
      </c>
      <c r="H405" s="214">
        <v>0</v>
      </c>
      <c r="I405" s="214">
        <v>0</v>
      </c>
      <c r="J405" s="214">
        <v>0</v>
      </c>
      <c r="K405" s="214">
        <v>0</v>
      </c>
      <c r="L405" s="214">
        <v>0</v>
      </c>
      <c r="M405" s="214">
        <v>0</v>
      </c>
      <c r="N405" s="214">
        <v>0</v>
      </c>
      <c r="O405" s="214">
        <v>0</v>
      </c>
      <c r="P405" s="214">
        <v>0</v>
      </c>
      <c r="Q405" s="214">
        <v>0</v>
      </c>
      <c r="R405" s="214">
        <v>400</v>
      </c>
      <c r="S405" s="214">
        <v>2025</v>
      </c>
      <c r="T405" s="214">
        <v>0</v>
      </c>
      <c r="U405" s="214">
        <v>0</v>
      </c>
      <c r="V405" s="214">
        <v>0</v>
      </c>
      <c r="W405" s="214">
        <v>0</v>
      </c>
      <c r="X405" s="214">
        <v>0</v>
      </c>
      <c r="Y405" s="214">
        <v>0</v>
      </c>
      <c r="Z405" s="214">
        <v>0</v>
      </c>
      <c r="AA405" s="214">
        <v>0</v>
      </c>
      <c r="AB405" s="214">
        <v>0</v>
      </c>
      <c r="AC405" s="214">
        <v>0</v>
      </c>
      <c r="AD405" s="214"/>
      <c r="AE405" s="420">
        <v>0</v>
      </c>
      <c r="AF405" s="420">
        <v>0</v>
      </c>
      <c r="AG405" s="420">
        <v>0</v>
      </c>
      <c r="AH405" s="420"/>
      <c r="AI405" s="574">
        <f t="shared" si="10"/>
        <v>41024.29</v>
      </c>
      <c r="AJ405" s="212"/>
    </row>
    <row r="406" spans="2:36" ht="14.4">
      <c r="B406" s="211"/>
      <c r="C406" s="213" t="s">
        <v>191</v>
      </c>
      <c r="D406" s="214">
        <v>36373.919999999998</v>
      </c>
      <c r="E406" s="214">
        <v>0</v>
      </c>
      <c r="F406" s="214">
        <v>1562.57</v>
      </c>
      <c r="G406" s="214">
        <v>0</v>
      </c>
      <c r="H406" s="214">
        <v>0</v>
      </c>
      <c r="I406" s="214">
        <v>0</v>
      </c>
      <c r="J406" s="214">
        <v>0</v>
      </c>
      <c r="K406" s="214">
        <v>0</v>
      </c>
      <c r="L406" s="214">
        <v>0</v>
      </c>
      <c r="M406" s="214">
        <v>0</v>
      </c>
      <c r="N406" s="214">
        <v>0</v>
      </c>
      <c r="O406" s="214">
        <v>0</v>
      </c>
      <c r="P406" s="214">
        <v>0</v>
      </c>
      <c r="Q406" s="214">
        <v>36</v>
      </c>
      <c r="R406" s="214">
        <v>0</v>
      </c>
      <c r="S406" s="214">
        <v>0</v>
      </c>
      <c r="T406" s="214">
        <v>0</v>
      </c>
      <c r="U406" s="214">
        <v>0</v>
      </c>
      <c r="V406" s="214">
        <v>0</v>
      </c>
      <c r="W406" s="214">
        <v>0</v>
      </c>
      <c r="X406" s="214">
        <v>0</v>
      </c>
      <c r="Y406" s="214">
        <v>0</v>
      </c>
      <c r="Z406" s="214">
        <v>0</v>
      </c>
      <c r="AA406" s="214">
        <v>0</v>
      </c>
      <c r="AB406" s="214">
        <v>0</v>
      </c>
      <c r="AC406" s="214">
        <v>0</v>
      </c>
      <c r="AD406" s="214"/>
      <c r="AE406" s="420">
        <v>0</v>
      </c>
      <c r="AF406" s="420">
        <v>0</v>
      </c>
      <c r="AG406" s="420">
        <v>0</v>
      </c>
      <c r="AH406" s="420"/>
      <c r="AI406" s="574">
        <f t="shared" si="10"/>
        <v>37972.49</v>
      </c>
      <c r="AJ406" s="212"/>
    </row>
    <row r="407" spans="2:36" ht="14.4">
      <c r="B407" s="211"/>
      <c r="C407" s="213" t="s">
        <v>29</v>
      </c>
      <c r="D407" s="214">
        <v>231</v>
      </c>
      <c r="E407" s="214">
        <v>165</v>
      </c>
      <c r="F407" s="214">
        <v>110</v>
      </c>
      <c r="G407" s="214">
        <v>0</v>
      </c>
      <c r="H407" s="214">
        <v>0</v>
      </c>
      <c r="I407" s="214">
        <v>0</v>
      </c>
      <c r="J407" s="214">
        <v>0</v>
      </c>
      <c r="K407" s="214">
        <v>0</v>
      </c>
      <c r="L407" s="214">
        <v>0</v>
      </c>
      <c r="M407" s="214">
        <v>0</v>
      </c>
      <c r="N407" s="214">
        <v>0</v>
      </c>
      <c r="O407" s="214">
        <v>0</v>
      </c>
      <c r="P407" s="214">
        <v>0</v>
      </c>
      <c r="Q407" s="214">
        <v>0</v>
      </c>
      <c r="R407" s="214">
        <v>0</v>
      </c>
      <c r="S407" s="214">
        <v>60</v>
      </c>
      <c r="T407" s="214">
        <v>0</v>
      </c>
      <c r="U407" s="214">
        <v>0</v>
      </c>
      <c r="V407" s="214">
        <v>0</v>
      </c>
      <c r="W407" s="214">
        <v>0</v>
      </c>
      <c r="X407" s="214">
        <v>0</v>
      </c>
      <c r="Y407" s="214">
        <v>0</v>
      </c>
      <c r="Z407" s="214">
        <v>0</v>
      </c>
      <c r="AA407" s="214">
        <v>0</v>
      </c>
      <c r="AB407" s="214">
        <v>0</v>
      </c>
      <c r="AC407" s="214">
        <v>0</v>
      </c>
      <c r="AD407" s="214"/>
      <c r="AE407" s="420">
        <v>0</v>
      </c>
      <c r="AF407" s="420">
        <v>0</v>
      </c>
      <c r="AG407" s="420">
        <v>0</v>
      </c>
      <c r="AH407" s="420"/>
      <c r="AI407" s="574">
        <f t="shared" si="10"/>
        <v>566</v>
      </c>
      <c r="AJ407" s="212"/>
    </row>
    <row r="408" spans="2:36" ht="14.4">
      <c r="B408" s="211"/>
      <c r="C408" s="213" t="s">
        <v>54</v>
      </c>
      <c r="D408" s="214">
        <v>0</v>
      </c>
      <c r="E408" s="214">
        <v>0</v>
      </c>
      <c r="F408" s="214">
        <v>0</v>
      </c>
      <c r="G408" s="214">
        <v>0</v>
      </c>
      <c r="H408" s="214">
        <v>0</v>
      </c>
      <c r="I408" s="214">
        <v>0</v>
      </c>
      <c r="J408" s="214">
        <v>0</v>
      </c>
      <c r="K408" s="214">
        <v>0</v>
      </c>
      <c r="L408" s="214">
        <v>0</v>
      </c>
      <c r="M408" s="214">
        <v>0</v>
      </c>
      <c r="N408" s="214">
        <v>0</v>
      </c>
      <c r="O408" s="214">
        <v>0</v>
      </c>
      <c r="P408" s="214">
        <v>0</v>
      </c>
      <c r="Q408" s="214">
        <v>0</v>
      </c>
      <c r="R408" s="214">
        <v>0</v>
      </c>
      <c r="S408" s="214">
        <v>0</v>
      </c>
      <c r="T408" s="214">
        <v>0</v>
      </c>
      <c r="U408" s="214">
        <v>0</v>
      </c>
      <c r="V408" s="214">
        <v>0</v>
      </c>
      <c r="W408" s="214">
        <v>0</v>
      </c>
      <c r="X408" s="214">
        <v>0</v>
      </c>
      <c r="Y408" s="214">
        <v>0</v>
      </c>
      <c r="Z408" s="214">
        <v>0</v>
      </c>
      <c r="AA408" s="214">
        <v>0</v>
      </c>
      <c r="AB408" s="214">
        <v>0</v>
      </c>
      <c r="AC408" s="214">
        <v>0</v>
      </c>
      <c r="AD408" s="214"/>
      <c r="AE408" s="420">
        <v>0</v>
      </c>
      <c r="AF408" s="420">
        <v>0</v>
      </c>
      <c r="AG408" s="420">
        <v>0</v>
      </c>
      <c r="AH408" s="420"/>
      <c r="AI408" s="574">
        <f t="shared" si="10"/>
        <v>0</v>
      </c>
      <c r="AJ408" s="212"/>
    </row>
    <row r="409" spans="2:36" ht="14.4">
      <c r="B409" s="211"/>
      <c r="C409" s="213" t="s">
        <v>31</v>
      </c>
      <c r="D409" s="214">
        <v>1240</v>
      </c>
      <c r="E409" s="214">
        <v>194.27</v>
      </c>
      <c r="F409" s="214">
        <v>425</v>
      </c>
      <c r="G409" s="214">
        <v>175</v>
      </c>
      <c r="H409" s="214">
        <v>0</v>
      </c>
      <c r="I409" s="214">
        <v>0</v>
      </c>
      <c r="J409" s="214">
        <v>0</v>
      </c>
      <c r="K409" s="214">
        <v>0</v>
      </c>
      <c r="L409" s="214">
        <v>0</v>
      </c>
      <c r="M409" s="214">
        <v>413</v>
      </c>
      <c r="N409" s="214">
        <v>0</v>
      </c>
      <c r="O409" s="214">
        <v>394</v>
      </c>
      <c r="P409" s="214">
        <v>80</v>
      </c>
      <c r="Q409" s="214">
        <v>538</v>
      </c>
      <c r="R409" s="214">
        <v>115</v>
      </c>
      <c r="S409" s="214">
        <v>40</v>
      </c>
      <c r="T409" s="214">
        <v>0</v>
      </c>
      <c r="U409" s="214">
        <v>0</v>
      </c>
      <c r="V409" s="214">
        <v>0</v>
      </c>
      <c r="W409" s="214">
        <v>0</v>
      </c>
      <c r="X409" s="214">
        <v>0</v>
      </c>
      <c r="Y409" s="214">
        <v>0</v>
      </c>
      <c r="Z409" s="214">
        <v>0</v>
      </c>
      <c r="AA409" s="214">
        <v>0</v>
      </c>
      <c r="AB409" s="214">
        <v>0</v>
      </c>
      <c r="AC409" s="214">
        <v>0</v>
      </c>
      <c r="AD409" s="214"/>
      <c r="AE409" s="420">
        <v>0</v>
      </c>
      <c r="AF409" s="420">
        <v>0</v>
      </c>
      <c r="AG409" s="420">
        <v>0</v>
      </c>
      <c r="AH409" s="420"/>
      <c r="AI409" s="574">
        <f t="shared" si="10"/>
        <v>3614.27</v>
      </c>
      <c r="AJ409" s="212"/>
    </row>
    <row r="410" spans="2:36" ht="14.4">
      <c r="B410" s="211"/>
      <c r="C410" s="213" t="s">
        <v>55</v>
      </c>
      <c r="D410" s="214">
        <v>0</v>
      </c>
      <c r="E410" s="214">
        <v>75</v>
      </c>
      <c r="F410" s="214">
        <v>0</v>
      </c>
      <c r="G410" s="214">
        <v>80</v>
      </c>
      <c r="H410" s="214">
        <v>0</v>
      </c>
      <c r="I410" s="214">
        <v>0</v>
      </c>
      <c r="J410" s="214">
        <v>0</v>
      </c>
      <c r="K410" s="214">
        <v>0</v>
      </c>
      <c r="L410" s="214">
        <v>0</v>
      </c>
      <c r="M410" s="214">
        <v>0</v>
      </c>
      <c r="N410" s="214">
        <v>0</v>
      </c>
      <c r="O410" s="214">
        <v>0</v>
      </c>
      <c r="P410" s="214">
        <v>100</v>
      </c>
      <c r="Q410" s="214">
        <v>0</v>
      </c>
      <c r="R410" s="214">
        <v>0</v>
      </c>
      <c r="S410" s="214">
        <v>0</v>
      </c>
      <c r="T410" s="214">
        <v>0</v>
      </c>
      <c r="U410" s="214">
        <v>0</v>
      </c>
      <c r="V410" s="214">
        <v>0</v>
      </c>
      <c r="W410" s="214">
        <v>0</v>
      </c>
      <c r="X410" s="214">
        <v>0</v>
      </c>
      <c r="Y410" s="214">
        <v>0</v>
      </c>
      <c r="Z410" s="214">
        <v>0</v>
      </c>
      <c r="AA410" s="214">
        <v>0</v>
      </c>
      <c r="AB410" s="214">
        <v>0</v>
      </c>
      <c r="AC410" s="214">
        <v>0</v>
      </c>
      <c r="AD410" s="214"/>
      <c r="AE410" s="420">
        <v>0</v>
      </c>
      <c r="AF410" s="420">
        <v>0</v>
      </c>
      <c r="AG410" s="420">
        <v>0</v>
      </c>
      <c r="AH410" s="420"/>
      <c r="AI410" s="574">
        <f t="shared" si="10"/>
        <v>255</v>
      </c>
      <c r="AJ410" s="212"/>
    </row>
    <row r="411" spans="2:36" ht="14.4">
      <c r="B411" s="211"/>
      <c r="C411" s="213" t="s">
        <v>56</v>
      </c>
      <c r="D411" s="214">
        <v>393.97</v>
      </c>
      <c r="E411" s="214">
        <v>217.24</v>
      </c>
      <c r="F411" s="214">
        <v>217.24</v>
      </c>
      <c r="G411" s="214">
        <v>139.91</v>
      </c>
      <c r="H411" s="214">
        <v>95.73</v>
      </c>
      <c r="I411" s="214">
        <v>0</v>
      </c>
      <c r="J411" s="214">
        <v>0</v>
      </c>
      <c r="K411" s="214">
        <v>0</v>
      </c>
      <c r="L411" s="214">
        <v>0</v>
      </c>
      <c r="M411" s="214">
        <v>0</v>
      </c>
      <c r="N411" s="214">
        <v>0</v>
      </c>
      <c r="O411" s="214">
        <v>69.959999999999994</v>
      </c>
      <c r="P411" s="214">
        <v>0</v>
      </c>
      <c r="Q411" s="214">
        <v>209.87</v>
      </c>
      <c r="R411" s="214">
        <v>0</v>
      </c>
      <c r="S411" s="214">
        <v>0</v>
      </c>
      <c r="T411" s="214">
        <v>0</v>
      </c>
      <c r="U411" s="214">
        <v>0</v>
      </c>
      <c r="V411" s="214">
        <v>0</v>
      </c>
      <c r="W411" s="214">
        <v>0</v>
      </c>
      <c r="X411" s="214">
        <v>0</v>
      </c>
      <c r="Y411" s="214">
        <v>0</v>
      </c>
      <c r="Z411" s="214">
        <v>0</v>
      </c>
      <c r="AA411" s="214">
        <v>0</v>
      </c>
      <c r="AB411" s="214">
        <v>0</v>
      </c>
      <c r="AC411" s="214">
        <v>0</v>
      </c>
      <c r="AD411" s="214"/>
      <c r="AE411" s="420">
        <v>0</v>
      </c>
      <c r="AF411" s="420">
        <v>0</v>
      </c>
      <c r="AG411" s="420">
        <v>0</v>
      </c>
      <c r="AH411" s="420"/>
      <c r="AI411" s="574">
        <f t="shared" si="10"/>
        <v>1343.92</v>
      </c>
      <c r="AJ411" s="212"/>
    </row>
    <row r="412" spans="2:36" ht="14.4">
      <c r="B412" s="211"/>
      <c r="C412" s="213" t="s">
        <v>57</v>
      </c>
      <c r="D412" s="214">
        <v>6800</v>
      </c>
      <c r="E412" s="214">
        <v>1100</v>
      </c>
      <c r="F412" s="214">
        <v>3300</v>
      </c>
      <c r="G412" s="214">
        <v>2200</v>
      </c>
      <c r="H412" s="214">
        <v>1100</v>
      </c>
      <c r="I412" s="214">
        <v>0</v>
      </c>
      <c r="J412" s="214">
        <v>0</v>
      </c>
      <c r="K412" s="214">
        <v>0</v>
      </c>
      <c r="L412" s="214">
        <v>0</v>
      </c>
      <c r="M412" s="214">
        <v>1100</v>
      </c>
      <c r="N412" s="214">
        <v>0</v>
      </c>
      <c r="O412" s="214">
        <v>1100</v>
      </c>
      <c r="P412" s="214">
        <v>1100</v>
      </c>
      <c r="Q412" s="214">
        <v>1100</v>
      </c>
      <c r="R412" s="214">
        <v>1100</v>
      </c>
      <c r="S412" s="214">
        <v>1900</v>
      </c>
      <c r="T412" s="214">
        <v>0</v>
      </c>
      <c r="U412" s="214">
        <v>0</v>
      </c>
      <c r="V412" s="214">
        <v>0</v>
      </c>
      <c r="W412" s="214">
        <v>0</v>
      </c>
      <c r="X412" s="214">
        <v>0</v>
      </c>
      <c r="Y412" s="214">
        <v>0</v>
      </c>
      <c r="Z412" s="214">
        <v>0</v>
      </c>
      <c r="AA412" s="214">
        <v>0</v>
      </c>
      <c r="AB412" s="214">
        <v>0</v>
      </c>
      <c r="AC412" s="214">
        <v>0</v>
      </c>
      <c r="AD412" s="214"/>
      <c r="AE412" s="420">
        <v>0</v>
      </c>
      <c r="AF412" s="420">
        <v>0</v>
      </c>
      <c r="AG412" s="420">
        <v>0</v>
      </c>
      <c r="AH412" s="420"/>
      <c r="AI412" s="574">
        <f t="shared" si="10"/>
        <v>21900</v>
      </c>
      <c r="AJ412" s="212"/>
    </row>
    <row r="413" spans="2:36" ht="14.4">
      <c r="B413" s="211"/>
      <c r="C413" s="213" t="s">
        <v>58</v>
      </c>
      <c r="D413" s="214">
        <v>0</v>
      </c>
      <c r="E413" s="214">
        <v>13500</v>
      </c>
      <c r="F413" s="214">
        <v>0</v>
      </c>
      <c r="G413" s="214">
        <v>0</v>
      </c>
      <c r="H413" s="214">
        <v>0</v>
      </c>
      <c r="I413" s="214">
        <v>0</v>
      </c>
      <c r="J413" s="214">
        <v>0</v>
      </c>
      <c r="K413" s="214">
        <v>0</v>
      </c>
      <c r="L413" s="214">
        <v>0</v>
      </c>
      <c r="M413" s="214">
        <v>0</v>
      </c>
      <c r="N413" s="214">
        <v>0</v>
      </c>
      <c r="O413" s="214">
        <v>0</v>
      </c>
      <c r="P413" s="214">
        <v>0</v>
      </c>
      <c r="Q413" s="214">
        <v>0</v>
      </c>
      <c r="R413" s="214">
        <v>0</v>
      </c>
      <c r="S413" s="214">
        <v>0</v>
      </c>
      <c r="T413" s="214">
        <v>0</v>
      </c>
      <c r="U413" s="214">
        <v>0</v>
      </c>
      <c r="V413" s="214">
        <v>0</v>
      </c>
      <c r="W413" s="214">
        <v>0</v>
      </c>
      <c r="X413" s="214">
        <v>0</v>
      </c>
      <c r="Y413" s="214">
        <v>0</v>
      </c>
      <c r="Z413" s="214">
        <v>0</v>
      </c>
      <c r="AA413" s="214">
        <v>0</v>
      </c>
      <c r="AB413" s="214">
        <v>0</v>
      </c>
      <c r="AC413" s="214">
        <v>0</v>
      </c>
      <c r="AD413" s="214"/>
      <c r="AE413" s="420">
        <v>0</v>
      </c>
      <c r="AF413" s="420">
        <v>0</v>
      </c>
      <c r="AG413" s="420">
        <v>0</v>
      </c>
      <c r="AH413" s="420"/>
      <c r="AI413" s="574">
        <f t="shared" si="10"/>
        <v>13500</v>
      </c>
      <c r="AJ413" s="212"/>
    </row>
    <row r="414" spans="2:36" ht="14.4">
      <c r="B414" s="211"/>
      <c r="C414" s="213" t="s">
        <v>59</v>
      </c>
      <c r="D414" s="214">
        <v>0</v>
      </c>
      <c r="E414" s="214">
        <v>0</v>
      </c>
      <c r="F414" s="214">
        <v>0</v>
      </c>
      <c r="G414" s="214">
        <v>0</v>
      </c>
      <c r="H414" s="214">
        <v>0</v>
      </c>
      <c r="I414" s="214">
        <v>0</v>
      </c>
      <c r="J414" s="214">
        <v>0</v>
      </c>
      <c r="K414" s="214">
        <v>0</v>
      </c>
      <c r="L414" s="214">
        <v>0</v>
      </c>
      <c r="M414" s="214">
        <v>0</v>
      </c>
      <c r="N414" s="214">
        <v>0</v>
      </c>
      <c r="O414" s="214">
        <v>0</v>
      </c>
      <c r="P414" s="214">
        <v>0</v>
      </c>
      <c r="Q414" s="214">
        <v>0</v>
      </c>
      <c r="R414" s="214">
        <v>0</v>
      </c>
      <c r="S414" s="214">
        <v>0</v>
      </c>
      <c r="T414" s="214">
        <v>0</v>
      </c>
      <c r="U414" s="214">
        <v>0</v>
      </c>
      <c r="V414" s="214">
        <v>0</v>
      </c>
      <c r="W414" s="214">
        <v>0</v>
      </c>
      <c r="X414" s="214">
        <v>0</v>
      </c>
      <c r="Y414" s="214">
        <v>0</v>
      </c>
      <c r="Z414" s="214">
        <v>0</v>
      </c>
      <c r="AA414" s="214">
        <v>0</v>
      </c>
      <c r="AB414" s="214">
        <v>0</v>
      </c>
      <c r="AC414" s="214">
        <v>0</v>
      </c>
      <c r="AD414" s="214"/>
      <c r="AE414" s="420">
        <v>0</v>
      </c>
      <c r="AF414" s="420">
        <v>0</v>
      </c>
      <c r="AG414" s="420">
        <v>0</v>
      </c>
      <c r="AH414" s="420"/>
      <c r="AI414" s="574">
        <f t="shared" si="10"/>
        <v>0</v>
      </c>
      <c r="AJ414" s="212"/>
    </row>
    <row r="415" spans="2:36" ht="14.4">
      <c r="B415" s="211"/>
      <c r="C415" s="213" t="s">
        <v>60</v>
      </c>
      <c r="D415" s="214">
        <v>0</v>
      </c>
      <c r="E415" s="214">
        <v>0</v>
      </c>
      <c r="F415" s="214">
        <v>0</v>
      </c>
      <c r="G415" s="214">
        <v>0</v>
      </c>
      <c r="H415" s="214">
        <v>0</v>
      </c>
      <c r="I415" s="214">
        <v>0</v>
      </c>
      <c r="J415" s="214">
        <v>0</v>
      </c>
      <c r="K415" s="214">
        <v>0</v>
      </c>
      <c r="L415" s="214">
        <v>0</v>
      </c>
      <c r="M415" s="214">
        <v>0</v>
      </c>
      <c r="N415" s="214">
        <v>0</v>
      </c>
      <c r="O415" s="214">
        <v>0</v>
      </c>
      <c r="P415" s="214">
        <v>0</v>
      </c>
      <c r="Q415" s="214">
        <v>0</v>
      </c>
      <c r="R415" s="214">
        <v>0</v>
      </c>
      <c r="S415" s="214">
        <v>0</v>
      </c>
      <c r="T415" s="214">
        <v>0</v>
      </c>
      <c r="U415" s="214">
        <v>0</v>
      </c>
      <c r="V415" s="214">
        <v>0</v>
      </c>
      <c r="W415" s="214">
        <v>0</v>
      </c>
      <c r="X415" s="214">
        <v>0</v>
      </c>
      <c r="Y415" s="214">
        <v>0</v>
      </c>
      <c r="Z415" s="214">
        <v>0</v>
      </c>
      <c r="AA415" s="214">
        <v>0</v>
      </c>
      <c r="AB415" s="214">
        <v>0</v>
      </c>
      <c r="AC415" s="214">
        <v>0</v>
      </c>
      <c r="AD415" s="214"/>
      <c r="AE415" s="420">
        <v>0</v>
      </c>
      <c r="AF415" s="420">
        <v>0</v>
      </c>
      <c r="AG415" s="420">
        <v>0</v>
      </c>
      <c r="AH415" s="420"/>
      <c r="AI415" s="574">
        <f t="shared" si="10"/>
        <v>0</v>
      </c>
      <c r="AJ415" s="212"/>
    </row>
    <row r="416" spans="2:36" ht="14.4">
      <c r="B416" s="211"/>
      <c r="C416" s="213" t="s">
        <v>61</v>
      </c>
      <c r="D416" s="214">
        <v>8950</v>
      </c>
      <c r="E416" s="214">
        <v>13360</v>
      </c>
      <c r="F416" s="214">
        <v>5810</v>
      </c>
      <c r="G416" s="214">
        <v>5670</v>
      </c>
      <c r="H416" s="214">
        <v>7515</v>
      </c>
      <c r="I416" s="214">
        <v>0</v>
      </c>
      <c r="J416" s="214">
        <v>0</v>
      </c>
      <c r="K416" s="214">
        <v>0</v>
      </c>
      <c r="L416" s="214">
        <v>0</v>
      </c>
      <c r="M416" s="214">
        <v>0</v>
      </c>
      <c r="N416" s="214">
        <v>0</v>
      </c>
      <c r="O416" s="214">
        <v>900</v>
      </c>
      <c r="P416" s="214">
        <v>240</v>
      </c>
      <c r="Q416" s="214">
        <v>10200</v>
      </c>
      <c r="R416" s="214">
        <v>2150</v>
      </c>
      <c r="S416" s="214">
        <v>600</v>
      </c>
      <c r="T416" s="214">
        <v>0</v>
      </c>
      <c r="U416" s="214">
        <v>0</v>
      </c>
      <c r="V416" s="214">
        <v>0</v>
      </c>
      <c r="W416" s="214">
        <v>0</v>
      </c>
      <c r="X416" s="214">
        <v>0</v>
      </c>
      <c r="Y416" s="214">
        <v>0</v>
      </c>
      <c r="Z416" s="214">
        <v>0</v>
      </c>
      <c r="AA416" s="214">
        <v>0</v>
      </c>
      <c r="AB416" s="214">
        <v>0</v>
      </c>
      <c r="AC416" s="214">
        <v>0</v>
      </c>
      <c r="AD416" s="214"/>
      <c r="AE416" s="420">
        <v>4055</v>
      </c>
      <c r="AF416" s="420">
        <v>0</v>
      </c>
      <c r="AG416" s="420">
        <v>0</v>
      </c>
      <c r="AH416" s="420"/>
      <c r="AI416" s="574">
        <f t="shared" si="10"/>
        <v>59450</v>
      </c>
      <c r="AJ416" s="212"/>
    </row>
    <row r="417" spans="2:36" ht="14.4">
      <c r="B417" s="211"/>
      <c r="C417" s="213" t="s">
        <v>62</v>
      </c>
      <c r="D417" s="214">
        <v>60980</v>
      </c>
      <c r="E417" s="214">
        <v>3925</v>
      </c>
      <c r="F417" s="214">
        <v>0</v>
      </c>
      <c r="G417" s="214">
        <v>0</v>
      </c>
      <c r="H417" s="214">
        <v>0</v>
      </c>
      <c r="I417" s="214">
        <v>0</v>
      </c>
      <c r="J417" s="214">
        <v>8900</v>
      </c>
      <c r="K417" s="214">
        <v>0</v>
      </c>
      <c r="L417" s="214">
        <v>0</v>
      </c>
      <c r="M417" s="214">
        <v>0</v>
      </c>
      <c r="N417" s="214">
        <v>0</v>
      </c>
      <c r="O417" s="214">
        <v>0</v>
      </c>
      <c r="P417" s="214">
        <v>0</v>
      </c>
      <c r="Q417" s="214">
        <v>0</v>
      </c>
      <c r="R417" s="214">
        <v>0</v>
      </c>
      <c r="S417" s="214">
        <v>630</v>
      </c>
      <c r="T417" s="214">
        <v>0</v>
      </c>
      <c r="U417" s="214">
        <v>0</v>
      </c>
      <c r="V417" s="214">
        <v>2000</v>
      </c>
      <c r="W417" s="214">
        <v>0</v>
      </c>
      <c r="X417" s="214">
        <v>0</v>
      </c>
      <c r="Y417" s="214">
        <v>0</v>
      </c>
      <c r="Z417" s="214">
        <v>0</v>
      </c>
      <c r="AA417" s="214">
        <v>0</v>
      </c>
      <c r="AB417" s="214">
        <v>0</v>
      </c>
      <c r="AC417" s="214">
        <v>0</v>
      </c>
      <c r="AD417" s="214"/>
      <c r="AE417" s="420">
        <v>0</v>
      </c>
      <c r="AF417" s="420">
        <v>0</v>
      </c>
      <c r="AG417" s="420">
        <v>0</v>
      </c>
      <c r="AH417" s="420"/>
      <c r="AI417" s="574">
        <f t="shared" si="10"/>
        <v>76435</v>
      </c>
      <c r="AJ417" s="212"/>
    </row>
    <row r="418" spans="2:36" ht="14.4">
      <c r="B418" s="211"/>
      <c r="C418" s="213" t="s">
        <v>63</v>
      </c>
      <c r="D418" s="214">
        <v>0</v>
      </c>
      <c r="E418" s="214">
        <v>0</v>
      </c>
      <c r="F418" s="214">
        <v>0</v>
      </c>
      <c r="G418" s="214">
        <v>0</v>
      </c>
      <c r="H418" s="214">
        <v>0</v>
      </c>
      <c r="I418" s="214">
        <v>0</v>
      </c>
      <c r="J418" s="214">
        <v>0</v>
      </c>
      <c r="K418" s="214">
        <v>0</v>
      </c>
      <c r="L418" s="214">
        <v>0</v>
      </c>
      <c r="M418" s="214">
        <v>0</v>
      </c>
      <c r="N418" s="214">
        <v>0</v>
      </c>
      <c r="O418" s="214">
        <v>0</v>
      </c>
      <c r="P418" s="214">
        <v>0</v>
      </c>
      <c r="Q418" s="214">
        <v>0</v>
      </c>
      <c r="R418" s="214">
        <v>0</v>
      </c>
      <c r="S418" s="214">
        <v>0</v>
      </c>
      <c r="T418" s="214">
        <v>0</v>
      </c>
      <c r="U418" s="214">
        <v>0</v>
      </c>
      <c r="V418" s="214">
        <v>0</v>
      </c>
      <c r="W418" s="214">
        <v>0</v>
      </c>
      <c r="X418" s="214">
        <v>0</v>
      </c>
      <c r="Y418" s="214">
        <v>0</v>
      </c>
      <c r="Z418" s="214">
        <v>0</v>
      </c>
      <c r="AA418" s="214">
        <v>0</v>
      </c>
      <c r="AB418" s="214">
        <v>0</v>
      </c>
      <c r="AC418" s="214">
        <v>0</v>
      </c>
      <c r="AD418" s="214"/>
      <c r="AE418" s="420">
        <v>0</v>
      </c>
      <c r="AF418" s="420">
        <v>0</v>
      </c>
      <c r="AG418" s="420">
        <v>0</v>
      </c>
      <c r="AH418" s="420"/>
      <c r="AI418" s="574">
        <f t="shared" si="10"/>
        <v>0</v>
      </c>
      <c r="AJ418" s="212"/>
    </row>
    <row r="419" spans="2:36" ht="14.4">
      <c r="B419" s="211"/>
      <c r="C419" s="213" t="s">
        <v>64</v>
      </c>
      <c r="D419" s="214">
        <v>4500</v>
      </c>
      <c r="E419" s="214">
        <v>14800</v>
      </c>
      <c r="F419" s="214">
        <v>13200</v>
      </c>
      <c r="G419" s="214">
        <v>8250</v>
      </c>
      <c r="H419" s="214">
        <v>17200</v>
      </c>
      <c r="I419" s="214">
        <v>800</v>
      </c>
      <c r="J419" s="214">
        <v>0</v>
      </c>
      <c r="K419" s="214">
        <v>400</v>
      </c>
      <c r="L419" s="214">
        <v>175</v>
      </c>
      <c r="M419" s="214">
        <v>4300</v>
      </c>
      <c r="N419" s="214">
        <v>0</v>
      </c>
      <c r="O419" s="214">
        <v>9640</v>
      </c>
      <c r="P419" s="214">
        <v>4660</v>
      </c>
      <c r="Q419" s="214">
        <v>13630</v>
      </c>
      <c r="R419" s="214">
        <v>1900</v>
      </c>
      <c r="S419" s="214">
        <v>5350</v>
      </c>
      <c r="T419" s="214">
        <v>0</v>
      </c>
      <c r="U419" s="214">
        <v>400</v>
      </c>
      <c r="V419" s="214">
        <v>0</v>
      </c>
      <c r="W419" s="214">
        <v>0</v>
      </c>
      <c r="X419" s="214">
        <v>100</v>
      </c>
      <c r="Y419" s="214">
        <v>100</v>
      </c>
      <c r="Z419" s="214">
        <v>100</v>
      </c>
      <c r="AA419" s="214">
        <v>100</v>
      </c>
      <c r="AB419" s="214">
        <v>0</v>
      </c>
      <c r="AC419" s="214">
        <v>200</v>
      </c>
      <c r="AD419" s="214"/>
      <c r="AE419" s="420">
        <v>9000</v>
      </c>
      <c r="AF419" s="420">
        <v>0</v>
      </c>
      <c r="AG419" s="420">
        <v>0</v>
      </c>
      <c r="AH419" s="420"/>
      <c r="AI419" s="574">
        <f t="shared" si="10"/>
        <v>108805</v>
      </c>
      <c r="AJ419" s="212"/>
    </row>
    <row r="420" spans="2:36" ht="14.4">
      <c r="B420" s="211"/>
      <c r="C420" s="213" t="s">
        <v>28</v>
      </c>
      <c r="D420" s="214">
        <v>9960</v>
      </c>
      <c r="E420" s="214">
        <v>0</v>
      </c>
      <c r="F420" s="214">
        <v>0</v>
      </c>
      <c r="G420" s="214">
        <v>0</v>
      </c>
      <c r="H420" s="214">
        <v>0</v>
      </c>
      <c r="I420" s="214">
        <v>0</v>
      </c>
      <c r="J420" s="214">
        <v>0</v>
      </c>
      <c r="K420" s="214">
        <v>0</v>
      </c>
      <c r="L420" s="214">
        <v>0</v>
      </c>
      <c r="M420" s="214">
        <v>0</v>
      </c>
      <c r="N420" s="214">
        <v>0</v>
      </c>
      <c r="O420" s="214">
        <v>0</v>
      </c>
      <c r="P420" s="214">
        <v>0</v>
      </c>
      <c r="Q420" s="214">
        <v>0</v>
      </c>
      <c r="R420" s="214">
        <v>0</v>
      </c>
      <c r="S420" s="214">
        <v>0</v>
      </c>
      <c r="T420" s="214">
        <v>0</v>
      </c>
      <c r="U420" s="214">
        <v>0</v>
      </c>
      <c r="V420" s="214">
        <v>0</v>
      </c>
      <c r="W420" s="214">
        <v>0</v>
      </c>
      <c r="X420" s="214">
        <v>0</v>
      </c>
      <c r="Y420" s="214">
        <v>0</v>
      </c>
      <c r="Z420" s="214">
        <v>0</v>
      </c>
      <c r="AA420" s="214">
        <v>0</v>
      </c>
      <c r="AB420" s="214">
        <v>0</v>
      </c>
      <c r="AC420" s="214">
        <v>0</v>
      </c>
      <c r="AD420" s="214"/>
      <c r="AE420" s="420">
        <v>0</v>
      </c>
      <c r="AF420" s="420">
        <v>0</v>
      </c>
      <c r="AG420" s="420">
        <v>0</v>
      </c>
      <c r="AH420" s="420"/>
      <c r="AI420" s="574">
        <f t="shared" si="10"/>
        <v>9960</v>
      </c>
      <c r="AJ420" s="212"/>
    </row>
    <row r="421" spans="2:36" ht="14.4">
      <c r="B421" s="211"/>
      <c r="C421" s="213" t="s">
        <v>157</v>
      </c>
      <c r="D421" s="214">
        <v>0</v>
      </c>
      <c r="E421" s="214">
        <v>1333.39</v>
      </c>
      <c r="F421" s="214">
        <v>0</v>
      </c>
      <c r="G421" s="214">
        <v>0</v>
      </c>
      <c r="H421" s="214">
        <v>0</v>
      </c>
      <c r="I421" s="214">
        <v>0</v>
      </c>
      <c r="J421" s="214">
        <v>0</v>
      </c>
      <c r="K421" s="214">
        <v>0</v>
      </c>
      <c r="L421" s="214">
        <v>0</v>
      </c>
      <c r="M421" s="214">
        <v>0</v>
      </c>
      <c r="N421" s="214">
        <v>0</v>
      </c>
      <c r="O421" s="214">
        <v>0</v>
      </c>
      <c r="P421" s="214">
        <v>67.510000000000005</v>
      </c>
      <c r="Q421" s="214">
        <v>1340.79</v>
      </c>
      <c r="R421" s="214">
        <v>156.78</v>
      </c>
      <c r="S421" s="214">
        <v>0</v>
      </c>
      <c r="T421" s="214">
        <v>0</v>
      </c>
      <c r="U421" s="214">
        <v>0</v>
      </c>
      <c r="V421" s="214">
        <v>0</v>
      </c>
      <c r="W421" s="214">
        <v>0</v>
      </c>
      <c r="X421" s="214">
        <v>0</v>
      </c>
      <c r="Y421" s="214">
        <v>0</v>
      </c>
      <c r="Z421" s="214">
        <v>0</v>
      </c>
      <c r="AA421" s="214">
        <v>0</v>
      </c>
      <c r="AB421" s="214">
        <v>0</v>
      </c>
      <c r="AC421" s="214">
        <v>0</v>
      </c>
      <c r="AD421" s="214"/>
      <c r="AE421" s="420">
        <v>0</v>
      </c>
      <c r="AF421" s="420">
        <v>0</v>
      </c>
      <c r="AG421" s="420">
        <v>0</v>
      </c>
      <c r="AH421" s="420"/>
      <c r="AI421" s="574">
        <f t="shared" si="10"/>
        <v>2898.4700000000003</v>
      </c>
      <c r="AJ421" s="212"/>
    </row>
    <row r="422" spans="2:36" ht="14.4">
      <c r="B422" s="211"/>
      <c r="C422" s="213" t="s">
        <v>65</v>
      </c>
      <c r="D422" s="214">
        <v>38000</v>
      </c>
      <c r="E422" s="214">
        <v>0</v>
      </c>
      <c r="F422" s="214">
        <v>0</v>
      </c>
      <c r="G422" s="214">
        <v>0</v>
      </c>
      <c r="H422" s="214">
        <v>0</v>
      </c>
      <c r="I422" s="214">
        <v>0</v>
      </c>
      <c r="J422" s="214">
        <v>0</v>
      </c>
      <c r="K422" s="214">
        <v>0</v>
      </c>
      <c r="L422" s="214">
        <v>0</v>
      </c>
      <c r="M422" s="214">
        <v>0</v>
      </c>
      <c r="N422" s="214">
        <v>0</v>
      </c>
      <c r="O422" s="214">
        <v>0</v>
      </c>
      <c r="P422" s="214">
        <v>0</v>
      </c>
      <c r="Q422" s="214">
        <v>0</v>
      </c>
      <c r="R422" s="214">
        <v>0</v>
      </c>
      <c r="S422" s="214">
        <v>0</v>
      </c>
      <c r="T422" s="214">
        <v>0</v>
      </c>
      <c r="U422" s="214">
        <v>0</v>
      </c>
      <c r="V422" s="214">
        <v>0</v>
      </c>
      <c r="W422" s="214">
        <v>0</v>
      </c>
      <c r="X422" s="214">
        <v>0</v>
      </c>
      <c r="Y422" s="214">
        <v>0</v>
      </c>
      <c r="Z422" s="214">
        <v>0</v>
      </c>
      <c r="AA422" s="214">
        <v>0</v>
      </c>
      <c r="AB422" s="214">
        <v>0</v>
      </c>
      <c r="AC422" s="214">
        <v>0</v>
      </c>
      <c r="AD422" s="214"/>
      <c r="AE422" s="420">
        <v>0</v>
      </c>
      <c r="AF422" s="420">
        <v>0</v>
      </c>
      <c r="AG422" s="420">
        <v>0</v>
      </c>
      <c r="AH422" s="420"/>
      <c r="AI422" s="574">
        <f t="shared" si="10"/>
        <v>38000</v>
      </c>
      <c r="AJ422" s="212"/>
    </row>
    <row r="423" spans="2:36" ht="14.4">
      <c r="B423" s="211"/>
      <c r="C423" s="213" t="s">
        <v>66</v>
      </c>
      <c r="D423" s="214">
        <v>0</v>
      </c>
      <c r="E423" s="214">
        <v>0</v>
      </c>
      <c r="F423" s="214">
        <v>0</v>
      </c>
      <c r="G423" s="214">
        <v>0</v>
      </c>
      <c r="H423" s="214">
        <v>0</v>
      </c>
      <c r="I423" s="214">
        <v>0</v>
      </c>
      <c r="J423" s="214">
        <v>0</v>
      </c>
      <c r="K423" s="214">
        <v>0</v>
      </c>
      <c r="L423" s="214">
        <v>0</v>
      </c>
      <c r="M423" s="214">
        <v>0</v>
      </c>
      <c r="N423" s="214">
        <v>0</v>
      </c>
      <c r="O423" s="214">
        <v>0</v>
      </c>
      <c r="P423" s="214">
        <v>0</v>
      </c>
      <c r="Q423" s="214">
        <v>0</v>
      </c>
      <c r="R423" s="214">
        <v>0</v>
      </c>
      <c r="S423" s="214">
        <v>0</v>
      </c>
      <c r="T423" s="214">
        <v>0</v>
      </c>
      <c r="U423" s="214">
        <v>0</v>
      </c>
      <c r="V423" s="214">
        <v>0</v>
      </c>
      <c r="W423" s="214">
        <v>0</v>
      </c>
      <c r="X423" s="214">
        <v>0</v>
      </c>
      <c r="Y423" s="214">
        <v>0</v>
      </c>
      <c r="Z423" s="214">
        <v>0</v>
      </c>
      <c r="AA423" s="214">
        <v>0</v>
      </c>
      <c r="AB423" s="214">
        <v>0</v>
      </c>
      <c r="AC423" s="214">
        <v>0</v>
      </c>
      <c r="AD423" s="214"/>
      <c r="AE423" s="420">
        <v>0</v>
      </c>
      <c r="AF423" s="420">
        <v>0</v>
      </c>
      <c r="AG423" s="420">
        <v>0</v>
      </c>
      <c r="AH423" s="420"/>
      <c r="AI423" s="574">
        <f t="shared" si="10"/>
        <v>0</v>
      </c>
      <c r="AJ423" s="212"/>
    </row>
    <row r="424" spans="2:36" ht="14.4">
      <c r="B424" s="211"/>
      <c r="C424" s="213" t="s">
        <v>30</v>
      </c>
      <c r="D424" s="214">
        <v>30527.26</v>
      </c>
      <c r="E424" s="214">
        <v>8775.25</v>
      </c>
      <c r="F424" s="214">
        <v>8788.25</v>
      </c>
      <c r="G424" s="214">
        <v>6990.5</v>
      </c>
      <c r="H424" s="214">
        <v>6777.58</v>
      </c>
      <c r="I424" s="214">
        <v>0</v>
      </c>
      <c r="J424" s="214">
        <v>1500.25</v>
      </c>
      <c r="K424" s="214">
        <v>0</v>
      </c>
      <c r="L424" s="214">
        <v>0</v>
      </c>
      <c r="M424" s="214">
        <v>3225.25</v>
      </c>
      <c r="N424" s="214">
        <v>1300.25</v>
      </c>
      <c r="O424" s="214">
        <v>3225.25</v>
      </c>
      <c r="P424" s="214">
        <v>6777.5</v>
      </c>
      <c r="Q424" s="214">
        <v>8887.25</v>
      </c>
      <c r="R424" s="214">
        <v>1200.25</v>
      </c>
      <c r="S424" s="214">
        <v>3225.25</v>
      </c>
      <c r="T424" s="214">
        <v>0</v>
      </c>
      <c r="U424" s="214">
        <v>1300.25</v>
      </c>
      <c r="V424" s="214">
        <v>2088.5</v>
      </c>
      <c r="W424" s="214">
        <v>0</v>
      </c>
      <c r="X424" s="214">
        <v>0</v>
      </c>
      <c r="Y424" s="214">
        <v>3778.5</v>
      </c>
      <c r="Z424" s="214">
        <v>2225.25</v>
      </c>
      <c r="AA424" s="214">
        <v>998.5</v>
      </c>
      <c r="AB424" s="214">
        <v>3444.5</v>
      </c>
      <c r="AC424" s="214">
        <v>4885.95</v>
      </c>
      <c r="AD424" s="214"/>
      <c r="AE424" s="420">
        <v>4555.25</v>
      </c>
      <c r="AF424" s="420">
        <v>788.5</v>
      </c>
      <c r="AG424" s="420">
        <v>2888.5</v>
      </c>
      <c r="AH424" s="420"/>
      <c r="AI424" s="574">
        <f t="shared" si="10"/>
        <v>118153.79</v>
      </c>
      <c r="AJ424" s="212"/>
    </row>
    <row r="425" spans="2:36" ht="14.4">
      <c r="B425" s="211"/>
      <c r="C425" s="213" t="s">
        <v>67</v>
      </c>
      <c r="D425" s="214">
        <v>1550</v>
      </c>
      <c r="E425" s="214">
        <v>8680</v>
      </c>
      <c r="F425" s="214">
        <v>11470</v>
      </c>
      <c r="G425" s="214">
        <v>2170</v>
      </c>
      <c r="H425" s="214">
        <v>4340</v>
      </c>
      <c r="I425" s="214">
        <v>0</v>
      </c>
      <c r="J425" s="214">
        <v>310</v>
      </c>
      <c r="K425" s="214">
        <v>0</v>
      </c>
      <c r="L425" s="214">
        <v>0</v>
      </c>
      <c r="M425" s="214">
        <v>0</v>
      </c>
      <c r="N425" s="214">
        <v>0</v>
      </c>
      <c r="O425" s="214">
        <v>8370</v>
      </c>
      <c r="P425" s="214">
        <v>3720</v>
      </c>
      <c r="Q425" s="214">
        <v>4960</v>
      </c>
      <c r="R425" s="214">
        <v>1860</v>
      </c>
      <c r="S425" s="214">
        <v>1860</v>
      </c>
      <c r="T425" s="214">
        <v>0</v>
      </c>
      <c r="U425" s="214">
        <v>0</v>
      </c>
      <c r="V425" s="214">
        <v>0</v>
      </c>
      <c r="W425" s="214">
        <v>0</v>
      </c>
      <c r="X425" s="214">
        <v>1550</v>
      </c>
      <c r="Y425" s="214">
        <v>0</v>
      </c>
      <c r="Z425" s="214">
        <v>1860</v>
      </c>
      <c r="AA425" s="214">
        <v>1860</v>
      </c>
      <c r="AB425" s="214">
        <v>4650</v>
      </c>
      <c r="AC425" s="214">
        <v>0</v>
      </c>
      <c r="AD425" s="214"/>
      <c r="AE425" s="420">
        <v>0</v>
      </c>
      <c r="AF425" s="420">
        <v>6200</v>
      </c>
      <c r="AG425" s="420">
        <v>0</v>
      </c>
      <c r="AH425" s="420"/>
      <c r="AI425" s="574">
        <f t="shared" si="10"/>
        <v>65410</v>
      </c>
      <c r="AJ425" s="212"/>
    </row>
    <row r="426" spans="2:36" ht="14.4">
      <c r="B426" s="211"/>
      <c r="C426" s="213" t="s">
        <v>111</v>
      </c>
      <c r="D426" s="214">
        <v>175</v>
      </c>
      <c r="E426" s="214">
        <v>600</v>
      </c>
      <c r="F426" s="214">
        <v>600</v>
      </c>
      <c r="G426" s="214">
        <v>300</v>
      </c>
      <c r="H426" s="214">
        <v>200</v>
      </c>
      <c r="I426" s="214">
        <v>0</v>
      </c>
      <c r="J426" s="214">
        <v>0</v>
      </c>
      <c r="K426" s="214">
        <v>0</v>
      </c>
      <c r="L426" s="214">
        <v>0</v>
      </c>
      <c r="M426" s="214">
        <v>0</v>
      </c>
      <c r="N426" s="214">
        <v>0</v>
      </c>
      <c r="O426" s="214">
        <v>710</v>
      </c>
      <c r="P426" s="214">
        <v>600</v>
      </c>
      <c r="Q426" s="214">
        <v>1000</v>
      </c>
      <c r="R426" s="214">
        <v>0</v>
      </c>
      <c r="S426" s="214">
        <v>0</v>
      </c>
      <c r="T426" s="214">
        <v>0</v>
      </c>
      <c r="U426" s="214">
        <v>0</v>
      </c>
      <c r="V426" s="214">
        <v>0</v>
      </c>
      <c r="W426" s="214">
        <v>0</v>
      </c>
      <c r="X426" s="214">
        <v>0</v>
      </c>
      <c r="Y426" s="214">
        <v>0</v>
      </c>
      <c r="Z426" s="214">
        <v>0</v>
      </c>
      <c r="AA426" s="214">
        <v>0</v>
      </c>
      <c r="AB426" s="214">
        <v>0</v>
      </c>
      <c r="AC426" s="214">
        <v>0</v>
      </c>
      <c r="AD426" s="214"/>
      <c r="AE426" s="420">
        <v>900</v>
      </c>
      <c r="AF426" s="420">
        <v>0</v>
      </c>
      <c r="AG426" s="420">
        <v>0</v>
      </c>
      <c r="AH426" s="420"/>
      <c r="AI426" s="574">
        <f t="shared" si="10"/>
        <v>5085</v>
      </c>
      <c r="AJ426" s="212"/>
    </row>
    <row r="427" spans="2:36" ht="14.4">
      <c r="B427" s="211"/>
      <c r="C427" s="213" t="s">
        <v>68</v>
      </c>
      <c r="D427" s="214">
        <v>0</v>
      </c>
      <c r="E427" s="214">
        <v>0</v>
      </c>
      <c r="F427" s="214">
        <v>0</v>
      </c>
      <c r="G427" s="214">
        <v>0</v>
      </c>
      <c r="H427" s="214">
        <v>0</v>
      </c>
      <c r="I427" s="214">
        <v>0</v>
      </c>
      <c r="J427" s="214">
        <v>0</v>
      </c>
      <c r="K427" s="214">
        <v>0</v>
      </c>
      <c r="L427" s="214">
        <v>0</v>
      </c>
      <c r="M427" s="214">
        <v>0</v>
      </c>
      <c r="N427" s="214">
        <v>0</v>
      </c>
      <c r="O427" s="214">
        <v>0</v>
      </c>
      <c r="P427" s="214">
        <v>0</v>
      </c>
      <c r="Q427" s="214">
        <v>0</v>
      </c>
      <c r="R427" s="214">
        <v>0</v>
      </c>
      <c r="S427" s="214">
        <v>0</v>
      </c>
      <c r="T427" s="214">
        <v>0</v>
      </c>
      <c r="U427" s="214">
        <v>0</v>
      </c>
      <c r="V427" s="214">
        <v>0</v>
      </c>
      <c r="W427" s="214">
        <v>0</v>
      </c>
      <c r="X427" s="214">
        <v>0</v>
      </c>
      <c r="Y427" s="214">
        <v>0</v>
      </c>
      <c r="Z427" s="214">
        <v>0</v>
      </c>
      <c r="AA427" s="214">
        <v>0</v>
      </c>
      <c r="AB427" s="214">
        <v>0</v>
      </c>
      <c r="AC427" s="214">
        <v>0</v>
      </c>
      <c r="AD427" s="214"/>
      <c r="AE427" s="420">
        <v>0</v>
      </c>
      <c r="AF427" s="420">
        <v>0</v>
      </c>
      <c r="AG427" s="420">
        <v>0</v>
      </c>
      <c r="AH427" s="420"/>
      <c r="AI427" s="574">
        <f t="shared" si="10"/>
        <v>0</v>
      </c>
      <c r="AJ427" s="212"/>
    </row>
    <row r="428" spans="2:36" ht="14.4">
      <c r="B428" s="211"/>
      <c r="C428" s="213" t="s">
        <v>69</v>
      </c>
      <c r="D428" s="214">
        <v>0</v>
      </c>
      <c r="E428" s="214">
        <v>0</v>
      </c>
      <c r="F428" s="214">
        <v>0</v>
      </c>
      <c r="G428" s="214">
        <v>0</v>
      </c>
      <c r="H428" s="214">
        <v>0</v>
      </c>
      <c r="I428" s="214">
        <v>0</v>
      </c>
      <c r="J428" s="214">
        <v>0</v>
      </c>
      <c r="K428" s="214">
        <v>0</v>
      </c>
      <c r="L428" s="214">
        <v>0</v>
      </c>
      <c r="M428" s="214">
        <v>0</v>
      </c>
      <c r="N428" s="214">
        <v>0</v>
      </c>
      <c r="O428" s="214">
        <v>0</v>
      </c>
      <c r="P428" s="214">
        <v>0</v>
      </c>
      <c r="Q428" s="214">
        <v>0</v>
      </c>
      <c r="R428" s="214">
        <v>0</v>
      </c>
      <c r="S428" s="214">
        <v>0</v>
      </c>
      <c r="T428" s="214">
        <v>0</v>
      </c>
      <c r="U428" s="214">
        <v>0</v>
      </c>
      <c r="V428" s="214">
        <v>0</v>
      </c>
      <c r="W428" s="214">
        <v>0</v>
      </c>
      <c r="X428" s="214">
        <v>0</v>
      </c>
      <c r="Y428" s="214">
        <v>0</v>
      </c>
      <c r="Z428" s="214">
        <v>0</v>
      </c>
      <c r="AA428" s="214">
        <v>0</v>
      </c>
      <c r="AB428" s="214">
        <v>0</v>
      </c>
      <c r="AC428" s="214">
        <v>0</v>
      </c>
      <c r="AD428" s="214"/>
      <c r="AE428" s="420">
        <v>0</v>
      </c>
      <c r="AF428" s="420">
        <v>0</v>
      </c>
      <c r="AG428" s="420">
        <v>0</v>
      </c>
      <c r="AH428" s="420"/>
      <c r="AI428" s="574">
        <f t="shared" si="10"/>
        <v>0</v>
      </c>
      <c r="AJ428" s="212"/>
    </row>
    <row r="429" spans="2:36" ht="14.4">
      <c r="B429" s="211"/>
      <c r="C429" s="213" t="s">
        <v>70</v>
      </c>
      <c r="D429" s="214">
        <v>565</v>
      </c>
      <c r="E429" s="214">
        <v>960</v>
      </c>
      <c r="F429" s="214">
        <v>2400</v>
      </c>
      <c r="G429" s="214">
        <v>480</v>
      </c>
      <c r="H429" s="214">
        <v>0</v>
      </c>
      <c r="I429" s="214">
        <v>0</v>
      </c>
      <c r="J429" s="214">
        <v>0</v>
      </c>
      <c r="K429" s="214">
        <v>0</v>
      </c>
      <c r="L429" s="214">
        <v>0</v>
      </c>
      <c r="M429" s="214">
        <v>5280</v>
      </c>
      <c r="N429" s="214">
        <v>0</v>
      </c>
      <c r="O429" s="214">
        <v>480</v>
      </c>
      <c r="P429" s="214">
        <v>1920</v>
      </c>
      <c r="Q429" s="214">
        <v>4710</v>
      </c>
      <c r="R429" s="214">
        <v>8635</v>
      </c>
      <c r="S429" s="214">
        <v>1680</v>
      </c>
      <c r="T429" s="214">
        <v>0</v>
      </c>
      <c r="U429" s="214">
        <v>0</v>
      </c>
      <c r="V429" s="214">
        <v>0</v>
      </c>
      <c r="W429" s="214">
        <v>0</v>
      </c>
      <c r="X429" s="214">
        <v>0</v>
      </c>
      <c r="Y429" s="214">
        <v>0</v>
      </c>
      <c r="Z429" s="214">
        <v>0</v>
      </c>
      <c r="AA429" s="214">
        <v>0</v>
      </c>
      <c r="AB429" s="214">
        <v>0</v>
      </c>
      <c r="AC429" s="214">
        <v>0</v>
      </c>
      <c r="AD429" s="214"/>
      <c r="AE429" s="420">
        <v>1920</v>
      </c>
      <c r="AF429" s="420">
        <v>0</v>
      </c>
      <c r="AG429" s="420">
        <v>0</v>
      </c>
      <c r="AH429" s="420"/>
      <c r="AI429" s="574">
        <f t="shared" si="10"/>
        <v>29030</v>
      </c>
      <c r="AJ429" s="212"/>
    </row>
    <row r="430" spans="2:36" ht="14.4">
      <c r="B430" s="211"/>
      <c r="C430" s="213" t="s">
        <v>71</v>
      </c>
      <c r="D430" s="214">
        <v>0</v>
      </c>
      <c r="E430" s="214">
        <v>0</v>
      </c>
      <c r="F430" s="214">
        <v>0</v>
      </c>
      <c r="G430" s="214">
        <v>0</v>
      </c>
      <c r="H430" s="214">
        <v>0</v>
      </c>
      <c r="I430" s="214">
        <v>0</v>
      </c>
      <c r="J430" s="214">
        <v>0</v>
      </c>
      <c r="K430" s="214">
        <v>0</v>
      </c>
      <c r="L430" s="214">
        <v>0</v>
      </c>
      <c r="M430" s="214">
        <v>0</v>
      </c>
      <c r="N430" s="214">
        <v>0</v>
      </c>
      <c r="O430" s="214">
        <v>0</v>
      </c>
      <c r="P430" s="214">
        <v>0</v>
      </c>
      <c r="Q430" s="214">
        <v>0</v>
      </c>
      <c r="R430" s="214">
        <v>0</v>
      </c>
      <c r="S430" s="214">
        <v>0</v>
      </c>
      <c r="T430" s="214">
        <v>0</v>
      </c>
      <c r="U430" s="214">
        <v>0</v>
      </c>
      <c r="V430" s="214">
        <v>0</v>
      </c>
      <c r="W430" s="214">
        <v>0</v>
      </c>
      <c r="X430" s="214">
        <v>0</v>
      </c>
      <c r="Y430" s="214">
        <v>0</v>
      </c>
      <c r="Z430" s="214">
        <v>0</v>
      </c>
      <c r="AA430" s="214">
        <v>0</v>
      </c>
      <c r="AB430" s="214">
        <v>0</v>
      </c>
      <c r="AC430" s="214">
        <v>0</v>
      </c>
      <c r="AD430" s="214"/>
      <c r="AE430" s="420">
        <v>0</v>
      </c>
      <c r="AF430" s="420">
        <v>0</v>
      </c>
      <c r="AG430" s="420">
        <v>0</v>
      </c>
      <c r="AH430" s="420"/>
      <c r="AI430" s="574">
        <f t="shared" si="10"/>
        <v>0</v>
      </c>
      <c r="AJ430" s="212"/>
    </row>
    <row r="431" spans="2:36" ht="14.4">
      <c r="B431" s="211"/>
      <c r="C431" s="213" t="s">
        <v>159</v>
      </c>
      <c r="D431" s="214">
        <v>16575</v>
      </c>
      <c r="E431" s="214">
        <v>0</v>
      </c>
      <c r="F431" s="214">
        <v>0</v>
      </c>
      <c r="G431" s="214">
        <v>0</v>
      </c>
      <c r="H431" s="214">
        <v>0</v>
      </c>
      <c r="I431" s="214">
        <v>0</v>
      </c>
      <c r="J431" s="214">
        <v>0</v>
      </c>
      <c r="K431" s="214">
        <v>0</v>
      </c>
      <c r="L431" s="214">
        <v>0</v>
      </c>
      <c r="M431" s="214">
        <v>0</v>
      </c>
      <c r="N431" s="214">
        <v>0</v>
      </c>
      <c r="O431" s="214">
        <v>0</v>
      </c>
      <c r="P431" s="214">
        <v>0</v>
      </c>
      <c r="Q431" s="214">
        <v>0</v>
      </c>
      <c r="R431" s="214">
        <v>370</v>
      </c>
      <c r="S431" s="214">
        <v>0</v>
      </c>
      <c r="T431" s="214">
        <v>0</v>
      </c>
      <c r="U431" s="214">
        <v>0</v>
      </c>
      <c r="V431" s="214">
        <v>0</v>
      </c>
      <c r="W431" s="214">
        <v>0</v>
      </c>
      <c r="X431" s="214">
        <v>0</v>
      </c>
      <c r="Y431" s="214">
        <v>0</v>
      </c>
      <c r="Z431" s="214">
        <v>0</v>
      </c>
      <c r="AA431" s="214">
        <v>0</v>
      </c>
      <c r="AB431" s="214">
        <v>0</v>
      </c>
      <c r="AC431" s="214">
        <v>0</v>
      </c>
      <c r="AD431" s="214"/>
      <c r="AE431" s="420">
        <v>0</v>
      </c>
      <c r="AF431" s="420">
        <v>0</v>
      </c>
      <c r="AG431" s="420">
        <v>0</v>
      </c>
      <c r="AH431" s="420"/>
      <c r="AI431" s="574">
        <f t="shared" si="10"/>
        <v>16945</v>
      </c>
      <c r="AJ431" s="212"/>
    </row>
    <row r="432" spans="2:36" ht="14.4">
      <c r="B432" s="211"/>
      <c r="C432" s="213" t="s">
        <v>72</v>
      </c>
      <c r="D432" s="214">
        <v>7850</v>
      </c>
      <c r="E432" s="214">
        <v>0</v>
      </c>
      <c r="F432" s="214">
        <v>0</v>
      </c>
      <c r="G432" s="214">
        <v>0</v>
      </c>
      <c r="H432" s="214">
        <v>0</v>
      </c>
      <c r="I432" s="214">
        <v>0</v>
      </c>
      <c r="J432" s="214">
        <v>0</v>
      </c>
      <c r="K432" s="214">
        <v>0</v>
      </c>
      <c r="L432" s="214">
        <v>0</v>
      </c>
      <c r="M432" s="214">
        <v>0</v>
      </c>
      <c r="N432" s="214">
        <v>0</v>
      </c>
      <c r="O432" s="214">
        <v>0</v>
      </c>
      <c r="P432" s="214">
        <v>0</v>
      </c>
      <c r="Q432" s="214">
        <v>0</v>
      </c>
      <c r="R432" s="214">
        <v>0</v>
      </c>
      <c r="S432" s="214">
        <v>0</v>
      </c>
      <c r="T432" s="214">
        <v>0</v>
      </c>
      <c r="U432" s="214">
        <v>0</v>
      </c>
      <c r="V432" s="214">
        <v>0</v>
      </c>
      <c r="W432" s="214">
        <v>0</v>
      </c>
      <c r="X432" s="214">
        <v>0</v>
      </c>
      <c r="Y432" s="214">
        <v>0</v>
      </c>
      <c r="Z432" s="214">
        <v>0</v>
      </c>
      <c r="AA432" s="214">
        <v>0</v>
      </c>
      <c r="AB432" s="214">
        <v>0</v>
      </c>
      <c r="AC432" s="214">
        <v>0</v>
      </c>
      <c r="AD432" s="214"/>
      <c r="AE432" s="420">
        <v>0</v>
      </c>
      <c r="AF432" s="420">
        <v>0</v>
      </c>
      <c r="AG432" s="420">
        <v>0</v>
      </c>
      <c r="AH432" s="420"/>
      <c r="AI432" s="574">
        <f t="shared" si="10"/>
        <v>7850</v>
      </c>
      <c r="AJ432" s="212"/>
    </row>
    <row r="433" spans="2:36" ht="14.4">
      <c r="B433" s="211"/>
      <c r="C433" s="213" t="s">
        <v>73</v>
      </c>
      <c r="D433" s="214">
        <v>0</v>
      </c>
      <c r="E433" s="214">
        <v>0</v>
      </c>
      <c r="F433" s="214">
        <v>0</v>
      </c>
      <c r="G433" s="214">
        <v>0</v>
      </c>
      <c r="H433" s="214">
        <v>0</v>
      </c>
      <c r="I433" s="214">
        <v>0</v>
      </c>
      <c r="J433" s="214">
        <v>0</v>
      </c>
      <c r="K433" s="214">
        <v>0</v>
      </c>
      <c r="L433" s="214">
        <v>0</v>
      </c>
      <c r="M433" s="214">
        <v>0</v>
      </c>
      <c r="N433" s="214">
        <v>0</v>
      </c>
      <c r="O433" s="214">
        <v>0</v>
      </c>
      <c r="P433" s="214">
        <v>0</v>
      </c>
      <c r="Q433" s="214">
        <v>0</v>
      </c>
      <c r="R433" s="214">
        <v>0</v>
      </c>
      <c r="S433" s="214">
        <v>0</v>
      </c>
      <c r="T433" s="214">
        <v>0</v>
      </c>
      <c r="U433" s="214">
        <v>0</v>
      </c>
      <c r="V433" s="214">
        <v>0</v>
      </c>
      <c r="W433" s="214">
        <v>0</v>
      </c>
      <c r="X433" s="214">
        <v>0</v>
      </c>
      <c r="Y433" s="214">
        <v>0</v>
      </c>
      <c r="Z433" s="214">
        <v>0</v>
      </c>
      <c r="AA433" s="214">
        <v>0</v>
      </c>
      <c r="AB433" s="214">
        <v>0</v>
      </c>
      <c r="AC433" s="214">
        <v>0</v>
      </c>
      <c r="AD433" s="214"/>
      <c r="AE433" s="420">
        <v>0</v>
      </c>
      <c r="AF433" s="420">
        <v>0</v>
      </c>
      <c r="AG433" s="420">
        <v>0</v>
      </c>
      <c r="AH433" s="420"/>
      <c r="AI433" s="574">
        <f t="shared" si="10"/>
        <v>0</v>
      </c>
      <c r="AJ433" s="212"/>
    </row>
    <row r="434" spans="2:36" ht="14.4">
      <c r="B434" s="211"/>
      <c r="C434" s="213" t="s">
        <v>246</v>
      </c>
      <c r="D434" s="214">
        <v>2000</v>
      </c>
      <c r="E434" s="214">
        <v>0</v>
      </c>
      <c r="F434" s="214">
        <v>0</v>
      </c>
      <c r="G434" s="214">
        <v>0</v>
      </c>
      <c r="H434" s="214">
        <v>0</v>
      </c>
      <c r="I434" s="214">
        <v>0</v>
      </c>
      <c r="J434" s="214">
        <v>0</v>
      </c>
      <c r="K434" s="214">
        <v>0</v>
      </c>
      <c r="L434" s="214">
        <v>0</v>
      </c>
      <c r="M434" s="214">
        <v>0</v>
      </c>
      <c r="N434" s="214">
        <v>0</v>
      </c>
      <c r="O434" s="214">
        <v>0</v>
      </c>
      <c r="P434" s="214">
        <v>0</v>
      </c>
      <c r="Q434" s="214">
        <v>0</v>
      </c>
      <c r="R434" s="214">
        <v>0</v>
      </c>
      <c r="S434" s="214">
        <v>0</v>
      </c>
      <c r="T434" s="214">
        <v>0</v>
      </c>
      <c r="U434" s="214">
        <v>0</v>
      </c>
      <c r="V434" s="214">
        <v>0</v>
      </c>
      <c r="W434" s="214">
        <v>0</v>
      </c>
      <c r="X434" s="214">
        <v>0</v>
      </c>
      <c r="Y434" s="214">
        <v>0</v>
      </c>
      <c r="Z434" s="214">
        <v>0</v>
      </c>
      <c r="AA434" s="214">
        <v>0</v>
      </c>
      <c r="AB434" s="214">
        <v>0</v>
      </c>
      <c r="AC434" s="214">
        <v>0</v>
      </c>
      <c r="AD434" s="214"/>
      <c r="AE434" s="420">
        <v>0</v>
      </c>
      <c r="AF434" s="420">
        <v>0</v>
      </c>
      <c r="AG434" s="420">
        <v>0</v>
      </c>
      <c r="AH434" s="420"/>
      <c r="AI434" s="574">
        <f t="shared" si="10"/>
        <v>2000</v>
      </c>
      <c r="AJ434" s="212"/>
    </row>
    <row r="435" spans="2:36" ht="14.4">
      <c r="B435" s="211"/>
      <c r="C435" s="213" t="s">
        <v>75</v>
      </c>
      <c r="D435" s="214">
        <v>785</v>
      </c>
      <c r="E435" s="214">
        <v>0</v>
      </c>
      <c r="F435" s="214">
        <v>0</v>
      </c>
      <c r="G435" s="214">
        <v>0</v>
      </c>
      <c r="H435" s="214">
        <v>0</v>
      </c>
      <c r="I435" s="214">
        <v>0</v>
      </c>
      <c r="J435" s="214">
        <v>0</v>
      </c>
      <c r="K435" s="214">
        <v>0</v>
      </c>
      <c r="L435" s="214">
        <v>0</v>
      </c>
      <c r="M435" s="214">
        <v>0</v>
      </c>
      <c r="N435" s="214">
        <v>0</v>
      </c>
      <c r="O435" s="214">
        <v>0</v>
      </c>
      <c r="P435" s="214">
        <v>0</v>
      </c>
      <c r="Q435" s="214">
        <v>0</v>
      </c>
      <c r="R435" s="214">
        <v>0</v>
      </c>
      <c r="S435" s="214">
        <v>0</v>
      </c>
      <c r="T435" s="214">
        <v>0</v>
      </c>
      <c r="U435" s="214">
        <v>0</v>
      </c>
      <c r="V435" s="214">
        <v>0</v>
      </c>
      <c r="W435" s="214">
        <v>0</v>
      </c>
      <c r="X435" s="214">
        <v>0</v>
      </c>
      <c r="Y435" s="214">
        <v>0</v>
      </c>
      <c r="Z435" s="214">
        <v>0</v>
      </c>
      <c r="AA435" s="214">
        <v>0</v>
      </c>
      <c r="AB435" s="214">
        <v>0</v>
      </c>
      <c r="AC435" s="214">
        <v>0</v>
      </c>
      <c r="AD435" s="214"/>
      <c r="AE435" s="420">
        <v>0</v>
      </c>
      <c r="AF435" s="420">
        <v>0</v>
      </c>
      <c r="AG435" s="420">
        <v>0</v>
      </c>
      <c r="AH435" s="420"/>
      <c r="AI435" s="574">
        <f t="shared" si="10"/>
        <v>785</v>
      </c>
      <c r="AJ435" s="212"/>
    </row>
    <row r="436" spans="2:36" ht="14.4">
      <c r="B436" s="211"/>
      <c r="C436" s="213" t="s">
        <v>76</v>
      </c>
      <c r="D436" s="214">
        <v>0</v>
      </c>
      <c r="E436" s="214">
        <v>0</v>
      </c>
      <c r="F436" s="214">
        <v>0</v>
      </c>
      <c r="G436" s="214">
        <v>0</v>
      </c>
      <c r="H436" s="214">
        <v>0</v>
      </c>
      <c r="I436" s="214">
        <v>0</v>
      </c>
      <c r="J436" s="214">
        <v>0</v>
      </c>
      <c r="K436" s="214">
        <v>0</v>
      </c>
      <c r="L436" s="214">
        <v>0</v>
      </c>
      <c r="M436" s="214">
        <v>0</v>
      </c>
      <c r="N436" s="214">
        <v>0</v>
      </c>
      <c r="O436" s="214">
        <v>0</v>
      </c>
      <c r="P436" s="214">
        <v>0</v>
      </c>
      <c r="Q436" s="214">
        <v>0</v>
      </c>
      <c r="R436" s="214">
        <v>0</v>
      </c>
      <c r="S436" s="214">
        <v>0</v>
      </c>
      <c r="T436" s="214">
        <v>0</v>
      </c>
      <c r="U436" s="214">
        <v>0</v>
      </c>
      <c r="V436" s="214">
        <v>0</v>
      </c>
      <c r="W436" s="214">
        <v>0</v>
      </c>
      <c r="X436" s="214">
        <v>0</v>
      </c>
      <c r="Y436" s="214">
        <v>0</v>
      </c>
      <c r="Z436" s="214">
        <v>0</v>
      </c>
      <c r="AA436" s="214">
        <v>0</v>
      </c>
      <c r="AB436" s="214">
        <v>0</v>
      </c>
      <c r="AC436" s="214">
        <v>0</v>
      </c>
      <c r="AD436" s="214"/>
      <c r="AE436" s="420">
        <v>0</v>
      </c>
      <c r="AF436" s="420">
        <v>0</v>
      </c>
      <c r="AG436" s="420">
        <v>0</v>
      </c>
      <c r="AH436" s="420"/>
      <c r="AI436" s="574">
        <f t="shared" si="10"/>
        <v>0</v>
      </c>
      <c r="AJ436" s="212"/>
    </row>
    <row r="437" spans="2:36" ht="14.4">
      <c r="B437" s="211"/>
      <c r="C437" s="213" t="s">
        <v>77</v>
      </c>
      <c r="D437" s="214">
        <v>0</v>
      </c>
      <c r="E437" s="214">
        <v>0</v>
      </c>
      <c r="F437" s="214">
        <v>0</v>
      </c>
      <c r="G437" s="214">
        <v>0</v>
      </c>
      <c r="H437" s="214">
        <v>0</v>
      </c>
      <c r="I437" s="214">
        <v>0</v>
      </c>
      <c r="J437" s="214">
        <v>0</v>
      </c>
      <c r="K437" s="214">
        <v>0</v>
      </c>
      <c r="L437" s="214">
        <v>0</v>
      </c>
      <c r="M437" s="214">
        <v>0</v>
      </c>
      <c r="N437" s="214">
        <v>0</v>
      </c>
      <c r="O437" s="214">
        <v>0</v>
      </c>
      <c r="P437" s="214">
        <v>0</v>
      </c>
      <c r="Q437" s="214">
        <v>0</v>
      </c>
      <c r="R437" s="214">
        <v>0</v>
      </c>
      <c r="S437" s="214">
        <v>0</v>
      </c>
      <c r="T437" s="214">
        <v>0</v>
      </c>
      <c r="U437" s="214">
        <v>0</v>
      </c>
      <c r="V437" s="214">
        <v>0</v>
      </c>
      <c r="W437" s="214">
        <v>0</v>
      </c>
      <c r="X437" s="214">
        <v>0</v>
      </c>
      <c r="Y437" s="214">
        <v>0</v>
      </c>
      <c r="Z437" s="214">
        <v>0</v>
      </c>
      <c r="AA437" s="214">
        <v>0</v>
      </c>
      <c r="AB437" s="214">
        <v>0</v>
      </c>
      <c r="AC437" s="214">
        <v>0</v>
      </c>
      <c r="AD437" s="214"/>
      <c r="AE437" s="420">
        <v>0</v>
      </c>
      <c r="AF437" s="420">
        <v>0</v>
      </c>
      <c r="AG437" s="420">
        <v>0</v>
      </c>
      <c r="AH437" s="420"/>
      <c r="AI437" s="574">
        <f t="shared" si="10"/>
        <v>0</v>
      </c>
      <c r="AJ437" s="212"/>
    </row>
    <row r="438" spans="2:36" ht="14.4">
      <c r="B438" s="211"/>
      <c r="C438" s="213" t="s">
        <v>78</v>
      </c>
      <c r="D438" s="214">
        <v>0</v>
      </c>
      <c r="E438" s="214">
        <v>0</v>
      </c>
      <c r="F438" s="214">
        <v>0</v>
      </c>
      <c r="G438" s="214">
        <v>0</v>
      </c>
      <c r="H438" s="214">
        <v>0</v>
      </c>
      <c r="I438" s="214">
        <v>0</v>
      </c>
      <c r="J438" s="214">
        <v>0</v>
      </c>
      <c r="K438" s="214">
        <v>0</v>
      </c>
      <c r="L438" s="214">
        <v>0</v>
      </c>
      <c r="M438" s="214">
        <v>0</v>
      </c>
      <c r="N438" s="214">
        <v>0</v>
      </c>
      <c r="O438" s="214">
        <v>0</v>
      </c>
      <c r="P438" s="214">
        <v>0</v>
      </c>
      <c r="Q438" s="214">
        <v>0</v>
      </c>
      <c r="R438" s="214">
        <v>0</v>
      </c>
      <c r="S438" s="214">
        <v>0</v>
      </c>
      <c r="T438" s="214">
        <v>0</v>
      </c>
      <c r="U438" s="214">
        <v>0</v>
      </c>
      <c r="V438" s="214">
        <v>0</v>
      </c>
      <c r="W438" s="214">
        <v>0</v>
      </c>
      <c r="X438" s="214">
        <v>0</v>
      </c>
      <c r="Y438" s="214">
        <v>0</v>
      </c>
      <c r="Z438" s="214">
        <v>0</v>
      </c>
      <c r="AA438" s="214">
        <v>0</v>
      </c>
      <c r="AB438" s="214">
        <v>0</v>
      </c>
      <c r="AC438" s="214">
        <v>0</v>
      </c>
      <c r="AD438" s="214"/>
      <c r="AE438" s="420">
        <v>0</v>
      </c>
      <c r="AF438" s="420">
        <v>0</v>
      </c>
      <c r="AG438" s="420">
        <v>0</v>
      </c>
      <c r="AH438" s="420"/>
      <c r="AI438" s="574">
        <f t="shared" si="10"/>
        <v>0</v>
      </c>
      <c r="AJ438" s="212"/>
    </row>
    <row r="439" spans="2:36" ht="14.4">
      <c r="B439" s="211"/>
      <c r="C439" s="213" t="s">
        <v>79</v>
      </c>
      <c r="D439" s="214">
        <v>0</v>
      </c>
      <c r="E439" s="214">
        <v>0</v>
      </c>
      <c r="F439" s="214">
        <v>0</v>
      </c>
      <c r="G439" s="214">
        <v>0</v>
      </c>
      <c r="H439" s="214">
        <v>0</v>
      </c>
      <c r="I439" s="214">
        <v>0</v>
      </c>
      <c r="J439" s="214">
        <v>0</v>
      </c>
      <c r="K439" s="214">
        <v>0</v>
      </c>
      <c r="L439" s="214">
        <v>0</v>
      </c>
      <c r="M439" s="214">
        <v>0</v>
      </c>
      <c r="N439" s="214">
        <v>0</v>
      </c>
      <c r="O439" s="214">
        <v>0</v>
      </c>
      <c r="P439" s="214">
        <v>0</v>
      </c>
      <c r="Q439" s="214">
        <v>0</v>
      </c>
      <c r="R439" s="214">
        <v>0</v>
      </c>
      <c r="S439" s="214">
        <v>0</v>
      </c>
      <c r="T439" s="214">
        <v>0</v>
      </c>
      <c r="U439" s="214">
        <v>0</v>
      </c>
      <c r="V439" s="214">
        <v>0</v>
      </c>
      <c r="W439" s="214">
        <v>0</v>
      </c>
      <c r="X439" s="214">
        <v>0</v>
      </c>
      <c r="Y439" s="214">
        <v>0</v>
      </c>
      <c r="Z439" s="214">
        <v>0</v>
      </c>
      <c r="AA439" s="214">
        <v>0</v>
      </c>
      <c r="AB439" s="214">
        <v>0</v>
      </c>
      <c r="AC439" s="214">
        <v>0</v>
      </c>
      <c r="AD439" s="214"/>
      <c r="AE439" s="420">
        <v>0</v>
      </c>
      <c r="AF439" s="420">
        <v>0</v>
      </c>
      <c r="AG439" s="420">
        <v>0</v>
      </c>
      <c r="AH439" s="420"/>
      <c r="AI439" s="574">
        <f t="shared" si="10"/>
        <v>0</v>
      </c>
      <c r="AJ439" s="212"/>
    </row>
    <row r="440" spans="2:36" ht="14.4">
      <c r="B440" s="211"/>
      <c r="C440" s="213" t="s">
        <v>80</v>
      </c>
      <c r="D440" s="214">
        <v>0</v>
      </c>
      <c r="E440" s="214">
        <v>0</v>
      </c>
      <c r="F440" s="214">
        <v>0</v>
      </c>
      <c r="G440" s="214">
        <v>0</v>
      </c>
      <c r="H440" s="214">
        <v>0</v>
      </c>
      <c r="I440" s="214">
        <v>0</v>
      </c>
      <c r="J440" s="214">
        <v>0</v>
      </c>
      <c r="K440" s="214">
        <v>0</v>
      </c>
      <c r="L440" s="214">
        <v>0</v>
      </c>
      <c r="M440" s="214">
        <v>0</v>
      </c>
      <c r="N440" s="214">
        <v>0</v>
      </c>
      <c r="O440" s="214">
        <v>0</v>
      </c>
      <c r="P440" s="214">
        <v>0</v>
      </c>
      <c r="Q440" s="214">
        <v>0</v>
      </c>
      <c r="R440" s="214">
        <v>0</v>
      </c>
      <c r="S440" s="214">
        <v>0</v>
      </c>
      <c r="T440" s="214">
        <v>0</v>
      </c>
      <c r="U440" s="214">
        <v>0</v>
      </c>
      <c r="V440" s="214">
        <v>0</v>
      </c>
      <c r="W440" s="214">
        <v>0</v>
      </c>
      <c r="X440" s="214">
        <v>0</v>
      </c>
      <c r="Y440" s="214">
        <v>0</v>
      </c>
      <c r="Z440" s="214">
        <v>0</v>
      </c>
      <c r="AA440" s="214">
        <v>0</v>
      </c>
      <c r="AB440" s="214">
        <v>0</v>
      </c>
      <c r="AC440" s="214">
        <v>0</v>
      </c>
      <c r="AD440" s="214"/>
      <c r="AE440" s="420">
        <v>0</v>
      </c>
      <c r="AF440" s="420">
        <v>0</v>
      </c>
      <c r="AG440" s="420">
        <v>0</v>
      </c>
      <c r="AH440" s="420"/>
      <c r="AI440" s="574">
        <f t="shared" si="10"/>
        <v>0</v>
      </c>
      <c r="AJ440" s="212"/>
    </row>
    <row r="441" spans="2:36" ht="14.4">
      <c r="B441" s="211"/>
      <c r="C441" s="213" t="s">
        <v>81</v>
      </c>
      <c r="D441" s="214">
        <v>0</v>
      </c>
      <c r="E441" s="214">
        <v>0</v>
      </c>
      <c r="F441" s="214">
        <v>0</v>
      </c>
      <c r="G441" s="214">
        <v>0</v>
      </c>
      <c r="H441" s="214">
        <v>0</v>
      </c>
      <c r="I441" s="214">
        <v>0</v>
      </c>
      <c r="J441" s="214">
        <v>0</v>
      </c>
      <c r="K441" s="214">
        <v>0</v>
      </c>
      <c r="L441" s="214">
        <v>0</v>
      </c>
      <c r="M441" s="214">
        <v>0</v>
      </c>
      <c r="N441" s="214">
        <v>0</v>
      </c>
      <c r="O441" s="214">
        <v>0</v>
      </c>
      <c r="P441" s="214">
        <v>0</v>
      </c>
      <c r="Q441" s="214">
        <v>0</v>
      </c>
      <c r="R441" s="214">
        <v>0</v>
      </c>
      <c r="S441" s="214">
        <v>0</v>
      </c>
      <c r="T441" s="214">
        <v>0</v>
      </c>
      <c r="U441" s="214">
        <v>0</v>
      </c>
      <c r="V441" s="214">
        <v>0</v>
      </c>
      <c r="W441" s="214">
        <v>0</v>
      </c>
      <c r="X441" s="214">
        <v>0</v>
      </c>
      <c r="Y441" s="214">
        <v>0</v>
      </c>
      <c r="Z441" s="214">
        <v>0</v>
      </c>
      <c r="AA441" s="214">
        <v>0</v>
      </c>
      <c r="AB441" s="214">
        <v>0</v>
      </c>
      <c r="AC441" s="214">
        <v>0</v>
      </c>
      <c r="AD441" s="214"/>
      <c r="AE441" s="420">
        <v>0</v>
      </c>
      <c r="AF441" s="420">
        <v>0</v>
      </c>
      <c r="AG441" s="420">
        <v>0</v>
      </c>
      <c r="AH441" s="420"/>
      <c r="AI441" s="574">
        <f t="shared" si="10"/>
        <v>0</v>
      </c>
      <c r="AJ441" s="212"/>
    </row>
    <row r="442" spans="2:36" ht="14.4">
      <c r="B442" s="211"/>
      <c r="C442" s="213" t="s">
        <v>82</v>
      </c>
      <c r="D442" s="214">
        <v>0</v>
      </c>
      <c r="E442" s="214">
        <v>0</v>
      </c>
      <c r="F442" s="214">
        <v>0</v>
      </c>
      <c r="G442" s="214">
        <v>0</v>
      </c>
      <c r="H442" s="214">
        <v>0</v>
      </c>
      <c r="I442" s="214">
        <v>0</v>
      </c>
      <c r="J442" s="214">
        <v>0</v>
      </c>
      <c r="K442" s="214">
        <v>0</v>
      </c>
      <c r="L442" s="214">
        <v>0</v>
      </c>
      <c r="M442" s="214">
        <v>0</v>
      </c>
      <c r="N442" s="214">
        <v>0</v>
      </c>
      <c r="O442" s="214">
        <v>0</v>
      </c>
      <c r="P442" s="214">
        <v>0</v>
      </c>
      <c r="Q442" s="214">
        <v>0</v>
      </c>
      <c r="R442" s="214">
        <v>0</v>
      </c>
      <c r="S442" s="214">
        <v>0</v>
      </c>
      <c r="T442" s="214">
        <v>0</v>
      </c>
      <c r="U442" s="214">
        <v>0</v>
      </c>
      <c r="V442" s="214">
        <v>0</v>
      </c>
      <c r="W442" s="214">
        <v>0</v>
      </c>
      <c r="X442" s="214">
        <v>0</v>
      </c>
      <c r="Y442" s="214">
        <v>0</v>
      </c>
      <c r="Z442" s="214">
        <v>0</v>
      </c>
      <c r="AA442" s="214">
        <v>0</v>
      </c>
      <c r="AB442" s="214">
        <v>0</v>
      </c>
      <c r="AC442" s="214">
        <v>0</v>
      </c>
      <c r="AD442" s="214"/>
      <c r="AE442" s="420">
        <v>0</v>
      </c>
      <c r="AF442" s="420">
        <v>0</v>
      </c>
      <c r="AG442" s="420">
        <v>0</v>
      </c>
      <c r="AH442" s="420"/>
      <c r="AI442" s="574">
        <f t="shared" si="10"/>
        <v>0</v>
      </c>
      <c r="AJ442" s="212"/>
    </row>
    <row r="443" spans="2:36" ht="14.4">
      <c r="B443" s="211"/>
      <c r="C443" s="213" t="s">
        <v>83</v>
      </c>
      <c r="D443" s="214">
        <v>0</v>
      </c>
      <c r="E443" s="214">
        <v>0</v>
      </c>
      <c r="F443" s="214">
        <v>0</v>
      </c>
      <c r="G443" s="214">
        <v>0</v>
      </c>
      <c r="H443" s="214">
        <v>0</v>
      </c>
      <c r="I443" s="214">
        <v>0</v>
      </c>
      <c r="J443" s="214">
        <v>0</v>
      </c>
      <c r="K443" s="214">
        <v>0</v>
      </c>
      <c r="L443" s="214">
        <v>0</v>
      </c>
      <c r="M443" s="214">
        <v>0</v>
      </c>
      <c r="N443" s="214">
        <v>0</v>
      </c>
      <c r="O443" s="214">
        <v>0</v>
      </c>
      <c r="P443" s="214">
        <v>0</v>
      </c>
      <c r="Q443" s="214">
        <v>0</v>
      </c>
      <c r="R443" s="214">
        <v>0</v>
      </c>
      <c r="S443" s="214">
        <v>0</v>
      </c>
      <c r="T443" s="214">
        <v>0</v>
      </c>
      <c r="U443" s="214">
        <v>0</v>
      </c>
      <c r="V443" s="214">
        <v>0</v>
      </c>
      <c r="W443" s="214">
        <v>0</v>
      </c>
      <c r="X443" s="214">
        <v>0</v>
      </c>
      <c r="Y443" s="214">
        <v>0</v>
      </c>
      <c r="Z443" s="214">
        <v>0</v>
      </c>
      <c r="AA443" s="214">
        <v>0</v>
      </c>
      <c r="AB443" s="214">
        <v>0</v>
      </c>
      <c r="AC443" s="214">
        <v>0</v>
      </c>
      <c r="AD443" s="214"/>
      <c r="AE443" s="420">
        <v>0</v>
      </c>
      <c r="AF443" s="420">
        <v>0</v>
      </c>
      <c r="AG443" s="420">
        <v>0</v>
      </c>
      <c r="AH443" s="420"/>
      <c r="AI443" s="574">
        <f t="shared" si="10"/>
        <v>0</v>
      </c>
      <c r="AJ443" s="212"/>
    </row>
    <row r="444" spans="2:36" ht="14.4">
      <c r="B444" s="211"/>
      <c r="C444" s="213" t="s">
        <v>84</v>
      </c>
      <c r="D444" s="214">
        <v>0</v>
      </c>
      <c r="E444" s="214">
        <v>0</v>
      </c>
      <c r="F444" s="214">
        <v>0</v>
      </c>
      <c r="G444" s="214">
        <v>0</v>
      </c>
      <c r="H444" s="214">
        <v>0</v>
      </c>
      <c r="I444" s="214">
        <v>0</v>
      </c>
      <c r="J444" s="214">
        <v>0</v>
      </c>
      <c r="K444" s="214">
        <v>0</v>
      </c>
      <c r="L444" s="214">
        <v>0</v>
      </c>
      <c r="M444" s="214">
        <v>0</v>
      </c>
      <c r="N444" s="214">
        <v>0</v>
      </c>
      <c r="O444" s="214">
        <v>0</v>
      </c>
      <c r="P444" s="214">
        <v>0</v>
      </c>
      <c r="Q444" s="214">
        <v>0</v>
      </c>
      <c r="R444" s="214">
        <v>0</v>
      </c>
      <c r="S444" s="214">
        <v>0</v>
      </c>
      <c r="T444" s="214">
        <v>0</v>
      </c>
      <c r="U444" s="214">
        <v>0</v>
      </c>
      <c r="V444" s="214">
        <v>0</v>
      </c>
      <c r="W444" s="214">
        <v>0</v>
      </c>
      <c r="X444" s="214">
        <v>0</v>
      </c>
      <c r="Y444" s="214">
        <v>0</v>
      </c>
      <c r="Z444" s="214">
        <v>0</v>
      </c>
      <c r="AA444" s="214">
        <v>0</v>
      </c>
      <c r="AB444" s="214">
        <v>0</v>
      </c>
      <c r="AC444" s="214">
        <v>0</v>
      </c>
      <c r="AD444" s="214"/>
      <c r="AE444" s="420">
        <v>0</v>
      </c>
      <c r="AF444" s="420">
        <v>0</v>
      </c>
      <c r="AG444" s="420">
        <v>0</v>
      </c>
      <c r="AH444" s="420"/>
      <c r="AI444" s="574">
        <f t="shared" si="10"/>
        <v>0</v>
      </c>
      <c r="AJ444" s="212"/>
    </row>
    <row r="445" spans="2:36" ht="14.4">
      <c r="B445" s="211"/>
      <c r="C445" s="213" t="s">
        <v>85</v>
      </c>
      <c r="D445" s="214">
        <v>0</v>
      </c>
      <c r="E445" s="214">
        <v>0</v>
      </c>
      <c r="F445" s="214">
        <v>100</v>
      </c>
      <c r="G445" s="214">
        <v>0</v>
      </c>
      <c r="H445" s="214">
        <v>100</v>
      </c>
      <c r="I445" s="214">
        <v>18482</v>
      </c>
      <c r="J445" s="214">
        <v>100</v>
      </c>
      <c r="K445" s="214">
        <v>200</v>
      </c>
      <c r="L445" s="214">
        <v>100</v>
      </c>
      <c r="M445" s="214">
        <v>100</v>
      </c>
      <c r="N445" s="214">
        <v>0</v>
      </c>
      <c r="O445" s="214">
        <v>100</v>
      </c>
      <c r="P445" s="214">
        <v>100</v>
      </c>
      <c r="Q445" s="214">
        <v>100</v>
      </c>
      <c r="R445" s="214">
        <v>0</v>
      </c>
      <c r="S445" s="214">
        <v>0</v>
      </c>
      <c r="T445" s="214">
        <v>0</v>
      </c>
      <c r="U445" s="214">
        <v>100</v>
      </c>
      <c r="V445" s="214">
        <v>100</v>
      </c>
      <c r="W445" s="214">
        <v>100</v>
      </c>
      <c r="X445" s="214">
        <v>5791</v>
      </c>
      <c r="Y445" s="214">
        <v>100</v>
      </c>
      <c r="Z445" s="214">
        <v>100</v>
      </c>
      <c r="AA445" s="214">
        <v>100</v>
      </c>
      <c r="AB445" s="214">
        <v>100</v>
      </c>
      <c r="AC445" s="214">
        <v>100</v>
      </c>
      <c r="AD445" s="214"/>
      <c r="AE445" s="420">
        <v>100</v>
      </c>
      <c r="AF445" s="420">
        <v>100</v>
      </c>
      <c r="AG445" s="420">
        <v>100</v>
      </c>
      <c r="AH445" s="420"/>
      <c r="AI445" s="574">
        <f t="shared" si="10"/>
        <v>26373</v>
      </c>
      <c r="AJ445" s="212"/>
    </row>
    <row r="446" spans="2:36" ht="14.4">
      <c r="B446" s="211"/>
      <c r="C446" s="213" t="s">
        <v>86</v>
      </c>
      <c r="D446" s="214">
        <v>0</v>
      </c>
      <c r="E446" s="214">
        <v>0</v>
      </c>
      <c r="F446" s="214">
        <v>0</v>
      </c>
      <c r="G446" s="214">
        <v>0</v>
      </c>
      <c r="H446" s="214">
        <v>0</v>
      </c>
      <c r="I446" s="214">
        <v>0</v>
      </c>
      <c r="J446" s="214">
        <v>0</v>
      </c>
      <c r="K446" s="214">
        <v>0</v>
      </c>
      <c r="L446" s="214">
        <v>0</v>
      </c>
      <c r="M446" s="214">
        <v>0</v>
      </c>
      <c r="N446" s="214">
        <v>0</v>
      </c>
      <c r="O446" s="214">
        <v>0</v>
      </c>
      <c r="P446" s="214">
        <v>0</v>
      </c>
      <c r="Q446" s="214">
        <v>0</v>
      </c>
      <c r="R446" s="214">
        <v>0</v>
      </c>
      <c r="S446" s="214">
        <v>0</v>
      </c>
      <c r="T446" s="214">
        <v>0</v>
      </c>
      <c r="U446" s="214">
        <v>0</v>
      </c>
      <c r="V446" s="214">
        <v>0</v>
      </c>
      <c r="W446" s="214">
        <v>0</v>
      </c>
      <c r="X446" s="214">
        <v>0</v>
      </c>
      <c r="Y446" s="214">
        <v>0</v>
      </c>
      <c r="Z446" s="214">
        <v>0</v>
      </c>
      <c r="AA446" s="214">
        <v>0</v>
      </c>
      <c r="AB446" s="214">
        <v>0</v>
      </c>
      <c r="AC446" s="214">
        <v>0</v>
      </c>
      <c r="AD446" s="214"/>
      <c r="AE446" s="420">
        <v>0</v>
      </c>
      <c r="AF446" s="420">
        <v>0</v>
      </c>
      <c r="AG446" s="420">
        <v>0</v>
      </c>
      <c r="AH446" s="420"/>
      <c r="AI446" s="574">
        <f t="shared" si="10"/>
        <v>0</v>
      </c>
      <c r="AJ446" s="212"/>
    </row>
    <row r="447" spans="2:36" ht="14.4">
      <c r="B447" s="211"/>
      <c r="C447" s="213" t="s">
        <v>87</v>
      </c>
      <c r="D447" s="214">
        <v>0</v>
      </c>
      <c r="E447" s="214">
        <v>0</v>
      </c>
      <c r="F447" s="214">
        <v>0</v>
      </c>
      <c r="G447" s="214">
        <v>0</v>
      </c>
      <c r="H447" s="214">
        <v>0</v>
      </c>
      <c r="I447" s="214">
        <v>0</v>
      </c>
      <c r="J447" s="214">
        <v>0</v>
      </c>
      <c r="K447" s="214">
        <v>0</v>
      </c>
      <c r="L447" s="214">
        <v>0</v>
      </c>
      <c r="M447" s="214">
        <v>0</v>
      </c>
      <c r="N447" s="214">
        <v>0</v>
      </c>
      <c r="O447" s="214">
        <v>0</v>
      </c>
      <c r="P447" s="214">
        <v>0</v>
      </c>
      <c r="Q447" s="214">
        <v>0</v>
      </c>
      <c r="R447" s="214">
        <v>0</v>
      </c>
      <c r="S447" s="214">
        <v>0</v>
      </c>
      <c r="T447" s="214">
        <v>0</v>
      </c>
      <c r="U447" s="214">
        <v>0</v>
      </c>
      <c r="V447" s="214">
        <v>0</v>
      </c>
      <c r="W447" s="214">
        <v>0</v>
      </c>
      <c r="X447" s="214">
        <v>0</v>
      </c>
      <c r="Y447" s="214">
        <v>0</v>
      </c>
      <c r="Z447" s="214">
        <v>0</v>
      </c>
      <c r="AA447" s="214">
        <v>0</v>
      </c>
      <c r="AB447" s="214">
        <v>0</v>
      </c>
      <c r="AC447" s="214">
        <v>0</v>
      </c>
      <c r="AD447" s="214"/>
      <c r="AE447" s="420">
        <v>0</v>
      </c>
      <c r="AF447" s="420">
        <v>0</v>
      </c>
      <c r="AG447" s="420">
        <v>0</v>
      </c>
      <c r="AH447" s="420"/>
      <c r="AI447" s="574">
        <f t="shared" si="10"/>
        <v>0</v>
      </c>
      <c r="AJ447" s="212"/>
    </row>
    <row r="448" spans="2:36" ht="14.4">
      <c r="B448" s="211"/>
      <c r="C448" s="213" t="s">
        <v>88</v>
      </c>
      <c r="D448" s="214">
        <v>0</v>
      </c>
      <c r="E448" s="214">
        <v>0</v>
      </c>
      <c r="F448" s="214">
        <v>0</v>
      </c>
      <c r="G448" s="214">
        <v>0</v>
      </c>
      <c r="H448" s="214">
        <v>0</v>
      </c>
      <c r="I448" s="214">
        <v>0</v>
      </c>
      <c r="J448" s="214">
        <v>0</v>
      </c>
      <c r="K448" s="214">
        <v>0</v>
      </c>
      <c r="L448" s="214">
        <v>0</v>
      </c>
      <c r="M448" s="214">
        <v>0</v>
      </c>
      <c r="N448" s="214">
        <v>0</v>
      </c>
      <c r="O448" s="214">
        <v>0</v>
      </c>
      <c r="P448" s="214">
        <v>0</v>
      </c>
      <c r="Q448" s="214">
        <v>0</v>
      </c>
      <c r="R448" s="214">
        <v>0</v>
      </c>
      <c r="S448" s="214">
        <v>0</v>
      </c>
      <c r="T448" s="214">
        <v>0</v>
      </c>
      <c r="U448" s="214">
        <v>0</v>
      </c>
      <c r="V448" s="214">
        <v>0</v>
      </c>
      <c r="W448" s="214">
        <v>0</v>
      </c>
      <c r="X448" s="214">
        <v>0</v>
      </c>
      <c r="Y448" s="214">
        <v>0</v>
      </c>
      <c r="Z448" s="214">
        <v>0</v>
      </c>
      <c r="AA448" s="214">
        <v>0</v>
      </c>
      <c r="AB448" s="214">
        <v>0</v>
      </c>
      <c r="AC448" s="214">
        <v>0</v>
      </c>
      <c r="AD448" s="214"/>
      <c r="AE448" s="420">
        <v>0</v>
      </c>
      <c r="AF448" s="420">
        <v>0</v>
      </c>
      <c r="AG448" s="420">
        <v>0</v>
      </c>
      <c r="AH448" s="420"/>
      <c r="AI448" s="574">
        <f t="shared" si="10"/>
        <v>0</v>
      </c>
      <c r="AJ448" s="212"/>
    </row>
    <row r="449" spans="2:36" ht="14.4">
      <c r="B449" s="211"/>
      <c r="C449" s="213" t="s">
        <v>89</v>
      </c>
      <c r="D449" s="214">
        <v>65608</v>
      </c>
      <c r="E449" s="214">
        <v>0</v>
      </c>
      <c r="F449" s="214">
        <v>0</v>
      </c>
      <c r="G449" s="214">
        <v>0</v>
      </c>
      <c r="H449" s="214">
        <v>0</v>
      </c>
      <c r="I449" s="214">
        <v>0</v>
      </c>
      <c r="J449" s="214">
        <v>0</v>
      </c>
      <c r="K449" s="214">
        <v>0</v>
      </c>
      <c r="L449" s="214">
        <v>0</v>
      </c>
      <c r="M449" s="214">
        <v>0</v>
      </c>
      <c r="N449" s="214">
        <v>0</v>
      </c>
      <c r="O449" s="214">
        <v>0</v>
      </c>
      <c r="P449" s="214">
        <v>0</v>
      </c>
      <c r="Q449" s="214">
        <v>0</v>
      </c>
      <c r="R449" s="214">
        <v>0</v>
      </c>
      <c r="S449" s="214">
        <v>0</v>
      </c>
      <c r="T449" s="214">
        <v>0</v>
      </c>
      <c r="U449" s="214">
        <v>0</v>
      </c>
      <c r="V449" s="214">
        <v>0</v>
      </c>
      <c r="W449" s="214">
        <v>0</v>
      </c>
      <c r="X449" s="214">
        <v>0</v>
      </c>
      <c r="Y449" s="214">
        <v>0</v>
      </c>
      <c r="Z449" s="214">
        <v>0</v>
      </c>
      <c r="AA449" s="214">
        <v>0</v>
      </c>
      <c r="AB449" s="214">
        <v>0</v>
      </c>
      <c r="AC449" s="214">
        <v>0</v>
      </c>
      <c r="AD449" s="214"/>
      <c r="AE449" s="420">
        <v>0</v>
      </c>
      <c r="AF449" s="420">
        <v>0</v>
      </c>
      <c r="AG449" s="420">
        <v>0</v>
      </c>
      <c r="AH449" s="420"/>
      <c r="AI449" s="574">
        <f t="shared" si="10"/>
        <v>65608</v>
      </c>
      <c r="AJ449" s="212"/>
    </row>
    <row r="450" spans="2:36" ht="14.4">
      <c r="B450" s="211"/>
      <c r="C450" s="213" t="s">
        <v>33</v>
      </c>
      <c r="D450" s="214">
        <v>1808</v>
      </c>
      <c r="E450" s="214">
        <v>1633</v>
      </c>
      <c r="F450" s="214">
        <v>2525.6999999999998</v>
      </c>
      <c r="G450" s="214">
        <v>2449</v>
      </c>
      <c r="H450" s="214">
        <v>1633</v>
      </c>
      <c r="I450" s="214">
        <v>653</v>
      </c>
      <c r="J450" s="214">
        <v>653</v>
      </c>
      <c r="K450" s="214">
        <v>653</v>
      </c>
      <c r="L450" s="214">
        <v>653</v>
      </c>
      <c r="M450" s="214">
        <v>653</v>
      </c>
      <c r="N450" s="214">
        <v>653</v>
      </c>
      <c r="O450" s="214">
        <v>980</v>
      </c>
      <c r="P450" s="214">
        <v>0</v>
      </c>
      <c r="Q450" s="214">
        <v>1915.5</v>
      </c>
      <c r="R450" s="214">
        <v>653</v>
      </c>
      <c r="S450" s="214">
        <v>733</v>
      </c>
      <c r="T450" s="214">
        <v>0</v>
      </c>
      <c r="U450" s="214">
        <v>653</v>
      </c>
      <c r="V450" s="214">
        <v>653</v>
      </c>
      <c r="W450" s="214">
        <v>653</v>
      </c>
      <c r="X450" s="214">
        <v>653</v>
      </c>
      <c r="Y450" s="214">
        <v>653</v>
      </c>
      <c r="Z450" s="214">
        <v>653</v>
      </c>
      <c r="AA450" s="214">
        <v>653</v>
      </c>
      <c r="AB450" s="214">
        <v>0</v>
      </c>
      <c r="AC450" s="214">
        <v>0</v>
      </c>
      <c r="AD450" s="214"/>
      <c r="AE450" s="420">
        <v>1633</v>
      </c>
      <c r="AF450" s="420">
        <v>0</v>
      </c>
      <c r="AG450" s="420">
        <v>0</v>
      </c>
      <c r="AH450" s="420"/>
      <c r="AI450" s="574">
        <f t="shared" si="10"/>
        <v>24452.2</v>
      </c>
      <c r="AJ450" s="212"/>
    </row>
    <row r="451" spans="2:36" ht="14.4">
      <c r="B451" s="211"/>
      <c r="C451" s="213" t="s">
        <v>90</v>
      </c>
      <c r="D451" s="214">
        <v>0</v>
      </c>
      <c r="E451" s="214">
        <v>0</v>
      </c>
      <c r="F451" s="214">
        <v>0</v>
      </c>
      <c r="G451" s="214">
        <v>0</v>
      </c>
      <c r="H451" s="214">
        <v>0</v>
      </c>
      <c r="I451" s="214">
        <v>0</v>
      </c>
      <c r="J451" s="214">
        <v>0</v>
      </c>
      <c r="K451" s="214">
        <v>0</v>
      </c>
      <c r="L451" s="214">
        <v>0</v>
      </c>
      <c r="M451" s="214">
        <v>0</v>
      </c>
      <c r="N451" s="214">
        <v>0</v>
      </c>
      <c r="O451" s="214">
        <v>0</v>
      </c>
      <c r="P451" s="214">
        <v>0</v>
      </c>
      <c r="Q451" s="214">
        <v>0</v>
      </c>
      <c r="R451" s="214">
        <v>0</v>
      </c>
      <c r="S451" s="214">
        <v>0</v>
      </c>
      <c r="T451" s="214">
        <v>0</v>
      </c>
      <c r="U451" s="214">
        <v>0</v>
      </c>
      <c r="V451" s="214">
        <v>0</v>
      </c>
      <c r="W451" s="214">
        <v>0</v>
      </c>
      <c r="X451" s="214">
        <v>0</v>
      </c>
      <c r="Y451" s="214">
        <v>0</v>
      </c>
      <c r="Z451" s="214">
        <v>0</v>
      </c>
      <c r="AA451" s="214">
        <v>0</v>
      </c>
      <c r="AB451" s="214">
        <v>0</v>
      </c>
      <c r="AC451" s="214">
        <v>0</v>
      </c>
      <c r="AD451" s="214"/>
      <c r="AE451" s="420">
        <v>0</v>
      </c>
      <c r="AF451" s="420">
        <v>0</v>
      </c>
      <c r="AG451" s="420">
        <v>0</v>
      </c>
      <c r="AH451" s="420"/>
      <c r="AI451" s="574">
        <f t="shared" si="10"/>
        <v>0</v>
      </c>
      <c r="AJ451" s="212"/>
    </row>
    <row r="452" spans="2:36" ht="14.4">
      <c r="B452" s="211"/>
      <c r="C452" s="213" t="s">
        <v>91</v>
      </c>
      <c r="D452" s="214">
        <v>460</v>
      </c>
      <c r="E452" s="214">
        <v>310</v>
      </c>
      <c r="F452" s="214">
        <v>0</v>
      </c>
      <c r="G452" s="214">
        <v>0</v>
      </c>
      <c r="H452" s="214">
        <v>0</v>
      </c>
      <c r="I452" s="214">
        <v>0</v>
      </c>
      <c r="J452" s="214">
        <v>0</v>
      </c>
      <c r="K452" s="214">
        <v>0</v>
      </c>
      <c r="L452" s="214">
        <v>0</v>
      </c>
      <c r="M452" s="214">
        <v>0</v>
      </c>
      <c r="N452" s="214">
        <v>0</v>
      </c>
      <c r="O452" s="214">
        <v>0</v>
      </c>
      <c r="P452" s="214">
        <v>0</v>
      </c>
      <c r="Q452" s="214">
        <v>0</v>
      </c>
      <c r="R452" s="214">
        <v>0</v>
      </c>
      <c r="S452" s="214">
        <v>0</v>
      </c>
      <c r="T452" s="214">
        <v>0</v>
      </c>
      <c r="U452" s="214">
        <v>0</v>
      </c>
      <c r="V452" s="214">
        <v>0</v>
      </c>
      <c r="W452" s="214">
        <v>0</v>
      </c>
      <c r="X452" s="214">
        <v>0</v>
      </c>
      <c r="Y452" s="214">
        <v>0</v>
      </c>
      <c r="Z452" s="214">
        <v>0</v>
      </c>
      <c r="AA452" s="214">
        <v>0</v>
      </c>
      <c r="AB452" s="214">
        <v>0</v>
      </c>
      <c r="AC452" s="214">
        <v>0</v>
      </c>
      <c r="AD452" s="214"/>
      <c r="AE452" s="420">
        <v>0</v>
      </c>
      <c r="AF452" s="420">
        <v>0</v>
      </c>
      <c r="AG452" s="420">
        <v>0</v>
      </c>
      <c r="AH452" s="420"/>
      <c r="AI452" s="574">
        <f t="shared" ref="AI452:AI498" si="11">SUM(D452:AH452)</f>
        <v>770</v>
      </c>
      <c r="AJ452" s="212"/>
    </row>
    <row r="453" spans="2:36" ht="14.4">
      <c r="B453" s="211"/>
      <c r="C453" s="213" t="s">
        <v>92</v>
      </c>
      <c r="D453" s="214">
        <v>0</v>
      </c>
      <c r="E453" s="214">
        <v>0</v>
      </c>
      <c r="F453" s="214">
        <v>0</v>
      </c>
      <c r="G453" s="214">
        <v>0</v>
      </c>
      <c r="H453" s="214">
        <v>0</v>
      </c>
      <c r="I453" s="214">
        <v>0</v>
      </c>
      <c r="J453" s="214">
        <v>0</v>
      </c>
      <c r="K453" s="214">
        <v>0</v>
      </c>
      <c r="L453" s="214">
        <v>0</v>
      </c>
      <c r="M453" s="214">
        <v>0</v>
      </c>
      <c r="N453" s="214">
        <v>0</v>
      </c>
      <c r="O453" s="214">
        <v>0</v>
      </c>
      <c r="P453" s="214">
        <v>0</v>
      </c>
      <c r="Q453" s="214">
        <v>0</v>
      </c>
      <c r="R453" s="214">
        <v>0</v>
      </c>
      <c r="S453" s="214">
        <v>0</v>
      </c>
      <c r="T453" s="214">
        <v>0</v>
      </c>
      <c r="U453" s="214">
        <v>0</v>
      </c>
      <c r="V453" s="214">
        <v>0</v>
      </c>
      <c r="W453" s="214">
        <v>0</v>
      </c>
      <c r="X453" s="214">
        <v>0</v>
      </c>
      <c r="Y453" s="214">
        <v>0</v>
      </c>
      <c r="Z453" s="214">
        <v>0</v>
      </c>
      <c r="AA453" s="214">
        <v>0</v>
      </c>
      <c r="AB453" s="214">
        <v>0</v>
      </c>
      <c r="AC453" s="214">
        <v>0</v>
      </c>
      <c r="AD453" s="214"/>
      <c r="AE453" s="420">
        <v>0</v>
      </c>
      <c r="AF453" s="420">
        <v>0</v>
      </c>
      <c r="AG453" s="420">
        <v>0</v>
      </c>
      <c r="AH453" s="420"/>
      <c r="AI453" s="574">
        <f t="shared" si="11"/>
        <v>0</v>
      </c>
      <c r="AJ453" s="212"/>
    </row>
    <row r="454" spans="2:36" ht="14.4">
      <c r="B454" s="211"/>
      <c r="C454" s="213" t="s">
        <v>93</v>
      </c>
      <c r="D454" s="214">
        <v>0</v>
      </c>
      <c r="E454" s="214">
        <v>0</v>
      </c>
      <c r="F454" s="214">
        <v>0</v>
      </c>
      <c r="G454" s="214">
        <v>0</v>
      </c>
      <c r="H454" s="214">
        <v>0</v>
      </c>
      <c r="I454" s="214">
        <v>0</v>
      </c>
      <c r="J454" s="214">
        <v>0</v>
      </c>
      <c r="K454" s="214">
        <v>0</v>
      </c>
      <c r="L454" s="214">
        <v>0</v>
      </c>
      <c r="M454" s="214">
        <v>0</v>
      </c>
      <c r="N454" s="214">
        <v>0</v>
      </c>
      <c r="O454" s="214">
        <v>0</v>
      </c>
      <c r="P454" s="214">
        <v>0</v>
      </c>
      <c r="Q454" s="214">
        <v>0</v>
      </c>
      <c r="R454" s="214">
        <v>0</v>
      </c>
      <c r="S454" s="214">
        <v>0</v>
      </c>
      <c r="T454" s="214">
        <v>0</v>
      </c>
      <c r="U454" s="214">
        <v>0</v>
      </c>
      <c r="V454" s="214">
        <v>0</v>
      </c>
      <c r="W454" s="214">
        <v>0</v>
      </c>
      <c r="X454" s="214">
        <v>0</v>
      </c>
      <c r="Y454" s="214">
        <v>0</v>
      </c>
      <c r="Z454" s="214">
        <v>0</v>
      </c>
      <c r="AA454" s="214">
        <v>0</v>
      </c>
      <c r="AB454" s="214">
        <v>0</v>
      </c>
      <c r="AC454" s="214">
        <v>0</v>
      </c>
      <c r="AD454" s="214"/>
      <c r="AE454" s="420">
        <v>0</v>
      </c>
      <c r="AF454" s="420">
        <v>0</v>
      </c>
      <c r="AG454" s="420">
        <v>0</v>
      </c>
      <c r="AH454" s="420"/>
      <c r="AI454" s="574">
        <f t="shared" si="11"/>
        <v>0</v>
      </c>
      <c r="AJ454" s="212"/>
    </row>
    <row r="455" spans="2:36" ht="14.4">
      <c r="B455" s="211"/>
      <c r="C455" s="213" t="s">
        <v>94</v>
      </c>
      <c r="D455" s="214">
        <v>102135</v>
      </c>
      <c r="E455" s="214">
        <v>6800</v>
      </c>
      <c r="F455" s="214">
        <v>5500</v>
      </c>
      <c r="G455" s="214">
        <v>6070</v>
      </c>
      <c r="H455" s="214">
        <v>2500</v>
      </c>
      <c r="I455" s="214">
        <v>450</v>
      </c>
      <c r="J455" s="214">
        <v>0</v>
      </c>
      <c r="K455" s="214">
        <v>0</v>
      </c>
      <c r="L455" s="214">
        <v>0</v>
      </c>
      <c r="M455" s="214">
        <v>2000</v>
      </c>
      <c r="N455" s="214">
        <v>0</v>
      </c>
      <c r="O455" s="214">
        <v>90</v>
      </c>
      <c r="P455" s="214">
        <v>3100</v>
      </c>
      <c r="Q455" s="214">
        <v>4262</v>
      </c>
      <c r="R455" s="214">
        <v>2200</v>
      </c>
      <c r="S455" s="214">
        <v>0</v>
      </c>
      <c r="T455" s="214">
        <v>0</v>
      </c>
      <c r="U455" s="214">
        <v>0</v>
      </c>
      <c r="V455" s="214">
        <v>0</v>
      </c>
      <c r="W455" s="214">
        <v>0</v>
      </c>
      <c r="X455" s="214">
        <v>500</v>
      </c>
      <c r="Y455" s="214">
        <v>0</v>
      </c>
      <c r="Z455" s="214">
        <v>0</v>
      </c>
      <c r="AA455" s="214">
        <v>0</v>
      </c>
      <c r="AB455" s="214">
        <v>0</v>
      </c>
      <c r="AC455" s="214">
        <v>0</v>
      </c>
      <c r="AD455" s="214"/>
      <c r="AE455" s="420">
        <v>0</v>
      </c>
      <c r="AF455" s="420">
        <v>0</v>
      </c>
      <c r="AG455" s="420">
        <v>0</v>
      </c>
      <c r="AH455" s="420"/>
      <c r="AI455" s="574">
        <f t="shared" si="11"/>
        <v>135607</v>
      </c>
      <c r="AJ455" s="212"/>
    </row>
    <row r="456" spans="2:36" ht="14.4">
      <c r="B456" s="211"/>
      <c r="C456" s="213" t="s">
        <v>95</v>
      </c>
      <c r="D456" s="214">
        <v>7400</v>
      </c>
      <c r="E456" s="214">
        <v>0</v>
      </c>
      <c r="F456" s="214">
        <v>1750</v>
      </c>
      <c r="G456" s="214">
        <v>700</v>
      </c>
      <c r="H456" s="214">
        <v>0</v>
      </c>
      <c r="I456" s="214">
        <v>0</v>
      </c>
      <c r="J456" s="214">
        <v>0</v>
      </c>
      <c r="K456" s="214">
        <v>0</v>
      </c>
      <c r="L456" s="214">
        <v>0</v>
      </c>
      <c r="M456" s="214">
        <v>0</v>
      </c>
      <c r="N456" s="214">
        <v>0</v>
      </c>
      <c r="O456" s="214">
        <v>1060</v>
      </c>
      <c r="P456" s="214">
        <v>0</v>
      </c>
      <c r="Q456" s="214">
        <v>0</v>
      </c>
      <c r="R456" s="214">
        <v>0</v>
      </c>
      <c r="S456" s="214">
        <v>0</v>
      </c>
      <c r="T456" s="214">
        <v>0</v>
      </c>
      <c r="U456" s="214">
        <v>0</v>
      </c>
      <c r="V456" s="214">
        <v>0</v>
      </c>
      <c r="W456" s="214">
        <v>0</v>
      </c>
      <c r="X456" s="214">
        <v>0</v>
      </c>
      <c r="Y456" s="214">
        <v>0</v>
      </c>
      <c r="Z456" s="214">
        <v>0</v>
      </c>
      <c r="AA456" s="214">
        <v>0</v>
      </c>
      <c r="AB456" s="214">
        <v>0</v>
      </c>
      <c r="AC456" s="214">
        <v>0</v>
      </c>
      <c r="AD456" s="214"/>
      <c r="AE456" s="420">
        <v>0</v>
      </c>
      <c r="AF456" s="420">
        <v>0</v>
      </c>
      <c r="AG456" s="420">
        <v>0</v>
      </c>
      <c r="AH456" s="420"/>
      <c r="AI456" s="574">
        <f t="shared" si="11"/>
        <v>10910</v>
      </c>
      <c r="AJ456" s="212"/>
    </row>
    <row r="457" spans="2:36" ht="14.4">
      <c r="B457" s="211"/>
      <c r="C457" s="213" t="s">
        <v>96</v>
      </c>
      <c r="D457" s="214">
        <v>0</v>
      </c>
      <c r="E457" s="214">
        <v>0</v>
      </c>
      <c r="F457" s="214">
        <v>0</v>
      </c>
      <c r="G457" s="214">
        <v>0</v>
      </c>
      <c r="H457" s="214">
        <v>1243</v>
      </c>
      <c r="I457" s="214">
        <v>1243</v>
      </c>
      <c r="J457" s="214">
        <v>621.5</v>
      </c>
      <c r="K457" s="214">
        <v>621.5</v>
      </c>
      <c r="L457" s="214">
        <v>621.5</v>
      </c>
      <c r="M457" s="214">
        <v>1243</v>
      </c>
      <c r="N457" s="214">
        <v>621.5</v>
      </c>
      <c r="O457" s="214">
        <v>0</v>
      </c>
      <c r="P457" s="214">
        <v>0</v>
      </c>
      <c r="Q457" s="214">
        <v>0</v>
      </c>
      <c r="R457" s="214">
        <v>621.5</v>
      </c>
      <c r="S457" s="214">
        <v>621.5</v>
      </c>
      <c r="T457" s="214">
        <v>0</v>
      </c>
      <c r="U457" s="214">
        <v>621.5</v>
      </c>
      <c r="V457" s="214">
        <v>621.5</v>
      </c>
      <c r="W457" s="214">
        <v>621.5</v>
      </c>
      <c r="X457" s="214">
        <v>621.5</v>
      </c>
      <c r="Y457" s="214">
        <v>621.5</v>
      </c>
      <c r="Z457" s="214">
        <v>1243</v>
      </c>
      <c r="AA457" s="214">
        <v>1243</v>
      </c>
      <c r="AB457" s="214">
        <v>621.5</v>
      </c>
      <c r="AC457" s="214">
        <v>0</v>
      </c>
      <c r="AD457" s="214"/>
      <c r="AE457" s="420">
        <v>621.5</v>
      </c>
      <c r="AF457" s="420">
        <v>621.5</v>
      </c>
      <c r="AG457" s="420">
        <v>621.5</v>
      </c>
      <c r="AH457" s="420"/>
      <c r="AI457" s="574">
        <f t="shared" si="11"/>
        <v>15537.5</v>
      </c>
      <c r="AJ457" s="212"/>
    </row>
    <row r="458" spans="2:36" ht="14.4">
      <c r="B458" s="211"/>
      <c r="C458" s="213" t="s">
        <v>97</v>
      </c>
      <c r="D458" s="214">
        <v>3766.51</v>
      </c>
      <c r="E458" s="214">
        <v>0</v>
      </c>
      <c r="F458" s="214">
        <v>88</v>
      </c>
      <c r="G458" s="214">
        <v>0</v>
      </c>
      <c r="H458" s="214">
        <v>1142.31</v>
      </c>
      <c r="I458" s="214">
        <v>296.31</v>
      </c>
      <c r="J458" s="214">
        <v>400</v>
      </c>
      <c r="K458" s="214">
        <v>296.31</v>
      </c>
      <c r="L458" s="214">
        <v>0</v>
      </c>
      <c r="M458" s="214">
        <v>296.31</v>
      </c>
      <c r="N458" s="214">
        <v>296.31</v>
      </c>
      <c r="O458" s="214">
        <v>0</v>
      </c>
      <c r="P458" s="214">
        <v>1236</v>
      </c>
      <c r="Q458" s="214">
        <v>592.63</v>
      </c>
      <c r="R458" s="214">
        <v>296.31</v>
      </c>
      <c r="S458" s="214">
        <v>1142.31</v>
      </c>
      <c r="T458" s="214">
        <v>0</v>
      </c>
      <c r="U458" s="214">
        <v>296.31</v>
      </c>
      <c r="V458" s="214">
        <v>370</v>
      </c>
      <c r="W458" s="214">
        <v>0</v>
      </c>
      <c r="X458" s="214">
        <v>296.31</v>
      </c>
      <c r="Y458" s="214">
        <v>296.31</v>
      </c>
      <c r="Z458" s="214">
        <v>370</v>
      </c>
      <c r="AA458" s="214">
        <v>296.31</v>
      </c>
      <c r="AB458" s="214">
        <v>0</v>
      </c>
      <c r="AC458" s="214">
        <v>375</v>
      </c>
      <c r="AD458" s="214"/>
      <c r="AE458" s="420">
        <v>861</v>
      </c>
      <c r="AF458" s="420">
        <v>0</v>
      </c>
      <c r="AG458" s="420">
        <v>370</v>
      </c>
      <c r="AH458" s="420"/>
      <c r="AI458" s="574">
        <f t="shared" si="11"/>
        <v>13380.549999999997</v>
      </c>
      <c r="AJ458" s="212"/>
    </row>
    <row r="459" spans="2:36" ht="14.4">
      <c r="B459" s="211"/>
      <c r="C459" s="213" t="s">
        <v>192</v>
      </c>
      <c r="D459" s="214">
        <v>10020</v>
      </c>
      <c r="E459" s="214">
        <v>0</v>
      </c>
      <c r="F459" s="214">
        <v>0</v>
      </c>
      <c r="G459" s="214">
        <v>0</v>
      </c>
      <c r="H459" s="214">
        <v>0</v>
      </c>
      <c r="I459" s="214">
        <v>0</v>
      </c>
      <c r="J459" s="214">
        <v>0</v>
      </c>
      <c r="K459" s="214">
        <v>0</v>
      </c>
      <c r="L459" s="214">
        <v>0</v>
      </c>
      <c r="M459" s="214">
        <v>0</v>
      </c>
      <c r="N459" s="214">
        <v>0</v>
      </c>
      <c r="O459" s="214">
        <v>0</v>
      </c>
      <c r="P459" s="214">
        <v>0</v>
      </c>
      <c r="Q459" s="214">
        <v>0</v>
      </c>
      <c r="R459" s="214">
        <v>0</v>
      </c>
      <c r="S459" s="214">
        <v>0</v>
      </c>
      <c r="T459" s="214">
        <v>0</v>
      </c>
      <c r="U459" s="214">
        <v>0</v>
      </c>
      <c r="V459" s="214">
        <v>0</v>
      </c>
      <c r="W459" s="214">
        <v>0</v>
      </c>
      <c r="X459" s="214">
        <v>0</v>
      </c>
      <c r="Y459" s="214">
        <v>0</v>
      </c>
      <c r="Z459" s="214">
        <v>0</v>
      </c>
      <c r="AA459" s="214">
        <v>0</v>
      </c>
      <c r="AB459" s="214">
        <v>0</v>
      </c>
      <c r="AC459" s="214">
        <v>0</v>
      </c>
      <c r="AD459" s="214"/>
      <c r="AE459" s="420">
        <v>0</v>
      </c>
      <c r="AF459" s="420">
        <v>0</v>
      </c>
      <c r="AG459" s="420">
        <v>1500</v>
      </c>
      <c r="AH459" s="420"/>
      <c r="AI459" s="574">
        <f t="shared" si="11"/>
        <v>11520</v>
      </c>
      <c r="AJ459" s="212"/>
    </row>
    <row r="460" spans="2:36" ht="14.4">
      <c r="B460" s="211"/>
      <c r="C460" s="213" t="s">
        <v>98</v>
      </c>
      <c r="D460" s="214">
        <v>0</v>
      </c>
      <c r="E460" s="214">
        <v>0</v>
      </c>
      <c r="F460" s="214">
        <v>0</v>
      </c>
      <c r="G460" s="214">
        <v>0</v>
      </c>
      <c r="H460" s="214">
        <v>0</v>
      </c>
      <c r="I460" s="214">
        <v>0</v>
      </c>
      <c r="J460" s="214">
        <v>0</v>
      </c>
      <c r="K460" s="214">
        <v>0</v>
      </c>
      <c r="L460" s="214">
        <v>0</v>
      </c>
      <c r="M460" s="214">
        <v>0</v>
      </c>
      <c r="N460" s="214">
        <v>0</v>
      </c>
      <c r="O460" s="214">
        <v>0</v>
      </c>
      <c r="P460" s="214">
        <v>0</v>
      </c>
      <c r="Q460" s="214">
        <v>0</v>
      </c>
      <c r="R460" s="214">
        <v>0</v>
      </c>
      <c r="S460" s="214">
        <v>0</v>
      </c>
      <c r="T460" s="214">
        <v>0</v>
      </c>
      <c r="U460" s="214">
        <v>0</v>
      </c>
      <c r="V460" s="214">
        <v>0</v>
      </c>
      <c r="W460" s="214">
        <v>0</v>
      </c>
      <c r="X460" s="214">
        <v>0</v>
      </c>
      <c r="Y460" s="214">
        <v>0</v>
      </c>
      <c r="Z460" s="214">
        <v>0</v>
      </c>
      <c r="AA460" s="214">
        <v>0</v>
      </c>
      <c r="AB460" s="214">
        <v>0</v>
      </c>
      <c r="AC460" s="214">
        <v>0</v>
      </c>
      <c r="AD460" s="214"/>
      <c r="AE460" s="420">
        <v>0</v>
      </c>
      <c r="AF460" s="420">
        <v>0</v>
      </c>
      <c r="AG460" s="420">
        <v>0</v>
      </c>
      <c r="AH460" s="420"/>
      <c r="AI460" s="574">
        <f t="shared" si="11"/>
        <v>0</v>
      </c>
      <c r="AJ460" s="212"/>
    </row>
    <row r="461" spans="2:36" ht="14.4">
      <c r="B461" s="211"/>
      <c r="C461" s="213" t="s">
        <v>99</v>
      </c>
      <c r="D461" s="214">
        <v>6433.05</v>
      </c>
      <c r="E461" s="214">
        <v>0</v>
      </c>
      <c r="F461" s="214">
        <v>0</v>
      </c>
      <c r="G461" s="214">
        <v>0</v>
      </c>
      <c r="H461" s="214">
        <v>0</v>
      </c>
      <c r="I461" s="214">
        <v>0</v>
      </c>
      <c r="J461" s="214">
        <v>0</v>
      </c>
      <c r="K461" s="214">
        <v>0</v>
      </c>
      <c r="L461" s="214">
        <v>0</v>
      </c>
      <c r="M461" s="214">
        <v>0</v>
      </c>
      <c r="N461" s="214">
        <v>0</v>
      </c>
      <c r="O461" s="214">
        <v>0</v>
      </c>
      <c r="P461" s="214">
        <v>0</v>
      </c>
      <c r="Q461" s="214">
        <v>0</v>
      </c>
      <c r="R461" s="214">
        <v>0</v>
      </c>
      <c r="S461" s="214">
        <v>0</v>
      </c>
      <c r="T461" s="214">
        <v>0</v>
      </c>
      <c r="U461" s="214">
        <v>0</v>
      </c>
      <c r="V461" s="214">
        <v>0</v>
      </c>
      <c r="W461" s="214">
        <v>0</v>
      </c>
      <c r="X461" s="214">
        <v>0</v>
      </c>
      <c r="Y461" s="214">
        <v>0</v>
      </c>
      <c r="Z461" s="214">
        <v>0</v>
      </c>
      <c r="AA461" s="214">
        <v>0</v>
      </c>
      <c r="AB461" s="214">
        <v>0</v>
      </c>
      <c r="AC461" s="214">
        <v>0</v>
      </c>
      <c r="AD461" s="214"/>
      <c r="AE461" s="420">
        <v>0</v>
      </c>
      <c r="AF461" s="420">
        <v>0</v>
      </c>
      <c r="AG461" s="420">
        <v>0</v>
      </c>
      <c r="AH461" s="420"/>
      <c r="AI461" s="574">
        <f t="shared" si="11"/>
        <v>6433.05</v>
      </c>
      <c r="AJ461" s="212"/>
    </row>
    <row r="462" spans="2:36" ht="14.4">
      <c r="B462" s="211"/>
      <c r="C462" s="213" t="s">
        <v>100</v>
      </c>
      <c r="D462" s="214">
        <v>1871.25</v>
      </c>
      <c r="E462" s="214">
        <v>103.08</v>
      </c>
      <c r="F462" s="214">
        <v>0</v>
      </c>
      <c r="G462" s="214">
        <v>11.91</v>
      </c>
      <c r="H462" s="214">
        <v>0</v>
      </c>
      <c r="I462" s="214">
        <v>13.58</v>
      </c>
      <c r="J462" s="214">
        <v>0</v>
      </c>
      <c r="K462" s="214">
        <v>0</v>
      </c>
      <c r="L462" s="214">
        <v>0</v>
      </c>
      <c r="M462" s="214">
        <v>0</v>
      </c>
      <c r="N462" s="214">
        <v>0</v>
      </c>
      <c r="O462" s="214">
        <v>56.16</v>
      </c>
      <c r="P462" s="214">
        <v>0</v>
      </c>
      <c r="Q462" s="214">
        <v>23.33</v>
      </c>
      <c r="R462" s="214">
        <v>0</v>
      </c>
      <c r="S462" s="214">
        <v>0</v>
      </c>
      <c r="T462" s="214">
        <v>43.17</v>
      </c>
      <c r="U462" s="214">
        <v>0</v>
      </c>
      <c r="V462" s="214">
        <v>0</v>
      </c>
      <c r="W462" s="214">
        <v>0</v>
      </c>
      <c r="X462" s="214">
        <v>0</v>
      </c>
      <c r="Y462" s="214">
        <v>0</v>
      </c>
      <c r="Z462" s="214">
        <v>168.33</v>
      </c>
      <c r="AA462" s="214">
        <v>176.5</v>
      </c>
      <c r="AB462" s="214">
        <v>0</v>
      </c>
      <c r="AC462" s="214">
        <v>0</v>
      </c>
      <c r="AD462" s="214"/>
      <c r="AE462" s="420">
        <v>76.67</v>
      </c>
      <c r="AF462" s="420">
        <v>0</v>
      </c>
      <c r="AG462" s="420">
        <v>0</v>
      </c>
      <c r="AH462" s="420"/>
      <c r="AI462" s="574">
        <f t="shared" si="11"/>
        <v>2543.98</v>
      </c>
      <c r="AJ462" s="212"/>
    </row>
    <row r="463" spans="2:36" ht="14.4">
      <c r="B463" s="211"/>
      <c r="C463" s="213" t="s">
        <v>101</v>
      </c>
      <c r="D463" s="214">
        <v>907.16</v>
      </c>
      <c r="E463" s="214">
        <v>1065.6600000000001</v>
      </c>
      <c r="F463" s="214">
        <v>0</v>
      </c>
      <c r="G463" s="214">
        <v>388.33</v>
      </c>
      <c r="H463" s="214">
        <v>457.42</v>
      </c>
      <c r="I463" s="214">
        <v>0</v>
      </c>
      <c r="J463" s="214">
        <v>0</v>
      </c>
      <c r="K463" s="214">
        <v>0</v>
      </c>
      <c r="L463" s="214">
        <v>0</v>
      </c>
      <c r="M463" s="214">
        <v>0</v>
      </c>
      <c r="N463" s="214">
        <v>0</v>
      </c>
      <c r="O463" s="214">
        <v>0</v>
      </c>
      <c r="P463" s="214">
        <v>0</v>
      </c>
      <c r="Q463" s="214">
        <v>23.33</v>
      </c>
      <c r="R463" s="214">
        <v>0</v>
      </c>
      <c r="S463" s="214">
        <v>0</v>
      </c>
      <c r="T463" s="214">
        <v>0</v>
      </c>
      <c r="U463" s="214">
        <v>0</v>
      </c>
      <c r="V463" s="214">
        <v>0</v>
      </c>
      <c r="W463" s="214">
        <v>0</v>
      </c>
      <c r="X463" s="214">
        <v>103.5</v>
      </c>
      <c r="Y463" s="214">
        <v>0</v>
      </c>
      <c r="Z463" s="214">
        <v>0</v>
      </c>
      <c r="AA463" s="214">
        <v>0</v>
      </c>
      <c r="AB463" s="214">
        <v>0</v>
      </c>
      <c r="AC463" s="214">
        <v>0</v>
      </c>
      <c r="AD463" s="214"/>
      <c r="AE463" s="420">
        <v>0</v>
      </c>
      <c r="AF463" s="420">
        <v>0</v>
      </c>
      <c r="AG463" s="420">
        <v>0</v>
      </c>
      <c r="AH463" s="420"/>
      <c r="AI463" s="574">
        <f t="shared" si="11"/>
        <v>2945.4</v>
      </c>
      <c r="AJ463" s="212"/>
    </row>
    <row r="464" spans="2:36" ht="14.4">
      <c r="B464" s="211"/>
      <c r="C464" s="213" t="s">
        <v>102</v>
      </c>
      <c r="D464" s="214">
        <v>19460.490000000002</v>
      </c>
      <c r="E464" s="214">
        <v>809.83</v>
      </c>
      <c r="F464" s="214">
        <v>1202.8399999999999</v>
      </c>
      <c r="G464" s="214">
        <v>700.08</v>
      </c>
      <c r="H464" s="214">
        <v>1538.83</v>
      </c>
      <c r="I464" s="214">
        <v>738.54</v>
      </c>
      <c r="J464" s="214">
        <v>80.400000000000006</v>
      </c>
      <c r="K464" s="214">
        <v>407.27</v>
      </c>
      <c r="L464" s="214">
        <v>289.57</v>
      </c>
      <c r="M464" s="214">
        <v>1003.62</v>
      </c>
      <c r="N464" s="214">
        <v>622.67999999999995</v>
      </c>
      <c r="O464" s="214">
        <v>2405.0100000000002</v>
      </c>
      <c r="P464" s="214">
        <v>1633.4</v>
      </c>
      <c r="Q464" s="214">
        <v>1030.8399999999999</v>
      </c>
      <c r="R464" s="214">
        <v>0</v>
      </c>
      <c r="S464" s="214">
        <v>367.24</v>
      </c>
      <c r="T464" s="214">
        <v>40.200000000000003</v>
      </c>
      <c r="U464" s="214">
        <v>22.92</v>
      </c>
      <c r="V464" s="214">
        <v>0</v>
      </c>
      <c r="W464" s="214">
        <v>0</v>
      </c>
      <c r="X464" s="214">
        <v>23.96</v>
      </c>
      <c r="Y464" s="214">
        <v>99.39</v>
      </c>
      <c r="Z464" s="214">
        <v>362.68</v>
      </c>
      <c r="AA464" s="214">
        <v>168.76</v>
      </c>
      <c r="AB464" s="214">
        <v>375.5</v>
      </c>
      <c r="AC464" s="214">
        <v>276.62</v>
      </c>
      <c r="AD464" s="214"/>
      <c r="AE464" s="420">
        <v>3597.52</v>
      </c>
      <c r="AF464" s="420">
        <v>1947.16</v>
      </c>
      <c r="AG464" s="420">
        <v>2382.6799999999998</v>
      </c>
      <c r="AH464" s="420"/>
      <c r="AI464" s="574">
        <f t="shared" si="11"/>
        <v>41588.030000000013</v>
      </c>
      <c r="AJ464" s="212"/>
    </row>
    <row r="465" spans="2:36" ht="14.4">
      <c r="B465" s="211"/>
      <c r="C465" s="213" t="s">
        <v>103</v>
      </c>
      <c r="D465" s="214">
        <v>3301.12</v>
      </c>
      <c r="E465" s="214">
        <v>98.57</v>
      </c>
      <c r="F465" s="214">
        <v>106.41</v>
      </c>
      <c r="G465" s="214">
        <v>85.22</v>
      </c>
      <c r="H465" s="214">
        <v>127.61</v>
      </c>
      <c r="I465" s="214">
        <v>53.44</v>
      </c>
      <c r="J465" s="214">
        <v>53.44</v>
      </c>
      <c r="K465" s="214">
        <v>53.44</v>
      </c>
      <c r="L465" s="214">
        <v>53.44</v>
      </c>
      <c r="M465" s="214">
        <v>0</v>
      </c>
      <c r="N465" s="214">
        <v>53.44</v>
      </c>
      <c r="O465" s="214">
        <v>53.44</v>
      </c>
      <c r="P465" s="214">
        <v>98.65</v>
      </c>
      <c r="Q465" s="214">
        <v>53.44</v>
      </c>
      <c r="R465" s="214">
        <v>53.44</v>
      </c>
      <c r="S465" s="214">
        <v>91</v>
      </c>
      <c r="T465" s="214">
        <v>53.44</v>
      </c>
      <c r="U465" s="214">
        <v>53.44</v>
      </c>
      <c r="V465" s="214">
        <v>53.44</v>
      </c>
      <c r="W465" s="214">
        <v>53.44</v>
      </c>
      <c r="X465" s="214">
        <v>53.44</v>
      </c>
      <c r="Y465" s="214">
        <v>84.84</v>
      </c>
      <c r="Z465" s="214">
        <v>539.9</v>
      </c>
      <c r="AA465" s="214">
        <v>331.54</v>
      </c>
      <c r="AB465" s="214">
        <v>0</v>
      </c>
      <c r="AC465" s="214">
        <v>0</v>
      </c>
      <c r="AD465" s="214"/>
      <c r="AE465" s="420">
        <v>1402.26</v>
      </c>
      <c r="AF465" s="420">
        <v>0</v>
      </c>
      <c r="AG465" s="420">
        <v>90.26</v>
      </c>
      <c r="AH465" s="420"/>
      <c r="AI465" s="574">
        <f t="shared" si="11"/>
        <v>7052.0999999999976</v>
      </c>
      <c r="AJ465" s="212"/>
    </row>
    <row r="466" spans="2:36" ht="14.4">
      <c r="B466" s="211"/>
      <c r="C466" s="213" t="s">
        <v>104</v>
      </c>
      <c r="D466" s="214">
        <v>4185.8</v>
      </c>
      <c r="E466" s="214">
        <v>395</v>
      </c>
      <c r="F466" s="214">
        <v>195.7</v>
      </c>
      <c r="G466" s="214">
        <v>320.52999999999997</v>
      </c>
      <c r="H466" s="214">
        <v>888.82</v>
      </c>
      <c r="I466" s="214">
        <v>107.34</v>
      </c>
      <c r="J466" s="214">
        <v>78.86</v>
      </c>
      <c r="K466" s="214">
        <v>0</v>
      </c>
      <c r="L466" s="214">
        <v>0</v>
      </c>
      <c r="M466" s="214">
        <v>417.72</v>
      </c>
      <c r="N466" s="214">
        <v>107.34</v>
      </c>
      <c r="O466" s="214">
        <v>297.14</v>
      </c>
      <c r="P466" s="214">
        <v>267.3</v>
      </c>
      <c r="Q466" s="214">
        <v>305.82</v>
      </c>
      <c r="R466" s="214">
        <v>843.3</v>
      </c>
      <c r="S466" s="214">
        <v>121.51</v>
      </c>
      <c r="T466" s="214">
        <v>227.5</v>
      </c>
      <c r="U466" s="214">
        <v>275.83</v>
      </c>
      <c r="V466" s="214">
        <v>44.58</v>
      </c>
      <c r="W466" s="214">
        <v>45.83</v>
      </c>
      <c r="X466" s="214">
        <v>85.83</v>
      </c>
      <c r="Y466" s="214">
        <v>56.65</v>
      </c>
      <c r="Z466" s="214">
        <v>101.05</v>
      </c>
      <c r="AA466" s="214">
        <v>112.5</v>
      </c>
      <c r="AB466" s="214">
        <v>110.42</v>
      </c>
      <c r="AC466" s="214">
        <v>244.38</v>
      </c>
      <c r="AD466" s="214"/>
      <c r="AE466" s="420">
        <v>327.29000000000002</v>
      </c>
      <c r="AF466" s="420">
        <v>302.44</v>
      </c>
      <c r="AG466" s="420">
        <v>318.27</v>
      </c>
      <c r="AH466" s="420"/>
      <c r="AI466" s="574">
        <f t="shared" si="11"/>
        <v>10784.75</v>
      </c>
      <c r="AJ466" s="212"/>
    </row>
    <row r="467" spans="2:36" ht="14.4">
      <c r="B467" s="211"/>
      <c r="C467" s="213" t="s">
        <v>105</v>
      </c>
      <c r="D467" s="214">
        <v>1217.1300000000001</v>
      </c>
      <c r="E467" s="214">
        <v>8875.65</v>
      </c>
      <c r="F467" s="214">
        <v>0</v>
      </c>
      <c r="G467" s="214">
        <v>0</v>
      </c>
      <c r="H467" s="214">
        <v>0</v>
      </c>
      <c r="I467" s="214">
        <v>87.25</v>
      </c>
      <c r="J467" s="214">
        <v>0</v>
      </c>
      <c r="K467" s="214">
        <v>33.75</v>
      </c>
      <c r="L467" s="214">
        <v>0</v>
      </c>
      <c r="M467" s="214">
        <v>1025</v>
      </c>
      <c r="N467" s="214">
        <v>0</v>
      </c>
      <c r="O467" s="214">
        <v>264.27</v>
      </c>
      <c r="P467" s="214">
        <v>75.81</v>
      </c>
      <c r="Q467" s="214">
        <v>5644.11</v>
      </c>
      <c r="R467" s="214">
        <v>887.49</v>
      </c>
      <c r="S467" s="214">
        <v>1004.92</v>
      </c>
      <c r="T467" s="214">
        <v>0</v>
      </c>
      <c r="U467" s="214">
        <v>570.41999999999996</v>
      </c>
      <c r="V467" s="214">
        <v>6</v>
      </c>
      <c r="W467" s="214">
        <v>17.3</v>
      </c>
      <c r="X467" s="214">
        <v>14.67</v>
      </c>
      <c r="Y467" s="214">
        <v>918.67</v>
      </c>
      <c r="Z467" s="214">
        <v>15</v>
      </c>
      <c r="AA467" s="214">
        <v>12.5</v>
      </c>
      <c r="AB467" s="214">
        <v>225.58</v>
      </c>
      <c r="AC467" s="214">
        <v>59.33</v>
      </c>
      <c r="AD467" s="214"/>
      <c r="AE467" s="420">
        <v>1072.1199999999999</v>
      </c>
      <c r="AF467" s="420">
        <v>340.15</v>
      </c>
      <c r="AG467" s="420">
        <v>515.15</v>
      </c>
      <c r="AH467" s="420"/>
      <c r="AI467" s="574">
        <f t="shared" si="11"/>
        <v>22882.269999999997</v>
      </c>
      <c r="AJ467" s="212"/>
    </row>
    <row r="468" spans="2:36" ht="14.4">
      <c r="B468" s="211"/>
      <c r="C468" s="213" t="s">
        <v>106</v>
      </c>
      <c r="D468" s="214">
        <v>0</v>
      </c>
      <c r="E468" s="214">
        <v>0</v>
      </c>
      <c r="F468" s="214">
        <v>0</v>
      </c>
      <c r="G468" s="214">
        <v>0</v>
      </c>
      <c r="H468" s="214">
        <v>0</v>
      </c>
      <c r="I468" s="214">
        <v>0</v>
      </c>
      <c r="J468" s="214">
        <v>0</v>
      </c>
      <c r="K468" s="214">
        <v>0</v>
      </c>
      <c r="L468" s="214">
        <v>0</v>
      </c>
      <c r="M468" s="214">
        <v>0</v>
      </c>
      <c r="N468" s="214">
        <v>0</v>
      </c>
      <c r="O468" s="214">
        <v>0</v>
      </c>
      <c r="P468" s="214">
        <v>0</v>
      </c>
      <c r="Q468" s="214">
        <v>0</v>
      </c>
      <c r="R468" s="214">
        <v>0</v>
      </c>
      <c r="S468" s="214">
        <v>0</v>
      </c>
      <c r="T468" s="214">
        <v>0</v>
      </c>
      <c r="U468" s="214">
        <v>0</v>
      </c>
      <c r="V468" s="214">
        <v>0</v>
      </c>
      <c r="W468" s="214">
        <v>0</v>
      </c>
      <c r="X468" s="214">
        <v>0</v>
      </c>
      <c r="Y468" s="214">
        <v>0</v>
      </c>
      <c r="Z468" s="214">
        <v>0</v>
      </c>
      <c r="AA468" s="214">
        <v>0</v>
      </c>
      <c r="AB468" s="214">
        <v>0</v>
      </c>
      <c r="AC468" s="214">
        <v>0</v>
      </c>
      <c r="AD468" s="214"/>
      <c r="AE468" s="420">
        <v>0</v>
      </c>
      <c r="AF468" s="420">
        <v>0</v>
      </c>
      <c r="AG468" s="420">
        <v>0</v>
      </c>
      <c r="AH468" s="420"/>
      <c r="AI468" s="574">
        <f t="shared" si="11"/>
        <v>0</v>
      </c>
      <c r="AJ468" s="212"/>
    </row>
    <row r="469" spans="2:36" ht="14.4">
      <c r="B469" s="211"/>
      <c r="C469" s="213" t="s">
        <v>107</v>
      </c>
      <c r="D469" s="214">
        <v>0</v>
      </c>
      <c r="E469" s="214">
        <v>0</v>
      </c>
      <c r="F469" s="214">
        <v>0</v>
      </c>
      <c r="G469" s="214">
        <v>0</v>
      </c>
      <c r="H469" s="214">
        <v>0</v>
      </c>
      <c r="I469" s="214">
        <v>0</v>
      </c>
      <c r="J469" s="214">
        <v>0</v>
      </c>
      <c r="K469" s="214">
        <v>0</v>
      </c>
      <c r="L469" s="214">
        <v>0</v>
      </c>
      <c r="M469" s="214">
        <v>0</v>
      </c>
      <c r="N469" s="214">
        <v>0</v>
      </c>
      <c r="O469" s="214">
        <v>0</v>
      </c>
      <c r="P469" s="214">
        <v>0</v>
      </c>
      <c r="Q469" s="214">
        <v>0</v>
      </c>
      <c r="R469" s="214">
        <v>0</v>
      </c>
      <c r="S469" s="214">
        <v>0</v>
      </c>
      <c r="T469" s="214">
        <v>0</v>
      </c>
      <c r="U469" s="214">
        <v>0</v>
      </c>
      <c r="V469" s="214">
        <v>0</v>
      </c>
      <c r="W469" s="214">
        <v>0</v>
      </c>
      <c r="X469" s="214">
        <v>0</v>
      </c>
      <c r="Y469" s="214">
        <v>0</v>
      </c>
      <c r="Z469" s="214">
        <v>0</v>
      </c>
      <c r="AA469" s="214">
        <v>0</v>
      </c>
      <c r="AB469" s="214">
        <v>0</v>
      </c>
      <c r="AC469" s="214">
        <v>0</v>
      </c>
      <c r="AD469" s="214"/>
      <c r="AE469" s="420">
        <v>0</v>
      </c>
      <c r="AF469" s="420">
        <v>0</v>
      </c>
      <c r="AG469" s="420">
        <v>0</v>
      </c>
      <c r="AH469" s="420"/>
      <c r="AI469" s="574">
        <f t="shared" si="11"/>
        <v>0</v>
      </c>
      <c r="AJ469" s="212"/>
    </row>
    <row r="470" spans="2:36" ht="14.4">
      <c r="B470" s="211"/>
      <c r="C470" s="213" t="s">
        <v>108</v>
      </c>
      <c r="D470" s="214"/>
      <c r="E470" s="214">
        <v>23739.83</v>
      </c>
      <c r="F470" s="214">
        <v>34752.26</v>
      </c>
      <c r="G470" s="214">
        <v>23104.68</v>
      </c>
      <c r="H470" s="214">
        <v>4522.3</v>
      </c>
      <c r="I470" s="214">
        <v>0</v>
      </c>
      <c r="J470" s="214"/>
      <c r="K470" s="214"/>
      <c r="L470" s="214"/>
      <c r="M470" s="214">
        <v>357</v>
      </c>
      <c r="N470" s="214"/>
      <c r="O470" s="214">
        <v>2080.34</v>
      </c>
      <c r="P470" s="214">
        <v>345.6</v>
      </c>
      <c r="Q470" s="214">
        <v>40192.199999999997</v>
      </c>
      <c r="R470" s="214">
        <v>4838.5</v>
      </c>
      <c r="S470" s="214">
        <v>1932</v>
      </c>
      <c r="T470" s="214"/>
      <c r="U470" s="214"/>
      <c r="V470" s="214"/>
      <c r="W470" s="214"/>
      <c r="X470" s="214"/>
      <c r="Y470" s="214"/>
      <c r="Z470" s="214"/>
      <c r="AA470" s="214"/>
      <c r="AB470" s="214"/>
      <c r="AC470" s="214"/>
      <c r="AD470" s="214"/>
      <c r="AE470" s="420">
        <v>691</v>
      </c>
      <c r="AF470" s="420"/>
      <c r="AG470" s="420">
        <v>235</v>
      </c>
      <c r="AH470" s="420"/>
      <c r="AI470" s="574">
        <f t="shared" si="11"/>
        <v>136790.71000000002</v>
      </c>
      <c r="AJ470" s="212"/>
    </row>
    <row r="471" spans="2:36" ht="14.4">
      <c r="B471" s="211"/>
      <c r="C471" s="213" t="s">
        <v>109</v>
      </c>
      <c r="D471" s="214">
        <v>0</v>
      </c>
      <c r="E471" s="214">
        <v>0</v>
      </c>
      <c r="F471" s="214">
        <v>0</v>
      </c>
      <c r="G471" s="214">
        <v>0</v>
      </c>
      <c r="H471" s="214">
        <v>0</v>
      </c>
      <c r="I471" s="214">
        <v>0</v>
      </c>
      <c r="J471" s="214">
        <v>0</v>
      </c>
      <c r="K471" s="214">
        <v>0</v>
      </c>
      <c r="L471" s="214">
        <v>0</v>
      </c>
      <c r="M471" s="214">
        <v>0</v>
      </c>
      <c r="N471" s="214">
        <v>0</v>
      </c>
      <c r="O471" s="214">
        <v>0</v>
      </c>
      <c r="P471" s="214">
        <v>0</v>
      </c>
      <c r="Q471" s="214">
        <v>0</v>
      </c>
      <c r="R471" s="214">
        <v>0</v>
      </c>
      <c r="S471" s="214">
        <v>0</v>
      </c>
      <c r="T471" s="214">
        <v>0</v>
      </c>
      <c r="U471" s="214">
        <v>0</v>
      </c>
      <c r="V471" s="214">
        <v>0</v>
      </c>
      <c r="W471" s="214">
        <v>0</v>
      </c>
      <c r="X471" s="214">
        <v>0</v>
      </c>
      <c r="Y471" s="214">
        <v>0</v>
      </c>
      <c r="Z471" s="214">
        <v>0</v>
      </c>
      <c r="AA471" s="214">
        <v>0</v>
      </c>
      <c r="AB471" s="214">
        <v>0</v>
      </c>
      <c r="AC471" s="214">
        <v>0</v>
      </c>
      <c r="AD471" s="214"/>
      <c r="AE471" s="420">
        <v>0</v>
      </c>
      <c r="AF471" s="420">
        <v>0</v>
      </c>
      <c r="AG471" s="420">
        <v>0</v>
      </c>
      <c r="AH471" s="420"/>
      <c r="AI471" s="574">
        <f t="shared" si="11"/>
        <v>0</v>
      </c>
      <c r="AJ471" s="212"/>
    </row>
    <row r="472" spans="2:36" ht="14.4">
      <c r="B472" s="211"/>
      <c r="C472" s="213" t="s">
        <v>110</v>
      </c>
      <c r="D472" s="214">
        <v>0</v>
      </c>
      <c r="E472" s="214">
        <v>0</v>
      </c>
      <c r="F472" s="214">
        <v>0</v>
      </c>
      <c r="G472" s="214">
        <v>0</v>
      </c>
      <c r="H472" s="214">
        <v>0</v>
      </c>
      <c r="I472" s="214">
        <v>0</v>
      </c>
      <c r="J472" s="214">
        <v>0</v>
      </c>
      <c r="K472" s="214">
        <v>0</v>
      </c>
      <c r="L472" s="214">
        <v>0</v>
      </c>
      <c r="M472" s="214">
        <v>0</v>
      </c>
      <c r="N472" s="214">
        <v>0</v>
      </c>
      <c r="O472" s="214">
        <v>166.66</v>
      </c>
      <c r="P472" s="214">
        <v>0</v>
      </c>
      <c r="Q472" s="214">
        <v>0</v>
      </c>
      <c r="R472" s="214">
        <v>0</v>
      </c>
      <c r="S472" s="214">
        <v>0</v>
      </c>
      <c r="T472" s="214">
        <v>0</v>
      </c>
      <c r="U472" s="214">
        <v>0</v>
      </c>
      <c r="V472" s="214">
        <v>0</v>
      </c>
      <c r="W472" s="214">
        <v>0</v>
      </c>
      <c r="X472" s="214">
        <v>0</v>
      </c>
      <c r="Y472" s="214">
        <v>0</v>
      </c>
      <c r="Z472" s="214">
        <v>0</v>
      </c>
      <c r="AA472" s="214">
        <v>0</v>
      </c>
      <c r="AB472" s="214">
        <v>0</v>
      </c>
      <c r="AC472" s="214">
        <v>0</v>
      </c>
      <c r="AD472" s="214"/>
      <c r="AE472" s="420">
        <v>0</v>
      </c>
      <c r="AF472" s="420">
        <v>0</v>
      </c>
      <c r="AG472" s="420">
        <v>0</v>
      </c>
      <c r="AH472" s="420"/>
      <c r="AI472" s="574">
        <f t="shared" si="11"/>
        <v>166.66</v>
      </c>
      <c r="AJ472" s="212"/>
    </row>
    <row r="473" spans="2:36" ht="14.4">
      <c r="B473" s="211"/>
      <c r="C473" s="213" t="s">
        <v>112</v>
      </c>
      <c r="D473" s="214"/>
      <c r="E473" s="214">
        <v>1600</v>
      </c>
      <c r="F473" s="214"/>
      <c r="G473" s="214"/>
      <c r="H473" s="214"/>
      <c r="I473" s="214">
        <v>0</v>
      </c>
      <c r="J473" s="214"/>
      <c r="K473" s="214"/>
      <c r="L473" s="214"/>
      <c r="M473" s="214">
        <v>0</v>
      </c>
      <c r="N473" s="214"/>
      <c r="O473" s="214">
        <v>0</v>
      </c>
      <c r="P473" s="214"/>
      <c r="Q473" s="214">
        <v>8029.4</v>
      </c>
      <c r="R473" s="214">
        <v>0</v>
      </c>
      <c r="S473" s="214"/>
      <c r="T473" s="214"/>
      <c r="U473" s="214"/>
      <c r="V473" s="214"/>
      <c r="W473" s="214">
        <v>0</v>
      </c>
      <c r="X473" s="214"/>
      <c r="Y473" s="214"/>
      <c r="Z473" s="214"/>
      <c r="AA473" s="214"/>
      <c r="AB473" s="214"/>
      <c r="AC473" s="214"/>
      <c r="AD473" s="214"/>
      <c r="AE473" s="420"/>
      <c r="AF473" s="420"/>
      <c r="AG473" s="420"/>
      <c r="AH473" s="420"/>
      <c r="AI473" s="574">
        <f t="shared" si="11"/>
        <v>9629.4</v>
      </c>
      <c r="AJ473" s="212"/>
    </row>
    <row r="474" spans="2:36" ht="14.4">
      <c r="B474" s="211"/>
      <c r="C474" s="213" t="s">
        <v>113</v>
      </c>
      <c r="D474" s="214">
        <v>0</v>
      </c>
      <c r="E474" s="214">
        <v>0</v>
      </c>
      <c r="F474" s="214">
        <v>92</v>
      </c>
      <c r="G474" s="214">
        <v>0</v>
      </c>
      <c r="H474" s="214">
        <v>90</v>
      </c>
      <c r="I474" s="214">
        <v>0</v>
      </c>
      <c r="J474" s="214">
        <v>0</v>
      </c>
      <c r="K474" s="214">
        <v>0</v>
      </c>
      <c r="L474" s="214">
        <v>0</v>
      </c>
      <c r="M474" s="214">
        <v>469</v>
      </c>
      <c r="N474" s="214">
        <v>0</v>
      </c>
      <c r="O474" s="214">
        <v>0</v>
      </c>
      <c r="P474" s="214">
        <v>0</v>
      </c>
      <c r="Q474" s="214">
        <v>0</v>
      </c>
      <c r="R474" s="214">
        <v>0</v>
      </c>
      <c r="S474" s="214">
        <v>0</v>
      </c>
      <c r="T474" s="214">
        <v>0</v>
      </c>
      <c r="U474" s="214">
        <v>0</v>
      </c>
      <c r="V474" s="214">
        <v>0</v>
      </c>
      <c r="W474" s="214">
        <v>0</v>
      </c>
      <c r="X474" s="214">
        <v>0</v>
      </c>
      <c r="Y474" s="214">
        <v>0</v>
      </c>
      <c r="Z474" s="214">
        <v>0</v>
      </c>
      <c r="AA474" s="214">
        <v>0</v>
      </c>
      <c r="AB474" s="214">
        <v>0</v>
      </c>
      <c r="AC474" s="214">
        <v>0</v>
      </c>
      <c r="AD474" s="214"/>
      <c r="AE474" s="420">
        <v>443</v>
      </c>
      <c r="AF474" s="420">
        <v>0</v>
      </c>
      <c r="AG474" s="420">
        <v>0</v>
      </c>
      <c r="AH474" s="420"/>
      <c r="AI474" s="574">
        <f t="shared" si="11"/>
        <v>1094</v>
      </c>
      <c r="AJ474" s="212"/>
    </row>
    <row r="475" spans="2:36" ht="14.4">
      <c r="B475" s="211"/>
      <c r="C475" s="213" t="s">
        <v>137</v>
      </c>
      <c r="D475" s="214">
        <v>0</v>
      </c>
      <c r="E475" s="214">
        <v>0</v>
      </c>
      <c r="F475" s="214">
        <v>0</v>
      </c>
      <c r="G475" s="214">
        <v>0</v>
      </c>
      <c r="H475" s="214">
        <v>0</v>
      </c>
      <c r="I475" s="214">
        <v>0</v>
      </c>
      <c r="J475" s="214">
        <v>0</v>
      </c>
      <c r="K475" s="214">
        <v>0</v>
      </c>
      <c r="L475" s="214">
        <v>0</v>
      </c>
      <c r="M475" s="214">
        <v>0</v>
      </c>
      <c r="N475" s="214">
        <v>0</v>
      </c>
      <c r="O475" s="214">
        <v>0</v>
      </c>
      <c r="P475" s="214">
        <v>0</v>
      </c>
      <c r="Q475" s="214">
        <v>0</v>
      </c>
      <c r="R475" s="214">
        <v>0</v>
      </c>
      <c r="S475" s="214">
        <v>0</v>
      </c>
      <c r="T475" s="214">
        <v>0</v>
      </c>
      <c r="U475" s="214">
        <v>0</v>
      </c>
      <c r="V475" s="214">
        <v>0</v>
      </c>
      <c r="W475" s="214">
        <v>0</v>
      </c>
      <c r="X475" s="214">
        <v>0</v>
      </c>
      <c r="Y475" s="214">
        <v>0</v>
      </c>
      <c r="Z475" s="214">
        <v>0</v>
      </c>
      <c r="AA475" s="214">
        <v>0</v>
      </c>
      <c r="AB475" s="214">
        <v>0</v>
      </c>
      <c r="AC475" s="214">
        <v>0</v>
      </c>
      <c r="AD475" s="214"/>
      <c r="AE475" s="420">
        <v>0</v>
      </c>
      <c r="AF475" s="420">
        <v>0</v>
      </c>
      <c r="AG475" s="420">
        <v>0</v>
      </c>
      <c r="AH475" s="420"/>
      <c r="AI475" s="574">
        <f t="shared" si="11"/>
        <v>0</v>
      </c>
      <c r="AJ475" s="212"/>
    </row>
    <row r="476" spans="2:36" ht="14.4">
      <c r="B476" s="211"/>
      <c r="C476" s="213" t="s">
        <v>140</v>
      </c>
      <c r="D476" s="214">
        <v>0</v>
      </c>
      <c r="E476" s="214">
        <v>0</v>
      </c>
      <c r="F476" s="214">
        <v>0</v>
      </c>
      <c r="G476" s="214">
        <v>1718</v>
      </c>
      <c r="H476" s="214">
        <v>6129</v>
      </c>
      <c r="I476" s="214">
        <v>0</v>
      </c>
      <c r="J476" s="214">
        <v>0</v>
      </c>
      <c r="K476" s="214">
        <v>0</v>
      </c>
      <c r="L476" s="214">
        <v>1279</v>
      </c>
      <c r="M476" s="214">
        <v>157</v>
      </c>
      <c r="N476" s="214">
        <v>118</v>
      </c>
      <c r="O476" s="214">
        <v>1000</v>
      </c>
      <c r="P476" s="214">
        <v>0</v>
      </c>
      <c r="Q476" s="214">
        <v>222</v>
      </c>
      <c r="R476" s="214">
        <v>130</v>
      </c>
      <c r="S476" s="214">
        <v>0</v>
      </c>
      <c r="T476" s="214">
        <v>0</v>
      </c>
      <c r="U476" s="214">
        <v>0</v>
      </c>
      <c r="V476" s="214">
        <v>0</v>
      </c>
      <c r="W476" s="214">
        <v>0</v>
      </c>
      <c r="X476" s="214">
        <v>0</v>
      </c>
      <c r="Y476" s="214">
        <v>0</v>
      </c>
      <c r="Z476" s="214">
        <v>0</v>
      </c>
      <c r="AA476" s="214">
        <v>0</v>
      </c>
      <c r="AB476" s="214">
        <v>4070</v>
      </c>
      <c r="AC476" s="214">
        <v>0</v>
      </c>
      <c r="AD476" s="214"/>
      <c r="AE476" s="420">
        <v>0</v>
      </c>
      <c r="AF476" s="420">
        <v>0</v>
      </c>
      <c r="AG476" s="420">
        <v>0</v>
      </c>
      <c r="AH476" s="420"/>
      <c r="AI476" s="574">
        <f t="shared" si="11"/>
        <v>14823</v>
      </c>
      <c r="AJ476" s="212"/>
    </row>
    <row r="477" spans="2:36" ht="14.4">
      <c r="B477" s="211"/>
      <c r="C477" s="213" t="s">
        <v>141</v>
      </c>
      <c r="D477" s="214">
        <v>0</v>
      </c>
      <c r="E477" s="214">
        <v>0</v>
      </c>
      <c r="F477" s="214">
        <v>0</v>
      </c>
      <c r="G477" s="214">
        <v>0</v>
      </c>
      <c r="H477" s="214">
        <v>0</v>
      </c>
      <c r="I477" s="214">
        <v>0</v>
      </c>
      <c r="J477" s="214">
        <v>0</v>
      </c>
      <c r="K477" s="214">
        <v>0</v>
      </c>
      <c r="L477" s="214">
        <v>0</v>
      </c>
      <c r="M477" s="214">
        <v>0</v>
      </c>
      <c r="N477" s="214">
        <v>0</v>
      </c>
      <c r="O477" s="214">
        <v>0</v>
      </c>
      <c r="P477" s="214">
        <v>0</v>
      </c>
      <c r="Q477" s="214">
        <v>0</v>
      </c>
      <c r="R477" s="214">
        <v>0</v>
      </c>
      <c r="S477" s="214">
        <v>0</v>
      </c>
      <c r="T477" s="214">
        <v>0</v>
      </c>
      <c r="U477" s="214">
        <v>0</v>
      </c>
      <c r="V477" s="214">
        <v>0</v>
      </c>
      <c r="W477" s="214">
        <v>0</v>
      </c>
      <c r="X477" s="214">
        <v>0</v>
      </c>
      <c r="Y477" s="214">
        <v>0</v>
      </c>
      <c r="Z477" s="214">
        <v>0</v>
      </c>
      <c r="AA477" s="214">
        <v>0</v>
      </c>
      <c r="AB477" s="214">
        <v>0</v>
      </c>
      <c r="AC477" s="214">
        <v>0</v>
      </c>
      <c r="AD477" s="214"/>
      <c r="AE477" s="420">
        <v>0</v>
      </c>
      <c r="AF477" s="420">
        <v>0</v>
      </c>
      <c r="AG477" s="420">
        <v>0</v>
      </c>
      <c r="AH477" s="420"/>
      <c r="AI477" s="574">
        <f t="shared" si="11"/>
        <v>0</v>
      </c>
      <c r="AJ477" s="212"/>
    </row>
    <row r="478" spans="2:36" ht="14.4">
      <c r="B478" s="211"/>
      <c r="C478" s="213" t="s">
        <v>193</v>
      </c>
      <c r="D478" s="214">
        <v>500</v>
      </c>
      <c r="E478" s="214">
        <v>12435</v>
      </c>
      <c r="F478" s="214">
        <v>0</v>
      </c>
      <c r="G478" s="214">
        <v>0</v>
      </c>
      <c r="H478" s="214">
        <v>13750</v>
      </c>
      <c r="I478" s="214">
        <v>0</v>
      </c>
      <c r="J478" s="214">
        <v>0</v>
      </c>
      <c r="K478" s="214">
        <v>0</v>
      </c>
      <c r="L478" s="214">
        <v>0</v>
      </c>
      <c r="M478" s="214">
        <v>0</v>
      </c>
      <c r="N478" s="214">
        <v>0</v>
      </c>
      <c r="O478" s="214">
        <v>0</v>
      </c>
      <c r="P478" s="214">
        <v>0</v>
      </c>
      <c r="Q478" s="214">
        <v>6200</v>
      </c>
      <c r="R478" s="214">
        <v>0</v>
      </c>
      <c r="S478" s="214">
        <v>0</v>
      </c>
      <c r="T478" s="214">
        <v>0</v>
      </c>
      <c r="U478" s="214">
        <v>0</v>
      </c>
      <c r="V478" s="214">
        <v>0</v>
      </c>
      <c r="W478" s="214">
        <v>0</v>
      </c>
      <c r="X478" s="214">
        <v>0</v>
      </c>
      <c r="Y478" s="214">
        <v>0</v>
      </c>
      <c r="Z478" s="214">
        <v>0</v>
      </c>
      <c r="AA478" s="214">
        <v>0</v>
      </c>
      <c r="AB478" s="214">
        <v>0</v>
      </c>
      <c r="AC478" s="214">
        <v>0</v>
      </c>
      <c r="AD478" s="214"/>
      <c r="AE478" s="420">
        <v>0</v>
      </c>
      <c r="AF478" s="420">
        <v>0</v>
      </c>
      <c r="AG478" s="420">
        <v>0</v>
      </c>
      <c r="AH478" s="420"/>
      <c r="AI478" s="574">
        <f t="shared" si="11"/>
        <v>32885</v>
      </c>
      <c r="AJ478" s="212"/>
    </row>
    <row r="479" spans="2:36" ht="14.4">
      <c r="B479" s="211"/>
      <c r="C479" s="213" t="s">
        <v>148</v>
      </c>
      <c r="D479" s="214">
        <v>0</v>
      </c>
      <c r="E479" s="214">
        <v>0</v>
      </c>
      <c r="F479" s="214">
        <v>0</v>
      </c>
      <c r="G479" s="214">
        <v>0</v>
      </c>
      <c r="H479" s="214">
        <v>0</v>
      </c>
      <c r="I479" s="214">
        <v>0</v>
      </c>
      <c r="J479" s="214">
        <v>0</v>
      </c>
      <c r="K479" s="214">
        <v>0</v>
      </c>
      <c r="L479" s="214">
        <v>0</v>
      </c>
      <c r="M479" s="214">
        <v>0</v>
      </c>
      <c r="N479" s="214">
        <v>0</v>
      </c>
      <c r="O479" s="214">
        <v>0</v>
      </c>
      <c r="P479" s="214">
        <v>0</v>
      </c>
      <c r="Q479" s="214">
        <v>0</v>
      </c>
      <c r="R479" s="214">
        <v>0</v>
      </c>
      <c r="S479" s="214">
        <v>0</v>
      </c>
      <c r="T479" s="214">
        <v>2670</v>
      </c>
      <c r="U479" s="214">
        <v>0</v>
      </c>
      <c r="V479" s="214">
        <v>0</v>
      </c>
      <c r="W479" s="214">
        <v>0</v>
      </c>
      <c r="X479" s="214">
        <v>0</v>
      </c>
      <c r="Y479" s="214">
        <v>0</v>
      </c>
      <c r="Z479" s="214">
        <v>0</v>
      </c>
      <c r="AA479" s="214">
        <v>0</v>
      </c>
      <c r="AB479" s="214">
        <v>0</v>
      </c>
      <c r="AC479" s="214">
        <v>0</v>
      </c>
      <c r="AD479" s="214"/>
      <c r="AE479" s="420">
        <v>0</v>
      </c>
      <c r="AF479" s="420">
        <v>0</v>
      </c>
      <c r="AG479" s="420">
        <v>0</v>
      </c>
      <c r="AH479" s="420"/>
      <c r="AI479" s="574">
        <f t="shared" si="11"/>
        <v>2670</v>
      </c>
      <c r="AJ479" s="212"/>
    </row>
    <row r="480" spans="2:36" ht="14.4">
      <c r="B480" s="211"/>
      <c r="C480" s="213" t="s">
        <v>186</v>
      </c>
      <c r="D480" s="214">
        <v>0</v>
      </c>
      <c r="E480" s="214">
        <v>0</v>
      </c>
      <c r="F480" s="214">
        <v>0</v>
      </c>
      <c r="G480" s="214">
        <v>0</v>
      </c>
      <c r="H480" s="214">
        <v>0</v>
      </c>
      <c r="I480" s="214">
        <v>0</v>
      </c>
      <c r="J480" s="214">
        <v>0</v>
      </c>
      <c r="K480" s="214">
        <v>0</v>
      </c>
      <c r="L480" s="214">
        <v>0</v>
      </c>
      <c r="M480" s="214">
        <v>0</v>
      </c>
      <c r="N480" s="214">
        <v>0</v>
      </c>
      <c r="O480" s="214">
        <v>0</v>
      </c>
      <c r="P480" s="214">
        <v>0</v>
      </c>
      <c r="Q480" s="214">
        <v>0</v>
      </c>
      <c r="R480" s="214">
        <v>0</v>
      </c>
      <c r="S480" s="214">
        <v>0</v>
      </c>
      <c r="T480" s="214">
        <v>0</v>
      </c>
      <c r="U480" s="214">
        <v>0</v>
      </c>
      <c r="V480" s="214">
        <v>0</v>
      </c>
      <c r="W480" s="214">
        <v>0</v>
      </c>
      <c r="X480" s="214">
        <v>0</v>
      </c>
      <c r="Y480" s="214">
        <v>0</v>
      </c>
      <c r="Z480" s="214">
        <v>0</v>
      </c>
      <c r="AA480" s="214">
        <v>0</v>
      </c>
      <c r="AB480" s="214">
        <v>0</v>
      </c>
      <c r="AC480" s="214">
        <v>0</v>
      </c>
      <c r="AD480" s="214"/>
      <c r="AE480" s="420">
        <v>0</v>
      </c>
      <c r="AF480" s="420">
        <v>0</v>
      </c>
      <c r="AG480" s="420">
        <v>0</v>
      </c>
      <c r="AH480" s="420"/>
      <c r="AI480" s="574">
        <f t="shared" si="11"/>
        <v>0</v>
      </c>
      <c r="AJ480" s="212"/>
    </row>
    <row r="481" spans="2:36" ht="14.4">
      <c r="B481" s="211"/>
      <c r="C481" s="213" t="s">
        <v>171</v>
      </c>
      <c r="D481" s="214">
        <v>0</v>
      </c>
      <c r="E481" s="214">
        <v>0</v>
      </c>
      <c r="F481" s="214">
        <v>0</v>
      </c>
      <c r="G481" s="214">
        <v>0</v>
      </c>
      <c r="H481" s="214">
        <v>0</v>
      </c>
      <c r="I481" s="214">
        <v>0</v>
      </c>
      <c r="J481" s="214">
        <v>0</v>
      </c>
      <c r="K481" s="214">
        <v>0</v>
      </c>
      <c r="L481" s="214">
        <v>0</v>
      </c>
      <c r="M481" s="214">
        <v>0</v>
      </c>
      <c r="N481" s="214">
        <v>0</v>
      </c>
      <c r="O481" s="214">
        <v>0</v>
      </c>
      <c r="P481" s="214">
        <v>0</v>
      </c>
      <c r="Q481" s="214">
        <v>0</v>
      </c>
      <c r="R481" s="214">
        <v>0</v>
      </c>
      <c r="S481" s="214">
        <v>0</v>
      </c>
      <c r="T481" s="214">
        <v>0</v>
      </c>
      <c r="U481" s="214">
        <v>0</v>
      </c>
      <c r="V481" s="214">
        <v>0</v>
      </c>
      <c r="W481" s="214">
        <v>0</v>
      </c>
      <c r="X481" s="214">
        <v>0</v>
      </c>
      <c r="Y481" s="214">
        <v>0</v>
      </c>
      <c r="Z481" s="214">
        <v>0</v>
      </c>
      <c r="AA481" s="214">
        <v>0</v>
      </c>
      <c r="AB481" s="214">
        <v>0</v>
      </c>
      <c r="AC481" s="214">
        <v>0</v>
      </c>
      <c r="AD481" s="214"/>
      <c r="AE481" s="420">
        <v>0</v>
      </c>
      <c r="AF481" s="420">
        <v>0</v>
      </c>
      <c r="AG481" s="420">
        <v>0</v>
      </c>
      <c r="AH481" s="420"/>
      <c r="AI481" s="574">
        <f t="shared" si="11"/>
        <v>0</v>
      </c>
      <c r="AJ481" s="212"/>
    </row>
    <row r="482" spans="2:36" ht="14.4">
      <c r="B482" s="211"/>
      <c r="C482" s="213" t="s">
        <v>180</v>
      </c>
      <c r="D482" s="214">
        <v>0</v>
      </c>
      <c r="E482" s="214">
        <v>0</v>
      </c>
      <c r="F482" s="214">
        <v>0</v>
      </c>
      <c r="G482" s="214">
        <v>0</v>
      </c>
      <c r="H482" s="214">
        <v>0</v>
      </c>
      <c r="I482" s="214">
        <v>0</v>
      </c>
      <c r="J482" s="214">
        <v>0</v>
      </c>
      <c r="K482" s="214">
        <v>0</v>
      </c>
      <c r="L482" s="214">
        <v>0</v>
      </c>
      <c r="M482" s="214">
        <v>0</v>
      </c>
      <c r="N482" s="214">
        <v>0</v>
      </c>
      <c r="O482" s="214">
        <v>0</v>
      </c>
      <c r="P482" s="214">
        <v>0</v>
      </c>
      <c r="Q482" s="214">
        <v>0</v>
      </c>
      <c r="R482" s="214">
        <v>0</v>
      </c>
      <c r="S482" s="214">
        <v>0</v>
      </c>
      <c r="T482" s="214">
        <v>0</v>
      </c>
      <c r="U482" s="214">
        <v>0</v>
      </c>
      <c r="V482" s="214">
        <v>0</v>
      </c>
      <c r="W482" s="214">
        <v>0</v>
      </c>
      <c r="X482" s="214">
        <v>0</v>
      </c>
      <c r="Y482" s="214">
        <v>0</v>
      </c>
      <c r="Z482" s="214">
        <v>0</v>
      </c>
      <c r="AA482" s="214">
        <v>0</v>
      </c>
      <c r="AB482" s="214">
        <v>0</v>
      </c>
      <c r="AC482" s="214">
        <v>0</v>
      </c>
      <c r="AD482" s="214"/>
      <c r="AE482" s="420">
        <v>0</v>
      </c>
      <c r="AF482" s="420">
        <v>0</v>
      </c>
      <c r="AG482" s="420">
        <v>0</v>
      </c>
      <c r="AH482" s="420"/>
      <c r="AI482" s="574">
        <f t="shared" si="11"/>
        <v>0</v>
      </c>
      <c r="AJ482" s="212"/>
    </row>
    <row r="483" spans="2:36" ht="14.4">
      <c r="B483" s="211"/>
      <c r="C483" s="213" t="s">
        <v>183</v>
      </c>
      <c r="D483" s="214">
        <v>0</v>
      </c>
      <c r="E483" s="214">
        <v>0</v>
      </c>
      <c r="F483" s="214">
        <v>0</v>
      </c>
      <c r="G483" s="214">
        <v>0</v>
      </c>
      <c r="H483" s="214">
        <v>0</v>
      </c>
      <c r="I483" s="214">
        <v>0</v>
      </c>
      <c r="J483" s="214">
        <v>0</v>
      </c>
      <c r="K483" s="214">
        <v>0</v>
      </c>
      <c r="L483" s="214">
        <v>0</v>
      </c>
      <c r="M483" s="214">
        <v>0</v>
      </c>
      <c r="N483" s="214">
        <v>0</v>
      </c>
      <c r="O483" s="214">
        <v>0</v>
      </c>
      <c r="P483" s="214">
        <v>0</v>
      </c>
      <c r="Q483" s="214">
        <v>0</v>
      </c>
      <c r="R483" s="214">
        <v>0</v>
      </c>
      <c r="S483" s="214">
        <v>0</v>
      </c>
      <c r="T483" s="214">
        <v>0</v>
      </c>
      <c r="U483" s="214">
        <v>0</v>
      </c>
      <c r="V483" s="214">
        <v>0</v>
      </c>
      <c r="W483" s="214">
        <v>0</v>
      </c>
      <c r="X483" s="214">
        <v>0</v>
      </c>
      <c r="Y483" s="214">
        <v>0</v>
      </c>
      <c r="Z483" s="214">
        <v>0</v>
      </c>
      <c r="AA483" s="214">
        <v>0</v>
      </c>
      <c r="AB483" s="214">
        <v>0</v>
      </c>
      <c r="AC483" s="214">
        <v>0</v>
      </c>
      <c r="AD483" s="214"/>
      <c r="AE483" s="420">
        <v>0</v>
      </c>
      <c r="AF483" s="420">
        <v>0</v>
      </c>
      <c r="AG483" s="420">
        <v>0</v>
      </c>
      <c r="AH483" s="420"/>
      <c r="AI483" s="574">
        <f t="shared" si="11"/>
        <v>0</v>
      </c>
      <c r="AJ483" s="212"/>
    </row>
    <row r="484" spans="2:36" ht="14.4">
      <c r="B484" s="211"/>
      <c r="C484" s="213" t="s">
        <v>195</v>
      </c>
      <c r="D484" s="214">
        <v>17814</v>
      </c>
      <c r="E484" s="214">
        <v>0</v>
      </c>
      <c r="F484" s="214">
        <v>0</v>
      </c>
      <c r="G484" s="214">
        <v>0</v>
      </c>
      <c r="H484" s="214">
        <v>0</v>
      </c>
      <c r="I484" s="214">
        <v>0</v>
      </c>
      <c r="J484" s="214">
        <v>0</v>
      </c>
      <c r="K484" s="214">
        <v>0</v>
      </c>
      <c r="L484" s="214">
        <v>0</v>
      </c>
      <c r="M484" s="214">
        <v>0</v>
      </c>
      <c r="N484" s="214">
        <v>0</v>
      </c>
      <c r="O484" s="214">
        <v>0</v>
      </c>
      <c r="P484" s="214">
        <v>0</v>
      </c>
      <c r="Q484" s="214">
        <v>0</v>
      </c>
      <c r="R484" s="214">
        <v>0</v>
      </c>
      <c r="S484" s="214">
        <v>0</v>
      </c>
      <c r="T484" s="214">
        <v>0</v>
      </c>
      <c r="U484" s="214">
        <v>0</v>
      </c>
      <c r="V484" s="214">
        <v>0</v>
      </c>
      <c r="W484" s="214">
        <v>0</v>
      </c>
      <c r="X484" s="214">
        <v>0</v>
      </c>
      <c r="Y484" s="214">
        <v>0</v>
      </c>
      <c r="Z484" s="214">
        <v>0</v>
      </c>
      <c r="AA484" s="214">
        <v>0</v>
      </c>
      <c r="AB484" s="214">
        <v>0</v>
      </c>
      <c r="AC484" s="214">
        <v>0</v>
      </c>
      <c r="AD484" s="214"/>
      <c r="AE484" s="420">
        <v>0</v>
      </c>
      <c r="AF484" s="420">
        <v>0</v>
      </c>
      <c r="AG484" s="420">
        <v>0</v>
      </c>
      <c r="AH484" s="420"/>
      <c r="AI484" s="574">
        <f t="shared" si="11"/>
        <v>17814</v>
      </c>
      <c r="AJ484" s="212"/>
    </row>
    <row r="485" spans="2:36" ht="14.4">
      <c r="B485" s="211"/>
      <c r="C485" s="213" t="s">
        <v>189</v>
      </c>
      <c r="D485" s="214">
        <v>16217.28</v>
      </c>
      <c r="E485" s="214">
        <v>0</v>
      </c>
      <c r="F485" s="214">
        <v>0</v>
      </c>
      <c r="G485" s="214">
        <v>0</v>
      </c>
      <c r="H485" s="214">
        <v>0</v>
      </c>
      <c r="I485" s="214">
        <v>0</v>
      </c>
      <c r="J485" s="214">
        <v>0</v>
      </c>
      <c r="K485" s="214">
        <v>0</v>
      </c>
      <c r="L485" s="214">
        <v>0</v>
      </c>
      <c r="M485" s="214">
        <v>0</v>
      </c>
      <c r="N485" s="214">
        <v>0</v>
      </c>
      <c r="O485" s="214">
        <v>0</v>
      </c>
      <c r="P485" s="214">
        <v>0</v>
      </c>
      <c r="Q485" s="214">
        <v>0</v>
      </c>
      <c r="R485" s="214">
        <v>0</v>
      </c>
      <c r="S485" s="214">
        <v>0</v>
      </c>
      <c r="T485" s="214">
        <v>0</v>
      </c>
      <c r="U485" s="214">
        <v>0</v>
      </c>
      <c r="V485" s="214">
        <v>0</v>
      </c>
      <c r="W485" s="214">
        <v>0</v>
      </c>
      <c r="X485" s="214">
        <v>0</v>
      </c>
      <c r="Y485" s="214">
        <v>0</v>
      </c>
      <c r="Z485" s="214">
        <v>0</v>
      </c>
      <c r="AA485" s="214">
        <v>0</v>
      </c>
      <c r="AB485" s="214">
        <v>0</v>
      </c>
      <c r="AC485" s="214">
        <v>0</v>
      </c>
      <c r="AD485" s="214"/>
      <c r="AE485" s="420">
        <v>0</v>
      </c>
      <c r="AF485" s="420">
        <v>0</v>
      </c>
      <c r="AG485" s="420">
        <v>0</v>
      </c>
      <c r="AH485" s="420"/>
      <c r="AI485" s="574">
        <f t="shared" si="11"/>
        <v>16217.28</v>
      </c>
      <c r="AJ485" s="212"/>
    </row>
    <row r="486" spans="2:36" ht="14.4">
      <c r="B486" s="211"/>
      <c r="C486" s="213" t="s">
        <v>188</v>
      </c>
      <c r="D486" s="214">
        <v>16357.73</v>
      </c>
      <c r="E486" s="214">
        <v>0</v>
      </c>
      <c r="F486" s="214">
        <v>0</v>
      </c>
      <c r="G486" s="214">
        <v>0</v>
      </c>
      <c r="H486" s="214">
        <v>0</v>
      </c>
      <c r="I486" s="214">
        <v>0</v>
      </c>
      <c r="J486" s="214">
        <v>0</v>
      </c>
      <c r="K486" s="214">
        <v>0</v>
      </c>
      <c r="L486" s="214">
        <v>0</v>
      </c>
      <c r="M486" s="214">
        <v>0</v>
      </c>
      <c r="N486" s="214">
        <v>0</v>
      </c>
      <c r="O486" s="214">
        <v>0</v>
      </c>
      <c r="P486" s="214">
        <v>0</v>
      </c>
      <c r="Q486" s="214">
        <v>0</v>
      </c>
      <c r="R486" s="214">
        <v>0</v>
      </c>
      <c r="S486" s="214">
        <v>0</v>
      </c>
      <c r="T486" s="214">
        <v>0</v>
      </c>
      <c r="U486" s="214">
        <v>0</v>
      </c>
      <c r="V486" s="214">
        <v>0</v>
      </c>
      <c r="W486" s="214">
        <v>0</v>
      </c>
      <c r="X486" s="214">
        <v>0</v>
      </c>
      <c r="Y486" s="214">
        <v>0</v>
      </c>
      <c r="Z486" s="214">
        <v>0</v>
      </c>
      <c r="AA486" s="214">
        <v>0</v>
      </c>
      <c r="AB486" s="214">
        <v>0</v>
      </c>
      <c r="AC486" s="214">
        <v>0</v>
      </c>
      <c r="AD486" s="214"/>
      <c r="AE486" s="420">
        <v>0</v>
      </c>
      <c r="AF486" s="420">
        <v>0</v>
      </c>
      <c r="AG486" s="420">
        <v>0</v>
      </c>
      <c r="AH486" s="420"/>
      <c r="AI486" s="574">
        <f t="shared" si="11"/>
        <v>16357.73</v>
      </c>
      <c r="AJ486" s="212"/>
    </row>
    <row r="487" spans="2:36" ht="14.4">
      <c r="B487" s="211"/>
      <c r="C487" s="213" t="s">
        <v>196</v>
      </c>
      <c r="D487" s="214">
        <v>23180.37</v>
      </c>
      <c r="E487" s="214">
        <v>0</v>
      </c>
      <c r="F487" s="214">
        <v>0</v>
      </c>
      <c r="G487" s="214">
        <v>0</v>
      </c>
      <c r="H487" s="214">
        <v>0</v>
      </c>
      <c r="I487" s="214">
        <v>0</v>
      </c>
      <c r="J487" s="214">
        <v>0</v>
      </c>
      <c r="K487" s="214">
        <v>0</v>
      </c>
      <c r="L487" s="214">
        <v>0</v>
      </c>
      <c r="M487" s="214">
        <v>0</v>
      </c>
      <c r="N487" s="214">
        <v>0</v>
      </c>
      <c r="O487" s="214">
        <v>0</v>
      </c>
      <c r="P487" s="214">
        <v>0</v>
      </c>
      <c r="Q487" s="214">
        <v>0</v>
      </c>
      <c r="R487" s="214">
        <v>0</v>
      </c>
      <c r="S487" s="214">
        <v>0</v>
      </c>
      <c r="T487" s="214">
        <v>0</v>
      </c>
      <c r="U487" s="214">
        <v>0</v>
      </c>
      <c r="V487" s="214">
        <v>0</v>
      </c>
      <c r="W487" s="214">
        <v>0</v>
      </c>
      <c r="X487" s="214">
        <v>0</v>
      </c>
      <c r="Y487" s="214">
        <v>0</v>
      </c>
      <c r="Z487" s="214">
        <v>0</v>
      </c>
      <c r="AA487" s="214">
        <v>0</v>
      </c>
      <c r="AB487" s="214">
        <v>0</v>
      </c>
      <c r="AC487" s="214">
        <v>0</v>
      </c>
      <c r="AD487" s="214"/>
      <c r="AE487" s="420">
        <v>0</v>
      </c>
      <c r="AF487" s="420">
        <v>0</v>
      </c>
      <c r="AG487" s="420">
        <v>0</v>
      </c>
      <c r="AH487" s="420"/>
      <c r="AI487" s="574">
        <f t="shared" si="11"/>
        <v>23180.37</v>
      </c>
      <c r="AJ487" s="212"/>
    </row>
    <row r="488" spans="2:36" ht="14.4">
      <c r="B488" s="211"/>
      <c r="C488" s="213" t="s">
        <v>197</v>
      </c>
      <c r="D488" s="214">
        <v>81687.240000000005</v>
      </c>
      <c r="E488" s="214">
        <v>0</v>
      </c>
      <c r="F488" s="214">
        <v>0</v>
      </c>
      <c r="G488" s="214">
        <v>0</v>
      </c>
      <c r="H488" s="214">
        <v>0</v>
      </c>
      <c r="I488" s="214">
        <v>0</v>
      </c>
      <c r="J488" s="214">
        <v>0</v>
      </c>
      <c r="K488" s="214">
        <v>0</v>
      </c>
      <c r="L488" s="214">
        <v>0</v>
      </c>
      <c r="M488" s="214">
        <v>0</v>
      </c>
      <c r="N488" s="214">
        <v>0</v>
      </c>
      <c r="O488" s="214">
        <v>0</v>
      </c>
      <c r="P488" s="214">
        <v>0</v>
      </c>
      <c r="Q488" s="214">
        <v>0</v>
      </c>
      <c r="R488" s="214">
        <v>0</v>
      </c>
      <c r="S488" s="214">
        <v>0</v>
      </c>
      <c r="T488" s="214">
        <v>0</v>
      </c>
      <c r="U488" s="214">
        <v>0</v>
      </c>
      <c r="V488" s="214">
        <v>0</v>
      </c>
      <c r="W488" s="214">
        <v>0</v>
      </c>
      <c r="X488" s="214">
        <v>0</v>
      </c>
      <c r="Y488" s="214">
        <v>0</v>
      </c>
      <c r="Z488" s="214">
        <v>0</v>
      </c>
      <c r="AA488" s="214">
        <v>0</v>
      </c>
      <c r="AB488" s="214">
        <v>0</v>
      </c>
      <c r="AC488" s="214">
        <v>0</v>
      </c>
      <c r="AD488" s="214"/>
      <c r="AE488" s="420">
        <v>0</v>
      </c>
      <c r="AF488" s="420">
        <v>0</v>
      </c>
      <c r="AG488" s="420">
        <v>0</v>
      </c>
      <c r="AH488" s="420"/>
      <c r="AI488" s="574">
        <f t="shared" si="11"/>
        <v>81687.240000000005</v>
      </c>
      <c r="AJ488" s="212"/>
    </row>
    <row r="489" spans="2:36" ht="14.4">
      <c r="B489" s="211"/>
      <c r="C489" s="213" t="s">
        <v>198</v>
      </c>
      <c r="D489" s="214">
        <v>29883</v>
      </c>
      <c r="E489" s="214">
        <v>0</v>
      </c>
      <c r="F489" s="214">
        <v>0</v>
      </c>
      <c r="G489" s="214">
        <v>0</v>
      </c>
      <c r="H489" s="214">
        <v>0</v>
      </c>
      <c r="I489" s="214">
        <v>0</v>
      </c>
      <c r="J489" s="214">
        <v>0</v>
      </c>
      <c r="K489" s="214">
        <v>0</v>
      </c>
      <c r="L489" s="214">
        <v>0</v>
      </c>
      <c r="M489" s="214">
        <v>0</v>
      </c>
      <c r="N489" s="214">
        <v>0</v>
      </c>
      <c r="O489" s="214">
        <v>0</v>
      </c>
      <c r="P489" s="214">
        <v>0</v>
      </c>
      <c r="Q489" s="214">
        <v>0</v>
      </c>
      <c r="R489" s="214">
        <v>0</v>
      </c>
      <c r="S489" s="214">
        <v>0</v>
      </c>
      <c r="T489" s="214">
        <v>0</v>
      </c>
      <c r="U489" s="214">
        <v>0</v>
      </c>
      <c r="V489" s="214">
        <v>0</v>
      </c>
      <c r="W489" s="214">
        <v>0</v>
      </c>
      <c r="X489" s="214">
        <v>0</v>
      </c>
      <c r="Y489" s="214">
        <v>0</v>
      </c>
      <c r="Z489" s="214">
        <v>0</v>
      </c>
      <c r="AA489" s="214">
        <v>0</v>
      </c>
      <c r="AB489" s="214">
        <v>0</v>
      </c>
      <c r="AC489" s="214">
        <v>0</v>
      </c>
      <c r="AD489" s="214"/>
      <c r="AE489" s="420">
        <v>0</v>
      </c>
      <c r="AF489" s="420">
        <v>0</v>
      </c>
      <c r="AG489" s="420">
        <v>0</v>
      </c>
      <c r="AH489" s="420"/>
      <c r="AI489" s="574">
        <f t="shared" si="11"/>
        <v>29883</v>
      </c>
      <c r="AJ489" s="212"/>
    </row>
    <row r="490" spans="2:36" ht="14.4">
      <c r="B490" s="211"/>
      <c r="C490" s="213" t="s">
        <v>201</v>
      </c>
      <c r="D490" s="214">
        <v>20328.900000000001</v>
      </c>
      <c r="E490" s="214">
        <v>0</v>
      </c>
      <c r="F490" s="214">
        <v>0</v>
      </c>
      <c r="G490" s="214">
        <v>0</v>
      </c>
      <c r="H490" s="214">
        <v>0</v>
      </c>
      <c r="I490" s="214">
        <v>0</v>
      </c>
      <c r="J490" s="214">
        <v>0</v>
      </c>
      <c r="K490" s="214">
        <v>0</v>
      </c>
      <c r="L490" s="214">
        <v>0</v>
      </c>
      <c r="M490" s="214">
        <v>0</v>
      </c>
      <c r="N490" s="214">
        <v>0</v>
      </c>
      <c r="O490" s="214">
        <v>0</v>
      </c>
      <c r="P490" s="214">
        <v>0</v>
      </c>
      <c r="Q490" s="214">
        <v>0</v>
      </c>
      <c r="R490" s="214">
        <v>0</v>
      </c>
      <c r="S490" s="214">
        <v>0</v>
      </c>
      <c r="T490" s="214">
        <v>0</v>
      </c>
      <c r="U490" s="214">
        <v>0</v>
      </c>
      <c r="V490" s="214">
        <v>0</v>
      </c>
      <c r="W490" s="214">
        <v>0</v>
      </c>
      <c r="X490" s="214">
        <v>0</v>
      </c>
      <c r="Y490" s="214">
        <v>0</v>
      </c>
      <c r="Z490" s="214">
        <v>0</v>
      </c>
      <c r="AA490" s="214">
        <v>0</v>
      </c>
      <c r="AB490" s="214">
        <v>0</v>
      </c>
      <c r="AC490" s="214">
        <v>0</v>
      </c>
      <c r="AD490" s="214"/>
      <c r="AE490" s="420">
        <v>0</v>
      </c>
      <c r="AF490" s="420">
        <v>0</v>
      </c>
      <c r="AG490" s="420">
        <v>0</v>
      </c>
      <c r="AH490" s="420"/>
      <c r="AI490" s="574">
        <f t="shared" si="11"/>
        <v>20328.900000000001</v>
      </c>
      <c r="AJ490" s="212"/>
    </row>
    <row r="491" spans="2:36" ht="14.4">
      <c r="B491" s="211"/>
      <c r="C491" s="213" t="s">
        <v>202</v>
      </c>
      <c r="D491" s="214">
        <v>31885.69</v>
      </c>
      <c r="E491" s="214">
        <v>0</v>
      </c>
      <c r="F491" s="214">
        <v>0</v>
      </c>
      <c r="G491" s="214">
        <v>0</v>
      </c>
      <c r="H491" s="214">
        <v>0</v>
      </c>
      <c r="I491" s="214">
        <v>0</v>
      </c>
      <c r="J491" s="214">
        <v>0</v>
      </c>
      <c r="K491" s="214">
        <v>0</v>
      </c>
      <c r="L491" s="214">
        <v>0</v>
      </c>
      <c r="M491" s="214">
        <v>0</v>
      </c>
      <c r="N491" s="214">
        <v>0</v>
      </c>
      <c r="O491" s="214">
        <v>0</v>
      </c>
      <c r="P491" s="214">
        <v>0</v>
      </c>
      <c r="Q491" s="214">
        <v>0</v>
      </c>
      <c r="R491" s="214">
        <v>0</v>
      </c>
      <c r="S491" s="214">
        <v>0</v>
      </c>
      <c r="T491" s="214">
        <v>0</v>
      </c>
      <c r="U491" s="214">
        <v>0</v>
      </c>
      <c r="V491" s="214">
        <v>0</v>
      </c>
      <c r="W491" s="214">
        <v>0</v>
      </c>
      <c r="X491" s="214">
        <v>0</v>
      </c>
      <c r="Y491" s="214">
        <v>0</v>
      </c>
      <c r="Z491" s="214">
        <v>0</v>
      </c>
      <c r="AA491" s="214">
        <v>0</v>
      </c>
      <c r="AB491" s="214">
        <v>0</v>
      </c>
      <c r="AC491" s="214">
        <v>0</v>
      </c>
      <c r="AD491" s="214"/>
      <c r="AE491" s="420">
        <v>0</v>
      </c>
      <c r="AF491" s="420">
        <v>0</v>
      </c>
      <c r="AG491" s="420">
        <v>0</v>
      </c>
      <c r="AH491" s="420"/>
      <c r="AI491" s="574">
        <f t="shared" si="11"/>
        <v>31885.69</v>
      </c>
      <c r="AJ491" s="212"/>
    </row>
    <row r="492" spans="2:36" ht="14.4">
      <c r="B492" s="211"/>
      <c r="C492" s="213" t="s">
        <v>206</v>
      </c>
      <c r="D492" s="214">
        <v>19181</v>
      </c>
      <c r="E492" s="214">
        <v>0</v>
      </c>
      <c r="F492" s="214">
        <v>0</v>
      </c>
      <c r="G492" s="214">
        <v>0</v>
      </c>
      <c r="H492" s="214">
        <v>0</v>
      </c>
      <c r="I492" s="214">
        <v>0</v>
      </c>
      <c r="J492" s="214">
        <v>0</v>
      </c>
      <c r="K492" s="214">
        <v>0</v>
      </c>
      <c r="L492" s="214">
        <v>0</v>
      </c>
      <c r="M492" s="214">
        <v>0</v>
      </c>
      <c r="N492" s="214">
        <v>0</v>
      </c>
      <c r="O492" s="214">
        <v>0</v>
      </c>
      <c r="P492" s="214">
        <v>0</v>
      </c>
      <c r="Q492" s="214">
        <v>0</v>
      </c>
      <c r="R492" s="214">
        <v>0</v>
      </c>
      <c r="S492" s="214">
        <v>0</v>
      </c>
      <c r="T492" s="214">
        <v>0</v>
      </c>
      <c r="U492" s="214">
        <v>0</v>
      </c>
      <c r="V492" s="214">
        <v>0</v>
      </c>
      <c r="W492" s="214">
        <v>0</v>
      </c>
      <c r="X492" s="214">
        <v>0</v>
      </c>
      <c r="Y492" s="214">
        <v>0</v>
      </c>
      <c r="Z492" s="214">
        <v>0</v>
      </c>
      <c r="AA492" s="214">
        <v>0</v>
      </c>
      <c r="AB492" s="214">
        <v>0</v>
      </c>
      <c r="AC492" s="214">
        <v>0</v>
      </c>
      <c r="AD492" s="214"/>
      <c r="AE492" s="420">
        <v>0</v>
      </c>
      <c r="AF492" s="420">
        <v>0</v>
      </c>
      <c r="AG492" s="420">
        <v>0</v>
      </c>
      <c r="AH492" s="420"/>
      <c r="AI492" s="574">
        <f t="shared" si="11"/>
        <v>19181</v>
      </c>
      <c r="AJ492" s="212"/>
    </row>
    <row r="493" spans="2:36" ht="14.4">
      <c r="B493" s="211"/>
      <c r="C493" s="213" t="s">
        <v>207</v>
      </c>
      <c r="D493" s="214">
        <v>10537.5</v>
      </c>
      <c r="E493" s="214">
        <v>3018.75</v>
      </c>
      <c r="F493" s="214">
        <v>3450</v>
      </c>
      <c r="G493" s="214">
        <v>3975</v>
      </c>
      <c r="H493" s="214">
        <v>431.25</v>
      </c>
      <c r="I493" s="214">
        <v>1293.75</v>
      </c>
      <c r="J493" s="214"/>
      <c r="K493" s="214"/>
      <c r="L493" s="214">
        <v>862.5</v>
      </c>
      <c r="M493" s="214">
        <v>1293.75</v>
      </c>
      <c r="N493" s="214">
        <v>431.25</v>
      </c>
      <c r="O493" s="214">
        <v>0</v>
      </c>
      <c r="P493" s="214">
        <v>431.25</v>
      </c>
      <c r="Q493" s="214">
        <v>431.25</v>
      </c>
      <c r="R493" s="214">
        <v>1387.5</v>
      </c>
      <c r="S493" s="214">
        <v>862.5</v>
      </c>
      <c r="T493" s="214"/>
      <c r="U493" s="214"/>
      <c r="V493" s="214"/>
      <c r="W493" s="214"/>
      <c r="X493" s="214">
        <v>431.25</v>
      </c>
      <c r="Y493" s="214">
        <v>431.25</v>
      </c>
      <c r="Z493" s="214"/>
      <c r="AA493" s="214">
        <v>431.25</v>
      </c>
      <c r="AB493" s="214"/>
      <c r="AC493" s="214">
        <v>862.5</v>
      </c>
      <c r="AD493" s="214"/>
      <c r="AE493" s="420">
        <v>431.25</v>
      </c>
      <c r="AF493" s="420"/>
      <c r="AG493" s="420"/>
      <c r="AH493" s="420"/>
      <c r="AI493" s="574">
        <f t="shared" si="11"/>
        <v>30993.75</v>
      </c>
      <c r="AJ493" s="212"/>
    </row>
    <row r="494" spans="2:36" ht="14.4">
      <c r="B494" s="211"/>
      <c r="C494" s="213" t="s">
        <v>208</v>
      </c>
      <c r="D494" s="214">
        <v>22914.91</v>
      </c>
      <c r="E494" s="214">
        <v>0</v>
      </c>
      <c r="F494" s="214">
        <v>0</v>
      </c>
      <c r="G494" s="214">
        <v>0</v>
      </c>
      <c r="H494" s="214">
        <v>0</v>
      </c>
      <c r="I494" s="214">
        <v>0</v>
      </c>
      <c r="J494" s="214">
        <v>0</v>
      </c>
      <c r="K494" s="214">
        <v>0</v>
      </c>
      <c r="L494" s="214">
        <v>0</v>
      </c>
      <c r="M494" s="214">
        <v>0</v>
      </c>
      <c r="N494" s="214">
        <v>0</v>
      </c>
      <c r="O494" s="214">
        <v>0</v>
      </c>
      <c r="P494" s="214">
        <v>0</v>
      </c>
      <c r="Q494" s="214">
        <v>0</v>
      </c>
      <c r="R494" s="214">
        <v>0</v>
      </c>
      <c r="S494" s="214">
        <v>0</v>
      </c>
      <c r="T494" s="214">
        <v>0</v>
      </c>
      <c r="U494" s="214">
        <v>0</v>
      </c>
      <c r="V494" s="214">
        <v>0</v>
      </c>
      <c r="W494" s="214">
        <v>0</v>
      </c>
      <c r="X494" s="214">
        <v>0</v>
      </c>
      <c r="Y494" s="214">
        <v>0</v>
      </c>
      <c r="Z494" s="214">
        <v>0</v>
      </c>
      <c r="AA494" s="214">
        <v>0</v>
      </c>
      <c r="AB494" s="214">
        <v>0</v>
      </c>
      <c r="AC494" s="214">
        <v>0</v>
      </c>
      <c r="AD494" s="214"/>
      <c r="AE494" s="420">
        <v>0</v>
      </c>
      <c r="AF494" s="420">
        <v>0</v>
      </c>
      <c r="AG494" s="420">
        <v>0</v>
      </c>
      <c r="AH494" s="420"/>
      <c r="AI494" s="574">
        <f t="shared" si="11"/>
        <v>22914.91</v>
      </c>
      <c r="AJ494" s="212"/>
    </row>
    <row r="495" spans="2:36" ht="14.4">
      <c r="B495" s="211"/>
      <c r="C495" s="213" t="s">
        <v>236</v>
      </c>
      <c r="D495" s="214">
        <v>24094.78</v>
      </c>
      <c r="E495" s="214">
        <v>0</v>
      </c>
      <c r="F495" s="214">
        <v>0</v>
      </c>
      <c r="G495" s="214">
        <v>0</v>
      </c>
      <c r="H495" s="214">
        <v>0</v>
      </c>
      <c r="I495" s="214">
        <v>0</v>
      </c>
      <c r="J495" s="214">
        <v>0</v>
      </c>
      <c r="K495" s="214">
        <v>0</v>
      </c>
      <c r="L495" s="214">
        <v>0</v>
      </c>
      <c r="M495" s="214">
        <v>0</v>
      </c>
      <c r="N495" s="214">
        <v>0</v>
      </c>
      <c r="O495" s="214">
        <v>0</v>
      </c>
      <c r="P495" s="214">
        <v>0</v>
      </c>
      <c r="Q495" s="214">
        <v>0</v>
      </c>
      <c r="R495" s="214">
        <v>0</v>
      </c>
      <c r="S495" s="214">
        <v>0</v>
      </c>
      <c r="T495" s="214">
        <v>0</v>
      </c>
      <c r="U495" s="214">
        <v>0</v>
      </c>
      <c r="V495" s="214">
        <v>0</v>
      </c>
      <c r="W495" s="214">
        <v>0</v>
      </c>
      <c r="X495" s="214">
        <v>0</v>
      </c>
      <c r="Y495" s="214">
        <v>0</v>
      </c>
      <c r="Z495" s="214">
        <v>0</v>
      </c>
      <c r="AA495" s="214">
        <v>0</v>
      </c>
      <c r="AB495" s="214">
        <v>0</v>
      </c>
      <c r="AC495" s="214">
        <v>0</v>
      </c>
      <c r="AD495" s="214"/>
      <c r="AE495" s="420">
        <v>0</v>
      </c>
      <c r="AF495" s="420">
        <v>0</v>
      </c>
      <c r="AG495" s="420">
        <v>0</v>
      </c>
      <c r="AH495" s="420"/>
      <c r="AI495" s="574">
        <f t="shared" si="11"/>
        <v>24094.78</v>
      </c>
      <c r="AJ495" s="212"/>
    </row>
    <row r="496" spans="2:36" ht="14.4">
      <c r="B496" s="211"/>
      <c r="C496" s="240" t="s">
        <v>209</v>
      </c>
      <c r="D496" s="214">
        <v>0</v>
      </c>
      <c r="E496" s="214">
        <v>0</v>
      </c>
      <c r="F496" s="214">
        <v>0</v>
      </c>
      <c r="G496" s="214">
        <v>0</v>
      </c>
      <c r="H496" s="214">
        <v>0</v>
      </c>
      <c r="I496" s="214">
        <v>0</v>
      </c>
      <c r="J496" s="214">
        <v>0</v>
      </c>
      <c r="K496" s="214">
        <v>0</v>
      </c>
      <c r="L496" s="214">
        <v>0</v>
      </c>
      <c r="M496" s="214">
        <v>0</v>
      </c>
      <c r="N496" s="214">
        <v>0</v>
      </c>
      <c r="O496" s="214">
        <v>0</v>
      </c>
      <c r="P496" s="214">
        <v>0</v>
      </c>
      <c r="Q496" s="214">
        <v>0</v>
      </c>
      <c r="R496" s="214">
        <v>0</v>
      </c>
      <c r="S496" s="214">
        <v>0</v>
      </c>
      <c r="T496" s="214">
        <v>0</v>
      </c>
      <c r="U496" s="214">
        <v>0</v>
      </c>
      <c r="V496" s="214">
        <v>0</v>
      </c>
      <c r="W496" s="214">
        <v>0</v>
      </c>
      <c r="X496" s="214">
        <v>0</v>
      </c>
      <c r="Y496" s="214">
        <v>0</v>
      </c>
      <c r="Z496" s="214">
        <v>0</v>
      </c>
      <c r="AA496" s="214">
        <v>0</v>
      </c>
      <c r="AB496" s="214">
        <v>0</v>
      </c>
      <c r="AC496" s="214">
        <v>0</v>
      </c>
      <c r="AD496" s="214"/>
      <c r="AE496" s="420">
        <v>0</v>
      </c>
      <c r="AF496" s="420">
        <v>0</v>
      </c>
      <c r="AG496" s="420">
        <v>0</v>
      </c>
      <c r="AH496" s="420"/>
      <c r="AI496" s="574">
        <f t="shared" si="11"/>
        <v>0</v>
      </c>
      <c r="AJ496" s="212"/>
    </row>
    <row r="497" spans="1:36" ht="14.4">
      <c r="B497" s="211"/>
      <c r="C497" s="240" t="s">
        <v>360</v>
      </c>
      <c r="D497" s="241">
        <v>0</v>
      </c>
      <c r="E497" s="214">
        <v>329423.45</v>
      </c>
      <c r="F497" s="214">
        <v>147006.87</v>
      </c>
      <c r="G497" s="214">
        <v>0</v>
      </c>
      <c r="H497" s="214">
        <v>376968.67000000004</v>
      </c>
      <c r="I497" s="214">
        <v>0</v>
      </c>
      <c r="J497" s="214">
        <v>0</v>
      </c>
      <c r="K497" s="214">
        <v>0</v>
      </c>
      <c r="L497" s="214">
        <v>0</v>
      </c>
      <c r="M497" s="214">
        <v>68941.83</v>
      </c>
      <c r="N497" s="214">
        <v>104.66</v>
      </c>
      <c r="O497" s="214">
        <v>264687.18</v>
      </c>
      <c r="P497" s="214">
        <v>113311.44</v>
      </c>
      <c r="Q497" s="214">
        <v>183577.03</v>
      </c>
      <c r="R497" s="214">
        <v>0</v>
      </c>
      <c r="S497" s="214">
        <v>96402.51</v>
      </c>
      <c r="T497" s="214">
        <v>0</v>
      </c>
      <c r="U497" s="214">
        <v>0</v>
      </c>
      <c r="V497" s="214">
        <v>0</v>
      </c>
      <c r="W497" s="214">
        <v>0</v>
      </c>
      <c r="X497" s="214">
        <v>0</v>
      </c>
      <c r="Y497" s="214">
        <v>0</v>
      </c>
      <c r="Z497" s="214">
        <v>0</v>
      </c>
      <c r="AA497" s="214">
        <v>0</v>
      </c>
      <c r="AB497" s="214">
        <v>0</v>
      </c>
      <c r="AC497" s="214">
        <v>0</v>
      </c>
      <c r="AD497" s="241">
        <v>0</v>
      </c>
      <c r="AE497" s="420">
        <v>398274.36</v>
      </c>
      <c r="AF497" s="420">
        <v>0</v>
      </c>
      <c r="AG497" s="420">
        <v>0</v>
      </c>
      <c r="AH497" s="420">
        <v>0</v>
      </c>
      <c r="AI497" s="574">
        <f t="shared" si="11"/>
        <v>1978698</v>
      </c>
      <c r="AJ497" s="212"/>
    </row>
    <row r="498" spans="1:36" ht="14.4">
      <c r="B498" s="211"/>
      <c r="C498" s="516" t="s">
        <v>400</v>
      </c>
      <c r="D498" s="241">
        <v>145389.75</v>
      </c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420"/>
      <c r="AF498" s="420"/>
      <c r="AG498" s="420"/>
      <c r="AH498" s="420"/>
      <c r="AI498" s="574">
        <f t="shared" si="11"/>
        <v>145389.75</v>
      </c>
      <c r="AJ498" s="212"/>
    </row>
    <row r="499" spans="1:36" ht="14.4">
      <c r="B499" s="211"/>
      <c r="C499" s="149" t="s">
        <v>239</v>
      </c>
      <c r="D499" s="224">
        <f>SUM(D387:D498)</f>
        <v>2115627.4299999997</v>
      </c>
      <c r="E499" s="224">
        <f t="shared" ref="E499:AH499" si="12">SUM(E387:E497)</f>
        <v>838969.20000000019</v>
      </c>
      <c r="F499" s="224">
        <f t="shared" si="12"/>
        <v>720715.12</v>
      </c>
      <c r="G499" s="224">
        <f t="shared" si="12"/>
        <v>453940.34</v>
      </c>
      <c r="H499" s="224">
        <f t="shared" si="12"/>
        <v>851796.29</v>
      </c>
      <c r="I499" s="224">
        <f t="shared" si="12"/>
        <v>99664.34</v>
      </c>
      <c r="J499" s="224">
        <f t="shared" si="12"/>
        <v>27289.84</v>
      </c>
      <c r="K499" s="224">
        <f t="shared" si="12"/>
        <v>23159.38</v>
      </c>
      <c r="L499" s="224">
        <f t="shared" si="12"/>
        <v>24771.53</v>
      </c>
      <c r="M499" s="224">
        <f t="shared" si="12"/>
        <v>302654.11</v>
      </c>
      <c r="N499" s="224">
        <f t="shared" si="12"/>
        <v>40529.43</v>
      </c>
      <c r="O499" s="224">
        <f t="shared" si="12"/>
        <v>644775.5</v>
      </c>
      <c r="P499" s="224">
        <f t="shared" si="12"/>
        <v>357830.77999999997</v>
      </c>
      <c r="Q499" s="224">
        <f t="shared" si="12"/>
        <v>824102.33999999985</v>
      </c>
      <c r="R499" s="224">
        <f t="shared" si="12"/>
        <v>103666.95</v>
      </c>
      <c r="S499" s="224">
        <f t="shared" si="12"/>
        <v>346785.37</v>
      </c>
      <c r="T499" s="224">
        <f t="shared" si="12"/>
        <v>13540.11</v>
      </c>
      <c r="U499" s="224">
        <f t="shared" si="12"/>
        <v>21967.119999999995</v>
      </c>
      <c r="V499" s="224">
        <f t="shared" si="12"/>
        <v>29420.09</v>
      </c>
      <c r="W499" s="224">
        <f t="shared" si="12"/>
        <v>13162.08</v>
      </c>
      <c r="X499" s="224">
        <f t="shared" si="12"/>
        <v>53553.93</v>
      </c>
      <c r="Y499" s="224">
        <f t="shared" si="12"/>
        <v>16929.46</v>
      </c>
      <c r="Z499" s="224">
        <f t="shared" si="12"/>
        <v>18417.210000000003</v>
      </c>
      <c r="AA499" s="224">
        <f t="shared" si="12"/>
        <v>46748.53</v>
      </c>
      <c r="AB499" s="224">
        <f t="shared" si="12"/>
        <v>43140.880000000005</v>
      </c>
      <c r="AC499" s="224">
        <f t="shared" si="12"/>
        <v>24257.030000000002</v>
      </c>
      <c r="AD499" s="224">
        <f t="shared" si="12"/>
        <v>0</v>
      </c>
      <c r="AE499" s="224">
        <f t="shared" si="12"/>
        <v>792924.48</v>
      </c>
      <c r="AF499" s="224">
        <f t="shared" si="12"/>
        <v>22532.34</v>
      </c>
      <c r="AG499" s="224">
        <f t="shared" si="12"/>
        <v>34843.339999999997</v>
      </c>
      <c r="AH499" s="224">
        <f t="shared" si="12"/>
        <v>0</v>
      </c>
      <c r="AI499" s="575">
        <f>SUM(AI387:AI498)</f>
        <v>8907714.5500000007</v>
      </c>
      <c r="AJ499" s="212"/>
    </row>
    <row r="500" spans="1:36" ht="14.4">
      <c r="B500" s="218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  <c r="AB500" s="219"/>
      <c r="AC500" s="219"/>
      <c r="AD500" s="219"/>
      <c r="AE500" s="219"/>
      <c r="AF500" s="219"/>
      <c r="AG500" s="219"/>
      <c r="AH500" s="219"/>
      <c r="AI500" s="576"/>
      <c r="AJ500" s="212"/>
    </row>
    <row r="501" spans="1:36" ht="14.4">
      <c r="B501" s="209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  <c r="AA501" s="202"/>
      <c r="AB501" s="202"/>
      <c r="AC501" s="202"/>
      <c r="AD501" s="202"/>
      <c r="AE501" s="202"/>
      <c r="AF501" s="202"/>
      <c r="AG501" s="202"/>
      <c r="AH501" s="202"/>
      <c r="AI501" s="577"/>
      <c r="AJ501" s="209"/>
    </row>
    <row r="502" spans="1:36" ht="14.4">
      <c r="B502" s="220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  <c r="AB502" s="221"/>
      <c r="AC502" s="221"/>
      <c r="AD502" s="221"/>
      <c r="AE502" s="221"/>
      <c r="AF502" s="221"/>
      <c r="AG502" s="221"/>
      <c r="AH502" s="221"/>
      <c r="AI502" s="578"/>
      <c r="AJ502" s="222"/>
    </row>
    <row r="506" spans="1:36">
      <c r="A506" s="202"/>
    </row>
    <row r="507" spans="1:36" ht="21">
      <c r="A507" s="203"/>
      <c r="B507" s="204"/>
      <c r="C507" s="116" t="s">
        <v>272</v>
      </c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570"/>
      <c r="AJ507" s="117"/>
    </row>
    <row r="508" spans="1:36" ht="21">
      <c r="A508" s="206"/>
      <c r="B508" s="207"/>
      <c r="C508" s="119"/>
      <c r="D508" s="120"/>
      <c r="E508" s="634"/>
      <c r="F508" s="634"/>
      <c r="G508" s="634"/>
      <c r="H508" s="634"/>
      <c r="I508" s="634"/>
      <c r="J508" s="634"/>
      <c r="K508" s="120"/>
      <c r="L508" s="120"/>
      <c r="M508" s="120"/>
      <c r="N508" s="634" t="s">
        <v>388</v>
      </c>
      <c r="O508" s="634"/>
      <c r="P508" s="634"/>
      <c r="Q508" s="634"/>
      <c r="R508" s="634"/>
      <c r="S508" s="634"/>
      <c r="T508" s="634"/>
      <c r="U508" s="634"/>
      <c r="V508" s="634"/>
      <c r="W508" s="634"/>
      <c r="X508" s="634"/>
      <c r="Y508" s="634"/>
      <c r="Z508" s="634"/>
      <c r="AA508" s="120"/>
      <c r="AB508" s="120"/>
      <c r="AC508" s="120"/>
      <c r="AD508" s="120"/>
      <c r="AE508" s="120"/>
      <c r="AF508" s="120"/>
      <c r="AG508" s="120"/>
      <c r="AH508" s="120"/>
      <c r="AI508" s="571"/>
      <c r="AJ508" s="120"/>
    </row>
    <row r="509" spans="1:36" ht="14.4">
      <c r="A509" s="205"/>
    </row>
    <row r="510" spans="1:36" ht="14.4">
      <c r="B510" s="208"/>
      <c r="C510" s="209"/>
      <c r="D510" s="209">
        <v>2</v>
      </c>
      <c r="E510" s="209">
        <v>3</v>
      </c>
      <c r="F510" s="209">
        <v>4</v>
      </c>
      <c r="G510" s="209">
        <v>5</v>
      </c>
      <c r="H510" s="209">
        <v>6</v>
      </c>
      <c r="I510" s="209">
        <v>7</v>
      </c>
      <c r="J510" s="209">
        <v>8</v>
      </c>
      <c r="K510" s="209">
        <v>9</v>
      </c>
      <c r="L510" s="209">
        <v>10</v>
      </c>
      <c r="M510" s="209">
        <v>11</v>
      </c>
      <c r="N510" s="209">
        <v>12</v>
      </c>
      <c r="O510" s="209">
        <v>13</v>
      </c>
      <c r="P510" s="209">
        <v>14</v>
      </c>
      <c r="Q510" s="209">
        <v>15</v>
      </c>
      <c r="R510" s="209">
        <v>16</v>
      </c>
      <c r="S510" s="209">
        <v>17</v>
      </c>
      <c r="T510" s="209">
        <v>18</v>
      </c>
      <c r="U510" s="209">
        <v>19</v>
      </c>
      <c r="V510" s="209">
        <v>20</v>
      </c>
      <c r="W510" s="209">
        <v>21</v>
      </c>
      <c r="X510" s="209">
        <v>22</v>
      </c>
      <c r="Y510" s="209">
        <v>23</v>
      </c>
      <c r="Z510" s="209">
        <v>24</v>
      </c>
      <c r="AA510" s="209">
        <v>25</v>
      </c>
      <c r="AB510" s="209">
        <v>26</v>
      </c>
      <c r="AC510" s="209">
        <v>27</v>
      </c>
      <c r="AD510" s="209">
        <v>28</v>
      </c>
      <c r="AE510" s="209">
        <v>30</v>
      </c>
      <c r="AF510" s="209">
        <v>31</v>
      </c>
      <c r="AG510" s="209">
        <v>32</v>
      </c>
      <c r="AH510" s="209">
        <v>33</v>
      </c>
      <c r="AI510" s="573">
        <v>34</v>
      </c>
      <c r="AJ510" s="210"/>
    </row>
    <row r="511" spans="1:36" ht="14.4">
      <c r="B511" s="211"/>
      <c r="C511" s="133" t="s">
        <v>264</v>
      </c>
      <c r="D511" s="126" t="s">
        <v>184</v>
      </c>
      <c r="E511" s="201" t="s">
        <v>36</v>
      </c>
      <c r="F511" s="201" t="s">
        <v>9</v>
      </c>
      <c r="G511" s="201" t="s">
        <v>25</v>
      </c>
      <c r="H511" s="201" t="s">
        <v>160</v>
      </c>
      <c r="I511" s="201" t="s">
        <v>139</v>
      </c>
      <c r="J511" s="201" t="s">
        <v>37</v>
      </c>
      <c r="K511" s="201" t="s">
        <v>133</v>
      </c>
      <c r="L511" s="201" t="s">
        <v>123</v>
      </c>
      <c r="M511" s="201" t="s">
        <v>145</v>
      </c>
      <c r="N511" s="201" t="s">
        <v>124</v>
      </c>
      <c r="O511" s="201" t="s">
        <v>169</v>
      </c>
      <c r="P511" s="201" t="s">
        <v>243</v>
      </c>
      <c r="Q511" s="201" t="s">
        <v>175</v>
      </c>
      <c r="R511" s="201" t="s">
        <v>170</v>
      </c>
      <c r="S511" s="201" t="s">
        <v>203</v>
      </c>
      <c r="T511" s="201" t="s">
        <v>172</v>
      </c>
      <c r="U511" s="201" t="s">
        <v>176</v>
      </c>
      <c r="V511" s="201" t="s">
        <v>177</v>
      </c>
      <c r="W511" s="201" t="s">
        <v>178</v>
      </c>
      <c r="X511" s="201" t="s">
        <v>179</v>
      </c>
      <c r="Y511" s="201" t="s">
        <v>181</v>
      </c>
      <c r="Z511" s="201" t="s">
        <v>182</v>
      </c>
      <c r="AA511" s="201" t="s">
        <v>187</v>
      </c>
      <c r="AB511" s="201" t="s">
        <v>233</v>
      </c>
      <c r="AC511" s="201" t="s">
        <v>240</v>
      </c>
      <c r="AD511" s="201" t="s">
        <v>245</v>
      </c>
      <c r="AE511" s="201" t="s">
        <v>357</v>
      </c>
      <c r="AF511" s="201" t="s">
        <v>362</v>
      </c>
      <c r="AG511" s="201" t="s">
        <v>361</v>
      </c>
      <c r="AH511" s="201" t="s">
        <v>234</v>
      </c>
      <c r="AI511" s="568" t="s">
        <v>239</v>
      </c>
      <c r="AJ511" s="212"/>
    </row>
    <row r="512" spans="1:36" ht="14.4">
      <c r="B512" s="211"/>
      <c r="C512" s="213" t="s">
        <v>40</v>
      </c>
      <c r="D512" s="214">
        <v>994803.77</v>
      </c>
      <c r="E512" s="214">
        <v>0</v>
      </c>
      <c r="F512" s="214">
        <v>0</v>
      </c>
      <c r="G512" s="214">
        <v>0</v>
      </c>
      <c r="H512" s="214">
        <v>0</v>
      </c>
      <c r="I512" s="214">
        <v>0</v>
      </c>
      <c r="J512" s="214">
        <v>0</v>
      </c>
      <c r="K512" s="214">
        <v>0</v>
      </c>
      <c r="L512" s="214">
        <v>0</v>
      </c>
      <c r="M512" s="214">
        <v>0</v>
      </c>
      <c r="N512" s="214">
        <v>0</v>
      </c>
      <c r="O512" s="214">
        <v>0</v>
      </c>
      <c r="P512" s="214">
        <v>0</v>
      </c>
      <c r="Q512" s="214">
        <v>0</v>
      </c>
      <c r="R512" s="214">
        <v>0</v>
      </c>
      <c r="S512" s="214">
        <v>0</v>
      </c>
      <c r="T512" s="214">
        <v>0</v>
      </c>
      <c r="U512" s="214">
        <v>0</v>
      </c>
      <c r="V512" s="214">
        <v>0</v>
      </c>
      <c r="W512" s="214">
        <v>0</v>
      </c>
      <c r="X512" s="214">
        <v>0</v>
      </c>
      <c r="Y512" s="214">
        <v>0</v>
      </c>
      <c r="Z512" s="214">
        <v>0</v>
      </c>
      <c r="AA512" s="214">
        <v>0</v>
      </c>
      <c r="AB512" s="214">
        <v>0</v>
      </c>
      <c r="AC512" s="214">
        <v>0</v>
      </c>
      <c r="AD512" s="214"/>
      <c r="AE512" s="420">
        <v>0</v>
      </c>
      <c r="AF512" s="420">
        <v>0</v>
      </c>
      <c r="AG512" s="420">
        <v>0</v>
      </c>
      <c r="AH512" s="420"/>
      <c r="AI512" s="574">
        <f>SUM(D512:AH512)</f>
        <v>994803.77</v>
      </c>
      <c r="AJ512" s="212"/>
    </row>
    <row r="513" spans="2:36" ht="14.4">
      <c r="B513" s="211"/>
      <c r="C513" s="213" t="s">
        <v>41</v>
      </c>
      <c r="D513" s="214">
        <v>0</v>
      </c>
      <c r="E513" s="214">
        <v>282215.70999999996</v>
      </c>
      <c r="F513" s="214">
        <v>337529.11</v>
      </c>
      <c r="G513" s="214">
        <v>266067.46000000002</v>
      </c>
      <c r="H513" s="214">
        <v>410391.49</v>
      </c>
      <c r="I513" s="214">
        <v>40629.630000000005</v>
      </c>
      <c r="J513" s="214">
        <v>16220.23</v>
      </c>
      <c r="K513" s="214">
        <v>12095.19</v>
      </c>
      <c r="L513" s="214">
        <v>18403.32</v>
      </c>
      <c r="M513" s="214">
        <v>186069.95</v>
      </c>
      <c r="N513" s="214">
        <v>22849</v>
      </c>
      <c r="O513" s="214">
        <v>295451.13</v>
      </c>
      <c r="P513" s="214">
        <v>209535.89</v>
      </c>
      <c r="Q513" s="214">
        <v>452506.71</v>
      </c>
      <c r="R513" s="214">
        <v>36317.699999999997</v>
      </c>
      <c r="S513" s="214">
        <v>164446.08000000002</v>
      </c>
      <c r="T513" s="214">
        <v>11028.8</v>
      </c>
      <c r="U513" s="214">
        <v>17737.420000000002</v>
      </c>
      <c r="V513" s="214">
        <v>20908.440000000002</v>
      </c>
      <c r="W513" s="214">
        <v>11983.619999999999</v>
      </c>
      <c r="X513" s="214">
        <v>10621.7</v>
      </c>
      <c r="Y513" s="214">
        <v>15842.94</v>
      </c>
      <c r="Z513" s="214">
        <v>7489.55</v>
      </c>
      <c r="AA513" s="214">
        <v>9692.32</v>
      </c>
      <c r="AB513" s="214">
        <v>26254</v>
      </c>
      <c r="AC513" s="214">
        <v>15987.509999999998</v>
      </c>
      <c r="AD513" s="214"/>
      <c r="AE513" s="420">
        <v>278776.8</v>
      </c>
      <c r="AF513" s="420">
        <v>6530.77</v>
      </c>
      <c r="AG513" s="420">
        <v>29009.11</v>
      </c>
      <c r="AH513" s="420">
        <v>0</v>
      </c>
      <c r="AI513" s="574">
        <f t="shared" ref="AI513:AI576" si="13">SUM(D513:AH513)</f>
        <v>3212591.5799999991</v>
      </c>
      <c r="AJ513" s="212"/>
    </row>
    <row r="514" spans="2:36" ht="14.4">
      <c r="B514" s="211"/>
      <c r="C514" s="213" t="s">
        <v>26</v>
      </c>
      <c r="D514" s="214">
        <v>6374</v>
      </c>
      <c r="E514" s="214">
        <v>5902</v>
      </c>
      <c r="F514" s="214">
        <v>5300</v>
      </c>
      <c r="G514" s="214">
        <v>4432</v>
      </c>
      <c r="H514" s="214">
        <v>5030</v>
      </c>
      <c r="I514" s="214">
        <v>0</v>
      </c>
      <c r="J514" s="214">
        <v>0</v>
      </c>
      <c r="K514" s="214">
        <v>0</v>
      </c>
      <c r="L514" s="214">
        <v>0</v>
      </c>
      <c r="M514" s="214">
        <v>0</v>
      </c>
      <c r="N514" s="214">
        <v>0</v>
      </c>
      <c r="O514" s="214">
        <v>1500</v>
      </c>
      <c r="P514" s="214">
        <v>3514</v>
      </c>
      <c r="Q514" s="214">
        <v>0</v>
      </c>
      <c r="R514" s="214">
        <v>4200</v>
      </c>
      <c r="S514" s="214">
        <v>4148</v>
      </c>
      <c r="T514" s="214">
        <v>0</v>
      </c>
      <c r="U514" s="214">
        <v>0</v>
      </c>
      <c r="V514" s="214">
        <v>0</v>
      </c>
      <c r="W514" s="214">
        <v>0</v>
      </c>
      <c r="X514" s="214">
        <v>0</v>
      </c>
      <c r="Y514" s="214">
        <v>0</v>
      </c>
      <c r="Z514" s="214">
        <v>0</v>
      </c>
      <c r="AA514" s="214">
        <v>0</v>
      </c>
      <c r="AB514" s="214">
        <v>0</v>
      </c>
      <c r="AC514" s="214">
        <v>0</v>
      </c>
      <c r="AD514" s="214"/>
      <c r="AE514" s="420">
        <v>4000</v>
      </c>
      <c r="AF514" s="420">
        <v>0</v>
      </c>
      <c r="AG514" s="420">
        <v>0</v>
      </c>
      <c r="AH514" s="420"/>
      <c r="AI514" s="574">
        <f t="shared" si="13"/>
        <v>44400</v>
      </c>
      <c r="AJ514" s="212"/>
    </row>
    <row r="515" spans="2:36" ht="14.4">
      <c r="B515" s="211"/>
      <c r="C515" s="213" t="s">
        <v>27</v>
      </c>
      <c r="D515" s="214">
        <v>0</v>
      </c>
      <c r="E515" s="214">
        <v>0</v>
      </c>
      <c r="F515" s="214">
        <v>0</v>
      </c>
      <c r="G515" s="214">
        <v>0</v>
      </c>
      <c r="H515" s="214">
        <v>1051</v>
      </c>
      <c r="I515" s="214">
        <v>0</v>
      </c>
      <c r="J515" s="214">
        <v>0</v>
      </c>
      <c r="K515" s="214">
        <v>0</v>
      </c>
      <c r="L515" s="214">
        <v>0</v>
      </c>
      <c r="M515" s="214">
        <v>0</v>
      </c>
      <c r="N515" s="214">
        <v>0</v>
      </c>
      <c r="O515" s="214">
        <v>671</v>
      </c>
      <c r="P515" s="214">
        <v>0</v>
      </c>
      <c r="Q515" s="214">
        <v>0</v>
      </c>
      <c r="R515" s="214">
        <v>6500</v>
      </c>
      <c r="S515" s="214">
        <v>0</v>
      </c>
      <c r="T515" s="214">
        <v>0</v>
      </c>
      <c r="U515" s="214">
        <v>0</v>
      </c>
      <c r="V515" s="214">
        <v>0</v>
      </c>
      <c r="W515" s="214">
        <v>0</v>
      </c>
      <c r="X515" s="214">
        <v>0</v>
      </c>
      <c r="Y515" s="214">
        <v>0</v>
      </c>
      <c r="Z515" s="214">
        <v>0</v>
      </c>
      <c r="AA515" s="214">
        <v>0</v>
      </c>
      <c r="AB515" s="214">
        <v>0</v>
      </c>
      <c r="AC515" s="214">
        <v>0</v>
      </c>
      <c r="AD515" s="214"/>
      <c r="AE515" s="420">
        <v>0</v>
      </c>
      <c r="AF515" s="420">
        <v>0</v>
      </c>
      <c r="AG515" s="420">
        <v>0</v>
      </c>
      <c r="AH515" s="420"/>
      <c r="AI515" s="574">
        <f t="shared" si="13"/>
        <v>8222</v>
      </c>
      <c r="AJ515" s="212"/>
    </row>
    <row r="516" spans="2:36" ht="14.4">
      <c r="B516" s="211"/>
      <c r="C516" s="213" t="s">
        <v>42</v>
      </c>
      <c r="D516" s="214">
        <v>0</v>
      </c>
      <c r="E516" s="214">
        <v>0</v>
      </c>
      <c r="F516" s="214">
        <v>0</v>
      </c>
      <c r="G516" s="214">
        <v>0</v>
      </c>
      <c r="H516" s="214">
        <v>0</v>
      </c>
      <c r="I516" s="214">
        <v>0</v>
      </c>
      <c r="J516" s="214">
        <v>0</v>
      </c>
      <c r="K516" s="214">
        <v>0</v>
      </c>
      <c r="L516" s="214">
        <v>0</v>
      </c>
      <c r="M516" s="214">
        <v>0</v>
      </c>
      <c r="N516" s="214">
        <v>0</v>
      </c>
      <c r="O516" s="214">
        <v>0</v>
      </c>
      <c r="P516" s="214">
        <v>0</v>
      </c>
      <c r="Q516" s="214">
        <v>0</v>
      </c>
      <c r="R516" s="214">
        <v>0</v>
      </c>
      <c r="S516" s="214">
        <v>0</v>
      </c>
      <c r="T516" s="214">
        <v>0</v>
      </c>
      <c r="U516" s="214">
        <v>0</v>
      </c>
      <c r="V516" s="214">
        <v>0</v>
      </c>
      <c r="W516" s="214">
        <v>0</v>
      </c>
      <c r="X516" s="214">
        <v>0</v>
      </c>
      <c r="Y516" s="214">
        <v>0</v>
      </c>
      <c r="Z516" s="214">
        <v>0</v>
      </c>
      <c r="AA516" s="214">
        <v>0</v>
      </c>
      <c r="AB516" s="214">
        <v>0</v>
      </c>
      <c r="AC516" s="214">
        <v>0</v>
      </c>
      <c r="AD516" s="214"/>
      <c r="AE516" s="420">
        <v>110</v>
      </c>
      <c r="AF516" s="420">
        <v>0</v>
      </c>
      <c r="AG516" s="420">
        <v>0</v>
      </c>
      <c r="AH516" s="420"/>
      <c r="AI516" s="574">
        <f t="shared" si="13"/>
        <v>110</v>
      </c>
      <c r="AJ516" s="212"/>
    </row>
    <row r="517" spans="2:36" ht="14.4">
      <c r="B517" s="211"/>
      <c r="C517" s="213" t="s">
        <v>43</v>
      </c>
      <c r="D517" s="214">
        <v>0</v>
      </c>
      <c r="E517" s="214">
        <v>100000</v>
      </c>
      <c r="F517" s="214">
        <v>100000</v>
      </c>
      <c r="G517" s="214">
        <v>100000</v>
      </c>
      <c r="H517" s="214">
        <v>0</v>
      </c>
      <c r="I517" s="214">
        <v>0</v>
      </c>
      <c r="J517" s="214">
        <v>0</v>
      </c>
      <c r="K517" s="214">
        <v>0</v>
      </c>
      <c r="L517" s="214">
        <v>0</v>
      </c>
      <c r="M517" s="214">
        <v>0</v>
      </c>
      <c r="N517" s="214">
        <v>0</v>
      </c>
      <c r="O517" s="214">
        <v>0</v>
      </c>
      <c r="P517" s="214">
        <v>0</v>
      </c>
      <c r="Q517" s="214">
        <v>0</v>
      </c>
      <c r="R517" s="214">
        <v>0</v>
      </c>
      <c r="S517" s="214">
        <v>0</v>
      </c>
      <c r="T517" s="214">
        <v>0</v>
      </c>
      <c r="U517" s="214">
        <v>0</v>
      </c>
      <c r="V517" s="214">
        <v>0</v>
      </c>
      <c r="W517" s="214">
        <v>0</v>
      </c>
      <c r="X517" s="214">
        <v>0</v>
      </c>
      <c r="Y517" s="214">
        <v>0</v>
      </c>
      <c r="Z517" s="214">
        <v>0</v>
      </c>
      <c r="AA517" s="214">
        <v>0</v>
      </c>
      <c r="AB517" s="214">
        <v>0</v>
      </c>
      <c r="AC517" s="214">
        <v>0</v>
      </c>
      <c r="AD517" s="214"/>
      <c r="AE517" s="420">
        <v>0</v>
      </c>
      <c r="AF517" s="420">
        <v>0</v>
      </c>
      <c r="AG517" s="420">
        <v>0</v>
      </c>
      <c r="AH517" s="420"/>
      <c r="AI517" s="574">
        <f t="shared" si="13"/>
        <v>300000</v>
      </c>
      <c r="AJ517" s="212"/>
    </row>
    <row r="518" spans="2:36" ht="14.4">
      <c r="B518" s="211"/>
      <c r="C518" s="213" t="s">
        <v>44</v>
      </c>
      <c r="D518" s="214">
        <v>100000</v>
      </c>
      <c r="E518" s="214">
        <v>0</v>
      </c>
      <c r="F518" s="214">
        <v>0</v>
      </c>
      <c r="G518" s="214">
        <v>0</v>
      </c>
      <c r="H518" s="214">
        <v>0</v>
      </c>
      <c r="I518" s="214">
        <v>0</v>
      </c>
      <c r="J518" s="214">
        <v>0</v>
      </c>
      <c r="K518" s="214">
        <v>0</v>
      </c>
      <c r="L518" s="214">
        <v>0</v>
      </c>
      <c r="M518" s="214">
        <v>0</v>
      </c>
      <c r="N518" s="214">
        <v>0</v>
      </c>
      <c r="O518" s="214">
        <v>0</v>
      </c>
      <c r="P518" s="214">
        <v>0</v>
      </c>
      <c r="Q518" s="214">
        <v>0</v>
      </c>
      <c r="R518" s="214">
        <v>0</v>
      </c>
      <c r="S518" s="214">
        <v>0</v>
      </c>
      <c r="T518" s="214">
        <v>0</v>
      </c>
      <c r="U518" s="214">
        <v>0</v>
      </c>
      <c r="V518" s="214">
        <v>0</v>
      </c>
      <c r="W518" s="214">
        <v>0</v>
      </c>
      <c r="X518" s="214">
        <v>0</v>
      </c>
      <c r="Y518" s="214">
        <v>0</v>
      </c>
      <c r="Z518" s="214">
        <v>0</v>
      </c>
      <c r="AA518" s="214">
        <v>0</v>
      </c>
      <c r="AB518" s="214">
        <v>0</v>
      </c>
      <c r="AC518" s="214">
        <v>0</v>
      </c>
      <c r="AD518" s="214"/>
      <c r="AE518" s="420">
        <v>0</v>
      </c>
      <c r="AF518" s="420">
        <v>0</v>
      </c>
      <c r="AG518" s="420">
        <v>0</v>
      </c>
      <c r="AH518" s="420"/>
      <c r="AI518" s="574">
        <f t="shared" si="13"/>
        <v>100000</v>
      </c>
      <c r="AJ518" s="212"/>
    </row>
    <row r="519" spans="2:36" ht="14.4">
      <c r="B519" s="211"/>
      <c r="C519" s="213" t="s">
        <v>45</v>
      </c>
      <c r="D519" s="214">
        <v>40610</v>
      </c>
      <c r="E519" s="214">
        <v>0</v>
      </c>
      <c r="F519" s="214">
        <v>26200</v>
      </c>
      <c r="G519" s="214">
        <v>0</v>
      </c>
      <c r="H519" s="214">
        <v>35500</v>
      </c>
      <c r="I519" s="214">
        <v>0</v>
      </c>
      <c r="J519" s="214">
        <v>0</v>
      </c>
      <c r="K519" s="214">
        <v>0</v>
      </c>
      <c r="L519" s="214">
        <v>0</v>
      </c>
      <c r="M519" s="214">
        <v>11000</v>
      </c>
      <c r="N519" s="214">
        <v>12000</v>
      </c>
      <c r="O519" s="214">
        <v>19200</v>
      </c>
      <c r="P519" s="214">
        <v>20900</v>
      </c>
      <c r="Q519" s="214">
        <v>100886</v>
      </c>
      <c r="R519" s="214">
        <v>23420</v>
      </c>
      <c r="S519" s="214">
        <v>50625</v>
      </c>
      <c r="T519" s="214">
        <v>0</v>
      </c>
      <c r="U519" s="214">
        <v>0</v>
      </c>
      <c r="V519" s="214">
        <v>0</v>
      </c>
      <c r="W519" s="214">
        <v>0</v>
      </c>
      <c r="X519" s="214">
        <v>0</v>
      </c>
      <c r="Y519" s="214">
        <v>0</v>
      </c>
      <c r="Z519" s="214">
        <v>0</v>
      </c>
      <c r="AA519" s="214">
        <v>0</v>
      </c>
      <c r="AB519" s="214">
        <v>0</v>
      </c>
      <c r="AC519" s="214">
        <v>0</v>
      </c>
      <c r="AD519" s="214"/>
      <c r="AE519" s="420">
        <v>48250</v>
      </c>
      <c r="AF519" s="420">
        <v>0</v>
      </c>
      <c r="AG519" s="420">
        <v>0</v>
      </c>
      <c r="AH519" s="420"/>
      <c r="AI519" s="574">
        <f t="shared" si="13"/>
        <v>388591</v>
      </c>
      <c r="AJ519" s="212"/>
    </row>
    <row r="520" spans="2:36" ht="14.4">
      <c r="B520" s="211"/>
      <c r="C520" s="213" t="s">
        <v>156</v>
      </c>
      <c r="D520" s="214">
        <v>2000</v>
      </c>
      <c r="E520" s="214">
        <v>0</v>
      </c>
      <c r="F520" s="214">
        <v>0</v>
      </c>
      <c r="G520" s="214">
        <v>275</v>
      </c>
      <c r="H520" s="214">
        <v>0</v>
      </c>
      <c r="I520" s="214">
        <v>0</v>
      </c>
      <c r="J520" s="214">
        <v>0</v>
      </c>
      <c r="K520" s="214">
        <v>0</v>
      </c>
      <c r="L520" s="214">
        <v>0</v>
      </c>
      <c r="M520" s="214">
        <v>0</v>
      </c>
      <c r="N520" s="214">
        <v>0</v>
      </c>
      <c r="O520" s="214">
        <v>0</v>
      </c>
      <c r="P520" s="214">
        <v>0</v>
      </c>
      <c r="Q520" s="214">
        <v>0</v>
      </c>
      <c r="R520" s="214">
        <v>0</v>
      </c>
      <c r="S520" s="214">
        <v>30</v>
      </c>
      <c r="T520" s="214">
        <v>0</v>
      </c>
      <c r="U520" s="214">
        <v>0</v>
      </c>
      <c r="V520" s="214">
        <v>0</v>
      </c>
      <c r="W520" s="214">
        <v>0</v>
      </c>
      <c r="X520" s="214">
        <v>0</v>
      </c>
      <c r="Y520" s="214">
        <v>0</v>
      </c>
      <c r="Z520" s="214">
        <v>0</v>
      </c>
      <c r="AA520" s="214">
        <v>0</v>
      </c>
      <c r="AB520" s="214">
        <v>0</v>
      </c>
      <c r="AC520" s="214">
        <v>0</v>
      </c>
      <c r="AD520" s="214"/>
      <c r="AE520" s="420">
        <v>0</v>
      </c>
      <c r="AF520" s="420">
        <v>0</v>
      </c>
      <c r="AG520" s="420">
        <v>0</v>
      </c>
      <c r="AH520" s="420"/>
      <c r="AI520" s="574">
        <f t="shared" si="13"/>
        <v>2305</v>
      </c>
      <c r="AJ520" s="212"/>
    </row>
    <row r="521" spans="2:36" ht="14.4">
      <c r="B521" s="211"/>
      <c r="C521" s="213" t="s">
        <v>46</v>
      </c>
      <c r="D521" s="214">
        <v>13043.11</v>
      </c>
      <c r="E521" s="214">
        <v>721.98</v>
      </c>
      <c r="F521" s="214">
        <v>1810</v>
      </c>
      <c r="G521" s="214">
        <v>444.46</v>
      </c>
      <c r="H521" s="214">
        <v>147.13</v>
      </c>
      <c r="I521" s="214">
        <v>84.95</v>
      </c>
      <c r="J521" s="214">
        <v>97.81</v>
      </c>
      <c r="K521" s="214">
        <v>523.88</v>
      </c>
      <c r="L521" s="214">
        <v>65.87</v>
      </c>
      <c r="M521" s="214">
        <v>694.4</v>
      </c>
      <c r="N521" s="214">
        <v>54.67</v>
      </c>
      <c r="O521" s="214">
        <v>1221.1099999999999</v>
      </c>
      <c r="P521" s="214">
        <v>698.81</v>
      </c>
      <c r="Q521" s="214">
        <v>348.43</v>
      </c>
      <c r="R521" s="214">
        <v>65.87</v>
      </c>
      <c r="S521" s="214">
        <v>666.1</v>
      </c>
      <c r="T521" s="214">
        <v>0</v>
      </c>
      <c r="U521" s="214">
        <v>168.67</v>
      </c>
      <c r="V521" s="214">
        <v>124</v>
      </c>
      <c r="W521" s="214">
        <v>124</v>
      </c>
      <c r="X521" s="214">
        <v>168.67</v>
      </c>
      <c r="Y521" s="214">
        <v>62.18</v>
      </c>
      <c r="Z521" s="214">
        <v>57.87</v>
      </c>
      <c r="AA521" s="214">
        <v>65.87</v>
      </c>
      <c r="AB521" s="214">
        <v>68.33</v>
      </c>
      <c r="AC521" s="214">
        <v>62.18</v>
      </c>
      <c r="AD521" s="214"/>
      <c r="AE521" s="420">
        <v>270.86</v>
      </c>
      <c r="AF521" s="420">
        <v>124</v>
      </c>
      <c r="AG521" s="420">
        <v>124</v>
      </c>
      <c r="AH521" s="420"/>
      <c r="AI521" s="574">
        <f t="shared" si="13"/>
        <v>22109.209999999995</v>
      </c>
      <c r="AJ521" s="212"/>
    </row>
    <row r="522" spans="2:36" ht="14.4">
      <c r="B522" s="211"/>
      <c r="C522" s="213" t="s">
        <v>47</v>
      </c>
      <c r="D522" s="214">
        <v>0</v>
      </c>
      <c r="E522" s="214">
        <v>0</v>
      </c>
      <c r="F522" s="214">
        <v>0</v>
      </c>
      <c r="G522" s="214">
        <v>0</v>
      </c>
      <c r="H522" s="214">
        <v>0</v>
      </c>
      <c r="I522" s="214">
        <v>0</v>
      </c>
      <c r="J522" s="214">
        <v>0</v>
      </c>
      <c r="K522" s="214">
        <v>0</v>
      </c>
      <c r="L522" s="214">
        <v>0</v>
      </c>
      <c r="M522" s="214">
        <v>0</v>
      </c>
      <c r="N522" s="214">
        <v>0</v>
      </c>
      <c r="O522" s="214">
        <v>0</v>
      </c>
      <c r="P522" s="214">
        <v>0</v>
      </c>
      <c r="Q522" s="214">
        <v>0</v>
      </c>
      <c r="R522" s="214">
        <v>0</v>
      </c>
      <c r="S522" s="214">
        <v>0</v>
      </c>
      <c r="T522" s="214">
        <v>0</v>
      </c>
      <c r="U522" s="214">
        <v>0</v>
      </c>
      <c r="V522" s="214">
        <v>0</v>
      </c>
      <c r="W522" s="214">
        <v>0</v>
      </c>
      <c r="X522" s="214">
        <v>0</v>
      </c>
      <c r="Y522" s="214">
        <v>0</v>
      </c>
      <c r="Z522" s="214">
        <v>0</v>
      </c>
      <c r="AA522" s="214">
        <v>0</v>
      </c>
      <c r="AB522" s="214">
        <v>0</v>
      </c>
      <c r="AC522" s="214">
        <v>0</v>
      </c>
      <c r="AD522" s="214"/>
      <c r="AE522" s="420">
        <v>0</v>
      </c>
      <c r="AF522" s="420">
        <v>0</v>
      </c>
      <c r="AG522" s="420">
        <v>0</v>
      </c>
      <c r="AH522" s="420"/>
      <c r="AI522" s="574">
        <f t="shared" si="13"/>
        <v>0</v>
      </c>
      <c r="AJ522" s="212"/>
    </row>
    <row r="523" spans="2:36" ht="14.4">
      <c r="B523" s="211"/>
      <c r="C523" s="213" t="s">
        <v>48</v>
      </c>
      <c r="D523" s="214">
        <v>13940</v>
      </c>
      <c r="E523" s="214">
        <v>2200</v>
      </c>
      <c r="F523" s="214">
        <v>750</v>
      </c>
      <c r="G523" s="214">
        <v>0</v>
      </c>
      <c r="H523" s="214">
        <v>500</v>
      </c>
      <c r="I523" s="214">
        <v>0</v>
      </c>
      <c r="J523" s="214">
        <v>0</v>
      </c>
      <c r="K523" s="214">
        <v>0</v>
      </c>
      <c r="L523" s="214">
        <v>0</v>
      </c>
      <c r="M523" s="214">
        <v>500</v>
      </c>
      <c r="N523" s="214">
        <v>0</v>
      </c>
      <c r="O523" s="214">
        <v>0</v>
      </c>
      <c r="P523" s="214">
        <v>750</v>
      </c>
      <c r="Q523" s="214">
        <v>900</v>
      </c>
      <c r="R523" s="214">
        <v>0</v>
      </c>
      <c r="S523" s="214">
        <v>1165</v>
      </c>
      <c r="T523" s="214">
        <v>0</v>
      </c>
      <c r="U523" s="214">
        <v>0</v>
      </c>
      <c r="V523" s="214">
        <v>0</v>
      </c>
      <c r="W523" s="214">
        <v>0</v>
      </c>
      <c r="X523" s="214">
        <v>0</v>
      </c>
      <c r="Y523" s="214">
        <v>0</v>
      </c>
      <c r="Z523" s="214">
        <v>0</v>
      </c>
      <c r="AA523" s="214">
        <v>0</v>
      </c>
      <c r="AB523" s="214">
        <v>0</v>
      </c>
      <c r="AC523" s="214">
        <v>0</v>
      </c>
      <c r="AD523" s="214"/>
      <c r="AE523" s="420">
        <v>0</v>
      </c>
      <c r="AF523" s="420">
        <v>0</v>
      </c>
      <c r="AG523" s="420">
        <v>0</v>
      </c>
      <c r="AH523" s="420"/>
      <c r="AI523" s="574">
        <f t="shared" si="13"/>
        <v>20705</v>
      </c>
      <c r="AJ523" s="212"/>
    </row>
    <row r="524" spans="2:36" ht="14.4">
      <c r="B524" s="211"/>
      <c r="C524" s="213" t="s">
        <v>49</v>
      </c>
      <c r="D524" s="214">
        <v>7371</v>
      </c>
      <c r="E524" s="214">
        <v>0</v>
      </c>
      <c r="F524" s="214">
        <v>0</v>
      </c>
      <c r="G524" s="214">
        <v>0</v>
      </c>
      <c r="H524" s="214">
        <v>0</v>
      </c>
      <c r="I524" s="214">
        <v>0</v>
      </c>
      <c r="J524" s="214">
        <v>0</v>
      </c>
      <c r="K524" s="214">
        <v>0</v>
      </c>
      <c r="L524" s="214">
        <v>0</v>
      </c>
      <c r="M524" s="214">
        <v>0</v>
      </c>
      <c r="N524" s="214">
        <v>0</v>
      </c>
      <c r="O524" s="214">
        <v>0</v>
      </c>
      <c r="P524" s="214">
        <v>0</v>
      </c>
      <c r="Q524" s="214">
        <v>0</v>
      </c>
      <c r="R524" s="214">
        <v>0</v>
      </c>
      <c r="S524" s="214">
        <v>0</v>
      </c>
      <c r="T524" s="214">
        <v>0</v>
      </c>
      <c r="U524" s="214">
        <v>0</v>
      </c>
      <c r="V524" s="214">
        <v>0</v>
      </c>
      <c r="W524" s="214">
        <v>0</v>
      </c>
      <c r="X524" s="214">
        <v>0</v>
      </c>
      <c r="Y524" s="214">
        <v>0</v>
      </c>
      <c r="Z524" s="214">
        <v>0</v>
      </c>
      <c r="AA524" s="214">
        <v>0</v>
      </c>
      <c r="AB524" s="214">
        <v>0</v>
      </c>
      <c r="AC524" s="214">
        <v>0</v>
      </c>
      <c r="AD524" s="214"/>
      <c r="AE524" s="420">
        <v>0</v>
      </c>
      <c r="AF524" s="420">
        <v>0</v>
      </c>
      <c r="AG524" s="420">
        <v>0</v>
      </c>
      <c r="AH524" s="420"/>
      <c r="AI524" s="574">
        <f t="shared" si="13"/>
        <v>7371</v>
      </c>
      <c r="AJ524" s="212"/>
    </row>
    <row r="525" spans="2:36" ht="14.4">
      <c r="B525" s="211"/>
      <c r="C525" s="213" t="s">
        <v>158</v>
      </c>
      <c r="D525" s="214">
        <v>5645</v>
      </c>
      <c r="E525" s="214">
        <v>50</v>
      </c>
      <c r="F525" s="214">
        <v>0</v>
      </c>
      <c r="G525" s="214">
        <v>1500</v>
      </c>
      <c r="H525" s="214">
        <v>0</v>
      </c>
      <c r="I525" s="214">
        <v>0</v>
      </c>
      <c r="J525" s="214">
        <v>0</v>
      </c>
      <c r="K525" s="214">
        <v>0</v>
      </c>
      <c r="L525" s="214">
        <v>0</v>
      </c>
      <c r="M525" s="214">
        <v>0</v>
      </c>
      <c r="N525" s="214">
        <v>0</v>
      </c>
      <c r="O525" s="214">
        <v>0</v>
      </c>
      <c r="P525" s="214">
        <v>0</v>
      </c>
      <c r="Q525" s="214">
        <v>0</v>
      </c>
      <c r="R525" s="214">
        <v>0</v>
      </c>
      <c r="S525" s="214">
        <v>0</v>
      </c>
      <c r="T525" s="214">
        <v>0</v>
      </c>
      <c r="U525" s="214">
        <v>0</v>
      </c>
      <c r="V525" s="214">
        <v>0</v>
      </c>
      <c r="W525" s="214">
        <v>0</v>
      </c>
      <c r="X525" s="214">
        <v>0</v>
      </c>
      <c r="Y525" s="214">
        <v>0</v>
      </c>
      <c r="Z525" s="214">
        <v>0</v>
      </c>
      <c r="AA525" s="214">
        <v>0</v>
      </c>
      <c r="AB525" s="214">
        <v>0</v>
      </c>
      <c r="AC525" s="214">
        <v>0</v>
      </c>
      <c r="AD525" s="214"/>
      <c r="AE525" s="420">
        <v>200</v>
      </c>
      <c r="AF525" s="420">
        <v>0</v>
      </c>
      <c r="AG525" s="420">
        <v>0</v>
      </c>
      <c r="AH525" s="420"/>
      <c r="AI525" s="574">
        <f t="shared" si="13"/>
        <v>7395</v>
      </c>
      <c r="AJ525" s="212"/>
    </row>
    <row r="526" spans="2:36" ht="14.4">
      <c r="B526" s="211"/>
      <c r="C526" s="213" t="s">
        <v>50</v>
      </c>
      <c r="D526" s="214">
        <v>0</v>
      </c>
      <c r="E526" s="214">
        <v>0</v>
      </c>
      <c r="F526" s="214">
        <v>0</v>
      </c>
      <c r="G526" s="214">
        <v>0</v>
      </c>
      <c r="H526" s="214">
        <v>0</v>
      </c>
      <c r="I526" s="214">
        <v>0</v>
      </c>
      <c r="J526" s="214">
        <v>0</v>
      </c>
      <c r="K526" s="214">
        <v>0</v>
      </c>
      <c r="L526" s="214">
        <v>0</v>
      </c>
      <c r="M526" s="214">
        <v>0</v>
      </c>
      <c r="N526" s="214">
        <v>0</v>
      </c>
      <c r="O526" s="214">
        <v>0</v>
      </c>
      <c r="P526" s="214">
        <v>0</v>
      </c>
      <c r="Q526" s="214">
        <v>0</v>
      </c>
      <c r="R526" s="214">
        <v>0</v>
      </c>
      <c r="S526" s="214">
        <v>0</v>
      </c>
      <c r="T526" s="214">
        <v>0</v>
      </c>
      <c r="U526" s="214">
        <v>0</v>
      </c>
      <c r="V526" s="214">
        <v>0</v>
      </c>
      <c r="W526" s="214">
        <v>0</v>
      </c>
      <c r="X526" s="214">
        <v>0</v>
      </c>
      <c r="Y526" s="214">
        <v>0</v>
      </c>
      <c r="Z526" s="214">
        <v>0</v>
      </c>
      <c r="AA526" s="214">
        <v>0</v>
      </c>
      <c r="AB526" s="214">
        <v>0</v>
      </c>
      <c r="AC526" s="214">
        <v>0</v>
      </c>
      <c r="AD526" s="214"/>
      <c r="AE526" s="420">
        <v>0</v>
      </c>
      <c r="AF526" s="420">
        <v>0</v>
      </c>
      <c r="AG526" s="420">
        <v>0</v>
      </c>
      <c r="AH526" s="420"/>
      <c r="AI526" s="574">
        <f t="shared" si="13"/>
        <v>0</v>
      </c>
      <c r="AJ526" s="212"/>
    </row>
    <row r="527" spans="2:36" ht="14.4">
      <c r="B527" s="211"/>
      <c r="C527" s="213" t="s">
        <v>51</v>
      </c>
      <c r="D527" s="214">
        <v>0</v>
      </c>
      <c r="E527" s="214">
        <v>0</v>
      </c>
      <c r="F527" s="214">
        <v>0</v>
      </c>
      <c r="G527" s="214">
        <v>0</v>
      </c>
      <c r="H527" s="214">
        <v>0</v>
      </c>
      <c r="I527" s="214">
        <v>0</v>
      </c>
      <c r="J527" s="214">
        <v>0</v>
      </c>
      <c r="K527" s="214">
        <v>0</v>
      </c>
      <c r="L527" s="214">
        <v>0</v>
      </c>
      <c r="M527" s="214">
        <v>0</v>
      </c>
      <c r="N527" s="214">
        <v>0</v>
      </c>
      <c r="O527" s="214">
        <v>0</v>
      </c>
      <c r="P527" s="214">
        <v>0</v>
      </c>
      <c r="Q527" s="214">
        <v>0</v>
      </c>
      <c r="R527" s="214">
        <v>0</v>
      </c>
      <c r="S527" s="214">
        <v>0</v>
      </c>
      <c r="T527" s="214">
        <v>0</v>
      </c>
      <c r="U527" s="214">
        <v>0</v>
      </c>
      <c r="V527" s="214">
        <v>0</v>
      </c>
      <c r="W527" s="214">
        <v>0</v>
      </c>
      <c r="X527" s="214">
        <v>0</v>
      </c>
      <c r="Y527" s="214">
        <v>0</v>
      </c>
      <c r="Z527" s="214">
        <v>0</v>
      </c>
      <c r="AA527" s="214">
        <v>0</v>
      </c>
      <c r="AB527" s="214">
        <v>0</v>
      </c>
      <c r="AC527" s="214">
        <v>0</v>
      </c>
      <c r="AD527" s="214"/>
      <c r="AE527" s="420">
        <v>0</v>
      </c>
      <c r="AF527" s="420">
        <v>0</v>
      </c>
      <c r="AG527" s="420">
        <v>0</v>
      </c>
      <c r="AH527" s="420"/>
      <c r="AI527" s="574">
        <f t="shared" si="13"/>
        <v>0</v>
      </c>
      <c r="AJ527" s="212"/>
    </row>
    <row r="528" spans="2:36" ht="14.4">
      <c r="B528" s="211"/>
      <c r="C528" s="213" t="s">
        <v>52</v>
      </c>
      <c r="D528" s="214">
        <v>0</v>
      </c>
      <c r="E528" s="214">
        <v>0</v>
      </c>
      <c r="F528" s="214">
        <v>0</v>
      </c>
      <c r="G528" s="214">
        <v>0</v>
      </c>
      <c r="H528" s="214">
        <v>0</v>
      </c>
      <c r="I528" s="214">
        <v>0</v>
      </c>
      <c r="J528" s="214">
        <v>0</v>
      </c>
      <c r="K528" s="214">
        <v>0</v>
      </c>
      <c r="L528" s="214">
        <v>0</v>
      </c>
      <c r="M528" s="214">
        <v>0</v>
      </c>
      <c r="N528" s="214">
        <v>0</v>
      </c>
      <c r="O528" s="214">
        <v>100</v>
      </c>
      <c r="P528" s="214">
        <v>0</v>
      </c>
      <c r="Q528" s="214">
        <v>0</v>
      </c>
      <c r="R528" s="214">
        <v>0</v>
      </c>
      <c r="S528" s="214">
        <v>0</v>
      </c>
      <c r="T528" s="214">
        <v>0</v>
      </c>
      <c r="U528" s="214">
        <v>0</v>
      </c>
      <c r="V528" s="214">
        <v>0</v>
      </c>
      <c r="W528" s="214">
        <v>0</v>
      </c>
      <c r="X528" s="214">
        <v>0</v>
      </c>
      <c r="Y528" s="214">
        <v>0</v>
      </c>
      <c r="Z528" s="214">
        <v>0</v>
      </c>
      <c r="AA528" s="214">
        <v>0</v>
      </c>
      <c r="AB528" s="214">
        <v>0</v>
      </c>
      <c r="AC528" s="214">
        <v>0</v>
      </c>
      <c r="AD528" s="214"/>
      <c r="AE528" s="420">
        <v>0</v>
      </c>
      <c r="AF528" s="420">
        <v>0</v>
      </c>
      <c r="AG528" s="420">
        <v>0</v>
      </c>
      <c r="AH528" s="420"/>
      <c r="AI528" s="574">
        <f t="shared" si="13"/>
        <v>100</v>
      </c>
      <c r="AJ528" s="212"/>
    </row>
    <row r="529" spans="2:36" ht="14.4">
      <c r="B529" s="211"/>
      <c r="C529" s="213" t="s">
        <v>174</v>
      </c>
      <c r="D529" s="214">
        <v>820</v>
      </c>
      <c r="E529" s="214">
        <v>4803</v>
      </c>
      <c r="F529" s="214">
        <v>4803</v>
      </c>
      <c r="G529" s="214">
        <v>4803</v>
      </c>
      <c r="H529" s="214">
        <v>4803</v>
      </c>
      <c r="I529" s="214">
        <v>0</v>
      </c>
      <c r="J529" s="214">
        <v>0</v>
      </c>
      <c r="K529" s="214">
        <v>0</v>
      </c>
      <c r="L529" s="214">
        <v>0</v>
      </c>
      <c r="M529" s="214">
        <v>4803</v>
      </c>
      <c r="N529" s="214">
        <v>0</v>
      </c>
      <c r="O529" s="214">
        <v>4803</v>
      </c>
      <c r="P529" s="214">
        <v>4803</v>
      </c>
      <c r="Q529" s="214">
        <v>4810</v>
      </c>
      <c r="R529" s="214">
        <v>8878</v>
      </c>
      <c r="S529" s="214">
        <v>4803</v>
      </c>
      <c r="T529" s="214">
        <v>0</v>
      </c>
      <c r="U529" s="214">
        <v>0</v>
      </c>
      <c r="V529" s="214">
        <v>0</v>
      </c>
      <c r="W529" s="214">
        <v>0</v>
      </c>
      <c r="X529" s="214">
        <v>0</v>
      </c>
      <c r="Y529" s="214">
        <v>0</v>
      </c>
      <c r="Z529" s="214">
        <v>0</v>
      </c>
      <c r="AA529" s="214">
        <v>0</v>
      </c>
      <c r="AB529" s="214">
        <v>0</v>
      </c>
      <c r="AC529" s="214">
        <v>0</v>
      </c>
      <c r="AD529" s="214"/>
      <c r="AE529" s="420">
        <v>728</v>
      </c>
      <c r="AF529" s="420">
        <v>0</v>
      </c>
      <c r="AG529" s="420">
        <v>0</v>
      </c>
      <c r="AH529" s="420"/>
      <c r="AI529" s="574">
        <f t="shared" si="13"/>
        <v>53660</v>
      </c>
      <c r="AJ529" s="212"/>
    </row>
    <row r="530" spans="2:36" ht="14.4">
      <c r="B530" s="211"/>
      <c r="C530" s="213" t="s">
        <v>53</v>
      </c>
      <c r="D530" s="214">
        <v>10825</v>
      </c>
      <c r="E530" s="214">
        <v>67.13</v>
      </c>
      <c r="F530" s="214">
        <v>0</v>
      </c>
      <c r="G530" s="214">
        <v>48355</v>
      </c>
      <c r="H530" s="214">
        <v>0</v>
      </c>
      <c r="I530" s="214">
        <v>0</v>
      </c>
      <c r="J530" s="214">
        <v>0</v>
      </c>
      <c r="K530" s="214">
        <v>0</v>
      </c>
      <c r="L530" s="214">
        <v>0</v>
      </c>
      <c r="M530" s="214">
        <v>0</v>
      </c>
      <c r="N530" s="214">
        <v>0</v>
      </c>
      <c r="O530" s="214">
        <v>0</v>
      </c>
      <c r="P530" s="214">
        <v>0</v>
      </c>
      <c r="Q530" s="214">
        <v>1299.32</v>
      </c>
      <c r="R530" s="214">
        <v>600</v>
      </c>
      <c r="S530" s="214">
        <v>1270</v>
      </c>
      <c r="T530" s="214">
        <v>0</v>
      </c>
      <c r="U530" s="214">
        <v>0</v>
      </c>
      <c r="V530" s="214">
        <v>0</v>
      </c>
      <c r="W530" s="214">
        <v>0</v>
      </c>
      <c r="X530" s="214">
        <v>0</v>
      </c>
      <c r="Y530" s="214">
        <v>0</v>
      </c>
      <c r="Z530" s="214">
        <v>0</v>
      </c>
      <c r="AA530" s="214">
        <v>0</v>
      </c>
      <c r="AB530" s="214">
        <v>0</v>
      </c>
      <c r="AC530" s="214">
        <v>0</v>
      </c>
      <c r="AD530" s="214"/>
      <c r="AE530" s="420">
        <v>0</v>
      </c>
      <c r="AF530" s="420">
        <v>0</v>
      </c>
      <c r="AG530" s="420">
        <v>0</v>
      </c>
      <c r="AH530" s="420"/>
      <c r="AI530" s="574">
        <f t="shared" si="13"/>
        <v>62416.45</v>
      </c>
      <c r="AJ530" s="212"/>
    </row>
    <row r="531" spans="2:36" ht="14.4">
      <c r="B531" s="211"/>
      <c r="C531" s="213" t="s">
        <v>191</v>
      </c>
      <c r="D531" s="214">
        <v>53615</v>
      </c>
      <c r="E531" s="214">
        <v>42.1</v>
      </c>
      <c r="F531" s="214">
        <v>1565.03</v>
      </c>
      <c r="G531" s="214">
        <v>0</v>
      </c>
      <c r="H531" s="214">
        <v>0</v>
      </c>
      <c r="I531" s="214">
        <v>0</v>
      </c>
      <c r="J531" s="214">
        <v>0</v>
      </c>
      <c r="K531" s="214">
        <v>0</v>
      </c>
      <c r="L531" s="214">
        <v>0</v>
      </c>
      <c r="M531" s="214">
        <v>0</v>
      </c>
      <c r="N531" s="214">
        <v>0</v>
      </c>
      <c r="O531" s="214">
        <v>0</v>
      </c>
      <c r="P531" s="214">
        <v>0</v>
      </c>
      <c r="Q531" s="214">
        <v>0</v>
      </c>
      <c r="R531" s="214">
        <v>0</v>
      </c>
      <c r="S531" s="214">
        <v>0</v>
      </c>
      <c r="T531" s="214">
        <v>0</v>
      </c>
      <c r="U531" s="214">
        <v>0</v>
      </c>
      <c r="V531" s="214">
        <v>0</v>
      </c>
      <c r="W531" s="214">
        <v>0</v>
      </c>
      <c r="X531" s="214">
        <v>0</v>
      </c>
      <c r="Y531" s="214">
        <v>0</v>
      </c>
      <c r="Z531" s="214">
        <v>0</v>
      </c>
      <c r="AA531" s="214">
        <v>0</v>
      </c>
      <c r="AB531" s="214">
        <v>0</v>
      </c>
      <c r="AC531" s="214">
        <v>0</v>
      </c>
      <c r="AD531" s="214"/>
      <c r="AE531" s="420">
        <v>0</v>
      </c>
      <c r="AF531" s="420">
        <v>0</v>
      </c>
      <c r="AG531" s="420">
        <v>0</v>
      </c>
      <c r="AH531" s="420"/>
      <c r="AI531" s="574">
        <f t="shared" si="13"/>
        <v>55222.13</v>
      </c>
      <c r="AJ531" s="212"/>
    </row>
    <row r="532" spans="2:36" ht="14.4">
      <c r="B532" s="211"/>
      <c r="C532" s="213" t="s">
        <v>29</v>
      </c>
      <c r="D532" s="214">
        <v>30</v>
      </c>
      <c r="E532" s="214">
        <v>115</v>
      </c>
      <c r="F532" s="214">
        <v>0</v>
      </c>
      <c r="G532" s="214">
        <v>90</v>
      </c>
      <c r="H532" s="214">
        <v>0</v>
      </c>
      <c r="I532" s="214">
        <v>0</v>
      </c>
      <c r="J532" s="214">
        <v>0</v>
      </c>
      <c r="K532" s="214">
        <v>0</v>
      </c>
      <c r="L532" s="214">
        <v>0</v>
      </c>
      <c r="M532" s="214">
        <v>0</v>
      </c>
      <c r="N532" s="214">
        <v>0</v>
      </c>
      <c r="O532" s="214">
        <v>0</v>
      </c>
      <c r="P532" s="214">
        <v>0</v>
      </c>
      <c r="Q532" s="214">
        <v>0</v>
      </c>
      <c r="R532" s="214">
        <v>0</v>
      </c>
      <c r="S532" s="214">
        <v>0</v>
      </c>
      <c r="T532" s="214">
        <v>0</v>
      </c>
      <c r="U532" s="214">
        <v>0</v>
      </c>
      <c r="V532" s="214">
        <v>0</v>
      </c>
      <c r="W532" s="214">
        <v>0</v>
      </c>
      <c r="X532" s="214">
        <v>0</v>
      </c>
      <c r="Y532" s="214">
        <v>0</v>
      </c>
      <c r="Z532" s="214">
        <v>0</v>
      </c>
      <c r="AA532" s="214">
        <v>0</v>
      </c>
      <c r="AB532" s="214">
        <v>0</v>
      </c>
      <c r="AC532" s="214">
        <v>0</v>
      </c>
      <c r="AD532" s="214"/>
      <c r="AE532" s="420">
        <v>0</v>
      </c>
      <c r="AF532" s="420">
        <v>0</v>
      </c>
      <c r="AG532" s="420">
        <v>0</v>
      </c>
      <c r="AH532" s="420"/>
      <c r="AI532" s="574">
        <f t="shared" si="13"/>
        <v>235</v>
      </c>
      <c r="AJ532" s="212"/>
    </row>
    <row r="533" spans="2:36" ht="14.4">
      <c r="B533" s="211"/>
      <c r="C533" s="213" t="s">
        <v>54</v>
      </c>
      <c r="D533" s="214">
        <v>0</v>
      </c>
      <c r="E533" s="214">
        <v>0</v>
      </c>
      <c r="F533" s="214">
        <v>0</v>
      </c>
      <c r="G533" s="214">
        <v>0</v>
      </c>
      <c r="H533" s="214">
        <v>0</v>
      </c>
      <c r="I533" s="214">
        <v>0</v>
      </c>
      <c r="J533" s="214">
        <v>0</v>
      </c>
      <c r="K533" s="214">
        <v>0</v>
      </c>
      <c r="L533" s="214">
        <v>0</v>
      </c>
      <c r="M533" s="214">
        <v>0</v>
      </c>
      <c r="N533" s="214">
        <v>0</v>
      </c>
      <c r="O533" s="214">
        <v>0</v>
      </c>
      <c r="P533" s="214">
        <v>0</v>
      </c>
      <c r="Q533" s="214">
        <v>0</v>
      </c>
      <c r="R533" s="214">
        <v>0</v>
      </c>
      <c r="S533" s="214">
        <v>0</v>
      </c>
      <c r="T533" s="214">
        <v>0</v>
      </c>
      <c r="U533" s="214">
        <v>0</v>
      </c>
      <c r="V533" s="214">
        <v>0</v>
      </c>
      <c r="W533" s="214">
        <v>0</v>
      </c>
      <c r="X533" s="214">
        <v>0</v>
      </c>
      <c r="Y533" s="214">
        <v>0</v>
      </c>
      <c r="Z533" s="214">
        <v>0</v>
      </c>
      <c r="AA533" s="214">
        <v>0</v>
      </c>
      <c r="AB533" s="214">
        <v>0</v>
      </c>
      <c r="AC533" s="214">
        <v>0</v>
      </c>
      <c r="AD533" s="214"/>
      <c r="AE533" s="420">
        <v>0</v>
      </c>
      <c r="AF533" s="420">
        <v>0</v>
      </c>
      <c r="AG533" s="420">
        <v>0</v>
      </c>
      <c r="AH533" s="420"/>
      <c r="AI533" s="574">
        <f t="shared" si="13"/>
        <v>0</v>
      </c>
      <c r="AJ533" s="212"/>
    </row>
    <row r="534" spans="2:36" ht="14.4">
      <c r="B534" s="211"/>
      <c r="C534" s="213" t="s">
        <v>31</v>
      </c>
      <c r="D534" s="214">
        <v>482</v>
      </c>
      <c r="E534" s="214">
        <v>402</v>
      </c>
      <c r="F534" s="214">
        <v>235</v>
      </c>
      <c r="G534" s="214">
        <v>200</v>
      </c>
      <c r="H534" s="214">
        <v>0</v>
      </c>
      <c r="I534" s="214">
        <v>30</v>
      </c>
      <c r="J534" s="214">
        <v>0</v>
      </c>
      <c r="K534" s="214">
        <v>0</v>
      </c>
      <c r="L534" s="214">
        <v>0</v>
      </c>
      <c r="M534" s="214">
        <v>330</v>
      </c>
      <c r="N534" s="214">
        <v>0</v>
      </c>
      <c r="O534" s="214">
        <v>678</v>
      </c>
      <c r="P534" s="214">
        <v>90</v>
      </c>
      <c r="Q534" s="214">
        <v>0</v>
      </c>
      <c r="R534" s="214">
        <v>145</v>
      </c>
      <c r="S534" s="214">
        <v>30</v>
      </c>
      <c r="T534" s="214">
        <v>0</v>
      </c>
      <c r="U534" s="214">
        <v>0</v>
      </c>
      <c r="V534" s="214">
        <v>0</v>
      </c>
      <c r="W534" s="214">
        <v>0</v>
      </c>
      <c r="X534" s="214">
        <v>0</v>
      </c>
      <c r="Y534" s="214">
        <v>0</v>
      </c>
      <c r="Z534" s="214">
        <v>0</v>
      </c>
      <c r="AA534" s="214">
        <v>0</v>
      </c>
      <c r="AB534" s="214">
        <v>0</v>
      </c>
      <c r="AC534" s="214">
        <v>0</v>
      </c>
      <c r="AD534" s="214"/>
      <c r="AE534" s="420">
        <v>215</v>
      </c>
      <c r="AF534" s="420">
        <v>0</v>
      </c>
      <c r="AG534" s="420">
        <v>0</v>
      </c>
      <c r="AH534" s="420"/>
      <c r="AI534" s="574">
        <f t="shared" si="13"/>
        <v>2837</v>
      </c>
      <c r="AJ534" s="212"/>
    </row>
    <row r="535" spans="2:36" ht="14.4">
      <c r="B535" s="211"/>
      <c r="C535" s="213" t="s">
        <v>55</v>
      </c>
      <c r="D535" s="214">
        <v>0</v>
      </c>
      <c r="E535" s="214">
        <v>75</v>
      </c>
      <c r="F535" s="214">
        <v>0</v>
      </c>
      <c r="G535" s="214">
        <v>80</v>
      </c>
      <c r="H535" s="214">
        <v>0</v>
      </c>
      <c r="I535" s="214">
        <v>0</v>
      </c>
      <c r="J535" s="214">
        <v>0</v>
      </c>
      <c r="K535" s="214">
        <v>0</v>
      </c>
      <c r="L535" s="214">
        <v>0</v>
      </c>
      <c r="M535" s="214">
        <v>0</v>
      </c>
      <c r="N535" s="214">
        <v>0</v>
      </c>
      <c r="O535" s="214">
        <v>0</v>
      </c>
      <c r="P535" s="214">
        <v>100</v>
      </c>
      <c r="Q535" s="214">
        <v>200</v>
      </c>
      <c r="R535" s="214">
        <v>0</v>
      </c>
      <c r="S535" s="214">
        <v>0</v>
      </c>
      <c r="T535" s="214">
        <v>0</v>
      </c>
      <c r="U535" s="214">
        <v>0</v>
      </c>
      <c r="V535" s="214">
        <v>0</v>
      </c>
      <c r="W535" s="214">
        <v>0</v>
      </c>
      <c r="X535" s="214">
        <v>0</v>
      </c>
      <c r="Y535" s="214">
        <v>0</v>
      </c>
      <c r="Z535" s="214">
        <v>0</v>
      </c>
      <c r="AA535" s="214">
        <v>0</v>
      </c>
      <c r="AB535" s="214">
        <v>0</v>
      </c>
      <c r="AC535" s="214">
        <v>0</v>
      </c>
      <c r="AD535" s="214"/>
      <c r="AE535" s="420">
        <v>0</v>
      </c>
      <c r="AF535" s="420">
        <v>0</v>
      </c>
      <c r="AG535" s="420">
        <v>0</v>
      </c>
      <c r="AH535" s="420"/>
      <c r="AI535" s="574">
        <f t="shared" si="13"/>
        <v>455</v>
      </c>
      <c r="AJ535" s="212"/>
    </row>
    <row r="536" spans="2:36" ht="14.4">
      <c r="B536" s="211"/>
      <c r="C536" s="213" t="s">
        <v>56</v>
      </c>
      <c r="D536" s="214">
        <v>393.97</v>
      </c>
      <c r="E536" s="214">
        <v>217.24</v>
      </c>
      <c r="F536" s="214">
        <v>217.24</v>
      </c>
      <c r="G536" s="214">
        <v>139.91</v>
      </c>
      <c r="H536" s="214">
        <v>95.73</v>
      </c>
      <c r="I536" s="214">
        <v>0</v>
      </c>
      <c r="J536" s="214">
        <v>0</v>
      </c>
      <c r="K536" s="214">
        <v>0</v>
      </c>
      <c r="L536" s="214">
        <v>0</v>
      </c>
      <c r="M536" s="214">
        <v>0</v>
      </c>
      <c r="N536" s="214">
        <v>0</v>
      </c>
      <c r="O536" s="214">
        <v>69.959999999999994</v>
      </c>
      <c r="P536" s="214">
        <v>0</v>
      </c>
      <c r="Q536" s="214">
        <v>209.87</v>
      </c>
      <c r="R536" s="214">
        <v>0</v>
      </c>
      <c r="S536" s="214">
        <v>0</v>
      </c>
      <c r="T536" s="214">
        <v>0</v>
      </c>
      <c r="U536" s="214">
        <v>0</v>
      </c>
      <c r="V536" s="214">
        <v>0</v>
      </c>
      <c r="W536" s="214">
        <v>0</v>
      </c>
      <c r="X536" s="214">
        <v>0</v>
      </c>
      <c r="Y536" s="214">
        <v>0</v>
      </c>
      <c r="Z536" s="214">
        <v>0</v>
      </c>
      <c r="AA536" s="214">
        <v>0</v>
      </c>
      <c r="AB536" s="214">
        <v>0</v>
      </c>
      <c r="AC536" s="214">
        <v>0</v>
      </c>
      <c r="AD536" s="214"/>
      <c r="AE536" s="420">
        <v>0</v>
      </c>
      <c r="AF536" s="420">
        <v>0</v>
      </c>
      <c r="AG536" s="420">
        <v>0</v>
      </c>
      <c r="AH536" s="420"/>
      <c r="AI536" s="574">
        <f t="shared" si="13"/>
        <v>1343.92</v>
      </c>
      <c r="AJ536" s="212"/>
    </row>
    <row r="537" spans="2:36" ht="14.4">
      <c r="B537" s="211"/>
      <c r="C537" s="213" t="s">
        <v>57</v>
      </c>
      <c r="D537" s="214">
        <v>2800</v>
      </c>
      <c r="E537" s="214">
        <v>1600</v>
      </c>
      <c r="F537" s="214">
        <v>770</v>
      </c>
      <c r="G537" s="214">
        <v>0</v>
      </c>
      <c r="H537" s="214">
        <v>0</v>
      </c>
      <c r="I537" s="214">
        <v>0</v>
      </c>
      <c r="J537" s="214">
        <v>0</v>
      </c>
      <c r="K537" s="214">
        <v>0</v>
      </c>
      <c r="L537" s="214">
        <v>0</v>
      </c>
      <c r="M537" s="214">
        <v>0</v>
      </c>
      <c r="N537" s="214">
        <v>0</v>
      </c>
      <c r="O537" s="214">
        <v>0</v>
      </c>
      <c r="P537" s="214">
        <v>2000</v>
      </c>
      <c r="Q537" s="214">
        <v>3200</v>
      </c>
      <c r="R537" s="214">
        <v>4900</v>
      </c>
      <c r="S537" s="214">
        <v>0</v>
      </c>
      <c r="T537" s="214">
        <v>0</v>
      </c>
      <c r="U537" s="214">
        <v>0</v>
      </c>
      <c r="V537" s="214">
        <v>0</v>
      </c>
      <c r="W537" s="214">
        <v>0</v>
      </c>
      <c r="X537" s="214">
        <v>0</v>
      </c>
      <c r="Y537" s="214">
        <v>0</v>
      </c>
      <c r="Z537" s="214">
        <v>0</v>
      </c>
      <c r="AA537" s="214">
        <v>0</v>
      </c>
      <c r="AB537" s="214">
        <v>0</v>
      </c>
      <c r="AC537" s="214">
        <v>0</v>
      </c>
      <c r="AD537" s="214"/>
      <c r="AE537" s="420">
        <v>0</v>
      </c>
      <c r="AF537" s="420">
        <v>0</v>
      </c>
      <c r="AG537" s="420">
        <v>0</v>
      </c>
      <c r="AH537" s="420"/>
      <c r="AI537" s="574">
        <f t="shared" si="13"/>
        <v>15270</v>
      </c>
      <c r="AJ537" s="212"/>
    </row>
    <row r="538" spans="2:36" ht="14.4">
      <c r="B538" s="211"/>
      <c r="C538" s="213" t="s">
        <v>58</v>
      </c>
      <c r="D538" s="214">
        <v>0</v>
      </c>
      <c r="E538" s="214">
        <v>0</v>
      </c>
      <c r="F538" s="214">
        <v>0</v>
      </c>
      <c r="G538" s="214">
        <v>0</v>
      </c>
      <c r="H538" s="214">
        <v>0</v>
      </c>
      <c r="I538" s="214">
        <v>0</v>
      </c>
      <c r="J538" s="214">
        <v>0</v>
      </c>
      <c r="K538" s="214">
        <v>0</v>
      </c>
      <c r="L538" s="214">
        <v>0</v>
      </c>
      <c r="M538" s="214">
        <v>5000</v>
      </c>
      <c r="N538" s="214">
        <v>0</v>
      </c>
      <c r="O538" s="214">
        <v>0</v>
      </c>
      <c r="P538" s="214">
        <v>3760</v>
      </c>
      <c r="Q538" s="214">
        <v>0</v>
      </c>
      <c r="R538" s="214">
        <v>0</v>
      </c>
      <c r="S538" s="214">
        <v>0</v>
      </c>
      <c r="T538" s="214">
        <v>0</v>
      </c>
      <c r="U538" s="214">
        <v>0</v>
      </c>
      <c r="V538" s="214">
        <v>0</v>
      </c>
      <c r="W538" s="214">
        <v>0</v>
      </c>
      <c r="X538" s="214">
        <v>0</v>
      </c>
      <c r="Y538" s="214">
        <v>0</v>
      </c>
      <c r="Z538" s="214">
        <v>0</v>
      </c>
      <c r="AA538" s="214">
        <v>0</v>
      </c>
      <c r="AB538" s="214">
        <v>0</v>
      </c>
      <c r="AC538" s="214">
        <v>0</v>
      </c>
      <c r="AD538" s="214"/>
      <c r="AE538" s="420">
        <v>0</v>
      </c>
      <c r="AF538" s="420">
        <v>0</v>
      </c>
      <c r="AG538" s="420">
        <v>0</v>
      </c>
      <c r="AH538" s="420"/>
      <c r="AI538" s="574">
        <f t="shared" si="13"/>
        <v>8760</v>
      </c>
      <c r="AJ538" s="212"/>
    </row>
    <row r="539" spans="2:36" ht="14.4">
      <c r="B539" s="211"/>
      <c r="C539" s="213" t="s">
        <v>59</v>
      </c>
      <c r="D539" s="214">
        <v>0</v>
      </c>
      <c r="E539" s="214">
        <v>0</v>
      </c>
      <c r="F539" s="214">
        <v>0</v>
      </c>
      <c r="G539" s="214">
        <v>470</v>
      </c>
      <c r="H539" s="214">
        <v>0</v>
      </c>
      <c r="I539" s="214">
        <v>0</v>
      </c>
      <c r="J539" s="214">
        <v>0</v>
      </c>
      <c r="K539" s="214">
        <v>0</v>
      </c>
      <c r="L539" s="214">
        <v>0</v>
      </c>
      <c r="M539" s="214">
        <v>0</v>
      </c>
      <c r="N539" s="214">
        <v>0</v>
      </c>
      <c r="O539" s="214">
        <v>0</v>
      </c>
      <c r="P539" s="214">
        <v>0</v>
      </c>
      <c r="Q539" s="214">
        <v>0</v>
      </c>
      <c r="R539" s="214">
        <v>0</v>
      </c>
      <c r="S539" s="214">
        <v>0</v>
      </c>
      <c r="T539" s="214">
        <v>0</v>
      </c>
      <c r="U539" s="214">
        <v>0</v>
      </c>
      <c r="V539" s="214">
        <v>0</v>
      </c>
      <c r="W539" s="214">
        <v>0</v>
      </c>
      <c r="X539" s="214">
        <v>0</v>
      </c>
      <c r="Y539" s="214">
        <v>0</v>
      </c>
      <c r="Z539" s="214">
        <v>0</v>
      </c>
      <c r="AA539" s="214">
        <v>0</v>
      </c>
      <c r="AB539" s="214">
        <v>0</v>
      </c>
      <c r="AC539" s="214">
        <v>0</v>
      </c>
      <c r="AD539" s="214"/>
      <c r="AE539" s="420">
        <v>0</v>
      </c>
      <c r="AF539" s="420">
        <v>0</v>
      </c>
      <c r="AG539" s="420">
        <v>0</v>
      </c>
      <c r="AH539" s="420"/>
      <c r="AI539" s="574">
        <f t="shared" si="13"/>
        <v>470</v>
      </c>
      <c r="AJ539" s="212"/>
    </row>
    <row r="540" spans="2:36" ht="14.4">
      <c r="B540" s="211"/>
      <c r="C540" s="213" t="s">
        <v>60</v>
      </c>
      <c r="D540" s="214">
        <v>0</v>
      </c>
      <c r="E540" s="214">
        <v>0</v>
      </c>
      <c r="F540" s="214">
        <v>0</v>
      </c>
      <c r="G540" s="214">
        <v>0</v>
      </c>
      <c r="H540" s="214">
        <v>0</v>
      </c>
      <c r="I540" s="214">
        <v>0</v>
      </c>
      <c r="J540" s="214">
        <v>0</v>
      </c>
      <c r="K540" s="214">
        <v>0</v>
      </c>
      <c r="L540" s="214">
        <v>0</v>
      </c>
      <c r="M540" s="214">
        <v>0</v>
      </c>
      <c r="N540" s="214">
        <v>0</v>
      </c>
      <c r="O540" s="214">
        <v>0</v>
      </c>
      <c r="P540" s="214">
        <v>0</v>
      </c>
      <c r="Q540" s="214">
        <v>0</v>
      </c>
      <c r="R540" s="214">
        <v>0</v>
      </c>
      <c r="S540" s="214">
        <v>0</v>
      </c>
      <c r="T540" s="214">
        <v>0</v>
      </c>
      <c r="U540" s="214">
        <v>0</v>
      </c>
      <c r="V540" s="214">
        <v>0</v>
      </c>
      <c r="W540" s="214">
        <v>0</v>
      </c>
      <c r="X540" s="214">
        <v>0</v>
      </c>
      <c r="Y540" s="214">
        <v>0</v>
      </c>
      <c r="Z540" s="214">
        <v>0</v>
      </c>
      <c r="AA540" s="214">
        <v>0</v>
      </c>
      <c r="AB540" s="214">
        <v>0</v>
      </c>
      <c r="AC540" s="214">
        <v>0</v>
      </c>
      <c r="AD540" s="214"/>
      <c r="AE540" s="420">
        <v>0</v>
      </c>
      <c r="AF540" s="420">
        <v>0</v>
      </c>
      <c r="AG540" s="420">
        <v>0</v>
      </c>
      <c r="AH540" s="420"/>
      <c r="AI540" s="574">
        <f t="shared" si="13"/>
        <v>0</v>
      </c>
      <c r="AJ540" s="212"/>
    </row>
    <row r="541" spans="2:36" ht="14.4">
      <c r="B541" s="211"/>
      <c r="C541" s="213" t="s">
        <v>61</v>
      </c>
      <c r="D541" s="214">
        <v>1950</v>
      </c>
      <c r="E541" s="214">
        <v>275</v>
      </c>
      <c r="F541" s="214">
        <v>0</v>
      </c>
      <c r="G541" s="214">
        <v>0</v>
      </c>
      <c r="H541" s="214">
        <v>225</v>
      </c>
      <c r="I541" s="214">
        <v>0</v>
      </c>
      <c r="J541" s="214">
        <v>650</v>
      </c>
      <c r="K541" s="214">
        <v>0</v>
      </c>
      <c r="L541" s="214">
        <v>0</v>
      </c>
      <c r="M541" s="214">
        <v>400</v>
      </c>
      <c r="N541" s="214">
        <v>750</v>
      </c>
      <c r="O541" s="214">
        <v>0</v>
      </c>
      <c r="P541" s="214">
        <v>330</v>
      </c>
      <c r="Q541" s="214">
        <v>1500</v>
      </c>
      <c r="R541" s="214">
        <v>0</v>
      </c>
      <c r="S541" s="214">
        <v>80</v>
      </c>
      <c r="T541" s="214">
        <v>0</v>
      </c>
      <c r="U541" s="214">
        <v>0</v>
      </c>
      <c r="V541" s="214">
        <v>0</v>
      </c>
      <c r="W541" s="214">
        <v>0</v>
      </c>
      <c r="X541" s="214">
        <v>0</v>
      </c>
      <c r="Y541" s="214">
        <v>0</v>
      </c>
      <c r="Z541" s="214">
        <v>0</v>
      </c>
      <c r="AA541" s="214">
        <v>0</v>
      </c>
      <c r="AB541" s="214">
        <v>0</v>
      </c>
      <c r="AC541" s="214">
        <v>0</v>
      </c>
      <c r="AD541" s="214"/>
      <c r="AE541" s="420">
        <v>1000</v>
      </c>
      <c r="AF541" s="420">
        <v>0</v>
      </c>
      <c r="AG541" s="420">
        <v>0</v>
      </c>
      <c r="AH541" s="420"/>
      <c r="AI541" s="574">
        <f t="shared" si="13"/>
        <v>7160</v>
      </c>
      <c r="AJ541" s="212"/>
    </row>
    <row r="542" spans="2:36" ht="14.4">
      <c r="B542" s="211"/>
      <c r="C542" s="213" t="s">
        <v>62</v>
      </c>
      <c r="D542" s="214">
        <v>102358</v>
      </c>
      <c r="E542" s="214">
        <v>4550</v>
      </c>
      <c r="F542" s="214">
        <v>0</v>
      </c>
      <c r="G542" s="214">
        <v>0</v>
      </c>
      <c r="H542" s="214">
        <v>450</v>
      </c>
      <c r="I542" s="214">
        <v>0</v>
      </c>
      <c r="J542" s="214">
        <v>0</v>
      </c>
      <c r="K542" s="214">
        <v>0</v>
      </c>
      <c r="L542" s="214">
        <v>0</v>
      </c>
      <c r="M542" s="214">
        <v>0</v>
      </c>
      <c r="N542" s="214">
        <v>0</v>
      </c>
      <c r="O542" s="214">
        <v>0</v>
      </c>
      <c r="P542" s="214">
        <v>0</v>
      </c>
      <c r="Q542" s="214">
        <v>0</v>
      </c>
      <c r="R542" s="214">
        <v>0</v>
      </c>
      <c r="S542" s="214">
        <v>0</v>
      </c>
      <c r="T542" s="214">
        <v>1538</v>
      </c>
      <c r="U542" s="214">
        <v>0</v>
      </c>
      <c r="V542" s="214">
        <v>0</v>
      </c>
      <c r="W542" s="214">
        <v>0</v>
      </c>
      <c r="X542" s="214">
        <v>0</v>
      </c>
      <c r="Y542" s="214">
        <v>0</v>
      </c>
      <c r="Z542" s="214">
        <v>0</v>
      </c>
      <c r="AA542" s="214">
        <v>0</v>
      </c>
      <c r="AB542" s="214">
        <v>0</v>
      </c>
      <c r="AC542" s="214">
        <v>0</v>
      </c>
      <c r="AD542" s="214"/>
      <c r="AE542" s="420">
        <v>0</v>
      </c>
      <c r="AF542" s="420">
        <v>0</v>
      </c>
      <c r="AG542" s="420">
        <v>0</v>
      </c>
      <c r="AH542" s="420"/>
      <c r="AI542" s="574">
        <f t="shared" si="13"/>
        <v>108896</v>
      </c>
      <c r="AJ542" s="212"/>
    </row>
    <row r="543" spans="2:36" ht="14.4">
      <c r="B543" s="211"/>
      <c r="C543" s="213" t="s">
        <v>63</v>
      </c>
      <c r="D543" s="214">
        <v>0</v>
      </c>
      <c r="E543" s="214">
        <v>142.96</v>
      </c>
      <c r="F543" s="214">
        <v>0</v>
      </c>
      <c r="G543" s="214">
        <v>0</v>
      </c>
      <c r="H543" s="214">
        <v>0</v>
      </c>
      <c r="I543" s="214">
        <v>0</v>
      </c>
      <c r="J543" s="214">
        <v>0</v>
      </c>
      <c r="K543" s="214">
        <v>0</v>
      </c>
      <c r="L543" s="214">
        <v>0</v>
      </c>
      <c r="M543" s="214">
        <v>0</v>
      </c>
      <c r="N543" s="214">
        <v>0</v>
      </c>
      <c r="O543" s="214">
        <v>0</v>
      </c>
      <c r="P543" s="214">
        <v>0</v>
      </c>
      <c r="Q543" s="214">
        <v>0</v>
      </c>
      <c r="R543" s="214">
        <v>0</v>
      </c>
      <c r="S543" s="214">
        <v>0</v>
      </c>
      <c r="T543" s="214">
        <v>0</v>
      </c>
      <c r="U543" s="214">
        <v>0</v>
      </c>
      <c r="V543" s="214">
        <v>0</v>
      </c>
      <c r="W543" s="214">
        <v>0</v>
      </c>
      <c r="X543" s="214">
        <v>0</v>
      </c>
      <c r="Y543" s="214">
        <v>0</v>
      </c>
      <c r="Z543" s="214">
        <v>0</v>
      </c>
      <c r="AA543" s="214">
        <v>0</v>
      </c>
      <c r="AB543" s="214">
        <v>0</v>
      </c>
      <c r="AC543" s="214">
        <v>0</v>
      </c>
      <c r="AD543" s="214"/>
      <c r="AE543" s="420">
        <v>0</v>
      </c>
      <c r="AF543" s="420">
        <v>0</v>
      </c>
      <c r="AG543" s="420">
        <v>0</v>
      </c>
      <c r="AH543" s="420"/>
      <c r="AI543" s="574">
        <f t="shared" si="13"/>
        <v>142.96</v>
      </c>
      <c r="AJ543" s="212"/>
    </row>
    <row r="544" spans="2:36" ht="14.4">
      <c r="B544" s="211"/>
      <c r="C544" s="213" t="s">
        <v>64</v>
      </c>
      <c r="D544" s="214">
        <v>4500</v>
      </c>
      <c r="E544" s="214">
        <v>17200</v>
      </c>
      <c r="F544" s="214">
        <v>15000</v>
      </c>
      <c r="G544" s="214">
        <v>8400</v>
      </c>
      <c r="H544" s="214">
        <v>19600</v>
      </c>
      <c r="I544" s="214">
        <v>0</v>
      </c>
      <c r="J544" s="214">
        <v>200</v>
      </c>
      <c r="K544" s="214">
        <v>0</v>
      </c>
      <c r="L544" s="214">
        <v>0</v>
      </c>
      <c r="M544" s="214">
        <v>0</v>
      </c>
      <c r="N544" s="214">
        <v>0</v>
      </c>
      <c r="O544" s="214">
        <v>10000</v>
      </c>
      <c r="P544" s="214">
        <v>5200</v>
      </c>
      <c r="Q544" s="214">
        <v>17000</v>
      </c>
      <c r="R544" s="214">
        <v>2700</v>
      </c>
      <c r="S544" s="214">
        <v>6400</v>
      </c>
      <c r="T544" s="214">
        <v>3700</v>
      </c>
      <c r="U544" s="214">
        <v>0</v>
      </c>
      <c r="V544" s="214">
        <v>0</v>
      </c>
      <c r="W544" s="214">
        <v>0</v>
      </c>
      <c r="X544" s="214">
        <v>0</v>
      </c>
      <c r="Y544" s="214">
        <v>0</v>
      </c>
      <c r="Z544" s="214">
        <v>0</v>
      </c>
      <c r="AA544" s="214">
        <v>0</v>
      </c>
      <c r="AB544" s="214">
        <v>600</v>
      </c>
      <c r="AC544" s="214">
        <v>0</v>
      </c>
      <c r="AD544" s="214"/>
      <c r="AE544" s="420">
        <v>0</v>
      </c>
      <c r="AF544" s="420">
        <v>100</v>
      </c>
      <c r="AG544" s="420">
        <v>0</v>
      </c>
      <c r="AH544" s="420"/>
      <c r="AI544" s="574">
        <f t="shared" si="13"/>
        <v>110600</v>
      </c>
      <c r="AJ544" s="212"/>
    </row>
    <row r="545" spans="2:36" ht="14.4">
      <c r="B545" s="211"/>
      <c r="C545" s="213" t="s">
        <v>28</v>
      </c>
      <c r="D545" s="214">
        <v>16425</v>
      </c>
      <c r="E545" s="214">
        <v>0</v>
      </c>
      <c r="F545" s="214">
        <v>0</v>
      </c>
      <c r="G545" s="214">
        <v>0</v>
      </c>
      <c r="H545" s="214">
        <v>0</v>
      </c>
      <c r="I545" s="214">
        <v>0</v>
      </c>
      <c r="J545" s="214">
        <v>0</v>
      </c>
      <c r="K545" s="214">
        <v>0</v>
      </c>
      <c r="L545" s="214">
        <v>0</v>
      </c>
      <c r="M545" s="214">
        <v>0</v>
      </c>
      <c r="N545" s="214">
        <v>0</v>
      </c>
      <c r="O545" s="214">
        <v>0</v>
      </c>
      <c r="P545" s="214">
        <v>0</v>
      </c>
      <c r="Q545" s="214">
        <v>0</v>
      </c>
      <c r="R545" s="214">
        <v>0</v>
      </c>
      <c r="S545" s="214">
        <v>0</v>
      </c>
      <c r="T545" s="214">
        <v>0</v>
      </c>
      <c r="U545" s="214">
        <v>0</v>
      </c>
      <c r="V545" s="214">
        <v>0</v>
      </c>
      <c r="W545" s="214">
        <v>0</v>
      </c>
      <c r="X545" s="214">
        <v>0</v>
      </c>
      <c r="Y545" s="214">
        <v>0</v>
      </c>
      <c r="Z545" s="214">
        <v>0</v>
      </c>
      <c r="AA545" s="214">
        <v>0</v>
      </c>
      <c r="AB545" s="214">
        <v>0</v>
      </c>
      <c r="AC545" s="214">
        <v>0</v>
      </c>
      <c r="AD545" s="214"/>
      <c r="AE545" s="420">
        <v>0</v>
      </c>
      <c r="AF545" s="420">
        <v>0</v>
      </c>
      <c r="AG545" s="420">
        <v>0</v>
      </c>
      <c r="AH545" s="420"/>
      <c r="AI545" s="574">
        <f t="shared" si="13"/>
        <v>16425</v>
      </c>
      <c r="AJ545" s="212"/>
    </row>
    <row r="546" spans="2:36" ht="14.4">
      <c r="B546" s="211"/>
      <c r="C546" s="213" t="s">
        <v>157</v>
      </c>
      <c r="D546" s="214">
        <v>0</v>
      </c>
      <c r="E546" s="214">
        <v>0</v>
      </c>
      <c r="F546" s="214">
        <v>726.03</v>
      </c>
      <c r="G546" s="214">
        <v>0</v>
      </c>
      <c r="H546" s="214">
        <v>0</v>
      </c>
      <c r="I546" s="214">
        <v>0</v>
      </c>
      <c r="J546" s="214">
        <v>0</v>
      </c>
      <c r="K546" s="214">
        <v>0</v>
      </c>
      <c r="L546" s="214">
        <v>0</v>
      </c>
      <c r="M546" s="214">
        <v>0</v>
      </c>
      <c r="N546" s="214">
        <v>0</v>
      </c>
      <c r="O546" s="214">
        <v>0</v>
      </c>
      <c r="P546" s="214">
        <v>157.34</v>
      </c>
      <c r="Q546" s="214">
        <v>1292.79</v>
      </c>
      <c r="R546" s="214">
        <v>926.48</v>
      </c>
      <c r="S546" s="214">
        <v>0</v>
      </c>
      <c r="T546" s="214">
        <v>0</v>
      </c>
      <c r="U546" s="214">
        <v>0</v>
      </c>
      <c r="V546" s="214">
        <v>0</v>
      </c>
      <c r="W546" s="214">
        <v>0</v>
      </c>
      <c r="X546" s="214">
        <v>0</v>
      </c>
      <c r="Y546" s="214">
        <v>0</v>
      </c>
      <c r="Z546" s="214">
        <v>0</v>
      </c>
      <c r="AA546" s="214">
        <v>0</v>
      </c>
      <c r="AB546" s="214">
        <v>0</v>
      </c>
      <c r="AC546" s="214">
        <v>0</v>
      </c>
      <c r="AD546" s="214"/>
      <c r="AE546" s="420">
        <v>91.63</v>
      </c>
      <c r="AF546" s="420">
        <v>0</v>
      </c>
      <c r="AG546" s="420">
        <v>0</v>
      </c>
      <c r="AH546" s="420"/>
      <c r="AI546" s="574">
        <f t="shared" si="13"/>
        <v>3194.27</v>
      </c>
      <c r="AJ546" s="212"/>
    </row>
    <row r="547" spans="2:36" ht="14.4">
      <c r="B547" s="211"/>
      <c r="C547" s="213" t="s">
        <v>65</v>
      </c>
      <c r="D547" s="214">
        <v>38000</v>
      </c>
      <c r="E547" s="214">
        <v>0</v>
      </c>
      <c r="F547" s="214">
        <v>0</v>
      </c>
      <c r="G547" s="214">
        <v>0</v>
      </c>
      <c r="H547" s="214">
        <v>0</v>
      </c>
      <c r="I547" s="214">
        <v>0</v>
      </c>
      <c r="J547" s="214">
        <v>0</v>
      </c>
      <c r="K547" s="214">
        <v>0</v>
      </c>
      <c r="L547" s="214">
        <v>0</v>
      </c>
      <c r="M547" s="214">
        <v>0</v>
      </c>
      <c r="N547" s="214">
        <v>0</v>
      </c>
      <c r="O547" s="214">
        <v>0</v>
      </c>
      <c r="P547" s="214">
        <v>0</v>
      </c>
      <c r="Q547" s="214">
        <v>0</v>
      </c>
      <c r="R547" s="214">
        <v>0</v>
      </c>
      <c r="S547" s="214">
        <v>0</v>
      </c>
      <c r="T547" s="214">
        <v>0</v>
      </c>
      <c r="U547" s="214">
        <v>0</v>
      </c>
      <c r="V547" s="214">
        <v>0</v>
      </c>
      <c r="W547" s="214">
        <v>0</v>
      </c>
      <c r="X547" s="214">
        <v>0</v>
      </c>
      <c r="Y547" s="214">
        <v>0</v>
      </c>
      <c r="Z547" s="214">
        <v>0</v>
      </c>
      <c r="AA547" s="214">
        <v>0</v>
      </c>
      <c r="AB547" s="214">
        <v>0</v>
      </c>
      <c r="AC547" s="214">
        <v>0</v>
      </c>
      <c r="AD547" s="214"/>
      <c r="AE547" s="420">
        <v>0</v>
      </c>
      <c r="AF547" s="420">
        <v>0</v>
      </c>
      <c r="AG547" s="420">
        <v>0</v>
      </c>
      <c r="AH547" s="420"/>
      <c r="AI547" s="574">
        <f t="shared" si="13"/>
        <v>38000</v>
      </c>
      <c r="AJ547" s="212"/>
    </row>
    <row r="548" spans="2:36" ht="14.4">
      <c r="B548" s="211"/>
      <c r="C548" s="213" t="s">
        <v>66</v>
      </c>
      <c r="D548" s="214">
        <v>0</v>
      </c>
      <c r="E548" s="214">
        <v>0</v>
      </c>
      <c r="F548" s="214">
        <v>0</v>
      </c>
      <c r="G548" s="214">
        <v>0</v>
      </c>
      <c r="H548" s="214">
        <v>0</v>
      </c>
      <c r="I548" s="214">
        <v>0</v>
      </c>
      <c r="J548" s="214">
        <v>0</v>
      </c>
      <c r="K548" s="214">
        <v>0</v>
      </c>
      <c r="L548" s="214">
        <v>0</v>
      </c>
      <c r="M548" s="214">
        <v>0</v>
      </c>
      <c r="N548" s="214">
        <v>0</v>
      </c>
      <c r="O548" s="214">
        <v>0</v>
      </c>
      <c r="P548" s="214">
        <v>0</v>
      </c>
      <c r="Q548" s="214">
        <v>0</v>
      </c>
      <c r="R548" s="214">
        <v>0</v>
      </c>
      <c r="S548" s="214">
        <v>0</v>
      </c>
      <c r="T548" s="214">
        <v>0</v>
      </c>
      <c r="U548" s="214">
        <v>0</v>
      </c>
      <c r="V548" s="214">
        <v>0</v>
      </c>
      <c r="W548" s="214">
        <v>0</v>
      </c>
      <c r="X548" s="214">
        <v>0</v>
      </c>
      <c r="Y548" s="214">
        <v>0</v>
      </c>
      <c r="Z548" s="214">
        <v>0</v>
      </c>
      <c r="AA548" s="214">
        <v>0</v>
      </c>
      <c r="AB548" s="214">
        <v>0</v>
      </c>
      <c r="AC548" s="214">
        <v>0</v>
      </c>
      <c r="AD548" s="214"/>
      <c r="AE548" s="420">
        <v>0</v>
      </c>
      <c r="AF548" s="420">
        <v>0</v>
      </c>
      <c r="AG548" s="420">
        <v>0</v>
      </c>
      <c r="AH548" s="420"/>
      <c r="AI548" s="574">
        <f t="shared" si="13"/>
        <v>0</v>
      </c>
      <c r="AJ548" s="212"/>
    </row>
    <row r="549" spans="2:36" ht="14.4">
      <c r="B549" s="211"/>
      <c r="C549" s="213" t="s">
        <v>30</v>
      </c>
      <c r="D549" s="214">
        <v>40324.58</v>
      </c>
      <c r="E549" s="214">
        <v>0</v>
      </c>
      <c r="F549" s="214">
        <v>0</v>
      </c>
      <c r="G549" s="214">
        <v>0</v>
      </c>
      <c r="H549" s="214">
        <v>0</v>
      </c>
      <c r="I549" s="214">
        <v>0</v>
      </c>
      <c r="J549" s="214">
        <v>0</v>
      </c>
      <c r="K549" s="214">
        <v>0</v>
      </c>
      <c r="L549" s="214">
        <v>0</v>
      </c>
      <c r="M549" s="214">
        <v>0</v>
      </c>
      <c r="N549" s="214">
        <v>0</v>
      </c>
      <c r="O549" s="214">
        <v>0</v>
      </c>
      <c r="P549" s="214">
        <v>0</v>
      </c>
      <c r="Q549" s="214">
        <v>0</v>
      </c>
      <c r="R549" s="214">
        <v>0</v>
      </c>
      <c r="S549" s="214">
        <v>0</v>
      </c>
      <c r="T549" s="214">
        <v>0</v>
      </c>
      <c r="U549" s="214">
        <v>0</v>
      </c>
      <c r="V549" s="214">
        <v>0</v>
      </c>
      <c r="W549" s="214">
        <v>0</v>
      </c>
      <c r="X549" s="214">
        <v>0</v>
      </c>
      <c r="Y549" s="214">
        <v>0</v>
      </c>
      <c r="Z549" s="214">
        <v>0</v>
      </c>
      <c r="AA549" s="214">
        <v>0</v>
      </c>
      <c r="AB549" s="214">
        <v>0</v>
      </c>
      <c r="AC549" s="214">
        <v>0</v>
      </c>
      <c r="AD549" s="214"/>
      <c r="AE549" s="420">
        <v>0</v>
      </c>
      <c r="AF549" s="420">
        <v>0</v>
      </c>
      <c r="AG549" s="420">
        <v>0</v>
      </c>
      <c r="AH549" s="420"/>
      <c r="AI549" s="574">
        <f t="shared" si="13"/>
        <v>40324.58</v>
      </c>
      <c r="AJ549" s="212"/>
    </row>
    <row r="550" spans="2:36" ht="14.4">
      <c r="B550" s="211"/>
      <c r="C550" s="213" t="s">
        <v>67</v>
      </c>
      <c r="D550" s="214">
        <v>0</v>
      </c>
      <c r="E550" s="214">
        <v>0</v>
      </c>
      <c r="F550" s="214">
        <v>0</v>
      </c>
      <c r="G550" s="214">
        <v>0</v>
      </c>
      <c r="H550" s="214">
        <v>0</v>
      </c>
      <c r="I550" s="214">
        <v>0</v>
      </c>
      <c r="J550" s="214">
        <v>0</v>
      </c>
      <c r="K550" s="214">
        <v>0</v>
      </c>
      <c r="L550" s="214">
        <v>0</v>
      </c>
      <c r="M550" s="214">
        <v>0</v>
      </c>
      <c r="N550" s="214">
        <v>0</v>
      </c>
      <c r="O550" s="214">
        <v>0</v>
      </c>
      <c r="P550" s="214">
        <v>0</v>
      </c>
      <c r="Q550" s="214">
        <v>0</v>
      </c>
      <c r="R550" s="214">
        <v>0</v>
      </c>
      <c r="S550" s="214">
        <v>0</v>
      </c>
      <c r="T550" s="214">
        <v>0</v>
      </c>
      <c r="U550" s="214">
        <v>0</v>
      </c>
      <c r="V550" s="214">
        <v>0</v>
      </c>
      <c r="W550" s="214">
        <v>0</v>
      </c>
      <c r="X550" s="214">
        <v>0</v>
      </c>
      <c r="Y550" s="214">
        <v>0</v>
      </c>
      <c r="Z550" s="214">
        <v>0</v>
      </c>
      <c r="AA550" s="214">
        <v>0</v>
      </c>
      <c r="AB550" s="214">
        <v>0</v>
      </c>
      <c r="AC550" s="214">
        <v>0</v>
      </c>
      <c r="AD550" s="214"/>
      <c r="AE550" s="420">
        <v>0</v>
      </c>
      <c r="AF550" s="420">
        <v>0</v>
      </c>
      <c r="AG550" s="420">
        <v>0</v>
      </c>
      <c r="AH550" s="420"/>
      <c r="AI550" s="574">
        <f t="shared" si="13"/>
        <v>0</v>
      </c>
      <c r="AJ550" s="212"/>
    </row>
    <row r="551" spans="2:36" ht="14.4">
      <c r="B551" s="211"/>
      <c r="C551" s="213" t="s">
        <v>111</v>
      </c>
      <c r="D551" s="214">
        <v>200</v>
      </c>
      <c r="E551" s="214">
        <v>0</v>
      </c>
      <c r="F551" s="214">
        <v>500</v>
      </c>
      <c r="G551" s="214">
        <v>0</v>
      </c>
      <c r="H551" s="214">
        <v>1100</v>
      </c>
      <c r="I551" s="214">
        <v>0</v>
      </c>
      <c r="J551" s="214">
        <v>0</v>
      </c>
      <c r="K551" s="214">
        <v>0</v>
      </c>
      <c r="L551" s="214">
        <v>0</v>
      </c>
      <c r="M551" s="214">
        <v>0</v>
      </c>
      <c r="N551" s="214">
        <v>0</v>
      </c>
      <c r="O551" s="214">
        <v>600</v>
      </c>
      <c r="P551" s="214">
        <v>100</v>
      </c>
      <c r="Q551" s="214">
        <v>200</v>
      </c>
      <c r="R551" s="214">
        <v>0</v>
      </c>
      <c r="S551" s="214">
        <v>0</v>
      </c>
      <c r="T551" s="214">
        <v>0</v>
      </c>
      <c r="U551" s="214">
        <v>0</v>
      </c>
      <c r="V551" s="214">
        <v>0</v>
      </c>
      <c r="W551" s="214">
        <v>0</v>
      </c>
      <c r="X551" s="214">
        <v>0</v>
      </c>
      <c r="Y551" s="214">
        <v>0</v>
      </c>
      <c r="Z551" s="214">
        <v>0</v>
      </c>
      <c r="AA551" s="214">
        <v>0</v>
      </c>
      <c r="AB551" s="214">
        <v>0</v>
      </c>
      <c r="AC551" s="214">
        <v>0</v>
      </c>
      <c r="AD551" s="214"/>
      <c r="AE551" s="420">
        <v>500</v>
      </c>
      <c r="AF551" s="420">
        <v>0</v>
      </c>
      <c r="AG551" s="420">
        <v>0</v>
      </c>
      <c r="AH551" s="420"/>
      <c r="AI551" s="574">
        <f t="shared" si="13"/>
        <v>3200</v>
      </c>
      <c r="AJ551" s="212"/>
    </row>
    <row r="552" spans="2:36" ht="14.4">
      <c r="B552" s="211"/>
      <c r="C552" s="213" t="s">
        <v>68</v>
      </c>
      <c r="D552" s="214">
        <v>0</v>
      </c>
      <c r="E552" s="214">
        <v>3110</v>
      </c>
      <c r="F552" s="214">
        <v>3110</v>
      </c>
      <c r="G552" s="214">
        <v>3110</v>
      </c>
      <c r="H552" s="214">
        <v>3110</v>
      </c>
      <c r="I552" s="214">
        <v>0</v>
      </c>
      <c r="J552" s="214">
        <v>0</v>
      </c>
      <c r="K552" s="214">
        <v>0</v>
      </c>
      <c r="L552" s="214">
        <v>0</v>
      </c>
      <c r="M552" s="214">
        <v>3110</v>
      </c>
      <c r="N552" s="214">
        <v>0</v>
      </c>
      <c r="O552" s="214">
        <v>3110</v>
      </c>
      <c r="P552" s="214">
        <v>3110</v>
      </c>
      <c r="Q552" s="214">
        <v>3110</v>
      </c>
      <c r="R552" s="214">
        <v>3110</v>
      </c>
      <c r="S552" s="214">
        <v>3110</v>
      </c>
      <c r="T552" s="214">
        <v>0</v>
      </c>
      <c r="U552" s="214">
        <v>0</v>
      </c>
      <c r="V552" s="214">
        <v>0</v>
      </c>
      <c r="W552" s="214">
        <v>0</v>
      </c>
      <c r="X552" s="214">
        <v>0</v>
      </c>
      <c r="Y552" s="214">
        <v>0</v>
      </c>
      <c r="Z552" s="214">
        <v>0</v>
      </c>
      <c r="AA552" s="214">
        <v>0</v>
      </c>
      <c r="AB552" s="214">
        <v>0</v>
      </c>
      <c r="AC552" s="214">
        <v>0</v>
      </c>
      <c r="AD552" s="214"/>
      <c r="AE552" s="420">
        <v>3110</v>
      </c>
      <c r="AF552" s="420">
        <v>0</v>
      </c>
      <c r="AG552" s="420">
        <v>0</v>
      </c>
      <c r="AH552" s="420"/>
      <c r="AI552" s="574">
        <f t="shared" si="13"/>
        <v>34210</v>
      </c>
      <c r="AJ552" s="212"/>
    </row>
    <row r="553" spans="2:36" ht="14.4">
      <c r="B553" s="211"/>
      <c r="C553" s="213" t="s">
        <v>69</v>
      </c>
      <c r="D553" s="214">
        <v>0</v>
      </c>
      <c r="E553" s="214">
        <v>0</v>
      </c>
      <c r="F553" s="214">
        <v>0</v>
      </c>
      <c r="G553" s="214">
        <v>0</v>
      </c>
      <c r="H553" s="214">
        <v>0</v>
      </c>
      <c r="I553" s="214">
        <v>0</v>
      </c>
      <c r="J553" s="214">
        <v>0</v>
      </c>
      <c r="K553" s="214">
        <v>0</v>
      </c>
      <c r="L553" s="214">
        <v>0</v>
      </c>
      <c r="M553" s="214">
        <v>0</v>
      </c>
      <c r="N553" s="214">
        <v>0</v>
      </c>
      <c r="O553" s="214">
        <v>0</v>
      </c>
      <c r="P553" s="214">
        <v>0</v>
      </c>
      <c r="Q553" s="214">
        <v>0</v>
      </c>
      <c r="R553" s="214">
        <v>0</v>
      </c>
      <c r="S553" s="214">
        <v>0</v>
      </c>
      <c r="T553" s="214">
        <v>0</v>
      </c>
      <c r="U553" s="214">
        <v>0</v>
      </c>
      <c r="V553" s="214">
        <v>0</v>
      </c>
      <c r="W553" s="214">
        <v>0</v>
      </c>
      <c r="X553" s="214">
        <v>0</v>
      </c>
      <c r="Y553" s="214">
        <v>0</v>
      </c>
      <c r="Z553" s="214">
        <v>0</v>
      </c>
      <c r="AA553" s="214">
        <v>0</v>
      </c>
      <c r="AB553" s="214">
        <v>0</v>
      </c>
      <c r="AC553" s="214">
        <v>0</v>
      </c>
      <c r="AD553" s="214"/>
      <c r="AE553" s="420">
        <v>0</v>
      </c>
      <c r="AF553" s="420">
        <v>0</v>
      </c>
      <c r="AG553" s="420">
        <v>0</v>
      </c>
      <c r="AH553" s="420"/>
      <c r="AI553" s="574">
        <f t="shared" si="13"/>
        <v>0</v>
      </c>
      <c r="AJ553" s="212"/>
    </row>
    <row r="554" spans="2:36" ht="14.4">
      <c r="B554" s="211"/>
      <c r="C554" s="213" t="s">
        <v>70</v>
      </c>
      <c r="D554" s="214">
        <v>4790</v>
      </c>
      <c r="E554" s="214">
        <v>0</v>
      </c>
      <c r="F554" s="214">
        <v>0</v>
      </c>
      <c r="G554" s="214">
        <v>0</v>
      </c>
      <c r="H554" s="214">
        <v>0</v>
      </c>
      <c r="I554" s="214">
        <v>400</v>
      </c>
      <c r="J554" s="214">
        <v>0</v>
      </c>
      <c r="K554" s="214">
        <v>0</v>
      </c>
      <c r="L554" s="214">
        <v>0</v>
      </c>
      <c r="M554" s="214">
        <v>0</v>
      </c>
      <c r="N554" s="214">
        <v>0</v>
      </c>
      <c r="O554" s="214">
        <v>0</v>
      </c>
      <c r="P554" s="214">
        <v>0</v>
      </c>
      <c r="Q554" s="214">
        <v>0</v>
      </c>
      <c r="R554" s="214">
        <v>0</v>
      </c>
      <c r="S554" s="214">
        <v>0</v>
      </c>
      <c r="T554" s="214">
        <v>0</v>
      </c>
      <c r="U554" s="214">
        <v>0</v>
      </c>
      <c r="V554" s="214">
        <v>0</v>
      </c>
      <c r="W554" s="214">
        <v>0</v>
      </c>
      <c r="X554" s="214">
        <v>0</v>
      </c>
      <c r="Y554" s="214">
        <v>600</v>
      </c>
      <c r="Z554" s="214">
        <v>0</v>
      </c>
      <c r="AA554" s="214">
        <v>0</v>
      </c>
      <c r="AB554" s="214">
        <v>0</v>
      </c>
      <c r="AC554" s="214">
        <v>0</v>
      </c>
      <c r="AD554" s="214"/>
      <c r="AE554" s="420">
        <v>0</v>
      </c>
      <c r="AF554" s="420">
        <v>0</v>
      </c>
      <c r="AG554" s="420">
        <v>0</v>
      </c>
      <c r="AH554" s="420"/>
      <c r="AI554" s="574">
        <f t="shared" si="13"/>
        <v>5790</v>
      </c>
      <c r="AJ554" s="212"/>
    </row>
    <row r="555" spans="2:36" ht="14.4">
      <c r="B555" s="211"/>
      <c r="C555" s="213" t="s">
        <v>71</v>
      </c>
      <c r="D555" s="214">
        <v>0</v>
      </c>
      <c r="E555" s="214">
        <v>0</v>
      </c>
      <c r="F555" s="214">
        <v>0</v>
      </c>
      <c r="G555" s="214">
        <v>0</v>
      </c>
      <c r="H555" s="214">
        <v>0</v>
      </c>
      <c r="I555" s="214">
        <v>0</v>
      </c>
      <c r="J555" s="214">
        <v>0</v>
      </c>
      <c r="K555" s="214">
        <v>0</v>
      </c>
      <c r="L555" s="214">
        <v>0</v>
      </c>
      <c r="M555" s="214">
        <v>0</v>
      </c>
      <c r="N555" s="214">
        <v>0</v>
      </c>
      <c r="O555" s="214">
        <v>0</v>
      </c>
      <c r="P555" s="214">
        <v>0</v>
      </c>
      <c r="Q555" s="214">
        <v>0</v>
      </c>
      <c r="R555" s="214">
        <v>0</v>
      </c>
      <c r="S555" s="214">
        <v>0</v>
      </c>
      <c r="T555" s="214">
        <v>0</v>
      </c>
      <c r="U555" s="214">
        <v>0</v>
      </c>
      <c r="V555" s="214">
        <v>0</v>
      </c>
      <c r="W555" s="214">
        <v>0</v>
      </c>
      <c r="X555" s="214">
        <v>0</v>
      </c>
      <c r="Y555" s="214">
        <v>0</v>
      </c>
      <c r="Z555" s="214">
        <v>0</v>
      </c>
      <c r="AA555" s="214">
        <v>0</v>
      </c>
      <c r="AB555" s="214">
        <v>0</v>
      </c>
      <c r="AC555" s="214">
        <v>0</v>
      </c>
      <c r="AD555" s="214"/>
      <c r="AE555" s="420">
        <v>0</v>
      </c>
      <c r="AF555" s="420">
        <v>0</v>
      </c>
      <c r="AG555" s="420">
        <v>0</v>
      </c>
      <c r="AH555" s="420"/>
      <c r="AI555" s="574">
        <f t="shared" si="13"/>
        <v>0</v>
      </c>
      <c r="AJ555" s="212"/>
    </row>
    <row r="556" spans="2:36" ht="14.4">
      <c r="B556" s="211"/>
      <c r="C556" s="213" t="s">
        <v>159</v>
      </c>
      <c r="D556" s="214">
        <v>19360</v>
      </c>
      <c r="E556" s="214">
        <v>0</v>
      </c>
      <c r="F556" s="214">
        <v>0</v>
      </c>
      <c r="G556" s="214">
        <v>0</v>
      </c>
      <c r="H556" s="214">
        <v>0</v>
      </c>
      <c r="I556" s="214">
        <v>0</v>
      </c>
      <c r="J556" s="214">
        <v>0</v>
      </c>
      <c r="K556" s="214">
        <v>0</v>
      </c>
      <c r="L556" s="214">
        <v>0</v>
      </c>
      <c r="M556" s="214">
        <v>0</v>
      </c>
      <c r="N556" s="214">
        <v>0</v>
      </c>
      <c r="O556" s="214">
        <v>0</v>
      </c>
      <c r="P556" s="214">
        <v>0</v>
      </c>
      <c r="Q556" s="214">
        <v>0</v>
      </c>
      <c r="R556" s="214">
        <v>0</v>
      </c>
      <c r="S556" s="214">
        <v>0</v>
      </c>
      <c r="T556" s="214">
        <v>0</v>
      </c>
      <c r="U556" s="214">
        <v>0</v>
      </c>
      <c r="V556" s="214">
        <v>0</v>
      </c>
      <c r="W556" s="214">
        <v>0</v>
      </c>
      <c r="X556" s="214">
        <v>0</v>
      </c>
      <c r="Y556" s="214">
        <v>0</v>
      </c>
      <c r="Z556" s="214">
        <v>0</v>
      </c>
      <c r="AA556" s="214">
        <v>0</v>
      </c>
      <c r="AB556" s="214">
        <v>0</v>
      </c>
      <c r="AC556" s="214">
        <v>0</v>
      </c>
      <c r="AD556" s="214"/>
      <c r="AE556" s="420">
        <v>0</v>
      </c>
      <c r="AF556" s="420">
        <v>0</v>
      </c>
      <c r="AG556" s="420">
        <v>0</v>
      </c>
      <c r="AH556" s="420"/>
      <c r="AI556" s="574">
        <f t="shared" si="13"/>
        <v>19360</v>
      </c>
      <c r="AJ556" s="212"/>
    </row>
    <row r="557" spans="2:36" ht="14.4">
      <c r="B557" s="211"/>
      <c r="C557" s="213" t="s">
        <v>72</v>
      </c>
      <c r="D557" s="214">
        <v>6000</v>
      </c>
      <c r="E557" s="214">
        <v>0</v>
      </c>
      <c r="F557" s="214">
        <v>0</v>
      </c>
      <c r="G557" s="214">
        <v>0</v>
      </c>
      <c r="H557" s="214">
        <v>0</v>
      </c>
      <c r="I557" s="214">
        <v>0</v>
      </c>
      <c r="J557" s="214">
        <v>0</v>
      </c>
      <c r="K557" s="214">
        <v>0</v>
      </c>
      <c r="L557" s="214">
        <v>0</v>
      </c>
      <c r="M557" s="214">
        <v>0</v>
      </c>
      <c r="N557" s="214">
        <v>0</v>
      </c>
      <c r="O557" s="214">
        <v>0</v>
      </c>
      <c r="P557" s="214">
        <v>0</v>
      </c>
      <c r="Q557" s="214">
        <v>0</v>
      </c>
      <c r="R557" s="214">
        <v>0</v>
      </c>
      <c r="S557" s="214">
        <v>0</v>
      </c>
      <c r="T557" s="214">
        <v>0</v>
      </c>
      <c r="U557" s="214">
        <v>0</v>
      </c>
      <c r="V557" s="214">
        <v>0</v>
      </c>
      <c r="W557" s="214">
        <v>0</v>
      </c>
      <c r="X557" s="214">
        <v>0</v>
      </c>
      <c r="Y557" s="214">
        <v>0</v>
      </c>
      <c r="Z557" s="214">
        <v>0</v>
      </c>
      <c r="AA557" s="214">
        <v>0</v>
      </c>
      <c r="AB557" s="214">
        <v>0</v>
      </c>
      <c r="AC557" s="214">
        <v>0</v>
      </c>
      <c r="AD557" s="214"/>
      <c r="AE557" s="420">
        <v>0</v>
      </c>
      <c r="AF557" s="420">
        <v>0</v>
      </c>
      <c r="AG557" s="420">
        <v>0</v>
      </c>
      <c r="AH557" s="420"/>
      <c r="AI557" s="574">
        <f t="shared" si="13"/>
        <v>6000</v>
      </c>
      <c r="AJ557" s="212"/>
    </row>
    <row r="558" spans="2:36" ht="14.4">
      <c r="B558" s="211"/>
      <c r="C558" s="213" t="s">
        <v>73</v>
      </c>
      <c r="D558" s="214">
        <v>0</v>
      </c>
      <c r="E558" s="214">
        <v>0</v>
      </c>
      <c r="F558" s="214">
        <v>0</v>
      </c>
      <c r="G558" s="214">
        <v>0</v>
      </c>
      <c r="H558" s="214">
        <v>0</v>
      </c>
      <c r="I558" s="214">
        <v>0</v>
      </c>
      <c r="J558" s="214">
        <v>0</v>
      </c>
      <c r="K558" s="214">
        <v>0</v>
      </c>
      <c r="L558" s="214">
        <v>0</v>
      </c>
      <c r="M558" s="214">
        <v>0</v>
      </c>
      <c r="N558" s="214">
        <v>0</v>
      </c>
      <c r="O558" s="214">
        <v>0</v>
      </c>
      <c r="P558" s="214">
        <v>0</v>
      </c>
      <c r="Q558" s="214">
        <v>0</v>
      </c>
      <c r="R558" s="214">
        <v>0</v>
      </c>
      <c r="S558" s="214">
        <v>0</v>
      </c>
      <c r="T558" s="214">
        <v>0</v>
      </c>
      <c r="U558" s="214">
        <v>0</v>
      </c>
      <c r="V558" s="214">
        <v>0</v>
      </c>
      <c r="W558" s="214">
        <v>0</v>
      </c>
      <c r="X558" s="214">
        <v>0</v>
      </c>
      <c r="Y558" s="214">
        <v>0</v>
      </c>
      <c r="Z558" s="214">
        <v>0</v>
      </c>
      <c r="AA558" s="214">
        <v>0</v>
      </c>
      <c r="AB558" s="214">
        <v>0</v>
      </c>
      <c r="AC558" s="214">
        <v>0</v>
      </c>
      <c r="AD558" s="214"/>
      <c r="AE558" s="420">
        <v>0</v>
      </c>
      <c r="AF558" s="420">
        <v>0</v>
      </c>
      <c r="AG558" s="420">
        <v>0</v>
      </c>
      <c r="AH558" s="420"/>
      <c r="AI558" s="574">
        <f t="shared" si="13"/>
        <v>0</v>
      </c>
      <c r="AJ558" s="212"/>
    </row>
    <row r="559" spans="2:36" ht="14.4">
      <c r="B559" s="211"/>
      <c r="C559" s="213" t="s">
        <v>246</v>
      </c>
      <c r="D559" s="214">
        <v>2150</v>
      </c>
      <c r="E559" s="214">
        <v>0</v>
      </c>
      <c r="F559" s="214">
        <v>0</v>
      </c>
      <c r="G559" s="214">
        <v>0</v>
      </c>
      <c r="H559" s="214">
        <v>0</v>
      </c>
      <c r="I559" s="214">
        <v>0</v>
      </c>
      <c r="J559" s="214">
        <v>0</v>
      </c>
      <c r="K559" s="214">
        <v>0</v>
      </c>
      <c r="L559" s="214">
        <v>0</v>
      </c>
      <c r="M559" s="214">
        <v>0</v>
      </c>
      <c r="N559" s="214">
        <v>0</v>
      </c>
      <c r="O559" s="214">
        <v>0</v>
      </c>
      <c r="P559" s="214">
        <v>0</v>
      </c>
      <c r="Q559" s="214">
        <v>0</v>
      </c>
      <c r="R559" s="214">
        <v>0</v>
      </c>
      <c r="S559" s="214">
        <v>0</v>
      </c>
      <c r="T559" s="214">
        <v>0</v>
      </c>
      <c r="U559" s="214">
        <v>0</v>
      </c>
      <c r="V559" s="214">
        <v>0</v>
      </c>
      <c r="W559" s="214">
        <v>0</v>
      </c>
      <c r="X559" s="214">
        <v>0</v>
      </c>
      <c r="Y559" s="214">
        <v>0</v>
      </c>
      <c r="Z559" s="214">
        <v>0</v>
      </c>
      <c r="AA559" s="214">
        <v>0</v>
      </c>
      <c r="AB559" s="214">
        <v>0</v>
      </c>
      <c r="AC559" s="214">
        <v>0</v>
      </c>
      <c r="AD559" s="214"/>
      <c r="AE559" s="420">
        <v>0</v>
      </c>
      <c r="AF559" s="420">
        <v>0</v>
      </c>
      <c r="AG559" s="420">
        <v>0</v>
      </c>
      <c r="AH559" s="420"/>
      <c r="AI559" s="574">
        <f t="shared" si="13"/>
        <v>2150</v>
      </c>
      <c r="AJ559" s="212"/>
    </row>
    <row r="560" spans="2:36" ht="14.4">
      <c r="B560" s="211"/>
      <c r="C560" s="213" t="s">
        <v>75</v>
      </c>
      <c r="D560" s="214">
        <v>0</v>
      </c>
      <c r="E560" s="214">
        <v>0</v>
      </c>
      <c r="F560" s="214">
        <v>0</v>
      </c>
      <c r="G560" s="214">
        <v>0</v>
      </c>
      <c r="H560" s="214">
        <v>0</v>
      </c>
      <c r="I560" s="214">
        <v>0</v>
      </c>
      <c r="J560" s="214">
        <v>0</v>
      </c>
      <c r="K560" s="214">
        <v>0</v>
      </c>
      <c r="L560" s="214">
        <v>0</v>
      </c>
      <c r="M560" s="214">
        <v>0</v>
      </c>
      <c r="N560" s="214">
        <v>0</v>
      </c>
      <c r="O560" s="214">
        <v>0</v>
      </c>
      <c r="P560" s="214">
        <v>0</v>
      </c>
      <c r="Q560" s="214">
        <v>0</v>
      </c>
      <c r="R560" s="214">
        <v>0</v>
      </c>
      <c r="S560" s="214">
        <v>0</v>
      </c>
      <c r="T560" s="214">
        <v>0</v>
      </c>
      <c r="U560" s="214">
        <v>0</v>
      </c>
      <c r="V560" s="214">
        <v>0</v>
      </c>
      <c r="W560" s="214">
        <v>0</v>
      </c>
      <c r="X560" s="214">
        <v>0</v>
      </c>
      <c r="Y560" s="214">
        <v>0</v>
      </c>
      <c r="Z560" s="214">
        <v>0</v>
      </c>
      <c r="AA560" s="214">
        <v>0</v>
      </c>
      <c r="AB560" s="214">
        <v>0</v>
      </c>
      <c r="AC560" s="214">
        <v>0</v>
      </c>
      <c r="AD560" s="214"/>
      <c r="AE560" s="420">
        <v>0</v>
      </c>
      <c r="AF560" s="420">
        <v>0</v>
      </c>
      <c r="AG560" s="420">
        <v>0</v>
      </c>
      <c r="AH560" s="420"/>
      <c r="AI560" s="574">
        <f t="shared" si="13"/>
        <v>0</v>
      </c>
      <c r="AJ560" s="212"/>
    </row>
    <row r="561" spans="2:36" ht="14.4">
      <c r="B561" s="211"/>
      <c r="C561" s="213" t="s">
        <v>76</v>
      </c>
      <c r="D561" s="214">
        <v>0</v>
      </c>
      <c r="E561" s="214">
        <v>0</v>
      </c>
      <c r="F561" s="214">
        <v>0</v>
      </c>
      <c r="G561" s="214">
        <v>0</v>
      </c>
      <c r="H561" s="214">
        <v>0</v>
      </c>
      <c r="I561" s="214">
        <v>0</v>
      </c>
      <c r="J561" s="214">
        <v>0</v>
      </c>
      <c r="K561" s="214">
        <v>0</v>
      </c>
      <c r="L561" s="214">
        <v>0</v>
      </c>
      <c r="M561" s="214">
        <v>0</v>
      </c>
      <c r="N561" s="214">
        <v>0</v>
      </c>
      <c r="O561" s="214">
        <v>0</v>
      </c>
      <c r="P561" s="214">
        <v>0</v>
      </c>
      <c r="Q561" s="214">
        <v>0</v>
      </c>
      <c r="R561" s="214">
        <v>0</v>
      </c>
      <c r="S561" s="214">
        <v>0</v>
      </c>
      <c r="T561" s="214">
        <v>0</v>
      </c>
      <c r="U561" s="214">
        <v>0</v>
      </c>
      <c r="V561" s="214">
        <v>0</v>
      </c>
      <c r="W561" s="214">
        <v>0</v>
      </c>
      <c r="X561" s="214">
        <v>0</v>
      </c>
      <c r="Y561" s="214">
        <v>0</v>
      </c>
      <c r="Z561" s="214">
        <v>0</v>
      </c>
      <c r="AA561" s="214">
        <v>0</v>
      </c>
      <c r="AB561" s="214">
        <v>0</v>
      </c>
      <c r="AC561" s="214">
        <v>0</v>
      </c>
      <c r="AD561" s="214"/>
      <c r="AE561" s="420">
        <v>0</v>
      </c>
      <c r="AF561" s="420">
        <v>0</v>
      </c>
      <c r="AG561" s="420">
        <v>0</v>
      </c>
      <c r="AH561" s="420"/>
      <c r="AI561" s="574">
        <f t="shared" si="13"/>
        <v>0</v>
      </c>
      <c r="AJ561" s="212"/>
    </row>
    <row r="562" spans="2:36" ht="14.4">
      <c r="B562" s="211"/>
      <c r="C562" s="213" t="s">
        <v>77</v>
      </c>
      <c r="D562" s="214">
        <v>0</v>
      </c>
      <c r="E562" s="214">
        <v>0</v>
      </c>
      <c r="F562" s="214">
        <v>0</v>
      </c>
      <c r="G562" s="214">
        <v>0</v>
      </c>
      <c r="H562" s="214">
        <v>0</v>
      </c>
      <c r="I562" s="214">
        <v>0</v>
      </c>
      <c r="J562" s="214">
        <v>0</v>
      </c>
      <c r="K562" s="214">
        <v>0</v>
      </c>
      <c r="L562" s="214">
        <v>0</v>
      </c>
      <c r="M562" s="214">
        <v>0</v>
      </c>
      <c r="N562" s="214">
        <v>0</v>
      </c>
      <c r="O562" s="214">
        <v>0</v>
      </c>
      <c r="P562" s="214">
        <v>0</v>
      </c>
      <c r="Q562" s="214">
        <v>0</v>
      </c>
      <c r="R562" s="214">
        <v>0</v>
      </c>
      <c r="S562" s="214">
        <v>0</v>
      </c>
      <c r="T562" s="214">
        <v>0</v>
      </c>
      <c r="U562" s="214">
        <v>0</v>
      </c>
      <c r="V562" s="214">
        <v>0</v>
      </c>
      <c r="W562" s="214">
        <v>0</v>
      </c>
      <c r="X562" s="214">
        <v>0</v>
      </c>
      <c r="Y562" s="214">
        <v>0</v>
      </c>
      <c r="Z562" s="214">
        <v>0</v>
      </c>
      <c r="AA562" s="214">
        <v>0</v>
      </c>
      <c r="AB562" s="214">
        <v>0</v>
      </c>
      <c r="AC562" s="214">
        <v>0</v>
      </c>
      <c r="AD562" s="214"/>
      <c r="AE562" s="420">
        <v>0</v>
      </c>
      <c r="AF562" s="420">
        <v>0</v>
      </c>
      <c r="AG562" s="420">
        <v>0</v>
      </c>
      <c r="AH562" s="420"/>
      <c r="AI562" s="574">
        <f t="shared" si="13"/>
        <v>0</v>
      </c>
      <c r="AJ562" s="212"/>
    </row>
    <row r="563" spans="2:36" ht="14.4">
      <c r="B563" s="211"/>
      <c r="C563" s="213" t="s">
        <v>78</v>
      </c>
      <c r="D563" s="214">
        <v>0</v>
      </c>
      <c r="E563" s="214">
        <v>0</v>
      </c>
      <c r="F563" s="214">
        <v>0</v>
      </c>
      <c r="G563" s="214">
        <v>0</v>
      </c>
      <c r="H563" s="214">
        <v>0</v>
      </c>
      <c r="I563" s="214">
        <v>0</v>
      </c>
      <c r="J563" s="214">
        <v>0</v>
      </c>
      <c r="K563" s="214">
        <v>0</v>
      </c>
      <c r="L563" s="214">
        <v>0</v>
      </c>
      <c r="M563" s="214">
        <v>0</v>
      </c>
      <c r="N563" s="214">
        <v>0</v>
      </c>
      <c r="O563" s="214">
        <v>0</v>
      </c>
      <c r="P563" s="214">
        <v>0</v>
      </c>
      <c r="Q563" s="214">
        <v>0</v>
      </c>
      <c r="R563" s="214">
        <v>0</v>
      </c>
      <c r="S563" s="214">
        <v>0</v>
      </c>
      <c r="T563" s="214">
        <v>0</v>
      </c>
      <c r="U563" s="214">
        <v>0</v>
      </c>
      <c r="V563" s="214">
        <v>0</v>
      </c>
      <c r="W563" s="214">
        <v>0</v>
      </c>
      <c r="X563" s="214">
        <v>0</v>
      </c>
      <c r="Y563" s="214">
        <v>0</v>
      </c>
      <c r="Z563" s="214">
        <v>0</v>
      </c>
      <c r="AA563" s="214">
        <v>0</v>
      </c>
      <c r="AB563" s="214">
        <v>0</v>
      </c>
      <c r="AC563" s="214">
        <v>0</v>
      </c>
      <c r="AD563" s="214"/>
      <c r="AE563" s="420">
        <v>0</v>
      </c>
      <c r="AF563" s="420">
        <v>0</v>
      </c>
      <c r="AG563" s="420">
        <v>0</v>
      </c>
      <c r="AH563" s="420"/>
      <c r="AI563" s="574">
        <f t="shared" si="13"/>
        <v>0</v>
      </c>
      <c r="AJ563" s="212"/>
    </row>
    <row r="564" spans="2:36" ht="14.4">
      <c r="B564" s="211"/>
      <c r="C564" s="213" t="s">
        <v>79</v>
      </c>
      <c r="D564" s="214">
        <v>0</v>
      </c>
      <c r="E564" s="214">
        <v>0</v>
      </c>
      <c r="F564" s="214">
        <v>0</v>
      </c>
      <c r="G564" s="214">
        <v>0</v>
      </c>
      <c r="H564" s="214">
        <v>0</v>
      </c>
      <c r="I564" s="214">
        <v>0</v>
      </c>
      <c r="J564" s="214">
        <v>0</v>
      </c>
      <c r="K564" s="214">
        <v>0</v>
      </c>
      <c r="L564" s="214">
        <v>0</v>
      </c>
      <c r="M564" s="214">
        <v>0</v>
      </c>
      <c r="N564" s="214">
        <v>0</v>
      </c>
      <c r="O564" s="214">
        <v>0</v>
      </c>
      <c r="P564" s="214">
        <v>0</v>
      </c>
      <c r="Q564" s="214">
        <v>0</v>
      </c>
      <c r="R564" s="214">
        <v>0</v>
      </c>
      <c r="S564" s="214">
        <v>0</v>
      </c>
      <c r="T564" s="214">
        <v>0</v>
      </c>
      <c r="U564" s="214">
        <v>0</v>
      </c>
      <c r="V564" s="214">
        <v>0</v>
      </c>
      <c r="W564" s="214">
        <v>0</v>
      </c>
      <c r="X564" s="214">
        <v>0</v>
      </c>
      <c r="Y564" s="214">
        <v>0</v>
      </c>
      <c r="Z564" s="214">
        <v>0</v>
      </c>
      <c r="AA564" s="214">
        <v>0</v>
      </c>
      <c r="AB564" s="214">
        <v>0</v>
      </c>
      <c r="AC564" s="214">
        <v>0</v>
      </c>
      <c r="AD564" s="214"/>
      <c r="AE564" s="420">
        <v>0</v>
      </c>
      <c r="AF564" s="420">
        <v>0</v>
      </c>
      <c r="AG564" s="420">
        <v>0</v>
      </c>
      <c r="AH564" s="420"/>
      <c r="AI564" s="574">
        <f t="shared" si="13"/>
        <v>0</v>
      </c>
      <c r="AJ564" s="212"/>
    </row>
    <row r="565" spans="2:36" ht="14.4">
      <c r="B565" s="211"/>
      <c r="C565" s="213" t="s">
        <v>80</v>
      </c>
      <c r="D565" s="214">
        <v>0</v>
      </c>
      <c r="E565" s="214">
        <v>0</v>
      </c>
      <c r="F565" s="214">
        <v>0</v>
      </c>
      <c r="G565" s="214">
        <v>0</v>
      </c>
      <c r="H565" s="214">
        <v>0</v>
      </c>
      <c r="I565" s="214">
        <v>0</v>
      </c>
      <c r="J565" s="214">
        <v>0</v>
      </c>
      <c r="K565" s="214">
        <v>0</v>
      </c>
      <c r="L565" s="214">
        <v>0</v>
      </c>
      <c r="M565" s="214">
        <v>0</v>
      </c>
      <c r="N565" s="214">
        <v>0</v>
      </c>
      <c r="O565" s="214">
        <v>0</v>
      </c>
      <c r="P565" s="214">
        <v>0</v>
      </c>
      <c r="Q565" s="214">
        <v>0</v>
      </c>
      <c r="R565" s="214">
        <v>0</v>
      </c>
      <c r="S565" s="214">
        <v>0</v>
      </c>
      <c r="T565" s="214">
        <v>0</v>
      </c>
      <c r="U565" s="214">
        <v>0</v>
      </c>
      <c r="V565" s="214">
        <v>0</v>
      </c>
      <c r="W565" s="214">
        <v>0</v>
      </c>
      <c r="X565" s="214">
        <v>0</v>
      </c>
      <c r="Y565" s="214">
        <v>0</v>
      </c>
      <c r="Z565" s="214">
        <v>0</v>
      </c>
      <c r="AA565" s="214">
        <v>0</v>
      </c>
      <c r="AB565" s="214">
        <v>0</v>
      </c>
      <c r="AC565" s="214">
        <v>0</v>
      </c>
      <c r="AD565" s="214"/>
      <c r="AE565" s="420">
        <v>0</v>
      </c>
      <c r="AF565" s="420">
        <v>0</v>
      </c>
      <c r="AG565" s="420">
        <v>0</v>
      </c>
      <c r="AH565" s="420"/>
      <c r="AI565" s="574">
        <f t="shared" si="13"/>
        <v>0</v>
      </c>
      <c r="AJ565" s="212"/>
    </row>
    <row r="566" spans="2:36" ht="14.4">
      <c r="B566" s="211"/>
      <c r="C566" s="213" t="s">
        <v>81</v>
      </c>
      <c r="D566" s="214">
        <v>0</v>
      </c>
      <c r="E566" s="214">
        <v>0</v>
      </c>
      <c r="F566" s="214">
        <v>0</v>
      </c>
      <c r="G566" s="214">
        <v>0</v>
      </c>
      <c r="H566" s="214">
        <v>0</v>
      </c>
      <c r="I566" s="214">
        <v>0</v>
      </c>
      <c r="J566" s="214">
        <v>0</v>
      </c>
      <c r="K566" s="214">
        <v>0</v>
      </c>
      <c r="L566" s="214">
        <v>0</v>
      </c>
      <c r="M566" s="214">
        <v>0</v>
      </c>
      <c r="N566" s="214">
        <v>0</v>
      </c>
      <c r="O566" s="214">
        <v>0</v>
      </c>
      <c r="P566" s="214">
        <v>0</v>
      </c>
      <c r="Q566" s="214">
        <v>0</v>
      </c>
      <c r="R566" s="214">
        <v>0</v>
      </c>
      <c r="S566" s="214">
        <v>0</v>
      </c>
      <c r="T566" s="214">
        <v>0</v>
      </c>
      <c r="U566" s="214">
        <v>0</v>
      </c>
      <c r="V566" s="214">
        <v>0</v>
      </c>
      <c r="W566" s="214">
        <v>0</v>
      </c>
      <c r="X566" s="214">
        <v>0</v>
      </c>
      <c r="Y566" s="214">
        <v>0</v>
      </c>
      <c r="Z566" s="214">
        <v>0</v>
      </c>
      <c r="AA566" s="214">
        <v>0</v>
      </c>
      <c r="AB566" s="214">
        <v>0</v>
      </c>
      <c r="AC566" s="214">
        <v>0</v>
      </c>
      <c r="AD566" s="214"/>
      <c r="AE566" s="420">
        <v>0</v>
      </c>
      <c r="AF566" s="420">
        <v>0</v>
      </c>
      <c r="AG566" s="420">
        <v>0</v>
      </c>
      <c r="AH566" s="420"/>
      <c r="AI566" s="574">
        <f t="shared" si="13"/>
        <v>0</v>
      </c>
      <c r="AJ566" s="212"/>
    </row>
    <row r="567" spans="2:36" ht="14.4">
      <c r="B567" s="211"/>
      <c r="C567" s="213" t="s">
        <v>82</v>
      </c>
      <c r="D567" s="214">
        <v>0</v>
      </c>
      <c r="E567" s="214">
        <v>0</v>
      </c>
      <c r="F567" s="214">
        <v>0</v>
      </c>
      <c r="G567" s="214">
        <v>0</v>
      </c>
      <c r="H567" s="214">
        <v>0</v>
      </c>
      <c r="I567" s="214">
        <v>0</v>
      </c>
      <c r="J567" s="214">
        <v>0</v>
      </c>
      <c r="K567" s="214">
        <v>0</v>
      </c>
      <c r="L567" s="214">
        <v>0</v>
      </c>
      <c r="M567" s="214">
        <v>0</v>
      </c>
      <c r="N567" s="214">
        <v>0</v>
      </c>
      <c r="O567" s="214">
        <v>0</v>
      </c>
      <c r="P567" s="214">
        <v>0</v>
      </c>
      <c r="Q567" s="214">
        <v>0</v>
      </c>
      <c r="R567" s="214">
        <v>0</v>
      </c>
      <c r="S567" s="214">
        <v>0</v>
      </c>
      <c r="T567" s="214">
        <v>0</v>
      </c>
      <c r="U567" s="214">
        <v>0</v>
      </c>
      <c r="V567" s="214">
        <v>0</v>
      </c>
      <c r="W567" s="214">
        <v>0</v>
      </c>
      <c r="X567" s="214">
        <v>0</v>
      </c>
      <c r="Y567" s="214">
        <v>0</v>
      </c>
      <c r="Z567" s="214">
        <v>0</v>
      </c>
      <c r="AA567" s="214">
        <v>0</v>
      </c>
      <c r="AB567" s="214">
        <v>0</v>
      </c>
      <c r="AC567" s="214">
        <v>0</v>
      </c>
      <c r="AD567" s="214"/>
      <c r="AE567" s="420">
        <v>0</v>
      </c>
      <c r="AF567" s="420">
        <v>0</v>
      </c>
      <c r="AG567" s="420">
        <v>0</v>
      </c>
      <c r="AH567" s="420"/>
      <c r="AI567" s="574">
        <f t="shared" si="13"/>
        <v>0</v>
      </c>
      <c r="AJ567" s="212"/>
    </row>
    <row r="568" spans="2:36" ht="14.4">
      <c r="B568" s="211"/>
      <c r="C568" s="213" t="s">
        <v>83</v>
      </c>
      <c r="D568" s="214">
        <v>0</v>
      </c>
      <c r="E568" s="214">
        <v>0</v>
      </c>
      <c r="F568" s="214">
        <v>0</v>
      </c>
      <c r="G568" s="214">
        <v>0</v>
      </c>
      <c r="H568" s="214">
        <v>0</v>
      </c>
      <c r="I568" s="214">
        <v>0</v>
      </c>
      <c r="J568" s="214">
        <v>0</v>
      </c>
      <c r="K568" s="214">
        <v>0</v>
      </c>
      <c r="L568" s="214">
        <v>0</v>
      </c>
      <c r="M568" s="214">
        <v>0</v>
      </c>
      <c r="N568" s="214">
        <v>0</v>
      </c>
      <c r="O568" s="214">
        <v>0</v>
      </c>
      <c r="P568" s="214">
        <v>0</v>
      </c>
      <c r="Q568" s="214">
        <v>0</v>
      </c>
      <c r="R568" s="214">
        <v>0</v>
      </c>
      <c r="S568" s="214">
        <v>0</v>
      </c>
      <c r="T568" s="214">
        <v>0</v>
      </c>
      <c r="U568" s="214">
        <v>0</v>
      </c>
      <c r="V568" s="214">
        <v>0</v>
      </c>
      <c r="W568" s="214">
        <v>0</v>
      </c>
      <c r="X568" s="214">
        <v>0</v>
      </c>
      <c r="Y568" s="214">
        <v>0</v>
      </c>
      <c r="Z568" s="214">
        <v>0</v>
      </c>
      <c r="AA568" s="214">
        <v>0</v>
      </c>
      <c r="AB568" s="214">
        <v>0</v>
      </c>
      <c r="AC568" s="214">
        <v>0</v>
      </c>
      <c r="AD568" s="214"/>
      <c r="AE568" s="420">
        <v>0</v>
      </c>
      <c r="AF568" s="420">
        <v>0</v>
      </c>
      <c r="AG568" s="420">
        <v>0</v>
      </c>
      <c r="AH568" s="420"/>
      <c r="AI568" s="574">
        <f t="shared" si="13"/>
        <v>0</v>
      </c>
      <c r="AJ568" s="212"/>
    </row>
    <row r="569" spans="2:36" ht="14.4">
      <c r="B569" s="211"/>
      <c r="C569" s="213" t="s">
        <v>84</v>
      </c>
      <c r="D569" s="214">
        <v>0</v>
      </c>
      <c r="E569" s="214">
        <v>1800</v>
      </c>
      <c r="F569" s="214">
        <v>0</v>
      </c>
      <c r="G569" s="214">
        <v>0</v>
      </c>
      <c r="H569" s="214">
        <v>0</v>
      </c>
      <c r="I569" s="214">
        <v>0</v>
      </c>
      <c r="J569" s="214">
        <v>0</v>
      </c>
      <c r="K569" s="214">
        <v>0</v>
      </c>
      <c r="L569" s="214">
        <v>0</v>
      </c>
      <c r="M569" s="214">
        <v>0</v>
      </c>
      <c r="N569" s="214">
        <v>0</v>
      </c>
      <c r="O569" s="214">
        <v>0</v>
      </c>
      <c r="P569" s="214">
        <v>0</v>
      </c>
      <c r="Q569" s="214">
        <v>3700</v>
      </c>
      <c r="R569" s="214">
        <v>0</v>
      </c>
      <c r="S569" s="214">
        <v>0</v>
      </c>
      <c r="T569" s="214">
        <v>0</v>
      </c>
      <c r="U569" s="214">
        <v>0</v>
      </c>
      <c r="V569" s="214">
        <v>0</v>
      </c>
      <c r="W569" s="214">
        <v>0</v>
      </c>
      <c r="X569" s="214">
        <v>0</v>
      </c>
      <c r="Y569" s="214">
        <v>0</v>
      </c>
      <c r="Z569" s="214">
        <v>0</v>
      </c>
      <c r="AA569" s="214">
        <v>0</v>
      </c>
      <c r="AB569" s="214">
        <v>0</v>
      </c>
      <c r="AC569" s="214">
        <v>0</v>
      </c>
      <c r="AD569" s="214"/>
      <c r="AE569" s="420">
        <v>0</v>
      </c>
      <c r="AF569" s="420">
        <v>0</v>
      </c>
      <c r="AG569" s="420">
        <v>0</v>
      </c>
      <c r="AH569" s="420"/>
      <c r="AI569" s="574">
        <f t="shared" si="13"/>
        <v>5500</v>
      </c>
      <c r="AJ569" s="212"/>
    </row>
    <row r="570" spans="2:36" ht="14.4">
      <c r="B570" s="211"/>
      <c r="C570" s="213" t="s">
        <v>85</v>
      </c>
      <c r="D570" s="214">
        <v>4359</v>
      </c>
      <c r="E570" s="214">
        <v>0</v>
      </c>
      <c r="F570" s="214">
        <v>100</v>
      </c>
      <c r="G570" s="214">
        <v>0</v>
      </c>
      <c r="H570" s="214">
        <v>430</v>
      </c>
      <c r="I570" s="214">
        <v>30100</v>
      </c>
      <c r="J570" s="214">
        <v>100</v>
      </c>
      <c r="K570" s="214">
        <v>100</v>
      </c>
      <c r="L570" s="214">
        <v>100</v>
      </c>
      <c r="M570" s="214">
        <v>100</v>
      </c>
      <c r="N570" s="214">
        <v>0</v>
      </c>
      <c r="O570" s="214">
        <v>100</v>
      </c>
      <c r="P570" s="214">
        <v>100</v>
      </c>
      <c r="Q570" s="214">
        <v>100</v>
      </c>
      <c r="R570" s="214">
        <v>692</v>
      </c>
      <c r="S570" s="214">
        <v>0</v>
      </c>
      <c r="T570" s="214">
        <v>0</v>
      </c>
      <c r="U570" s="214">
        <v>100</v>
      </c>
      <c r="V570" s="214">
        <v>100</v>
      </c>
      <c r="W570" s="214">
        <v>100</v>
      </c>
      <c r="X570" s="214">
        <v>100</v>
      </c>
      <c r="Y570" s="214">
        <v>100</v>
      </c>
      <c r="Z570" s="214">
        <v>100</v>
      </c>
      <c r="AA570" s="214">
        <v>792</v>
      </c>
      <c r="AB570" s="214">
        <v>100</v>
      </c>
      <c r="AC570" s="214">
        <v>100</v>
      </c>
      <c r="AD570" s="214"/>
      <c r="AE570" s="420">
        <v>100</v>
      </c>
      <c r="AF570" s="420">
        <v>100</v>
      </c>
      <c r="AG570" s="420">
        <v>1917</v>
      </c>
      <c r="AH570" s="420"/>
      <c r="AI570" s="574">
        <f t="shared" si="13"/>
        <v>40090</v>
      </c>
      <c r="AJ570" s="212"/>
    </row>
    <row r="571" spans="2:36" ht="14.4">
      <c r="B571" s="211"/>
      <c r="C571" s="213" t="s">
        <v>86</v>
      </c>
      <c r="D571" s="214">
        <v>0</v>
      </c>
      <c r="E571" s="214">
        <v>0</v>
      </c>
      <c r="F571" s="214">
        <v>0</v>
      </c>
      <c r="G571" s="214">
        <v>0</v>
      </c>
      <c r="H571" s="214">
        <v>0</v>
      </c>
      <c r="I571" s="214">
        <v>0</v>
      </c>
      <c r="J571" s="214">
        <v>0</v>
      </c>
      <c r="K571" s="214">
        <v>0</v>
      </c>
      <c r="L571" s="214">
        <v>0</v>
      </c>
      <c r="M571" s="214">
        <v>0</v>
      </c>
      <c r="N571" s="214">
        <v>0</v>
      </c>
      <c r="O571" s="214">
        <v>0</v>
      </c>
      <c r="P571" s="214">
        <v>0</v>
      </c>
      <c r="Q571" s="214">
        <v>0</v>
      </c>
      <c r="R571" s="214">
        <v>0</v>
      </c>
      <c r="S571" s="214">
        <v>0</v>
      </c>
      <c r="T571" s="214">
        <v>0</v>
      </c>
      <c r="U571" s="214">
        <v>0</v>
      </c>
      <c r="V571" s="214">
        <v>0</v>
      </c>
      <c r="W571" s="214">
        <v>0</v>
      </c>
      <c r="X571" s="214">
        <v>0</v>
      </c>
      <c r="Y571" s="214">
        <v>0</v>
      </c>
      <c r="Z571" s="214">
        <v>0</v>
      </c>
      <c r="AA571" s="214">
        <v>0</v>
      </c>
      <c r="AB571" s="214">
        <v>0</v>
      </c>
      <c r="AC571" s="214">
        <v>0</v>
      </c>
      <c r="AD571" s="214"/>
      <c r="AE571" s="420">
        <v>0</v>
      </c>
      <c r="AF571" s="420">
        <v>0</v>
      </c>
      <c r="AG571" s="420">
        <v>0</v>
      </c>
      <c r="AH571" s="420"/>
      <c r="AI571" s="574">
        <f t="shared" si="13"/>
        <v>0</v>
      </c>
      <c r="AJ571" s="212"/>
    </row>
    <row r="572" spans="2:36" ht="14.4">
      <c r="B572" s="211"/>
      <c r="C572" s="213" t="s">
        <v>87</v>
      </c>
      <c r="D572" s="214">
        <v>0</v>
      </c>
      <c r="E572" s="214">
        <v>0</v>
      </c>
      <c r="F572" s="214">
        <v>0</v>
      </c>
      <c r="G572" s="214">
        <v>0</v>
      </c>
      <c r="H572" s="214">
        <v>0</v>
      </c>
      <c r="I572" s="214">
        <v>0</v>
      </c>
      <c r="J572" s="214">
        <v>0</v>
      </c>
      <c r="K572" s="214">
        <v>0</v>
      </c>
      <c r="L572" s="214">
        <v>0</v>
      </c>
      <c r="M572" s="214">
        <v>0</v>
      </c>
      <c r="N572" s="214">
        <v>0</v>
      </c>
      <c r="O572" s="214">
        <v>0</v>
      </c>
      <c r="P572" s="214">
        <v>0</v>
      </c>
      <c r="Q572" s="214">
        <v>0</v>
      </c>
      <c r="R572" s="214">
        <v>0</v>
      </c>
      <c r="S572" s="214">
        <v>0</v>
      </c>
      <c r="T572" s="214">
        <v>0</v>
      </c>
      <c r="U572" s="214">
        <v>0</v>
      </c>
      <c r="V572" s="214">
        <v>0</v>
      </c>
      <c r="W572" s="214">
        <v>0</v>
      </c>
      <c r="X572" s="214">
        <v>0</v>
      </c>
      <c r="Y572" s="214">
        <v>0</v>
      </c>
      <c r="Z572" s="214">
        <v>0</v>
      </c>
      <c r="AA572" s="214">
        <v>0</v>
      </c>
      <c r="AB572" s="214">
        <v>0</v>
      </c>
      <c r="AC572" s="214">
        <v>0</v>
      </c>
      <c r="AD572" s="214"/>
      <c r="AE572" s="420">
        <v>0</v>
      </c>
      <c r="AF572" s="420">
        <v>0</v>
      </c>
      <c r="AG572" s="420">
        <v>80</v>
      </c>
      <c r="AH572" s="420"/>
      <c r="AI572" s="574">
        <f t="shared" si="13"/>
        <v>80</v>
      </c>
      <c r="AJ572" s="212"/>
    </row>
    <row r="573" spans="2:36" ht="14.4">
      <c r="B573" s="211"/>
      <c r="C573" s="213" t="s">
        <v>88</v>
      </c>
      <c r="D573" s="214">
        <v>0</v>
      </c>
      <c r="E573" s="214">
        <v>0</v>
      </c>
      <c r="F573" s="214">
        <v>0</v>
      </c>
      <c r="G573" s="214">
        <v>0</v>
      </c>
      <c r="H573" s="214">
        <v>0</v>
      </c>
      <c r="I573" s="214">
        <v>0</v>
      </c>
      <c r="J573" s="214">
        <v>0</v>
      </c>
      <c r="K573" s="214">
        <v>0</v>
      </c>
      <c r="L573" s="214">
        <v>0</v>
      </c>
      <c r="M573" s="214">
        <v>0</v>
      </c>
      <c r="N573" s="214">
        <v>0</v>
      </c>
      <c r="O573" s="214">
        <v>0</v>
      </c>
      <c r="P573" s="214">
        <v>0</v>
      </c>
      <c r="Q573" s="214">
        <v>0</v>
      </c>
      <c r="R573" s="214">
        <v>0</v>
      </c>
      <c r="S573" s="214">
        <v>0</v>
      </c>
      <c r="T573" s="214">
        <v>0</v>
      </c>
      <c r="U573" s="214">
        <v>0</v>
      </c>
      <c r="V573" s="214">
        <v>0</v>
      </c>
      <c r="W573" s="214">
        <v>0</v>
      </c>
      <c r="X573" s="214">
        <v>0</v>
      </c>
      <c r="Y573" s="214">
        <v>0</v>
      </c>
      <c r="Z573" s="214">
        <v>0</v>
      </c>
      <c r="AA573" s="214">
        <v>0</v>
      </c>
      <c r="AB573" s="214">
        <v>0</v>
      </c>
      <c r="AC573" s="214">
        <v>0</v>
      </c>
      <c r="AD573" s="214"/>
      <c r="AE573" s="420">
        <v>0</v>
      </c>
      <c r="AF573" s="420">
        <v>0</v>
      </c>
      <c r="AG573" s="420">
        <v>0</v>
      </c>
      <c r="AH573" s="420"/>
      <c r="AI573" s="574">
        <f t="shared" si="13"/>
        <v>0</v>
      </c>
      <c r="AJ573" s="212"/>
    </row>
    <row r="574" spans="2:36" ht="14.4">
      <c r="B574" s="211"/>
      <c r="C574" s="213" t="s">
        <v>89</v>
      </c>
      <c r="D574" s="214">
        <v>170</v>
      </c>
      <c r="E574" s="214">
        <v>0</v>
      </c>
      <c r="F574" s="214">
        <v>0</v>
      </c>
      <c r="G574" s="214">
        <v>0</v>
      </c>
      <c r="H574" s="214">
        <v>0</v>
      </c>
      <c r="I574" s="214">
        <v>0</v>
      </c>
      <c r="J574" s="214">
        <v>0</v>
      </c>
      <c r="K574" s="214">
        <v>0</v>
      </c>
      <c r="L574" s="214">
        <v>0</v>
      </c>
      <c r="M574" s="214">
        <v>0</v>
      </c>
      <c r="N574" s="214">
        <v>0</v>
      </c>
      <c r="O574" s="214">
        <v>0</v>
      </c>
      <c r="P574" s="214">
        <v>0</v>
      </c>
      <c r="Q574" s="214">
        <v>0</v>
      </c>
      <c r="R574" s="214">
        <v>0</v>
      </c>
      <c r="S574" s="214">
        <v>0</v>
      </c>
      <c r="T574" s="214">
        <v>0</v>
      </c>
      <c r="U574" s="214">
        <v>0</v>
      </c>
      <c r="V574" s="214">
        <v>0</v>
      </c>
      <c r="W574" s="214">
        <v>0</v>
      </c>
      <c r="X574" s="214">
        <v>0</v>
      </c>
      <c r="Y574" s="214">
        <v>0</v>
      </c>
      <c r="Z574" s="214">
        <v>0</v>
      </c>
      <c r="AA574" s="214">
        <v>0</v>
      </c>
      <c r="AB574" s="214">
        <v>0</v>
      </c>
      <c r="AC574" s="214">
        <v>0</v>
      </c>
      <c r="AD574" s="214"/>
      <c r="AE574" s="420">
        <v>0</v>
      </c>
      <c r="AF574" s="420">
        <v>0</v>
      </c>
      <c r="AG574" s="420">
        <v>0</v>
      </c>
      <c r="AH574" s="420"/>
      <c r="AI574" s="574">
        <f t="shared" si="13"/>
        <v>170</v>
      </c>
      <c r="AJ574" s="212"/>
    </row>
    <row r="575" spans="2:36" ht="14.4">
      <c r="B575" s="211"/>
      <c r="C575" s="213" t="s">
        <v>33</v>
      </c>
      <c r="D575" s="214">
        <v>1836.25</v>
      </c>
      <c r="E575" s="214">
        <v>3315</v>
      </c>
      <c r="F575" s="214">
        <v>2197</v>
      </c>
      <c r="G575" s="214">
        <v>0</v>
      </c>
      <c r="H575" s="214">
        <v>3315</v>
      </c>
      <c r="I575" s="214">
        <v>0</v>
      </c>
      <c r="J575" s="214">
        <v>0</v>
      </c>
      <c r="K575" s="214">
        <v>0</v>
      </c>
      <c r="L575" s="214">
        <v>0</v>
      </c>
      <c r="M575" s="214">
        <v>0</v>
      </c>
      <c r="N575" s="214">
        <v>0</v>
      </c>
      <c r="O575" s="214">
        <v>2712</v>
      </c>
      <c r="P575" s="214">
        <v>0</v>
      </c>
      <c r="Q575" s="214">
        <v>2072</v>
      </c>
      <c r="R575" s="214">
        <v>0</v>
      </c>
      <c r="S575" s="214">
        <v>2712</v>
      </c>
      <c r="T575" s="214">
        <v>1243</v>
      </c>
      <c r="U575" s="214">
        <v>0</v>
      </c>
      <c r="V575" s="214">
        <v>1243</v>
      </c>
      <c r="W575" s="214">
        <v>0</v>
      </c>
      <c r="X575" s="214">
        <v>1990</v>
      </c>
      <c r="Y575" s="214">
        <v>1990</v>
      </c>
      <c r="Z575" s="214">
        <v>0</v>
      </c>
      <c r="AA575" s="214">
        <v>0</v>
      </c>
      <c r="AB575" s="214">
        <v>0</v>
      </c>
      <c r="AC575" s="214">
        <v>0</v>
      </c>
      <c r="AD575" s="214"/>
      <c r="AE575" s="420">
        <v>2072</v>
      </c>
      <c r="AF575" s="420">
        <v>0</v>
      </c>
      <c r="AG575" s="420">
        <v>0</v>
      </c>
      <c r="AH575" s="420"/>
      <c r="AI575" s="574">
        <f t="shared" si="13"/>
        <v>26697.25</v>
      </c>
      <c r="AJ575" s="212"/>
    </row>
    <row r="576" spans="2:36" ht="14.4">
      <c r="B576" s="211"/>
      <c r="C576" s="213" t="s">
        <v>90</v>
      </c>
      <c r="D576" s="214">
        <v>0</v>
      </c>
      <c r="E576" s="214">
        <v>0</v>
      </c>
      <c r="F576" s="214">
        <v>0</v>
      </c>
      <c r="G576" s="214">
        <v>0</v>
      </c>
      <c r="H576" s="214">
        <v>0</v>
      </c>
      <c r="I576" s="214">
        <v>0</v>
      </c>
      <c r="J576" s="214">
        <v>0</v>
      </c>
      <c r="K576" s="214">
        <v>0</v>
      </c>
      <c r="L576" s="214">
        <v>0</v>
      </c>
      <c r="M576" s="214">
        <v>0</v>
      </c>
      <c r="N576" s="214">
        <v>0</v>
      </c>
      <c r="O576" s="214">
        <v>0</v>
      </c>
      <c r="P576" s="214">
        <v>0</v>
      </c>
      <c r="Q576" s="214">
        <v>0</v>
      </c>
      <c r="R576" s="214">
        <v>0</v>
      </c>
      <c r="S576" s="214">
        <v>0</v>
      </c>
      <c r="T576" s="214">
        <v>0</v>
      </c>
      <c r="U576" s="214">
        <v>0</v>
      </c>
      <c r="V576" s="214">
        <v>0</v>
      </c>
      <c r="W576" s="214">
        <v>0</v>
      </c>
      <c r="X576" s="214">
        <v>0</v>
      </c>
      <c r="Y576" s="214">
        <v>0</v>
      </c>
      <c r="Z576" s="214">
        <v>0</v>
      </c>
      <c r="AA576" s="214">
        <v>0</v>
      </c>
      <c r="AB576" s="214">
        <v>0</v>
      </c>
      <c r="AC576" s="214">
        <v>0</v>
      </c>
      <c r="AD576" s="214"/>
      <c r="AE576" s="420">
        <v>0</v>
      </c>
      <c r="AF576" s="420">
        <v>0</v>
      </c>
      <c r="AG576" s="420">
        <v>0</v>
      </c>
      <c r="AH576" s="420"/>
      <c r="AI576" s="574">
        <f t="shared" si="13"/>
        <v>0</v>
      </c>
      <c r="AJ576" s="212"/>
    </row>
    <row r="577" spans="2:36" ht="14.4">
      <c r="B577" s="211"/>
      <c r="C577" s="213" t="s">
        <v>91</v>
      </c>
      <c r="D577" s="214">
        <v>0</v>
      </c>
      <c r="E577" s="214">
        <v>333</v>
      </c>
      <c r="F577" s="214">
        <v>333</v>
      </c>
      <c r="G577" s="214">
        <v>333</v>
      </c>
      <c r="H577" s="214">
        <v>333</v>
      </c>
      <c r="I577" s="214">
        <v>333</v>
      </c>
      <c r="J577" s="214">
        <v>333</v>
      </c>
      <c r="K577" s="214">
        <v>333</v>
      </c>
      <c r="L577" s="214">
        <v>333</v>
      </c>
      <c r="M577" s="214">
        <v>333</v>
      </c>
      <c r="N577" s="214">
        <v>333</v>
      </c>
      <c r="O577" s="214">
        <v>333</v>
      </c>
      <c r="P577" s="214">
        <v>333</v>
      </c>
      <c r="Q577" s="214">
        <v>342</v>
      </c>
      <c r="R577" s="214">
        <v>333</v>
      </c>
      <c r="S577" s="214">
        <v>333</v>
      </c>
      <c r="T577" s="214">
        <v>0</v>
      </c>
      <c r="U577" s="214">
        <v>333</v>
      </c>
      <c r="V577" s="214">
        <v>333</v>
      </c>
      <c r="W577" s="214">
        <v>333</v>
      </c>
      <c r="X577" s="214">
        <v>333</v>
      </c>
      <c r="Y577" s="214">
        <v>333</v>
      </c>
      <c r="Z577" s="214">
        <v>333</v>
      </c>
      <c r="AA577" s="214">
        <v>333</v>
      </c>
      <c r="AB577" s="214">
        <v>333</v>
      </c>
      <c r="AC577" s="214">
        <v>333</v>
      </c>
      <c r="AD577" s="214"/>
      <c r="AE577" s="420">
        <v>333</v>
      </c>
      <c r="AF577" s="420">
        <v>333</v>
      </c>
      <c r="AG577" s="420">
        <v>333</v>
      </c>
      <c r="AH577" s="420"/>
      <c r="AI577" s="574">
        <f t="shared" ref="AI577:AI623" si="14">SUM(D577:AH577)</f>
        <v>9000</v>
      </c>
      <c r="AJ577" s="212"/>
    </row>
    <row r="578" spans="2:36" ht="14.4">
      <c r="B578" s="211"/>
      <c r="C578" s="213" t="s">
        <v>92</v>
      </c>
      <c r="D578" s="214">
        <v>0</v>
      </c>
      <c r="E578" s="214">
        <v>0</v>
      </c>
      <c r="F578" s="214">
        <v>0</v>
      </c>
      <c r="G578" s="214">
        <v>0</v>
      </c>
      <c r="H578" s="214">
        <v>0</v>
      </c>
      <c r="I578" s="214">
        <v>0</v>
      </c>
      <c r="J578" s="214">
        <v>0</v>
      </c>
      <c r="K578" s="214">
        <v>0</v>
      </c>
      <c r="L578" s="214">
        <v>0</v>
      </c>
      <c r="M578" s="214">
        <v>0</v>
      </c>
      <c r="N578" s="214">
        <v>0</v>
      </c>
      <c r="O578" s="214">
        <v>0</v>
      </c>
      <c r="P578" s="214">
        <v>0</v>
      </c>
      <c r="Q578" s="214">
        <v>0</v>
      </c>
      <c r="R578" s="214">
        <v>0</v>
      </c>
      <c r="S578" s="214">
        <v>0</v>
      </c>
      <c r="T578" s="214">
        <v>0</v>
      </c>
      <c r="U578" s="214">
        <v>0</v>
      </c>
      <c r="V578" s="214">
        <v>0</v>
      </c>
      <c r="W578" s="214">
        <v>0</v>
      </c>
      <c r="X578" s="214">
        <v>0</v>
      </c>
      <c r="Y578" s="214">
        <v>0</v>
      </c>
      <c r="Z578" s="214">
        <v>0</v>
      </c>
      <c r="AA578" s="214">
        <v>0</v>
      </c>
      <c r="AB578" s="214">
        <v>0</v>
      </c>
      <c r="AC578" s="214">
        <v>0</v>
      </c>
      <c r="AD578" s="214"/>
      <c r="AE578" s="420">
        <v>0</v>
      </c>
      <c r="AF578" s="420">
        <v>0</v>
      </c>
      <c r="AG578" s="420">
        <v>0</v>
      </c>
      <c r="AH578" s="420"/>
      <c r="AI578" s="574">
        <f t="shared" si="14"/>
        <v>0</v>
      </c>
      <c r="AJ578" s="212"/>
    </row>
    <row r="579" spans="2:36" ht="14.4">
      <c r="B579" s="211"/>
      <c r="C579" s="213" t="s">
        <v>93</v>
      </c>
      <c r="D579" s="214">
        <v>3700</v>
      </c>
      <c r="E579" s="214">
        <v>0</v>
      </c>
      <c r="F579" s="214">
        <v>0</v>
      </c>
      <c r="G579" s="214">
        <v>0</v>
      </c>
      <c r="H579" s="214">
        <v>0</v>
      </c>
      <c r="I579" s="214">
        <v>0</v>
      </c>
      <c r="J579" s="214">
        <v>0</v>
      </c>
      <c r="K579" s="214">
        <v>0</v>
      </c>
      <c r="L579" s="214">
        <v>0</v>
      </c>
      <c r="M579" s="214">
        <v>0</v>
      </c>
      <c r="N579" s="214">
        <v>0</v>
      </c>
      <c r="O579" s="214">
        <v>0</v>
      </c>
      <c r="P579" s="214">
        <v>0</v>
      </c>
      <c r="Q579" s="214">
        <v>0</v>
      </c>
      <c r="R579" s="214">
        <v>0</v>
      </c>
      <c r="S579" s="214">
        <v>0</v>
      </c>
      <c r="T579" s="214">
        <v>0</v>
      </c>
      <c r="U579" s="214">
        <v>0</v>
      </c>
      <c r="V579" s="214">
        <v>0</v>
      </c>
      <c r="W579" s="214">
        <v>0</v>
      </c>
      <c r="X579" s="214">
        <v>0</v>
      </c>
      <c r="Y579" s="214">
        <v>0</v>
      </c>
      <c r="Z579" s="214">
        <v>0</v>
      </c>
      <c r="AA579" s="214">
        <v>0</v>
      </c>
      <c r="AB579" s="214">
        <v>0</v>
      </c>
      <c r="AC579" s="214">
        <v>0</v>
      </c>
      <c r="AD579" s="214"/>
      <c r="AE579" s="420">
        <v>0</v>
      </c>
      <c r="AF579" s="420">
        <v>0</v>
      </c>
      <c r="AG579" s="420">
        <v>0</v>
      </c>
      <c r="AH579" s="420"/>
      <c r="AI579" s="574">
        <f t="shared" si="14"/>
        <v>3700</v>
      </c>
      <c r="AJ579" s="212"/>
    </row>
    <row r="580" spans="2:36" ht="14.4">
      <c r="B580" s="211"/>
      <c r="C580" s="213" t="s">
        <v>94</v>
      </c>
      <c r="D580" s="214">
        <v>101000</v>
      </c>
      <c r="E580" s="214">
        <v>8070</v>
      </c>
      <c r="F580" s="214">
        <v>5500</v>
      </c>
      <c r="G580" s="214">
        <v>6500</v>
      </c>
      <c r="H580" s="214">
        <v>2500</v>
      </c>
      <c r="I580" s="214">
        <v>750</v>
      </c>
      <c r="J580" s="214">
        <v>0</v>
      </c>
      <c r="K580" s="214">
        <v>0</v>
      </c>
      <c r="L580" s="214">
        <v>0</v>
      </c>
      <c r="M580" s="214">
        <v>2000</v>
      </c>
      <c r="N580" s="214">
        <v>0</v>
      </c>
      <c r="O580" s="214">
        <v>120</v>
      </c>
      <c r="P580" s="214">
        <v>3000</v>
      </c>
      <c r="Q580" s="214">
        <v>4630</v>
      </c>
      <c r="R580" s="214">
        <v>2200</v>
      </c>
      <c r="S580" s="214">
        <v>400</v>
      </c>
      <c r="T580" s="214">
        <v>0</v>
      </c>
      <c r="U580" s="214">
        <v>0</v>
      </c>
      <c r="V580" s="214">
        <v>0</v>
      </c>
      <c r="W580" s="214">
        <v>0</v>
      </c>
      <c r="X580" s="214">
        <v>0</v>
      </c>
      <c r="Y580" s="214">
        <v>0</v>
      </c>
      <c r="Z580" s="214">
        <v>0</v>
      </c>
      <c r="AA580" s="214">
        <v>0</v>
      </c>
      <c r="AB580" s="214">
        <v>0</v>
      </c>
      <c r="AC580" s="214">
        <v>0</v>
      </c>
      <c r="AD580" s="214"/>
      <c r="AE580" s="420">
        <v>3000</v>
      </c>
      <c r="AF580" s="420">
        <v>0</v>
      </c>
      <c r="AG580" s="420">
        <v>0</v>
      </c>
      <c r="AH580" s="420"/>
      <c r="AI580" s="574">
        <f t="shared" si="14"/>
        <v>139670</v>
      </c>
      <c r="AJ580" s="212"/>
    </row>
    <row r="581" spans="2:36" ht="14.4">
      <c r="B581" s="211"/>
      <c r="C581" s="213" t="s">
        <v>95</v>
      </c>
      <c r="D581" s="214">
        <v>0</v>
      </c>
      <c r="E581" s="214">
        <v>0</v>
      </c>
      <c r="F581" s="214">
        <v>0</v>
      </c>
      <c r="G581" s="214">
        <v>0</v>
      </c>
      <c r="H581" s="214">
        <v>0</v>
      </c>
      <c r="I581" s="214">
        <v>0</v>
      </c>
      <c r="J581" s="214">
        <v>0</v>
      </c>
      <c r="K581" s="214">
        <v>0</v>
      </c>
      <c r="L581" s="214">
        <v>0</v>
      </c>
      <c r="M581" s="214">
        <v>0</v>
      </c>
      <c r="N581" s="214">
        <v>0</v>
      </c>
      <c r="O581" s="214">
        <v>0</v>
      </c>
      <c r="P581" s="214">
        <v>0</v>
      </c>
      <c r="Q581" s="214">
        <v>0</v>
      </c>
      <c r="R581" s="214">
        <v>0</v>
      </c>
      <c r="S581" s="214">
        <v>0</v>
      </c>
      <c r="T581" s="214">
        <v>0</v>
      </c>
      <c r="U581" s="214">
        <v>0</v>
      </c>
      <c r="V581" s="214">
        <v>0</v>
      </c>
      <c r="W581" s="214">
        <v>0</v>
      </c>
      <c r="X581" s="214">
        <v>0</v>
      </c>
      <c r="Y581" s="214">
        <v>0</v>
      </c>
      <c r="Z581" s="214">
        <v>0</v>
      </c>
      <c r="AA581" s="214">
        <v>0</v>
      </c>
      <c r="AB581" s="214">
        <v>0</v>
      </c>
      <c r="AC581" s="214">
        <v>0</v>
      </c>
      <c r="AD581" s="214"/>
      <c r="AE581" s="420">
        <v>0</v>
      </c>
      <c r="AF581" s="420">
        <v>0</v>
      </c>
      <c r="AG581" s="420">
        <v>0</v>
      </c>
      <c r="AH581" s="420"/>
      <c r="AI581" s="574">
        <f t="shared" si="14"/>
        <v>0</v>
      </c>
      <c r="AJ581" s="212"/>
    </row>
    <row r="582" spans="2:36" ht="14.4">
      <c r="B582" s="211"/>
      <c r="C582" s="213" t="s">
        <v>96</v>
      </c>
      <c r="D582" s="214">
        <v>0</v>
      </c>
      <c r="E582" s="214">
        <v>1865</v>
      </c>
      <c r="F582" s="214">
        <v>1865</v>
      </c>
      <c r="G582" s="214">
        <v>0</v>
      </c>
      <c r="H582" s="214">
        <v>1865</v>
      </c>
      <c r="I582" s="214">
        <v>0</v>
      </c>
      <c r="J582" s="214">
        <v>0</v>
      </c>
      <c r="K582" s="214">
        <v>0</v>
      </c>
      <c r="L582" s="214">
        <v>0</v>
      </c>
      <c r="M582" s="214">
        <v>0</v>
      </c>
      <c r="N582" s="214">
        <v>0</v>
      </c>
      <c r="O582" s="214">
        <v>0</v>
      </c>
      <c r="P582" s="214">
        <v>0</v>
      </c>
      <c r="Q582" s="214">
        <v>1865</v>
      </c>
      <c r="R582" s="214">
        <v>0</v>
      </c>
      <c r="S582" s="214">
        <v>0</v>
      </c>
      <c r="T582" s="214">
        <v>0</v>
      </c>
      <c r="U582" s="214">
        <v>0</v>
      </c>
      <c r="V582" s="214">
        <v>0</v>
      </c>
      <c r="W582" s="214">
        <v>0</v>
      </c>
      <c r="X582" s="214">
        <v>0</v>
      </c>
      <c r="Y582" s="214">
        <v>0</v>
      </c>
      <c r="Z582" s="214">
        <v>0</v>
      </c>
      <c r="AA582" s="214">
        <v>0</v>
      </c>
      <c r="AB582" s="214">
        <v>0</v>
      </c>
      <c r="AC582" s="214">
        <v>0</v>
      </c>
      <c r="AD582" s="214"/>
      <c r="AE582" s="420">
        <v>1865</v>
      </c>
      <c r="AF582" s="420">
        <v>0</v>
      </c>
      <c r="AG582" s="420">
        <v>0</v>
      </c>
      <c r="AH582" s="420"/>
      <c r="AI582" s="574">
        <f t="shared" si="14"/>
        <v>9325</v>
      </c>
      <c r="AJ582" s="212"/>
    </row>
    <row r="583" spans="2:36" ht="14.4">
      <c r="B583" s="211"/>
      <c r="C583" s="213" t="s">
        <v>97</v>
      </c>
      <c r="D583" s="214">
        <v>799.51</v>
      </c>
      <c r="E583" s="214">
        <v>0</v>
      </c>
      <c r="F583" s="214">
        <v>100</v>
      </c>
      <c r="G583" s="214">
        <v>0</v>
      </c>
      <c r="H583" s="214">
        <v>296.31</v>
      </c>
      <c r="I583" s="214">
        <v>296.31</v>
      </c>
      <c r="J583" s="214">
        <v>371.8</v>
      </c>
      <c r="K583" s="214">
        <v>296.31</v>
      </c>
      <c r="L583" s="214">
        <v>0</v>
      </c>
      <c r="M583" s="214">
        <v>296.31</v>
      </c>
      <c r="N583" s="214">
        <v>296.31</v>
      </c>
      <c r="O583" s="214">
        <v>0</v>
      </c>
      <c r="P583" s="214">
        <v>0</v>
      </c>
      <c r="Q583" s="214">
        <v>592.63</v>
      </c>
      <c r="R583" s="214">
        <v>296.3</v>
      </c>
      <c r="S583" s="214">
        <v>296.31</v>
      </c>
      <c r="T583" s="214">
        <v>0</v>
      </c>
      <c r="U583" s="214">
        <v>296.31</v>
      </c>
      <c r="V583" s="214">
        <v>309</v>
      </c>
      <c r="W583" s="214">
        <v>675</v>
      </c>
      <c r="X583" s="214">
        <v>296.31</v>
      </c>
      <c r="Y583" s="214">
        <v>296.3</v>
      </c>
      <c r="Z583" s="214">
        <v>309</v>
      </c>
      <c r="AA583" s="214">
        <v>296.31</v>
      </c>
      <c r="AB583" s="214">
        <v>0</v>
      </c>
      <c r="AC583" s="214">
        <v>380</v>
      </c>
      <c r="AD583" s="214"/>
      <c r="AE583" s="420">
        <v>400</v>
      </c>
      <c r="AF583" s="420">
        <v>309</v>
      </c>
      <c r="AG583" s="420">
        <v>0</v>
      </c>
      <c r="AH583" s="420"/>
      <c r="AI583" s="574">
        <f t="shared" si="14"/>
        <v>7505.3300000000008</v>
      </c>
      <c r="AJ583" s="212"/>
    </row>
    <row r="584" spans="2:36" ht="14.4">
      <c r="B584" s="211"/>
      <c r="C584" s="213" t="s">
        <v>192</v>
      </c>
      <c r="D584" s="214">
        <v>5000</v>
      </c>
      <c r="E584" s="214">
        <v>0</v>
      </c>
      <c r="F584" s="214">
        <v>0</v>
      </c>
      <c r="G584" s="214">
        <v>0</v>
      </c>
      <c r="H584" s="214">
        <v>0</v>
      </c>
      <c r="I584" s="214">
        <v>0</v>
      </c>
      <c r="J584" s="214">
        <v>0</v>
      </c>
      <c r="K584" s="214">
        <v>0</v>
      </c>
      <c r="L584" s="214">
        <v>0</v>
      </c>
      <c r="M584" s="214">
        <v>0</v>
      </c>
      <c r="N584" s="214">
        <v>0</v>
      </c>
      <c r="O584" s="214">
        <v>0</v>
      </c>
      <c r="P584" s="214">
        <v>0</v>
      </c>
      <c r="Q584" s="214">
        <v>0</v>
      </c>
      <c r="R584" s="214">
        <v>0</v>
      </c>
      <c r="S584" s="214">
        <v>0</v>
      </c>
      <c r="T584" s="214">
        <v>0</v>
      </c>
      <c r="U584" s="214">
        <v>0</v>
      </c>
      <c r="V584" s="214">
        <v>0</v>
      </c>
      <c r="W584" s="214">
        <v>0</v>
      </c>
      <c r="X584" s="214">
        <v>0</v>
      </c>
      <c r="Y584" s="214">
        <v>0</v>
      </c>
      <c r="Z584" s="214">
        <v>0</v>
      </c>
      <c r="AA584" s="214">
        <v>0</v>
      </c>
      <c r="AB584" s="214">
        <v>0</v>
      </c>
      <c r="AC584" s="214">
        <v>0</v>
      </c>
      <c r="AD584" s="214"/>
      <c r="AE584" s="420">
        <v>0</v>
      </c>
      <c r="AF584" s="420">
        <v>0</v>
      </c>
      <c r="AG584" s="420">
        <v>0</v>
      </c>
      <c r="AH584" s="420"/>
      <c r="AI584" s="574">
        <f t="shared" si="14"/>
        <v>5000</v>
      </c>
      <c r="AJ584" s="212"/>
    </row>
    <row r="585" spans="2:36" ht="14.4">
      <c r="B585" s="211"/>
      <c r="C585" s="213" t="s">
        <v>98</v>
      </c>
      <c r="D585" s="214">
        <v>0</v>
      </c>
      <c r="E585" s="214">
        <v>0</v>
      </c>
      <c r="F585" s="214">
        <v>0</v>
      </c>
      <c r="G585" s="214">
        <v>0</v>
      </c>
      <c r="H585" s="214">
        <v>0</v>
      </c>
      <c r="I585" s="214">
        <v>0</v>
      </c>
      <c r="J585" s="214">
        <v>0</v>
      </c>
      <c r="K585" s="214">
        <v>0</v>
      </c>
      <c r="L585" s="214">
        <v>0</v>
      </c>
      <c r="M585" s="214">
        <v>0</v>
      </c>
      <c r="N585" s="214">
        <v>0</v>
      </c>
      <c r="O585" s="214">
        <v>0</v>
      </c>
      <c r="P585" s="214">
        <v>0</v>
      </c>
      <c r="Q585" s="214">
        <v>0</v>
      </c>
      <c r="R585" s="214">
        <v>0</v>
      </c>
      <c r="S585" s="214">
        <v>0</v>
      </c>
      <c r="T585" s="214">
        <v>0</v>
      </c>
      <c r="U585" s="214">
        <v>0</v>
      </c>
      <c r="V585" s="214">
        <v>0</v>
      </c>
      <c r="W585" s="214">
        <v>0</v>
      </c>
      <c r="X585" s="214">
        <v>0</v>
      </c>
      <c r="Y585" s="214">
        <v>0</v>
      </c>
      <c r="Z585" s="214">
        <v>0</v>
      </c>
      <c r="AA585" s="214">
        <v>0</v>
      </c>
      <c r="AB585" s="214">
        <v>0</v>
      </c>
      <c r="AC585" s="214">
        <v>0</v>
      </c>
      <c r="AD585" s="214"/>
      <c r="AE585" s="420">
        <v>0</v>
      </c>
      <c r="AF585" s="420">
        <v>0</v>
      </c>
      <c r="AG585" s="420">
        <v>0</v>
      </c>
      <c r="AH585" s="420"/>
      <c r="AI585" s="574">
        <f t="shared" si="14"/>
        <v>0</v>
      </c>
      <c r="AJ585" s="212"/>
    </row>
    <row r="586" spans="2:36" ht="14.4">
      <c r="B586" s="211"/>
      <c r="C586" s="213" t="s">
        <v>99</v>
      </c>
      <c r="D586" s="214">
        <v>6433.05</v>
      </c>
      <c r="E586" s="214">
        <v>0</v>
      </c>
      <c r="F586" s="214">
        <v>0</v>
      </c>
      <c r="G586" s="214">
        <v>0</v>
      </c>
      <c r="H586" s="214">
        <v>0</v>
      </c>
      <c r="I586" s="214">
        <v>0</v>
      </c>
      <c r="J586" s="214">
        <v>0</v>
      </c>
      <c r="K586" s="214">
        <v>0</v>
      </c>
      <c r="L586" s="214">
        <v>0</v>
      </c>
      <c r="M586" s="214">
        <v>0</v>
      </c>
      <c r="N586" s="214">
        <v>0</v>
      </c>
      <c r="O586" s="214">
        <v>0</v>
      </c>
      <c r="P586" s="214">
        <v>0</v>
      </c>
      <c r="Q586" s="214">
        <v>0</v>
      </c>
      <c r="R586" s="214">
        <v>0</v>
      </c>
      <c r="S586" s="214">
        <v>0</v>
      </c>
      <c r="T586" s="214">
        <v>0</v>
      </c>
      <c r="U586" s="214">
        <v>0</v>
      </c>
      <c r="V586" s="214">
        <v>0</v>
      </c>
      <c r="W586" s="214">
        <v>0</v>
      </c>
      <c r="X586" s="214">
        <v>0</v>
      </c>
      <c r="Y586" s="214">
        <v>0</v>
      </c>
      <c r="Z586" s="214">
        <v>0</v>
      </c>
      <c r="AA586" s="214">
        <v>0</v>
      </c>
      <c r="AB586" s="214">
        <v>0</v>
      </c>
      <c r="AC586" s="214">
        <v>0</v>
      </c>
      <c r="AD586" s="214"/>
      <c r="AE586" s="420">
        <v>0</v>
      </c>
      <c r="AF586" s="420">
        <v>0</v>
      </c>
      <c r="AG586" s="420">
        <v>0</v>
      </c>
      <c r="AH586" s="420"/>
      <c r="AI586" s="574">
        <f t="shared" si="14"/>
        <v>6433.05</v>
      </c>
      <c r="AJ586" s="212"/>
    </row>
    <row r="587" spans="2:36" ht="14.4">
      <c r="B587" s="211"/>
      <c r="C587" s="213" t="s">
        <v>100</v>
      </c>
      <c r="D587" s="214">
        <v>1692.62</v>
      </c>
      <c r="E587" s="214">
        <v>103.08</v>
      </c>
      <c r="F587" s="214">
        <v>0</v>
      </c>
      <c r="G587" s="214">
        <v>11.91</v>
      </c>
      <c r="H587" s="214">
        <v>0</v>
      </c>
      <c r="I587" s="214">
        <v>0</v>
      </c>
      <c r="J587" s="214">
        <v>0</v>
      </c>
      <c r="K587" s="214">
        <v>0</v>
      </c>
      <c r="L587" s="214">
        <v>0</v>
      </c>
      <c r="M587" s="214">
        <v>0</v>
      </c>
      <c r="N587" s="214">
        <v>0</v>
      </c>
      <c r="O587" s="214">
        <v>56.16</v>
      </c>
      <c r="P587" s="214">
        <v>0</v>
      </c>
      <c r="Q587" s="214">
        <v>23.33</v>
      </c>
      <c r="R587" s="214">
        <v>0</v>
      </c>
      <c r="S587" s="214">
        <v>0</v>
      </c>
      <c r="T587" s="214">
        <v>43.17</v>
      </c>
      <c r="U587" s="214">
        <v>0</v>
      </c>
      <c r="V587" s="214">
        <v>0</v>
      </c>
      <c r="W587" s="214">
        <v>0</v>
      </c>
      <c r="X587" s="214">
        <v>0</v>
      </c>
      <c r="Y587" s="214">
        <v>0</v>
      </c>
      <c r="Z587" s="214">
        <v>168.33</v>
      </c>
      <c r="AA587" s="214">
        <v>176.5</v>
      </c>
      <c r="AB587" s="214">
        <v>0</v>
      </c>
      <c r="AC587" s="214">
        <v>0</v>
      </c>
      <c r="AD587" s="214"/>
      <c r="AE587" s="420">
        <v>104.61</v>
      </c>
      <c r="AF587" s="420">
        <v>0</v>
      </c>
      <c r="AG587" s="420">
        <v>0</v>
      </c>
      <c r="AH587" s="420"/>
      <c r="AI587" s="574">
        <f t="shared" si="14"/>
        <v>2379.71</v>
      </c>
      <c r="AJ587" s="212"/>
    </row>
    <row r="588" spans="2:36" ht="14.4">
      <c r="B588" s="211"/>
      <c r="C588" s="213" t="s">
        <v>101</v>
      </c>
      <c r="D588" s="214">
        <v>112.5</v>
      </c>
      <c r="E588" s="214">
        <v>1065.6600000000001</v>
      </c>
      <c r="F588" s="214">
        <v>0</v>
      </c>
      <c r="G588" s="214">
        <v>388.33</v>
      </c>
      <c r="H588" s="214">
        <v>457.42</v>
      </c>
      <c r="I588" s="214">
        <v>0</v>
      </c>
      <c r="J588" s="214">
        <v>0</v>
      </c>
      <c r="K588" s="214">
        <v>0</v>
      </c>
      <c r="L588" s="214">
        <v>0</v>
      </c>
      <c r="M588" s="214">
        <v>0</v>
      </c>
      <c r="N588" s="214">
        <v>0</v>
      </c>
      <c r="O588" s="214">
        <v>0</v>
      </c>
      <c r="P588" s="214">
        <v>0</v>
      </c>
      <c r="Q588" s="214">
        <v>23.33</v>
      </c>
      <c r="R588" s="214">
        <v>0</v>
      </c>
      <c r="S588" s="214">
        <v>0</v>
      </c>
      <c r="T588" s="214">
        <v>0</v>
      </c>
      <c r="U588" s="214">
        <v>0</v>
      </c>
      <c r="V588" s="214">
        <v>0</v>
      </c>
      <c r="W588" s="214">
        <v>0</v>
      </c>
      <c r="X588" s="214">
        <v>103.5</v>
      </c>
      <c r="Y588" s="214">
        <v>0</v>
      </c>
      <c r="Z588" s="214">
        <v>0</v>
      </c>
      <c r="AA588" s="214">
        <v>0</v>
      </c>
      <c r="AB588" s="214">
        <v>0</v>
      </c>
      <c r="AC588" s="214">
        <v>0</v>
      </c>
      <c r="AD588" s="214"/>
      <c r="AE588" s="420">
        <v>0</v>
      </c>
      <c r="AF588" s="420">
        <v>0</v>
      </c>
      <c r="AG588" s="420">
        <v>0</v>
      </c>
      <c r="AH588" s="420"/>
      <c r="AI588" s="574">
        <f t="shared" si="14"/>
        <v>2150.7399999999998</v>
      </c>
      <c r="AJ588" s="212"/>
    </row>
    <row r="589" spans="2:36" ht="14.4">
      <c r="B589" s="211"/>
      <c r="C589" s="213" t="s">
        <v>102</v>
      </c>
      <c r="D589" s="214">
        <v>19340.919999999998</v>
      </c>
      <c r="E589" s="214">
        <v>791.93</v>
      </c>
      <c r="F589" s="214">
        <v>1361.93</v>
      </c>
      <c r="G589" s="214">
        <v>679.31</v>
      </c>
      <c r="H589" s="214">
        <v>1518.06</v>
      </c>
      <c r="I589" s="214">
        <v>703.43</v>
      </c>
      <c r="J589" s="214">
        <v>150.66</v>
      </c>
      <c r="K589" s="214">
        <v>407.27</v>
      </c>
      <c r="L589" s="214">
        <v>289.57</v>
      </c>
      <c r="M589" s="214">
        <v>1025.21</v>
      </c>
      <c r="N589" s="214">
        <v>622.67999999999995</v>
      </c>
      <c r="O589" s="214">
        <v>2325.88</v>
      </c>
      <c r="P589" s="214">
        <v>1633.4</v>
      </c>
      <c r="Q589" s="214">
        <v>1184.6500000000001</v>
      </c>
      <c r="R589" s="214">
        <v>0</v>
      </c>
      <c r="S589" s="214">
        <v>367.24</v>
      </c>
      <c r="T589" s="214">
        <v>75.33</v>
      </c>
      <c r="U589" s="214">
        <v>22.92</v>
      </c>
      <c r="V589" s="214">
        <v>0</v>
      </c>
      <c r="W589" s="214">
        <v>0</v>
      </c>
      <c r="X589" s="214">
        <v>23.96</v>
      </c>
      <c r="Y589" s="214">
        <v>75.75</v>
      </c>
      <c r="Z589" s="214">
        <v>362.68</v>
      </c>
      <c r="AA589" s="214">
        <v>168.76</v>
      </c>
      <c r="AB589" s="214">
        <v>375.5</v>
      </c>
      <c r="AC589" s="214">
        <v>276.62</v>
      </c>
      <c r="AD589" s="214"/>
      <c r="AE589" s="420">
        <v>3789.58</v>
      </c>
      <c r="AF589" s="420">
        <v>1947.16</v>
      </c>
      <c r="AG589" s="420">
        <v>2382.6799999999998</v>
      </c>
      <c r="AH589" s="420"/>
      <c r="AI589" s="574">
        <f t="shared" si="14"/>
        <v>41903.080000000016</v>
      </c>
      <c r="AJ589" s="212"/>
    </row>
    <row r="590" spans="2:36" ht="14.4">
      <c r="B590" s="211"/>
      <c r="C590" s="213" t="s">
        <v>103</v>
      </c>
      <c r="D590" s="214">
        <v>3301.12</v>
      </c>
      <c r="E590" s="214">
        <v>98.57</v>
      </c>
      <c r="F590" s="214">
        <v>106.41</v>
      </c>
      <c r="G590" s="214">
        <v>85.22</v>
      </c>
      <c r="H590" s="214">
        <v>127.61</v>
      </c>
      <c r="I590" s="214">
        <v>53.44</v>
      </c>
      <c r="J590" s="214">
        <v>53.44</v>
      </c>
      <c r="K590" s="214">
        <v>53.44</v>
      </c>
      <c r="L590" s="214">
        <v>53.44</v>
      </c>
      <c r="M590" s="214">
        <v>0</v>
      </c>
      <c r="N590" s="214">
        <v>53.44</v>
      </c>
      <c r="O590" s="214">
        <v>53.44</v>
      </c>
      <c r="P590" s="214">
        <v>98.65</v>
      </c>
      <c r="Q590" s="214">
        <v>53.44</v>
      </c>
      <c r="R590" s="214">
        <v>53.44</v>
      </c>
      <c r="S590" s="214">
        <v>98.57</v>
      </c>
      <c r="T590" s="214">
        <v>53.44</v>
      </c>
      <c r="U590" s="214">
        <v>53.44</v>
      </c>
      <c r="V590" s="214">
        <v>53.44</v>
      </c>
      <c r="W590" s="214">
        <v>53.44</v>
      </c>
      <c r="X590" s="214">
        <v>53.44</v>
      </c>
      <c r="Y590" s="214">
        <v>53.44</v>
      </c>
      <c r="Z590" s="214">
        <v>539.9</v>
      </c>
      <c r="AA590" s="214">
        <v>331.54</v>
      </c>
      <c r="AB590" s="214">
        <v>0</v>
      </c>
      <c r="AC590" s="214">
        <v>0</v>
      </c>
      <c r="AD590" s="214"/>
      <c r="AE590" s="420">
        <v>1402.26</v>
      </c>
      <c r="AF590" s="420">
        <v>0</v>
      </c>
      <c r="AG590" s="420">
        <v>90.26</v>
      </c>
      <c r="AH590" s="420"/>
      <c r="AI590" s="574">
        <f t="shared" si="14"/>
        <v>7028.2699999999968</v>
      </c>
      <c r="AJ590" s="212"/>
    </row>
    <row r="591" spans="2:36" ht="14.4">
      <c r="B591" s="211"/>
      <c r="C591" s="213" t="s">
        <v>104</v>
      </c>
      <c r="D591" s="214">
        <v>4986.1000000000004</v>
      </c>
      <c r="E591" s="214">
        <v>395</v>
      </c>
      <c r="F591" s="214">
        <v>195.7</v>
      </c>
      <c r="G591" s="214">
        <v>320.52999999999997</v>
      </c>
      <c r="H591" s="214">
        <v>888.82</v>
      </c>
      <c r="I591" s="214">
        <v>107.34</v>
      </c>
      <c r="J591" s="214">
        <v>147.91999999999999</v>
      </c>
      <c r="K591" s="214">
        <v>0</v>
      </c>
      <c r="L591" s="214">
        <v>0</v>
      </c>
      <c r="M591" s="214">
        <v>417.72</v>
      </c>
      <c r="N591" s="214">
        <v>107.34</v>
      </c>
      <c r="O591" s="214">
        <v>297.14</v>
      </c>
      <c r="P591" s="214">
        <v>267.3</v>
      </c>
      <c r="Q591" s="214">
        <v>305.82</v>
      </c>
      <c r="R591" s="214">
        <v>843.3</v>
      </c>
      <c r="S591" s="214">
        <v>121.51</v>
      </c>
      <c r="T591" s="214">
        <v>227.5</v>
      </c>
      <c r="U591" s="214">
        <v>275.83</v>
      </c>
      <c r="V591" s="214">
        <v>44.58</v>
      </c>
      <c r="W591" s="214">
        <v>45.83</v>
      </c>
      <c r="X591" s="214">
        <v>85.83</v>
      </c>
      <c r="Y591" s="214">
        <v>52.92</v>
      </c>
      <c r="Z591" s="214">
        <v>101.05</v>
      </c>
      <c r="AA591" s="214">
        <v>112.5</v>
      </c>
      <c r="AB591" s="214">
        <v>110.42</v>
      </c>
      <c r="AC591" s="214">
        <v>244.38</v>
      </c>
      <c r="AD591" s="214"/>
      <c r="AE591" s="420">
        <v>327.29000000000002</v>
      </c>
      <c r="AF591" s="420">
        <v>302.44</v>
      </c>
      <c r="AG591" s="420">
        <v>318.27</v>
      </c>
      <c r="AH591" s="420"/>
      <c r="AI591" s="574">
        <f t="shared" si="14"/>
        <v>11650.380000000001</v>
      </c>
      <c r="AJ591" s="212"/>
    </row>
    <row r="592" spans="2:36" ht="14.4">
      <c r="B592" s="211"/>
      <c r="C592" s="213" t="s">
        <v>105</v>
      </c>
      <c r="D592" s="214">
        <v>966.44</v>
      </c>
      <c r="E592" s="214">
        <v>8875.65</v>
      </c>
      <c r="F592" s="214">
        <v>0</v>
      </c>
      <c r="G592" s="214">
        <v>0</v>
      </c>
      <c r="H592" s="214">
        <v>0</v>
      </c>
      <c r="I592" s="214">
        <v>87.25</v>
      </c>
      <c r="J592" s="214">
        <v>0</v>
      </c>
      <c r="K592" s="214">
        <v>33.75</v>
      </c>
      <c r="L592" s="214">
        <v>0</v>
      </c>
      <c r="M592" s="214">
        <v>1162.8900000000001</v>
      </c>
      <c r="N592" s="214">
        <v>0</v>
      </c>
      <c r="O592" s="214">
        <v>228.08</v>
      </c>
      <c r="P592" s="214">
        <v>75.81</v>
      </c>
      <c r="Q592" s="214">
        <v>5644.11</v>
      </c>
      <c r="R592" s="214">
        <v>887.49</v>
      </c>
      <c r="S592" s="214">
        <v>1004.92</v>
      </c>
      <c r="T592" s="214">
        <v>0</v>
      </c>
      <c r="U592" s="214">
        <v>570.41999999999996</v>
      </c>
      <c r="V592" s="214">
        <v>6</v>
      </c>
      <c r="W592" s="214">
        <v>17.3</v>
      </c>
      <c r="X592" s="214">
        <v>14.67</v>
      </c>
      <c r="Y592" s="214">
        <v>918.67</v>
      </c>
      <c r="Z592" s="214">
        <v>15</v>
      </c>
      <c r="AA592" s="214">
        <v>12.5</v>
      </c>
      <c r="AB592" s="214">
        <v>225.58</v>
      </c>
      <c r="AC592" s="214">
        <v>59.33</v>
      </c>
      <c r="AD592" s="214"/>
      <c r="AE592" s="420">
        <v>1072.1199999999999</v>
      </c>
      <c r="AF592" s="420">
        <v>340.15</v>
      </c>
      <c r="AG592" s="420">
        <v>515.15</v>
      </c>
      <c r="AH592" s="420"/>
      <c r="AI592" s="574">
        <f t="shared" si="14"/>
        <v>22733.279999999999</v>
      </c>
      <c r="AJ592" s="212"/>
    </row>
    <row r="593" spans="2:36" ht="14.4">
      <c r="B593" s="211"/>
      <c r="C593" s="213" t="s">
        <v>106</v>
      </c>
      <c r="D593" s="214">
        <v>1061</v>
      </c>
      <c r="E593" s="214">
        <v>0</v>
      </c>
      <c r="F593" s="214">
        <v>0</v>
      </c>
      <c r="G593" s="214">
        <v>0</v>
      </c>
      <c r="H593" s="214">
        <v>0</v>
      </c>
      <c r="I593" s="214">
        <v>0</v>
      </c>
      <c r="J593" s="214">
        <v>0</v>
      </c>
      <c r="K593" s="214">
        <v>0</v>
      </c>
      <c r="L593" s="214">
        <v>0</v>
      </c>
      <c r="M593" s="214">
        <v>0</v>
      </c>
      <c r="N593" s="214">
        <v>0</v>
      </c>
      <c r="O593" s="214">
        <v>0</v>
      </c>
      <c r="P593" s="214">
        <v>0</v>
      </c>
      <c r="Q593" s="214">
        <v>0</v>
      </c>
      <c r="R593" s="214">
        <v>0</v>
      </c>
      <c r="S593" s="214">
        <v>0</v>
      </c>
      <c r="T593" s="214">
        <v>0</v>
      </c>
      <c r="U593" s="214">
        <v>0</v>
      </c>
      <c r="V593" s="214">
        <v>0</v>
      </c>
      <c r="W593" s="214">
        <v>0</v>
      </c>
      <c r="X593" s="214">
        <v>0</v>
      </c>
      <c r="Y593" s="214">
        <v>0</v>
      </c>
      <c r="Z593" s="214">
        <v>0</v>
      </c>
      <c r="AA593" s="214">
        <v>0</v>
      </c>
      <c r="AB593" s="214">
        <v>0</v>
      </c>
      <c r="AC593" s="214">
        <v>0</v>
      </c>
      <c r="AD593" s="214"/>
      <c r="AE593" s="420">
        <v>0</v>
      </c>
      <c r="AF593" s="420">
        <v>0</v>
      </c>
      <c r="AG593" s="420">
        <v>0</v>
      </c>
      <c r="AH593" s="420"/>
      <c r="AI593" s="574">
        <f t="shared" si="14"/>
        <v>1061</v>
      </c>
      <c r="AJ593" s="212"/>
    </row>
    <row r="594" spans="2:36" ht="14.4">
      <c r="B594" s="211"/>
      <c r="C594" s="213" t="s">
        <v>107</v>
      </c>
      <c r="D594" s="214">
        <v>0</v>
      </c>
      <c r="E594" s="214">
        <v>0</v>
      </c>
      <c r="F594" s="214">
        <v>0</v>
      </c>
      <c r="G594" s="214">
        <v>0</v>
      </c>
      <c r="H594" s="214">
        <v>0</v>
      </c>
      <c r="I594" s="214">
        <v>0</v>
      </c>
      <c r="J594" s="214">
        <v>0</v>
      </c>
      <c r="K594" s="214">
        <v>0</v>
      </c>
      <c r="L594" s="214">
        <v>0</v>
      </c>
      <c r="M594" s="214">
        <v>0</v>
      </c>
      <c r="N594" s="214">
        <v>0</v>
      </c>
      <c r="O594" s="214">
        <v>0</v>
      </c>
      <c r="P594" s="214">
        <v>0</v>
      </c>
      <c r="Q594" s="214">
        <v>0</v>
      </c>
      <c r="R594" s="214">
        <v>0</v>
      </c>
      <c r="S594" s="214">
        <v>0</v>
      </c>
      <c r="T594" s="214">
        <v>0</v>
      </c>
      <c r="U594" s="214">
        <v>0</v>
      </c>
      <c r="V594" s="214">
        <v>0</v>
      </c>
      <c r="W594" s="214">
        <v>0</v>
      </c>
      <c r="X594" s="214">
        <v>0</v>
      </c>
      <c r="Y594" s="214">
        <v>0</v>
      </c>
      <c r="Z594" s="214">
        <v>0</v>
      </c>
      <c r="AA594" s="214">
        <v>0</v>
      </c>
      <c r="AB594" s="214">
        <v>0</v>
      </c>
      <c r="AC594" s="214">
        <v>0</v>
      </c>
      <c r="AD594" s="214"/>
      <c r="AE594" s="420">
        <v>0</v>
      </c>
      <c r="AF594" s="420">
        <v>0</v>
      </c>
      <c r="AG594" s="420">
        <v>0</v>
      </c>
      <c r="AH594" s="420"/>
      <c r="AI594" s="574">
        <f t="shared" si="14"/>
        <v>0</v>
      </c>
      <c r="AJ594" s="212"/>
    </row>
    <row r="595" spans="2:36" ht="14.4">
      <c r="B595" s="211"/>
      <c r="C595" s="213" t="s">
        <v>108</v>
      </c>
      <c r="D595" s="214"/>
      <c r="E595" s="214">
        <v>21708.46</v>
      </c>
      <c r="F595" s="214">
        <v>31794.82</v>
      </c>
      <c r="G595" s="214">
        <v>26690.84</v>
      </c>
      <c r="H595" s="214">
        <v>3096.51</v>
      </c>
      <c r="I595" s="214"/>
      <c r="J595" s="214"/>
      <c r="K595" s="214"/>
      <c r="L595" s="214"/>
      <c r="M595" s="214">
        <v>181</v>
      </c>
      <c r="N595" s="214"/>
      <c r="O595" s="214">
        <v>2589.67</v>
      </c>
      <c r="P595" s="214">
        <v>934</v>
      </c>
      <c r="Q595" s="214">
        <v>34242.74</v>
      </c>
      <c r="R595" s="214">
        <v>1110.31</v>
      </c>
      <c r="S595" s="214">
        <v>1807.32</v>
      </c>
      <c r="T595" s="214"/>
      <c r="U595" s="214"/>
      <c r="V595" s="214"/>
      <c r="W595" s="214"/>
      <c r="X595" s="214"/>
      <c r="Y595" s="214"/>
      <c r="Z595" s="214"/>
      <c r="AA595" s="214"/>
      <c r="AB595" s="214"/>
      <c r="AC595" s="214"/>
      <c r="AD595" s="214"/>
      <c r="AE595" s="420">
        <v>363.76</v>
      </c>
      <c r="AF595" s="420"/>
      <c r="AG595" s="420">
        <v>688</v>
      </c>
      <c r="AH595" s="420"/>
      <c r="AI595" s="574">
        <f t="shared" si="14"/>
        <v>125207.42999999998</v>
      </c>
      <c r="AJ595" s="212"/>
    </row>
    <row r="596" spans="2:36" ht="14.4">
      <c r="B596" s="211"/>
      <c r="C596" s="213" t="s">
        <v>109</v>
      </c>
      <c r="D596" s="214">
        <v>0</v>
      </c>
      <c r="E596" s="214">
        <v>0</v>
      </c>
      <c r="F596" s="214">
        <v>0</v>
      </c>
      <c r="G596" s="214">
        <v>0</v>
      </c>
      <c r="H596" s="214">
        <v>0</v>
      </c>
      <c r="I596" s="214">
        <v>0</v>
      </c>
      <c r="J596" s="214">
        <v>0</v>
      </c>
      <c r="K596" s="214">
        <v>0</v>
      </c>
      <c r="L596" s="214">
        <v>0</v>
      </c>
      <c r="M596" s="214">
        <v>0</v>
      </c>
      <c r="N596" s="214">
        <v>0</v>
      </c>
      <c r="O596" s="214">
        <v>0</v>
      </c>
      <c r="P596" s="214">
        <v>0</v>
      </c>
      <c r="Q596" s="214">
        <v>0</v>
      </c>
      <c r="R596" s="214">
        <v>0</v>
      </c>
      <c r="S596" s="214">
        <v>0</v>
      </c>
      <c r="T596" s="214">
        <v>0</v>
      </c>
      <c r="U596" s="214">
        <v>0</v>
      </c>
      <c r="V596" s="214">
        <v>0</v>
      </c>
      <c r="W596" s="214">
        <v>0</v>
      </c>
      <c r="X596" s="214">
        <v>0</v>
      </c>
      <c r="Y596" s="214">
        <v>0</v>
      </c>
      <c r="Z596" s="214">
        <v>0</v>
      </c>
      <c r="AA596" s="214">
        <v>0</v>
      </c>
      <c r="AB596" s="214">
        <v>0</v>
      </c>
      <c r="AC596" s="214">
        <v>0</v>
      </c>
      <c r="AD596" s="214"/>
      <c r="AE596" s="420">
        <v>0</v>
      </c>
      <c r="AF596" s="420">
        <v>0</v>
      </c>
      <c r="AG596" s="420">
        <v>0</v>
      </c>
      <c r="AH596" s="420"/>
      <c r="AI596" s="574">
        <f t="shared" si="14"/>
        <v>0</v>
      </c>
      <c r="AJ596" s="212"/>
    </row>
    <row r="597" spans="2:36" ht="14.4">
      <c r="B597" s="211"/>
      <c r="C597" s="213" t="s">
        <v>110</v>
      </c>
      <c r="D597" s="214">
        <v>0</v>
      </c>
      <c r="E597" s="214">
        <v>0</v>
      </c>
      <c r="F597" s="214">
        <v>0</v>
      </c>
      <c r="G597" s="214">
        <v>0</v>
      </c>
      <c r="H597" s="214">
        <v>0</v>
      </c>
      <c r="I597" s="214">
        <v>0</v>
      </c>
      <c r="J597" s="214">
        <v>0</v>
      </c>
      <c r="K597" s="214">
        <v>0</v>
      </c>
      <c r="L597" s="214">
        <v>0</v>
      </c>
      <c r="M597" s="214">
        <v>0</v>
      </c>
      <c r="N597" s="214">
        <v>0</v>
      </c>
      <c r="O597" s="214">
        <v>166.66</v>
      </c>
      <c r="P597" s="214">
        <v>0</v>
      </c>
      <c r="Q597" s="214">
        <v>0</v>
      </c>
      <c r="R597" s="214">
        <v>0</v>
      </c>
      <c r="S597" s="214">
        <v>0</v>
      </c>
      <c r="T597" s="214">
        <v>0</v>
      </c>
      <c r="U597" s="214">
        <v>0</v>
      </c>
      <c r="V597" s="214">
        <v>0</v>
      </c>
      <c r="W597" s="214">
        <v>0</v>
      </c>
      <c r="X597" s="214">
        <v>0</v>
      </c>
      <c r="Y597" s="214">
        <v>0</v>
      </c>
      <c r="Z597" s="214">
        <v>0</v>
      </c>
      <c r="AA597" s="214">
        <v>0</v>
      </c>
      <c r="AB597" s="214">
        <v>0</v>
      </c>
      <c r="AC597" s="214">
        <v>0</v>
      </c>
      <c r="AD597" s="214"/>
      <c r="AE597" s="420">
        <v>0</v>
      </c>
      <c r="AF597" s="420">
        <v>0</v>
      </c>
      <c r="AG597" s="420">
        <v>0</v>
      </c>
      <c r="AH597" s="420"/>
      <c r="AI597" s="574">
        <f t="shared" si="14"/>
        <v>166.66</v>
      </c>
      <c r="AJ597" s="212"/>
    </row>
    <row r="598" spans="2:36" ht="14.4">
      <c r="B598" s="211"/>
      <c r="C598" s="213" t="s">
        <v>112</v>
      </c>
      <c r="D598" s="214">
        <v>0</v>
      </c>
      <c r="E598" s="214">
        <v>0</v>
      </c>
      <c r="F598" s="214">
        <v>0</v>
      </c>
      <c r="G598" s="214">
        <v>0</v>
      </c>
      <c r="H598" s="214">
        <v>0</v>
      </c>
      <c r="I598" s="214">
        <v>0</v>
      </c>
      <c r="J598" s="214">
        <v>800</v>
      </c>
      <c r="K598" s="214">
        <v>0</v>
      </c>
      <c r="L598" s="214">
        <v>0</v>
      </c>
      <c r="M598" s="214">
        <v>0</v>
      </c>
      <c r="N598" s="214">
        <v>0</v>
      </c>
      <c r="O598" s="214">
        <v>0</v>
      </c>
      <c r="P598" s="214">
        <v>0</v>
      </c>
      <c r="Q598" s="214">
        <v>0</v>
      </c>
      <c r="R598" s="214">
        <v>0</v>
      </c>
      <c r="S598" s="214">
        <v>0</v>
      </c>
      <c r="T598" s="214">
        <v>0</v>
      </c>
      <c r="U598" s="214">
        <v>0</v>
      </c>
      <c r="V598" s="214">
        <v>0</v>
      </c>
      <c r="W598" s="214">
        <v>0</v>
      </c>
      <c r="X598" s="214">
        <v>0</v>
      </c>
      <c r="Y598" s="214">
        <v>0</v>
      </c>
      <c r="Z598" s="214">
        <v>0</v>
      </c>
      <c r="AA598" s="214">
        <v>0</v>
      </c>
      <c r="AB598" s="214">
        <v>0</v>
      </c>
      <c r="AC598" s="214">
        <v>0</v>
      </c>
      <c r="AD598" s="214"/>
      <c r="AE598" s="420">
        <v>0</v>
      </c>
      <c r="AF598" s="420">
        <v>0</v>
      </c>
      <c r="AG598" s="420">
        <v>0</v>
      </c>
      <c r="AH598" s="420"/>
      <c r="AI598" s="574">
        <f t="shared" si="14"/>
        <v>800</v>
      </c>
      <c r="AJ598" s="212"/>
    </row>
    <row r="599" spans="2:36" ht="14.4">
      <c r="B599" s="211"/>
      <c r="C599" s="213" t="s">
        <v>113</v>
      </c>
      <c r="D599" s="214">
        <v>0</v>
      </c>
      <c r="E599" s="214">
        <v>5701.11</v>
      </c>
      <c r="F599" s="214">
        <v>0</v>
      </c>
      <c r="G599" s="214">
        <v>0</v>
      </c>
      <c r="H599" s="214">
        <v>0</v>
      </c>
      <c r="I599" s="214">
        <v>0</v>
      </c>
      <c r="J599" s="214">
        <v>0</v>
      </c>
      <c r="K599" s="214">
        <v>0</v>
      </c>
      <c r="L599" s="214">
        <v>1150.53</v>
      </c>
      <c r="M599" s="214">
        <v>0</v>
      </c>
      <c r="N599" s="214">
        <v>0</v>
      </c>
      <c r="O599" s="214">
        <v>0</v>
      </c>
      <c r="P599" s="214">
        <v>3202.78</v>
      </c>
      <c r="Q599" s="214">
        <v>0</v>
      </c>
      <c r="R599" s="214">
        <v>14038.6</v>
      </c>
      <c r="S599" s="214">
        <v>0</v>
      </c>
      <c r="T599" s="214">
        <v>0</v>
      </c>
      <c r="U599" s="214">
        <v>0</v>
      </c>
      <c r="V599" s="214">
        <v>0</v>
      </c>
      <c r="W599" s="214">
        <v>0</v>
      </c>
      <c r="X599" s="214">
        <v>0</v>
      </c>
      <c r="Y599" s="214">
        <v>0</v>
      </c>
      <c r="Z599" s="214">
        <v>0</v>
      </c>
      <c r="AA599" s="214">
        <v>0</v>
      </c>
      <c r="AB599" s="214">
        <v>2269.81</v>
      </c>
      <c r="AC599" s="214">
        <v>31041.37</v>
      </c>
      <c r="AD599" s="214"/>
      <c r="AE599" s="420">
        <v>0</v>
      </c>
      <c r="AF599" s="420">
        <v>0</v>
      </c>
      <c r="AG599" s="420">
        <v>0</v>
      </c>
      <c r="AH599" s="420"/>
      <c r="AI599" s="574">
        <f t="shared" si="14"/>
        <v>57404.2</v>
      </c>
      <c r="AJ599" s="212"/>
    </row>
    <row r="600" spans="2:36" ht="14.4">
      <c r="B600" s="211"/>
      <c r="C600" s="213" t="s">
        <v>137</v>
      </c>
      <c r="D600" s="214">
        <v>0</v>
      </c>
      <c r="E600" s="214">
        <v>0</v>
      </c>
      <c r="F600" s="214">
        <v>0</v>
      </c>
      <c r="G600" s="214">
        <v>0</v>
      </c>
      <c r="H600" s="214">
        <v>0</v>
      </c>
      <c r="I600" s="214">
        <v>0</v>
      </c>
      <c r="J600" s="214">
        <v>0</v>
      </c>
      <c r="K600" s="214">
        <v>0</v>
      </c>
      <c r="L600" s="214">
        <v>0</v>
      </c>
      <c r="M600" s="214">
        <v>0</v>
      </c>
      <c r="N600" s="214">
        <v>0</v>
      </c>
      <c r="O600" s="214">
        <v>0</v>
      </c>
      <c r="P600" s="214">
        <v>0</v>
      </c>
      <c r="Q600" s="214">
        <v>0</v>
      </c>
      <c r="R600" s="214">
        <v>0</v>
      </c>
      <c r="S600" s="214">
        <v>0</v>
      </c>
      <c r="T600" s="214">
        <v>0</v>
      </c>
      <c r="U600" s="214">
        <v>0</v>
      </c>
      <c r="V600" s="214">
        <v>0</v>
      </c>
      <c r="W600" s="214">
        <v>0</v>
      </c>
      <c r="X600" s="214">
        <v>0</v>
      </c>
      <c r="Y600" s="214">
        <v>0</v>
      </c>
      <c r="Z600" s="214">
        <v>0</v>
      </c>
      <c r="AA600" s="214">
        <v>0</v>
      </c>
      <c r="AB600" s="214">
        <v>0</v>
      </c>
      <c r="AC600" s="214">
        <v>0</v>
      </c>
      <c r="AD600" s="214"/>
      <c r="AE600" s="420">
        <v>0</v>
      </c>
      <c r="AF600" s="420">
        <v>0</v>
      </c>
      <c r="AG600" s="420">
        <v>0</v>
      </c>
      <c r="AH600" s="420"/>
      <c r="AI600" s="574">
        <f t="shared" si="14"/>
        <v>0</v>
      </c>
      <c r="AJ600" s="212"/>
    </row>
    <row r="601" spans="2:36" ht="14.4">
      <c r="B601" s="211"/>
      <c r="C601" s="213" t="s">
        <v>140</v>
      </c>
      <c r="D601" s="214">
        <v>4718</v>
      </c>
      <c r="E601" s="214">
        <v>0</v>
      </c>
      <c r="F601" s="214">
        <v>0</v>
      </c>
      <c r="G601" s="214">
        <v>379</v>
      </c>
      <c r="H601" s="214">
        <v>0</v>
      </c>
      <c r="I601" s="214">
        <v>0</v>
      </c>
      <c r="J601" s="214">
        <v>0</v>
      </c>
      <c r="K601" s="214">
        <v>0</v>
      </c>
      <c r="L601" s="214">
        <v>1194</v>
      </c>
      <c r="M601" s="214">
        <v>0</v>
      </c>
      <c r="N601" s="214">
        <v>25</v>
      </c>
      <c r="O601" s="214">
        <v>44</v>
      </c>
      <c r="P601" s="214">
        <v>0</v>
      </c>
      <c r="Q601" s="214">
        <v>1223</v>
      </c>
      <c r="R601" s="214">
        <v>0</v>
      </c>
      <c r="S601" s="214">
        <v>0</v>
      </c>
      <c r="T601" s="214">
        <v>0</v>
      </c>
      <c r="U601" s="214">
        <v>0</v>
      </c>
      <c r="V601" s="214">
        <v>0</v>
      </c>
      <c r="W601" s="214">
        <v>0</v>
      </c>
      <c r="X601" s="214">
        <v>0</v>
      </c>
      <c r="Y601" s="214">
        <v>0</v>
      </c>
      <c r="Z601" s="214">
        <v>0</v>
      </c>
      <c r="AA601" s="214">
        <v>0</v>
      </c>
      <c r="AB601" s="214">
        <v>0</v>
      </c>
      <c r="AC601" s="214">
        <v>0</v>
      </c>
      <c r="AD601" s="214"/>
      <c r="AE601" s="420">
        <v>0</v>
      </c>
      <c r="AF601" s="420">
        <v>800</v>
      </c>
      <c r="AG601" s="420">
        <v>0</v>
      </c>
      <c r="AH601" s="420"/>
      <c r="AI601" s="574">
        <f t="shared" si="14"/>
        <v>8383</v>
      </c>
      <c r="AJ601" s="212"/>
    </row>
    <row r="602" spans="2:36" ht="14.4">
      <c r="B602" s="211"/>
      <c r="C602" s="213" t="s">
        <v>141</v>
      </c>
      <c r="D602" s="214">
        <v>0</v>
      </c>
      <c r="E602" s="214">
        <v>0</v>
      </c>
      <c r="F602" s="214">
        <v>0</v>
      </c>
      <c r="G602" s="214">
        <v>0</v>
      </c>
      <c r="H602" s="214">
        <v>0</v>
      </c>
      <c r="I602" s="214">
        <v>0</v>
      </c>
      <c r="J602" s="214">
        <v>0</v>
      </c>
      <c r="K602" s="214">
        <v>0</v>
      </c>
      <c r="L602" s="214">
        <v>0</v>
      </c>
      <c r="M602" s="214">
        <v>0</v>
      </c>
      <c r="N602" s="214">
        <v>0</v>
      </c>
      <c r="O602" s="214">
        <v>0</v>
      </c>
      <c r="P602" s="214">
        <v>0</v>
      </c>
      <c r="Q602" s="214">
        <v>0</v>
      </c>
      <c r="R602" s="214">
        <v>0</v>
      </c>
      <c r="S602" s="214">
        <v>0</v>
      </c>
      <c r="T602" s="214">
        <v>0</v>
      </c>
      <c r="U602" s="214">
        <v>0</v>
      </c>
      <c r="V602" s="214">
        <v>0</v>
      </c>
      <c r="W602" s="214">
        <v>0</v>
      </c>
      <c r="X602" s="214">
        <v>0</v>
      </c>
      <c r="Y602" s="214">
        <v>0</v>
      </c>
      <c r="Z602" s="214">
        <v>0</v>
      </c>
      <c r="AA602" s="214">
        <v>0</v>
      </c>
      <c r="AB602" s="214">
        <v>0</v>
      </c>
      <c r="AC602" s="214">
        <v>0</v>
      </c>
      <c r="AD602" s="214"/>
      <c r="AE602" s="420">
        <v>0</v>
      </c>
      <c r="AF602" s="420">
        <v>0</v>
      </c>
      <c r="AG602" s="420">
        <v>0</v>
      </c>
      <c r="AH602" s="420"/>
      <c r="AI602" s="574">
        <f t="shared" si="14"/>
        <v>0</v>
      </c>
      <c r="AJ602" s="212"/>
    </row>
    <row r="603" spans="2:36" ht="14.4">
      <c r="B603" s="211"/>
      <c r="C603" s="213" t="s">
        <v>193</v>
      </c>
      <c r="D603" s="214">
        <v>500</v>
      </c>
      <c r="E603" s="214">
        <v>6435</v>
      </c>
      <c r="F603" s="214">
        <v>0</v>
      </c>
      <c r="G603" s="214">
        <v>0</v>
      </c>
      <c r="H603" s="214">
        <v>0</v>
      </c>
      <c r="I603" s="214">
        <v>0</v>
      </c>
      <c r="J603" s="214">
        <v>0</v>
      </c>
      <c r="K603" s="214">
        <v>0</v>
      </c>
      <c r="L603" s="214">
        <v>0</v>
      </c>
      <c r="M603" s="214">
        <v>0</v>
      </c>
      <c r="N603" s="214">
        <v>0</v>
      </c>
      <c r="O603" s="214">
        <v>0</v>
      </c>
      <c r="P603" s="214">
        <v>0</v>
      </c>
      <c r="Q603" s="214">
        <v>600</v>
      </c>
      <c r="R603" s="214">
        <v>0</v>
      </c>
      <c r="S603" s="214">
        <v>0</v>
      </c>
      <c r="T603" s="214">
        <v>0</v>
      </c>
      <c r="U603" s="214">
        <v>0</v>
      </c>
      <c r="V603" s="214">
        <v>0</v>
      </c>
      <c r="W603" s="214">
        <v>0</v>
      </c>
      <c r="X603" s="214">
        <v>0</v>
      </c>
      <c r="Y603" s="214">
        <v>0</v>
      </c>
      <c r="Z603" s="214">
        <v>0</v>
      </c>
      <c r="AA603" s="214">
        <v>0</v>
      </c>
      <c r="AB603" s="214">
        <v>0</v>
      </c>
      <c r="AC603" s="214">
        <v>0</v>
      </c>
      <c r="AD603" s="214"/>
      <c r="AE603" s="420">
        <v>0</v>
      </c>
      <c r="AF603" s="420">
        <v>0</v>
      </c>
      <c r="AG603" s="420">
        <v>0</v>
      </c>
      <c r="AH603" s="420"/>
      <c r="AI603" s="574">
        <f t="shared" si="14"/>
        <v>7535</v>
      </c>
      <c r="AJ603" s="212"/>
    </row>
    <row r="604" spans="2:36" ht="14.4">
      <c r="B604" s="211"/>
      <c r="C604" s="213" t="s">
        <v>148</v>
      </c>
      <c r="D604" s="214">
        <v>0</v>
      </c>
      <c r="E604" s="214">
        <v>0</v>
      </c>
      <c r="F604" s="214">
        <v>0</v>
      </c>
      <c r="G604" s="214">
        <v>0</v>
      </c>
      <c r="H604" s="214">
        <v>0</v>
      </c>
      <c r="I604" s="214">
        <v>0</v>
      </c>
      <c r="J604" s="214">
        <v>0</v>
      </c>
      <c r="K604" s="214">
        <v>0</v>
      </c>
      <c r="L604" s="214">
        <v>0</v>
      </c>
      <c r="M604" s="214">
        <v>0</v>
      </c>
      <c r="N604" s="214">
        <v>0</v>
      </c>
      <c r="O604" s="214">
        <v>0</v>
      </c>
      <c r="P604" s="214">
        <v>0</v>
      </c>
      <c r="Q604" s="214">
        <v>0</v>
      </c>
      <c r="R604" s="214">
        <v>0</v>
      </c>
      <c r="S604" s="214">
        <v>0</v>
      </c>
      <c r="T604" s="214">
        <v>6790</v>
      </c>
      <c r="U604" s="214">
        <v>0</v>
      </c>
      <c r="V604" s="214">
        <v>0</v>
      </c>
      <c r="W604" s="214">
        <v>0</v>
      </c>
      <c r="X604" s="214">
        <v>0</v>
      </c>
      <c r="Y604" s="214">
        <v>0</v>
      </c>
      <c r="Z604" s="214">
        <v>0</v>
      </c>
      <c r="AA604" s="214">
        <v>0</v>
      </c>
      <c r="AB604" s="214">
        <v>0</v>
      </c>
      <c r="AC604" s="214">
        <v>0</v>
      </c>
      <c r="AD604" s="214"/>
      <c r="AE604" s="420">
        <v>0</v>
      </c>
      <c r="AF604" s="420">
        <v>0</v>
      </c>
      <c r="AG604" s="420">
        <v>0</v>
      </c>
      <c r="AH604" s="420"/>
      <c r="AI604" s="574">
        <f t="shared" si="14"/>
        <v>6790</v>
      </c>
      <c r="AJ604" s="212"/>
    </row>
    <row r="605" spans="2:36" ht="14.4">
      <c r="B605" s="211"/>
      <c r="C605" s="213" t="s">
        <v>186</v>
      </c>
      <c r="D605" s="214">
        <v>0</v>
      </c>
      <c r="E605" s="214">
        <v>0</v>
      </c>
      <c r="F605" s="214">
        <v>0</v>
      </c>
      <c r="G605" s="214">
        <v>0</v>
      </c>
      <c r="H605" s="214">
        <v>0</v>
      </c>
      <c r="I605" s="214">
        <v>0</v>
      </c>
      <c r="J605" s="214">
        <v>0</v>
      </c>
      <c r="K605" s="214">
        <v>0</v>
      </c>
      <c r="L605" s="214">
        <v>0</v>
      </c>
      <c r="M605" s="214">
        <v>0</v>
      </c>
      <c r="N605" s="214">
        <v>0</v>
      </c>
      <c r="O605" s="214">
        <v>0</v>
      </c>
      <c r="P605" s="214">
        <v>0</v>
      </c>
      <c r="Q605" s="214">
        <v>0</v>
      </c>
      <c r="R605" s="214">
        <v>0</v>
      </c>
      <c r="S605" s="214">
        <v>0</v>
      </c>
      <c r="T605" s="214">
        <v>0</v>
      </c>
      <c r="U605" s="214">
        <v>0</v>
      </c>
      <c r="V605" s="214">
        <v>0</v>
      </c>
      <c r="W605" s="214">
        <v>0</v>
      </c>
      <c r="X605" s="214">
        <v>0</v>
      </c>
      <c r="Y605" s="214">
        <v>0</v>
      </c>
      <c r="Z605" s="214">
        <v>0</v>
      </c>
      <c r="AA605" s="214">
        <v>0</v>
      </c>
      <c r="AB605" s="214">
        <v>0</v>
      </c>
      <c r="AC605" s="214">
        <v>0</v>
      </c>
      <c r="AD605" s="214"/>
      <c r="AE605" s="420">
        <v>0</v>
      </c>
      <c r="AF605" s="420">
        <v>0</v>
      </c>
      <c r="AG605" s="420">
        <v>0</v>
      </c>
      <c r="AH605" s="420"/>
      <c r="AI605" s="574">
        <f t="shared" si="14"/>
        <v>0</v>
      </c>
      <c r="AJ605" s="212"/>
    </row>
    <row r="606" spans="2:36" ht="14.4">
      <c r="B606" s="211"/>
      <c r="C606" s="213" t="s">
        <v>171</v>
      </c>
      <c r="D606" s="214">
        <v>0</v>
      </c>
      <c r="E606" s="214">
        <v>0</v>
      </c>
      <c r="F606" s="214">
        <v>0</v>
      </c>
      <c r="G606" s="214">
        <v>0</v>
      </c>
      <c r="H606" s="214">
        <v>0</v>
      </c>
      <c r="I606" s="214">
        <v>0</v>
      </c>
      <c r="J606" s="214">
        <v>0</v>
      </c>
      <c r="K606" s="214">
        <v>0</v>
      </c>
      <c r="L606" s="214">
        <v>0</v>
      </c>
      <c r="M606" s="214">
        <v>0</v>
      </c>
      <c r="N606" s="214">
        <v>0</v>
      </c>
      <c r="O606" s="214">
        <v>0</v>
      </c>
      <c r="P606" s="214">
        <v>0</v>
      </c>
      <c r="Q606" s="214">
        <v>0</v>
      </c>
      <c r="R606" s="214">
        <v>0</v>
      </c>
      <c r="S606" s="214">
        <v>0</v>
      </c>
      <c r="T606" s="214">
        <v>0</v>
      </c>
      <c r="U606" s="214">
        <v>0</v>
      </c>
      <c r="V606" s="214">
        <v>0</v>
      </c>
      <c r="W606" s="214">
        <v>0</v>
      </c>
      <c r="X606" s="214">
        <v>0</v>
      </c>
      <c r="Y606" s="214">
        <v>0</v>
      </c>
      <c r="Z606" s="214">
        <v>0</v>
      </c>
      <c r="AA606" s="214">
        <v>0</v>
      </c>
      <c r="AB606" s="214">
        <v>0</v>
      </c>
      <c r="AC606" s="214">
        <v>0</v>
      </c>
      <c r="AD606" s="214"/>
      <c r="AE606" s="420">
        <v>0</v>
      </c>
      <c r="AF606" s="420">
        <v>0</v>
      </c>
      <c r="AG606" s="420">
        <v>0</v>
      </c>
      <c r="AH606" s="420"/>
      <c r="AI606" s="574">
        <f t="shared" si="14"/>
        <v>0</v>
      </c>
      <c r="AJ606" s="212"/>
    </row>
    <row r="607" spans="2:36" ht="14.4">
      <c r="B607" s="211"/>
      <c r="C607" s="213" t="s">
        <v>180</v>
      </c>
      <c r="D607" s="214">
        <v>0</v>
      </c>
      <c r="E607" s="214">
        <v>0</v>
      </c>
      <c r="F607" s="214">
        <v>0</v>
      </c>
      <c r="G607" s="214">
        <v>0</v>
      </c>
      <c r="H607" s="214">
        <v>0</v>
      </c>
      <c r="I607" s="214">
        <v>0</v>
      </c>
      <c r="J607" s="214">
        <v>0</v>
      </c>
      <c r="K607" s="214">
        <v>0</v>
      </c>
      <c r="L607" s="214">
        <v>0</v>
      </c>
      <c r="M607" s="214">
        <v>0</v>
      </c>
      <c r="N607" s="214">
        <v>0</v>
      </c>
      <c r="O607" s="214">
        <v>0</v>
      </c>
      <c r="P607" s="214">
        <v>0</v>
      </c>
      <c r="Q607" s="214">
        <v>0</v>
      </c>
      <c r="R607" s="214">
        <v>0</v>
      </c>
      <c r="S607" s="214">
        <v>0</v>
      </c>
      <c r="T607" s="214">
        <v>0</v>
      </c>
      <c r="U607" s="214">
        <v>0</v>
      </c>
      <c r="V607" s="214">
        <v>0</v>
      </c>
      <c r="W607" s="214">
        <v>0</v>
      </c>
      <c r="X607" s="214">
        <v>0</v>
      </c>
      <c r="Y607" s="214">
        <v>0</v>
      </c>
      <c r="Z607" s="214">
        <v>0</v>
      </c>
      <c r="AA607" s="214">
        <v>0</v>
      </c>
      <c r="AB607" s="214">
        <v>0</v>
      </c>
      <c r="AC607" s="214">
        <v>0</v>
      </c>
      <c r="AD607" s="214"/>
      <c r="AE607" s="420">
        <v>0</v>
      </c>
      <c r="AF607" s="420">
        <v>0</v>
      </c>
      <c r="AG607" s="420">
        <v>0</v>
      </c>
      <c r="AH607" s="420"/>
      <c r="AI607" s="574">
        <f t="shared" si="14"/>
        <v>0</v>
      </c>
      <c r="AJ607" s="212"/>
    </row>
    <row r="608" spans="2:36" ht="14.4">
      <c r="B608" s="211"/>
      <c r="C608" s="213" t="s">
        <v>183</v>
      </c>
      <c r="D608" s="214">
        <v>0</v>
      </c>
      <c r="E608" s="214">
        <v>8758</v>
      </c>
      <c r="F608" s="214">
        <v>1267</v>
      </c>
      <c r="G608" s="214">
        <v>5071</v>
      </c>
      <c r="H608" s="214">
        <v>2650</v>
      </c>
      <c r="I608" s="214">
        <v>0</v>
      </c>
      <c r="J608" s="214">
        <v>0</v>
      </c>
      <c r="K608" s="214">
        <v>0</v>
      </c>
      <c r="L608" s="214">
        <v>0</v>
      </c>
      <c r="M608" s="214">
        <v>365</v>
      </c>
      <c r="N608" s="214">
        <v>0</v>
      </c>
      <c r="O608" s="214">
        <v>379</v>
      </c>
      <c r="P608" s="214">
        <v>5799</v>
      </c>
      <c r="Q608" s="214">
        <v>10568</v>
      </c>
      <c r="R608" s="214">
        <v>0</v>
      </c>
      <c r="S608" s="214">
        <v>3036</v>
      </c>
      <c r="T608" s="214">
        <v>0</v>
      </c>
      <c r="U608" s="214">
        <v>0</v>
      </c>
      <c r="V608" s="214">
        <v>0</v>
      </c>
      <c r="W608" s="214">
        <v>0</v>
      </c>
      <c r="X608" s="214">
        <v>0</v>
      </c>
      <c r="Y608" s="214">
        <v>0</v>
      </c>
      <c r="Z608" s="214">
        <v>0</v>
      </c>
      <c r="AA608" s="214">
        <v>0</v>
      </c>
      <c r="AB608" s="214">
        <v>0</v>
      </c>
      <c r="AC608" s="214">
        <v>0</v>
      </c>
      <c r="AD608" s="214"/>
      <c r="AE608" s="420">
        <v>0</v>
      </c>
      <c r="AF608" s="420">
        <v>0</v>
      </c>
      <c r="AG608" s="420">
        <v>0</v>
      </c>
      <c r="AH608" s="420"/>
      <c r="AI608" s="574">
        <f t="shared" si="14"/>
        <v>37893</v>
      </c>
      <c r="AJ608" s="212"/>
    </row>
    <row r="609" spans="2:36" ht="14.4">
      <c r="B609" s="211"/>
      <c r="C609" s="213" t="s">
        <v>195</v>
      </c>
      <c r="D609" s="214">
        <v>17814</v>
      </c>
      <c r="E609" s="214">
        <v>0</v>
      </c>
      <c r="F609" s="214">
        <v>0</v>
      </c>
      <c r="G609" s="214">
        <v>0</v>
      </c>
      <c r="H609" s="214">
        <v>0</v>
      </c>
      <c r="I609" s="214">
        <v>0</v>
      </c>
      <c r="J609" s="214">
        <v>0</v>
      </c>
      <c r="K609" s="214">
        <v>0</v>
      </c>
      <c r="L609" s="214">
        <v>0</v>
      </c>
      <c r="M609" s="214">
        <v>0</v>
      </c>
      <c r="N609" s="214">
        <v>0</v>
      </c>
      <c r="O609" s="214">
        <v>0</v>
      </c>
      <c r="P609" s="214">
        <v>0</v>
      </c>
      <c r="Q609" s="214">
        <v>0</v>
      </c>
      <c r="R609" s="214">
        <v>0</v>
      </c>
      <c r="S609" s="214">
        <v>0</v>
      </c>
      <c r="T609" s="214">
        <v>0</v>
      </c>
      <c r="U609" s="214">
        <v>0</v>
      </c>
      <c r="V609" s="214">
        <v>0</v>
      </c>
      <c r="W609" s="214">
        <v>0</v>
      </c>
      <c r="X609" s="214">
        <v>0</v>
      </c>
      <c r="Y609" s="214">
        <v>0</v>
      </c>
      <c r="Z609" s="214">
        <v>0</v>
      </c>
      <c r="AA609" s="214">
        <v>0</v>
      </c>
      <c r="AB609" s="214">
        <v>0</v>
      </c>
      <c r="AC609" s="214">
        <v>0</v>
      </c>
      <c r="AD609" s="214"/>
      <c r="AE609" s="420">
        <v>0</v>
      </c>
      <c r="AF609" s="420">
        <v>0</v>
      </c>
      <c r="AG609" s="420">
        <v>0</v>
      </c>
      <c r="AH609" s="420"/>
      <c r="AI609" s="574">
        <f t="shared" si="14"/>
        <v>17814</v>
      </c>
      <c r="AJ609" s="212"/>
    </row>
    <row r="610" spans="2:36" ht="14.4">
      <c r="B610" s="211"/>
      <c r="C610" s="213" t="s">
        <v>189</v>
      </c>
      <c r="D610" s="214">
        <v>16217.28</v>
      </c>
      <c r="E610" s="214">
        <v>0</v>
      </c>
      <c r="F610" s="214">
        <v>0</v>
      </c>
      <c r="G610" s="214">
        <v>0</v>
      </c>
      <c r="H610" s="214">
        <v>0</v>
      </c>
      <c r="I610" s="214">
        <v>0</v>
      </c>
      <c r="J610" s="214">
        <v>0</v>
      </c>
      <c r="K610" s="214">
        <v>0</v>
      </c>
      <c r="L610" s="214">
        <v>0</v>
      </c>
      <c r="M610" s="214">
        <v>0</v>
      </c>
      <c r="N610" s="214">
        <v>0</v>
      </c>
      <c r="O610" s="214">
        <v>0</v>
      </c>
      <c r="P610" s="214">
        <v>0</v>
      </c>
      <c r="Q610" s="214">
        <v>0</v>
      </c>
      <c r="R610" s="214">
        <v>0</v>
      </c>
      <c r="S610" s="214">
        <v>0</v>
      </c>
      <c r="T610" s="214">
        <v>0</v>
      </c>
      <c r="U610" s="214">
        <v>0</v>
      </c>
      <c r="V610" s="214">
        <v>0</v>
      </c>
      <c r="W610" s="214">
        <v>0</v>
      </c>
      <c r="X610" s="214">
        <v>0</v>
      </c>
      <c r="Y610" s="214">
        <v>0</v>
      </c>
      <c r="Z610" s="214">
        <v>0</v>
      </c>
      <c r="AA610" s="214">
        <v>0</v>
      </c>
      <c r="AB610" s="214">
        <v>0</v>
      </c>
      <c r="AC610" s="214">
        <v>0</v>
      </c>
      <c r="AD610" s="214"/>
      <c r="AE610" s="420">
        <v>0</v>
      </c>
      <c r="AF610" s="420">
        <v>0</v>
      </c>
      <c r="AG610" s="420">
        <v>0</v>
      </c>
      <c r="AH610" s="420"/>
      <c r="AI610" s="574">
        <f t="shared" si="14"/>
        <v>16217.28</v>
      </c>
      <c r="AJ610" s="212"/>
    </row>
    <row r="611" spans="2:36" ht="14.4">
      <c r="B611" s="211"/>
      <c r="C611" s="213" t="s">
        <v>188</v>
      </c>
      <c r="D611" s="214">
        <v>32715.46</v>
      </c>
      <c r="E611" s="214">
        <v>0</v>
      </c>
      <c r="F611" s="214">
        <v>0</v>
      </c>
      <c r="G611" s="214">
        <v>0</v>
      </c>
      <c r="H611" s="214">
        <v>0</v>
      </c>
      <c r="I611" s="214">
        <v>0</v>
      </c>
      <c r="J611" s="214">
        <v>0</v>
      </c>
      <c r="K611" s="214">
        <v>0</v>
      </c>
      <c r="L611" s="214">
        <v>0</v>
      </c>
      <c r="M611" s="214">
        <v>0</v>
      </c>
      <c r="N611" s="214">
        <v>0</v>
      </c>
      <c r="O611" s="214">
        <v>0</v>
      </c>
      <c r="P611" s="214">
        <v>0</v>
      </c>
      <c r="Q611" s="214">
        <v>0</v>
      </c>
      <c r="R611" s="214">
        <v>0</v>
      </c>
      <c r="S611" s="214">
        <v>0</v>
      </c>
      <c r="T611" s="214">
        <v>0</v>
      </c>
      <c r="U611" s="214">
        <v>0</v>
      </c>
      <c r="V611" s="214">
        <v>0</v>
      </c>
      <c r="W611" s="214">
        <v>0</v>
      </c>
      <c r="X611" s="214">
        <v>0</v>
      </c>
      <c r="Y611" s="214">
        <v>0</v>
      </c>
      <c r="Z611" s="214">
        <v>0</v>
      </c>
      <c r="AA611" s="214">
        <v>0</v>
      </c>
      <c r="AB611" s="214">
        <v>0</v>
      </c>
      <c r="AC611" s="214">
        <v>0</v>
      </c>
      <c r="AD611" s="214"/>
      <c r="AE611" s="420">
        <v>0</v>
      </c>
      <c r="AF611" s="420">
        <v>0</v>
      </c>
      <c r="AG611" s="420">
        <v>0</v>
      </c>
      <c r="AH611" s="420"/>
      <c r="AI611" s="574">
        <f t="shared" si="14"/>
        <v>32715.46</v>
      </c>
      <c r="AJ611" s="212"/>
    </row>
    <row r="612" spans="2:36" ht="14.4">
      <c r="B612" s="211"/>
      <c r="C612" s="213" t="s">
        <v>196</v>
      </c>
      <c r="D612" s="214">
        <v>23180.32</v>
      </c>
      <c r="E612" s="214">
        <v>0</v>
      </c>
      <c r="F612" s="214">
        <v>0</v>
      </c>
      <c r="G612" s="214">
        <v>0</v>
      </c>
      <c r="H612" s="214">
        <v>0</v>
      </c>
      <c r="I612" s="214">
        <v>0</v>
      </c>
      <c r="J612" s="214">
        <v>0</v>
      </c>
      <c r="K612" s="214">
        <v>0</v>
      </c>
      <c r="L612" s="214">
        <v>0</v>
      </c>
      <c r="M612" s="214">
        <v>0</v>
      </c>
      <c r="N612" s="214">
        <v>0</v>
      </c>
      <c r="O612" s="214">
        <v>0</v>
      </c>
      <c r="P612" s="214">
        <v>0</v>
      </c>
      <c r="Q612" s="214">
        <v>0</v>
      </c>
      <c r="R612" s="214">
        <v>0</v>
      </c>
      <c r="S612" s="214">
        <v>0</v>
      </c>
      <c r="T612" s="214">
        <v>0</v>
      </c>
      <c r="U612" s="214">
        <v>0</v>
      </c>
      <c r="V612" s="214">
        <v>0</v>
      </c>
      <c r="W612" s="214">
        <v>0</v>
      </c>
      <c r="X612" s="214">
        <v>0</v>
      </c>
      <c r="Y612" s="214">
        <v>0</v>
      </c>
      <c r="Z612" s="214">
        <v>0</v>
      </c>
      <c r="AA612" s="214">
        <v>0</v>
      </c>
      <c r="AB612" s="214">
        <v>0</v>
      </c>
      <c r="AC612" s="214">
        <v>0</v>
      </c>
      <c r="AD612" s="214"/>
      <c r="AE612" s="420">
        <v>0</v>
      </c>
      <c r="AF612" s="420">
        <v>0</v>
      </c>
      <c r="AG612" s="420">
        <v>0</v>
      </c>
      <c r="AH612" s="420"/>
      <c r="AI612" s="574">
        <f t="shared" si="14"/>
        <v>23180.32</v>
      </c>
      <c r="AJ612" s="212"/>
    </row>
    <row r="613" spans="2:36" ht="14.4">
      <c r="B613" s="211"/>
      <c r="C613" s="213" t="s">
        <v>197</v>
      </c>
      <c r="D613" s="214">
        <v>86901.23</v>
      </c>
      <c r="E613" s="214">
        <v>0</v>
      </c>
      <c r="F613" s="214">
        <v>0</v>
      </c>
      <c r="G613" s="214">
        <v>0</v>
      </c>
      <c r="H613" s="214">
        <v>0</v>
      </c>
      <c r="I613" s="214">
        <v>0</v>
      </c>
      <c r="J613" s="214">
        <v>0</v>
      </c>
      <c r="K613" s="214">
        <v>0</v>
      </c>
      <c r="L613" s="214">
        <v>0</v>
      </c>
      <c r="M613" s="214">
        <v>0</v>
      </c>
      <c r="N613" s="214">
        <v>0</v>
      </c>
      <c r="O613" s="214">
        <v>0</v>
      </c>
      <c r="P613" s="214">
        <v>0</v>
      </c>
      <c r="Q613" s="214">
        <v>0</v>
      </c>
      <c r="R613" s="214">
        <v>0</v>
      </c>
      <c r="S613" s="214">
        <v>0</v>
      </c>
      <c r="T613" s="214">
        <v>0</v>
      </c>
      <c r="U613" s="214">
        <v>0</v>
      </c>
      <c r="V613" s="214">
        <v>0</v>
      </c>
      <c r="W613" s="214">
        <v>0</v>
      </c>
      <c r="X613" s="214">
        <v>0</v>
      </c>
      <c r="Y613" s="214">
        <v>0</v>
      </c>
      <c r="Z613" s="214">
        <v>0</v>
      </c>
      <c r="AA613" s="214">
        <v>0</v>
      </c>
      <c r="AB613" s="214">
        <v>0</v>
      </c>
      <c r="AC613" s="214">
        <v>0</v>
      </c>
      <c r="AD613" s="214"/>
      <c r="AE613" s="420">
        <v>0</v>
      </c>
      <c r="AF613" s="420">
        <v>0</v>
      </c>
      <c r="AG613" s="420">
        <v>0</v>
      </c>
      <c r="AH613" s="420"/>
      <c r="AI613" s="574">
        <f t="shared" si="14"/>
        <v>86901.23</v>
      </c>
      <c r="AJ613" s="212"/>
    </row>
    <row r="614" spans="2:36" ht="14.4">
      <c r="B614" s="211"/>
      <c r="C614" s="213" t="s">
        <v>198</v>
      </c>
      <c r="D614" s="214">
        <v>29883</v>
      </c>
      <c r="E614" s="214">
        <v>0</v>
      </c>
      <c r="F614" s="214">
        <v>0</v>
      </c>
      <c r="G614" s="214">
        <v>0</v>
      </c>
      <c r="H614" s="214">
        <v>0</v>
      </c>
      <c r="I614" s="214">
        <v>0</v>
      </c>
      <c r="J614" s="214">
        <v>0</v>
      </c>
      <c r="K614" s="214">
        <v>0</v>
      </c>
      <c r="L614" s="214">
        <v>0</v>
      </c>
      <c r="M614" s="214">
        <v>0</v>
      </c>
      <c r="N614" s="214">
        <v>0</v>
      </c>
      <c r="O614" s="214">
        <v>0</v>
      </c>
      <c r="P614" s="214">
        <v>0</v>
      </c>
      <c r="Q614" s="214">
        <v>0</v>
      </c>
      <c r="R614" s="214">
        <v>0</v>
      </c>
      <c r="S614" s="214">
        <v>0</v>
      </c>
      <c r="T614" s="214">
        <v>0</v>
      </c>
      <c r="U614" s="214">
        <v>0</v>
      </c>
      <c r="V614" s="214">
        <v>0</v>
      </c>
      <c r="W614" s="214">
        <v>0</v>
      </c>
      <c r="X614" s="214">
        <v>0</v>
      </c>
      <c r="Y614" s="214">
        <v>0</v>
      </c>
      <c r="Z614" s="214">
        <v>0</v>
      </c>
      <c r="AA614" s="214">
        <v>0</v>
      </c>
      <c r="AB614" s="214">
        <v>0</v>
      </c>
      <c r="AC614" s="214">
        <v>0</v>
      </c>
      <c r="AD614" s="214"/>
      <c r="AE614" s="420">
        <v>0</v>
      </c>
      <c r="AF614" s="420">
        <v>0</v>
      </c>
      <c r="AG614" s="420">
        <v>0</v>
      </c>
      <c r="AH614" s="420"/>
      <c r="AI614" s="574">
        <f t="shared" si="14"/>
        <v>29883</v>
      </c>
      <c r="AJ614" s="212"/>
    </row>
    <row r="615" spans="2:36" ht="14.4">
      <c r="B615" s="211"/>
      <c r="C615" s="213" t="s">
        <v>201</v>
      </c>
      <c r="D615" s="214">
        <v>20328.900000000001</v>
      </c>
      <c r="E615" s="214">
        <v>0</v>
      </c>
      <c r="F615" s="214">
        <v>0</v>
      </c>
      <c r="G615" s="214">
        <v>0</v>
      </c>
      <c r="H615" s="214">
        <v>0</v>
      </c>
      <c r="I615" s="214">
        <v>0</v>
      </c>
      <c r="J615" s="214">
        <v>0</v>
      </c>
      <c r="K615" s="214">
        <v>0</v>
      </c>
      <c r="L615" s="214">
        <v>0</v>
      </c>
      <c r="M615" s="214">
        <v>0</v>
      </c>
      <c r="N615" s="214">
        <v>0</v>
      </c>
      <c r="O615" s="214">
        <v>0</v>
      </c>
      <c r="P615" s="214">
        <v>0</v>
      </c>
      <c r="Q615" s="214">
        <v>0</v>
      </c>
      <c r="R615" s="214">
        <v>0</v>
      </c>
      <c r="S615" s="214">
        <v>0</v>
      </c>
      <c r="T615" s="214">
        <v>0</v>
      </c>
      <c r="U615" s="214">
        <v>0</v>
      </c>
      <c r="V615" s="214">
        <v>0</v>
      </c>
      <c r="W615" s="214">
        <v>0</v>
      </c>
      <c r="X615" s="214">
        <v>0</v>
      </c>
      <c r="Y615" s="214">
        <v>0</v>
      </c>
      <c r="Z615" s="214">
        <v>0</v>
      </c>
      <c r="AA615" s="214">
        <v>0</v>
      </c>
      <c r="AB615" s="214">
        <v>0</v>
      </c>
      <c r="AC615" s="214">
        <v>0</v>
      </c>
      <c r="AD615" s="214"/>
      <c r="AE615" s="420">
        <v>0</v>
      </c>
      <c r="AF615" s="420">
        <v>0</v>
      </c>
      <c r="AG615" s="420">
        <v>0</v>
      </c>
      <c r="AH615" s="420"/>
      <c r="AI615" s="574">
        <f t="shared" si="14"/>
        <v>20328.900000000001</v>
      </c>
      <c r="AJ615" s="212"/>
    </row>
    <row r="616" spans="2:36" ht="14.4">
      <c r="B616" s="211"/>
      <c r="C616" s="213" t="s">
        <v>202</v>
      </c>
      <c r="D616" s="214">
        <v>31885.69</v>
      </c>
      <c r="E616" s="214">
        <v>0</v>
      </c>
      <c r="F616" s="214">
        <v>0</v>
      </c>
      <c r="G616" s="214">
        <v>0</v>
      </c>
      <c r="H616" s="214">
        <v>0</v>
      </c>
      <c r="I616" s="214">
        <v>0</v>
      </c>
      <c r="J616" s="214">
        <v>0</v>
      </c>
      <c r="K616" s="214">
        <v>0</v>
      </c>
      <c r="L616" s="214">
        <v>0</v>
      </c>
      <c r="M616" s="214">
        <v>0</v>
      </c>
      <c r="N616" s="214">
        <v>0</v>
      </c>
      <c r="O616" s="214">
        <v>0</v>
      </c>
      <c r="P616" s="214">
        <v>0</v>
      </c>
      <c r="Q616" s="214">
        <v>0</v>
      </c>
      <c r="R616" s="214">
        <v>0</v>
      </c>
      <c r="S616" s="214">
        <v>0</v>
      </c>
      <c r="T616" s="214">
        <v>0</v>
      </c>
      <c r="U616" s="214">
        <v>0</v>
      </c>
      <c r="V616" s="214">
        <v>0</v>
      </c>
      <c r="W616" s="214">
        <v>0</v>
      </c>
      <c r="X616" s="214">
        <v>0</v>
      </c>
      <c r="Y616" s="214">
        <v>0</v>
      </c>
      <c r="Z616" s="214">
        <v>0</v>
      </c>
      <c r="AA616" s="214">
        <v>0</v>
      </c>
      <c r="AB616" s="214">
        <v>0</v>
      </c>
      <c r="AC616" s="214">
        <v>0</v>
      </c>
      <c r="AD616" s="214"/>
      <c r="AE616" s="420">
        <v>0</v>
      </c>
      <c r="AF616" s="420">
        <v>0</v>
      </c>
      <c r="AG616" s="420">
        <v>0</v>
      </c>
      <c r="AH616" s="420"/>
      <c r="AI616" s="574">
        <f t="shared" si="14"/>
        <v>31885.69</v>
      </c>
      <c r="AJ616" s="212"/>
    </row>
    <row r="617" spans="2:36" ht="14.4">
      <c r="B617" s="211"/>
      <c r="C617" s="213" t="s">
        <v>206</v>
      </c>
      <c r="D617" s="214">
        <v>19181</v>
      </c>
      <c r="E617" s="214">
        <v>0</v>
      </c>
      <c r="F617" s="214">
        <v>0</v>
      </c>
      <c r="G617" s="214">
        <v>0</v>
      </c>
      <c r="H617" s="214">
        <v>0</v>
      </c>
      <c r="I617" s="214">
        <v>0</v>
      </c>
      <c r="J617" s="214">
        <v>0</v>
      </c>
      <c r="K617" s="214">
        <v>0</v>
      </c>
      <c r="L617" s="214">
        <v>0</v>
      </c>
      <c r="M617" s="214">
        <v>0</v>
      </c>
      <c r="N617" s="214">
        <v>0</v>
      </c>
      <c r="O617" s="214">
        <v>0</v>
      </c>
      <c r="P617" s="214">
        <v>0</v>
      </c>
      <c r="Q617" s="214">
        <v>0</v>
      </c>
      <c r="R617" s="214">
        <v>0</v>
      </c>
      <c r="S617" s="214">
        <v>0</v>
      </c>
      <c r="T617" s="214">
        <v>0</v>
      </c>
      <c r="U617" s="214">
        <v>0</v>
      </c>
      <c r="V617" s="214">
        <v>0</v>
      </c>
      <c r="W617" s="214">
        <v>0</v>
      </c>
      <c r="X617" s="214">
        <v>0</v>
      </c>
      <c r="Y617" s="214">
        <v>0</v>
      </c>
      <c r="Z617" s="214">
        <v>0</v>
      </c>
      <c r="AA617" s="214">
        <v>0</v>
      </c>
      <c r="AB617" s="214">
        <v>0</v>
      </c>
      <c r="AC617" s="214">
        <v>0</v>
      </c>
      <c r="AD617" s="214"/>
      <c r="AE617" s="420">
        <v>0</v>
      </c>
      <c r="AF617" s="420">
        <v>0</v>
      </c>
      <c r="AG617" s="420">
        <v>0</v>
      </c>
      <c r="AH617" s="420"/>
      <c r="AI617" s="574">
        <f t="shared" si="14"/>
        <v>19181</v>
      </c>
      <c r="AJ617" s="212"/>
    </row>
    <row r="618" spans="2:36" ht="14.4">
      <c r="B618" s="211"/>
      <c r="C618" s="213" t="s">
        <v>207</v>
      </c>
      <c r="D618" s="214">
        <v>10537.5</v>
      </c>
      <c r="E618" s="214">
        <v>3450</v>
      </c>
      <c r="F618" s="214">
        <v>3450</v>
      </c>
      <c r="G618" s="214">
        <v>3975</v>
      </c>
      <c r="H618" s="214">
        <v>862.5</v>
      </c>
      <c r="I618" s="214">
        <v>1293.75</v>
      </c>
      <c r="J618" s="214"/>
      <c r="K618" s="214"/>
      <c r="L618" s="214">
        <v>862.5</v>
      </c>
      <c r="M618" s="214">
        <v>1293.75</v>
      </c>
      <c r="N618" s="214">
        <v>431.25</v>
      </c>
      <c r="O618" s="214"/>
      <c r="P618" s="214">
        <v>431.25</v>
      </c>
      <c r="Q618" s="214">
        <v>431.25</v>
      </c>
      <c r="R618" s="214">
        <v>1387.5</v>
      </c>
      <c r="S618" s="214">
        <v>862.5</v>
      </c>
      <c r="T618" s="214"/>
      <c r="U618" s="214"/>
      <c r="V618" s="214"/>
      <c r="W618" s="214"/>
      <c r="X618" s="214">
        <v>431.25</v>
      </c>
      <c r="Y618" s="214">
        <v>862.5</v>
      </c>
      <c r="Z618" s="214"/>
      <c r="AA618" s="214">
        <v>431.25</v>
      </c>
      <c r="AB618" s="214"/>
      <c r="AC618" s="214">
        <v>431.25</v>
      </c>
      <c r="AD618" s="214"/>
      <c r="AE618" s="420">
        <v>431.25</v>
      </c>
      <c r="AF618" s="420"/>
      <c r="AG618" s="420"/>
      <c r="AH618" s="420"/>
      <c r="AI618" s="574">
        <f t="shared" si="14"/>
        <v>31856.25</v>
      </c>
      <c r="AJ618" s="212"/>
    </row>
    <row r="619" spans="2:36" ht="14.4">
      <c r="B619" s="211"/>
      <c r="C619" s="213" t="s">
        <v>208</v>
      </c>
      <c r="D619" s="214">
        <v>29713.06</v>
      </c>
      <c r="E619" s="214">
        <v>0</v>
      </c>
      <c r="F619" s="214">
        <v>0</v>
      </c>
      <c r="G619" s="214">
        <v>0</v>
      </c>
      <c r="H619" s="214">
        <v>0</v>
      </c>
      <c r="I619" s="214">
        <v>0</v>
      </c>
      <c r="J619" s="214">
        <v>0</v>
      </c>
      <c r="K619" s="214">
        <v>0</v>
      </c>
      <c r="L619" s="214">
        <v>0</v>
      </c>
      <c r="M619" s="214">
        <v>0</v>
      </c>
      <c r="N619" s="214">
        <v>0</v>
      </c>
      <c r="O619" s="214">
        <v>0</v>
      </c>
      <c r="P619" s="214">
        <v>0</v>
      </c>
      <c r="Q619" s="214">
        <v>0</v>
      </c>
      <c r="R619" s="214">
        <v>0</v>
      </c>
      <c r="S619" s="214">
        <v>0</v>
      </c>
      <c r="T619" s="214">
        <v>0</v>
      </c>
      <c r="U619" s="214">
        <v>0</v>
      </c>
      <c r="V619" s="214">
        <v>0</v>
      </c>
      <c r="W619" s="214">
        <v>0</v>
      </c>
      <c r="X619" s="214">
        <v>0</v>
      </c>
      <c r="Y619" s="214">
        <v>0</v>
      </c>
      <c r="Z619" s="214">
        <v>0</v>
      </c>
      <c r="AA619" s="214">
        <v>0</v>
      </c>
      <c r="AB619" s="214">
        <v>0</v>
      </c>
      <c r="AC619" s="214">
        <v>0</v>
      </c>
      <c r="AD619" s="214"/>
      <c r="AE619" s="420">
        <v>0</v>
      </c>
      <c r="AF619" s="420">
        <v>0</v>
      </c>
      <c r="AG619" s="420">
        <v>0</v>
      </c>
      <c r="AH619" s="420"/>
      <c r="AI619" s="574">
        <f t="shared" si="14"/>
        <v>29713.06</v>
      </c>
      <c r="AJ619" s="212"/>
    </row>
    <row r="620" spans="2:36" ht="14.4">
      <c r="B620" s="211"/>
      <c r="C620" s="213" t="s">
        <v>236</v>
      </c>
      <c r="D620" s="214">
        <v>24094.78</v>
      </c>
      <c r="E620" s="214">
        <v>0</v>
      </c>
      <c r="F620" s="214">
        <v>0</v>
      </c>
      <c r="G620" s="214">
        <v>0</v>
      </c>
      <c r="H620" s="214">
        <v>0</v>
      </c>
      <c r="I620" s="214">
        <v>0</v>
      </c>
      <c r="J620" s="214">
        <v>0</v>
      </c>
      <c r="K620" s="214">
        <v>0</v>
      </c>
      <c r="L620" s="214">
        <v>0</v>
      </c>
      <c r="M620" s="214">
        <v>0</v>
      </c>
      <c r="N620" s="214">
        <v>0</v>
      </c>
      <c r="O620" s="214">
        <v>0</v>
      </c>
      <c r="P620" s="214">
        <v>0</v>
      </c>
      <c r="Q620" s="214">
        <v>0</v>
      </c>
      <c r="R620" s="214">
        <v>0</v>
      </c>
      <c r="S620" s="214">
        <v>0</v>
      </c>
      <c r="T620" s="214">
        <v>0</v>
      </c>
      <c r="U620" s="214">
        <v>0</v>
      </c>
      <c r="V620" s="214">
        <v>0</v>
      </c>
      <c r="W620" s="214">
        <v>0</v>
      </c>
      <c r="X620" s="214">
        <v>0</v>
      </c>
      <c r="Y620" s="214">
        <v>0</v>
      </c>
      <c r="Z620" s="214">
        <v>0</v>
      </c>
      <c r="AA620" s="214">
        <v>0</v>
      </c>
      <c r="AB620" s="214">
        <v>0</v>
      </c>
      <c r="AC620" s="214">
        <v>0</v>
      </c>
      <c r="AD620" s="214"/>
      <c r="AE620" s="420">
        <v>0</v>
      </c>
      <c r="AF620" s="420">
        <v>0</v>
      </c>
      <c r="AG620" s="420">
        <v>0</v>
      </c>
      <c r="AH620" s="420"/>
      <c r="AI620" s="574">
        <f t="shared" si="14"/>
        <v>24094.78</v>
      </c>
      <c r="AJ620" s="212"/>
    </row>
    <row r="621" spans="2:36" ht="14.4">
      <c r="B621" s="211"/>
      <c r="C621" s="240" t="s">
        <v>209</v>
      </c>
      <c r="D621" s="214">
        <v>530</v>
      </c>
      <c r="E621" s="214">
        <v>0</v>
      </c>
      <c r="F621" s="214">
        <v>0</v>
      </c>
      <c r="G621" s="214">
        <v>0</v>
      </c>
      <c r="H621" s="214">
        <v>0</v>
      </c>
      <c r="I621" s="214">
        <v>0</v>
      </c>
      <c r="J621" s="214">
        <v>0</v>
      </c>
      <c r="K621" s="214">
        <v>0</v>
      </c>
      <c r="L621" s="214">
        <v>0</v>
      </c>
      <c r="M621" s="214">
        <v>0</v>
      </c>
      <c r="N621" s="214">
        <v>0</v>
      </c>
      <c r="O621" s="214">
        <v>0</v>
      </c>
      <c r="P621" s="214">
        <v>0</v>
      </c>
      <c r="Q621" s="214">
        <v>0</v>
      </c>
      <c r="R621" s="214">
        <v>0</v>
      </c>
      <c r="S621" s="214">
        <v>0</v>
      </c>
      <c r="T621" s="214">
        <v>0</v>
      </c>
      <c r="U621" s="214">
        <v>0</v>
      </c>
      <c r="V621" s="214">
        <v>0</v>
      </c>
      <c r="W621" s="214">
        <v>0</v>
      </c>
      <c r="X621" s="214">
        <v>0</v>
      </c>
      <c r="Y621" s="214">
        <v>0</v>
      </c>
      <c r="Z621" s="214">
        <v>0</v>
      </c>
      <c r="AA621" s="214">
        <v>0</v>
      </c>
      <c r="AB621" s="214">
        <v>0</v>
      </c>
      <c r="AC621" s="214">
        <v>0</v>
      </c>
      <c r="AD621" s="214"/>
      <c r="AE621" s="420">
        <v>0</v>
      </c>
      <c r="AF621" s="420">
        <v>0</v>
      </c>
      <c r="AG621" s="420">
        <v>0</v>
      </c>
      <c r="AH621" s="420"/>
      <c r="AI621" s="574">
        <f t="shared" si="14"/>
        <v>530</v>
      </c>
      <c r="AJ621" s="212"/>
    </row>
    <row r="622" spans="2:36" ht="14.4">
      <c r="B622" s="211"/>
      <c r="C622" s="240" t="s">
        <v>360</v>
      </c>
      <c r="D622" s="214">
        <v>0</v>
      </c>
      <c r="E622" s="214">
        <v>368487.11</v>
      </c>
      <c r="F622" s="214">
        <v>180829.58</v>
      </c>
      <c r="G622" s="214">
        <v>0</v>
      </c>
      <c r="H622" s="214">
        <v>459280.22</v>
      </c>
      <c r="I622" s="214">
        <v>0</v>
      </c>
      <c r="J622" s="214">
        <v>0</v>
      </c>
      <c r="K622" s="214">
        <v>0</v>
      </c>
      <c r="L622" s="214">
        <v>0</v>
      </c>
      <c r="M622" s="214">
        <v>83839.5</v>
      </c>
      <c r="N622" s="214">
        <v>28.75</v>
      </c>
      <c r="O622" s="214">
        <v>259520.28</v>
      </c>
      <c r="P622" s="214">
        <v>122570.81</v>
      </c>
      <c r="Q622" s="214">
        <v>208833.08</v>
      </c>
      <c r="R622" s="214">
        <v>50.2</v>
      </c>
      <c r="S622" s="214">
        <v>98153.11</v>
      </c>
      <c r="T622" s="214">
        <v>0</v>
      </c>
      <c r="U622" s="214">
        <v>0</v>
      </c>
      <c r="V622" s="214">
        <v>0</v>
      </c>
      <c r="W622" s="214">
        <v>0</v>
      </c>
      <c r="X622" s="214">
        <v>0</v>
      </c>
      <c r="Y622" s="214">
        <v>0</v>
      </c>
      <c r="Z622" s="214">
        <v>0</v>
      </c>
      <c r="AA622" s="214">
        <v>0</v>
      </c>
      <c r="AB622" s="214">
        <v>0</v>
      </c>
      <c r="AC622" s="214">
        <v>0</v>
      </c>
      <c r="AD622" s="241">
        <v>0</v>
      </c>
      <c r="AE622" s="420">
        <v>293468.21000000002</v>
      </c>
      <c r="AF622" s="420">
        <v>0</v>
      </c>
      <c r="AG622" s="420">
        <v>0</v>
      </c>
      <c r="AH622" s="420">
        <v>0</v>
      </c>
      <c r="AI622" s="574">
        <f t="shared" si="14"/>
        <v>2075060.85</v>
      </c>
      <c r="AJ622" s="212"/>
    </row>
    <row r="623" spans="2:36" ht="14.4">
      <c r="B623" s="211"/>
      <c r="C623" s="516" t="s">
        <v>400</v>
      </c>
      <c r="D623" s="241">
        <v>145389.75</v>
      </c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420"/>
      <c r="AF623" s="420"/>
      <c r="AG623" s="420"/>
      <c r="AH623" s="420"/>
      <c r="AI623" s="574">
        <f t="shared" si="14"/>
        <v>145389.75</v>
      </c>
      <c r="AJ623" s="212"/>
    </row>
    <row r="624" spans="2:36" ht="14.4">
      <c r="B624" s="211"/>
      <c r="C624" s="149" t="s">
        <v>239</v>
      </c>
      <c r="D624" s="224">
        <f>SUM(D512:D623)</f>
        <v>2137158.91</v>
      </c>
      <c r="E624" s="224">
        <f t="shared" ref="E624:AH624" si="15">SUM(E512:E622)</f>
        <v>864941.69</v>
      </c>
      <c r="F624" s="224">
        <f t="shared" si="15"/>
        <v>727615.85</v>
      </c>
      <c r="G624" s="224">
        <f t="shared" si="15"/>
        <v>482800.97000000003</v>
      </c>
      <c r="H624" s="224">
        <f t="shared" si="15"/>
        <v>959623.79999999993</v>
      </c>
      <c r="I624" s="224">
        <f t="shared" si="15"/>
        <v>74869.099999999991</v>
      </c>
      <c r="J624" s="224">
        <f t="shared" si="15"/>
        <v>19124.859999999997</v>
      </c>
      <c r="K624" s="224">
        <f t="shared" si="15"/>
        <v>13842.84</v>
      </c>
      <c r="L624" s="224">
        <f t="shared" si="15"/>
        <v>22452.229999999996</v>
      </c>
      <c r="M624" s="224">
        <f t="shared" si="15"/>
        <v>302921.73</v>
      </c>
      <c r="N624" s="224">
        <f t="shared" si="15"/>
        <v>37551.439999999995</v>
      </c>
      <c r="O624" s="224">
        <f t="shared" si="15"/>
        <v>606329.51</v>
      </c>
      <c r="P624" s="224">
        <f t="shared" si="15"/>
        <v>393495.03999999998</v>
      </c>
      <c r="Q624" s="224">
        <f t="shared" si="15"/>
        <v>863897.49999999977</v>
      </c>
      <c r="R624" s="224">
        <f t="shared" si="15"/>
        <v>113655.19</v>
      </c>
      <c r="S624" s="224">
        <f t="shared" si="15"/>
        <v>345965.66000000003</v>
      </c>
      <c r="T624" s="224">
        <f t="shared" si="15"/>
        <v>24699.239999999998</v>
      </c>
      <c r="U624" s="224">
        <f t="shared" si="15"/>
        <v>19558.009999999998</v>
      </c>
      <c r="V624" s="224">
        <f t="shared" si="15"/>
        <v>23121.460000000003</v>
      </c>
      <c r="W624" s="224">
        <f t="shared" si="15"/>
        <v>13332.189999999999</v>
      </c>
      <c r="X624" s="224">
        <f t="shared" si="15"/>
        <v>14222.33</v>
      </c>
      <c r="Y624" s="224">
        <f t="shared" si="15"/>
        <v>21187.699999999997</v>
      </c>
      <c r="Z624" s="224">
        <f t="shared" si="15"/>
        <v>9476.3799999999992</v>
      </c>
      <c r="AA624" s="224">
        <f t="shared" si="15"/>
        <v>12412.550000000001</v>
      </c>
      <c r="AB624" s="224">
        <f t="shared" si="15"/>
        <v>30336.640000000003</v>
      </c>
      <c r="AC624" s="224">
        <f t="shared" si="15"/>
        <v>48915.64</v>
      </c>
      <c r="AD624" s="224">
        <f t="shared" si="15"/>
        <v>0</v>
      </c>
      <c r="AE624" s="224">
        <f t="shared" si="15"/>
        <v>645981.37</v>
      </c>
      <c r="AF624" s="224">
        <f t="shared" si="15"/>
        <v>10886.52</v>
      </c>
      <c r="AG624" s="224">
        <f t="shared" si="15"/>
        <v>35457.47</v>
      </c>
      <c r="AH624" s="224">
        <f t="shared" si="15"/>
        <v>0</v>
      </c>
      <c r="AI624" s="575">
        <f>SUM(AI512:AI623)</f>
        <v>8875833.8200000003</v>
      </c>
      <c r="AJ624" s="212"/>
    </row>
    <row r="625" spans="1:36" ht="14.4">
      <c r="B625" s="218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  <c r="AB625" s="219"/>
      <c r="AC625" s="219"/>
      <c r="AD625" s="219"/>
      <c r="AE625" s="219"/>
      <c r="AF625" s="219"/>
      <c r="AG625" s="219"/>
      <c r="AH625" s="219"/>
      <c r="AI625" s="576"/>
      <c r="AJ625" s="212"/>
    </row>
    <row r="626" spans="1:36" ht="14.4">
      <c r="B626" s="209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  <c r="AA626" s="202"/>
      <c r="AB626" s="202"/>
      <c r="AC626" s="202"/>
      <c r="AD626" s="202"/>
      <c r="AE626" s="202"/>
      <c r="AF626" s="202"/>
      <c r="AG626" s="202"/>
      <c r="AH626" s="202"/>
      <c r="AI626" s="577"/>
      <c r="AJ626" s="209"/>
    </row>
    <row r="627" spans="1:36" ht="14.4">
      <c r="B627" s="220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  <c r="AB627" s="221"/>
      <c r="AC627" s="221"/>
      <c r="AD627" s="221"/>
      <c r="AE627" s="221"/>
      <c r="AF627" s="221"/>
      <c r="AG627" s="221"/>
      <c r="AH627" s="221"/>
      <c r="AI627" s="578"/>
      <c r="AJ627" s="222"/>
    </row>
    <row r="631" spans="1:36">
      <c r="A631" s="202"/>
    </row>
    <row r="632" spans="1:36" ht="21">
      <c r="A632" s="203"/>
      <c r="B632" s="204"/>
      <c r="C632" s="116" t="s">
        <v>272</v>
      </c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  <c r="AI632" s="570"/>
      <c r="AJ632" s="117"/>
    </row>
    <row r="633" spans="1:36" ht="21">
      <c r="A633" s="206"/>
      <c r="B633" s="207"/>
      <c r="C633" s="119"/>
      <c r="D633" s="120"/>
      <c r="E633" s="634"/>
      <c r="F633" s="634"/>
      <c r="G633" s="634"/>
      <c r="H633" s="634"/>
      <c r="I633" s="634"/>
      <c r="J633" s="634"/>
      <c r="K633" s="120"/>
      <c r="L633" s="120"/>
      <c r="M633" s="120"/>
      <c r="N633" s="634" t="s">
        <v>389</v>
      </c>
      <c r="O633" s="634"/>
      <c r="P633" s="634"/>
      <c r="Q633" s="634"/>
      <c r="R633" s="634"/>
      <c r="S633" s="634"/>
      <c r="T633" s="634"/>
      <c r="U633" s="634"/>
      <c r="V633" s="634"/>
      <c r="W633" s="634"/>
      <c r="X633" s="634"/>
      <c r="Y633" s="634"/>
      <c r="Z633" s="634"/>
      <c r="AA633" s="120"/>
      <c r="AB633" s="120"/>
      <c r="AC633" s="120"/>
      <c r="AD633" s="120"/>
      <c r="AE633" s="120"/>
      <c r="AF633" s="120"/>
      <c r="AG633" s="120"/>
      <c r="AH633" s="120"/>
      <c r="AI633" s="571"/>
      <c r="AJ633" s="120"/>
    </row>
    <row r="634" spans="1:36" ht="14.4">
      <c r="A634" s="205"/>
    </row>
    <row r="635" spans="1:36" ht="14.4">
      <c r="B635" s="208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  <c r="AH635" s="209"/>
      <c r="AI635" s="573"/>
      <c r="AJ635" s="210"/>
    </row>
    <row r="636" spans="1:36" ht="14.4">
      <c r="B636" s="211"/>
      <c r="C636" s="133" t="s">
        <v>264</v>
      </c>
      <c r="D636" s="126" t="s">
        <v>184</v>
      </c>
      <c r="E636" s="201" t="s">
        <v>36</v>
      </c>
      <c r="F636" s="201" t="s">
        <v>9</v>
      </c>
      <c r="G636" s="201" t="s">
        <v>25</v>
      </c>
      <c r="H636" s="201" t="s">
        <v>160</v>
      </c>
      <c r="I636" s="201" t="s">
        <v>139</v>
      </c>
      <c r="J636" s="201" t="s">
        <v>37</v>
      </c>
      <c r="K636" s="201" t="s">
        <v>133</v>
      </c>
      <c r="L636" s="201" t="s">
        <v>123</v>
      </c>
      <c r="M636" s="201" t="s">
        <v>145</v>
      </c>
      <c r="N636" s="201" t="s">
        <v>124</v>
      </c>
      <c r="O636" s="201" t="s">
        <v>169</v>
      </c>
      <c r="P636" s="201" t="s">
        <v>243</v>
      </c>
      <c r="Q636" s="201" t="s">
        <v>175</v>
      </c>
      <c r="R636" s="201" t="s">
        <v>170</v>
      </c>
      <c r="S636" s="201" t="s">
        <v>203</v>
      </c>
      <c r="T636" s="201" t="s">
        <v>172</v>
      </c>
      <c r="U636" s="201" t="s">
        <v>176</v>
      </c>
      <c r="V636" s="201" t="s">
        <v>177</v>
      </c>
      <c r="W636" s="201" t="s">
        <v>178</v>
      </c>
      <c r="X636" s="201" t="s">
        <v>179</v>
      </c>
      <c r="Y636" s="201" t="s">
        <v>181</v>
      </c>
      <c r="Z636" s="201" t="s">
        <v>182</v>
      </c>
      <c r="AA636" s="201" t="s">
        <v>187</v>
      </c>
      <c r="AB636" s="201" t="s">
        <v>233</v>
      </c>
      <c r="AC636" s="201" t="s">
        <v>240</v>
      </c>
      <c r="AD636" s="201" t="s">
        <v>245</v>
      </c>
      <c r="AE636" s="201" t="s">
        <v>357</v>
      </c>
      <c r="AF636" s="201" t="s">
        <v>362</v>
      </c>
      <c r="AG636" s="201" t="s">
        <v>361</v>
      </c>
      <c r="AH636" s="201" t="s">
        <v>234</v>
      </c>
      <c r="AI636" s="568" t="s">
        <v>239</v>
      </c>
      <c r="AJ636" s="212"/>
    </row>
    <row r="637" spans="1:36" ht="14.4">
      <c r="B637" s="211"/>
      <c r="C637" s="213" t="s">
        <v>40</v>
      </c>
      <c r="D637" s="214">
        <v>1006628.75</v>
      </c>
      <c r="E637" s="214">
        <v>0</v>
      </c>
      <c r="F637" s="214">
        <v>0</v>
      </c>
      <c r="G637" s="214">
        <v>0</v>
      </c>
      <c r="H637" s="214">
        <v>0</v>
      </c>
      <c r="I637" s="214">
        <v>0</v>
      </c>
      <c r="J637" s="214">
        <v>0</v>
      </c>
      <c r="K637" s="214">
        <v>0</v>
      </c>
      <c r="L637" s="214">
        <v>0</v>
      </c>
      <c r="M637" s="214">
        <v>0</v>
      </c>
      <c r="N637" s="214">
        <v>0</v>
      </c>
      <c r="O637" s="214">
        <v>0</v>
      </c>
      <c r="P637" s="214">
        <v>0</v>
      </c>
      <c r="Q637" s="214">
        <v>0</v>
      </c>
      <c r="R637" s="214">
        <v>0</v>
      </c>
      <c r="S637" s="214">
        <v>0</v>
      </c>
      <c r="T637" s="214">
        <v>0</v>
      </c>
      <c r="U637" s="214">
        <v>0</v>
      </c>
      <c r="V637" s="214">
        <v>0</v>
      </c>
      <c r="W637" s="214">
        <v>0</v>
      </c>
      <c r="X637" s="214">
        <v>0</v>
      </c>
      <c r="Y637" s="214">
        <v>0</v>
      </c>
      <c r="Z637" s="214">
        <v>0</v>
      </c>
      <c r="AA637" s="214">
        <v>0</v>
      </c>
      <c r="AB637" s="214">
        <v>0</v>
      </c>
      <c r="AC637" s="214">
        <v>0</v>
      </c>
      <c r="AD637" s="214"/>
      <c r="AE637" s="420">
        <v>0</v>
      </c>
      <c r="AF637" s="420">
        <v>0</v>
      </c>
      <c r="AG637" s="420">
        <v>0</v>
      </c>
      <c r="AH637" s="420"/>
      <c r="AI637" s="574">
        <f>SUM(D637:AH637)</f>
        <v>1006628.75</v>
      </c>
      <c r="AJ637" s="212"/>
    </row>
    <row r="638" spans="1:36" ht="14.4">
      <c r="B638" s="211"/>
      <c r="C638" s="213" t="s">
        <v>41</v>
      </c>
      <c r="D638" s="214"/>
      <c r="E638" s="214">
        <v>301672.18</v>
      </c>
      <c r="F638" s="214">
        <v>373904.85</v>
      </c>
      <c r="G638" s="214">
        <v>289893.95</v>
      </c>
      <c r="H638" s="214">
        <v>450714.87</v>
      </c>
      <c r="I638" s="214">
        <v>43698.58</v>
      </c>
      <c r="J638" s="214">
        <v>23238.97</v>
      </c>
      <c r="K638" s="214">
        <v>14900.47</v>
      </c>
      <c r="L638" s="214">
        <v>18955.45</v>
      </c>
      <c r="M638" s="214">
        <v>203459.95</v>
      </c>
      <c r="N638" s="214">
        <v>22610</v>
      </c>
      <c r="O638" s="214">
        <v>317549.95999999996</v>
      </c>
      <c r="P638" s="214">
        <v>183685.81</v>
      </c>
      <c r="Q638" s="214">
        <v>450500.88</v>
      </c>
      <c r="R638" s="214">
        <v>40589.660000000003</v>
      </c>
      <c r="S638" s="214">
        <v>192489.01</v>
      </c>
      <c r="T638" s="214">
        <v>9768.18</v>
      </c>
      <c r="U638" s="214">
        <v>21376.35</v>
      </c>
      <c r="V638" s="214">
        <v>24631.94</v>
      </c>
      <c r="W638" s="214">
        <v>8190.35</v>
      </c>
      <c r="X638" s="214">
        <v>11646.16</v>
      </c>
      <c r="Y638" s="214">
        <v>17655.939999999999</v>
      </c>
      <c r="Z638" s="214">
        <v>7004.29</v>
      </c>
      <c r="AA638" s="214">
        <v>9804.24</v>
      </c>
      <c r="AB638" s="214">
        <v>37760.370000000003</v>
      </c>
      <c r="AC638" s="214">
        <v>15272.02</v>
      </c>
      <c r="AD638" s="214"/>
      <c r="AE638" s="420">
        <v>240386.48</v>
      </c>
      <c r="AF638" s="420">
        <v>6698.11</v>
      </c>
      <c r="AG638" s="420">
        <v>35381.19</v>
      </c>
      <c r="AH638" s="420">
        <v>0</v>
      </c>
      <c r="AI638" s="574">
        <f t="shared" ref="AI638:AI701" si="16">SUM(D638:AH638)</f>
        <v>3373440.2100000004</v>
      </c>
      <c r="AJ638" s="212"/>
    </row>
    <row r="639" spans="1:36" ht="14.4">
      <c r="B639" s="211"/>
      <c r="C639" s="213" t="s">
        <v>26</v>
      </c>
      <c r="D639" s="214">
        <v>22158</v>
      </c>
      <c r="E639" s="214">
        <v>4084</v>
      </c>
      <c r="F639" s="214">
        <v>6110</v>
      </c>
      <c r="G639" s="214">
        <v>5282</v>
      </c>
      <c r="H639" s="214">
        <v>7051</v>
      </c>
      <c r="I639" s="214">
        <v>0</v>
      </c>
      <c r="J639" s="214">
        <v>0</v>
      </c>
      <c r="K639" s="214">
        <v>0</v>
      </c>
      <c r="L639" s="214">
        <v>0</v>
      </c>
      <c r="M639" s="214">
        <v>0</v>
      </c>
      <c r="N639" s="214">
        <v>0</v>
      </c>
      <c r="O639" s="214">
        <v>3000</v>
      </c>
      <c r="P639" s="214">
        <v>4075</v>
      </c>
      <c r="Q639" s="214">
        <v>0</v>
      </c>
      <c r="R639" s="214">
        <v>6300</v>
      </c>
      <c r="S639" s="214">
        <v>4405</v>
      </c>
      <c r="T639" s="214">
        <v>0</v>
      </c>
      <c r="U639" s="214">
        <v>0</v>
      </c>
      <c r="V639" s="214">
        <v>0</v>
      </c>
      <c r="W639" s="214">
        <v>0</v>
      </c>
      <c r="X639" s="214">
        <v>0</v>
      </c>
      <c r="Y639" s="214">
        <v>0</v>
      </c>
      <c r="Z639" s="214">
        <v>0</v>
      </c>
      <c r="AA639" s="214">
        <v>0</v>
      </c>
      <c r="AB639" s="214">
        <v>0</v>
      </c>
      <c r="AC639" s="214">
        <v>0</v>
      </c>
      <c r="AD639" s="214"/>
      <c r="AE639" s="420">
        <v>2000</v>
      </c>
      <c r="AF639" s="420">
        <v>0</v>
      </c>
      <c r="AG639" s="420">
        <v>0</v>
      </c>
      <c r="AH639" s="420"/>
      <c r="AI639" s="574">
        <f t="shared" si="16"/>
        <v>64465</v>
      </c>
      <c r="AJ639" s="212"/>
    </row>
    <row r="640" spans="1:36" ht="14.4">
      <c r="B640" s="211"/>
      <c r="C640" s="213" t="s">
        <v>27</v>
      </c>
      <c r="D640" s="214">
        <v>0</v>
      </c>
      <c r="E640" s="214">
        <v>215</v>
      </c>
      <c r="F640" s="214">
        <v>0</v>
      </c>
      <c r="G640" s="214">
        <v>0</v>
      </c>
      <c r="H640" s="214">
        <v>0</v>
      </c>
      <c r="I640" s="214">
        <v>0</v>
      </c>
      <c r="J640" s="214">
        <v>0</v>
      </c>
      <c r="K640" s="214">
        <v>0</v>
      </c>
      <c r="L640" s="214">
        <v>0</v>
      </c>
      <c r="M640" s="214">
        <v>0</v>
      </c>
      <c r="N640" s="214">
        <v>0</v>
      </c>
      <c r="O640" s="214">
        <v>0</v>
      </c>
      <c r="P640" s="214">
        <v>0</v>
      </c>
      <c r="Q640" s="214">
        <v>0</v>
      </c>
      <c r="R640" s="214">
        <v>0</v>
      </c>
      <c r="S640" s="214">
        <v>0</v>
      </c>
      <c r="T640" s="214">
        <v>0</v>
      </c>
      <c r="U640" s="214">
        <v>0</v>
      </c>
      <c r="V640" s="214">
        <v>0</v>
      </c>
      <c r="W640" s="214">
        <v>0</v>
      </c>
      <c r="X640" s="214">
        <v>0</v>
      </c>
      <c r="Y640" s="214">
        <v>0</v>
      </c>
      <c r="Z640" s="214">
        <v>0</v>
      </c>
      <c r="AA640" s="214">
        <v>0</v>
      </c>
      <c r="AB640" s="214">
        <v>0</v>
      </c>
      <c r="AC640" s="214">
        <v>0</v>
      </c>
      <c r="AD640" s="214"/>
      <c r="AE640" s="420">
        <v>0</v>
      </c>
      <c r="AF640" s="420">
        <v>0</v>
      </c>
      <c r="AG640" s="420">
        <v>0</v>
      </c>
      <c r="AH640" s="420"/>
      <c r="AI640" s="574">
        <f t="shared" si="16"/>
        <v>215</v>
      </c>
      <c r="AJ640" s="212"/>
    </row>
    <row r="641" spans="2:36" ht="14.4">
      <c r="B641" s="211"/>
      <c r="C641" s="213" t="s">
        <v>42</v>
      </c>
      <c r="D641" s="214">
        <v>1600</v>
      </c>
      <c r="E641" s="214">
        <v>800</v>
      </c>
      <c r="F641" s="214">
        <v>1445</v>
      </c>
      <c r="G641" s="214">
        <v>800</v>
      </c>
      <c r="H641" s="214">
        <v>900</v>
      </c>
      <c r="I641" s="214">
        <v>0</v>
      </c>
      <c r="J641" s="214">
        <v>0</v>
      </c>
      <c r="K641" s="214">
        <v>0</v>
      </c>
      <c r="L641" s="214">
        <v>0</v>
      </c>
      <c r="M641" s="214">
        <v>0</v>
      </c>
      <c r="N641" s="214">
        <v>0</v>
      </c>
      <c r="O641" s="214">
        <v>800</v>
      </c>
      <c r="P641" s="214">
        <v>1000</v>
      </c>
      <c r="Q641" s="214">
        <v>0</v>
      </c>
      <c r="R641" s="214">
        <v>0</v>
      </c>
      <c r="S641" s="214">
        <v>1000</v>
      </c>
      <c r="T641" s="214">
        <v>0</v>
      </c>
      <c r="U641" s="214">
        <v>0</v>
      </c>
      <c r="V641" s="214">
        <v>0</v>
      </c>
      <c r="W641" s="214">
        <v>0</v>
      </c>
      <c r="X641" s="214">
        <v>0</v>
      </c>
      <c r="Y641" s="214">
        <v>0</v>
      </c>
      <c r="Z641" s="214">
        <v>0</v>
      </c>
      <c r="AA641" s="214">
        <v>0</v>
      </c>
      <c r="AB641" s="214">
        <v>0</v>
      </c>
      <c r="AC641" s="214">
        <v>0</v>
      </c>
      <c r="AD641" s="420"/>
      <c r="AE641" s="420">
        <v>1000</v>
      </c>
      <c r="AF641" s="420">
        <v>0</v>
      </c>
      <c r="AG641" s="420">
        <v>0</v>
      </c>
      <c r="AH641" s="420"/>
      <c r="AI641" s="574">
        <f t="shared" si="16"/>
        <v>9345</v>
      </c>
      <c r="AJ641" s="212"/>
    </row>
    <row r="642" spans="2:36" ht="14.4">
      <c r="B642" s="211"/>
      <c r="C642" s="213" t="s">
        <v>43</v>
      </c>
      <c r="D642" s="214">
        <v>0</v>
      </c>
      <c r="E642" s="214">
        <v>100000</v>
      </c>
      <c r="F642" s="214">
        <v>100000</v>
      </c>
      <c r="G642" s="214">
        <v>100000</v>
      </c>
      <c r="H642" s="214">
        <v>0</v>
      </c>
      <c r="I642" s="214">
        <v>0</v>
      </c>
      <c r="J642" s="214">
        <v>0</v>
      </c>
      <c r="K642" s="214">
        <v>0</v>
      </c>
      <c r="L642" s="214">
        <v>0</v>
      </c>
      <c r="M642" s="214">
        <v>0</v>
      </c>
      <c r="N642" s="214">
        <v>0</v>
      </c>
      <c r="O642" s="214">
        <v>0</v>
      </c>
      <c r="P642" s="214">
        <v>0</v>
      </c>
      <c r="Q642" s="214">
        <v>0</v>
      </c>
      <c r="R642" s="214">
        <v>0</v>
      </c>
      <c r="S642" s="214">
        <v>0</v>
      </c>
      <c r="T642" s="214">
        <v>0</v>
      </c>
      <c r="U642" s="214">
        <v>0</v>
      </c>
      <c r="V642" s="214">
        <v>0</v>
      </c>
      <c r="W642" s="214">
        <v>0</v>
      </c>
      <c r="X642" s="214">
        <v>0</v>
      </c>
      <c r="Y642" s="214">
        <v>0</v>
      </c>
      <c r="Z642" s="214">
        <v>0</v>
      </c>
      <c r="AA642" s="214">
        <v>0</v>
      </c>
      <c r="AB642" s="214">
        <v>0</v>
      </c>
      <c r="AC642" s="214">
        <v>0</v>
      </c>
      <c r="AD642" s="214"/>
      <c r="AE642" s="420">
        <v>0</v>
      </c>
      <c r="AF642" s="420">
        <v>0</v>
      </c>
      <c r="AG642" s="420">
        <v>0</v>
      </c>
      <c r="AH642" s="420"/>
      <c r="AI642" s="574">
        <f t="shared" si="16"/>
        <v>300000</v>
      </c>
      <c r="AJ642" s="212"/>
    </row>
    <row r="643" spans="2:36" ht="14.4">
      <c r="B643" s="211"/>
      <c r="C643" s="213" t="s">
        <v>44</v>
      </c>
      <c r="D643" s="214">
        <v>100000</v>
      </c>
      <c r="E643" s="214">
        <v>0</v>
      </c>
      <c r="F643" s="214">
        <v>0</v>
      </c>
      <c r="G643" s="214">
        <v>0</v>
      </c>
      <c r="H643" s="214">
        <v>0</v>
      </c>
      <c r="I643" s="214">
        <v>0</v>
      </c>
      <c r="J643" s="214">
        <v>0</v>
      </c>
      <c r="K643" s="214">
        <v>0</v>
      </c>
      <c r="L643" s="214">
        <v>0</v>
      </c>
      <c r="M643" s="214">
        <v>0</v>
      </c>
      <c r="N643" s="214">
        <v>0</v>
      </c>
      <c r="O643" s="214">
        <v>0</v>
      </c>
      <c r="P643" s="214">
        <v>0</v>
      </c>
      <c r="Q643" s="214">
        <v>0</v>
      </c>
      <c r="R643" s="214">
        <v>0</v>
      </c>
      <c r="S643" s="214">
        <v>0</v>
      </c>
      <c r="T643" s="214">
        <v>0</v>
      </c>
      <c r="U643" s="214">
        <v>0</v>
      </c>
      <c r="V643" s="214">
        <v>0</v>
      </c>
      <c r="W643" s="214">
        <v>0</v>
      </c>
      <c r="X643" s="214">
        <v>0</v>
      </c>
      <c r="Y643" s="214">
        <v>0</v>
      </c>
      <c r="Z643" s="214">
        <v>0</v>
      </c>
      <c r="AA643" s="214">
        <v>0</v>
      </c>
      <c r="AB643" s="214">
        <v>0</v>
      </c>
      <c r="AC643" s="214">
        <v>0</v>
      </c>
      <c r="AD643" s="214"/>
      <c r="AE643" s="420">
        <v>0</v>
      </c>
      <c r="AF643" s="420">
        <v>0</v>
      </c>
      <c r="AG643" s="420">
        <v>0</v>
      </c>
      <c r="AH643" s="420"/>
      <c r="AI643" s="574">
        <f t="shared" si="16"/>
        <v>100000</v>
      </c>
      <c r="AJ643" s="212"/>
    </row>
    <row r="644" spans="2:36" ht="14.4">
      <c r="B644" s="211"/>
      <c r="C644" s="213" t="s">
        <v>45</v>
      </c>
      <c r="D644" s="214">
        <v>40610</v>
      </c>
      <c r="E644" s="214">
        <v>0</v>
      </c>
      <c r="F644" s="214">
        <v>26200</v>
      </c>
      <c r="G644" s="214">
        <v>0</v>
      </c>
      <c r="H644" s="214">
        <v>35500</v>
      </c>
      <c r="I644" s="214">
        <v>0</v>
      </c>
      <c r="J644" s="214">
        <v>0</v>
      </c>
      <c r="K644" s="214">
        <v>0</v>
      </c>
      <c r="L644" s="214">
        <v>0</v>
      </c>
      <c r="M644" s="214">
        <v>16000</v>
      </c>
      <c r="N644" s="214">
        <v>13200</v>
      </c>
      <c r="O644" s="214">
        <v>27300</v>
      </c>
      <c r="P644" s="214">
        <v>20900</v>
      </c>
      <c r="Q644" s="214">
        <v>100886</v>
      </c>
      <c r="R644" s="214">
        <v>23420</v>
      </c>
      <c r="S644" s="214">
        <v>50625</v>
      </c>
      <c r="T644" s="214">
        <v>0</v>
      </c>
      <c r="U644" s="214">
        <v>0</v>
      </c>
      <c r="V644" s="214">
        <v>0</v>
      </c>
      <c r="W644" s="214">
        <v>0</v>
      </c>
      <c r="X644" s="214">
        <v>0</v>
      </c>
      <c r="Y644" s="214">
        <v>0</v>
      </c>
      <c r="Z644" s="214">
        <v>0</v>
      </c>
      <c r="AA644" s="214">
        <v>0</v>
      </c>
      <c r="AB644" s="214">
        <v>0</v>
      </c>
      <c r="AC644" s="214">
        <v>0</v>
      </c>
      <c r="AD644" s="214"/>
      <c r="AE644" s="420">
        <v>48100</v>
      </c>
      <c r="AF644" s="420">
        <v>0</v>
      </c>
      <c r="AG644" s="420">
        <v>0</v>
      </c>
      <c r="AH644" s="420"/>
      <c r="AI644" s="574">
        <f t="shared" si="16"/>
        <v>402741</v>
      </c>
      <c r="AJ644" s="212"/>
    </row>
    <row r="645" spans="2:36" ht="14.4">
      <c r="B645" s="211"/>
      <c r="C645" s="213" t="s">
        <v>156</v>
      </c>
      <c r="D645" s="214">
        <v>8290.25</v>
      </c>
      <c r="E645" s="214">
        <v>988.25</v>
      </c>
      <c r="F645" s="214">
        <v>1200.25</v>
      </c>
      <c r="G645" s="214">
        <v>25</v>
      </c>
      <c r="H645" s="214">
        <v>798.9</v>
      </c>
      <c r="I645" s="214">
        <v>0</v>
      </c>
      <c r="J645" s="214">
        <v>0</v>
      </c>
      <c r="K645" s="214">
        <v>0</v>
      </c>
      <c r="L645" s="214">
        <v>0</v>
      </c>
      <c r="M645" s="214">
        <v>625.25</v>
      </c>
      <c r="N645" s="214">
        <v>0</v>
      </c>
      <c r="O645" s="214">
        <v>480.8</v>
      </c>
      <c r="P645" s="214">
        <v>425.25</v>
      </c>
      <c r="Q645" s="214">
        <v>390.44</v>
      </c>
      <c r="R645" s="214">
        <v>325.36</v>
      </c>
      <c r="S645" s="214">
        <v>582.25</v>
      </c>
      <c r="T645" s="214">
        <v>0</v>
      </c>
      <c r="U645" s="214">
        <v>0</v>
      </c>
      <c r="V645" s="214">
        <v>0</v>
      </c>
      <c r="W645" s="214">
        <v>0</v>
      </c>
      <c r="X645" s="214">
        <v>0</v>
      </c>
      <c r="Y645" s="214">
        <v>0</v>
      </c>
      <c r="Z645" s="214">
        <v>0</v>
      </c>
      <c r="AA645" s="214">
        <v>0</v>
      </c>
      <c r="AB645" s="214">
        <v>0</v>
      </c>
      <c r="AC645" s="214">
        <v>0</v>
      </c>
      <c r="AD645" s="214"/>
      <c r="AE645" s="420">
        <v>0</v>
      </c>
      <c r="AF645" s="420">
        <v>0</v>
      </c>
      <c r="AG645" s="420">
        <v>0</v>
      </c>
      <c r="AH645" s="420"/>
      <c r="AI645" s="574">
        <f t="shared" si="16"/>
        <v>14132</v>
      </c>
      <c r="AJ645" s="212"/>
    </row>
    <row r="646" spans="2:36" ht="14.4">
      <c r="B646" s="211"/>
      <c r="C646" s="213" t="s">
        <v>46</v>
      </c>
      <c r="D646" s="214">
        <v>11919.11</v>
      </c>
      <c r="E646" s="214">
        <v>721.98</v>
      </c>
      <c r="F646" s="214">
        <v>1200</v>
      </c>
      <c r="G646" s="214">
        <v>844.46</v>
      </c>
      <c r="H646" s="214">
        <v>147.13</v>
      </c>
      <c r="I646" s="214">
        <v>84.95</v>
      </c>
      <c r="J646" s="214">
        <v>97.81</v>
      </c>
      <c r="K646" s="214">
        <v>523.88</v>
      </c>
      <c r="L646" s="214">
        <v>65.87</v>
      </c>
      <c r="M646" s="214">
        <v>694.4</v>
      </c>
      <c r="N646" s="214">
        <v>54.67</v>
      </c>
      <c r="O646" s="214">
        <v>467.11</v>
      </c>
      <c r="P646" s="214">
        <v>623.80999999999995</v>
      </c>
      <c r="Q646" s="214">
        <v>848.43</v>
      </c>
      <c r="R646" s="214">
        <v>65.87</v>
      </c>
      <c r="S646" s="214">
        <v>601.1</v>
      </c>
      <c r="T646" s="214">
        <v>0</v>
      </c>
      <c r="U646" s="214">
        <v>168.67</v>
      </c>
      <c r="V646" s="214">
        <v>100</v>
      </c>
      <c r="W646" s="214">
        <v>550</v>
      </c>
      <c r="X646" s="214">
        <v>168.67</v>
      </c>
      <c r="Y646" s="214">
        <v>62.18</v>
      </c>
      <c r="Z646" s="214">
        <v>57.87</v>
      </c>
      <c r="AA646" s="214">
        <v>65.87</v>
      </c>
      <c r="AB646" s="214">
        <v>68.33</v>
      </c>
      <c r="AC646" s="214">
        <v>62.18</v>
      </c>
      <c r="AD646" s="214"/>
      <c r="AE646" s="420">
        <v>270.86</v>
      </c>
      <c r="AF646" s="420">
        <v>150</v>
      </c>
      <c r="AG646" s="420">
        <v>100</v>
      </c>
      <c r="AH646" s="420"/>
      <c r="AI646" s="574">
        <f t="shared" si="16"/>
        <v>20785.209999999995</v>
      </c>
      <c r="AJ646" s="212"/>
    </row>
    <row r="647" spans="2:36" ht="14.4">
      <c r="B647" s="211"/>
      <c r="C647" s="213" t="s">
        <v>47</v>
      </c>
      <c r="D647" s="214">
        <v>0</v>
      </c>
      <c r="E647" s="214">
        <v>0</v>
      </c>
      <c r="F647" s="214">
        <v>0</v>
      </c>
      <c r="G647" s="214">
        <v>0</v>
      </c>
      <c r="H647" s="214">
        <v>0</v>
      </c>
      <c r="I647" s="214">
        <v>0</v>
      </c>
      <c r="J647" s="214">
        <v>0</v>
      </c>
      <c r="K647" s="214">
        <v>0</v>
      </c>
      <c r="L647" s="214">
        <v>0</v>
      </c>
      <c r="M647" s="214">
        <v>0</v>
      </c>
      <c r="N647" s="214">
        <v>0</v>
      </c>
      <c r="O647" s="214">
        <v>0</v>
      </c>
      <c r="P647" s="214">
        <v>0</v>
      </c>
      <c r="Q647" s="214">
        <v>0</v>
      </c>
      <c r="R647" s="214">
        <v>0</v>
      </c>
      <c r="S647" s="214">
        <v>0</v>
      </c>
      <c r="T647" s="214">
        <v>0</v>
      </c>
      <c r="U647" s="214">
        <v>0</v>
      </c>
      <c r="V647" s="214">
        <v>0</v>
      </c>
      <c r="W647" s="214">
        <v>0</v>
      </c>
      <c r="X647" s="214">
        <v>0</v>
      </c>
      <c r="Y647" s="214">
        <v>0</v>
      </c>
      <c r="Z647" s="214">
        <v>0</v>
      </c>
      <c r="AA647" s="214">
        <v>0</v>
      </c>
      <c r="AB647" s="214">
        <v>0</v>
      </c>
      <c r="AC647" s="214">
        <v>0</v>
      </c>
      <c r="AD647" s="214"/>
      <c r="AE647" s="420">
        <v>0</v>
      </c>
      <c r="AF647" s="420">
        <v>0</v>
      </c>
      <c r="AG647" s="420">
        <v>0</v>
      </c>
      <c r="AH647" s="420"/>
      <c r="AI647" s="574">
        <f t="shared" si="16"/>
        <v>0</v>
      </c>
      <c r="AJ647" s="212"/>
    </row>
    <row r="648" spans="2:36" ht="14.4">
      <c r="B648" s="211"/>
      <c r="C648" s="213" t="s">
        <v>48</v>
      </c>
      <c r="D648" s="214">
        <v>4862.5</v>
      </c>
      <c r="E648" s="214">
        <v>1400</v>
      </c>
      <c r="F648" s="214">
        <v>500</v>
      </c>
      <c r="G648" s="214">
        <v>0</v>
      </c>
      <c r="H648" s="214">
        <v>900</v>
      </c>
      <c r="I648" s="214">
        <v>0</v>
      </c>
      <c r="J648" s="214">
        <v>0</v>
      </c>
      <c r="K648" s="214">
        <v>0</v>
      </c>
      <c r="L648" s="214">
        <v>0</v>
      </c>
      <c r="M648" s="214">
        <v>1815</v>
      </c>
      <c r="N648" s="214">
        <v>0</v>
      </c>
      <c r="O648" s="214">
        <v>500</v>
      </c>
      <c r="P648" s="214">
        <v>750</v>
      </c>
      <c r="Q648" s="214">
        <v>650</v>
      </c>
      <c r="R648" s="214">
        <v>0</v>
      </c>
      <c r="S648" s="214">
        <v>900</v>
      </c>
      <c r="T648" s="214">
        <v>0</v>
      </c>
      <c r="U648" s="214">
        <v>0</v>
      </c>
      <c r="V648" s="214">
        <v>0</v>
      </c>
      <c r="W648" s="214">
        <v>0</v>
      </c>
      <c r="X648" s="214">
        <v>0</v>
      </c>
      <c r="Y648" s="214">
        <v>0</v>
      </c>
      <c r="Z648" s="214">
        <v>0</v>
      </c>
      <c r="AA648" s="214">
        <v>0</v>
      </c>
      <c r="AB648" s="214">
        <v>0</v>
      </c>
      <c r="AC648" s="214">
        <v>0</v>
      </c>
      <c r="AD648" s="214"/>
      <c r="AE648" s="420">
        <v>700</v>
      </c>
      <c r="AF648" s="420">
        <v>0</v>
      </c>
      <c r="AG648" s="420">
        <v>0</v>
      </c>
      <c r="AH648" s="420"/>
      <c r="AI648" s="574">
        <f t="shared" si="16"/>
        <v>12977.5</v>
      </c>
      <c r="AJ648" s="212"/>
    </row>
    <row r="649" spans="2:36" ht="14.4">
      <c r="B649" s="211"/>
      <c r="C649" s="213" t="s">
        <v>49</v>
      </c>
      <c r="D649" s="214">
        <v>7920</v>
      </c>
      <c r="E649" s="214">
        <v>0</v>
      </c>
      <c r="F649" s="214">
        <v>0</v>
      </c>
      <c r="G649" s="214">
        <v>0</v>
      </c>
      <c r="H649" s="214">
        <v>0</v>
      </c>
      <c r="I649" s="214">
        <v>0</v>
      </c>
      <c r="J649" s="214">
        <v>0</v>
      </c>
      <c r="K649" s="214">
        <v>0</v>
      </c>
      <c r="L649" s="214">
        <v>0</v>
      </c>
      <c r="M649" s="214">
        <v>0</v>
      </c>
      <c r="N649" s="214">
        <v>0</v>
      </c>
      <c r="O649" s="214">
        <v>0</v>
      </c>
      <c r="P649" s="214">
        <v>0</v>
      </c>
      <c r="Q649" s="214">
        <v>0</v>
      </c>
      <c r="R649" s="214">
        <v>0</v>
      </c>
      <c r="S649" s="214">
        <v>0</v>
      </c>
      <c r="T649" s="214">
        <v>0</v>
      </c>
      <c r="U649" s="214">
        <v>0</v>
      </c>
      <c r="V649" s="214">
        <v>0</v>
      </c>
      <c r="W649" s="214">
        <v>0</v>
      </c>
      <c r="X649" s="214">
        <v>0</v>
      </c>
      <c r="Y649" s="214">
        <v>0</v>
      </c>
      <c r="Z649" s="214">
        <v>0</v>
      </c>
      <c r="AA649" s="214">
        <v>0</v>
      </c>
      <c r="AB649" s="214">
        <v>0</v>
      </c>
      <c r="AC649" s="214">
        <v>0</v>
      </c>
      <c r="AD649" s="214"/>
      <c r="AE649" s="420">
        <v>0</v>
      </c>
      <c r="AF649" s="420">
        <v>0</v>
      </c>
      <c r="AG649" s="420">
        <v>0</v>
      </c>
      <c r="AH649" s="420"/>
      <c r="AI649" s="574">
        <f t="shared" si="16"/>
        <v>7920</v>
      </c>
      <c r="AJ649" s="212"/>
    </row>
    <row r="650" spans="2:36" ht="14.4">
      <c r="B650" s="211"/>
      <c r="C650" s="213" t="s">
        <v>158</v>
      </c>
      <c r="D650" s="214">
        <v>13798</v>
      </c>
      <c r="E650" s="214">
        <v>2500</v>
      </c>
      <c r="F650" s="214">
        <v>0</v>
      </c>
      <c r="G650" s="214">
        <v>1500</v>
      </c>
      <c r="H650" s="214">
        <v>0</v>
      </c>
      <c r="I650" s="214">
        <v>0</v>
      </c>
      <c r="J650" s="214">
        <v>0</v>
      </c>
      <c r="K650" s="214">
        <v>0</v>
      </c>
      <c r="L650" s="214">
        <v>0</v>
      </c>
      <c r="M650" s="214">
        <v>0</v>
      </c>
      <c r="N650" s="214">
        <v>0</v>
      </c>
      <c r="O650" s="214">
        <v>0</v>
      </c>
      <c r="P650" s="214">
        <v>0</v>
      </c>
      <c r="Q650" s="214">
        <v>0</v>
      </c>
      <c r="R650" s="214">
        <v>0</v>
      </c>
      <c r="S650" s="214">
        <v>0</v>
      </c>
      <c r="T650" s="214">
        <v>0</v>
      </c>
      <c r="U650" s="214">
        <v>0</v>
      </c>
      <c r="V650" s="214">
        <v>0</v>
      </c>
      <c r="W650" s="214">
        <v>0</v>
      </c>
      <c r="X650" s="214">
        <v>0</v>
      </c>
      <c r="Y650" s="214">
        <v>0</v>
      </c>
      <c r="Z650" s="214">
        <v>0</v>
      </c>
      <c r="AA650" s="214">
        <v>0</v>
      </c>
      <c r="AB650" s="214">
        <v>0</v>
      </c>
      <c r="AC650" s="214">
        <v>0</v>
      </c>
      <c r="AD650" s="214"/>
      <c r="AE650" s="420">
        <v>0</v>
      </c>
      <c r="AF650" s="420">
        <v>0</v>
      </c>
      <c r="AG650" s="420">
        <v>0</v>
      </c>
      <c r="AH650" s="420"/>
      <c r="AI650" s="574">
        <f t="shared" si="16"/>
        <v>17798</v>
      </c>
      <c r="AJ650" s="212"/>
    </row>
    <row r="651" spans="2:36" ht="14.4">
      <c r="B651" s="211"/>
      <c r="C651" s="213" t="s">
        <v>50</v>
      </c>
      <c r="D651" s="214">
        <v>4710</v>
      </c>
      <c r="E651" s="214">
        <v>770</v>
      </c>
      <c r="F651" s="214">
        <v>0</v>
      </c>
      <c r="G651" s="214">
        <v>770</v>
      </c>
      <c r="H651" s="214">
        <v>6930</v>
      </c>
      <c r="I651" s="214">
        <v>770</v>
      </c>
      <c r="J651" s="214">
        <v>0</v>
      </c>
      <c r="K651" s="214">
        <v>770</v>
      </c>
      <c r="L651" s="214">
        <v>0</v>
      </c>
      <c r="M651" s="214">
        <v>770</v>
      </c>
      <c r="N651" s="214">
        <v>0</v>
      </c>
      <c r="O651" s="214">
        <v>770</v>
      </c>
      <c r="P651" s="214">
        <v>770</v>
      </c>
      <c r="Q651" s="214">
        <v>770</v>
      </c>
      <c r="R651" s="214">
        <v>770</v>
      </c>
      <c r="S651" s="214">
        <v>770</v>
      </c>
      <c r="T651" s="214">
        <v>770</v>
      </c>
      <c r="U651" s="214">
        <v>770</v>
      </c>
      <c r="V651" s="214">
        <v>0</v>
      </c>
      <c r="W651" s="214">
        <v>770</v>
      </c>
      <c r="X651" s="214">
        <v>770</v>
      </c>
      <c r="Y651" s="214">
        <v>0</v>
      </c>
      <c r="Z651" s="214">
        <v>770</v>
      </c>
      <c r="AA651" s="214">
        <v>0</v>
      </c>
      <c r="AB651" s="214">
        <v>770</v>
      </c>
      <c r="AC651" s="214">
        <v>0</v>
      </c>
      <c r="AD651" s="214"/>
      <c r="AE651" s="420">
        <v>0</v>
      </c>
      <c r="AF651" s="420">
        <v>0</v>
      </c>
      <c r="AG651" s="420">
        <v>0</v>
      </c>
      <c r="AH651" s="420"/>
      <c r="AI651" s="574">
        <f t="shared" si="16"/>
        <v>23960</v>
      </c>
      <c r="AJ651" s="212"/>
    </row>
    <row r="652" spans="2:36" ht="14.4">
      <c r="B652" s="211"/>
      <c r="C652" s="213" t="s">
        <v>51</v>
      </c>
      <c r="D652" s="214">
        <v>0</v>
      </c>
      <c r="E652" s="214">
        <v>9000</v>
      </c>
      <c r="F652" s="214">
        <v>4500</v>
      </c>
      <c r="G652" s="214">
        <v>0</v>
      </c>
      <c r="H652" s="214">
        <v>4500</v>
      </c>
      <c r="I652" s="214">
        <v>0</v>
      </c>
      <c r="J652" s="214">
        <v>2250</v>
      </c>
      <c r="K652" s="214">
        <v>0</v>
      </c>
      <c r="L652" s="214">
        <v>0</v>
      </c>
      <c r="M652" s="214">
        <v>2250</v>
      </c>
      <c r="N652" s="214">
        <v>0</v>
      </c>
      <c r="O652" s="214">
        <v>2250</v>
      </c>
      <c r="P652" s="214">
        <v>4500</v>
      </c>
      <c r="Q652" s="214">
        <v>2250</v>
      </c>
      <c r="R652" s="214">
        <v>2250</v>
      </c>
      <c r="S652" s="214">
        <v>2250</v>
      </c>
      <c r="T652" s="214">
        <v>0</v>
      </c>
      <c r="U652" s="214">
        <v>0</v>
      </c>
      <c r="V652" s="214">
        <v>0</v>
      </c>
      <c r="W652" s="214">
        <v>0</v>
      </c>
      <c r="X652" s="214">
        <v>0</v>
      </c>
      <c r="Y652" s="214">
        <v>0</v>
      </c>
      <c r="Z652" s="214">
        <v>0</v>
      </c>
      <c r="AA652" s="214">
        <v>0</v>
      </c>
      <c r="AB652" s="214">
        <v>2250</v>
      </c>
      <c r="AC652" s="214">
        <v>0</v>
      </c>
      <c r="AD652" s="214"/>
      <c r="AE652" s="420">
        <v>2250</v>
      </c>
      <c r="AF652" s="420">
        <v>0</v>
      </c>
      <c r="AG652" s="420">
        <v>0</v>
      </c>
      <c r="AH652" s="420"/>
      <c r="AI652" s="574">
        <f t="shared" si="16"/>
        <v>40500</v>
      </c>
      <c r="AJ652" s="212"/>
    </row>
    <row r="653" spans="2:36" ht="14.4">
      <c r="B653" s="211"/>
      <c r="C653" s="213" t="s">
        <v>52</v>
      </c>
      <c r="D653" s="214">
        <v>0</v>
      </c>
      <c r="E653" s="214">
        <v>0</v>
      </c>
      <c r="F653" s="214">
        <v>90</v>
      </c>
      <c r="G653" s="214">
        <v>0</v>
      </c>
      <c r="H653" s="214">
        <v>0</v>
      </c>
      <c r="I653" s="214">
        <v>0</v>
      </c>
      <c r="J653" s="214">
        <v>0</v>
      </c>
      <c r="K653" s="214">
        <v>0</v>
      </c>
      <c r="L653" s="214">
        <v>0</v>
      </c>
      <c r="M653" s="214">
        <v>0</v>
      </c>
      <c r="N653" s="214">
        <v>0</v>
      </c>
      <c r="O653" s="214">
        <v>0</v>
      </c>
      <c r="P653" s="214">
        <v>0</v>
      </c>
      <c r="Q653" s="214">
        <v>0</v>
      </c>
      <c r="R653" s="214">
        <v>0</v>
      </c>
      <c r="S653" s="214">
        <v>0</v>
      </c>
      <c r="T653" s="214">
        <v>0</v>
      </c>
      <c r="U653" s="214">
        <v>0</v>
      </c>
      <c r="V653" s="214">
        <v>0</v>
      </c>
      <c r="W653" s="214">
        <v>0</v>
      </c>
      <c r="X653" s="214">
        <v>0</v>
      </c>
      <c r="Y653" s="214">
        <v>0</v>
      </c>
      <c r="Z653" s="214">
        <v>0</v>
      </c>
      <c r="AA653" s="214">
        <v>0</v>
      </c>
      <c r="AB653" s="214">
        <v>0</v>
      </c>
      <c r="AC653" s="214">
        <v>0</v>
      </c>
      <c r="AD653" s="214"/>
      <c r="AE653" s="420">
        <v>0</v>
      </c>
      <c r="AF653" s="420">
        <v>0</v>
      </c>
      <c r="AG653" s="420">
        <v>0</v>
      </c>
      <c r="AH653" s="420"/>
      <c r="AI653" s="574">
        <f t="shared" si="16"/>
        <v>90</v>
      </c>
      <c r="AJ653" s="212"/>
    </row>
    <row r="654" spans="2:36" ht="14.4">
      <c r="B654" s="211"/>
      <c r="C654" s="213" t="s">
        <v>174</v>
      </c>
      <c r="D654" s="214">
        <v>0</v>
      </c>
      <c r="E654" s="214">
        <v>3787</v>
      </c>
      <c r="F654" s="214">
        <v>3787</v>
      </c>
      <c r="G654" s="214">
        <v>3787</v>
      </c>
      <c r="H654" s="214">
        <v>3787</v>
      </c>
      <c r="I654" s="214">
        <v>0</v>
      </c>
      <c r="J654" s="214">
        <v>0</v>
      </c>
      <c r="K654" s="214">
        <v>0</v>
      </c>
      <c r="L654" s="214">
        <v>0</v>
      </c>
      <c r="M654" s="214">
        <v>3787</v>
      </c>
      <c r="N654" s="214">
        <v>0</v>
      </c>
      <c r="O654" s="214">
        <v>3787</v>
      </c>
      <c r="P654" s="214">
        <v>3787</v>
      </c>
      <c r="Q654" s="214">
        <v>3790</v>
      </c>
      <c r="R654" s="214">
        <v>3787</v>
      </c>
      <c r="S654" s="214">
        <v>3787</v>
      </c>
      <c r="T654" s="214">
        <v>0</v>
      </c>
      <c r="U654" s="214">
        <v>0</v>
      </c>
      <c r="V654" s="214">
        <v>0</v>
      </c>
      <c r="W654" s="214">
        <v>0</v>
      </c>
      <c r="X654" s="214">
        <v>0</v>
      </c>
      <c r="Y654" s="214">
        <v>0</v>
      </c>
      <c r="Z654" s="214">
        <v>0</v>
      </c>
      <c r="AA654" s="214">
        <v>0</v>
      </c>
      <c r="AB654" s="214">
        <v>0</v>
      </c>
      <c r="AC654" s="214">
        <v>0</v>
      </c>
      <c r="AD654" s="214"/>
      <c r="AE654" s="420">
        <v>2237</v>
      </c>
      <c r="AF654" s="420">
        <v>0</v>
      </c>
      <c r="AG654" s="420">
        <v>0</v>
      </c>
      <c r="AH654" s="420"/>
      <c r="AI654" s="574">
        <f t="shared" si="16"/>
        <v>40110</v>
      </c>
      <c r="AJ654" s="212"/>
    </row>
    <row r="655" spans="2:36" ht="14.4">
      <c r="B655" s="211"/>
      <c r="C655" s="213" t="s">
        <v>53</v>
      </c>
      <c r="D655" s="214">
        <v>22287</v>
      </c>
      <c r="E655" s="214">
        <v>0</v>
      </c>
      <c r="F655" s="214">
        <v>0</v>
      </c>
      <c r="G655" s="214">
        <v>34617</v>
      </c>
      <c r="H655" s="214">
        <v>0</v>
      </c>
      <c r="I655" s="214">
        <v>0</v>
      </c>
      <c r="J655" s="214">
        <v>0</v>
      </c>
      <c r="K655" s="214">
        <v>0</v>
      </c>
      <c r="L655" s="214">
        <v>0</v>
      </c>
      <c r="M655" s="214">
        <v>0</v>
      </c>
      <c r="N655" s="214">
        <v>355</v>
      </c>
      <c r="O655" s="214">
        <v>0</v>
      </c>
      <c r="P655" s="214">
        <v>0</v>
      </c>
      <c r="Q655" s="214">
        <v>310</v>
      </c>
      <c r="R655" s="214">
        <v>0</v>
      </c>
      <c r="S655" s="214">
        <v>4500</v>
      </c>
      <c r="T655" s="214">
        <v>0</v>
      </c>
      <c r="U655" s="214">
        <v>0</v>
      </c>
      <c r="V655" s="214">
        <v>0</v>
      </c>
      <c r="W655" s="214">
        <v>0</v>
      </c>
      <c r="X655" s="214">
        <v>0</v>
      </c>
      <c r="Y655" s="214">
        <v>0</v>
      </c>
      <c r="Z655" s="214">
        <v>0</v>
      </c>
      <c r="AA655" s="214">
        <v>0</v>
      </c>
      <c r="AB655" s="214">
        <v>0</v>
      </c>
      <c r="AC655" s="214">
        <v>0</v>
      </c>
      <c r="AD655" s="214"/>
      <c r="AE655" s="420">
        <v>6000</v>
      </c>
      <c r="AF655" s="420">
        <v>0</v>
      </c>
      <c r="AG655" s="420">
        <v>0</v>
      </c>
      <c r="AH655" s="420"/>
      <c r="AI655" s="574">
        <f t="shared" si="16"/>
        <v>68069</v>
      </c>
      <c r="AJ655" s="212"/>
    </row>
    <row r="656" spans="2:36" ht="14.4">
      <c r="B656" s="211"/>
      <c r="C656" s="213" t="s">
        <v>191</v>
      </c>
      <c r="D656" s="214">
        <v>65345.5</v>
      </c>
      <c r="E656" s="214">
        <v>0</v>
      </c>
      <c r="F656" s="214">
        <v>729.07</v>
      </c>
      <c r="G656" s="214">
        <v>0</v>
      </c>
      <c r="H656" s="214">
        <v>0</v>
      </c>
      <c r="I656" s="214">
        <v>0</v>
      </c>
      <c r="J656" s="214">
        <v>0</v>
      </c>
      <c r="K656" s="214">
        <v>0</v>
      </c>
      <c r="L656" s="214">
        <v>0</v>
      </c>
      <c r="M656" s="214">
        <v>0</v>
      </c>
      <c r="N656" s="214">
        <v>0</v>
      </c>
      <c r="O656" s="214">
        <v>0</v>
      </c>
      <c r="P656" s="214">
        <v>0</v>
      </c>
      <c r="Q656" s="214">
        <v>0</v>
      </c>
      <c r="R656" s="214">
        <v>0</v>
      </c>
      <c r="S656" s="214">
        <v>0</v>
      </c>
      <c r="T656" s="214">
        <v>0</v>
      </c>
      <c r="U656" s="214">
        <v>0</v>
      </c>
      <c r="V656" s="214">
        <v>0</v>
      </c>
      <c r="W656" s="214">
        <v>0</v>
      </c>
      <c r="X656" s="214">
        <v>0</v>
      </c>
      <c r="Y656" s="214">
        <v>0</v>
      </c>
      <c r="Z656" s="214">
        <v>0</v>
      </c>
      <c r="AA656" s="214">
        <v>0</v>
      </c>
      <c r="AB656" s="214">
        <v>0</v>
      </c>
      <c r="AC656" s="214">
        <v>0</v>
      </c>
      <c r="AD656" s="214"/>
      <c r="AE656" s="420">
        <v>0</v>
      </c>
      <c r="AF656" s="420">
        <v>0</v>
      </c>
      <c r="AG656" s="420">
        <v>0</v>
      </c>
      <c r="AH656" s="420"/>
      <c r="AI656" s="574">
        <f t="shared" si="16"/>
        <v>66074.570000000007</v>
      </c>
      <c r="AJ656" s="212"/>
    </row>
    <row r="657" spans="2:36" ht="14.4">
      <c r="B657" s="211"/>
      <c r="C657" s="213" t="s">
        <v>29</v>
      </c>
      <c r="D657" s="214">
        <v>35</v>
      </c>
      <c r="E657" s="214">
        <v>0</v>
      </c>
      <c r="F657" s="214">
        <v>85</v>
      </c>
      <c r="G657" s="214">
        <v>100</v>
      </c>
      <c r="H657" s="214">
        <v>0</v>
      </c>
      <c r="I657" s="214">
        <v>0</v>
      </c>
      <c r="J657" s="214">
        <v>0</v>
      </c>
      <c r="K657" s="214">
        <v>0</v>
      </c>
      <c r="L657" s="214">
        <v>0</v>
      </c>
      <c r="M657" s="214">
        <v>0</v>
      </c>
      <c r="N657" s="214">
        <v>0</v>
      </c>
      <c r="O657" s="214">
        <v>0</v>
      </c>
      <c r="P657" s="214">
        <v>0</v>
      </c>
      <c r="Q657" s="214">
        <v>0</v>
      </c>
      <c r="R657" s="214">
        <v>0</v>
      </c>
      <c r="S657" s="214">
        <v>0</v>
      </c>
      <c r="T657" s="214">
        <v>0</v>
      </c>
      <c r="U657" s="214">
        <v>0</v>
      </c>
      <c r="V657" s="214">
        <v>0</v>
      </c>
      <c r="W657" s="214">
        <v>0</v>
      </c>
      <c r="X657" s="214">
        <v>0</v>
      </c>
      <c r="Y657" s="214">
        <v>0</v>
      </c>
      <c r="Z657" s="214">
        <v>0</v>
      </c>
      <c r="AA657" s="214">
        <v>0</v>
      </c>
      <c r="AB657" s="214">
        <v>0</v>
      </c>
      <c r="AC657" s="214">
        <v>0</v>
      </c>
      <c r="AD657" s="214"/>
      <c r="AE657" s="420">
        <v>0</v>
      </c>
      <c r="AF657" s="420">
        <v>0</v>
      </c>
      <c r="AG657" s="420">
        <v>0</v>
      </c>
      <c r="AH657" s="420"/>
      <c r="AI657" s="574">
        <f t="shared" si="16"/>
        <v>220</v>
      </c>
      <c r="AJ657" s="212"/>
    </row>
    <row r="658" spans="2:36" ht="14.4">
      <c r="B658" s="211"/>
      <c r="C658" s="213" t="s">
        <v>54</v>
      </c>
      <c r="D658" s="214">
        <v>0</v>
      </c>
      <c r="E658" s="214">
        <v>0</v>
      </c>
      <c r="F658" s="214">
        <v>0</v>
      </c>
      <c r="G658" s="214">
        <v>0</v>
      </c>
      <c r="H658" s="214">
        <v>0</v>
      </c>
      <c r="I658" s="214">
        <v>0</v>
      </c>
      <c r="J658" s="214">
        <v>0</v>
      </c>
      <c r="K658" s="214">
        <v>0</v>
      </c>
      <c r="L658" s="214">
        <v>0</v>
      </c>
      <c r="M658" s="214">
        <v>0</v>
      </c>
      <c r="N658" s="214">
        <v>0</v>
      </c>
      <c r="O658" s="214">
        <v>0</v>
      </c>
      <c r="P658" s="214">
        <v>0</v>
      </c>
      <c r="Q658" s="214">
        <v>0</v>
      </c>
      <c r="R658" s="214">
        <v>0</v>
      </c>
      <c r="S658" s="214">
        <v>0</v>
      </c>
      <c r="T658" s="214">
        <v>0</v>
      </c>
      <c r="U658" s="214">
        <v>0</v>
      </c>
      <c r="V658" s="214">
        <v>0</v>
      </c>
      <c r="W658" s="214">
        <v>0</v>
      </c>
      <c r="X658" s="214">
        <v>0</v>
      </c>
      <c r="Y658" s="214">
        <v>0</v>
      </c>
      <c r="Z658" s="214">
        <v>0</v>
      </c>
      <c r="AA658" s="214">
        <v>0</v>
      </c>
      <c r="AB658" s="214">
        <v>0</v>
      </c>
      <c r="AC658" s="214">
        <v>0</v>
      </c>
      <c r="AD658" s="214"/>
      <c r="AE658" s="420">
        <v>0</v>
      </c>
      <c r="AF658" s="420">
        <v>0</v>
      </c>
      <c r="AG658" s="420">
        <v>0</v>
      </c>
      <c r="AH658" s="420"/>
      <c r="AI658" s="574">
        <f t="shared" si="16"/>
        <v>0</v>
      </c>
      <c r="AJ658" s="212"/>
    </row>
    <row r="659" spans="2:36" ht="14.4">
      <c r="B659" s="211"/>
      <c r="C659" s="213" t="s">
        <v>31</v>
      </c>
      <c r="D659" s="214">
        <v>550</v>
      </c>
      <c r="E659" s="214">
        <v>251.06</v>
      </c>
      <c r="F659" s="214">
        <v>200</v>
      </c>
      <c r="G659" s="214">
        <v>620</v>
      </c>
      <c r="H659" s="214">
        <v>330</v>
      </c>
      <c r="I659" s="214">
        <v>0</v>
      </c>
      <c r="J659" s="214">
        <v>0</v>
      </c>
      <c r="K659" s="214">
        <v>0</v>
      </c>
      <c r="L659" s="214">
        <v>0</v>
      </c>
      <c r="M659" s="214">
        <v>189</v>
      </c>
      <c r="N659" s="214">
        <v>0</v>
      </c>
      <c r="O659" s="214">
        <v>303</v>
      </c>
      <c r="P659" s="214">
        <v>85</v>
      </c>
      <c r="Q659" s="214">
        <v>965</v>
      </c>
      <c r="R659" s="214">
        <v>295</v>
      </c>
      <c r="S659" s="214">
        <v>190</v>
      </c>
      <c r="T659" s="214">
        <v>0</v>
      </c>
      <c r="U659" s="214">
        <v>0</v>
      </c>
      <c r="V659" s="214">
        <v>0</v>
      </c>
      <c r="W659" s="214">
        <v>0</v>
      </c>
      <c r="X659" s="214">
        <v>0</v>
      </c>
      <c r="Y659" s="214">
        <v>0</v>
      </c>
      <c r="Z659" s="214">
        <v>0</v>
      </c>
      <c r="AA659" s="214">
        <v>0</v>
      </c>
      <c r="AB659" s="214">
        <v>0</v>
      </c>
      <c r="AC659" s="214">
        <v>0</v>
      </c>
      <c r="AD659" s="214"/>
      <c r="AE659" s="420">
        <v>695</v>
      </c>
      <c r="AF659" s="420">
        <v>0</v>
      </c>
      <c r="AG659" s="420">
        <v>0</v>
      </c>
      <c r="AH659" s="420"/>
      <c r="AI659" s="574">
        <f t="shared" si="16"/>
        <v>4673.0599999999995</v>
      </c>
      <c r="AJ659" s="212"/>
    </row>
    <row r="660" spans="2:36" ht="14.4">
      <c r="B660" s="211"/>
      <c r="C660" s="213" t="s">
        <v>55</v>
      </c>
      <c r="D660" s="214">
        <v>0</v>
      </c>
      <c r="E660" s="214">
        <v>75</v>
      </c>
      <c r="F660" s="214">
        <v>0</v>
      </c>
      <c r="G660" s="214">
        <v>80</v>
      </c>
      <c r="H660" s="214">
        <v>0</v>
      </c>
      <c r="I660" s="214">
        <v>0</v>
      </c>
      <c r="J660" s="214">
        <v>0</v>
      </c>
      <c r="K660" s="214">
        <v>0</v>
      </c>
      <c r="L660" s="214">
        <v>0</v>
      </c>
      <c r="M660" s="214">
        <v>0</v>
      </c>
      <c r="N660" s="214">
        <v>0</v>
      </c>
      <c r="O660" s="214">
        <v>0</v>
      </c>
      <c r="P660" s="214">
        <v>100</v>
      </c>
      <c r="Q660" s="214">
        <v>0</v>
      </c>
      <c r="R660" s="214">
        <v>0</v>
      </c>
      <c r="S660" s="214">
        <v>0</v>
      </c>
      <c r="T660" s="214">
        <v>0</v>
      </c>
      <c r="U660" s="214">
        <v>0</v>
      </c>
      <c r="V660" s="214">
        <v>0</v>
      </c>
      <c r="W660" s="214">
        <v>0</v>
      </c>
      <c r="X660" s="214">
        <v>0</v>
      </c>
      <c r="Y660" s="214">
        <v>0</v>
      </c>
      <c r="Z660" s="214">
        <v>0</v>
      </c>
      <c r="AA660" s="214">
        <v>0</v>
      </c>
      <c r="AB660" s="214">
        <v>0</v>
      </c>
      <c r="AC660" s="214">
        <v>0</v>
      </c>
      <c r="AD660" s="214"/>
      <c r="AE660" s="420">
        <v>0</v>
      </c>
      <c r="AF660" s="420">
        <v>0</v>
      </c>
      <c r="AG660" s="420">
        <v>0</v>
      </c>
      <c r="AH660" s="420"/>
      <c r="AI660" s="574">
        <f t="shared" si="16"/>
        <v>255</v>
      </c>
      <c r="AJ660" s="212"/>
    </row>
    <row r="661" spans="2:36" ht="14.4">
      <c r="B661" s="211"/>
      <c r="C661" s="213" t="s">
        <v>56</v>
      </c>
      <c r="D661" s="214">
        <v>393.97</v>
      </c>
      <c r="E661" s="214">
        <v>217.24</v>
      </c>
      <c r="F661" s="214">
        <v>217.24</v>
      </c>
      <c r="G661" s="214">
        <v>139.91</v>
      </c>
      <c r="H661" s="214">
        <v>95.73</v>
      </c>
      <c r="I661" s="214">
        <v>0</v>
      </c>
      <c r="J661" s="214">
        <v>0</v>
      </c>
      <c r="K661" s="214">
        <v>0</v>
      </c>
      <c r="L661" s="214">
        <v>0</v>
      </c>
      <c r="M661" s="214">
        <v>0</v>
      </c>
      <c r="N661" s="214">
        <v>0</v>
      </c>
      <c r="O661" s="214">
        <v>69.959999999999994</v>
      </c>
      <c r="P661" s="214">
        <v>0</v>
      </c>
      <c r="Q661" s="214">
        <v>209.87</v>
      </c>
      <c r="R661" s="214">
        <v>0</v>
      </c>
      <c r="S661" s="214">
        <v>0</v>
      </c>
      <c r="T661" s="214">
        <v>0</v>
      </c>
      <c r="U661" s="214">
        <v>0</v>
      </c>
      <c r="V661" s="214">
        <v>0</v>
      </c>
      <c r="W661" s="214">
        <v>0</v>
      </c>
      <c r="X661" s="214">
        <v>0</v>
      </c>
      <c r="Y661" s="214">
        <v>0</v>
      </c>
      <c r="Z661" s="214">
        <v>0</v>
      </c>
      <c r="AA661" s="214">
        <v>0</v>
      </c>
      <c r="AB661" s="214">
        <v>0</v>
      </c>
      <c r="AC661" s="214">
        <v>0</v>
      </c>
      <c r="AD661" s="214"/>
      <c r="AE661" s="420">
        <v>0</v>
      </c>
      <c r="AF661" s="420">
        <v>0</v>
      </c>
      <c r="AG661" s="420">
        <v>0</v>
      </c>
      <c r="AH661" s="420"/>
      <c r="AI661" s="574">
        <f t="shared" si="16"/>
        <v>1343.92</v>
      </c>
      <c r="AJ661" s="212"/>
    </row>
    <row r="662" spans="2:36" ht="14.4">
      <c r="B662" s="211"/>
      <c r="C662" s="213" t="s">
        <v>57</v>
      </c>
      <c r="D662" s="214">
        <v>2100</v>
      </c>
      <c r="E662" s="214">
        <v>300</v>
      </c>
      <c r="F662" s="214">
        <v>600</v>
      </c>
      <c r="G662" s="214">
        <v>300</v>
      </c>
      <c r="H662" s="214">
        <v>300</v>
      </c>
      <c r="I662" s="214">
        <v>0</v>
      </c>
      <c r="J662" s="214">
        <v>0</v>
      </c>
      <c r="K662" s="214">
        <v>0</v>
      </c>
      <c r="L662" s="214">
        <v>0</v>
      </c>
      <c r="M662" s="214">
        <v>0</v>
      </c>
      <c r="N662" s="214">
        <v>0</v>
      </c>
      <c r="O662" s="214">
        <v>150</v>
      </c>
      <c r="P662" s="214">
        <v>300</v>
      </c>
      <c r="Q662" s="214">
        <v>600</v>
      </c>
      <c r="R662" s="214">
        <v>350</v>
      </c>
      <c r="S662" s="214">
        <v>150</v>
      </c>
      <c r="T662" s="214">
        <v>0</v>
      </c>
      <c r="U662" s="214">
        <v>0</v>
      </c>
      <c r="V662" s="214">
        <v>0</v>
      </c>
      <c r="W662" s="214">
        <v>0</v>
      </c>
      <c r="X662" s="214">
        <v>0</v>
      </c>
      <c r="Y662" s="214">
        <v>0</v>
      </c>
      <c r="Z662" s="214">
        <v>0</v>
      </c>
      <c r="AA662" s="214">
        <v>0</v>
      </c>
      <c r="AB662" s="214">
        <v>0</v>
      </c>
      <c r="AC662" s="214">
        <v>0</v>
      </c>
      <c r="AD662" s="214"/>
      <c r="AE662" s="420">
        <v>0</v>
      </c>
      <c r="AF662" s="420">
        <v>0</v>
      </c>
      <c r="AG662" s="420">
        <v>0</v>
      </c>
      <c r="AH662" s="420"/>
      <c r="AI662" s="574">
        <f t="shared" si="16"/>
        <v>5150</v>
      </c>
      <c r="AJ662" s="212"/>
    </row>
    <row r="663" spans="2:36" ht="14.4">
      <c r="B663" s="211"/>
      <c r="C663" s="213" t="s">
        <v>58</v>
      </c>
      <c r="D663" s="214">
        <v>0</v>
      </c>
      <c r="E663" s="214">
        <v>0</v>
      </c>
      <c r="F663" s="214">
        <v>70</v>
      </c>
      <c r="G663" s="214">
        <v>0</v>
      </c>
      <c r="H663" s="214">
        <v>0</v>
      </c>
      <c r="I663" s="214">
        <v>0</v>
      </c>
      <c r="J663" s="214">
        <v>0</v>
      </c>
      <c r="K663" s="214">
        <v>0</v>
      </c>
      <c r="L663" s="214">
        <v>0</v>
      </c>
      <c r="M663" s="214">
        <v>0</v>
      </c>
      <c r="N663" s="214">
        <v>0</v>
      </c>
      <c r="O663" s="214">
        <v>760</v>
      </c>
      <c r="P663" s="214">
        <v>0</v>
      </c>
      <c r="Q663" s="214">
        <v>0</v>
      </c>
      <c r="R663" s="214">
        <v>0</v>
      </c>
      <c r="S663" s="214">
        <v>0</v>
      </c>
      <c r="T663" s="214">
        <v>0</v>
      </c>
      <c r="U663" s="214">
        <v>0</v>
      </c>
      <c r="V663" s="214">
        <v>0</v>
      </c>
      <c r="W663" s="214">
        <v>0</v>
      </c>
      <c r="X663" s="214">
        <v>0</v>
      </c>
      <c r="Y663" s="214">
        <v>0</v>
      </c>
      <c r="Z663" s="214">
        <v>0</v>
      </c>
      <c r="AA663" s="214">
        <v>0</v>
      </c>
      <c r="AB663" s="214">
        <v>0</v>
      </c>
      <c r="AC663" s="214">
        <v>0</v>
      </c>
      <c r="AD663" s="214"/>
      <c r="AE663" s="420">
        <v>760</v>
      </c>
      <c r="AF663" s="420">
        <v>0</v>
      </c>
      <c r="AG663" s="420">
        <v>0</v>
      </c>
      <c r="AH663" s="420"/>
      <c r="AI663" s="574">
        <f t="shared" si="16"/>
        <v>1590</v>
      </c>
      <c r="AJ663" s="212"/>
    </row>
    <row r="664" spans="2:36" ht="14.4">
      <c r="B664" s="211"/>
      <c r="C664" s="213" t="s">
        <v>59</v>
      </c>
      <c r="D664" s="214">
        <v>0</v>
      </c>
      <c r="E664" s="214">
        <v>0</v>
      </c>
      <c r="F664" s="214">
        <v>0</v>
      </c>
      <c r="G664" s="214">
        <v>0</v>
      </c>
      <c r="H664" s="214">
        <v>0</v>
      </c>
      <c r="I664" s="214">
        <v>0</v>
      </c>
      <c r="J664" s="214">
        <v>0</v>
      </c>
      <c r="K664" s="214">
        <v>0</v>
      </c>
      <c r="L664" s="214">
        <v>0</v>
      </c>
      <c r="M664" s="214">
        <v>0</v>
      </c>
      <c r="N664" s="214">
        <v>0</v>
      </c>
      <c r="O664" s="214">
        <v>0</v>
      </c>
      <c r="P664" s="214">
        <v>0</v>
      </c>
      <c r="Q664" s="214">
        <v>300</v>
      </c>
      <c r="R664" s="214">
        <v>0</v>
      </c>
      <c r="S664" s="214">
        <v>0</v>
      </c>
      <c r="T664" s="214">
        <v>0</v>
      </c>
      <c r="U664" s="214">
        <v>0</v>
      </c>
      <c r="V664" s="214">
        <v>0</v>
      </c>
      <c r="W664" s="214">
        <v>0</v>
      </c>
      <c r="X664" s="214">
        <v>0</v>
      </c>
      <c r="Y664" s="214">
        <v>0</v>
      </c>
      <c r="Z664" s="214">
        <v>0</v>
      </c>
      <c r="AA664" s="214">
        <v>0</v>
      </c>
      <c r="AB664" s="214">
        <v>0</v>
      </c>
      <c r="AC664" s="214">
        <v>0</v>
      </c>
      <c r="AD664" s="214"/>
      <c r="AE664" s="420">
        <v>0</v>
      </c>
      <c r="AF664" s="420">
        <v>0</v>
      </c>
      <c r="AG664" s="420">
        <v>0</v>
      </c>
      <c r="AH664" s="420"/>
      <c r="AI664" s="574">
        <f t="shared" si="16"/>
        <v>300</v>
      </c>
      <c r="AJ664" s="212"/>
    </row>
    <row r="665" spans="2:36" ht="14.4">
      <c r="B665" s="211"/>
      <c r="C665" s="213" t="s">
        <v>60</v>
      </c>
      <c r="D665" s="214">
        <v>0</v>
      </c>
      <c r="E665" s="214">
        <v>0</v>
      </c>
      <c r="F665" s="214">
        <v>0</v>
      </c>
      <c r="G665" s="214">
        <v>0</v>
      </c>
      <c r="H665" s="214">
        <v>0</v>
      </c>
      <c r="I665" s="214">
        <v>0</v>
      </c>
      <c r="J665" s="214">
        <v>0</v>
      </c>
      <c r="K665" s="214">
        <v>0</v>
      </c>
      <c r="L665" s="214">
        <v>0</v>
      </c>
      <c r="M665" s="214">
        <v>0</v>
      </c>
      <c r="N665" s="214">
        <v>0</v>
      </c>
      <c r="O665" s="214">
        <v>0</v>
      </c>
      <c r="P665" s="214">
        <v>0</v>
      </c>
      <c r="Q665" s="214">
        <v>0</v>
      </c>
      <c r="R665" s="214">
        <v>0</v>
      </c>
      <c r="S665" s="214">
        <v>0</v>
      </c>
      <c r="T665" s="214">
        <v>0</v>
      </c>
      <c r="U665" s="214">
        <v>0</v>
      </c>
      <c r="V665" s="214">
        <v>0</v>
      </c>
      <c r="W665" s="214">
        <v>0</v>
      </c>
      <c r="X665" s="214">
        <v>0</v>
      </c>
      <c r="Y665" s="214">
        <v>0</v>
      </c>
      <c r="Z665" s="214">
        <v>0</v>
      </c>
      <c r="AA665" s="214">
        <v>0</v>
      </c>
      <c r="AB665" s="214">
        <v>0</v>
      </c>
      <c r="AC665" s="214">
        <v>0</v>
      </c>
      <c r="AD665" s="214"/>
      <c r="AE665" s="420">
        <v>0</v>
      </c>
      <c r="AF665" s="420">
        <v>0</v>
      </c>
      <c r="AG665" s="420">
        <v>0</v>
      </c>
      <c r="AH665" s="420"/>
      <c r="AI665" s="574">
        <f t="shared" si="16"/>
        <v>0</v>
      </c>
      <c r="AJ665" s="212"/>
    </row>
    <row r="666" spans="2:36" ht="14.4">
      <c r="B666" s="211"/>
      <c r="C666" s="213" t="s">
        <v>61</v>
      </c>
      <c r="D666" s="214">
        <v>2200</v>
      </c>
      <c r="E666" s="214">
        <v>4000</v>
      </c>
      <c r="F666" s="214">
        <v>0</v>
      </c>
      <c r="G666" s="214">
        <v>200</v>
      </c>
      <c r="H666" s="214">
        <v>225</v>
      </c>
      <c r="I666" s="214">
        <v>400</v>
      </c>
      <c r="J666" s="214">
        <v>0</v>
      </c>
      <c r="K666" s="214">
        <v>0</v>
      </c>
      <c r="L666" s="214">
        <v>0</v>
      </c>
      <c r="M666" s="214">
        <v>400</v>
      </c>
      <c r="N666" s="214">
        <v>0</v>
      </c>
      <c r="O666" s="214">
        <v>0</v>
      </c>
      <c r="P666" s="214">
        <v>0</v>
      </c>
      <c r="Q666" s="214">
        <v>1700</v>
      </c>
      <c r="R666" s="214">
        <v>1785</v>
      </c>
      <c r="S666" s="214">
        <v>0</v>
      </c>
      <c r="T666" s="214">
        <v>0</v>
      </c>
      <c r="U666" s="214">
        <v>0</v>
      </c>
      <c r="V666" s="214">
        <v>0</v>
      </c>
      <c r="W666" s="214">
        <v>0</v>
      </c>
      <c r="X666" s="214">
        <v>0</v>
      </c>
      <c r="Y666" s="214">
        <v>0</v>
      </c>
      <c r="Z666" s="214">
        <v>0</v>
      </c>
      <c r="AA666" s="214">
        <v>0</v>
      </c>
      <c r="AB666" s="214">
        <v>0</v>
      </c>
      <c r="AC666" s="214">
        <v>0</v>
      </c>
      <c r="AD666" s="214"/>
      <c r="AE666" s="420">
        <v>1640</v>
      </c>
      <c r="AF666" s="420">
        <v>0</v>
      </c>
      <c r="AG666" s="420">
        <v>0</v>
      </c>
      <c r="AH666" s="420"/>
      <c r="AI666" s="574">
        <f t="shared" si="16"/>
        <v>12550</v>
      </c>
      <c r="AJ666" s="212"/>
    </row>
    <row r="667" spans="2:36" ht="14.4">
      <c r="B667" s="211"/>
      <c r="C667" s="213" t="s">
        <v>62</v>
      </c>
      <c r="D667" s="214">
        <v>50760</v>
      </c>
      <c r="E667" s="214">
        <v>4800</v>
      </c>
      <c r="F667" s="214">
        <v>0</v>
      </c>
      <c r="G667" s="214">
        <v>0</v>
      </c>
      <c r="H667" s="214">
        <v>0</v>
      </c>
      <c r="I667" s="214">
        <v>0</v>
      </c>
      <c r="J667" s="214">
        <v>0</v>
      </c>
      <c r="K667" s="214">
        <v>0</v>
      </c>
      <c r="L667" s="214">
        <v>0</v>
      </c>
      <c r="M667" s="214">
        <v>0</v>
      </c>
      <c r="N667" s="214">
        <v>0</v>
      </c>
      <c r="O667" s="214">
        <v>0</v>
      </c>
      <c r="P667" s="214">
        <v>0</v>
      </c>
      <c r="Q667" s="214">
        <v>0</v>
      </c>
      <c r="R667" s="214">
        <v>0</v>
      </c>
      <c r="S667" s="214">
        <v>0</v>
      </c>
      <c r="T667" s="214">
        <v>0</v>
      </c>
      <c r="U667" s="214">
        <v>0</v>
      </c>
      <c r="V667" s="214">
        <v>0</v>
      </c>
      <c r="W667" s="214">
        <v>0</v>
      </c>
      <c r="X667" s="214">
        <v>0</v>
      </c>
      <c r="Y667" s="214">
        <v>0</v>
      </c>
      <c r="Z667" s="214">
        <v>0</v>
      </c>
      <c r="AA667" s="214">
        <v>0</v>
      </c>
      <c r="AB667" s="214">
        <v>0</v>
      </c>
      <c r="AC667" s="214">
        <v>0</v>
      </c>
      <c r="AD667" s="214"/>
      <c r="AE667" s="420">
        <v>0</v>
      </c>
      <c r="AF667" s="420">
        <v>0</v>
      </c>
      <c r="AG667" s="420">
        <v>0</v>
      </c>
      <c r="AH667" s="420"/>
      <c r="AI667" s="574">
        <f t="shared" si="16"/>
        <v>55560</v>
      </c>
      <c r="AJ667" s="212"/>
    </row>
    <row r="668" spans="2:36" ht="14.4">
      <c r="B668" s="211"/>
      <c r="C668" s="213" t="s">
        <v>63</v>
      </c>
      <c r="D668" s="214">
        <v>0</v>
      </c>
      <c r="E668" s="214">
        <v>124.69</v>
      </c>
      <c r="F668" s="214">
        <v>0</v>
      </c>
      <c r="G668" s="214">
        <v>0</v>
      </c>
      <c r="H668" s="214">
        <v>0</v>
      </c>
      <c r="I668" s="214">
        <v>0</v>
      </c>
      <c r="J668" s="214">
        <v>0</v>
      </c>
      <c r="K668" s="214">
        <v>0</v>
      </c>
      <c r="L668" s="214">
        <v>0</v>
      </c>
      <c r="M668" s="214">
        <v>0</v>
      </c>
      <c r="N668" s="214">
        <v>0</v>
      </c>
      <c r="O668" s="214">
        <v>0</v>
      </c>
      <c r="P668" s="214">
        <v>0</v>
      </c>
      <c r="Q668" s="214">
        <v>0</v>
      </c>
      <c r="R668" s="214">
        <v>0</v>
      </c>
      <c r="S668" s="214">
        <v>0</v>
      </c>
      <c r="T668" s="214">
        <v>0</v>
      </c>
      <c r="U668" s="214">
        <v>0</v>
      </c>
      <c r="V668" s="214">
        <v>0</v>
      </c>
      <c r="W668" s="214">
        <v>0</v>
      </c>
      <c r="X668" s="214">
        <v>0</v>
      </c>
      <c r="Y668" s="214">
        <v>0</v>
      </c>
      <c r="Z668" s="214">
        <v>0</v>
      </c>
      <c r="AA668" s="214">
        <v>0</v>
      </c>
      <c r="AB668" s="214">
        <v>0</v>
      </c>
      <c r="AC668" s="214">
        <v>0</v>
      </c>
      <c r="AD668" s="214"/>
      <c r="AE668" s="420">
        <v>0</v>
      </c>
      <c r="AF668" s="420">
        <v>0</v>
      </c>
      <c r="AG668" s="420">
        <v>0</v>
      </c>
      <c r="AH668" s="420"/>
      <c r="AI668" s="574">
        <f t="shared" si="16"/>
        <v>124.69</v>
      </c>
      <c r="AJ668" s="212"/>
    </row>
    <row r="669" spans="2:36" ht="14.4">
      <c r="B669" s="211"/>
      <c r="C669" s="213" t="s">
        <v>64</v>
      </c>
      <c r="D669" s="214">
        <v>0</v>
      </c>
      <c r="E669" s="214">
        <v>17100</v>
      </c>
      <c r="F669" s="214">
        <v>15500</v>
      </c>
      <c r="G669" s="214">
        <v>9600</v>
      </c>
      <c r="H669" s="214">
        <v>20470</v>
      </c>
      <c r="I669" s="214">
        <v>0</v>
      </c>
      <c r="J669" s="214">
        <v>0</v>
      </c>
      <c r="K669" s="214">
        <v>0</v>
      </c>
      <c r="L669" s="214">
        <v>0</v>
      </c>
      <c r="M669" s="214">
        <v>4900</v>
      </c>
      <c r="N669" s="214">
        <v>0</v>
      </c>
      <c r="O669" s="214">
        <v>10300</v>
      </c>
      <c r="P669" s="214">
        <v>5600</v>
      </c>
      <c r="Q669" s="214">
        <v>15900</v>
      </c>
      <c r="R669" s="214">
        <v>2100</v>
      </c>
      <c r="S669" s="214">
        <v>7000</v>
      </c>
      <c r="T669" s="214">
        <v>4000</v>
      </c>
      <c r="U669" s="214">
        <v>0</v>
      </c>
      <c r="V669" s="214">
        <v>0</v>
      </c>
      <c r="W669" s="214">
        <v>0</v>
      </c>
      <c r="X669" s="214">
        <v>0</v>
      </c>
      <c r="Y669" s="214">
        <v>0</v>
      </c>
      <c r="Z669" s="214">
        <v>0</v>
      </c>
      <c r="AA669" s="214">
        <v>0</v>
      </c>
      <c r="AB669" s="214">
        <v>0</v>
      </c>
      <c r="AC669" s="214">
        <v>0</v>
      </c>
      <c r="AD669" s="214"/>
      <c r="AE669" s="420">
        <v>6800</v>
      </c>
      <c r="AF669" s="420">
        <v>0</v>
      </c>
      <c r="AG669" s="420">
        <v>0</v>
      </c>
      <c r="AH669" s="420"/>
      <c r="AI669" s="574">
        <f t="shared" si="16"/>
        <v>119270</v>
      </c>
      <c r="AJ669" s="212"/>
    </row>
    <row r="670" spans="2:36" ht="14.4">
      <c r="B670" s="211"/>
      <c r="C670" s="213" t="s">
        <v>28</v>
      </c>
      <c r="D670" s="214">
        <v>17910</v>
      </c>
      <c r="E670" s="214">
        <v>0</v>
      </c>
      <c r="F670" s="214">
        <v>0</v>
      </c>
      <c r="G670" s="214">
        <v>0</v>
      </c>
      <c r="H670" s="214">
        <v>0</v>
      </c>
      <c r="I670" s="214">
        <v>0</v>
      </c>
      <c r="J670" s="214">
        <v>0</v>
      </c>
      <c r="K670" s="214">
        <v>0</v>
      </c>
      <c r="L670" s="214">
        <v>0</v>
      </c>
      <c r="M670" s="214">
        <v>0</v>
      </c>
      <c r="N670" s="214">
        <v>0</v>
      </c>
      <c r="O670" s="214">
        <v>0</v>
      </c>
      <c r="P670" s="214">
        <v>0</v>
      </c>
      <c r="Q670" s="214">
        <v>0</v>
      </c>
      <c r="R670" s="214">
        <v>0</v>
      </c>
      <c r="S670" s="214">
        <v>0</v>
      </c>
      <c r="T670" s="214">
        <v>0</v>
      </c>
      <c r="U670" s="214">
        <v>0</v>
      </c>
      <c r="V670" s="214">
        <v>0</v>
      </c>
      <c r="W670" s="214">
        <v>0</v>
      </c>
      <c r="X670" s="214">
        <v>0</v>
      </c>
      <c r="Y670" s="214">
        <v>0</v>
      </c>
      <c r="Z670" s="214">
        <v>0</v>
      </c>
      <c r="AA670" s="214">
        <v>0</v>
      </c>
      <c r="AB670" s="214">
        <v>0</v>
      </c>
      <c r="AC670" s="214">
        <v>0</v>
      </c>
      <c r="AD670" s="214"/>
      <c r="AE670" s="420">
        <v>0</v>
      </c>
      <c r="AF670" s="420">
        <v>0</v>
      </c>
      <c r="AG670" s="420">
        <v>0</v>
      </c>
      <c r="AH670" s="420"/>
      <c r="AI670" s="574">
        <f t="shared" si="16"/>
        <v>17910</v>
      </c>
      <c r="AJ670" s="212"/>
    </row>
    <row r="671" spans="2:36" ht="14.4">
      <c r="B671" s="211"/>
      <c r="C671" s="213" t="s">
        <v>157</v>
      </c>
      <c r="D671" s="214">
        <v>185.02</v>
      </c>
      <c r="E671" s="214">
        <v>1050.32</v>
      </c>
      <c r="F671" s="214">
        <v>887.86</v>
      </c>
      <c r="G671" s="214">
        <v>808.01</v>
      </c>
      <c r="H671" s="214">
        <v>0</v>
      </c>
      <c r="I671" s="214">
        <v>0</v>
      </c>
      <c r="J671" s="214">
        <v>0</v>
      </c>
      <c r="K671" s="214">
        <v>0</v>
      </c>
      <c r="L671" s="214">
        <v>0</v>
      </c>
      <c r="M671" s="214">
        <v>0</v>
      </c>
      <c r="N671" s="214">
        <v>0</v>
      </c>
      <c r="O671" s="214">
        <v>0</v>
      </c>
      <c r="P671" s="214">
        <v>0</v>
      </c>
      <c r="Q671" s="214">
        <v>577.69000000000005</v>
      </c>
      <c r="R671" s="214">
        <v>0</v>
      </c>
      <c r="S671" s="214">
        <v>0</v>
      </c>
      <c r="T671" s="214">
        <v>0</v>
      </c>
      <c r="U671" s="214">
        <v>0</v>
      </c>
      <c r="V671" s="214">
        <v>0</v>
      </c>
      <c r="W671" s="214">
        <v>0</v>
      </c>
      <c r="X671" s="214">
        <v>0</v>
      </c>
      <c r="Y671" s="214">
        <v>0</v>
      </c>
      <c r="Z671" s="214">
        <v>0</v>
      </c>
      <c r="AA671" s="214">
        <v>0</v>
      </c>
      <c r="AB671" s="214">
        <v>0</v>
      </c>
      <c r="AC671" s="214">
        <v>0</v>
      </c>
      <c r="AD671" s="214"/>
      <c r="AE671" s="420">
        <v>143.91999999999999</v>
      </c>
      <c r="AF671" s="420">
        <v>0</v>
      </c>
      <c r="AG671" s="420">
        <v>0</v>
      </c>
      <c r="AH671" s="420"/>
      <c r="AI671" s="574">
        <f t="shared" si="16"/>
        <v>3652.82</v>
      </c>
      <c r="AJ671" s="212"/>
    </row>
    <row r="672" spans="2:36" ht="14.4">
      <c r="B672" s="211"/>
      <c r="C672" s="213" t="s">
        <v>65</v>
      </c>
      <c r="D672" s="214">
        <v>8000</v>
      </c>
      <c r="E672" s="214">
        <v>0</v>
      </c>
      <c r="F672" s="214">
        <v>0</v>
      </c>
      <c r="G672" s="214">
        <v>0</v>
      </c>
      <c r="H672" s="214">
        <v>0</v>
      </c>
      <c r="I672" s="214">
        <v>0</v>
      </c>
      <c r="J672" s="214">
        <v>0</v>
      </c>
      <c r="K672" s="214">
        <v>0</v>
      </c>
      <c r="L672" s="214">
        <v>0</v>
      </c>
      <c r="M672" s="214">
        <v>0</v>
      </c>
      <c r="N672" s="214">
        <v>0</v>
      </c>
      <c r="O672" s="214">
        <v>0</v>
      </c>
      <c r="P672" s="214">
        <v>0</v>
      </c>
      <c r="Q672" s="214">
        <v>0</v>
      </c>
      <c r="R672" s="214">
        <v>0</v>
      </c>
      <c r="S672" s="214">
        <v>0</v>
      </c>
      <c r="T672" s="214">
        <v>0</v>
      </c>
      <c r="U672" s="214">
        <v>0</v>
      </c>
      <c r="V672" s="214">
        <v>0</v>
      </c>
      <c r="W672" s="214">
        <v>0</v>
      </c>
      <c r="X672" s="214">
        <v>0</v>
      </c>
      <c r="Y672" s="214">
        <v>0</v>
      </c>
      <c r="Z672" s="214">
        <v>0</v>
      </c>
      <c r="AA672" s="214">
        <v>0</v>
      </c>
      <c r="AB672" s="214">
        <v>0</v>
      </c>
      <c r="AC672" s="214">
        <v>0</v>
      </c>
      <c r="AD672" s="214"/>
      <c r="AE672" s="420">
        <v>0</v>
      </c>
      <c r="AF672" s="420">
        <v>0</v>
      </c>
      <c r="AG672" s="420">
        <v>0</v>
      </c>
      <c r="AH672" s="420"/>
      <c r="AI672" s="574">
        <f t="shared" si="16"/>
        <v>8000</v>
      </c>
      <c r="AJ672" s="212"/>
    </row>
    <row r="673" spans="2:36" ht="14.4">
      <c r="B673" s="211"/>
      <c r="C673" s="213" t="s">
        <v>66</v>
      </c>
      <c r="D673" s="214">
        <v>0</v>
      </c>
      <c r="E673" s="214">
        <v>0</v>
      </c>
      <c r="F673" s="214">
        <v>0</v>
      </c>
      <c r="G673" s="214">
        <v>0</v>
      </c>
      <c r="H673" s="214">
        <v>0</v>
      </c>
      <c r="I673" s="214">
        <v>0</v>
      </c>
      <c r="J673" s="214">
        <v>0</v>
      </c>
      <c r="K673" s="214">
        <v>0</v>
      </c>
      <c r="L673" s="214">
        <v>0</v>
      </c>
      <c r="M673" s="214">
        <v>0</v>
      </c>
      <c r="N673" s="214">
        <v>0</v>
      </c>
      <c r="O673" s="214">
        <v>0</v>
      </c>
      <c r="P673" s="214">
        <v>0</v>
      </c>
      <c r="Q673" s="214">
        <v>0</v>
      </c>
      <c r="R673" s="214">
        <v>0</v>
      </c>
      <c r="S673" s="214">
        <v>0</v>
      </c>
      <c r="T673" s="214">
        <v>0</v>
      </c>
      <c r="U673" s="214">
        <v>0</v>
      </c>
      <c r="V673" s="214">
        <v>0</v>
      </c>
      <c r="W673" s="214">
        <v>0</v>
      </c>
      <c r="X673" s="214">
        <v>0</v>
      </c>
      <c r="Y673" s="214">
        <v>0</v>
      </c>
      <c r="Z673" s="214">
        <v>0</v>
      </c>
      <c r="AA673" s="214">
        <v>0</v>
      </c>
      <c r="AB673" s="214">
        <v>0</v>
      </c>
      <c r="AC673" s="214">
        <v>0</v>
      </c>
      <c r="AD673" s="214"/>
      <c r="AE673" s="420">
        <v>0</v>
      </c>
      <c r="AF673" s="420">
        <v>0</v>
      </c>
      <c r="AG673" s="420">
        <v>0</v>
      </c>
      <c r="AH673" s="420"/>
      <c r="AI673" s="574">
        <f t="shared" si="16"/>
        <v>0</v>
      </c>
      <c r="AJ673" s="212"/>
    </row>
    <row r="674" spans="2:36" ht="14.4">
      <c r="B674" s="211"/>
      <c r="C674" s="213" t="s">
        <v>30</v>
      </c>
      <c r="D674" s="214">
        <v>15955.7</v>
      </c>
      <c r="E674" s="214">
        <v>7477.5</v>
      </c>
      <c r="F674" s="214">
        <v>7777.5</v>
      </c>
      <c r="G674" s="214">
        <v>5115.0600000000004</v>
      </c>
      <c r="H674" s="214">
        <v>7555.58</v>
      </c>
      <c r="I674" s="214">
        <v>0</v>
      </c>
      <c r="J674" s="214">
        <v>700.25</v>
      </c>
      <c r="K674" s="214">
        <v>0</v>
      </c>
      <c r="L674" s="214">
        <v>0</v>
      </c>
      <c r="M674" s="214">
        <v>3747.5</v>
      </c>
      <c r="N674" s="214">
        <v>722.75</v>
      </c>
      <c r="O674" s="214">
        <v>5000.5</v>
      </c>
      <c r="P674" s="214">
        <v>7808.15</v>
      </c>
      <c r="Q674" s="214">
        <v>8888.75</v>
      </c>
      <c r="R674" s="214">
        <v>1965.75</v>
      </c>
      <c r="S674" s="214">
        <v>2457.5</v>
      </c>
      <c r="T674" s="214">
        <v>0</v>
      </c>
      <c r="U674" s="214">
        <v>800.25</v>
      </c>
      <c r="V674" s="214">
        <v>1900.5</v>
      </c>
      <c r="W674" s="214">
        <v>2200.5</v>
      </c>
      <c r="X674" s="214">
        <v>0</v>
      </c>
      <c r="Y674" s="214">
        <v>1355.75</v>
      </c>
      <c r="Z674" s="214">
        <v>1100.25</v>
      </c>
      <c r="AA674" s="214">
        <v>1300.25</v>
      </c>
      <c r="AB674" s="214">
        <v>2144.5</v>
      </c>
      <c r="AC674" s="214">
        <v>3214.5</v>
      </c>
      <c r="AD674" s="214"/>
      <c r="AE674" s="420">
        <v>4966.5</v>
      </c>
      <c r="AF674" s="420">
        <v>888.9</v>
      </c>
      <c r="AG674" s="420">
        <v>1125.75</v>
      </c>
      <c r="AH674" s="420"/>
      <c r="AI674" s="574">
        <f t="shared" si="16"/>
        <v>96170.14</v>
      </c>
      <c r="AJ674" s="212"/>
    </row>
    <row r="675" spans="2:36" ht="14.4">
      <c r="B675" s="211"/>
      <c r="C675" s="213" t="s">
        <v>67</v>
      </c>
      <c r="D675" s="214">
        <v>9920</v>
      </c>
      <c r="E675" s="214">
        <v>9920</v>
      </c>
      <c r="F675" s="214">
        <v>10850</v>
      </c>
      <c r="G675" s="214">
        <v>13020</v>
      </c>
      <c r="H675" s="214">
        <v>18600</v>
      </c>
      <c r="I675" s="214">
        <v>2294</v>
      </c>
      <c r="J675" s="214">
        <v>0</v>
      </c>
      <c r="K675" s="214">
        <v>1860</v>
      </c>
      <c r="L675" s="214">
        <v>1550</v>
      </c>
      <c r="M675" s="214">
        <v>5270</v>
      </c>
      <c r="N675" s="214">
        <v>775</v>
      </c>
      <c r="O675" s="214">
        <v>7750</v>
      </c>
      <c r="P675" s="214">
        <v>7750</v>
      </c>
      <c r="Q675" s="214">
        <v>15500</v>
      </c>
      <c r="R675" s="214">
        <v>3100</v>
      </c>
      <c r="S675" s="214">
        <v>4700</v>
      </c>
      <c r="T675" s="214">
        <v>0</v>
      </c>
      <c r="U675" s="214">
        <v>3100</v>
      </c>
      <c r="V675" s="214">
        <v>0</v>
      </c>
      <c r="W675" s="214">
        <v>0</v>
      </c>
      <c r="X675" s="214">
        <v>0</v>
      </c>
      <c r="Y675" s="214">
        <v>1550</v>
      </c>
      <c r="Z675" s="214">
        <v>0</v>
      </c>
      <c r="AA675" s="214">
        <v>0</v>
      </c>
      <c r="AB675" s="214">
        <v>3875</v>
      </c>
      <c r="AC675" s="214">
        <v>0</v>
      </c>
      <c r="AD675" s="214"/>
      <c r="AE675" s="420">
        <v>9300</v>
      </c>
      <c r="AF675" s="420">
        <v>0</v>
      </c>
      <c r="AG675" s="420">
        <v>0</v>
      </c>
      <c r="AH675" s="420"/>
      <c r="AI675" s="574">
        <f t="shared" si="16"/>
        <v>130684</v>
      </c>
      <c r="AJ675" s="212"/>
    </row>
    <row r="676" spans="2:36" ht="14.4">
      <c r="B676" s="211"/>
      <c r="C676" s="213" t="s">
        <v>111</v>
      </c>
      <c r="D676" s="214">
        <v>0</v>
      </c>
      <c r="E676" s="214">
        <v>600</v>
      </c>
      <c r="F676" s="214">
        <v>1000</v>
      </c>
      <c r="G676" s="214">
        <v>100</v>
      </c>
      <c r="H676" s="214">
        <v>1300</v>
      </c>
      <c r="I676" s="214">
        <v>0</v>
      </c>
      <c r="J676" s="214">
        <v>0</v>
      </c>
      <c r="K676" s="214">
        <v>0</v>
      </c>
      <c r="L676" s="214">
        <v>0</v>
      </c>
      <c r="M676" s="214">
        <v>0</v>
      </c>
      <c r="N676" s="214">
        <v>0</v>
      </c>
      <c r="O676" s="214">
        <v>1300</v>
      </c>
      <c r="P676" s="214">
        <v>800</v>
      </c>
      <c r="Q676" s="214">
        <v>300</v>
      </c>
      <c r="R676" s="214">
        <v>0</v>
      </c>
      <c r="S676" s="214">
        <v>200</v>
      </c>
      <c r="T676" s="214">
        <v>0</v>
      </c>
      <c r="U676" s="214">
        <v>0</v>
      </c>
      <c r="V676" s="214">
        <v>0</v>
      </c>
      <c r="W676" s="214">
        <v>0</v>
      </c>
      <c r="X676" s="214">
        <v>0</v>
      </c>
      <c r="Y676" s="214">
        <v>0</v>
      </c>
      <c r="Z676" s="214">
        <v>0</v>
      </c>
      <c r="AA676" s="214">
        <v>0</v>
      </c>
      <c r="AB676" s="214">
        <v>0</v>
      </c>
      <c r="AC676" s="214">
        <v>0</v>
      </c>
      <c r="AD676" s="214"/>
      <c r="AE676" s="420">
        <v>600</v>
      </c>
      <c r="AF676" s="420">
        <v>0</v>
      </c>
      <c r="AG676" s="420">
        <v>0</v>
      </c>
      <c r="AH676" s="420"/>
      <c r="AI676" s="574">
        <f t="shared" si="16"/>
        <v>6200</v>
      </c>
      <c r="AJ676" s="212"/>
    </row>
    <row r="677" spans="2:36" ht="14.4">
      <c r="B677" s="211"/>
      <c r="C677" s="213" t="s">
        <v>68</v>
      </c>
      <c r="D677" s="214">
        <v>0</v>
      </c>
      <c r="E677" s="214">
        <v>0</v>
      </c>
      <c r="F677" s="214">
        <v>0</v>
      </c>
      <c r="G677" s="214">
        <v>0</v>
      </c>
      <c r="H677" s="214">
        <v>0</v>
      </c>
      <c r="I677" s="214">
        <v>0</v>
      </c>
      <c r="J677" s="214">
        <v>0</v>
      </c>
      <c r="K677" s="214">
        <v>0</v>
      </c>
      <c r="L677" s="214">
        <v>0</v>
      </c>
      <c r="M677" s="214">
        <v>0</v>
      </c>
      <c r="N677" s="214">
        <v>0</v>
      </c>
      <c r="O677" s="214">
        <v>0</v>
      </c>
      <c r="P677" s="214">
        <v>0</v>
      </c>
      <c r="Q677" s="214">
        <v>0</v>
      </c>
      <c r="R677" s="214">
        <v>0</v>
      </c>
      <c r="S677" s="214">
        <v>0</v>
      </c>
      <c r="T677" s="214">
        <v>0</v>
      </c>
      <c r="U677" s="214">
        <v>0</v>
      </c>
      <c r="V677" s="214">
        <v>0</v>
      </c>
      <c r="W677" s="214">
        <v>0</v>
      </c>
      <c r="X677" s="214">
        <v>0</v>
      </c>
      <c r="Y677" s="214">
        <v>0</v>
      </c>
      <c r="Z677" s="214">
        <v>0</v>
      </c>
      <c r="AA677" s="214">
        <v>0</v>
      </c>
      <c r="AB677" s="214">
        <v>0</v>
      </c>
      <c r="AC677" s="214">
        <v>0</v>
      </c>
      <c r="AD677" s="214"/>
      <c r="AE677" s="420">
        <v>0</v>
      </c>
      <c r="AF677" s="420">
        <v>0</v>
      </c>
      <c r="AG677" s="420">
        <v>0</v>
      </c>
      <c r="AH677" s="420"/>
      <c r="AI677" s="574">
        <f t="shared" si="16"/>
        <v>0</v>
      </c>
      <c r="AJ677" s="212"/>
    </row>
    <row r="678" spans="2:36" ht="14.4">
      <c r="B678" s="211"/>
      <c r="C678" s="213" t="s">
        <v>69</v>
      </c>
      <c r="D678" s="214">
        <v>0</v>
      </c>
      <c r="E678" s="214">
        <v>0</v>
      </c>
      <c r="F678" s="214">
        <v>0</v>
      </c>
      <c r="G678" s="214">
        <v>0</v>
      </c>
      <c r="H678" s="214">
        <v>0</v>
      </c>
      <c r="I678" s="214">
        <v>0</v>
      </c>
      <c r="J678" s="214">
        <v>0</v>
      </c>
      <c r="K678" s="214">
        <v>0</v>
      </c>
      <c r="L678" s="214">
        <v>0</v>
      </c>
      <c r="M678" s="214">
        <v>0</v>
      </c>
      <c r="N678" s="214">
        <v>0</v>
      </c>
      <c r="O678" s="214">
        <v>0</v>
      </c>
      <c r="P678" s="214">
        <v>0</v>
      </c>
      <c r="Q678" s="214">
        <v>0</v>
      </c>
      <c r="R678" s="214">
        <v>0</v>
      </c>
      <c r="S678" s="214">
        <v>0</v>
      </c>
      <c r="T678" s="214">
        <v>0</v>
      </c>
      <c r="U678" s="214">
        <v>0</v>
      </c>
      <c r="V678" s="214">
        <v>0</v>
      </c>
      <c r="W678" s="214">
        <v>0</v>
      </c>
      <c r="X678" s="214">
        <v>0</v>
      </c>
      <c r="Y678" s="214">
        <v>0</v>
      </c>
      <c r="Z678" s="214">
        <v>0</v>
      </c>
      <c r="AA678" s="214">
        <v>0</v>
      </c>
      <c r="AB678" s="214">
        <v>0</v>
      </c>
      <c r="AC678" s="214">
        <v>0</v>
      </c>
      <c r="AD678" s="214"/>
      <c r="AE678" s="420">
        <v>0</v>
      </c>
      <c r="AF678" s="420">
        <v>0</v>
      </c>
      <c r="AG678" s="420">
        <v>0</v>
      </c>
      <c r="AH678" s="420"/>
      <c r="AI678" s="574">
        <f t="shared" si="16"/>
        <v>0</v>
      </c>
      <c r="AJ678" s="212"/>
    </row>
    <row r="679" spans="2:36" ht="14.4">
      <c r="B679" s="211"/>
      <c r="C679" s="213" t="s">
        <v>70</v>
      </c>
      <c r="D679" s="214">
        <v>3000</v>
      </c>
      <c r="E679" s="214">
        <v>1800</v>
      </c>
      <c r="F679" s="214">
        <v>0</v>
      </c>
      <c r="G679" s="214">
        <v>0</v>
      </c>
      <c r="H679" s="214">
        <v>0</v>
      </c>
      <c r="I679" s="214">
        <v>260</v>
      </c>
      <c r="J679" s="214">
        <v>0</v>
      </c>
      <c r="K679" s="214">
        <v>0</v>
      </c>
      <c r="L679" s="214">
        <v>0</v>
      </c>
      <c r="M679" s="214">
        <v>0</v>
      </c>
      <c r="N679" s="214">
        <v>0</v>
      </c>
      <c r="O679" s="214">
        <v>1270</v>
      </c>
      <c r="P679" s="214">
        <v>0</v>
      </c>
      <c r="Q679" s="214">
        <v>0</v>
      </c>
      <c r="R679" s="214">
        <v>0</v>
      </c>
      <c r="S679" s="214">
        <v>0</v>
      </c>
      <c r="T679" s="214">
        <v>0</v>
      </c>
      <c r="U679" s="214">
        <v>0</v>
      </c>
      <c r="V679" s="214">
        <v>0</v>
      </c>
      <c r="W679" s="214">
        <v>0</v>
      </c>
      <c r="X679" s="214">
        <v>0</v>
      </c>
      <c r="Y679" s="214">
        <v>0</v>
      </c>
      <c r="Z679" s="214">
        <v>0</v>
      </c>
      <c r="AA679" s="214">
        <v>0</v>
      </c>
      <c r="AB679" s="214">
        <v>0</v>
      </c>
      <c r="AC679" s="214">
        <v>900</v>
      </c>
      <c r="AD679" s="214"/>
      <c r="AE679" s="420">
        <v>0</v>
      </c>
      <c r="AF679" s="420">
        <v>0</v>
      </c>
      <c r="AG679" s="420">
        <v>0</v>
      </c>
      <c r="AH679" s="420"/>
      <c r="AI679" s="574">
        <f t="shared" si="16"/>
        <v>7230</v>
      </c>
      <c r="AJ679" s="212"/>
    </row>
    <row r="680" spans="2:36" ht="14.4">
      <c r="B680" s="211"/>
      <c r="C680" s="213" t="s">
        <v>71</v>
      </c>
      <c r="D680" s="214">
        <v>0</v>
      </c>
      <c r="E680" s="214">
        <v>0</v>
      </c>
      <c r="F680" s="214">
        <v>0</v>
      </c>
      <c r="G680" s="214">
        <v>0</v>
      </c>
      <c r="H680" s="214">
        <v>0</v>
      </c>
      <c r="I680" s="214">
        <v>0</v>
      </c>
      <c r="J680" s="214">
        <v>0</v>
      </c>
      <c r="K680" s="214">
        <v>0</v>
      </c>
      <c r="L680" s="214">
        <v>0</v>
      </c>
      <c r="M680" s="214">
        <v>0</v>
      </c>
      <c r="N680" s="214">
        <v>0</v>
      </c>
      <c r="O680" s="214">
        <v>0</v>
      </c>
      <c r="P680" s="214">
        <v>0</v>
      </c>
      <c r="Q680" s="214">
        <v>0</v>
      </c>
      <c r="R680" s="214">
        <v>0</v>
      </c>
      <c r="S680" s="214">
        <v>0</v>
      </c>
      <c r="T680" s="214">
        <v>0</v>
      </c>
      <c r="U680" s="214">
        <v>0</v>
      </c>
      <c r="V680" s="214">
        <v>0</v>
      </c>
      <c r="W680" s="214">
        <v>0</v>
      </c>
      <c r="X680" s="214">
        <v>0</v>
      </c>
      <c r="Y680" s="214">
        <v>0</v>
      </c>
      <c r="Z680" s="214">
        <v>0</v>
      </c>
      <c r="AA680" s="214">
        <v>0</v>
      </c>
      <c r="AB680" s="214">
        <v>0</v>
      </c>
      <c r="AC680" s="214">
        <v>0</v>
      </c>
      <c r="AD680" s="214"/>
      <c r="AE680" s="420">
        <v>0</v>
      </c>
      <c r="AF680" s="420">
        <v>0</v>
      </c>
      <c r="AG680" s="420">
        <v>0</v>
      </c>
      <c r="AH680" s="420"/>
      <c r="AI680" s="574">
        <f t="shared" si="16"/>
        <v>0</v>
      </c>
      <c r="AJ680" s="212"/>
    </row>
    <row r="681" spans="2:36" ht="14.4">
      <c r="B681" s="211"/>
      <c r="C681" s="213" t="s">
        <v>159</v>
      </c>
      <c r="D681" s="214">
        <v>21073</v>
      </c>
      <c r="E681" s="214">
        <v>0</v>
      </c>
      <c r="F681" s="214">
        <v>0</v>
      </c>
      <c r="G681" s="214">
        <v>0</v>
      </c>
      <c r="H681" s="214">
        <v>0</v>
      </c>
      <c r="I681" s="214">
        <v>0</v>
      </c>
      <c r="J681" s="214">
        <v>0</v>
      </c>
      <c r="K681" s="214">
        <v>0</v>
      </c>
      <c r="L681" s="214">
        <v>0</v>
      </c>
      <c r="M681" s="214">
        <v>0</v>
      </c>
      <c r="N681" s="214">
        <v>0</v>
      </c>
      <c r="O681" s="214">
        <v>0</v>
      </c>
      <c r="P681" s="214">
        <v>0</v>
      </c>
      <c r="Q681" s="214">
        <v>0</v>
      </c>
      <c r="R681" s="214">
        <v>0</v>
      </c>
      <c r="S681" s="214">
        <v>0</v>
      </c>
      <c r="T681" s="214">
        <v>0</v>
      </c>
      <c r="U681" s="214">
        <v>0</v>
      </c>
      <c r="V681" s="214">
        <v>0</v>
      </c>
      <c r="W681" s="214">
        <v>0</v>
      </c>
      <c r="X681" s="214">
        <v>0</v>
      </c>
      <c r="Y681" s="214">
        <v>0</v>
      </c>
      <c r="Z681" s="214">
        <v>0</v>
      </c>
      <c r="AA681" s="214">
        <v>0</v>
      </c>
      <c r="AB681" s="214">
        <v>0</v>
      </c>
      <c r="AC681" s="214">
        <v>0</v>
      </c>
      <c r="AD681" s="214"/>
      <c r="AE681" s="420">
        <v>0</v>
      </c>
      <c r="AF681" s="420">
        <v>0</v>
      </c>
      <c r="AG681" s="420">
        <v>0</v>
      </c>
      <c r="AH681" s="420"/>
      <c r="AI681" s="574">
        <f t="shared" si="16"/>
        <v>21073</v>
      </c>
      <c r="AJ681" s="212"/>
    </row>
    <row r="682" spans="2:36" ht="14.4">
      <c r="B682" s="211"/>
      <c r="C682" s="213" t="s">
        <v>72</v>
      </c>
      <c r="D682" s="214">
        <v>6000</v>
      </c>
      <c r="E682" s="214">
        <v>0</v>
      </c>
      <c r="F682" s="214">
        <v>0</v>
      </c>
      <c r="G682" s="214">
        <v>0</v>
      </c>
      <c r="H682" s="214">
        <v>0</v>
      </c>
      <c r="I682" s="214">
        <v>0</v>
      </c>
      <c r="J682" s="214">
        <v>0</v>
      </c>
      <c r="K682" s="214">
        <v>0</v>
      </c>
      <c r="L682" s="214">
        <v>0</v>
      </c>
      <c r="M682" s="214">
        <v>0</v>
      </c>
      <c r="N682" s="214">
        <v>0</v>
      </c>
      <c r="O682" s="214">
        <v>0</v>
      </c>
      <c r="P682" s="214">
        <v>0</v>
      </c>
      <c r="Q682" s="214">
        <v>0</v>
      </c>
      <c r="R682" s="214">
        <v>0</v>
      </c>
      <c r="S682" s="214">
        <v>0</v>
      </c>
      <c r="T682" s="214">
        <v>0</v>
      </c>
      <c r="U682" s="214">
        <v>0</v>
      </c>
      <c r="V682" s="214">
        <v>0</v>
      </c>
      <c r="W682" s="214">
        <v>0</v>
      </c>
      <c r="X682" s="214">
        <v>0</v>
      </c>
      <c r="Y682" s="214">
        <v>0</v>
      </c>
      <c r="Z682" s="214">
        <v>0</v>
      </c>
      <c r="AA682" s="214">
        <v>0</v>
      </c>
      <c r="AB682" s="214">
        <v>0</v>
      </c>
      <c r="AC682" s="214">
        <v>0</v>
      </c>
      <c r="AD682" s="214"/>
      <c r="AE682" s="420">
        <v>0</v>
      </c>
      <c r="AF682" s="420">
        <v>0</v>
      </c>
      <c r="AG682" s="420">
        <v>0</v>
      </c>
      <c r="AH682" s="420"/>
      <c r="AI682" s="574">
        <f t="shared" si="16"/>
        <v>6000</v>
      </c>
      <c r="AJ682" s="212"/>
    </row>
    <row r="683" spans="2:36" ht="14.4">
      <c r="B683" s="211"/>
      <c r="C683" s="213" t="s">
        <v>73</v>
      </c>
      <c r="D683" s="214">
        <v>0</v>
      </c>
      <c r="E683" s="214">
        <v>0</v>
      </c>
      <c r="F683" s="214">
        <v>0</v>
      </c>
      <c r="G683" s="214">
        <v>0</v>
      </c>
      <c r="H683" s="214">
        <v>0</v>
      </c>
      <c r="I683" s="214">
        <v>0</v>
      </c>
      <c r="J683" s="214">
        <v>0</v>
      </c>
      <c r="K683" s="214">
        <v>0</v>
      </c>
      <c r="L683" s="214">
        <v>0</v>
      </c>
      <c r="M683" s="214">
        <v>0</v>
      </c>
      <c r="N683" s="214">
        <v>0</v>
      </c>
      <c r="O683" s="214">
        <v>0</v>
      </c>
      <c r="P683" s="214">
        <v>0</v>
      </c>
      <c r="Q683" s="214">
        <v>0</v>
      </c>
      <c r="R683" s="214">
        <v>0</v>
      </c>
      <c r="S683" s="214">
        <v>0</v>
      </c>
      <c r="T683" s="214">
        <v>0</v>
      </c>
      <c r="U683" s="214">
        <v>0</v>
      </c>
      <c r="V683" s="214">
        <v>0</v>
      </c>
      <c r="W683" s="214">
        <v>0</v>
      </c>
      <c r="X683" s="214">
        <v>0</v>
      </c>
      <c r="Y683" s="214">
        <v>0</v>
      </c>
      <c r="Z683" s="214">
        <v>0</v>
      </c>
      <c r="AA683" s="214">
        <v>0</v>
      </c>
      <c r="AB683" s="214">
        <v>0</v>
      </c>
      <c r="AC683" s="214">
        <v>0</v>
      </c>
      <c r="AD683" s="214"/>
      <c r="AE683" s="420">
        <v>0</v>
      </c>
      <c r="AF683" s="420">
        <v>0</v>
      </c>
      <c r="AG683" s="420">
        <v>0</v>
      </c>
      <c r="AH683" s="420"/>
      <c r="AI683" s="574">
        <f t="shared" si="16"/>
        <v>0</v>
      </c>
      <c r="AJ683" s="212"/>
    </row>
    <row r="684" spans="2:36" ht="14.4">
      <c r="B684" s="211"/>
      <c r="C684" s="213" t="s">
        <v>246</v>
      </c>
      <c r="D684" s="214">
        <v>1150</v>
      </c>
      <c r="E684" s="214">
        <v>0</v>
      </c>
      <c r="F684" s="214">
        <v>0</v>
      </c>
      <c r="G684" s="214">
        <v>0</v>
      </c>
      <c r="H684" s="214">
        <v>0</v>
      </c>
      <c r="I684" s="214">
        <v>0</v>
      </c>
      <c r="J684" s="214">
        <v>0</v>
      </c>
      <c r="K684" s="214">
        <v>0</v>
      </c>
      <c r="L684" s="214">
        <v>0</v>
      </c>
      <c r="M684" s="214">
        <v>0</v>
      </c>
      <c r="N684" s="214">
        <v>0</v>
      </c>
      <c r="O684" s="214">
        <v>0</v>
      </c>
      <c r="P684" s="214">
        <v>0</v>
      </c>
      <c r="Q684" s="214">
        <v>0</v>
      </c>
      <c r="R684" s="214">
        <v>0</v>
      </c>
      <c r="S684" s="214">
        <v>0</v>
      </c>
      <c r="T684" s="214">
        <v>0</v>
      </c>
      <c r="U684" s="214">
        <v>0</v>
      </c>
      <c r="V684" s="214">
        <v>0</v>
      </c>
      <c r="W684" s="214">
        <v>0</v>
      </c>
      <c r="X684" s="214">
        <v>0</v>
      </c>
      <c r="Y684" s="214">
        <v>0</v>
      </c>
      <c r="Z684" s="214">
        <v>0</v>
      </c>
      <c r="AA684" s="214">
        <v>0</v>
      </c>
      <c r="AB684" s="214">
        <v>0</v>
      </c>
      <c r="AC684" s="214">
        <v>0</v>
      </c>
      <c r="AD684" s="214"/>
      <c r="AE684" s="420">
        <v>0</v>
      </c>
      <c r="AF684" s="420">
        <v>0</v>
      </c>
      <c r="AG684" s="420">
        <v>0</v>
      </c>
      <c r="AH684" s="420"/>
      <c r="AI684" s="574">
        <f t="shared" si="16"/>
        <v>1150</v>
      </c>
      <c r="AJ684" s="212"/>
    </row>
    <row r="685" spans="2:36" ht="14.4">
      <c r="B685" s="211"/>
      <c r="C685" s="213" t="s">
        <v>75</v>
      </c>
      <c r="D685" s="214">
        <v>0</v>
      </c>
      <c r="E685" s="214">
        <v>0</v>
      </c>
      <c r="F685" s="214">
        <v>0</v>
      </c>
      <c r="G685" s="214">
        <v>0</v>
      </c>
      <c r="H685" s="214">
        <v>0</v>
      </c>
      <c r="I685" s="214">
        <v>0</v>
      </c>
      <c r="J685" s="214">
        <v>0</v>
      </c>
      <c r="K685" s="214">
        <v>0</v>
      </c>
      <c r="L685" s="214">
        <v>0</v>
      </c>
      <c r="M685" s="214">
        <v>0</v>
      </c>
      <c r="N685" s="214">
        <v>0</v>
      </c>
      <c r="O685" s="214">
        <v>0</v>
      </c>
      <c r="P685" s="214">
        <v>0</v>
      </c>
      <c r="Q685" s="214">
        <v>0</v>
      </c>
      <c r="R685" s="214">
        <v>0</v>
      </c>
      <c r="S685" s="214">
        <v>0</v>
      </c>
      <c r="T685" s="214">
        <v>0</v>
      </c>
      <c r="U685" s="214">
        <v>0</v>
      </c>
      <c r="V685" s="214">
        <v>0</v>
      </c>
      <c r="W685" s="214">
        <v>0</v>
      </c>
      <c r="X685" s="214">
        <v>0</v>
      </c>
      <c r="Y685" s="214">
        <v>0</v>
      </c>
      <c r="Z685" s="214">
        <v>0</v>
      </c>
      <c r="AA685" s="214">
        <v>0</v>
      </c>
      <c r="AB685" s="214">
        <v>0</v>
      </c>
      <c r="AC685" s="214">
        <v>0</v>
      </c>
      <c r="AD685" s="214"/>
      <c r="AE685" s="420">
        <v>0</v>
      </c>
      <c r="AF685" s="420">
        <v>0</v>
      </c>
      <c r="AG685" s="420">
        <v>0</v>
      </c>
      <c r="AH685" s="420"/>
      <c r="AI685" s="574">
        <f t="shared" si="16"/>
        <v>0</v>
      </c>
      <c r="AJ685" s="212"/>
    </row>
    <row r="686" spans="2:36" ht="14.4">
      <c r="B686" s="211"/>
      <c r="C686" s="213" t="s">
        <v>76</v>
      </c>
      <c r="D686" s="214">
        <v>0</v>
      </c>
      <c r="E686" s="214">
        <v>0</v>
      </c>
      <c r="F686" s="214">
        <v>0</v>
      </c>
      <c r="G686" s="214">
        <v>0</v>
      </c>
      <c r="H686" s="214">
        <v>0</v>
      </c>
      <c r="I686" s="214">
        <v>0</v>
      </c>
      <c r="J686" s="214">
        <v>0</v>
      </c>
      <c r="K686" s="214">
        <v>0</v>
      </c>
      <c r="L686" s="214">
        <v>0</v>
      </c>
      <c r="M686" s="214">
        <v>0</v>
      </c>
      <c r="N686" s="214">
        <v>0</v>
      </c>
      <c r="O686" s="214">
        <v>0</v>
      </c>
      <c r="P686" s="214">
        <v>0</v>
      </c>
      <c r="Q686" s="214">
        <v>0</v>
      </c>
      <c r="R686" s="214">
        <v>0</v>
      </c>
      <c r="S686" s="214">
        <v>0</v>
      </c>
      <c r="T686" s="214">
        <v>0</v>
      </c>
      <c r="U686" s="214">
        <v>0</v>
      </c>
      <c r="V686" s="214">
        <v>0</v>
      </c>
      <c r="W686" s="214">
        <v>0</v>
      </c>
      <c r="X686" s="214">
        <v>0</v>
      </c>
      <c r="Y686" s="214">
        <v>0</v>
      </c>
      <c r="Z686" s="214">
        <v>0</v>
      </c>
      <c r="AA686" s="214">
        <v>0</v>
      </c>
      <c r="AB686" s="214">
        <v>0</v>
      </c>
      <c r="AC686" s="214">
        <v>0</v>
      </c>
      <c r="AD686" s="214"/>
      <c r="AE686" s="420">
        <v>0</v>
      </c>
      <c r="AF686" s="420">
        <v>0</v>
      </c>
      <c r="AG686" s="420">
        <v>0</v>
      </c>
      <c r="AH686" s="420"/>
      <c r="AI686" s="574">
        <f t="shared" si="16"/>
        <v>0</v>
      </c>
      <c r="AJ686" s="212"/>
    </row>
    <row r="687" spans="2:36" ht="14.4">
      <c r="B687" s="211"/>
      <c r="C687" s="213" t="s">
        <v>77</v>
      </c>
      <c r="D687" s="214">
        <v>0</v>
      </c>
      <c r="E687" s="214">
        <v>0</v>
      </c>
      <c r="F687" s="214">
        <v>0</v>
      </c>
      <c r="G687" s="214">
        <v>0</v>
      </c>
      <c r="H687" s="214">
        <v>0</v>
      </c>
      <c r="I687" s="214">
        <v>0</v>
      </c>
      <c r="J687" s="214">
        <v>0</v>
      </c>
      <c r="K687" s="214">
        <v>0</v>
      </c>
      <c r="L687" s="214">
        <v>0</v>
      </c>
      <c r="M687" s="214">
        <v>0</v>
      </c>
      <c r="N687" s="214">
        <v>0</v>
      </c>
      <c r="O687" s="214">
        <v>0</v>
      </c>
      <c r="P687" s="214">
        <v>0</v>
      </c>
      <c r="Q687" s="214">
        <v>0</v>
      </c>
      <c r="R687" s="214">
        <v>0</v>
      </c>
      <c r="S687" s="214">
        <v>0</v>
      </c>
      <c r="T687" s="214">
        <v>0</v>
      </c>
      <c r="U687" s="214">
        <v>0</v>
      </c>
      <c r="V687" s="214">
        <v>0</v>
      </c>
      <c r="W687" s="214">
        <v>0</v>
      </c>
      <c r="X687" s="214">
        <v>0</v>
      </c>
      <c r="Y687" s="214">
        <v>0</v>
      </c>
      <c r="Z687" s="214">
        <v>0</v>
      </c>
      <c r="AA687" s="214">
        <v>0</v>
      </c>
      <c r="AB687" s="214">
        <v>0</v>
      </c>
      <c r="AC687" s="214">
        <v>0</v>
      </c>
      <c r="AD687" s="214"/>
      <c r="AE687" s="420">
        <v>0</v>
      </c>
      <c r="AF687" s="420">
        <v>0</v>
      </c>
      <c r="AG687" s="420">
        <v>0</v>
      </c>
      <c r="AH687" s="420"/>
      <c r="AI687" s="574">
        <f t="shared" si="16"/>
        <v>0</v>
      </c>
      <c r="AJ687" s="212"/>
    </row>
    <row r="688" spans="2:36" ht="14.4">
      <c r="B688" s="211"/>
      <c r="C688" s="213" t="s">
        <v>78</v>
      </c>
      <c r="D688" s="214">
        <v>0</v>
      </c>
      <c r="E688" s="214">
        <v>0</v>
      </c>
      <c r="F688" s="214">
        <v>0</v>
      </c>
      <c r="G688" s="214">
        <v>0</v>
      </c>
      <c r="H688" s="214">
        <v>0</v>
      </c>
      <c r="I688" s="214">
        <v>0</v>
      </c>
      <c r="J688" s="214">
        <v>0</v>
      </c>
      <c r="K688" s="214">
        <v>0</v>
      </c>
      <c r="L688" s="214">
        <v>0</v>
      </c>
      <c r="M688" s="214">
        <v>0</v>
      </c>
      <c r="N688" s="214">
        <v>0</v>
      </c>
      <c r="O688" s="214">
        <v>0</v>
      </c>
      <c r="P688" s="214">
        <v>0</v>
      </c>
      <c r="Q688" s="214">
        <v>0</v>
      </c>
      <c r="R688" s="214">
        <v>0</v>
      </c>
      <c r="S688" s="214">
        <v>0</v>
      </c>
      <c r="T688" s="214">
        <v>0</v>
      </c>
      <c r="U688" s="214">
        <v>0</v>
      </c>
      <c r="V688" s="214">
        <v>0</v>
      </c>
      <c r="W688" s="214">
        <v>0</v>
      </c>
      <c r="X688" s="214">
        <v>0</v>
      </c>
      <c r="Y688" s="214">
        <v>0</v>
      </c>
      <c r="Z688" s="214">
        <v>0</v>
      </c>
      <c r="AA688" s="214">
        <v>0</v>
      </c>
      <c r="AB688" s="214">
        <v>0</v>
      </c>
      <c r="AC688" s="214">
        <v>0</v>
      </c>
      <c r="AD688" s="214"/>
      <c r="AE688" s="420">
        <v>0</v>
      </c>
      <c r="AF688" s="420">
        <v>0</v>
      </c>
      <c r="AG688" s="420">
        <v>0</v>
      </c>
      <c r="AH688" s="420"/>
      <c r="AI688" s="574">
        <f t="shared" si="16"/>
        <v>0</v>
      </c>
      <c r="AJ688" s="212"/>
    </row>
    <row r="689" spans="2:36" ht="14.4">
      <c r="B689" s="211"/>
      <c r="C689" s="213" t="s">
        <v>79</v>
      </c>
      <c r="D689" s="214">
        <v>0</v>
      </c>
      <c r="E689" s="214">
        <v>0</v>
      </c>
      <c r="F689" s="214">
        <v>0</v>
      </c>
      <c r="G689" s="214">
        <v>0</v>
      </c>
      <c r="H689" s="214">
        <v>0</v>
      </c>
      <c r="I689" s="214">
        <v>0</v>
      </c>
      <c r="J689" s="214">
        <v>0</v>
      </c>
      <c r="K689" s="214">
        <v>0</v>
      </c>
      <c r="L689" s="214">
        <v>0</v>
      </c>
      <c r="M689" s="214">
        <v>0</v>
      </c>
      <c r="N689" s="214">
        <v>0</v>
      </c>
      <c r="O689" s="214">
        <v>0</v>
      </c>
      <c r="P689" s="214">
        <v>0</v>
      </c>
      <c r="Q689" s="214">
        <v>0</v>
      </c>
      <c r="R689" s="214">
        <v>0</v>
      </c>
      <c r="S689" s="214">
        <v>0</v>
      </c>
      <c r="T689" s="214">
        <v>0</v>
      </c>
      <c r="U689" s="214">
        <v>0</v>
      </c>
      <c r="V689" s="214">
        <v>0</v>
      </c>
      <c r="W689" s="214">
        <v>0</v>
      </c>
      <c r="X689" s="214">
        <v>0</v>
      </c>
      <c r="Y689" s="214">
        <v>0</v>
      </c>
      <c r="Z689" s="214">
        <v>0</v>
      </c>
      <c r="AA689" s="214">
        <v>0</v>
      </c>
      <c r="AB689" s="214">
        <v>0</v>
      </c>
      <c r="AC689" s="214">
        <v>0</v>
      </c>
      <c r="AD689" s="214"/>
      <c r="AE689" s="420">
        <v>0</v>
      </c>
      <c r="AF689" s="420">
        <v>0</v>
      </c>
      <c r="AG689" s="420">
        <v>0</v>
      </c>
      <c r="AH689" s="420"/>
      <c r="AI689" s="574">
        <f t="shared" si="16"/>
        <v>0</v>
      </c>
      <c r="AJ689" s="212"/>
    </row>
    <row r="690" spans="2:36" ht="14.4">
      <c r="B690" s="211"/>
      <c r="C690" s="213" t="s">
        <v>80</v>
      </c>
      <c r="D690" s="214">
        <v>0</v>
      </c>
      <c r="E690" s="214">
        <v>0</v>
      </c>
      <c r="F690" s="214">
        <v>0</v>
      </c>
      <c r="G690" s="214">
        <v>0</v>
      </c>
      <c r="H690" s="214">
        <v>0</v>
      </c>
      <c r="I690" s="214">
        <v>0</v>
      </c>
      <c r="J690" s="214">
        <v>0</v>
      </c>
      <c r="K690" s="214">
        <v>0</v>
      </c>
      <c r="L690" s="214">
        <v>0</v>
      </c>
      <c r="M690" s="214">
        <v>0</v>
      </c>
      <c r="N690" s="214">
        <v>0</v>
      </c>
      <c r="O690" s="214">
        <v>0</v>
      </c>
      <c r="P690" s="214">
        <v>0</v>
      </c>
      <c r="Q690" s="214">
        <v>0</v>
      </c>
      <c r="R690" s="214">
        <v>0</v>
      </c>
      <c r="S690" s="214">
        <v>0</v>
      </c>
      <c r="T690" s="214">
        <v>0</v>
      </c>
      <c r="U690" s="214">
        <v>0</v>
      </c>
      <c r="V690" s="214">
        <v>0</v>
      </c>
      <c r="W690" s="214">
        <v>0</v>
      </c>
      <c r="X690" s="214">
        <v>0</v>
      </c>
      <c r="Y690" s="214">
        <v>0</v>
      </c>
      <c r="Z690" s="214">
        <v>0</v>
      </c>
      <c r="AA690" s="214">
        <v>0</v>
      </c>
      <c r="AB690" s="214">
        <v>0</v>
      </c>
      <c r="AC690" s="214">
        <v>0</v>
      </c>
      <c r="AD690" s="214"/>
      <c r="AE690" s="420">
        <v>0</v>
      </c>
      <c r="AF690" s="420">
        <v>0</v>
      </c>
      <c r="AG690" s="420">
        <v>0</v>
      </c>
      <c r="AH690" s="420"/>
      <c r="AI690" s="574">
        <f t="shared" si="16"/>
        <v>0</v>
      </c>
      <c r="AJ690" s="212"/>
    </row>
    <row r="691" spans="2:36" ht="14.4">
      <c r="B691" s="211"/>
      <c r="C691" s="213" t="s">
        <v>81</v>
      </c>
      <c r="D691" s="214">
        <v>0</v>
      </c>
      <c r="E691" s="214">
        <v>0</v>
      </c>
      <c r="F691" s="214">
        <v>0</v>
      </c>
      <c r="G691" s="214">
        <v>0</v>
      </c>
      <c r="H691" s="214">
        <v>0</v>
      </c>
      <c r="I691" s="214">
        <v>0</v>
      </c>
      <c r="J691" s="214">
        <v>0</v>
      </c>
      <c r="K691" s="214">
        <v>0</v>
      </c>
      <c r="L691" s="214">
        <v>0</v>
      </c>
      <c r="M691" s="214">
        <v>0</v>
      </c>
      <c r="N691" s="214">
        <v>0</v>
      </c>
      <c r="O691" s="214">
        <v>0</v>
      </c>
      <c r="P691" s="214">
        <v>0</v>
      </c>
      <c r="Q691" s="214">
        <v>0</v>
      </c>
      <c r="R691" s="214">
        <v>0</v>
      </c>
      <c r="S691" s="214">
        <v>0</v>
      </c>
      <c r="T691" s="214">
        <v>0</v>
      </c>
      <c r="U691" s="214">
        <v>0</v>
      </c>
      <c r="V691" s="214">
        <v>0</v>
      </c>
      <c r="W691" s="214">
        <v>0</v>
      </c>
      <c r="X691" s="214">
        <v>0</v>
      </c>
      <c r="Y691" s="214">
        <v>0</v>
      </c>
      <c r="Z691" s="214">
        <v>0</v>
      </c>
      <c r="AA691" s="214">
        <v>0</v>
      </c>
      <c r="AB691" s="214">
        <v>0</v>
      </c>
      <c r="AC691" s="214">
        <v>0</v>
      </c>
      <c r="AD691" s="214"/>
      <c r="AE691" s="420">
        <v>0</v>
      </c>
      <c r="AF691" s="420">
        <v>0</v>
      </c>
      <c r="AG691" s="420">
        <v>0</v>
      </c>
      <c r="AH691" s="420"/>
      <c r="AI691" s="574">
        <f t="shared" si="16"/>
        <v>0</v>
      </c>
      <c r="AJ691" s="212"/>
    </row>
    <row r="692" spans="2:36" ht="14.4">
      <c r="B692" s="211"/>
      <c r="C692" s="213" t="s">
        <v>82</v>
      </c>
      <c r="D692" s="214">
        <v>0</v>
      </c>
      <c r="E692" s="214">
        <v>0</v>
      </c>
      <c r="F692" s="214">
        <v>0</v>
      </c>
      <c r="G692" s="214">
        <v>0</v>
      </c>
      <c r="H692" s="214">
        <v>0</v>
      </c>
      <c r="I692" s="214">
        <v>0</v>
      </c>
      <c r="J692" s="214">
        <v>0</v>
      </c>
      <c r="K692" s="214">
        <v>0</v>
      </c>
      <c r="L692" s="214">
        <v>0</v>
      </c>
      <c r="M692" s="214">
        <v>0</v>
      </c>
      <c r="N692" s="214">
        <v>0</v>
      </c>
      <c r="O692" s="214">
        <v>0</v>
      </c>
      <c r="P692" s="214">
        <v>0</v>
      </c>
      <c r="Q692" s="214">
        <v>0</v>
      </c>
      <c r="R692" s="214">
        <v>0</v>
      </c>
      <c r="S692" s="214">
        <v>0</v>
      </c>
      <c r="T692" s="214">
        <v>0</v>
      </c>
      <c r="U692" s="214">
        <v>0</v>
      </c>
      <c r="V692" s="214">
        <v>0</v>
      </c>
      <c r="W692" s="214">
        <v>0</v>
      </c>
      <c r="X692" s="214">
        <v>0</v>
      </c>
      <c r="Y692" s="214">
        <v>0</v>
      </c>
      <c r="Z692" s="214">
        <v>0</v>
      </c>
      <c r="AA692" s="214">
        <v>0</v>
      </c>
      <c r="AB692" s="214">
        <v>0</v>
      </c>
      <c r="AC692" s="214">
        <v>0</v>
      </c>
      <c r="AD692" s="214"/>
      <c r="AE692" s="420">
        <v>0</v>
      </c>
      <c r="AF692" s="420">
        <v>0</v>
      </c>
      <c r="AG692" s="420">
        <v>0</v>
      </c>
      <c r="AH692" s="420"/>
      <c r="AI692" s="574">
        <f t="shared" si="16"/>
        <v>0</v>
      </c>
      <c r="AJ692" s="212"/>
    </row>
    <row r="693" spans="2:36" ht="14.4">
      <c r="B693" s="211"/>
      <c r="C693" s="213" t="s">
        <v>83</v>
      </c>
      <c r="D693" s="214">
        <v>0</v>
      </c>
      <c r="E693" s="214">
        <v>0</v>
      </c>
      <c r="F693" s="214">
        <v>0</v>
      </c>
      <c r="G693" s="214">
        <v>0</v>
      </c>
      <c r="H693" s="214">
        <v>0</v>
      </c>
      <c r="I693" s="214">
        <v>0</v>
      </c>
      <c r="J693" s="214">
        <v>0</v>
      </c>
      <c r="K693" s="214">
        <v>0</v>
      </c>
      <c r="L693" s="214">
        <v>0</v>
      </c>
      <c r="M693" s="214">
        <v>0</v>
      </c>
      <c r="N693" s="214">
        <v>0</v>
      </c>
      <c r="O693" s="214">
        <v>0</v>
      </c>
      <c r="P693" s="214">
        <v>0</v>
      </c>
      <c r="Q693" s="214">
        <v>0</v>
      </c>
      <c r="R693" s="214">
        <v>0</v>
      </c>
      <c r="S693" s="214">
        <v>0</v>
      </c>
      <c r="T693" s="214">
        <v>0</v>
      </c>
      <c r="U693" s="214">
        <v>0</v>
      </c>
      <c r="V693" s="214">
        <v>0</v>
      </c>
      <c r="W693" s="214">
        <v>0</v>
      </c>
      <c r="X693" s="214">
        <v>0</v>
      </c>
      <c r="Y693" s="214">
        <v>0</v>
      </c>
      <c r="Z693" s="214">
        <v>0</v>
      </c>
      <c r="AA693" s="214">
        <v>0</v>
      </c>
      <c r="AB693" s="214">
        <v>0</v>
      </c>
      <c r="AC693" s="214">
        <v>0</v>
      </c>
      <c r="AD693" s="214"/>
      <c r="AE693" s="420">
        <v>0</v>
      </c>
      <c r="AF693" s="420">
        <v>0</v>
      </c>
      <c r="AG693" s="420">
        <v>0</v>
      </c>
      <c r="AH693" s="420"/>
      <c r="AI693" s="574">
        <f t="shared" si="16"/>
        <v>0</v>
      </c>
      <c r="AJ693" s="212"/>
    </row>
    <row r="694" spans="2:36" ht="14.4">
      <c r="B694" s="211"/>
      <c r="C694" s="213" t="s">
        <v>84</v>
      </c>
      <c r="D694" s="214">
        <v>0</v>
      </c>
      <c r="E694" s="214">
        <v>0</v>
      </c>
      <c r="F694" s="214">
        <v>0</v>
      </c>
      <c r="G694" s="214">
        <v>0</v>
      </c>
      <c r="H694" s="214">
        <v>0</v>
      </c>
      <c r="I694" s="214">
        <v>0</v>
      </c>
      <c r="J694" s="214">
        <v>0</v>
      </c>
      <c r="K694" s="214">
        <v>0</v>
      </c>
      <c r="L694" s="214">
        <v>0</v>
      </c>
      <c r="M694" s="214">
        <v>0</v>
      </c>
      <c r="N694" s="214">
        <v>0</v>
      </c>
      <c r="O694" s="214">
        <v>0</v>
      </c>
      <c r="P694" s="214">
        <v>0</v>
      </c>
      <c r="Q694" s="214">
        <v>0</v>
      </c>
      <c r="R694" s="214">
        <v>0</v>
      </c>
      <c r="S694" s="214">
        <v>0</v>
      </c>
      <c r="T694" s="214">
        <v>0</v>
      </c>
      <c r="U694" s="214">
        <v>0</v>
      </c>
      <c r="V694" s="214">
        <v>0</v>
      </c>
      <c r="W694" s="214">
        <v>0</v>
      </c>
      <c r="X694" s="214">
        <v>0</v>
      </c>
      <c r="Y694" s="214">
        <v>0</v>
      </c>
      <c r="Z694" s="214">
        <v>0</v>
      </c>
      <c r="AA694" s="214">
        <v>0</v>
      </c>
      <c r="AB694" s="214">
        <v>0</v>
      </c>
      <c r="AC694" s="214">
        <v>0</v>
      </c>
      <c r="AD694" s="214"/>
      <c r="AE694" s="420">
        <v>0</v>
      </c>
      <c r="AF694" s="420">
        <v>0</v>
      </c>
      <c r="AG694" s="420">
        <v>0</v>
      </c>
      <c r="AH694" s="420"/>
      <c r="AI694" s="574">
        <f t="shared" si="16"/>
        <v>0</v>
      </c>
      <c r="AJ694" s="212"/>
    </row>
    <row r="695" spans="2:36" ht="14.4">
      <c r="B695" s="211"/>
      <c r="C695" s="213" t="s">
        <v>85</v>
      </c>
      <c r="D695" s="214">
        <v>0</v>
      </c>
      <c r="E695" s="214">
        <v>0</v>
      </c>
      <c r="F695" s="214">
        <v>100</v>
      </c>
      <c r="G695" s="214">
        <v>0</v>
      </c>
      <c r="H695" s="214">
        <v>4363</v>
      </c>
      <c r="I695" s="214">
        <v>12792</v>
      </c>
      <c r="J695" s="214">
        <v>100</v>
      </c>
      <c r="K695" s="214">
        <v>100</v>
      </c>
      <c r="L695" s="214">
        <v>100</v>
      </c>
      <c r="M695" s="214">
        <v>100</v>
      </c>
      <c r="N695" s="214">
        <v>0</v>
      </c>
      <c r="O695" s="214">
        <v>10274</v>
      </c>
      <c r="P695" s="214">
        <v>100</v>
      </c>
      <c r="Q695" s="214">
        <v>100</v>
      </c>
      <c r="R695" s="214">
        <v>100</v>
      </c>
      <c r="S695" s="214">
        <v>0</v>
      </c>
      <c r="T695" s="214">
        <v>0</v>
      </c>
      <c r="U695" s="214">
        <v>3100</v>
      </c>
      <c r="V695" s="214">
        <v>100</v>
      </c>
      <c r="W695" s="214">
        <v>600</v>
      </c>
      <c r="X695" s="214">
        <v>9292</v>
      </c>
      <c r="Y695" s="214">
        <v>100</v>
      </c>
      <c r="Z695" s="214">
        <v>100</v>
      </c>
      <c r="AA695" s="214">
        <v>4600</v>
      </c>
      <c r="AB695" s="214">
        <v>100</v>
      </c>
      <c r="AC695" s="214">
        <v>100</v>
      </c>
      <c r="AD695" s="214"/>
      <c r="AE695" s="420">
        <v>3834</v>
      </c>
      <c r="AF695" s="420">
        <v>1100</v>
      </c>
      <c r="AG695" s="420">
        <v>455</v>
      </c>
      <c r="AH695" s="420"/>
      <c r="AI695" s="574">
        <f t="shared" si="16"/>
        <v>51710</v>
      </c>
      <c r="AJ695" s="212"/>
    </row>
    <row r="696" spans="2:36" ht="14.4">
      <c r="B696" s="211"/>
      <c r="C696" s="213" t="s">
        <v>86</v>
      </c>
      <c r="D696" s="214">
        <v>0</v>
      </c>
      <c r="E696" s="214">
        <v>0</v>
      </c>
      <c r="F696" s="214">
        <v>0</v>
      </c>
      <c r="G696" s="214">
        <v>0</v>
      </c>
      <c r="H696" s="214">
        <v>0</v>
      </c>
      <c r="I696" s="214">
        <v>0</v>
      </c>
      <c r="J696" s="214">
        <v>0</v>
      </c>
      <c r="K696" s="214">
        <v>0</v>
      </c>
      <c r="L696" s="214">
        <v>0</v>
      </c>
      <c r="M696" s="214">
        <v>0</v>
      </c>
      <c r="N696" s="214">
        <v>0</v>
      </c>
      <c r="O696" s="214">
        <v>0</v>
      </c>
      <c r="P696" s="214">
        <v>0</v>
      </c>
      <c r="Q696" s="214">
        <v>0</v>
      </c>
      <c r="R696" s="214">
        <v>0</v>
      </c>
      <c r="S696" s="214">
        <v>0</v>
      </c>
      <c r="T696" s="214">
        <v>0</v>
      </c>
      <c r="U696" s="214">
        <v>0</v>
      </c>
      <c r="V696" s="214">
        <v>0</v>
      </c>
      <c r="W696" s="214">
        <v>0</v>
      </c>
      <c r="X696" s="214">
        <v>0</v>
      </c>
      <c r="Y696" s="214">
        <v>0</v>
      </c>
      <c r="Z696" s="214">
        <v>0</v>
      </c>
      <c r="AA696" s="214">
        <v>0</v>
      </c>
      <c r="AB696" s="214">
        <v>0</v>
      </c>
      <c r="AC696" s="214">
        <v>0</v>
      </c>
      <c r="AD696" s="214"/>
      <c r="AE696" s="420">
        <v>0</v>
      </c>
      <c r="AF696" s="420">
        <v>0</v>
      </c>
      <c r="AG696" s="420">
        <v>0</v>
      </c>
      <c r="AH696" s="420"/>
      <c r="AI696" s="574">
        <f t="shared" si="16"/>
        <v>0</v>
      </c>
      <c r="AJ696" s="212"/>
    </row>
    <row r="697" spans="2:36" ht="14.4">
      <c r="B697" s="211"/>
      <c r="C697" s="213" t="s">
        <v>87</v>
      </c>
      <c r="D697" s="214">
        <v>0</v>
      </c>
      <c r="E697" s="214">
        <v>0</v>
      </c>
      <c r="F697" s="214">
        <v>0</v>
      </c>
      <c r="G697" s="214">
        <v>0</v>
      </c>
      <c r="H697" s="214">
        <v>1370</v>
      </c>
      <c r="I697" s="214">
        <v>0</v>
      </c>
      <c r="J697" s="214">
        <v>0</v>
      </c>
      <c r="K697" s="214">
        <v>0</v>
      </c>
      <c r="L697" s="214">
        <v>0</v>
      </c>
      <c r="M697" s="214">
        <v>0</v>
      </c>
      <c r="N697" s="214">
        <v>0</v>
      </c>
      <c r="O697" s="214">
        <v>0</v>
      </c>
      <c r="P697" s="214">
        <v>0</v>
      </c>
      <c r="Q697" s="214">
        <v>0</v>
      </c>
      <c r="R697" s="214">
        <v>0</v>
      </c>
      <c r="S697" s="214">
        <v>0</v>
      </c>
      <c r="T697" s="214">
        <v>0</v>
      </c>
      <c r="U697" s="214">
        <v>0</v>
      </c>
      <c r="V697" s="214">
        <v>0</v>
      </c>
      <c r="W697" s="214">
        <v>0</v>
      </c>
      <c r="X697" s="214">
        <v>0</v>
      </c>
      <c r="Y697" s="214">
        <v>0</v>
      </c>
      <c r="Z697" s="214">
        <v>0</v>
      </c>
      <c r="AA697" s="214">
        <v>0</v>
      </c>
      <c r="AB697" s="214">
        <v>600</v>
      </c>
      <c r="AC697" s="214">
        <v>0</v>
      </c>
      <c r="AD697" s="214"/>
      <c r="AE697" s="420">
        <v>5075</v>
      </c>
      <c r="AF697" s="420">
        <v>0</v>
      </c>
      <c r="AG697" s="420">
        <v>0</v>
      </c>
      <c r="AH697" s="420"/>
      <c r="AI697" s="574">
        <f t="shared" si="16"/>
        <v>7045</v>
      </c>
      <c r="AJ697" s="212"/>
    </row>
    <row r="698" spans="2:36" ht="14.4">
      <c r="B698" s="211"/>
      <c r="C698" s="213" t="s">
        <v>88</v>
      </c>
      <c r="D698" s="214">
        <v>0</v>
      </c>
      <c r="E698" s="214">
        <v>0</v>
      </c>
      <c r="F698" s="214">
        <v>0</v>
      </c>
      <c r="G698" s="214">
        <v>0</v>
      </c>
      <c r="H698" s="214">
        <v>0</v>
      </c>
      <c r="I698" s="214">
        <v>0</v>
      </c>
      <c r="J698" s="214">
        <v>0</v>
      </c>
      <c r="K698" s="214">
        <v>0</v>
      </c>
      <c r="L698" s="214">
        <v>0</v>
      </c>
      <c r="M698" s="214">
        <v>0</v>
      </c>
      <c r="N698" s="214">
        <v>0</v>
      </c>
      <c r="O698" s="214">
        <v>0</v>
      </c>
      <c r="P698" s="214">
        <v>0</v>
      </c>
      <c r="Q698" s="214">
        <v>0</v>
      </c>
      <c r="R698" s="214">
        <v>0</v>
      </c>
      <c r="S698" s="214">
        <v>0</v>
      </c>
      <c r="T698" s="214">
        <v>0</v>
      </c>
      <c r="U698" s="214">
        <v>0</v>
      </c>
      <c r="V698" s="214">
        <v>0</v>
      </c>
      <c r="W698" s="214">
        <v>0</v>
      </c>
      <c r="X698" s="214">
        <v>0</v>
      </c>
      <c r="Y698" s="214">
        <v>0</v>
      </c>
      <c r="Z698" s="214">
        <v>0</v>
      </c>
      <c r="AA698" s="214">
        <v>0</v>
      </c>
      <c r="AB698" s="214">
        <v>0</v>
      </c>
      <c r="AC698" s="214">
        <v>0</v>
      </c>
      <c r="AD698" s="214"/>
      <c r="AE698" s="420">
        <v>0</v>
      </c>
      <c r="AF698" s="420">
        <v>0</v>
      </c>
      <c r="AG698" s="420">
        <v>0</v>
      </c>
      <c r="AH698" s="420"/>
      <c r="AI698" s="574">
        <f t="shared" si="16"/>
        <v>0</v>
      </c>
      <c r="AJ698" s="212"/>
    </row>
    <row r="699" spans="2:36" ht="14.4">
      <c r="B699" s="211"/>
      <c r="C699" s="213" t="s">
        <v>89</v>
      </c>
      <c r="D699" s="214">
        <v>154820</v>
      </c>
      <c r="E699" s="214">
        <v>0</v>
      </c>
      <c r="F699" s="214">
        <v>0</v>
      </c>
      <c r="G699" s="214">
        <v>0</v>
      </c>
      <c r="H699" s="214">
        <v>0</v>
      </c>
      <c r="I699" s="214">
        <v>0</v>
      </c>
      <c r="J699" s="214">
        <v>0</v>
      </c>
      <c r="K699" s="214">
        <v>0</v>
      </c>
      <c r="L699" s="214">
        <v>0</v>
      </c>
      <c r="M699" s="214">
        <v>0</v>
      </c>
      <c r="N699" s="214">
        <v>0</v>
      </c>
      <c r="O699" s="214">
        <v>0</v>
      </c>
      <c r="P699" s="214">
        <v>0</v>
      </c>
      <c r="Q699" s="214">
        <v>0</v>
      </c>
      <c r="R699" s="214">
        <v>0</v>
      </c>
      <c r="S699" s="214">
        <v>0</v>
      </c>
      <c r="T699" s="214">
        <v>0</v>
      </c>
      <c r="U699" s="214">
        <v>0</v>
      </c>
      <c r="V699" s="214">
        <v>0</v>
      </c>
      <c r="W699" s="214">
        <v>0</v>
      </c>
      <c r="X699" s="214">
        <v>0</v>
      </c>
      <c r="Y699" s="214">
        <v>0</v>
      </c>
      <c r="Z699" s="214">
        <v>0</v>
      </c>
      <c r="AA699" s="214">
        <v>0</v>
      </c>
      <c r="AB699" s="214">
        <v>0</v>
      </c>
      <c r="AC699" s="214">
        <v>0</v>
      </c>
      <c r="AD699" s="214"/>
      <c r="AE699" s="420">
        <v>0</v>
      </c>
      <c r="AF699" s="420">
        <v>0</v>
      </c>
      <c r="AG699" s="420">
        <v>0</v>
      </c>
      <c r="AH699" s="420"/>
      <c r="AI699" s="574">
        <f t="shared" si="16"/>
        <v>154820</v>
      </c>
      <c r="AJ699" s="212"/>
    </row>
    <row r="700" spans="2:36" ht="14.4">
      <c r="B700" s="211"/>
      <c r="C700" s="213" t="s">
        <v>33</v>
      </c>
      <c r="D700" s="214">
        <v>15801.17</v>
      </c>
      <c r="E700" s="214">
        <v>5085</v>
      </c>
      <c r="F700" s="214">
        <v>6271.5</v>
      </c>
      <c r="G700" s="214">
        <v>1469</v>
      </c>
      <c r="H700" s="214">
        <v>3145.17</v>
      </c>
      <c r="I700" s="214">
        <v>0</v>
      </c>
      <c r="J700" s="214">
        <v>0</v>
      </c>
      <c r="K700" s="214">
        <v>0</v>
      </c>
      <c r="L700" s="214">
        <v>0</v>
      </c>
      <c r="M700" s="214">
        <v>1101.5</v>
      </c>
      <c r="N700" s="214">
        <v>0</v>
      </c>
      <c r="O700" s="214">
        <v>0</v>
      </c>
      <c r="P700" s="214">
        <v>0</v>
      </c>
      <c r="Q700" s="214">
        <v>4181</v>
      </c>
      <c r="R700" s="214">
        <v>395.5</v>
      </c>
      <c r="S700" s="214">
        <v>0</v>
      </c>
      <c r="T700" s="214">
        <v>0</v>
      </c>
      <c r="U700" s="214">
        <v>0</v>
      </c>
      <c r="V700" s="214">
        <v>0</v>
      </c>
      <c r="W700" s="214">
        <v>1700</v>
      </c>
      <c r="X700" s="214">
        <v>0</v>
      </c>
      <c r="Y700" s="214">
        <v>0</v>
      </c>
      <c r="Z700" s="214">
        <v>0</v>
      </c>
      <c r="AA700" s="214">
        <v>0</v>
      </c>
      <c r="AB700" s="214">
        <v>0</v>
      </c>
      <c r="AC700" s="214">
        <v>2071.67</v>
      </c>
      <c r="AD700" s="214"/>
      <c r="AE700" s="420">
        <v>1073.5</v>
      </c>
      <c r="AF700" s="420">
        <v>0</v>
      </c>
      <c r="AG700" s="420">
        <v>0</v>
      </c>
      <c r="AH700" s="420"/>
      <c r="AI700" s="574">
        <f t="shared" si="16"/>
        <v>42295.009999999995</v>
      </c>
      <c r="AJ700" s="212"/>
    </row>
    <row r="701" spans="2:36" ht="14.4">
      <c r="B701" s="211"/>
      <c r="C701" s="213" t="s">
        <v>90</v>
      </c>
      <c r="D701" s="214">
        <v>0</v>
      </c>
      <c r="E701" s="214">
        <v>0</v>
      </c>
      <c r="F701" s="214">
        <v>0</v>
      </c>
      <c r="G701" s="214">
        <v>0</v>
      </c>
      <c r="H701" s="214">
        <v>0</v>
      </c>
      <c r="I701" s="214">
        <v>0</v>
      </c>
      <c r="J701" s="214">
        <v>0</v>
      </c>
      <c r="K701" s="214">
        <v>0</v>
      </c>
      <c r="L701" s="214">
        <v>0</v>
      </c>
      <c r="M701" s="214">
        <v>0</v>
      </c>
      <c r="N701" s="214">
        <v>0</v>
      </c>
      <c r="O701" s="214">
        <v>0</v>
      </c>
      <c r="P701" s="214">
        <v>0</v>
      </c>
      <c r="Q701" s="214">
        <v>0</v>
      </c>
      <c r="R701" s="214">
        <v>0</v>
      </c>
      <c r="S701" s="214">
        <v>0</v>
      </c>
      <c r="T701" s="214">
        <v>0</v>
      </c>
      <c r="U701" s="214">
        <v>0</v>
      </c>
      <c r="V701" s="214">
        <v>0</v>
      </c>
      <c r="W701" s="214">
        <v>0</v>
      </c>
      <c r="X701" s="214">
        <v>0</v>
      </c>
      <c r="Y701" s="214">
        <v>0</v>
      </c>
      <c r="Z701" s="214">
        <v>0</v>
      </c>
      <c r="AA701" s="214">
        <v>0</v>
      </c>
      <c r="AB701" s="214">
        <v>0</v>
      </c>
      <c r="AC701" s="214">
        <v>0</v>
      </c>
      <c r="AD701" s="214"/>
      <c r="AE701" s="420">
        <v>0</v>
      </c>
      <c r="AF701" s="420">
        <v>0</v>
      </c>
      <c r="AG701" s="420">
        <v>0</v>
      </c>
      <c r="AH701" s="420"/>
      <c r="AI701" s="574">
        <f t="shared" si="16"/>
        <v>0</v>
      </c>
      <c r="AJ701" s="212"/>
    </row>
    <row r="702" spans="2:36" ht="14.4">
      <c r="B702" s="211"/>
      <c r="C702" s="213" t="s">
        <v>91</v>
      </c>
      <c r="D702" s="214">
        <v>13150</v>
      </c>
      <c r="E702" s="214">
        <v>120</v>
      </c>
      <c r="F702" s="214">
        <v>240</v>
      </c>
      <c r="G702" s="214">
        <v>0</v>
      </c>
      <c r="H702" s="214">
        <v>240</v>
      </c>
      <c r="I702" s="214">
        <v>0</v>
      </c>
      <c r="J702" s="214">
        <v>0</v>
      </c>
      <c r="K702" s="214">
        <v>0</v>
      </c>
      <c r="L702" s="214">
        <v>0</v>
      </c>
      <c r="M702" s="214">
        <v>120</v>
      </c>
      <c r="N702" s="214">
        <v>0</v>
      </c>
      <c r="O702" s="214">
        <v>120</v>
      </c>
      <c r="P702" s="214">
        <v>120</v>
      </c>
      <c r="Q702" s="214">
        <v>120</v>
      </c>
      <c r="R702" s="214">
        <v>0</v>
      </c>
      <c r="S702" s="214">
        <v>120</v>
      </c>
      <c r="T702" s="214">
        <v>0</v>
      </c>
      <c r="U702" s="214">
        <v>0</v>
      </c>
      <c r="V702" s="214">
        <v>0</v>
      </c>
      <c r="W702" s="214">
        <v>0</v>
      </c>
      <c r="X702" s="214">
        <v>0</v>
      </c>
      <c r="Y702" s="214">
        <v>0</v>
      </c>
      <c r="Z702" s="214">
        <v>0</v>
      </c>
      <c r="AA702" s="214">
        <v>0</v>
      </c>
      <c r="AB702" s="214">
        <v>0</v>
      </c>
      <c r="AC702" s="214">
        <v>0</v>
      </c>
      <c r="AD702" s="214"/>
      <c r="AE702" s="420">
        <v>120</v>
      </c>
      <c r="AF702" s="420">
        <v>0</v>
      </c>
      <c r="AG702" s="420">
        <v>500</v>
      </c>
      <c r="AH702" s="420"/>
      <c r="AI702" s="574">
        <f t="shared" ref="AI702:AI749" si="17">SUM(D702:AH702)</f>
        <v>14970</v>
      </c>
      <c r="AJ702" s="212"/>
    </row>
    <row r="703" spans="2:36" ht="14.4">
      <c r="B703" s="211"/>
      <c r="C703" s="213" t="s">
        <v>92</v>
      </c>
      <c r="D703" s="214">
        <v>0</v>
      </c>
      <c r="E703" s="214">
        <v>0</v>
      </c>
      <c r="F703" s="214">
        <v>0</v>
      </c>
      <c r="G703" s="214">
        <v>0</v>
      </c>
      <c r="H703" s="214">
        <v>0</v>
      </c>
      <c r="I703" s="214">
        <v>0</v>
      </c>
      <c r="J703" s="214">
        <v>0</v>
      </c>
      <c r="K703" s="214">
        <v>0</v>
      </c>
      <c r="L703" s="214">
        <v>0</v>
      </c>
      <c r="M703" s="214">
        <v>0</v>
      </c>
      <c r="N703" s="214">
        <v>0</v>
      </c>
      <c r="O703" s="214">
        <v>0</v>
      </c>
      <c r="P703" s="214">
        <v>0</v>
      </c>
      <c r="Q703" s="214">
        <v>0</v>
      </c>
      <c r="R703" s="214">
        <v>0</v>
      </c>
      <c r="S703" s="214">
        <v>0</v>
      </c>
      <c r="T703" s="214">
        <v>0</v>
      </c>
      <c r="U703" s="214">
        <v>0</v>
      </c>
      <c r="V703" s="214">
        <v>0</v>
      </c>
      <c r="W703" s="214">
        <v>0</v>
      </c>
      <c r="X703" s="214">
        <v>0</v>
      </c>
      <c r="Y703" s="214">
        <v>0</v>
      </c>
      <c r="Z703" s="214">
        <v>0</v>
      </c>
      <c r="AA703" s="214">
        <v>0</v>
      </c>
      <c r="AB703" s="214">
        <v>0</v>
      </c>
      <c r="AC703" s="214">
        <v>0</v>
      </c>
      <c r="AD703" s="214"/>
      <c r="AE703" s="420">
        <v>0</v>
      </c>
      <c r="AF703" s="420">
        <v>0</v>
      </c>
      <c r="AG703" s="420">
        <v>0</v>
      </c>
      <c r="AH703" s="420"/>
      <c r="AI703" s="574">
        <f t="shared" si="17"/>
        <v>0</v>
      </c>
      <c r="AJ703" s="212"/>
    </row>
    <row r="704" spans="2:36" ht="14.4">
      <c r="B704" s="211"/>
      <c r="C704" s="213" t="s">
        <v>93</v>
      </c>
      <c r="D704" s="214">
        <v>0</v>
      </c>
      <c r="E704" s="214">
        <v>0</v>
      </c>
      <c r="F704" s="214">
        <v>0</v>
      </c>
      <c r="G704" s="214">
        <v>0</v>
      </c>
      <c r="H704" s="214">
        <v>0</v>
      </c>
      <c r="I704" s="214">
        <v>0</v>
      </c>
      <c r="J704" s="214">
        <v>0</v>
      </c>
      <c r="K704" s="214">
        <v>0</v>
      </c>
      <c r="L704" s="214">
        <v>0</v>
      </c>
      <c r="M704" s="214">
        <v>0</v>
      </c>
      <c r="N704" s="214">
        <v>0</v>
      </c>
      <c r="O704" s="214">
        <v>0</v>
      </c>
      <c r="P704" s="214">
        <v>0</v>
      </c>
      <c r="Q704" s="214">
        <v>0</v>
      </c>
      <c r="R704" s="214">
        <v>0</v>
      </c>
      <c r="S704" s="214">
        <v>0</v>
      </c>
      <c r="T704" s="214">
        <v>0</v>
      </c>
      <c r="U704" s="214">
        <v>0</v>
      </c>
      <c r="V704" s="214">
        <v>0</v>
      </c>
      <c r="W704" s="214">
        <v>0</v>
      </c>
      <c r="X704" s="214">
        <v>0</v>
      </c>
      <c r="Y704" s="214">
        <v>0</v>
      </c>
      <c r="Z704" s="214">
        <v>0</v>
      </c>
      <c r="AA704" s="214">
        <v>0</v>
      </c>
      <c r="AB704" s="214">
        <v>0</v>
      </c>
      <c r="AC704" s="214">
        <v>0</v>
      </c>
      <c r="AD704" s="214"/>
      <c r="AE704" s="420">
        <v>0</v>
      </c>
      <c r="AF704" s="420">
        <v>0</v>
      </c>
      <c r="AG704" s="420">
        <v>0</v>
      </c>
      <c r="AH704" s="420"/>
      <c r="AI704" s="574">
        <f t="shared" si="17"/>
        <v>0</v>
      </c>
      <c r="AJ704" s="212"/>
    </row>
    <row r="705" spans="2:36" ht="14.4">
      <c r="B705" s="211"/>
      <c r="C705" s="213" t="s">
        <v>94</v>
      </c>
      <c r="D705" s="214">
        <v>101575</v>
      </c>
      <c r="E705" s="214">
        <v>7230</v>
      </c>
      <c r="F705" s="214">
        <v>5500</v>
      </c>
      <c r="G705" s="214">
        <v>6070</v>
      </c>
      <c r="H705" s="214">
        <v>2500</v>
      </c>
      <c r="I705" s="214">
        <v>1050</v>
      </c>
      <c r="J705" s="214">
        <v>0</v>
      </c>
      <c r="K705" s="214">
        <v>0</v>
      </c>
      <c r="L705" s="214">
        <v>0</v>
      </c>
      <c r="M705" s="214">
        <v>2000</v>
      </c>
      <c r="N705" s="214">
        <v>2265</v>
      </c>
      <c r="O705" s="214">
        <v>90</v>
      </c>
      <c r="P705" s="214">
        <v>3100</v>
      </c>
      <c r="Q705" s="214">
        <v>4650</v>
      </c>
      <c r="R705" s="214">
        <v>2200</v>
      </c>
      <c r="S705" s="214">
        <v>75</v>
      </c>
      <c r="T705" s="214">
        <v>0</v>
      </c>
      <c r="U705" s="214">
        <v>0</v>
      </c>
      <c r="V705" s="214">
        <v>0</v>
      </c>
      <c r="W705" s="214">
        <v>0</v>
      </c>
      <c r="X705" s="214">
        <v>1320</v>
      </c>
      <c r="Y705" s="214">
        <v>0</v>
      </c>
      <c r="Z705" s="214">
        <v>0</v>
      </c>
      <c r="AA705" s="214">
        <v>0</v>
      </c>
      <c r="AB705" s="214">
        <v>0</v>
      </c>
      <c r="AC705" s="214">
        <v>0</v>
      </c>
      <c r="AD705" s="214"/>
      <c r="AE705" s="420">
        <v>6000</v>
      </c>
      <c r="AF705" s="420">
        <v>0</v>
      </c>
      <c r="AG705" s="420">
        <v>0</v>
      </c>
      <c r="AH705" s="420"/>
      <c r="AI705" s="574">
        <f t="shared" si="17"/>
        <v>145625</v>
      </c>
      <c r="AJ705" s="212"/>
    </row>
    <row r="706" spans="2:36" ht="14.4">
      <c r="B706" s="211"/>
      <c r="C706" s="213" t="s">
        <v>95</v>
      </c>
      <c r="D706" s="214">
        <v>0</v>
      </c>
      <c r="E706" s="214">
        <v>0</v>
      </c>
      <c r="F706" s="214">
        <v>0</v>
      </c>
      <c r="G706" s="214">
        <v>0</v>
      </c>
      <c r="H706" s="214">
        <v>0</v>
      </c>
      <c r="I706" s="214">
        <v>0</v>
      </c>
      <c r="J706" s="214">
        <v>0</v>
      </c>
      <c r="K706" s="214">
        <v>0</v>
      </c>
      <c r="L706" s="214">
        <v>0</v>
      </c>
      <c r="M706" s="214">
        <v>0</v>
      </c>
      <c r="N706" s="214">
        <v>0</v>
      </c>
      <c r="O706" s="214">
        <v>2395</v>
      </c>
      <c r="P706" s="214">
        <v>0</v>
      </c>
      <c r="Q706" s="214">
        <v>0</v>
      </c>
      <c r="R706" s="214">
        <v>0</v>
      </c>
      <c r="S706" s="214">
        <v>0</v>
      </c>
      <c r="T706" s="214">
        <v>0</v>
      </c>
      <c r="U706" s="214">
        <v>0</v>
      </c>
      <c r="V706" s="214">
        <v>0</v>
      </c>
      <c r="W706" s="214">
        <v>0</v>
      </c>
      <c r="X706" s="214">
        <v>0</v>
      </c>
      <c r="Y706" s="214">
        <v>0</v>
      </c>
      <c r="Z706" s="214">
        <v>0</v>
      </c>
      <c r="AA706" s="214">
        <v>0</v>
      </c>
      <c r="AB706" s="214">
        <v>0</v>
      </c>
      <c r="AC706" s="214">
        <v>0</v>
      </c>
      <c r="AD706" s="214"/>
      <c r="AE706" s="420">
        <v>2395</v>
      </c>
      <c r="AF706" s="420">
        <v>0</v>
      </c>
      <c r="AG706" s="420">
        <v>0</v>
      </c>
      <c r="AH706" s="420"/>
      <c r="AI706" s="574">
        <f t="shared" si="17"/>
        <v>4790</v>
      </c>
      <c r="AJ706" s="212"/>
    </row>
    <row r="707" spans="2:36" ht="14.4">
      <c r="B707" s="211"/>
      <c r="C707" s="213" t="s">
        <v>96</v>
      </c>
      <c r="D707" s="214">
        <v>0</v>
      </c>
      <c r="E707" s="214">
        <v>0</v>
      </c>
      <c r="F707" s="214">
        <v>0</v>
      </c>
      <c r="G707" s="214">
        <v>0</v>
      </c>
      <c r="H707" s="214">
        <v>0</v>
      </c>
      <c r="I707" s="214">
        <v>0</v>
      </c>
      <c r="J707" s="214">
        <v>0</v>
      </c>
      <c r="K707" s="214">
        <v>0</v>
      </c>
      <c r="L707" s="214">
        <v>0</v>
      </c>
      <c r="M707" s="214">
        <v>0</v>
      </c>
      <c r="N707" s="214">
        <v>0</v>
      </c>
      <c r="O707" s="214">
        <v>0</v>
      </c>
      <c r="P707" s="214">
        <v>0</v>
      </c>
      <c r="Q707" s="214">
        <v>0</v>
      </c>
      <c r="R707" s="214">
        <v>0</v>
      </c>
      <c r="S707" s="214">
        <v>0</v>
      </c>
      <c r="T707" s="214">
        <v>0</v>
      </c>
      <c r="U707" s="214">
        <v>0</v>
      </c>
      <c r="V707" s="214">
        <v>0</v>
      </c>
      <c r="W707" s="214">
        <v>0</v>
      </c>
      <c r="X707" s="214">
        <v>0</v>
      </c>
      <c r="Y707" s="214">
        <v>0</v>
      </c>
      <c r="Z707" s="214">
        <v>0</v>
      </c>
      <c r="AA707" s="214">
        <v>0</v>
      </c>
      <c r="AB707" s="214">
        <v>0</v>
      </c>
      <c r="AC707" s="214">
        <v>0</v>
      </c>
      <c r="AD707" s="214"/>
      <c r="AE707" s="420">
        <v>0</v>
      </c>
      <c r="AF707" s="420">
        <v>0</v>
      </c>
      <c r="AG707" s="420">
        <v>0</v>
      </c>
      <c r="AH707" s="420"/>
      <c r="AI707" s="574">
        <f t="shared" si="17"/>
        <v>0</v>
      </c>
      <c r="AJ707" s="212"/>
    </row>
    <row r="708" spans="2:36" ht="14.4">
      <c r="B708" s="211"/>
      <c r="C708" s="213" t="s">
        <v>97</v>
      </c>
      <c r="D708" s="214">
        <v>2242.5100000000002</v>
      </c>
      <c r="E708" s="214">
        <v>0</v>
      </c>
      <c r="F708" s="214">
        <v>0</v>
      </c>
      <c r="G708" s="214">
        <v>0</v>
      </c>
      <c r="H708" s="214">
        <v>719.3</v>
      </c>
      <c r="I708" s="214">
        <v>296.3</v>
      </c>
      <c r="J708" s="214">
        <v>435</v>
      </c>
      <c r="K708" s="214">
        <v>296.3</v>
      </c>
      <c r="L708" s="214">
        <v>0</v>
      </c>
      <c r="M708" s="214">
        <v>296.3</v>
      </c>
      <c r="N708" s="214">
        <v>296.3</v>
      </c>
      <c r="O708" s="214">
        <v>0</v>
      </c>
      <c r="P708" s="214">
        <v>550</v>
      </c>
      <c r="Q708" s="214">
        <v>592.63</v>
      </c>
      <c r="R708" s="214">
        <v>296.3</v>
      </c>
      <c r="S708" s="214">
        <v>719.31</v>
      </c>
      <c r="T708" s="214">
        <v>0</v>
      </c>
      <c r="U708" s="214">
        <v>296.3</v>
      </c>
      <c r="V708" s="214">
        <v>280</v>
      </c>
      <c r="W708" s="214">
        <v>290</v>
      </c>
      <c r="X708" s="214">
        <v>296.3</v>
      </c>
      <c r="Y708" s="214">
        <v>296.3</v>
      </c>
      <c r="Z708" s="214">
        <v>290</v>
      </c>
      <c r="AA708" s="214">
        <v>296.31</v>
      </c>
      <c r="AB708" s="214">
        <v>0</v>
      </c>
      <c r="AC708" s="214">
        <v>375</v>
      </c>
      <c r="AD708" s="214"/>
      <c r="AE708" s="420">
        <v>360</v>
      </c>
      <c r="AF708" s="420">
        <v>0</v>
      </c>
      <c r="AG708" s="420">
        <v>290</v>
      </c>
      <c r="AH708" s="420"/>
      <c r="AI708" s="574">
        <f t="shared" si="17"/>
        <v>9810.4600000000009</v>
      </c>
      <c r="AJ708" s="212"/>
    </row>
    <row r="709" spans="2:36" ht="14.4">
      <c r="B709" s="211"/>
      <c r="C709" s="213" t="s">
        <v>192</v>
      </c>
      <c r="D709" s="214">
        <v>7933</v>
      </c>
      <c r="E709" s="214">
        <v>0</v>
      </c>
      <c r="F709" s="214">
        <v>0</v>
      </c>
      <c r="G709" s="214">
        <v>0</v>
      </c>
      <c r="H709" s="214">
        <v>0</v>
      </c>
      <c r="I709" s="214">
        <v>0</v>
      </c>
      <c r="J709" s="214">
        <v>0</v>
      </c>
      <c r="K709" s="214">
        <v>0</v>
      </c>
      <c r="L709" s="214">
        <v>0</v>
      </c>
      <c r="M709" s="214">
        <v>0</v>
      </c>
      <c r="N709" s="214">
        <v>0</v>
      </c>
      <c r="O709" s="214">
        <v>0</v>
      </c>
      <c r="P709" s="214">
        <v>0</v>
      </c>
      <c r="Q709" s="214">
        <v>0</v>
      </c>
      <c r="R709" s="214">
        <v>0</v>
      </c>
      <c r="S709" s="214">
        <v>0</v>
      </c>
      <c r="T709" s="214">
        <v>0</v>
      </c>
      <c r="U709" s="214">
        <v>0</v>
      </c>
      <c r="V709" s="214">
        <v>0</v>
      </c>
      <c r="W709" s="214">
        <v>0</v>
      </c>
      <c r="X709" s="214">
        <v>0</v>
      </c>
      <c r="Y709" s="214">
        <v>0</v>
      </c>
      <c r="Z709" s="214">
        <v>0</v>
      </c>
      <c r="AA709" s="214">
        <v>0</v>
      </c>
      <c r="AB709" s="214">
        <v>0</v>
      </c>
      <c r="AC709" s="214">
        <v>0</v>
      </c>
      <c r="AD709" s="214"/>
      <c r="AE709" s="420">
        <v>0</v>
      </c>
      <c r="AF709" s="420">
        <v>0</v>
      </c>
      <c r="AG709" s="420">
        <v>0</v>
      </c>
      <c r="AH709" s="420"/>
      <c r="AI709" s="574">
        <f t="shared" si="17"/>
        <v>7933</v>
      </c>
      <c r="AJ709" s="212"/>
    </row>
    <row r="710" spans="2:36" ht="14.4">
      <c r="B710" s="211"/>
      <c r="C710" s="213" t="s">
        <v>98</v>
      </c>
      <c r="D710" s="214">
        <v>0</v>
      </c>
      <c r="E710" s="214">
        <v>0</v>
      </c>
      <c r="F710" s="214">
        <v>0</v>
      </c>
      <c r="G710" s="214">
        <v>0</v>
      </c>
      <c r="H710" s="214">
        <v>0</v>
      </c>
      <c r="I710" s="214">
        <v>0</v>
      </c>
      <c r="J710" s="214">
        <v>0</v>
      </c>
      <c r="K710" s="214">
        <v>0</v>
      </c>
      <c r="L710" s="214">
        <v>0</v>
      </c>
      <c r="M710" s="214">
        <v>0</v>
      </c>
      <c r="N710" s="214">
        <v>0</v>
      </c>
      <c r="O710" s="214">
        <v>0</v>
      </c>
      <c r="P710" s="214">
        <v>0</v>
      </c>
      <c r="Q710" s="214">
        <v>0</v>
      </c>
      <c r="R710" s="214">
        <v>0</v>
      </c>
      <c r="S710" s="214">
        <v>0</v>
      </c>
      <c r="T710" s="214">
        <v>0</v>
      </c>
      <c r="U710" s="214">
        <v>0</v>
      </c>
      <c r="V710" s="214">
        <v>0</v>
      </c>
      <c r="W710" s="214">
        <v>0</v>
      </c>
      <c r="X710" s="214">
        <v>0</v>
      </c>
      <c r="Y710" s="214">
        <v>0</v>
      </c>
      <c r="Z710" s="214">
        <v>0</v>
      </c>
      <c r="AA710" s="214">
        <v>0</v>
      </c>
      <c r="AB710" s="214">
        <v>0</v>
      </c>
      <c r="AC710" s="214">
        <v>0</v>
      </c>
      <c r="AD710" s="214"/>
      <c r="AE710" s="420">
        <v>0</v>
      </c>
      <c r="AF710" s="420">
        <v>0</v>
      </c>
      <c r="AG710" s="420">
        <v>0</v>
      </c>
      <c r="AH710" s="420"/>
      <c r="AI710" s="574">
        <f t="shared" si="17"/>
        <v>0</v>
      </c>
      <c r="AJ710" s="212"/>
    </row>
    <row r="711" spans="2:36" ht="14.4">
      <c r="B711" s="211"/>
      <c r="C711" s="213" t="s">
        <v>99</v>
      </c>
      <c r="D711" s="214">
        <v>6433.05</v>
      </c>
      <c r="E711" s="214">
        <v>0</v>
      </c>
      <c r="F711" s="214">
        <v>0</v>
      </c>
      <c r="G711" s="214">
        <v>0</v>
      </c>
      <c r="H711" s="214">
        <v>0</v>
      </c>
      <c r="I711" s="214">
        <v>0</v>
      </c>
      <c r="J711" s="214">
        <v>0</v>
      </c>
      <c r="K711" s="214">
        <v>0</v>
      </c>
      <c r="L711" s="214">
        <v>2.46</v>
      </c>
      <c r="M711" s="214">
        <v>0</v>
      </c>
      <c r="N711" s="214">
        <v>0</v>
      </c>
      <c r="O711" s="214">
        <v>0</v>
      </c>
      <c r="P711" s="214">
        <v>0</v>
      </c>
      <c r="Q711" s="214">
        <v>0</v>
      </c>
      <c r="R711" s="214">
        <v>0</v>
      </c>
      <c r="S711" s="214">
        <v>0</v>
      </c>
      <c r="T711" s="214">
        <v>0</v>
      </c>
      <c r="U711" s="214">
        <v>0</v>
      </c>
      <c r="V711" s="214">
        <v>0</v>
      </c>
      <c r="W711" s="214">
        <v>0</v>
      </c>
      <c r="X711" s="214">
        <v>0</v>
      </c>
      <c r="Y711" s="214">
        <v>0</v>
      </c>
      <c r="Z711" s="214">
        <v>0</v>
      </c>
      <c r="AA711" s="214">
        <v>0</v>
      </c>
      <c r="AB711" s="214">
        <v>0</v>
      </c>
      <c r="AC711" s="214">
        <v>0</v>
      </c>
      <c r="AD711" s="214"/>
      <c r="AE711" s="420">
        <v>0</v>
      </c>
      <c r="AF711" s="420">
        <v>0</v>
      </c>
      <c r="AG711" s="420">
        <v>0</v>
      </c>
      <c r="AH711" s="420"/>
      <c r="AI711" s="574">
        <f t="shared" si="17"/>
        <v>6435.51</v>
      </c>
      <c r="AJ711" s="212"/>
    </row>
    <row r="712" spans="2:36" ht="14.4">
      <c r="B712" s="211"/>
      <c r="C712" s="213" t="s">
        <v>100</v>
      </c>
      <c r="D712" s="214">
        <v>1660.47</v>
      </c>
      <c r="E712" s="214">
        <v>103.08</v>
      </c>
      <c r="F712" s="214">
        <v>0</v>
      </c>
      <c r="G712" s="214">
        <v>11.91</v>
      </c>
      <c r="H712" s="214">
        <v>0</v>
      </c>
      <c r="I712" s="214">
        <v>0</v>
      </c>
      <c r="J712" s="214">
        <v>0</v>
      </c>
      <c r="K712" s="214">
        <v>0</v>
      </c>
      <c r="L712" s="214">
        <v>0</v>
      </c>
      <c r="M712" s="214">
        <v>0</v>
      </c>
      <c r="N712" s="214">
        <v>0</v>
      </c>
      <c r="O712" s="214">
        <v>56.16</v>
      </c>
      <c r="P712" s="214">
        <v>0</v>
      </c>
      <c r="Q712" s="214">
        <v>23.33</v>
      </c>
      <c r="R712" s="214">
        <v>0</v>
      </c>
      <c r="S712" s="214">
        <v>0</v>
      </c>
      <c r="T712" s="214">
        <v>43.17</v>
      </c>
      <c r="U712" s="214">
        <v>0</v>
      </c>
      <c r="V712" s="214">
        <v>0</v>
      </c>
      <c r="W712" s="214">
        <v>0</v>
      </c>
      <c r="X712" s="214">
        <v>0</v>
      </c>
      <c r="Y712" s="214">
        <v>0</v>
      </c>
      <c r="Z712" s="214">
        <v>168.33</v>
      </c>
      <c r="AA712" s="214">
        <v>176.5</v>
      </c>
      <c r="AB712" s="214">
        <v>0</v>
      </c>
      <c r="AC712" s="214">
        <v>0</v>
      </c>
      <c r="AD712" s="214"/>
      <c r="AE712" s="420">
        <v>143.34</v>
      </c>
      <c r="AF712" s="420">
        <v>0</v>
      </c>
      <c r="AG712" s="420">
        <v>0</v>
      </c>
      <c r="AH712" s="420"/>
      <c r="AI712" s="574">
        <f t="shared" si="17"/>
        <v>2386.2900000000004</v>
      </c>
      <c r="AJ712" s="212"/>
    </row>
    <row r="713" spans="2:36" ht="14.4">
      <c r="B713" s="211"/>
      <c r="C713" s="213" t="s">
        <v>101</v>
      </c>
      <c r="D713" s="214">
        <v>112.5</v>
      </c>
      <c r="E713" s="214">
        <v>1065.6600000000001</v>
      </c>
      <c r="F713" s="214">
        <v>172.18</v>
      </c>
      <c r="G713" s="214">
        <v>337.26</v>
      </c>
      <c r="H713" s="214">
        <v>457.42</v>
      </c>
      <c r="I713" s="214">
        <v>0</v>
      </c>
      <c r="J713" s="214">
        <v>0</v>
      </c>
      <c r="K713" s="214">
        <v>0</v>
      </c>
      <c r="L713" s="214">
        <v>0</v>
      </c>
      <c r="M713" s="214">
        <v>0</v>
      </c>
      <c r="N713" s="214">
        <v>0</v>
      </c>
      <c r="O713" s="214">
        <v>0</v>
      </c>
      <c r="P713" s="214">
        <v>0</v>
      </c>
      <c r="Q713" s="214">
        <v>608.41</v>
      </c>
      <c r="R713" s="214">
        <v>0</v>
      </c>
      <c r="S713" s="214">
        <v>0</v>
      </c>
      <c r="T713" s="214">
        <v>0</v>
      </c>
      <c r="U713" s="214">
        <v>0</v>
      </c>
      <c r="V713" s="214">
        <v>0</v>
      </c>
      <c r="W713" s="214">
        <v>0</v>
      </c>
      <c r="X713" s="214">
        <v>103.5</v>
      </c>
      <c r="Y713" s="214">
        <v>0</v>
      </c>
      <c r="Z713" s="214">
        <v>0</v>
      </c>
      <c r="AA713" s="214">
        <v>0</v>
      </c>
      <c r="AB713" s="214">
        <v>0</v>
      </c>
      <c r="AC713" s="214">
        <v>0</v>
      </c>
      <c r="AD713" s="214"/>
      <c r="AE713" s="420">
        <v>0</v>
      </c>
      <c r="AF713" s="420">
        <v>0</v>
      </c>
      <c r="AG713" s="420">
        <v>0</v>
      </c>
      <c r="AH713" s="420"/>
      <c r="AI713" s="574">
        <f t="shared" si="17"/>
        <v>2856.93</v>
      </c>
      <c r="AJ713" s="212"/>
    </row>
    <row r="714" spans="2:36" ht="14.4">
      <c r="B714" s="211"/>
      <c r="C714" s="213" t="s">
        <v>102</v>
      </c>
      <c r="D714" s="214">
        <v>20404.63</v>
      </c>
      <c r="E714" s="214">
        <v>759.2</v>
      </c>
      <c r="F714" s="214">
        <v>1740.65</v>
      </c>
      <c r="G714" s="214">
        <v>679.31</v>
      </c>
      <c r="H714" s="214">
        <v>1590.88</v>
      </c>
      <c r="I714" s="214">
        <v>667.77</v>
      </c>
      <c r="J714" s="214">
        <v>150.66</v>
      </c>
      <c r="K714" s="214">
        <v>407.27</v>
      </c>
      <c r="L714" s="214">
        <v>289.57</v>
      </c>
      <c r="M714" s="214">
        <v>1539.54</v>
      </c>
      <c r="N714" s="214">
        <v>622.67999999999995</v>
      </c>
      <c r="O714" s="214">
        <v>2325.88</v>
      </c>
      <c r="P714" s="214">
        <v>1633.4</v>
      </c>
      <c r="Q714" s="214">
        <v>1560.52</v>
      </c>
      <c r="R714" s="214">
        <v>0</v>
      </c>
      <c r="S714" s="214">
        <v>423.72</v>
      </c>
      <c r="T714" s="214">
        <v>75.33</v>
      </c>
      <c r="U714" s="214">
        <v>8.59</v>
      </c>
      <c r="V714" s="214">
        <v>0.02</v>
      </c>
      <c r="W714" s="214">
        <v>0</v>
      </c>
      <c r="X714" s="214">
        <v>23.96</v>
      </c>
      <c r="Y714" s="214">
        <v>75.75</v>
      </c>
      <c r="Z714" s="214">
        <v>192.53</v>
      </c>
      <c r="AA714" s="214">
        <v>168.76</v>
      </c>
      <c r="AB714" s="214">
        <v>375.48</v>
      </c>
      <c r="AC714" s="214">
        <v>349.46</v>
      </c>
      <c r="AD714" s="214"/>
      <c r="AE714" s="420">
        <v>3789.58</v>
      </c>
      <c r="AF714" s="420">
        <v>1947.14</v>
      </c>
      <c r="AG714" s="420">
        <v>2382.66</v>
      </c>
      <c r="AH714" s="420"/>
      <c r="AI714" s="574">
        <f t="shared" si="17"/>
        <v>44184.94</v>
      </c>
      <c r="AJ714" s="212"/>
    </row>
    <row r="715" spans="2:36" ht="14.4">
      <c r="B715" s="211"/>
      <c r="C715" s="213" t="s">
        <v>103</v>
      </c>
      <c r="D715" s="214">
        <v>3301.12</v>
      </c>
      <c r="E715" s="214">
        <v>98.57</v>
      </c>
      <c r="F715" s="214">
        <v>106.41</v>
      </c>
      <c r="G715" s="214">
        <v>85.22</v>
      </c>
      <c r="H715" s="214">
        <v>127.55</v>
      </c>
      <c r="I715" s="214">
        <v>53.44</v>
      </c>
      <c r="J715" s="214">
        <v>53.44</v>
      </c>
      <c r="K715" s="214">
        <v>53.44</v>
      </c>
      <c r="L715" s="214">
        <v>53.44</v>
      </c>
      <c r="M715" s="214">
        <v>0</v>
      </c>
      <c r="N715" s="214">
        <v>53.44</v>
      </c>
      <c r="O715" s="214">
        <v>53.44</v>
      </c>
      <c r="P715" s="214">
        <v>98.65</v>
      </c>
      <c r="Q715" s="214">
        <v>53.44</v>
      </c>
      <c r="R715" s="214">
        <v>53.44</v>
      </c>
      <c r="S715" s="214">
        <v>98.57</v>
      </c>
      <c r="T715" s="214">
        <v>53.44</v>
      </c>
      <c r="U715" s="214">
        <v>53.44</v>
      </c>
      <c r="V715" s="214">
        <v>53.44</v>
      </c>
      <c r="W715" s="214">
        <v>53.44</v>
      </c>
      <c r="X715" s="214">
        <v>53.44</v>
      </c>
      <c r="Y715" s="214">
        <v>53.44</v>
      </c>
      <c r="Z715" s="214">
        <v>539.9</v>
      </c>
      <c r="AA715" s="214">
        <v>331.54</v>
      </c>
      <c r="AB715" s="214">
        <v>0</v>
      </c>
      <c r="AC715" s="214">
        <v>0</v>
      </c>
      <c r="AD715" s="214"/>
      <c r="AE715" s="420">
        <v>1402.26</v>
      </c>
      <c r="AF715" s="420">
        <v>0</v>
      </c>
      <c r="AG715" s="420">
        <v>90.26</v>
      </c>
      <c r="AH715" s="420"/>
      <c r="AI715" s="574">
        <f t="shared" si="17"/>
        <v>7028.2099999999964</v>
      </c>
      <c r="AJ715" s="212"/>
    </row>
    <row r="716" spans="2:36" ht="14.4">
      <c r="B716" s="211"/>
      <c r="C716" s="213" t="s">
        <v>104</v>
      </c>
      <c r="D716" s="214">
        <v>5101.71</v>
      </c>
      <c r="E716" s="214">
        <v>395</v>
      </c>
      <c r="F716" s="214">
        <v>216.99</v>
      </c>
      <c r="G716" s="214">
        <v>320.52999999999997</v>
      </c>
      <c r="H716" s="214">
        <v>888.82</v>
      </c>
      <c r="I716" s="214">
        <v>107.34</v>
      </c>
      <c r="J716" s="214">
        <v>147.91999999999999</v>
      </c>
      <c r="K716" s="214">
        <v>0</v>
      </c>
      <c r="L716" s="214">
        <v>0</v>
      </c>
      <c r="M716" s="214">
        <v>417.72</v>
      </c>
      <c r="N716" s="214">
        <v>107.34</v>
      </c>
      <c r="O716" s="214">
        <v>297.14</v>
      </c>
      <c r="P716" s="214">
        <v>267.3</v>
      </c>
      <c r="Q716" s="214">
        <v>300.8</v>
      </c>
      <c r="R716" s="214">
        <v>843.3</v>
      </c>
      <c r="S716" s="214">
        <v>121.51</v>
      </c>
      <c r="T716" s="214">
        <v>227.5</v>
      </c>
      <c r="U716" s="214">
        <v>275.83</v>
      </c>
      <c r="V716" s="214">
        <v>44.58</v>
      </c>
      <c r="W716" s="214">
        <v>45.83</v>
      </c>
      <c r="X716" s="214">
        <v>85.83</v>
      </c>
      <c r="Y716" s="214">
        <v>52.92</v>
      </c>
      <c r="Z716" s="214">
        <v>101.05</v>
      </c>
      <c r="AA716" s="214">
        <v>112.5</v>
      </c>
      <c r="AB716" s="214">
        <v>110.42</v>
      </c>
      <c r="AC716" s="214">
        <v>244.38</v>
      </c>
      <c r="AD716" s="214"/>
      <c r="AE716" s="420">
        <v>329.41</v>
      </c>
      <c r="AF716" s="420">
        <v>302.44</v>
      </c>
      <c r="AG716" s="420">
        <v>318.27</v>
      </c>
      <c r="AH716" s="420"/>
      <c r="AI716" s="574">
        <f t="shared" si="17"/>
        <v>11784.379999999997</v>
      </c>
      <c r="AJ716" s="212"/>
    </row>
    <row r="717" spans="2:36" ht="14.4">
      <c r="B717" s="211"/>
      <c r="C717" s="213" t="s">
        <v>105</v>
      </c>
      <c r="D717" s="214">
        <v>966.44</v>
      </c>
      <c r="E717" s="214">
        <v>8875.65</v>
      </c>
      <c r="F717" s="214">
        <v>0</v>
      </c>
      <c r="G717" s="214">
        <v>0</v>
      </c>
      <c r="H717" s="214">
        <v>0</v>
      </c>
      <c r="I717" s="214">
        <v>87.25</v>
      </c>
      <c r="J717" s="214">
        <v>0</v>
      </c>
      <c r="K717" s="214">
        <v>33.75</v>
      </c>
      <c r="L717" s="214">
        <v>0</v>
      </c>
      <c r="M717" s="214">
        <v>1500</v>
      </c>
      <c r="N717" s="214">
        <v>0</v>
      </c>
      <c r="O717" s="214">
        <v>228.08</v>
      </c>
      <c r="P717" s="214">
        <v>56.25</v>
      </c>
      <c r="Q717" s="214">
        <v>5644.11</v>
      </c>
      <c r="R717" s="214">
        <v>887.49</v>
      </c>
      <c r="S717" s="214">
        <v>1004.92</v>
      </c>
      <c r="T717" s="214">
        <v>0</v>
      </c>
      <c r="U717" s="214">
        <v>570.41999999999996</v>
      </c>
      <c r="V717" s="214">
        <v>6</v>
      </c>
      <c r="W717" s="214">
        <v>17.3</v>
      </c>
      <c r="X717" s="214">
        <v>14.67</v>
      </c>
      <c r="Y717" s="214">
        <v>918.67</v>
      </c>
      <c r="Z717" s="214">
        <v>15</v>
      </c>
      <c r="AA717" s="214">
        <v>12.5</v>
      </c>
      <c r="AB717" s="214">
        <v>225.58</v>
      </c>
      <c r="AC717" s="214">
        <v>59.33</v>
      </c>
      <c r="AD717" s="214"/>
      <c r="AE717" s="420">
        <v>1072.1199999999999</v>
      </c>
      <c r="AF717" s="420">
        <v>340.15</v>
      </c>
      <c r="AG717" s="420">
        <v>515.15</v>
      </c>
      <c r="AH717" s="420"/>
      <c r="AI717" s="574">
        <f t="shared" si="17"/>
        <v>23050.829999999998</v>
      </c>
      <c r="AJ717" s="212"/>
    </row>
    <row r="718" spans="2:36" ht="14.4">
      <c r="B718" s="211"/>
      <c r="C718" s="213" t="s">
        <v>106</v>
      </c>
      <c r="D718" s="214">
        <v>0</v>
      </c>
      <c r="E718" s="214">
        <v>0</v>
      </c>
      <c r="F718" s="214">
        <v>0</v>
      </c>
      <c r="G718" s="214">
        <v>0</v>
      </c>
      <c r="H718" s="214">
        <v>0</v>
      </c>
      <c r="I718" s="214">
        <v>0</v>
      </c>
      <c r="J718" s="214">
        <v>0</v>
      </c>
      <c r="K718" s="214">
        <v>0</v>
      </c>
      <c r="L718" s="214">
        <v>0</v>
      </c>
      <c r="M718" s="214">
        <v>0</v>
      </c>
      <c r="N718" s="214">
        <v>0</v>
      </c>
      <c r="O718" s="214">
        <v>0</v>
      </c>
      <c r="P718" s="214">
        <v>0</v>
      </c>
      <c r="Q718" s="214">
        <v>0</v>
      </c>
      <c r="R718" s="214">
        <v>0</v>
      </c>
      <c r="S718" s="214">
        <v>0</v>
      </c>
      <c r="T718" s="214">
        <v>0</v>
      </c>
      <c r="U718" s="214">
        <v>0</v>
      </c>
      <c r="V718" s="214">
        <v>0</v>
      </c>
      <c r="W718" s="214">
        <v>0</v>
      </c>
      <c r="X718" s="214">
        <v>0</v>
      </c>
      <c r="Y718" s="214">
        <v>0</v>
      </c>
      <c r="Z718" s="214">
        <v>0</v>
      </c>
      <c r="AA718" s="214">
        <v>0</v>
      </c>
      <c r="AB718" s="214">
        <v>0</v>
      </c>
      <c r="AC718" s="214">
        <v>0</v>
      </c>
      <c r="AD718" s="214"/>
      <c r="AE718" s="420">
        <v>0</v>
      </c>
      <c r="AF718" s="420">
        <v>0</v>
      </c>
      <c r="AG718" s="420">
        <v>0</v>
      </c>
      <c r="AH718" s="420"/>
      <c r="AI718" s="574">
        <f t="shared" si="17"/>
        <v>0</v>
      </c>
      <c r="AJ718" s="212"/>
    </row>
    <row r="719" spans="2:36" ht="14.4">
      <c r="B719" s="211"/>
      <c r="C719" s="213" t="s">
        <v>107</v>
      </c>
      <c r="D719" s="214">
        <v>0</v>
      </c>
      <c r="E719" s="214">
        <v>0</v>
      </c>
      <c r="F719" s="214">
        <v>0</v>
      </c>
      <c r="G719" s="214">
        <v>0</v>
      </c>
      <c r="H719" s="214">
        <v>0</v>
      </c>
      <c r="I719" s="214">
        <v>0</v>
      </c>
      <c r="J719" s="214">
        <v>0</v>
      </c>
      <c r="K719" s="214">
        <v>0</v>
      </c>
      <c r="L719" s="214">
        <v>0</v>
      </c>
      <c r="M719" s="214">
        <v>0</v>
      </c>
      <c r="N719" s="214">
        <v>0</v>
      </c>
      <c r="O719" s="214">
        <v>0</v>
      </c>
      <c r="P719" s="214">
        <v>0</v>
      </c>
      <c r="Q719" s="214">
        <v>0</v>
      </c>
      <c r="R719" s="214">
        <v>0</v>
      </c>
      <c r="S719" s="214">
        <v>0</v>
      </c>
      <c r="T719" s="214">
        <v>0</v>
      </c>
      <c r="U719" s="214">
        <v>0</v>
      </c>
      <c r="V719" s="214">
        <v>0</v>
      </c>
      <c r="W719" s="214">
        <v>0</v>
      </c>
      <c r="X719" s="214">
        <v>0</v>
      </c>
      <c r="Y719" s="214">
        <v>0</v>
      </c>
      <c r="Z719" s="214">
        <v>0</v>
      </c>
      <c r="AA719" s="214">
        <v>0</v>
      </c>
      <c r="AB719" s="214">
        <v>0</v>
      </c>
      <c r="AC719" s="214">
        <v>0</v>
      </c>
      <c r="AD719" s="214"/>
      <c r="AE719" s="420">
        <v>0</v>
      </c>
      <c r="AF719" s="420">
        <v>0</v>
      </c>
      <c r="AG719" s="420">
        <v>0</v>
      </c>
      <c r="AH719" s="420"/>
      <c r="AI719" s="574">
        <f t="shared" si="17"/>
        <v>0</v>
      </c>
      <c r="AJ719" s="212"/>
    </row>
    <row r="720" spans="2:36" ht="14.4">
      <c r="B720" s="211"/>
      <c r="C720" s="213" t="s">
        <v>108</v>
      </c>
      <c r="D720" s="214">
        <v>0</v>
      </c>
      <c r="E720" s="214">
        <v>19851.41</v>
      </c>
      <c r="F720" s="214">
        <v>31033.989999999998</v>
      </c>
      <c r="G720" s="214">
        <v>21836.73</v>
      </c>
      <c r="H720" s="214">
        <v>3527.51</v>
      </c>
      <c r="I720" s="214"/>
      <c r="J720" s="214"/>
      <c r="K720" s="214"/>
      <c r="L720" s="214"/>
      <c r="M720" s="214">
        <v>391</v>
      </c>
      <c r="N720" s="214"/>
      <c r="O720" s="214">
        <v>1745.71</v>
      </c>
      <c r="P720" s="214">
        <v>262</v>
      </c>
      <c r="Q720" s="214">
        <v>31021.200000000001</v>
      </c>
      <c r="R720" s="214">
        <v>4520</v>
      </c>
      <c r="S720" s="214">
        <v>2084</v>
      </c>
      <c r="T720" s="214"/>
      <c r="U720" s="214"/>
      <c r="V720" s="214"/>
      <c r="W720" s="214"/>
      <c r="X720" s="214"/>
      <c r="Y720" s="214"/>
      <c r="Z720" s="214"/>
      <c r="AA720" s="214"/>
      <c r="AB720" s="214"/>
      <c r="AC720" s="214"/>
      <c r="AD720" s="214"/>
      <c r="AE720" s="420">
        <v>899</v>
      </c>
      <c r="AF720" s="420"/>
      <c r="AG720" s="420">
        <v>659</v>
      </c>
      <c r="AH720" s="420"/>
      <c r="AI720" s="574">
        <f t="shared" si="17"/>
        <v>117831.54999999999</v>
      </c>
      <c r="AJ720" s="212"/>
    </row>
    <row r="721" spans="2:36" ht="14.4">
      <c r="B721" s="211"/>
      <c r="C721" s="213" t="s">
        <v>109</v>
      </c>
      <c r="D721" s="214">
        <v>0</v>
      </c>
      <c r="E721" s="214">
        <v>0</v>
      </c>
      <c r="F721" s="214">
        <v>0</v>
      </c>
      <c r="G721" s="214">
        <v>0</v>
      </c>
      <c r="H721" s="214">
        <v>0</v>
      </c>
      <c r="I721" s="214">
        <v>0</v>
      </c>
      <c r="J721" s="214">
        <v>0</v>
      </c>
      <c r="K721" s="214">
        <v>0</v>
      </c>
      <c r="L721" s="214">
        <v>0</v>
      </c>
      <c r="M721" s="214">
        <v>0</v>
      </c>
      <c r="N721" s="214">
        <v>0</v>
      </c>
      <c r="O721" s="214">
        <v>0</v>
      </c>
      <c r="P721" s="214">
        <v>0</v>
      </c>
      <c r="Q721" s="214">
        <v>0</v>
      </c>
      <c r="R721" s="214">
        <v>0</v>
      </c>
      <c r="S721" s="214">
        <v>0</v>
      </c>
      <c r="T721" s="214">
        <v>0</v>
      </c>
      <c r="U721" s="214">
        <v>0</v>
      </c>
      <c r="V721" s="214">
        <v>0</v>
      </c>
      <c r="W721" s="214">
        <v>0</v>
      </c>
      <c r="X721" s="214">
        <v>0</v>
      </c>
      <c r="Y721" s="214">
        <v>0</v>
      </c>
      <c r="Z721" s="214">
        <v>0</v>
      </c>
      <c r="AA721" s="214">
        <v>0</v>
      </c>
      <c r="AB721" s="214">
        <v>0</v>
      </c>
      <c r="AC721" s="214">
        <v>0</v>
      </c>
      <c r="AD721" s="214"/>
      <c r="AE721" s="420">
        <v>0</v>
      </c>
      <c r="AF721" s="420">
        <v>0</v>
      </c>
      <c r="AG721" s="420">
        <v>0</v>
      </c>
      <c r="AH721" s="420"/>
      <c r="AI721" s="574">
        <f t="shared" si="17"/>
        <v>0</v>
      </c>
      <c r="AJ721" s="212"/>
    </row>
    <row r="722" spans="2:36" ht="14.4">
      <c r="B722" s="211"/>
      <c r="C722" s="213" t="s">
        <v>110</v>
      </c>
      <c r="D722" s="214">
        <v>0</v>
      </c>
      <c r="E722" s="214">
        <v>0</v>
      </c>
      <c r="F722" s="214">
        <v>0</v>
      </c>
      <c r="G722" s="214">
        <v>0</v>
      </c>
      <c r="H722" s="214">
        <v>0</v>
      </c>
      <c r="I722" s="214">
        <v>0</v>
      </c>
      <c r="J722" s="214">
        <v>0</v>
      </c>
      <c r="K722" s="214">
        <v>0</v>
      </c>
      <c r="L722" s="214">
        <v>0</v>
      </c>
      <c r="M722" s="214">
        <v>0</v>
      </c>
      <c r="N722" s="214">
        <v>0</v>
      </c>
      <c r="O722" s="214">
        <v>166.66</v>
      </c>
      <c r="P722" s="214">
        <v>0</v>
      </c>
      <c r="Q722" s="214">
        <v>0</v>
      </c>
      <c r="R722" s="214">
        <v>0</v>
      </c>
      <c r="S722" s="214">
        <v>0</v>
      </c>
      <c r="T722" s="214">
        <v>0</v>
      </c>
      <c r="U722" s="214">
        <v>0</v>
      </c>
      <c r="V722" s="214">
        <v>0</v>
      </c>
      <c r="W722" s="214">
        <v>0</v>
      </c>
      <c r="X722" s="214">
        <v>0</v>
      </c>
      <c r="Y722" s="214">
        <v>0</v>
      </c>
      <c r="Z722" s="214">
        <v>0</v>
      </c>
      <c r="AA722" s="214">
        <v>0</v>
      </c>
      <c r="AB722" s="214">
        <v>0</v>
      </c>
      <c r="AC722" s="214">
        <v>0</v>
      </c>
      <c r="AD722" s="214"/>
      <c r="AE722" s="420">
        <v>0</v>
      </c>
      <c r="AF722" s="420">
        <v>0</v>
      </c>
      <c r="AG722" s="420">
        <v>0</v>
      </c>
      <c r="AH722" s="420"/>
      <c r="AI722" s="574">
        <f t="shared" si="17"/>
        <v>166.66</v>
      </c>
      <c r="AJ722" s="212"/>
    </row>
    <row r="723" spans="2:36" ht="14.4">
      <c r="B723" s="211"/>
      <c r="C723" s="213" t="s">
        <v>112</v>
      </c>
      <c r="D723" s="214">
        <v>0</v>
      </c>
      <c r="E723" s="214">
        <v>1500</v>
      </c>
      <c r="F723" s="214">
        <v>0</v>
      </c>
      <c r="G723" s="214">
        <v>0</v>
      </c>
      <c r="H723" s="214">
        <v>0</v>
      </c>
      <c r="I723" s="214">
        <v>0</v>
      </c>
      <c r="J723" s="214">
        <v>0</v>
      </c>
      <c r="K723" s="214">
        <v>0</v>
      </c>
      <c r="L723" s="214">
        <v>0</v>
      </c>
      <c r="M723" s="214">
        <v>0</v>
      </c>
      <c r="N723" s="214">
        <v>0</v>
      </c>
      <c r="O723" s="214">
        <v>0</v>
      </c>
      <c r="P723" s="214">
        <v>0</v>
      </c>
      <c r="Q723" s="214">
        <v>0</v>
      </c>
      <c r="R723" s="214">
        <v>0</v>
      </c>
      <c r="S723" s="214">
        <v>0</v>
      </c>
      <c r="T723" s="214">
        <v>0</v>
      </c>
      <c r="U723" s="214">
        <v>0</v>
      </c>
      <c r="V723" s="214">
        <v>0</v>
      </c>
      <c r="W723" s="214">
        <v>0</v>
      </c>
      <c r="X723" s="214">
        <v>0</v>
      </c>
      <c r="Y723" s="214">
        <v>0</v>
      </c>
      <c r="Z723" s="214">
        <v>0</v>
      </c>
      <c r="AA723" s="214">
        <v>0</v>
      </c>
      <c r="AB723" s="214">
        <v>0</v>
      </c>
      <c r="AC723" s="214">
        <v>0</v>
      </c>
      <c r="AD723" s="214"/>
      <c r="AE723" s="420">
        <v>0</v>
      </c>
      <c r="AF723" s="420">
        <v>0</v>
      </c>
      <c r="AG723" s="420">
        <v>0</v>
      </c>
      <c r="AH723" s="420"/>
      <c r="AI723" s="574">
        <f t="shared" si="17"/>
        <v>1500</v>
      </c>
      <c r="AJ723" s="212"/>
    </row>
    <row r="724" spans="2:36" ht="14.4">
      <c r="B724" s="211"/>
      <c r="C724" s="213" t="s">
        <v>113</v>
      </c>
      <c r="D724" s="214">
        <v>0</v>
      </c>
      <c r="E724" s="214">
        <v>0</v>
      </c>
      <c r="F724" s="214">
        <v>4464.5200000000004</v>
      </c>
      <c r="G724" s="214">
        <v>0</v>
      </c>
      <c r="H724" s="214">
        <v>0</v>
      </c>
      <c r="I724" s="214">
        <v>0</v>
      </c>
      <c r="J724" s="214">
        <v>0</v>
      </c>
      <c r="K724" s="214">
        <v>0</v>
      </c>
      <c r="L724" s="214">
        <v>0</v>
      </c>
      <c r="M724" s="214">
        <v>3513.84</v>
      </c>
      <c r="N724" s="214">
        <v>0</v>
      </c>
      <c r="O724" s="214">
        <v>3274.45</v>
      </c>
      <c r="P724" s="214">
        <v>205.28</v>
      </c>
      <c r="Q724" s="214">
        <v>0</v>
      </c>
      <c r="R724" s="214">
        <v>4.21</v>
      </c>
      <c r="S724" s="214">
        <v>0</v>
      </c>
      <c r="T724" s="214">
        <v>0</v>
      </c>
      <c r="U724" s="214">
        <v>0</v>
      </c>
      <c r="V724" s="214">
        <v>0.56000000000000005</v>
      </c>
      <c r="W724" s="214">
        <v>0</v>
      </c>
      <c r="X724" s="214">
        <v>0</v>
      </c>
      <c r="Y724" s="214">
        <v>0</v>
      </c>
      <c r="Z724" s="214">
        <v>0</v>
      </c>
      <c r="AA724" s="214">
        <v>0</v>
      </c>
      <c r="AB724" s="214">
        <v>0</v>
      </c>
      <c r="AC724" s="214">
        <v>0</v>
      </c>
      <c r="AD724" s="214"/>
      <c r="AE724" s="420">
        <v>36536.800000000003</v>
      </c>
      <c r="AF724" s="420">
        <v>0</v>
      </c>
      <c r="AG724" s="420">
        <v>0</v>
      </c>
      <c r="AH724" s="420"/>
      <c r="AI724" s="574">
        <f t="shared" si="17"/>
        <v>47999.66</v>
      </c>
      <c r="AJ724" s="212"/>
    </row>
    <row r="725" spans="2:36" ht="14.4">
      <c r="B725" s="211"/>
      <c r="C725" s="213" t="s">
        <v>137</v>
      </c>
      <c r="D725" s="214">
        <v>0</v>
      </c>
      <c r="E725" s="214">
        <v>0</v>
      </c>
      <c r="F725" s="214">
        <v>0</v>
      </c>
      <c r="G725" s="214">
        <v>0</v>
      </c>
      <c r="H725" s="214">
        <v>0</v>
      </c>
      <c r="I725" s="214">
        <v>0</v>
      </c>
      <c r="J725" s="214">
        <v>0</v>
      </c>
      <c r="K725" s="214">
        <v>0</v>
      </c>
      <c r="L725" s="214">
        <v>0</v>
      </c>
      <c r="M725" s="214">
        <v>0</v>
      </c>
      <c r="N725" s="214">
        <v>0</v>
      </c>
      <c r="O725" s="214">
        <v>0</v>
      </c>
      <c r="P725" s="214">
        <v>0</v>
      </c>
      <c r="Q725" s="214">
        <v>0</v>
      </c>
      <c r="R725" s="214">
        <v>0</v>
      </c>
      <c r="S725" s="214">
        <v>0</v>
      </c>
      <c r="T725" s="214">
        <v>0</v>
      </c>
      <c r="U725" s="214">
        <v>0</v>
      </c>
      <c r="V725" s="214">
        <v>0</v>
      </c>
      <c r="W725" s="214">
        <v>0</v>
      </c>
      <c r="X725" s="214">
        <v>0</v>
      </c>
      <c r="Y725" s="214">
        <v>0</v>
      </c>
      <c r="Z725" s="214">
        <v>0</v>
      </c>
      <c r="AA725" s="214">
        <v>0</v>
      </c>
      <c r="AB725" s="214">
        <v>0</v>
      </c>
      <c r="AC725" s="214">
        <v>0</v>
      </c>
      <c r="AD725" s="214"/>
      <c r="AE725" s="420">
        <v>0</v>
      </c>
      <c r="AF725" s="420">
        <v>0</v>
      </c>
      <c r="AG725" s="420">
        <v>0</v>
      </c>
      <c r="AH725" s="420"/>
      <c r="AI725" s="574">
        <f t="shared" si="17"/>
        <v>0</v>
      </c>
      <c r="AJ725" s="212"/>
    </row>
    <row r="726" spans="2:36" ht="14.4">
      <c r="B726" s="211"/>
      <c r="C726" s="213" t="s">
        <v>140</v>
      </c>
      <c r="D726" s="214">
        <v>0</v>
      </c>
      <c r="E726" s="214">
        <v>0</v>
      </c>
      <c r="F726" s="214">
        <v>500</v>
      </c>
      <c r="G726" s="214">
        <v>871</v>
      </c>
      <c r="H726" s="214">
        <v>4150.2299999999996</v>
      </c>
      <c r="I726" s="214">
        <v>800</v>
      </c>
      <c r="J726" s="214">
        <v>0</v>
      </c>
      <c r="K726" s="214">
        <v>0</v>
      </c>
      <c r="L726" s="214">
        <v>1228</v>
      </c>
      <c r="M726" s="214">
        <v>0</v>
      </c>
      <c r="N726" s="214">
        <v>91</v>
      </c>
      <c r="O726" s="214">
        <v>1245</v>
      </c>
      <c r="P726" s="214">
        <v>0</v>
      </c>
      <c r="Q726" s="214">
        <v>0</v>
      </c>
      <c r="R726" s="214">
        <v>0</v>
      </c>
      <c r="S726" s="214">
        <v>242</v>
      </c>
      <c r="T726" s="214">
        <v>0</v>
      </c>
      <c r="U726" s="214">
        <v>0</v>
      </c>
      <c r="V726" s="214">
        <v>0</v>
      </c>
      <c r="W726" s="214">
        <v>0</v>
      </c>
      <c r="X726" s="214">
        <v>0</v>
      </c>
      <c r="Y726" s="214">
        <v>0</v>
      </c>
      <c r="Z726" s="214">
        <v>0</v>
      </c>
      <c r="AA726" s="214">
        <v>0</v>
      </c>
      <c r="AB726" s="214">
        <v>620</v>
      </c>
      <c r="AC726" s="214">
        <v>0</v>
      </c>
      <c r="AD726" s="214"/>
      <c r="AE726" s="420">
        <v>0</v>
      </c>
      <c r="AF726" s="420">
        <v>0</v>
      </c>
      <c r="AG726" s="420">
        <v>0</v>
      </c>
      <c r="AH726" s="420"/>
      <c r="AI726" s="574">
        <f t="shared" si="17"/>
        <v>9747.23</v>
      </c>
      <c r="AJ726" s="212"/>
    </row>
    <row r="727" spans="2:36" ht="14.4">
      <c r="B727" s="211"/>
      <c r="C727" s="213" t="s">
        <v>141</v>
      </c>
      <c r="D727" s="214">
        <v>0</v>
      </c>
      <c r="E727" s="214">
        <v>0</v>
      </c>
      <c r="F727" s="214">
        <v>0</v>
      </c>
      <c r="G727" s="214">
        <v>0</v>
      </c>
      <c r="H727" s="214">
        <v>0</v>
      </c>
      <c r="I727" s="214">
        <v>0</v>
      </c>
      <c r="J727" s="214">
        <v>0</v>
      </c>
      <c r="K727" s="214">
        <v>0</v>
      </c>
      <c r="L727" s="214">
        <v>0</v>
      </c>
      <c r="M727" s="214">
        <v>0</v>
      </c>
      <c r="N727" s="214">
        <v>0</v>
      </c>
      <c r="O727" s="214">
        <v>0</v>
      </c>
      <c r="P727" s="214">
        <v>0</v>
      </c>
      <c r="Q727" s="214">
        <v>0</v>
      </c>
      <c r="R727" s="214">
        <v>0</v>
      </c>
      <c r="S727" s="214">
        <v>0</v>
      </c>
      <c r="T727" s="214">
        <v>0</v>
      </c>
      <c r="U727" s="214">
        <v>0</v>
      </c>
      <c r="V727" s="214">
        <v>0</v>
      </c>
      <c r="W727" s="214">
        <v>0</v>
      </c>
      <c r="X727" s="214">
        <v>0</v>
      </c>
      <c r="Y727" s="214">
        <v>0</v>
      </c>
      <c r="Z727" s="214">
        <v>0</v>
      </c>
      <c r="AA727" s="214">
        <v>0</v>
      </c>
      <c r="AB727" s="214">
        <v>0</v>
      </c>
      <c r="AC727" s="214">
        <v>0</v>
      </c>
      <c r="AD727" s="214"/>
      <c r="AE727" s="420">
        <v>0</v>
      </c>
      <c r="AF727" s="420">
        <v>0</v>
      </c>
      <c r="AG727" s="420">
        <v>0</v>
      </c>
      <c r="AH727" s="420"/>
      <c r="AI727" s="574">
        <f t="shared" si="17"/>
        <v>0</v>
      </c>
      <c r="AJ727" s="212"/>
    </row>
    <row r="728" spans="2:36" ht="14.4">
      <c r="B728" s="211"/>
      <c r="C728" s="213" t="s">
        <v>193</v>
      </c>
      <c r="D728" s="214">
        <v>500</v>
      </c>
      <c r="E728" s="214">
        <v>4560</v>
      </c>
      <c r="F728" s="214">
        <v>0</v>
      </c>
      <c r="G728" s="214">
        <v>0</v>
      </c>
      <c r="H728" s="214">
        <v>0</v>
      </c>
      <c r="I728" s="214">
        <v>0</v>
      </c>
      <c r="J728" s="214">
        <v>0</v>
      </c>
      <c r="K728" s="214">
        <v>0</v>
      </c>
      <c r="L728" s="214">
        <v>0</v>
      </c>
      <c r="M728" s="214">
        <v>0</v>
      </c>
      <c r="N728" s="214">
        <v>0</v>
      </c>
      <c r="O728" s="214">
        <v>0</v>
      </c>
      <c r="P728" s="214">
        <v>0</v>
      </c>
      <c r="Q728" s="214">
        <v>0</v>
      </c>
      <c r="R728" s="214">
        <v>0</v>
      </c>
      <c r="S728" s="214">
        <v>0</v>
      </c>
      <c r="T728" s="214">
        <v>0</v>
      </c>
      <c r="U728" s="214">
        <v>0</v>
      </c>
      <c r="V728" s="214">
        <v>0</v>
      </c>
      <c r="W728" s="214">
        <v>0</v>
      </c>
      <c r="X728" s="214">
        <v>0</v>
      </c>
      <c r="Y728" s="214">
        <v>0</v>
      </c>
      <c r="Z728" s="214">
        <v>0</v>
      </c>
      <c r="AA728" s="214">
        <v>0</v>
      </c>
      <c r="AB728" s="214">
        <v>0</v>
      </c>
      <c r="AC728" s="214">
        <v>0</v>
      </c>
      <c r="AD728" s="214"/>
      <c r="AE728" s="420">
        <v>0</v>
      </c>
      <c r="AF728" s="420">
        <v>0</v>
      </c>
      <c r="AG728" s="420">
        <v>0</v>
      </c>
      <c r="AH728" s="420"/>
      <c r="AI728" s="574">
        <f t="shared" si="17"/>
        <v>5060</v>
      </c>
      <c r="AJ728" s="212"/>
    </row>
    <row r="729" spans="2:36" ht="14.4">
      <c r="B729" s="211"/>
      <c r="C729" s="213" t="s">
        <v>148</v>
      </c>
      <c r="D729" s="214">
        <v>780</v>
      </c>
      <c r="E729" s="214">
        <v>0</v>
      </c>
      <c r="F729" s="214">
        <v>0</v>
      </c>
      <c r="G729" s="214">
        <v>0</v>
      </c>
      <c r="H729" s="214">
        <v>0</v>
      </c>
      <c r="I729" s="214">
        <v>0</v>
      </c>
      <c r="J729" s="214">
        <v>0</v>
      </c>
      <c r="K729" s="214">
        <v>0</v>
      </c>
      <c r="L729" s="214">
        <v>0</v>
      </c>
      <c r="M729" s="214">
        <v>0</v>
      </c>
      <c r="N729" s="214">
        <v>0</v>
      </c>
      <c r="O729" s="214">
        <v>0</v>
      </c>
      <c r="P729" s="214">
        <v>0</v>
      </c>
      <c r="Q729" s="214">
        <v>0</v>
      </c>
      <c r="R729" s="214">
        <v>0</v>
      </c>
      <c r="S729" s="214">
        <v>0</v>
      </c>
      <c r="T729" s="214">
        <v>6830</v>
      </c>
      <c r="U729" s="214">
        <v>0</v>
      </c>
      <c r="V729" s="214">
        <v>0</v>
      </c>
      <c r="W729" s="214">
        <v>0</v>
      </c>
      <c r="X729" s="214">
        <v>0</v>
      </c>
      <c r="Y729" s="214">
        <v>0</v>
      </c>
      <c r="Z729" s="214">
        <v>0</v>
      </c>
      <c r="AA729" s="214">
        <v>0</v>
      </c>
      <c r="AB729" s="214">
        <v>0</v>
      </c>
      <c r="AC729" s="214">
        <v>0</v>
      </c>
      <c r="AD729" s="214"/>
      <c r="AE729" s="420">
        <v>0</v>
      </c>
      <c r="AF729" s="420">
        <v>0</v>
      </c>
      <c r="AG729" s="420">
        <v>0</v>
      </c>
      <c r="AH729" s="420"/>
      <c r="AI729" s="574">
        <f t="shared" si="17"/>
        <v>7610</v>
      </c>
      <c r="AJ729" s="212"/>
    </row>
    <row r="730" spans="2:36" ht="14.4">
      <c r="B730" s="211"/>
      <c r="C730" s="213" t="s">
        <v>186</v>
      </c>
      <c r="D730" s="214">
        <v>0</v>
      </c>
      <c r="E730" s="214">
        <v>0</v>
      </c>
      <c r="F730" s="214">
        <v>0</v>
      </c>
      <c r="G730" s="214">
        <v>0</v>
      </c>
      <c r="H730" s="214">
        <v>0</v>
      </c>
      <c r="I730" s="214">
        <v>0</v>
      </c>
      <c r="J730" s="214">
        <v>0</v>
      </c>
      <c r="K730" s="214">
        <v>0</v>
      </c>
      <c r="L730" s="214">
        <v>0</v>
      </c>
      <c r="M730" s="214">
        <v>0</v>
      </c>
      <c r="N730" s="214">
        <v>0</v>
      </c>
      <c r="O730" s="214">
        <v>0</v>
      </c>
      <c r="P730" s="214">
        <v>0</v>
      </c>
      <c r="Q730" s="214">
        <v>0</v>
      </c>
      <c r="R730" s="214">
        <v>0</v>
      </c>
      <c r="S730" s="214">
        <v>0</v>
      </c>
      <c r="T730" s="214">
        <v>0</v>
      </c>
      <c r="U730" s="214">
        <v>0</v>
      </c>
      <c r="V730" s="214">
        <v>0</v>
      </c>
      <c r="W730" s="214">
        <v>0</v>
      </c>
      <c r="X730" s="214">
        <v>0</v>
      </c>
      <c r="Y730" s="214">
        <v>0</v>
      </c>
      <c r="Z730" s="214">
        <v>0</v>
      </c>
      <c r="AA730" s="214">
        <v>0</v>
      </c>
      <c r="AB730" s="214">
        <v>0</v>
      </c>
      <c r="AC730" s="214">
        <v>0</v>
      </c>
      <c r="AD730" s="214"/>
      <c r="AE730" s="420">
        <v>0</v>
      </c>
      <c r="AF730" s="420">
        <v>0</v>
      </c>
      <c r="AG730" s="420">
        <v>0</v>
      </c>
      <c r="AH730" s="420"/>
      <c r="AI730" s="574">
        <f t="shared" si="17"/>
        <v>0</v>
      </c>
      <c r="AJ730" s="212"/>
    </row>
    <row r="731" spans="2:36" ht="14.4">
      <c r="B731" s="211"/>
      <c r="C731" s="213" t="s">
        <v>171</v>
      </c>
      <c r="D731" s="214">
        <v>0</v>
      </c>
      <c r="E731" s="214">
        <v>0</v>
      </c>
      <c r="F731" s="214">
        <v>0</v>
      </c>
      <c r="G731" s="214">
        <v>0</v>
      </c>
      <c r="H731" s="214">
        <v>0</v>
      </c>
      <c r="I731" s="214">
        <v>0</v>
      </c>
      <c r="J731" s="214">
        <v>0</v>
      </c>
      <c r="K731" s="214">
        <v>0</v>
      </c>
      <c r="L731" s="214">
        <v>0</v>
      </c>
      <c r="M731" s="214">
        <v>0</v>
      </c>
      <c r="N731" s="214">
        <v>0</v>
      </c>
      <c r="O731" s="214">
        <v>0</v>
      </c>
      <c r="P731" s="214">
        <v>0</v>
      </c>
      <c r="Q731" s="214">
        <v>0</v>
      </c>
      <c r="R731" s="214">
        <v>0</v>
      </c>
      <c r="S731" s="214">
        <v>0</v>
      </c>
      <c r="T731" s="214">
        <v>0</v>
      </c>
      <c r="U731" s="214">
        <v>0</v>
      </c>
      <c r="V731" s="214">
        <v>0</v>
      </c>
      <c r="W731" s="214">
        <v>0</v>
      </c>
      <c r="X731" s="214">
        <v>0</v>
      </c>
      <c r="Y731" s="214">
        <v>0</v>
      </c>
      <c r="Z731" s="214">
        <v>0</v>
      </c>
      <c r="AA731" s="214">
        <v>0</v>
      </c>
      <c r="AB731" s="214">
        <v>0</v>
      </c>
      <c r="AC731" s="214">
        <v>0</v>
      </c>
      <c r="AD731" s="214"/>
      <c r="AE731" s="420">
        <v>0</v>
      </c>
      <c r="AF731" s="420">
        <v>0</v>
      </c>
      <c r="AG731" s="420">
        <v>0</v>
      </c>
      <c r="AH731" s="420"/>
      <c r="AI731" s="574">
        <f t="shared" si="17"/>
        <v>0</v>
      </c>
      <c r="AJ731" s="212"/>
    </row>
    <row r="732" spans="2:36" ht="14.4">
      <c r="B732" s="211"/>
      <c r="C732" s="213" t="s">
        <v>180</v>
      </c>
      <c r="D732" s="214">
        <v>0</v>
      </c>
      <c r="E732" s="214">
        <v>0</v>
      </c>
      <c r="F732" s="214">
        <v>0</v>
      </c>
      <c r="G732" s="214">
        <v>0</v>
      </c>
      <c r="H732" s="214">
        <v>0</v>
      </c>
      <c r="I732" s="214">
        <v>0</v>
      </c>
      <c r="J732" s="214">
        <v>0</v>
      </c>
      <c r="K732" s="214">
        <v>0</v>
      </c>
      <c r="L732" s="214">
        <v>0</v>
      </c>
      <c r="M732" s="214">
        <v>0</v>
      </c>
      <c r="N732" s="214">
        <v>0</v>
      </c>
      <c r="O732" s="214">
        <v>0</v>
      </c>
      <c r="P732" s="214">
        <v>0</v>
      </c>
      <c r="Q732" s="214">
        <v>0</v>
      </c>
      <c r="R732" s="214">
        <v>0</v>
      </c>
      <c r="S732" s="214">
        <v>0</v>
      </c>
      <c r="T732" s="214">
        <v>0</v>
      </c>
      <c r="U732" s="214">
        <v>0</v>
      </c>
      <c r="V732" s="214">
        <v>0</v>
      </c>
      <c r="W732" s="214">
        <v>0</v>
      </c>
      <c r="X732" s="214">
        <v>0</v>
      </c>
      <c r="Y732" s="214">
        <v>0</v>
      </c>
      <c r="Z732" s="214">
        <v>0</v>
      </c>
      <c r="AA732" s="214">
        <v>0</v>
      </c>
      <c r="AB732" s="214">
        <v>0</v>
      </c>
      <c r="AC732" s="214">
        <v>0</v>
      </c>
      <c r="AD732" s="214"/>
      <c r="AE732" s="420">
        <v>0</v>
      </c>
      <c r="AF732" s="420">
        <v>0</v>
      </c>
      <c r="AG732" s="420">
        <v>0</v>
      </c>
      <c r="AH732" s="420"/>
      <c r="AI732" s="574">
        <f t="shared" si="17"/>
        <v>0</v>
      </c>
      <c r="AJ732" s="212"/>
    </row>
    <row r="733" spans="2:36" ht="14.4">
      <c r="B733" s="211"/>
      <c r="C733" s="213" t="s">
        <v>183</v>
      </c>
      <c r="D733" s="214">
        <v>0</v>
      </c>
      <c r="E733" s="214">
        <v>9849.19</v>
      </c>
      <c r="F733" s="214">
        <v>1239.48</v>
      </c>
      <c r="G733" s="214">
        <v>2120.85</v>
      </c>
      <c r="H733" s="214">
        <v>2493.02</v>
      </c>
      <c r="I733" s="214">
        <v>0</v>
      </c>
      <c r="J733" s="214">
        <v>0</v>
      </c>
      <c r="K733" s="214">
        <v>0</v>
      </c>
      <c r="L733" s="214">
        <v>0</v>
      </c>
      <c r="M733" s="214">
        <v>291.43</v>
      </c>
      <c r="N733" s="214">
        <v>0</v>
      </c>
      <c r="O733" s="214">
        <v>811.11</v>
      </c>
      <c r="P733" s="214">
        <v>1818.85</v>
      </c>
      <c r="Q733" s="214">
        <v>15154.77</v>
      </c>
      <c r="R733" s="214">
        <v>0</v>
      </c>
      <c r="S733" s="214">
        <v>811.11</v>
      </c>
      <c r="T733" s="214">
        <v>0</v>
      </c>
      <c r="U733" s="214">
        <v>0</v>
      </c>
      <c r="V733" s="214">
        <v>0</v>
      </c>
      <c r="W733" s="214">
        <v>0</v>
      </c>
      <c r="X733" s="214">
        <v>0</v>
      </c>
      <c r="Y733" s="214">
        <v>0</v>
      </c>
      <c r="Z733" s="214">
        <v>0</v>
      </c>
      <c r="AA733" s="214">
        <v>0</v>
      </c>
      <c r="AB733" s="214">
        <v>0</v>
      </c>
      <c r="AC733" s="214">
        <v>0</v>
      </c>
      <c r="AD733" s="214"/>
      <c r="AE733" s="420">
        <v>526.70000000000005</v>
      </c>
      <c r="AF733" s="420">
        <v>0</v>
      </c>
      <c r="AG733" s="420">
        <v>0</v>
      </c>
      <c r="AH733" s="420"/>
      <c r="AI733" s="574">
        <f t="shared" si="17"/>
        <v>35116.509999999995</v>
      </c>
      <c r="AJ733" s="212"/>
    </row>
    <row r="734" spans="2:36" ht="14.4">
      <c r="B734" s="211"/>
      <c r="C734" s="213" t="s">
        <v>195</v>
      </c>
      <c r="D734" s="214">
        <v>17814</v>
      </c>
      <c r="E734" s="214">
        <v>0</v>
      </c>
      <c r="F734" s="214">
        <v>0</v>
      </c>
      <c r="G734" s="214">
        <v>0</v>
      </c>
      <c r="H734" s="214">
        <v>0</v>
      </c>
      <c r="I734" s="214">
        <v>0</v>
      </c>
      <c r="J734" s="214">
        <v>0</v>
      </c>
      <c r="K734" s="214">
        <v>0</v>
      </c>
      <c r="L734" s="214">
        <v>0</v>
      </c>
      <c r="M734" s="214">
        <v>0</v>
      </c>
      <c r="N734" s="214">
        <v>0</v>
      </c>
      <c r="O734" s="214">
        <v>0</v>
      </c>
      <c r="P734" s="214">
        <v>0</v>
      </c>
      <c r="Q734" s="214">
        <v>0</v>
      </c>
      <c r="R734" s="214">
        <v>0</v>
      </c>
      <c r="S734" s="214">
        <v>0</v>
      </c>
      <c r="T734" s="214">
        <v>0</v>
      </c>
      <c r="U734" s="214">
        <v>0</v>
      </c>
      <c r="V734" s="214">
        <v>0</v>
      </c>
      <c r="W734" s="214">
        <v>0</v>
      </c>
      <c r="X734" s="214">
        <v>0</v>
      </c>
      <c r="Y734" s="214">
        <v>0</v>
      </c>
      <c r="Z734" s="214">
        <v>0</v>
      </c>
      <c r="AA734" s="214">
        <v>0</v>
      </c>
      <c r="AB734" s="214">
        <v>0</v>
      </c>
      <c r="AC734" s="214">
        <v>0</v>
      </c>
      <c r="AD734" s="214"/>
      <c r="AE734" s="420">
        <v>0</v>
      </c>
      <c r="AF734" s="420">
        <v>0</v>
      </c>
      <c r="AG734" s="420">
        <v>0</v>
      </c>
      <c r="AH734" s="420"/>
      <c r="AI734" s="574">
        <f t="shared" si="17"/>
        <v>17814</v>
      </c>
      <c r="AJ734" s="212"/>
    </row>
    <row r="735" spans="2:36" ht="14.4">
      <c r="B735" s="211"/>
      <c r="C735" s="213" t="s">
        <v>189</v>
      </c>
      <c r="D735" s="214">
        <v>16217.28</v>
      </c>
      <c r="E735" s="214">
        <v>0</v>
      </c>
      <c r="F735" s="214">
        <v>0</v>
      </c>
      <c r="G735" s="214">
        <v>0</v>
      </c>
      <c r="H735" s="214">
        <v>0</v>
      </c>
      <c r="I735" s="214">
        <v>0</v>
      </c>
      <c r="J735" s="214">
        <v>0</v>
      </c>
      <c r="K735" s="214">
        <v>0</v>
      </c>
      <c r="L735" s="214">
        <v>0</v>
      </c>
      <c r="M735" s="214">
        <v>0</v>
      </c>
      <c r="N735" s="214">
        <v>0</v>
      </c>
      <c r="O735" s="214">
        <v>0</v>
      </c>
      <c r="P735" s="214">
        <v>0</v>
      </c>
      <c r="Q735" s="214">
        <v>0</v>
      </c>
      <c r="R735" s="214">
        <v>0</v>
      </c>
      <c r="S735" s="214">
        <v>0</v>
      </c>
      <c r="T735" s="214">
        <v>0</v>
      </c>
      <c r="U735" s="214">
        <v>0</v>
      </c>
      <c r="V735" s="214">
        <v>0</v>
      </c>
      <c r="W735" s="214">
        <v>0</v>
      </c>
      <c r="X735" s="214">
        <v>0</v>
      </c>
      <c r="Y735" s="214">
        <v>0</v>
      </c>
      <c r="Z735" s="214">
        <v>0</v>
      </c>
      <c r="AA735" s="214">
        <v>0</v>
      </c>
      <c r="AB735" s="214">
        <v>0</v>
      </c>
      <c r="AC735" s="214">
        <v>0</v>
      </c>
      <c r="AD735" s="214"/>
      <c r="AE735" s="420">
        <v>0</v>
      </c>
      <c r="AF735" s="420">
        <v>0</v>
      </c>
      <c r="AG735" s="420">
        <v>0</v>
      </c>
      <c r="AH735" s="420"/>
      <c r="AI735" s="574">
        <f t="shared" si="17"/>
        <v>16217.28</v>
      </c>
      <c r="AJ735" s="212"/>
    </row>
    <row r="736" spans="2:36" ht="14.4">
      <c r="B736" s="211"/>
      <c r="C736" s="213" t="s">
        <v>188</v>
      </c>
      <c r="D736" s="214">
        <v>32715.46</v>
      </c>
      <c r="E736" s="214">
        <v>0</v>
      </c>
      <c r="F736" s="214">
        <v>0</v>
      </c>
      <c r="G736" s="214">
        <v>0</v>
      </c>
      <c r="H736" s="214">
        <v>0</v>
      </c>
      <c r="I736" s="214">
        <v>0</v>
      </c>
      <c r="J736" s="214">
        <v>0</v>
      </c>
      <c r="K736" s="214">
        <v>0</v>
      </c>
      <c r="L736" s="214">
        <v>0</v>
      </c>
      <c r="M736" s="214">
        <v>0</v>
      </c>
      <c r="N736" s="214">
        <v>0</v>
      </c>
      <c r="O736" s="214">
        <v>0</v>
      </c>
      <c r="P736" s="214">
        <v>0</v>
      </c>
      <c r="Q736" s="214">
        <v>0</v>
      </c>
      <c r="R736" s="214">
        <v>0</v>
      </c>
      <c r="S736" s="214">
        <v>0</v>
      </c>
      <c r="T736" s="214">
        <v>0</v>
      </c>
      <c r="U736" s="214">
        <v>0</v>
      </c>
      <c r="V736" s="214">
        <v>0</v>
      </c>
      <c r="W736" s="214">
        <v>0</v>
      </c>
      <c r="X736" s="214">
        <v>0</v>
      </c>
      <c r="Y736" s="214">
        <v>0</v>
      </c>
      <c r="Z736" s="214">
        <v>0</v>
      </c>
      <c r="AA736" s="214">
        <v>0</v>
      </c>
      <c r="AB736" s="214">
        <v>0</v>
      </c>
      <c r="AC736" s="214">
        <v>0</v>
      </c>
      <c r="AD736" s="214"/>
      <c r="AE736" s="420">
        <v>0</v>
      </c>
      <c r="AF736" s="420">
        <v>0</v>
      </c>
      <c r="AG736" s="420">
        <v>0</v>
      </c>
      <c r="AH736" s="420"/>
      <c r="AI736" s="574">
        <f t="shared" si="17"/>
        <v>32715.46</v>
      </c>
      <c r="AJ736" s="212"/>
    </row>
    <row r="737" spans="2:36" ht="14.4">
      <c r="B737" s="211"/>
      <c r="C737" s="213" t="s">
        <v>196</v>
      </c>
      <c r="D737" s="214">
        <v>52696.19</v>
      </c>
      <c r="E737" s="214">
        <v>0</v>
      </c>
      <c r="F737" s="214">
        <v>0</v>
      </c>
      <c r="G737" s="214">
        <v>0</v>
      </c>
      <c r="H737" s="214">
        <v>0</v>
      </c>
      <c r="I737" s="214">
        <v>0</v>
      </c>
      <c r="J737" s="214">
        <v>0</v>
      </c>
      <c r="K737" s="214">
        <v>0</v>
      </c>
      <c r="L737" s="214">
        <v>0</v>
      </c>
      <c r="M737" s="214">
        <v>0</v>
      </c>
      <c r="N737" s="214">
        <v>0</v>
      </c>
      <c r="O737" s="214">
        <v>0</v>
      </c>
      <c r="P737" s="214">
        <v>0</v>
      </c>
      <c r="Q737" s="214">
        <v>0</v>
      </c>
      <c r="R737" s="214">
        <v>0</v>
      </c>
      <c r="S737" s="214">
        <v>0</v>
      </c>
      <c r="T737" s="214">
        <v>0</v>
      </c>
      <c r="U737" s="214">
        <v>0</v>
      </c>
      <c r="V737" s="214">
        <v>0</v>
      </c>
      <c r="W737" s="214">
        <v>0</v>
      </c>
      <c r="X737" s="214">
        <v>0</v>
      </c>
      <c r="Y737" s="214">
        <v>0</v>
      </c>
      <c r="Z737" s="214">
        <v>0</v>
      </c>
      <c r="AA737" s="214">
        <v>0</v>
      </c>
      <c r="AB737" s="214">
        <v>0</v>
      </c>
      <c r="AC737" s="214">
        <v>0</v>
      </c>
      <c r="AD737" s="214"/>
      <c r="AE737" s="420">
        <v>0</v>
      </c>
      <c r="AF737" s="420">
        <v>0</v>
      </c>
      <c r="AG737" s="420">
        <v>0</v>
      </c>
      <c r="AH737" s="420"/>
      <c r="AI737" s="574">
        <f t="shared" si="17"/>
        <v>52696.19</v>
      </c>
      <c r="AJ737" s="212"/>
    </row>
    <row r="738" spans="2:36" ht="14.4">
      <c r="B738" s="211"/>
      <c r="C738" s="213" t="s">
        <v>197</v>
      </c>
      <c r="D738" s="214">
        <v>86901.23</v>
      </c>
      <c r="E738" s="214">
        <v>0</v>
      </c>
      <c r="F738" s="214">
        <v>0</v>
      </c>
      <c r="G738" s="214">
        <v>0</v>
      </c>
      <c r="H738" s="214">
        <v>0</v>
      </c>
      <c r="I738" s="214">
        <v>0</v>
      </c>
      <c r="J738" s="214">
        <v>0</v>
      </c>
      <c r="K738" s="214">
        <v>0</v>
      </c>
      <c r="L738" s="214">
        <v>0</v>
      </c>
      <c r="M738" s="214">
        <v>0</v>
      </c>
      <c r="N738" s="214">
        <v>0</v>
      </c>
      <c r="O738" s="214">
        <v>0</v>
      </c>
      <c r="P738" s="214">
        <v>0</v>
      </c>
      <c r="Q738" s="214">
        <v>0</v>
      </c>
      <c r="R738" s="214">
        <v>0</v>
      </c>
      <c r="S738" s="214">
        <v>0</v>
      </c>
      <c r="T738" s="214">
        <v>0</v>
      </c>
      <c r="U738" s="214">
        <v>0</v>
      </c>
      <c r="V738" s="214">
        <v>0</v>
      </c>
      <c r="W738" s="214">
        <v>0</v>
      </c>
      <c r="X738" s="214">
        <v>0</v>
      </c>
      <c r="Y738" s="214">
        <v>0</v>
      </c>
      <c r="Z738" s="214">
        <v>0</v>
      </c>
      <c r="AA738" s="214">
        <v>0</v>
      </c>
      <c r="AB738" s="214">
        <v>0</v>
      </c>
      <c r="AC738" s="214">
        <v>0</v>
      </c>
      <c r="AD738" s="214"/>
      <c r="AE738" s="420">
        <v>0</v>
      </c>
      <c r="AF738" s="420">
        <v>0</v>
      </c>
      <c r="AG738" s="420">
        <v>0</v>
      </c>
      <c r="AH738" s="420"/>
      <c r="AI738" s="574">
        <f t="shared" si="17"/>
        <v>86901.23</v>
      </c>
      <c r="AJ738" s="212"/>
    </row>
    <row r="739" spans="2:36" ht="14.4">
      <c r="B739" s="211"/>
      <c r="C739" s="213" t="s">
        <v>198</v>
      </c>
      <c r="D739" s="214">
        <v>45418.64</v>
      </c>
      <c r="E739" s="214">
        <v>0</v>
      </c>
      <c r="F739" s="214">
        <v>0</v>
      </c>
      <c r="G739" s="214">
        <v>0</v>
      </c>
      <c r="H739" s="214">
        <v>0</v>
      </c>
      <c r="I739" s="214">
        <v>0</v>
      </c>
      <c r="J739" s="214">
        <v>0</v>
      </c>
      <c r="K739" s="214">
        <v>0</v>
      </c>
      <c r="L739" s="214">
        <v>0</v>
      </c>
      <c r="M739" s="214">
        <v>0</v>
      </c>
      <c r="N739" s="214">
        <v>0</v>
      </c>
      <c r="O739" s="214">
        <v>0</v>
      </c>
      <c r="P739" s="214">
        <v>0</v>
      </c>
      <c r="Q739" s="214">
        <v>0</v>
      </c>
      <c r="R739" s="214">
        <v>0</v>
      </c>
      <c r="S739" s="214">
        <v>0</v>
      </c>
      <c r="T739" s="214">
        <v>0</v>
      </c>
      <c r="U739" s="214">
        <v>0</v>
      </c>
      <c r="V739" s="214">
        <v>0</v>
      </c>
      <c r="W739" s="214">
        <v>0</v>
      </c>
      <c r="X739" s="214">
        <v>0</v>
      </c>
      <c r="Y739" s="214">
        <v>0</v>
      </c>
      <c r="Z739" s="214">
        <v>0</v>
      </c>
      <c r="AA739" s="214">
        <v>0</v>
      </c>
      <c r="AB739" s="214">
        <v>0</v>
      </c>
      <c r="AC739" s="214">
        <v>0</v>
      </c>
      <c r="AD739" s="214"/>
      <c r="AE739" s="420">
        <v>0</v>
      </c>
      <c r="AF739" s="420">
        <v>0</v>
      </c>
      <c r="AG739" s="420">
        <v>0</v>
      </c>
      <c r="AH739" s="420"/>
      <c r="AI739" s="574">
        <f t="shared" si="17"/>
        <v>45418.64</v>
      </c>
      <c r="AJ739" s="212"/>
    </row>
    <row r="740" spans="2:36" ht="14.4">
      <c r="B740" s="211"/>
      <c r="C740" s="213" t="s">
        <v>201</v>
      </c>
      <c r="D740" s="214">
        <v>20328.900000000001</v>
      </c>
      <c r="E740" s="214">
        <v>0</v>
      </c>
      <c r="F740" s="214">
        <v>0</v>
      </c>
      <c r="G740" s="214">
        <v>0</v>
      </c>
      <c r="H740" s="214">
        <v>0</v>
      </c>
      <c r="I740" s="214">
        <v>0</v>
      </c>
      <c r="J740" s="214">
        <v>0</v>
      </c>
      <c r="K740" s="214">
        <v>0</v>
      </c>
      <c r="L740" s="214">
        <v>0</v>
      </c>
      <c r="M740" s="214">
        <v>0</v>
      </c>
      <c r="N740" s="214">
        <v>0</v>
      </c>
      <c r="O740" s="214">
        <v>0</v>
      </c>
      <c r="P740" s="214">
        <v>0</v>
      </c>
      <c r="Q740" s="214">
        <v>0</v>
      </c>
      <c r="R740" s="214">
        <v>0</v>
      </c>
      <c r="S740" s="214">
        <v>0</v>
      </c>
      <c r="T740" s="214">
        <v>0</v>
      </c>
      <c r="U740" s="214">
        <v>0</v>
      </c>
      <c r="V740" s="214">
        <v>0</v>
      </c>
      <c r="W740" s="214">
        <v>0</v>
      </c>
      <c r="X740" s="214">
        <v>0</v>
      </c>
      <c r="Y740" s="214">
        <v>0</v>
      </c>
      <c r="Z740" s="214">
        <v>0</v>
      </c>
      <c r="AA740" s="214">
        <v>0</v>
      </c>
      <c r="AB740" s="214">
        <v>0</v>
      </c>
      <c r="AC740" s="214">
        <v>0</v>
      </c>
      <c r="AD740" s="214"/>
      <c r="AE740" s="420">
        <v>0</v>
      </c>
      <c r="AF740" s="420">
        <v>0</v>
      </c>
      <c r="AG740" s="420">
        <v>0</v>
      </c>
      <c r="AH740" s="420"/>
      <c r="AI740" s="574">
        <f t="shared" si="17"/>
        <v>20328.900000000001</v>
      </c>
      <c r="AJ740" s="212"/>
    </row>
    <row r="741" spans="2:36" ht="14.4">
      <c r="B741" s="211"/>
      <c r="C741" s="213" t="s">
        <v>202</v>
      </c>
      <c r="D741" s="214">
        <v>31885.69</v>
      </c>
      <c r="E741" s="214">
        <v>0</v>
      </c>
      <c r="F741" s="214">
        <v>0</v>
      </c>
      <c r="G741" s="214">
        <v>0</v>
      </c>
      <c r="H741" s="214">
        <v>0</v>
      </c>
      <c r="I741" s="214">
        <v>0</v>
      </c>
      <c r="J741" s="214">
        <v>0</v>
      </c>
      <c r="K741" s="214">
        <v>0</v>
      </c>
      <c r="L741" s="214">
        <v>0</v>
      </c>
      <c r="M741" s="214">
        <v>0</v>
      </c>
      <c r="N741" s="214">
        <v>0</v>
      </c>
      <c r="O741" s="214">
        <v>0</v>
      </c>
      <c r="P741" s="214">
        <v>0</v>
      </c>
      <c r="Q741" s="214">
        <v>0</v>
      </c>
      <c r="R741" s="214">
        <v>0</v>
      </c>
      <c r="S741" s="214">
        <v>0</v>
      </c>
      <c r="T741" s="214">
        <v>0</v>
      </c>
      <c r="U741" s="214">
        <v>0</v>
      </c>
      <c r="V741" s="214">
        <v>0</v>
      </c>
      <c r="W741" s="214">
        <v>0</v>
      </c>
      <c r="X741" s="214">
        <v>0</v>
      </c>
      <c r="Y741" s="214">
        <v>0</v>
      </c>
      <c r="Z741" s="214">
        <v>0</v>
      </c>
      <c r="AA741" s="214">
        <v>0</v>
      </c>
      <c r="AB741" s="214">
        <v>0</v>
      </c>
      <c r="AC741" s="214">
        <v>0</v>
      </c>
      <c r="AD741" s="214"/>
      <c r="AE741" s="420">
        <v>0</v>
      </c>
      <c r="AF741" s="420">
        <v>0</v>
      </c>
      <c r="AG741" s="420">
        <v>0</v>
      </c>
      <c r="AH741" s="420"/>
      <c r="AI741" s="574">
        <f t="shared" si="17"/>
        <v>31885.69</v>
      </c>
      <c r="AJ741" s="212"/>
    </row>
    <row r="742" spans="2:36" ht="14.4">
      <c r="B742" s="211"/>
      <c r="C742" s="213" t="s">
        <v>206</v>
      </c>
      <c r="D742" s="214">
        <v>20793.88</v>
      </c>
      <c r="E742" s="214">
        <v>0</v>
      </c>
      <c r="F742" s="214">
        <v>0</v>
      </c>
      <c r="G742" s="214">
        <v>0</v>
      </c>
      <c r="H742" s="214">
        <v>0</v>
      </c>
      <c r="I742" s="214">
        <v>0</v>
      </c>
      <c r="J742" s="214">
        <v>0</v>
      </c>
      <c r="K742" s="214">
        <v>0</v>
      </c>
      <c r="L742" s="214">
        <v>0</v>
      </c>
      <c r="M742" s="214">
        <v>0</v>
      </c>
      <c r="N742" s="214">
        <v>0</v>
      </c>
      <c r="O742" s="214">
        <v>0</v>
      </c>
      <c r="P742" s="214">
        <v>0</v>
      </c>
      <c r="Q742" s="214">
        <v>0</v>
      </c>
      <c r="R742" s="214">
        <v>0</v>
      </c>
      <c r="S742" s="214">
        <v>0</v>
      </c>
      <c r="T742" s="214">
        <v>0</v>
      </c>
      <c r="U742" s="214">
        <v>0</v>
      </c>
      <c r="V742" s="214">
        <v>0</v>
      </c>
      <c r="W742" s="214">
        <v>0</v>
      </c>
      <c r="X742" s="214">
        <v>0</v>
      </c>
      <c r="Y742" s="214">
        <v>0</v>
      </c>
      <c r="Z742" s="214">
        <v>0</v>
      </c>
      <c r="AA742" s="214">
        <v>0</v>
      </c>
      <c r="AB742" s="214">
        <v>0</v>
      </c>
      <c r="AC742" s="214">
        <v>0</v>
      </c>
      <c r="AD742" s="214"/>
      <c r="AE742" s="420">
        <v>0</v>
      </c>
      <c r="AF742" s="420">
        <v>0</v>
      </c>
      <c r="AG742" s="420">
        <v>0</v>
      </c>
      <c r="AH742" s="420"/>
      <c r="AI742" s="574">
        <f t="shared" si="17"/>
        <v>20793.88</v>
      </c>
      <c r="AJ742" s="212"/>
    </row>
    <row r="743" spans="2:36" s="502" customFormat="1" ht="14.4">
      <c r="B743" s="503"/>
      <c r="C743" s="504" t="s">
        <v>207</v>
      </c>
      <c r="D743" s="505">
        <v>23569</v>
      </c>
      <c r="E743" s="505">
        <v>3450</v>
      </c>
      <c r="F743" s="505">
        <v>3450</v>
      </c>
      <c r="G743" s="505">
        <v>3975</v>
      </c>
      <c r="H743" s="505">
        <v>863</v>
      </c>
      <c r="I743" s="505">
        <v>1294</v>
      </c>
      <c r="J743" s="505">
        <v>0</v>
      </c>
      <c r="K743" s="505">
        <v>0</v>
      </c>
      <c r="L743" s="505">
        <v>863</v>
      </c>
      <c r="M743" s="505">
        <v>1294</v>
      </c>
      <c r="N743" s="505">
        <v>431</v>
      </c>
      <c r="O743" s="505">
        <v>0</v>
      </c>
      <c r="P743" s="505">
        <v>431</v>
      </c>
      <c r="Q743" s="505">
        <v>431</v>
      </c>
      <c r="R743" s="505">
        <v>1388</v>
      </c>
      <c r="S743" s="505">
        <v>863</v>
      </c>
      <c r="T743" s="505">
        <v>0</v>
      </c>
      <c r="U743" s="505">
        <v>0</v>
      </c>
      <c r="V743" s="505">
        <v>0</v>
      </c>
      <c r="W743" s="505">
        <v>0</v>
      </c>
      <c r="X743" s="505">
        <v>431</v>
      </c>
      <c r="Y743" s="505">
        <v>863</v>
      </c>
      <c r="Z743" s="505">
        <v>0</v>
      </c>
      <c r="AA743" s="505">
        <v>431</v>
      </c>
      <c r="AB743" s="505">
        <v>0</v>
      </c>
      <c r="AC743" s="505">
        <v>431</v>
      </c>
      <c r="AD743" s="505"/>
      <c r="AE743" s="506">
        <v>431</v>
      </c>
      <c r="AF743" s="506">
        <v>0</v>
      </c>
      <c r="AG743" s="506">
        <v>0</v>
      </c>
      <c r="AH743" s="506">
        <v>0</v>
      </c>
      <c r="AI743" s="579">
        <f t="shared" si="17"/>
        <v>44889</v>
      </c>
      <c r="AJ743" s="507"/>
    </row>
    <row r="744" spans="2:36" ht="14.4">
      <c r="B744" s="211"/>
      <c r="C744" s="213" t="s">
        <v>208</v>
      </c>
      <c r="D744" s="214">
        <v>22914.91</v>
      </c>
      <c r="E744" s="214">
        <v>0</v>
      </c>
      <c r="F744" s="214">
        <v>0</v>
      </c>
      <c r="G744" s="214">
        <v>0</v>
      </c>
      <c r="H744" s="214">
        <v>0</v>
      </c>
      <c r="I744" s="214">
        <v>0</v>
      </c>
      <c r="J744" s="214">
        <v>0</v>
      </c>
      <c r="K744" s="214">
        <v>0</v>
      </c>
      <c r="L744" s="214">
        <v>0</v>
      </c>
      <c r="M744" s="214">
        <v>0</v>
      </c>
      <c r="N744" s="214">
        <v>0</v>
      </c>
      <c r="O744" s="214">
        <v>0</v>
      </c>
      <c r="P744" s="214">
        <v>0</v>
      </c>
      <c r="Q744" s="214">
        <v>0</v>
      </c>
      <c r="R744" s="214">
        <v>0</v>
      </c>
      <c r="S744" s="214">
        <v>0</v>
      </c>
      <c r="T744" s="214">
        <v>0</v>
      </c>
      <c r="U744" s="214">
        <v>0</v>
      </c>
      <c r="V744" s="214">
        <v>0</v>
      </c>
      <c r="W744" s="214">
        <v>0</v>
      </c>
      <c r="X744" s="214">
        <v>0</v>
      </c>
      <c r="Y744" s="214">
        <v>0</v>
      </c>
      <c r="Z744" s="214">
        <v>0</v>
      </c>
      <c r="AA744" s="214">
        <v>0</v>
      </c>
      <c r="AB744" s="214">
        <v>0</v>
      </c>
      <c r="AC744" s="214">
        <v>0</v>
      </c>
      <c r="AD744" s="214"/>
      <c r="AE744" s="420">
        <v>0</v>
      </c>
      <c r="AF744" s="420">
        <v>0</v>
      </c>
      <c r="AG744" s="420">
        <v>0</v>
      </c>
      <c r="AH744" s="420"/>
      <c r="AI744" s="574">
        <f t="shared" si="17"/>
        <v>22914.91</v>
      </c>
      <c r="AJ744" s="212"/>
    </row>
    <row r="745" spans="2:36" ht="14.4">
      <c r="B745" s="211"/>
      <c r="C745" s="213" t="s">
        <v>236</v>
      </c>
      <c r="D745" s="214">
        <v>24094.78</v>
      </c>
      <c r="E745" s="214">
        <v>0</v>
      </c>
      <c r="F745" s="214">
        <v>0</v>
      </c>
      <c r="G745" s="214">
        <v>0</v>
      </c>
      <c r="H745" s="214">
        <v>0</v>
      </c>
      <c r="I745" s="214">
        <v>0</v>
      </c>
      <c r="J745" s="214">
        <v>0</v>
      </c>
      <c r="K745" s="214">
        <v>0</v>
      </c>
      <c r="L745" s="214">
        <v>0</v>
      </c>
      <c r="M745" s="214">
        <v>0</v>
      </c>
      <c r="N745" s="214">
        <v>0</v>
      </c>
      <c r="O745" s="214">
        <v>0</v>
      </c>
      <c r="P745" s="214">
        <v>0</v>
      </c>
      <c r="Q745" s="214">
        <v>0</v>
      </c>
      <c r="R745" s="214">
        <v>0</v>
      </c>
      <c r="S745" s="214">
        <v>0</v>
      </c>
      <c r="T745" s="214">
        <v>0</v>
      </c>
      <c r="U745" s="214">
        <v>0</v>
      </c>
      <c r="V745" s="214">
        <v>0</v>
      </c>
      <c r="W745" s="214">
        <v>0</v>
      </c>
      <c r="X745" s="214">
        <v>0</v>
      </c>
      <c r="Y745" s="214">
        <v>0</v>
      </c>
      <c r="Z745" s="214">
        <v>0</v>
      </c>
      <c r="AA745" s="214">
        <v>0</v>
      </c>
      <c r="AB745" s="214">
        <v>0</v>
      </c>
      <c r="AC745" s="214">
        <v>0</v>
      </c>
      <c r="AD745" s="214"/>
      <c r="AE745" s="420">
        <v>0</v>
      </c>
      <c r="AF745" s="420">
        <v>0</v>
      </c>
      <c r="AG745" s="420">
        <v>0</v>
      </c>
      <c r="AH745" s="420"/>
      <c r="AI745" s="574">
        <f t="shared" si="17"/>
        <v>24094.78</v>
      </c>
      <c r="AJ745" s="212"/>
    </row>
    <row r="746" spans="2:36" ht="14.4">
      <c r="B746" s="211"/>
      <c r="C746" s="240" t="s">
        <v>209</v>
      </c>
      <c r="D746" s="214">
        <v>20000</v>
      </c>
      <c r="E746" s="214">
        <v>0</v>
      </c>
      <c r="F746" s="214">
        <v>0</v>
      </c>
      <c r="G746" s="214">
        <v>0</v>
      </c>
      <c r="H746" s="214">
        <v>0</v>
      </c>
      <c r="I746" s="214">
        <v>0</v>
      </c>
      <c r="J746" s="214">
        <v>0</v>
      </c>
      <c r="K746" s="214">
        <v>0</v>
      </c>
      <c r="L746" s="214">
        <v>0</v>
      </c>
      <c r="M746" s="214">
        <v>0</v>
      </c>
      <c r="N746" s="214">
        <v>0</v>
      </c>
      <c r="O746" s="214">
        <v>0</v>
      </c>
      <c r="P746" s="214">
        <v>0</v>
      </c>
      <c r="Q746" s="214">
        <v>0</v>
      </c>
      <c r="R746" s="214">
        <v>0</v>
      </c>
      <c r="S746" s="214">
        <v>0</v>
      </c>
      <c r="T746" s="214">
        <v>0</v>
      </c>
      <c r="U746" s="214">
        <v>0</v>
      </c>
      <c r="V746" s="214">
        <v>0</v>
      </c>
      <c r="W746" s="214">
        <v>0</v>
      </c>
      <c r="X746" s="214">
        <v>0</v>
      </c>
      <c r="Y746" s="214">
        <v>0</v>
      </c>
      <c r="Z746" s="214">
        <v>0</v>
      </c>
      <c r="AA746" s="214">
        <v>0</v>
      </c>
      <c r="AB746" s="214">
        <v>0</v>
      </c>
      <c r="AC746" s="214">
        <v>0</v>
      </c>
      <c r="AD746" s="214"/>
      <c r="AE746" s="420">
        <v>0</v>
      </c>
      <c r="AF746" s="420">
        <v>0</v>
      </c>
      <c r="AG746" s="420">
        <v>0</v>
      </c>
      <c r="AH746" s="420"/>
      <c r="AI746" s="574">
        <f t="shared" si="17"/>
        <v>20000</v>
      </c>
      <c r="AJ746" s="212"/>
    </row>
    <row r="747" spans="2:36" ht="14.4">
      <c r="B747" s="211"/>
      <c r="C747" s="240" t="s">
        <v>360</v>
      </c>
      <c r="D747" s="214">
        <v>0</v>
      </c>
      <c r="E747" s="214">
        <v>470060.39</v>
      </c>
      <c r="F747" s="214">
        <v>275649.23</v>
      </c>
      <c r="G747" s="214">
        <v>0</v>
      </c>
      <c r="H747" s="214">
        <v>637853.42999999993</v>
      </c>
      <c r="I747" s="214">
        <v>0</v>
      </c>
      <c r="J747" s="214">
        <v>0</v>
      </c>
      <c r="K747" s="214">
        <v>0</v>
      </c>
      <c r="L747" s="214">
        <v>0</v>
      </c>
      <c r="M747" s="214">
        <v>121894.04000000001</v>
      </c>
      <c r="N747" s="214">
        <v>700.53</v>
      </c>
      <c r="O747" s="214">
        <v>294414.37</v>
      </c>
      <c r="P747" s="214">
        <v>190714.27000000002</v>
      </c>
      <c r="Q747" s="214">
        <v>281877.86</v>
      </c>
      <c r="R747" s="214">
        <v>0</v>
      </c>
      <c r="S747" s="214">
        <v>157230.79999999999</v>
      </c>
      <c r="T747" s="214">
        <v>0</v>
      </c>
      <c r="U747" s="214">
        <v>0</v>
      </c>
      <c r="V747" s="214">
        <v>0</v>
      </c>
      <c r="W747" s="214">
        <v>0</v>
      </c>
      <c r="X747" s="214">
        <v>0</v>
      </c>
      <c r="Y747" s="214">
        <v>0</v>
      </c>
      <c r="Z747" s="214">
        <v>0</v>
      </c>
      <c r="AA747" s="214">
        <v>0</v>
      </c>
      <c r="AB747" s="214">
        <v>0</v>
      </c>
      <c r="AC747" s="214">
        <v>0</v>
      </c>
      <c r="AD747" s="241">
        <v>0</v>
      </c>
      <c r="AE747" s="420">
        <v>338412.45</v>
      </c>
      <c r="AF747" s="420">
        <v>0</v>
      </c>
      <c r="AG747" s="420">
        <v>0</v>
      </c>
      <c r="AH747" s="420"/>
      <c r="AI747" s="574">
        <f t="shared" si="17"/>
        <v>2768807.3699999996</v>
      </c>
      <c r="AJ747" s="212"/>
    </row>
    <row r="748" spans="2:36" ht="14.4">
      <c r="B748" s="211"/>
      <c r="C748" s="240" t="s">
        <v>390</v>
      </c>
      <c r="D748" s="241"/>
      <c r="E748" s="241"/>
      <c r="F748" s="241"/>
      <c r="G748" s="241"/>
      <c r="H748" s="214">
        <v>2157.5</v>
      </c>
      <c r="I748" s="214">
        <v>0</v>
      </c>
      <c r="J748" s="214">
        <v>0</v>
      </c>
      <c r="K748" s="214">
        <v>0</v>
      </c>
      <c r="L748" s="214">
        <v>0</v>
      </c>
      <c r="M748" s="214">
        <v>0</v>
      </c>
      <c r="N748" s="214">
        <v>0</v>
      </c>
      <c r="O748" s="214">
        <v>0</v>
      </c>
      <c r="P748" s="214">
        <v>0</v>
      </c>
      <c r="Q748" s="214">
        <v>0</v>
      </c>
      <c r="R748" s="214">
        <v>0</v>
      </c>
      <c r="S748" s="214">
        <v>0</v>
      </c>
      <c r="T748" s="214">
        <v>0</v>
      </c>
      <c r="U748" s="214">
        <v>0</v>
      </c>
      <c r="V748" s="214">
        <v>0</v>
      </c>
      <c r="W748" s="214">
        <v>0</v>
      </c>
      <c r="X748" s="214">
        <v>0</v>
      </c>
      <c r="Y748" s="214">
        <v>0</v>
      </c>
      <c r="Z748" s="214">
        <v>0</v>
      </c>
      <c r="AA748" s="214">
        <v>0</v>
      </c>
      <c r="AB748" s="214">
        <v>0</v>
      </c>
      <c r="AC748" s="214">
        <v>0</v>
      </c>
      <c r="AD748" s="241"/>
      <c r="AE748" s="420">
        <v>0</v>
      </c>
      <c r="AF748" s="420">
        <v>0</v>
      </c>
      <c r="AG748" s="420">
        <v>0</v>
      </c>
      <c r="AH748" s="420"/>
      <c r="AI748" s="574">
        <f t="shared" si="17"/>
        <v>2157.5</v>
      </c>
      <c r="AJ748" s="212"/>
    </row>
    <row r="749" spans="2:36" ht="14.4">
      <c r="B749" s="211"/>
      <c r="C749" s="516" t="s">
        <v>400</v>
      </c>
      <c r="D749" s="241">
        <v>145389.75</v>
      </c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420"/>
      <c r="AF749" s="420"/>
      <c r="AG749" s="420"/>
      <c r="AH749" s="420"/>
      <c r="AI749" s="574">
        <f t="shared" si="17"/>
        <v>145389.75</v>
      </c>
      <c r="AJ749" s="212"/>
    </row>
    <row r="750" spans="2:36" ht="14.25" customHeight="1">
      <c r="B750" s="211"/>
      <c r="C750" s="149" t="s">
        <v>239</v>
      </c>
      <c r="D750" s="224">
        <f>SUM(D637:D749)</f>
        <v>2344883.1099999994</v>
      </c>
      <c r="E750" s="224">
        <f>SUM(E637:E747)</f>
        <v>1006657.37</v>
      </c>
      <c r="F750" s="224">
        <f>SUM(F637:F747)</f>
        <v>887538.72</v>
      </c>
      <c r="G750" s="224">
        <f>SUM(G637:G747)</f>
        <v>505379.19999999995</v>
      </c>
      <c r="H750" s="224">
        <f>SUM(H637:H748)</f>
        <v>1226552.04</v>
      </c>
      <c r="I750" s="224">
        <f t="shared" ref="I750:AH750" si="18">SUM(I637:I748)</f>
        <v>64655.63</v>
      </c>
      <c r="J750" s="224">
        <f t="shared" si="18"/>
        <v>27174.05</v>
      </c>
      <c r="K750" s="224">
        <f t="shared" si="18"/>
        <v>18945.109999999997</v>
      </c>
      <c r="L750" s="224">
        <f t="shared" si="18"/>
        <v>23107.789999999997</v>
      </c>
      <c r="M750" s="224">
        <f t="shared" si="18"/>
        <v>378367.47</v>
      </c>
      <c r="N750" s="224">
        <f t="shared" si="18"/>
        <v>42284.71</v>
      </c>
      <c r="O750" s="224">
        <f t="shared" si="18"/>
        <v>701305.33</v>
      </c>
      <c r="P750" s="224">
        <f t="shared" si="18"/>
        <v>442317.02</v>
      </c>
      <c r="Q750" s="224">
        <f t="shared" si="18"/>
        <v>951656.12999999989</v>
      </c>
      <c r="R750" s="224">
        <f t="shared" si="18"/>
        <v>97791.880000000019</v>
      </c>
      <c r="S750" s="224">
        <f t="shared" si="18"/>
        <v>440400.79999999993</v>
      </c>
      <c r="T750" s="224">
        <f t="shared" si="18"/>
        <v>21767.620000000003</v>
      </c>
      <c r="U750" s="224">
        <f t="shared" si="18"/>
        <v>30519.849999999995</v>
      </c>
      <c r="V750" s="224">
        <f t="shared" si="18"/>
        <v>27117.040000000001</v>
      </c>
      <c r="W750" s="224">
        <f t="shared" si="18"/>
        <v>14417.42</v>
      </c>
      <c r="X750" s="224">
        <f t="shared" si="18"/>
        <v>24205.53</v>
      </c>
      <c r="Y750" s="224">
        <f t="shared" si="18"/>
        <v>22983.949999999993</v>
      </c>
      <c r="Z750" s="224">
        <f t="shared" si="18"/>
        <v>10339.219999999999</v>
      </c>
      <c r="AA750" s="224">
        <f t="shared" si="18"/>
        <v>17299.47</v>
      </c>
      <c r="AB750" s="224">
        <f t="shared" si="18"/>
        <v>48899.680000000008</v>
      </c>
      <c r="AC750" s="224">
        <f t="shared" si="18"/>
        <v>23079.540000000005</v>
      </c>
      <c r="AD750" s="224">
        <f t="shared" si="18"/>
        <v>0</v>
      </c>
      <c r="AE750" s="224">
        <f t="shared" si="18"/>
        <v>730249.91999999993</v>
      </c>
      <c r="AF750" s="224">
        <f t="shared" si="18"/>
        <v>11426.739999999998</v>
      </c>
      <c r="AG750" s="224">
        <f t="shared" si="18"/>
        <v>41817.280000000006</v>
      </c>
      <c r="AH750" s="224">
        <f t="shared" si="18"/>
        <v>0</v>
      </c>
      <c r="AI750" s="575">
        <f>SUM(AI637:AI749)</f>
        <v>10183139.620000003</v>
      </c>
      <c r="AJ750" s="212"/>
    </row>
    <row r="751" spans="2:36" ht="14.4">
      <c r="B751" s="218"/>
      <c r="C751" s="219"/>
      <c r="D751" s="219"/>
      <c r="E751" s="219"/>
      <c r="F751" s="219"/>
      <c r="G751" s="219"/>
      <c r="H751" s="498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  <c r="AB751" s="219"/>
      <c r="AC751" s="219"/>
      <c r="AD751" s="219"/>
      <c r="AE751" s="219"/>
      <c r="AF751" s="219"/>
      <c r="AG751" s="219"/>
      <c r="AH751" s="219"/>
      <c r="AI751" s="576"/>
      <c r="AJ751" s="212"/>
    </row>
    <row r="752" spans="2:36" ht="14.4">
      <c r="B752" s="209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  <c r="AA752" s="202"/>
      <c r="AB752" s="202"/>
      <c r="AC752" s="202"/>
      <c r="AD752" s="202"/>
      <c r="AE752" s="202"/>
      <c r="AF752" s="202"/>
      <c r="AG752" s="202"/>
      <c r="AH752" s="202"/>
      <c r="AI752" s="577"/>
      <c r="AJ752" s="209"/>
    </row>
    <row r="753" spans="1:36" ht="14.4">
      <c r="B753" s="220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  <c r="AB753" s="221"/>
      <c r="AC753" s="221"/>
      <c r="AD753" s="221"/>
      <c r="AE753" s="221"/>
      <c r="AF753" s="221"/>
      <c r="AG753" s="221"/>
      <c r="AH753" s="221"/>
      <c r="AI753" s="578"/>
      <c r="AJ753" s="222"/>
    </row>
    <row r="757" spans="1:36">
      <c r="A757" s="202"/>
    </row>
    <row r="758" spans="1:36" ht="21">
      <c r="A758" s="203"/>
      <c r="B758" s="204"/>
      <c r="C758" s="116" t="s">
        <v>272</v>
      </c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  <c r="AI758" s="570"/>
      <c r="AJ758" s="117"/>
    </row>
    <row r="759" spans="1:36" ht="21">
      <c r="A759" s="206"/>
      <c r="B759" s="207"/>
      <c r="C759" s="119"/>
      <c r="D759" s="120"/>
      <c r="E759" s="634"/>
      <c r="F759" s="634"/>
      <c r="G759" s="634"/>
      <c r="H759" s="634"/>
      <c r="I759" s="634"/>
      <c r="J759" s="634"/>
      <c r="K759" s="120"/>
      <c r="L759" s="120"/>
      <c r="M759" s="120"/>
      <c r="N759" s="634" t="s">
        <v>391</v>
      </c>
      <c r="O759" s="634"/>
      <c r="P759" s="634"/>
      <c r="Q759" s="634"/>
      <c r="R759" s="634"/>
      <c r="S759" s="634"/>
      <c r="T759" s="634"/>
      <c r="U759" s="634"/>
      <c r="V759" s="634"/>
      <c r="W759" s="634"/>
      <c r="X759" s="634"/>
      <c r="Y759" s="634"/>
      <c r="Z759" s="634"/>
      <c r="AA759" s="120"/>
      <c r="AB759" s="120"/>
      <c r="AC759" s="120"/>
      <c r="AD759" s="120"/>
      <c r="AE759" s="120"/>
      <c r="AF759" s="120"/>
      <c r="AG759" s="120"/>
      <c r="AH759" s="120"/>
      <c r="AI759" s="571"/>
      <c r="AJ759" s="120"/>
    </row>
    <row r="760" spans="1:36" ht="14.4">
      <c r="A760" s="205"/>
    </row>
    <row r="761" spans="1:36" ht="14.4">
      <c r="B761" s="208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  <c r="AH761" s="209"/>
      <c r="AI761" s="573"/>
      <c r="AJ761" s="210"/>
    </row>
    <row r="762" spans="1:36" ht="14.4">
      <c r="B762" s="211"/>
      <c r="C762" s="133" t="s">
        <v>264</v>
      </c>
      <c r="D762" s="126" t="s">
        <v>184</v>
      </c>
      <c r="E762" s="201" t="s">
        <v>36</v>
      </c>
      <c r="F762" s="201" t="s">
        <v>9</v>
      </c>
      <c r="G762" s="201" t="s">
        <v>25</v>
      </c>
      <c r="H762" s="201" t="s">
        <v>160</v>
      </c>
      <c r="I762" s="201" t="s">
        <v>139</v>
      </c>
      <c r="J762" s="201" t="s">
        <v>37</v>
      </c>
      <c r="K762" s="201" t="s">
        <v>133</v>
      </c>
      <c r="L762" s="201" t="s">
        <v>123</v>
      </c>
      <c r="M762" s="201" t="s">
        <v>145</v>
      </c>
      <c r="N762" s="201" t="s">
        <v>124</v>
      </c>
      <c r="O762" s="201" t="s">
        <v>169</v>
      </c>
      <c r="P762" s="201" t="s">
        <v>243</v>
      </c>
      <c r="Q762" s="201" t="s">
        <v>175</v>
      </c>
      <c r="R762" s="201" t="s">
        <v>170</v>
      </c>
      <c r="S762" s="201" t="s">
        <v>203</v>
      </c>
      <c r="T762" s="201" t="s">
        <v>172</v>
      </c>
      <c r="U762" s="201" t="s">
        <v>176</v>
      </c>
      <c r="V762" s="201" t="s">
        <v>177</v>
      </c>
      <c r="W762" s="201" t="s">
        <v>178</v>
      </c>
      <c r="X762" s="201" t="s">
        <v>179</v>
      </c>
      <c r="Y762" s="201" t="s">
        <v>181</v>
      </c>
      <c r="Z762" s="201" t="s">
        <v>182</v>
      </c>
      <c r="AA762" s="201" t="s">
        <v>187</v>
      </c>
      <c r="AB762" s="201" t="s">
        <v>233</v>
      </c>
      <c r="AC762" s="201" t="s">
        <v>240</v>
      </c>
      <c r="AD762" s="201" t="s">
        <v>245</v>
      </c>
      <c r="AE762" s="201" t="s">
        <v>357</v>
      </c>
      <c r="AF762" s="201" t="s">
        <v>362</v>
      </c>
      <c r="AG762" s="201" t="s">
        <v>361</v>
      </c>
      <c r="AH762" s="201" t="s">
        <v>234</v>
      </c>
      <c r="AI762" s="568" t="s">
        <v>239</v>
      </c>
      <c r="AJ762" s="212"/>
    </row>
    <row r="763" spans="1:36" ht="14.4">
      <c r="B763" s="211"/>
      <c r="C763" s="247" t="s">
        <v>40</v>
      </c>
      <c r="D763" s="214">
        <f>1108595.69</f>
        <v>1108595.69</v>
      </c>
      <c r="E763" s="214">
        <v>0</v>
      </c>
      <c r="F763" s="214">
        <v>0</v>
      </c>
      <c r="G763" s="214">
        <v>0</v>
      </c>
      <c r="H763" s="214">
        <v>0</v>
      </c>
      <c r="I763" s="214">
        <v>0</v>
      </c>
      <c r="J763" s="214">
        <v>0</v>
      </c>
      <c r="K763" s="214">
        <v>0</v>
      </c>
      <c r="L763" s="214">
        <v>0</v>
      </c>
      <c r="M763" s="214">
        <v>0</v>
      </c>
      <c r="N763" s="214">
        <v>0</v>
      </c>
      <c r="O763" s="214">
        <v>0</v>
      </c>
      <c r="P763" s="214">
        <v>0</v>
      </c>
      <c r="Q763" s="214">
        <v>0</v>
      </c>
      <c r="R763" s="214">
        <v>0</v>
      </c>
      <c r="S763" s="214">
        <v>0</v>
      </c>
      <c r="T763" s="214">
        <v>0</v>
      </c>
      <c r="U763" s="214">
        <v>0</v>
      </c>
      <c r="V763" s="214">
        <v>0</v>
      </c>
      <c r="W763" s="214">
        <v>0</v>
      </c>
      <c r="X763" s="214">
        <v>0</v>
      </c>
      <c r="Y763" s="214">
        <v>0</v>
      </c>
      <c r="Z763" s="214">
        <v>0</v>
      </c>
      <c r="AA763" s="214">
        <v>0</v>
      </c>
      <c r="AB763" s="214">
        <v>0</v>
      </c>
      <c r="AC763" s="214">
        <v>0</v>
      </c>
      <c r="AD763" s="215"/>
      <c r="AE763" s="420">
        <v>0</v>
      </c>
      <c r="AF763" s="420">
        <v>0</v>
      </c>
      <c r="AG763" s="420">
        <v>0</v>
      </c>
      <c r="AH763" s="420"/>
      <c r="AI763" s="574">
        <f>SUM(D763:AH763)</f>
        <v>1108595.69</v>
      </c>
      <c r="AJ763" s="212"/>
    </row>
    <row r="764" spans="1:36" ht="14.4">
      <c r="B764" s="211"/>
      <c r="C764" s="247" t="s">
        <v>41</v>
      </c>
      <c r="D764" s="214">
        <v>0</v>
      </c>
      <c r="E764" s="214">
        <v>324699.23</v>
      </c>
      <c r="F764" s="214">
        <v>349136.14</v>
      </c>
      <c r="G764" s="214">
        <v>276046.19</v>
      </c>
      <c r="H764" s="214">
        <v>412599.93000000005</v>
      </c>
      <c r="I764" s="214">
        <v>39426.625</v>
      </c>
      <c r="J764" s="214">
        <v>21298.639999999999</v>
      </c>
      <c r="K764" s="214">
        <v>14856.57</v>
      </c>
      <c r="L764" s="214">
        <v>19326.59</v>
      </c>
      <c r="M764" s="214">
        <v>211855.72999999998</v>
      </c>
      <c r="N764" s="214">
        <v>35176.43</v>
      </c>
      <c r="O764" s="214">
        <v>295608.21999999997</v>
      </c>
      <c r="P764" s="214">
        <v>209875.18</v>
      </c>
      <c r="Q764" s="214">
        <v>458442.54000000004</v>
      </c>
      <c r="R764" s="214">
        <v>34523.54</v>
      </c>
      <c r="S764" s="214">
        <v>183960.06</v>
      </c>
      <c r="T764" s="214">
        <v>12712.8</v>
      </c>
      <c r="U764" s="214">
        <v>23163.050000000003</v>
      </c>
      <c r="V764" s="214">
        <v>25370.33</v>
      </c>
      <c r="W764" s="214">
        <v>7637.6900000000005</v>
      </c>
      <c r="X764" s="214">
        <v>10825</v>
      </c>
      <c r="Y764" s="214">
        <v>10693.49</v>
      </c>
      <c r="Z764" s="214">
        <v>7014.8</v>
      </c>
      <c r="AA764" s="214">
        <v>8900</v>
      </c>
      <c r="AB764" s="214">
        <v>26809.85</v>
      </c>
      <c r="AC764" s="214">
        <v>22505.48</v>
      </c>
      <c r="AD764" s="215"/>
      <c r="AE764" s="420">
        <v>344092.93</v>
      </c>
      <c r="AF764" s="420">
        <v>10630.150000000001</v>
      </c>
      <c r="AG764" s="420">
        <v>39322.400000000001</v>
      </c>
      <c r="AH764" s="420">
        <v>0</v>
      </c>
      <c r="AI764" s="574">
        <f t="shared" ref="AI764:AI827" si="19">SUM(D764:AH764)</f>
        <v>3436509.585</v>
      </c>
      <c r="AJ764" s="212"/>
    </row>
    <row r="765" spans="1:36" ht="14.4">
      <c r="B765" s="211"/>
      <c r="C765" s="213" t="s">
        <v>26</v>
      </c>
      <c r="D765" s="214">
        <v>18677</v>
      </c>
      <c r="E765" s="214">
        <v>5313</v>
      </c>
      <c r="F765" s="214">
        <v>8115</v>
      </c>
      <c r="G765" s="214">
        <v>6907</v>
      </c>
      <c r="H765" s="214">
        <v>9619</v>
      </c>
      <c r="I765" s="214">
        <v>0</v>
      </c>
      <c r="J765" s="214">
        <v>0</v>
      </c>
      <c r="K765" s="214">
        <v>0</v>
      </c>
      <c r="L765" s="214">
        <v>0</v>
      </c>
      <c r="M765" s="214">
        <v>0</v>
      </c>
      <c r="N765" s="214">
        <v>0</v>
      </c>
      <c r="O765" s="214">
        <v>4500</v>
      </c>
      <c r="P765" s="214">
        <v>4861</v>
      </c>
      <c r="Q765" s="214">
        <v>20916</v>
      </c>
      <c r="R765" s="214">
        <v>4200</v>
      </c>
      <c r="S765" s="214">
        <v>5237</v>
      </c>
      <c r="T765" s="214">
        <v>0</v>
      </c>
      <c r="U765" s="214">
        <v>0</v>
      </c>
      <c r="V765" s="214">
        <v>0</v>
      </c>
      <c r="W765" s="214">
        <v>0</v>
      </c>
      <c r="X765" s="214">
        <v>0</v>
      </c>
      <c r="Y765" s="214">
        <v>0</v>
      </c>
      <c r="Z765" s="214">
        <v>0</v>
      </c>
      <c r="AA765" s="214">
        <v>0</v>
      </c>
      <c r="AB765" s="214">
        <v>0</v>
      </c>
      <c r="AC765" s="214">
        <v>0</v>
      </c>
      <c r="AD765" s="215"/>
      <c r="AE765" s="420">
        <v>4030</v>
      </c>
      <c r="AF765" s="420">
        <v>0</v>
      </c>
      <c r="AG765" s="420">
        <v>0</v>
      </c>
      <c r="AH765" s="420"/>
      <c r="AI765" s="574">
        <f t="shared" si="19"/>
        <v>92375</v>
      </c>
      <c r="AJ765" s="212"/>
    </row>
    <row r="766" spans="1:36" ht="14.4">
      <c r="B766" s="211"/>
      <c r="C766" s="213" t="s">
        <v>27</v>
      </c>
      <c r="D766" s="214">
        <v>306</v>
      </c>
      <c r="E766" s="214">
        <v>0</v>
      </c>
      <c r="F766" s="214">
        <v>0</v>
      </c>
      <c r="G766" s="214">
        <v>320</v>
      </c>
      <c r="H766" s="214">
        <v>0</v>
      </c>
      <c r="I766" s="214">
        <v>0</v>
      </c>
      <c r="J766" s="214">
        <v>0</v>
      </c>
      <c r="K766" s="214">
        <v>0</v>
      </c>
      <c r="L766" s="214">
        <v>0</v>
      </c>
      <c r="M766" s="214">
        <v>0</v>
      </c>
      <c r="N766" s="214">
        <v>0</v>
      </c>
      <c r="O766" s="214">
        <v>0</v>
      </c>
      <c r="P766" s="214">
        <v>0</v>
      </c>
      <c r="Q766" s="214">
        <v>0</v>
      </c>
      <c r="R766" s="214">
        <v>0</v>
      </c>
      <c r="S766" s="214">
        <v>0</v>
      </c>
      <c r="T766" s="214">
        <v>0</v>
      </c>
      <c r="U766" s="214">
        <v>0</v>
      </c>
      <c r="V766" s="214">
        <v>0</v>
      </c>
      <c r="W766" s="214">
        <v>0</v>
      </c>
      <c r="X766" s="214">
        <v>0</v>
      </c>
      <c r="Y766" s="214">
        <v>0</v>
      </c>
      <c r="Z766" s="214">
        <v>0</v>
      </c>
      <c r="AA766" s="214">
        <v>0</v>
      </c>
      <c r="AB766" s="214">
        <v>0</v>
      </c>
      <c r="AC766" s="214">
        <v>0</v>
      </c>
      <c r="AD766" s="215"/>
      <c r="AE766" s="420">
        <v>0</v>
      </c>
      <c r="AF766" s="420">
        <v>0</v>
      </c>
      <c r="AG766" s="420">
        <v>0</v>
      </c>
      <c r="AH766" s="420"/>
      <c r="AI766" s="574">
        <f t="shared" si="19"/>
        <v>626</v>
      </c>
      <c r="AJ766" s="212"/>
    </row>
    <row r="767" spans="1:36" ht="14.4">
      <c r="B767" s="211"/>
      <c r="C767" s="213" t="s">
        <v>42</v>
      </c>
      <c r="D767" s="214">
        <v>0</v>
      </c>
      <c r="E767" s="214">
        <v>0</v>
      </c>
      <c r="F767" s="214">
        <v>0</v>
      </c>
      <c r="G767" s="214">
        <v>0</v>
      </c>
      <c r="H767" s="214">
        <v>0</v>
      </c>
      <c r="I767" s="214">
        <v>0</v>
      </c>
      <c r="J767" s="214">
        <v>0</v>
      </c>
      <c r="K767" s="214">
        <v>0</v>
      </c>
      <c r="L767" s="214">
        <v>0</v>
      </c>
      <c r="M767" s="214">
        <v>0</v>
      </c>
      <c r="N767" s="214">
        <v>0</v>
      </c>
      <c r="O767" s="214">
        <v>0</v>
      </c>
      <c r="P767" s="214">
        <v>0</v>
      </c>
      <c r="Q767" s="214">
        <v>0</v>
      </c>
      <c r="R767" s="214">
        <v>0</v>
      </c>
      <c r="S767" s="214">
        <v>0</v>
      </c>
      <c r="T767" s="214">
        <v>0</v>
      </c>
      <c r="U767" s="214">
        <v>0</v>
      </c>
      <c r="V767" s="214">
        <v>0</v>
      </c>
      <c r="W767" s="214">
        <v>0</v>
      </c>
      <c r="X767" s="214">
        <v>0</v>
      </c>
      <c r="Y767" s="214">
        <v>0</v>
      </c>
      <c r="Z767" s="214">
        <v>0</v>
      </c>
      <c r="AA767" s="214">
        <v>0</v>
      </c>
      <c r="AB767" s="214">
        <v>0</v>
      </c>
      <c r="AC767" s="214">
        <v>0</v>
      </c>
      <c r="AD767" s="215"/>
      <c r="AE767" s="420">
        <v>0</v>
      </c>
      <c r="AF767" s="420">
        <v>0</v>
      </c>
      <c r="AG767" s="420">
        <v>0</v>
      </c>
      <c r="AH767" s="420"/>
      <c r="AI767" s="574">
        <f t="shared" si="19"/>
        <v>0</v>
      </c>
      <c r="AJ767" s="212"/>
    </row>
    <row r="768" spans="1:36" ht="14.4">
      <c r="B768" s="211"/>
      <c r="C768" s="213" t="s">
        <v>43</v>
      </c>
      <c r="D768" s="214">
        <v>0</v>
      </c>
      <c r="E768" s="214">
        <v>100000</v>
      </c>
      <c r="F768" s="214">
        <v>100000</v>
      </c>
      <c r="G768" s="214">
        <v>100000</v>
      </c>
      <c r="H768" s="214">
        <v>0</v>
      </c>
      <c r="I768" s="214">
        <v>0</v>
      </c>
      <c r="J768" s="214">
        <v>0</v>
      </c>
      <c r="K768" s="214">
        <v>0</v>
      </c>
      <c r="L768" s="214">
        <v>0</v>
      </c>
      <c r="M768" s="214">
        <v>0</v>
      </c>
      <c r="N768" s="214">
        <v>0</v>
      </c>
      <c r="O768" s="214">
        <v>0</v>
      </c>
      <c r="P768" s="214">
        <v>0</v>
      </c>
      <c r="Q768" s="214">
        <v>0</v>
      </c>
      <c r="R768" s="214">
        <v>0</v>
      </c>
      <c r="S768" s="214">
        <v>0</v>
      </c>
      <c r="T768" s="214">
        <v>0</v>
      </c>
      <c r="U768" s="214">
        <v>0</v>
      </c>
      <c r="V768" s="214">
        <v>0</v>
      </c>
      <c r="W768" s="214">
        <v>0</v>
      </c>
      <c r="X768" s="214">
        <v>0</v>
      </c>
      <c r="Y768" s="214">
        <v>0</v>
      </c>
      <c r="Z768" s="214">
        <v>0</v>
      </c>
      <c r="AA768" s="214">
        <v>0</v>
      </c>
      <c r="AB768" s="214">
        <v>0</v>
      </c>
      <c r="AC768" s="214">
        <v>0</v>
      </c>
      <c r="AD768" s="215"/>
      <c r="AE768" s="420">
        <v>0</v>
      </c>
      <c r="AF768" s="420">
        <v>0</v>
      </c>
      <c r="AG768" s="420">
        <v>0</v>
      </c>
      <c r="AH768" s="420"/>
      <c r="AI768" s="574">
        <f t="shared" si="19"/>
        <v>300000</v>
      </c>
      <c r="AJ768" s="212"/>
    </row>
    <row r="769" spans="2:36" ht="14.4">
      <c r="B769" s="211"/>
      <c r="C769" s="213" t="s">
        <v>44</v>
      </c>
      <c r="D769" s="214">
        <v>100000</v>
      </c>
      <c r="E769" s="214">
        <v>0</v>
      </c>
      <c r="F769" s="214">
        <v>0</v>
      </c>
      <c r="G769" s="214">
        <v>0</v>
      </c>
      <c r="H769" s="214">
        <v>0</v>
      </c>
      <c r="I769" s="214">
        <v>0</v>
      </c>
      <c r="J769" s="214">
        <v>0</v>
      </c>
      <c r="K769" s="214">
        <v>0</v>
      </c>
      <c r="L769" s="214">
        <v>0</v>
      </c>
      <c r="M769" s="214">
        <v>0</v>
      </c>
      <c r="N769" s="214">
        <v>0</v>
      </c>
      <c r="O769" s="214">
        <v>0</v>
      </c>
      <c r="P769" s="214">
        <v>0</v>
      </c>
      <c r="Q769" s="214">
        <v>0</v>
      </c>
      <c r="R769" s="214">
        <v>0</v>
      </c>
      <c r="S769" s="214">
        <v>0</v>
      </c>
      <c r="T769" s="214">
        <v>0</v>
      </c>
      <c r="U769" s="214">
        <v>0</v>
      </c>
      <c r="V769" s="214">
        <v>0</v>
      </c>
      <c r="W769" s="214">
        <v>0</v>
      </c>
      <c r="X769" s="214">
        <v>0</v>
      </c>
      <c r="Y769" s="214">
        <v>0</v>
      </c>
      <c r="Z769" s="214">
        <v>0</v>
      </c>
      <c r="AA769" s="214">
        <v>0</v>
      </c>
      <c r="AB769" s="214">
        <v>0</v>
      </c>
      <c r="AC769" s="214">
        <v>0</v>
      </c>
      <c r="AD769" s="215"/>
      <c r="AE769" s="420">
        <v>0</v>
      </c>
      <c r="AF769" s="420">
        <v>0</v>
      </c>
      <c r="AG769" s="420">
        <v>0</v>
      </c>
      <c r="AH769" s="420"/>
      <c r="AI769" s="574">
        <f t="shared" si="19"/>
        <v>100000</v>
      </c>
      <c r="AJ769" s="212"/>
    </row>
    <row r="770" spans="2:36" ht="14.4">
      <c r="B770" s="211"/>
      <c r="C770" s="213" t="s">
        <v>45</v>
      </c>
      <c r="D770" s="214">
        <v>41900</v>
      </c>
      <c r="E770" s="214">
        <v>0</v>
      </c>
      <c r="F770" s="214">
        <v>26200</v>
      </c>
      <c r="G770" s="214">
        <v>0</v>
      </c>
      <c r="H770" s="214">
        <v>35500</v>
      </c>
      <c r="I770" s="214">
        <v>0</v>
      </c>
      <c r="J770" s="214">
        <v>0</v>
      </c>
      <c r="K770" s="214">
        <v>0</v>
      </c>
      <c r="L770" s="214">
        <v>0</v>
      </c>
      <c r="M770" s="214">
        <v>16000</v>
      </c>
      <c r="N770" s="214">
        <v>13200</v>
      </c>
      <c r="O770" s="214">
        <v>21225</v>
      </c>
      <c r="P770" s="214">
        <v>20900</v>
      </c>
      <c r="Q770" s="214">
        <v>100886</v>
      </c>
      <c r="R770" s="214">
        <v>23420</v>
      </c>
      <c r="S770" s="214">
        <v>50625</v>
      </c>
      <c r="T770" s="214">
        <v>0</v>
      </c>
      <c r="U770" s="214">
        <v>0</v>
      </c>
      <c r="V770" s="214">
        <v>0</v>
      </c>
      <c r="W770" s="214">
        <v>0</v>
      </c>
      <c r="X770" s="214">
        <v>0</v>
      </c>
      <c r="Y770" s="214">
        <v>0</v>
      </c>
      <c r="Z770" s="214">
        <v>0</v>
      </c>
      <c r="AA770" s="214">
        <v>0</v>
      </c>
      <c r="AB770" s="214">
        <v>0</v>
      </c>
      <c r="AC770" s="214">
        <v>0</v>
      </c>
      <c r="AD770" s="215"/>
      <c r="AE770" s="420">
        <v>42025</v>
      </c>
      <c r="AF770" s="420">
        <v>0</v>
      </c>
      <c r="AG770" s="420">
        <v>0</v>
      </c>
      <c r="AH770" s="420"/>
      <c r="AI770" s="574">
        <f t="shared" si="19"/>
        <v>391881</v>
      </c>
      <c r="AJ770" s="212"/>
    </row>
    <row r="771" spans="2:36" ht="14.4">
      <c r="B771" s="211"/>
      <c r="C771" s="213" t="s">
        <v>156</v>
      </c>
      <c r="D771" s="214">
        <v>1123</v>
      </c>
      <c r="E771" s="214">
        <v>70</v>
      </c>
      <c r="F771" s="214">
        <v>65</v>
      </c>
      <c r="G771" s="214">
        <v>301</v>
      </c>
      <c r="H771" s="214">
        <v>0</v>
      </c>
      <c r="I771" s="214">
        <v>0</v>
      </c>
      <c r="J771" s="214">
        <v>0</v>
      </c>
      <c r="K771" s="214">
        <v>0</v>
      </c>
      <c r="L771" s="214">
        <v>0</v>
      </c>
      <c r="M771" s="214">
        <v>0</v>
      </c>
      <c r="N771" s="214">
        <v>0</v>
      </c>
      <c r="O771" s="214">
        <v>0</v>
      </c>
      <c r="P771" s="214">
        <v>0</v>
      </c>
      <c r="Q771" s="214">
        <v>50</v>
      </c>
      <c r="R771" s="214">
        <v>0</v>
      </c>
      <c r="S771" s="214">
        <v>0</v>
      </c>
      <c r="T771" s="214">
        <v>0</v>
      </c>
      <c r="U771" s="214">
        <v>0</v>
      </c>
      <c r="V771" s="214">
        <v>0</v>
      </c>
      <c r="W771" s="214">
        <v>0</v>
      </c>
      <c r="X771" s="214">
        <v>0</v>
      </c>
      <c r="Y771" s="214">
        <v>0</v>
      </c>
      <c r="Z771" s="214">
        <v>0</v>
      </c>
      <c r="AA771" s="214">
        <v>0</v>
      </c>
      <c r="AB771" s="214">
        <v>0</v>
      </c>
      <c r="AC771" s="214">
        <v>0</v>
      </c>
      <c r="AD771" s="215"/>
      <c r="AE771" s="420">
        <v>0</v>
      </c>
      <c r="AF771" s="420">
        <v>0</v>
      </c>
      <c r="AG771" s="420">
        <v>0</v>
      </c>
      <c r="AH771" s="420"/>
      <c r="AI771" s="574">
        <f t="shared" si="19"/>
        <v>1609</v>
      </c>
      <c r="AJ771" s="212"/>
    </row>
    <row r="772" spans="2:36" ht="14.4">
      <c r="B772" s="211"/>
      <c r="C772" s="213" t="s">
        <v>46</v>
      </c>
      <c r="D772" s="214">
        <v>12253.64</v>
      </c>
      <c r="E772" s="214">
        <v>721.98</v>
      </c>
      <c r="F772" s="214">
        <v>1900</v>
      </c>
      <c r="G772" s="214">
        <v>444.46</v>
      </c>
      <c r="H772" s="214">
        <v>147.13</v>
      </c>
      <c r="I772" s="214">
        <v>84.95</v>
      </c>
      <c r="J772" s="214">
        <v>50.97</v>
      </c>
      <c r="K772" s="214">
        <v>523.88</v>
      </c>
      <c r="L772" s="214">
        <v>65.87</v>
      </c>
      <c r="M772" s="214">
        <v>694.4</v>
      </c>
      <c r="N772" s="214">
        <v>54.67</v>
      </c>
      <c r="O772" s="214">
        <v>592.11</v>
      </c>
      <c r="P772" s="214">
        <v>623.80999999999995</v>
      </c>
      <c r="Q772" s="214">
        <v>448.43</v>
      </c>
      <c r="R772" s="214">
        <v>270.87</v>
      </c>
      <c r="S772" s="214">
        <v>861.1</v>
      </c>
      <c r="T772" s="214">
        <v>0</v>
      </c>
      <c r="U772" s="214">
        <v>168.67</v>
      </c>
      <c r="V772" s="214">
        <v>0</v>
      </c>
      <c r="W772" s="214">
        <v>300</v>
      </c>
      <c r="X772" s="214">
        <v>168.67</v>
      </c>
      <c r="Y772" s="214">
        <v>342.18</v>
      </c>
      <c r="Z772" s="214">
        <v>57.87</v>
      </c>
      <c r="AA772" s="214">
        <v>65.87</v>
      </c>
      <c r="AB772" s="214">
        <v>138.33000000000001</v>
      </c>
      <c r="AC772" s="214">
        <v>62.18</v>
      </c>
      <c r="AD772" s="215"/>
      <c r="AE772" s="420">
        <v>270.86</v>
      </c>
      <c r="AF772" s="420">
        <v>200</v>
      </c>
      <c r="AG772" s="420">
        <v>125</v>
      </c>
      <c r="AH772" s="420"/>
      <c r="AI772" s="574">
        <f t="shared" si="19"/>
        <v>21637.899999999994</v>
      </c>
      <c r="AJ772" s="212"/>
    </row>
    <row r="773" spans="2:36" ht="14.4">
      <c r="B773" s="211"/>
      <c r="C773" s="213" t="s">
        <v>47</v>
      </c>
      <c r="D773" s="214">
        <f>165+110</f>
        <v>275</v>
      </c>
      <c r="E773" s="214">
        <v>0</v>
      </c>
      <c r="F773" s="214">
        <v>0</v>
      </c>
      <c r="G773" s="214">
        <v>0</v>
      </c>
      <c r="H773" s="214">
        <v>0</v>
      </c>
      <c r="I773" s="214">
        <v>0</v>
      </c>
      <c r="J773" s="214">
        <v>0</v>
      </c>
      <c r="K773" s="214">
        <v>0</v>
      </c>
      <c r="L773" s="214">
        <v>0</v>
      </c>
      <c r="M773" s="214">
        <v>0</v>
      </c>
      <c r="N773" s="214">
        <v>0</v>
      </c>
      <c r="O773" s="214">
        <v>0</v>
      </c>
      <c r="P773" s="214">
        <v>0</v>
      </c>
      <c r="Q773" s="214">
        <v>0</v>
      </c>
      <c r="R773" s="214">
        <v>0</v>
      </c>
      <c r="S773" s="214">
        <v>0</v>
      </c>
      <c r="T773" s="214">
        <v>0</v>
      </c>
      <c r="U773" s="214">
        <v>0</v>
      </c>
      <c r="V773" s="214">
        <v>0</v>
      </c>
      <c r="W773" s="214">
        <v>0</v>
      </c>
      <c r="X773" s="214">
        <v>0</v>
      </c>
      <c r="Y773" s="214">
        <v>0</v>
      </c>
      <c r="Z773" s="214">
        <v>0</v>
      </c>
      <c r="AA773" s="214">
        <v>0</v>
      </c>
      <c r="AB773" s="214">
        <v>0</v>
      </c>
      <c r="AC773" s="214">
        <v>0</v>
      </c>
      <c r="AD773" s="215"/>
      <c r="AE773" s="420">
        <v>0</v>
      </c>
      <c r="AF773" s="420">
        <v>0</v>
      </c>
      <c r="AG773" s="420">
        <v>0</v>
      </c>
      <c r="AH773" s="420"/>
      <c r="AI773" s="574">
        <f t="shared" si="19"/>
        <v>275</v>
      </c>
      <c r="AJ773" s="212"/>
    </row>
    <row r="774" spans="2:36" ht="14.4">
      <c r="B774" s="211"/>
      <c r="C774" s="213" t="s">
        <v>48</v>
      </c>
      <c r="D774" s="214">
        <v>26085</v>
      </c>
      <c r="E774" s="214">
        <v>2200</v>
      </c>
      <c r="F774" s="214">
        <v>750</v>
      </c>
      <c r="G774" s="214">
        <v>750</v>
      </c>
      <c r="H774" s="214">
        <v>650</v>
      </c>
      <c r="I774" s="214">
        <v>0</v>
      </c>
      <c r="J774" s="214">
        <v>0</v>
      </c>
      <c r="K774" s="214">
        <v>0</v>
      </c>
      <c r="L774" s="214">
        <v>0</v>
      </c>
      <c r="M774" s="214">
        <v>900</v>
      </c>
      <c r="N774" s="214">
        <v>0</v>
      </c>
      <c r="O774" s="214">
        <v>0</v>
      </c>
      <c r="P774" s="214">
        <v>400</v>
      </c>
      <c r="Q774" s="214">
        <v>650</v>
      </c>
      <c r="R774" s="214">
        <v>0</v>
      </c>
      <c r="S774" s="214">
        <v>0</v>
      </c>
      <c r="T774" s="214">
        <v>0</v>
      </c>
      <c r="U774" s="214">
        <v>0</v>
      </c>
      <c r="V774" s="214">
        <v>0</v>
      </c>
      <c r="W774" s="214">
        <v>0</v>
      </c>
      <c r="X774" s="214">
        <v>0</v>
      </c>
      <c r="Y774" s="214">
        <v>0</v>
      </c>
      <c r="Z774" s="214">
        <v>0</v>
      </c>
      <c r="AA774" s="214">
        <v>0</v>
      </c>
      <c r="AB774" s="214">
        <v>0</v>
      </c>
      <c r="AC774" s="214">
        <v>0</v>
      </c>
      <c r="AD774" s="215"/>
      <c r="AE774" s="420">
        <v>0</v>
      </c>
      <c r="AF774" s="420">
        <v>0</v>
      </c>
      <c r="AG774" s="420">
        <v>0</v>
      </c>
      <c r="AH774" s="420"/>
      <c r="AI774" s="574">
        <f t="shared" si="19"/>
        <v>32385</v>
      </c>
      <c r="AJ774" s="212"/>
    </row>
    <row r="775" spans="2:36" ht="14.4">
      <c r="B775" s="211"/>
      <c r="C775" s="213" t="s">
        <v>49</v>
      </c>
      <c r="D775" s="214">
        <v>5245</v>
      </c>
      <c r="E775" s="214">
        <v>0</v>
      </c>
      <c r="F775" s="214">
        <v>0</v>
      </c>
      <c r="G775" s="214">
        <v>0</v>
      </c>
      <c r="H775" s="214">
        <v>0</v>
      </c>
      <c r="I775" s="214">
        <v>0</v>
      </c>
      <c r="J775" s="214">
        <v>0</v>
      </c>
      <c r="K775" s="214">
        <v>0</v>
      </c>
      <c r="L775" s="214">
        <v>0</v>
      </c>
      <c r="M775" s="214">
        <v>0</v>
      </c>
      <c r="N775" s="214">
        <v>0</v>
      </c>
      <c r="O775" s="214">
        <v>0</v>
      </c>
      <c r="P775" s="214">
        <v>0</v>
      </c>
      <c r="Q775" s="214">
        <v>0</v>
      </c>
      <c r="R775" s="214">
        <v>0</v>
      </c>
      <c r="S775" s="214">
        <v>0</v>
      </c>
      <c r="T775" s="214">
        <v>0</v>
      </c>
      <c r="U775" s="214">
        <v>0</v>
      </c>
      <c r="V775" s="214">
        <v>0</v>
      </c>
      <c r="W775" s="214">
        <v>0</v>
      </c>
      <c r="X775" s="214">
        <v>0</v>
      </c>
      <c r="Y775" s="214">
        <v>0</v>
      </c>
      <c r="Z775" s="214">
        <v>0</v>
      </c>
      <c r="AA775" s="214">
        <v>0</v>
      </c>
      <c r="AB775" s="214">
        <v>0</v>
      </c>
      <c r="AC775" s="214">
        <v>0</v>
      </c>
      <c r="AD775" s="215"/>
      <c r="AE775" s="420">
        <v>0</v>
      </c>
      <c r="AF775" s="420">
        <v>0</v>
      </c>
      <c r="AG775" s="420">
        <v>0</v>
      </c>
      <c r="AH775" s="420"/>
      <c r="AI775" s="574">
        <f t="shared" si="19"/>
        <v>5245</v>
      </c>
      <c r="AJ775" s="212"/>
    </row>
    <row r="776" spans="2:36" ht="14.4">
      <c r="B776" s="211"/>
      <c r="C776" s="213" t="s">
        <v>158</v>
      </c>
      <c r="D776" s="214">
        <v>1268</v>
      </c>
      <c r="E776" s="214">
        <v>2500</v>
      </c>
      <c r="F776" s="214">
        <v>1345</v>
      </c>
      <c r="G776" s="214">
        <v>8927</v>
      </c>
      <c r="H776" s="214">
        <v>155</v>
      </c>
      <c r="I776" s="214">
        <v>0</v>
      </c>
      <c r="J776" s="214">
        <v>0</v>
      </c>
      <c r="K776" s="214">
        <v>0</v>
      </c>
      <c r="L776" s="214">
        <v>0</v>
      </c>
      <c r="M776" s="214">
        <v>0</v>
      </c>
      <c r="N776" s="214">
        <v>0</v>
      </c>
      <c r="O776" s="214">
        <v>0</v>
      </c>
      <c r="P776" s="214">
        <v>0</v>
      </c>
      <c r="Q776" s="214">
        <v>0</v>
      </c>
      <c r="R776" s="214">
        <v>0</v>
      </c>
      <c r="S776" s="214">
        <v>6000</v>
      </c>
      <c r="T776" s="214">
        <v>0</v>
      </c>
      <c r="U776" s="214">
        <v>0</v>
      </c>
      <c r="V776" s="214">
        <v>0</v>
      </c>
      <c r="W776" s="214">
        <v>0</v>
      </c>
      <c r="X776" s="214">
        <v>0</v>
      </c>
      <c r="Y776" s="214">
        <v>0</v>
      </c>
      <c r="Z776" s="214">
        <v>0</v>
      </c>
      <c r="AA776" s="214">
        <v>0</v>
      </c>
      <c r="AB776" s="214">
        <v>0</v>
      </c>
      <c r="AC776" s="214">
        <v>0</v>
      </c>
      <c r="AD776" s="215"/>
      <c r="AE776" s="420">
        <v>0</v>
      </c>
      <c r="AF776" s="420">
        <v>0</v>
      </c>
      <c r="AG776" s="420">
        <v>0</v>
      </c>
      <c r="AH776" s="420"/>
      <c r="AI776" s="574">
        <f t="shared" si="19"/>
        <v>20195</v>
      </c>
      <c r="AJ776" s="212"/>
    </row>
    <row r="777" spans="2:36" ht="14.4">
      <c r="B777" s="211"/>
      <c r="C777" s="213" t="s">
        <v>50</v>
      </c>
      <c r="D777" s="214">
        <v>0</v>
      </c>
      <c r="E777" s="214">
        <v>0</v>
      </c>
      <c r="F777" s="214">
        <v>185</v>
      </c>
      <c r="G777" s="214">
        <v>0</v>
      </c>
      <c r="H777" s="214">
        <v>0</v>
      </c>
      <c r="I777" s="214">
        <v>0</v>
      </c>
      <c r="J777" s="214">
        <v>0</v>
      </c>
      <c r="K777" s="214">
        <v>0</v>
      </c>
      <c r="L777" s="214">
        <v>0</v>
      </c>
      <c r="M777" s="214">
        <v>0</v>
      </c>
      <c r="N777" s="214">
        <v>0</v>
      </c>
      <c r="O777" s="214">
        <v>0</v>
      </c>
      <c r="P777" s="214">
        <v>0</v>
      </c>
      <c r="Q777" s="214">
        <v>0</v>
      </c>
      <c r="R777" s="214">
        <v>0</v>
      </c>
      <c r="S777" s="214">
        <v>0</v>
      </c>
      <c r="T777" s="214">
        <v>0</v>
      </c>
      <c r="U777" s="214">
        <v>0</v>
      </c>
      <c r="V777" s="214">
        <v>0</v>
      </c>
      <c r="W777" s="214">
        <v>0</v>
      </c>
      <c r="X777" s="214">
        <v>0</v>
      </c>
      <c r="Y777" s="214">
        <v>0</v>
      </c>
      <c r="Z777" s="214">
        <v>0</v>
      </c>
      <c r="AA777" s="214">
        <v>0</v>
      </c>
      <c r="AB777" s="214">
        <v>0</v>
      </c>
      <c r="AC777" s="214">
        <v>0</v>
      </c>
      <c r="AD777" s="215"/>
      <c r="AE777" s="420">
        <v>0</v>
      </c>
      <c r="AF777" s="420">
        <v>0</v>
      </c>
      <c r="AG777" s="420">
        <v>0</v>
      </c>
      <c r="AH777" s="420"/>
      <c r="AI777" s="574">
        <f t="shared" si="19"/>
        <v>185</v>
      </c>
      <c r="AJ777" s="212"/>
    </row>
    <row r="778" spans="2:36" ht="14.4">
      <c r="B778" s="211"/>
      <c r="C778" s="213" t="s">
        <v>51</v>
      </c>
      <c r="D778" s="214">
        <v>0</v>
      </c>
      <c r="E778" s="214">
        <v>0</v>
      </c>
      <c r="F778" s="214">
        <v>0</v>
      </c>
      <c r="G778" s="214">
        <v>0</v>
      </c>
      <c r="H778" s="214">
        <v>0</v>
      </c>
      <c r="I778" s="214">
        <v>0</v>
      </c>
      <c r="J778" s="214">
        <v>0</v>
      </c>
      <c r="K778" s="214">
        <v>0</v>
      </c>
      <c r="L778" s="214">
        <v>0</v>
      </c>
      <c r="M778" s="214">
        <v>0</v>
      </c>
      <c r="N778" s="214">
        <v>0</v>
      </c>
      <c r="O778" s="214">
        <v>0</v>
      </c>
      <c r="P778" s="214">
        <v>0</v>
      </c>
      <c r="Q778" s="214">
        <v>0</v>
      </c>
      <c r="R778" s="214">
        <v>0</v>
      </c>
      <c r="S778" s="214">
        <v>0</v>
      </c>
      <c r="T778" s="214">
        <v>0</v>
      </c>
      <c r="U778" s="214">
        <v>0</v>
      </c>
      <c r="V778" s="214">
        <v>0</v>
      </c>
      <c r="W778" s="214">
        <v>0</v>
      </c>
      <c r="X778" s="214">
        <v>0</v>
      </c>
      <c r="Y778" s="214">
        <v>0</v>
      </c>
      <c r="Z778" s="214">
        <v>0</v>
      </c>
      <c r="AA778" s="214">
        <v>0</v>
      </c>
      <c r="AB778" s="214">
        <v>0</v>
      </c>
      <c r="AC778" s="214">
        <v>0</v>
      </c>
      <c r="AD778" s="215"/>
      <c r="AE778" s="420">
        <v>0</v>
      </c>
      <c r="AF778" s="420">
        <v>0</v>
      </c>
      <c r="AG778" s="420">
        <v>0</v>
      </c>
      <c r="AH778" s="420"/>
      <c r="AI778" s="574">
        <f t="shared" si="19"/>
        <v>0</v>
      </c>
      <c r="AJ778" s="212"/>
    </row>
    <row r="779" spans="2:36" ht="14.4">
      <c r="B779" s="211"/>
      <c r="C779" s="213" t="s">
        <v>52</v>
      </c>
      <c r="D779" s="214">
        <v>0</v>
      </c>
      <c r="E779" s="214">
        <v>0</v>
      </c>
      <c r="F779" s="214">
        <v>0</v>
      </c>
      <c r="G779" s="214">
        <v>0</v>
      </c>
      <c r="H779" s="214">
        <v>0</v>
      </c>
      <c r="I779" s="214">
        <v>0</v>
      </c>
      <c r="J779" s="214">
        <v>0</v>
      </c>
      <c r="K779" s="214">
        <v>0</v>
      </c>
      <c r="L779" s="214">
        <v>0</v>
      </c>
      <c r="M779" s="214">
        <v>0</v>
      </c>
      <c r="N779" s="214">
        <v>0</v>
      </c>
      <c r="O779" s="214">
        <v>0</v>
      </c>
      <c r="P779" s="214">
        <v>0</v>
      </c>
      <c r="Q779" s="214">
        <v>0</v>
      </c>
      <c r="R779" s="214">
        <v>0</v>
      </c>
      <c r="S779" s="214">
        <v>0</v>
      </c>
      <c r="T779" s="214">
        <v>0</v>
      </c>
      <c r="U779" s="214">
        <v>0</v>
      </c>
      <c r="V779" s="214">
        <v>0</v>
      </c>
      <c r="W779" s="214">
        <v>0</v>
      </c>
      <c r="X779" s="214">
        <v>0</v>
      </c>
      <c r="Y779" s="214">
        <v>0</v>
      </c>
      <c r="Z779" s="214">
        <v>0</v>
      </c>
      <c r="AA779" s="214">
        <v>0</v>
      </c>
      <c r="AB779" s="214">
        <v>0</v>
      </c>
      <c r="AC779" s="214">
        <v>0</v>
      </c>
      <c r="AD779" s="215"/>
      <c r="AE779" s="420">
        <v>0</v>
      </c>
      <c r="AF779" s="420">
        <v>0</v>
      </c>
      <c r="AG779" s="420">
        <v>0</v>
      </c>
      <c r="AH779" s="420"/>
      <c r="AI779" s="574">
        <f t="shared" si="19"/>
        <v>0</v>
      </c>
      <c r="AJ779" s="212"/>
    </row>
    <row r="780" spans="2:36" ht="14.4">
      <c r="B780" s="211"/>
      <c r="C780" s="213" t="s">
        <v>174</v>
      </c>
      <c r="D780" s="214">
        <v>10000</v>
      </c>
      <c r="E780" s="214">
        <v>2478</v>
      </c>
      <c r="F780" s="214">
        <v>2478</v>
      </c>
      <c r="G780" s="214">
        <v>2578</v>
      </c>
      <c r="H780" s="214">
        <v>2478</v>
      </c>
      <c r="I780" s="214">
        <v>31668</v>
      </c>
      <c r="J780" s="214">
        <v>0</v>
      </c>
      <c r="K780" s="214">
        <v>0</v>
      </c>
      <c r="L780" s="214">
        <v>0</v>
      </c>
      <c r="M780" s="214">
        <v>2478</v>
      </c>
      <c r="N780" s="214">
        <v>0</v>
      </c>
      <c r="O780" s="214">
        <v>2478</v>
      </c>
      <c r="P780" s="214">
        <v>2478</v>
      </c>
      <c r="Q780" s="214">
        <v>2478</v>
      </c>
      <c r="R780" s="214">
        <v>2478</v>
      </c>
      <c r="S780" s="214">
        <v>2478</v>
      </c>
      <c r="T780" s="214">
        <v>0</v>
      </c>
      <c r="U780" s="214">
        <v>0</v>
      </c>
      <c r="V780" s="214">
        <v>0</v>
      </c>
      <c r="W780" s="214">
        <v>0</v>
      </c>
      <c r="X780" s="214">
        <v>31666</v>
      </c>
      <c r="Y780" s="214">
        <v>0</v>
      </c>
      <c r="Z780" s="214">
        <v>0</v>
      </c>
      <c r="AA780" s="214">
        <v>31666</v>
      </c>
      <c r="AB780" s="214">
        <v>0</v>
      </c>
      <c r="AC780" s="214">
        <v>0</v>
      </c>
      <c r="AD780" s="215"/>
      <c r="AE780" s="420">
        <v>740</v>
      </c>
      <c r="AF780" s="420">
        <v>0</v>
      </c>
      <c r="AG780" s="420">
        <v>0</v>
      </c>
      <c r="AH780" s="420"/>
      <c r="AI780" s="574">
        <f t="shared" si="19"/>
        <v>130620</v>
      </c>
      <c r="AJ780" s="212"/>
    </row>
    <row r="781" spans="2:36" ht="14.4">
      <c r="B781" s="211"/>
      <c r="C781" s="213" t="s">
        <v>53</v>
      </c>
      <c r="D781" s="214">
        <v>18352</v>
      </c>
      <c r="E781" s="214">
        <v>0</v>
      </c>
      <c r="F781" s="214">
        <v>0</v>
      </c>
      <c r="G781" s="214">
        <v>33751</v>
      </c>
      <c r="H781" s="214">
        <v>100</v>
      </c>
      <c r="I781" s="214">
        <v>0</v>
      </c>
      <c r="J781" s="214">
        <v>0</v>
      </c>
      <c r="K781" s="214">
        <v>0</v>
      </c>
      <c r="L781" s="214">
        <v>0</v>
      </c>
      <c r="M781" s="214">
        <v>0</v>
      </c>
      <c r="N781" s="214">
        <v>0</v>
      </c>
      <c r="O781" s="214">
        <v>150</v>
      </c>
      <c r="P781" s="214">
        <v>0</v>
      </c>
      <c r="Q781" s="214">
        <v>0</v>
      </c>
      <c r="R781" s="214">
        <v>400</v>
      </c>
      <c r="S781" s="214">
        <v>1506</v>
      </c>
      <c r="T781" s="214">
        <v>0</v>
      </c>
      <c r="U781" s="214">
        <v>0</v>
      </c>
      <c r="V781" s="214">
        <v>0</v>
      </c>
      <c r="W781" s="214">
        <v>0</v>
      </c>
      <c r="X781" s="214">
        <v>0</v>
      </c>
      <c r="Y781" s="214">
        <v>0</v>
      </c>
      <c r="Z781" s="214">
        <v>0</v>
      </c>
      <c r="AA781" s="214">
        <v>0</v>
      </c>
      <c r="AB781" s="214">
        <v>0</v>
      </c>
      <c r="AC781" s="214">
        <v>0</v>
      </c>
      <c r="AD781" s="215"/>
      <c r="AE781" s="420">
        <v>0</v>
      </c>
      <c r="AF781" s="420">
        <v>0</v>
      </c>
      <c r="AG781" s="420">
        <v>0</v>
      </c>
      <c r="AH781" s="420"/>
      <c r="AI781" s="574">
        <f t="shared" si="19"/>
        <v>54259</v>
      </c>
      <c r="AJ781" s="212"/>
    </row>
    <row r="782" spans="2:36" ht="14.4">
      <c r="B782" s="211"/>
      <c r="C782" s="213" t="s">
        <v>191</v>
      </c>
      <c r="D782" s="214">
        <v>61995.77</v>
      </c>
      <c r="E782" s="214">
        <v>0</v>
      </c>
      <c r="F782" s="214">
        <v>1574.86</v>
      </c>
      <c r="G782" s="214">
        <v>0</v>
      </c>
      <c r="H782" s="214">
        <v>0</v>
      </c>
      <c r="I782" s="214">
        <v>0</v>
      </c>
      <c r="J782" s="214">
        <v>0</v>
      </c>
      <c r="K782" s="214">
        <v>0</v>
      </c>
      <c r="L782" s="214">
        <v>0</v>
      </c>
      <c r="M782" s="214">
        <v>0</v>
      </c>
      <c r="N782" s="214">
        <v>0</v>
      </c>
      <c r="O782" s="214">
        <v>0</v>
      </c>
      <c r="P782" s="214">
        <v>0</v>
      </c>
      <c r="Q782" s="214">
        <v>0</v>
      </c>
      <c r="R782" s="214">
        <v>0</v>
      </c>
      <c r="S782" s="214">
        <v>0</v>
      </c>
      <c r="T782" s="214">
        <v>0</v>
      </c>
      <c r="U782" s="214">
        <v>0</v>
      </c>
      <c r="V782" s="214">
        <v>0</v>
      </c>
      <c r="W782" s="214">
        <v>0</v>
      </c>
      <c r="X782" s="214">
        <v>0</v>
      </c>
      <c r="Y782" s="214">
        <v>0</v>
      </c>
      <c r="Z782" s="214">
        <v>0</v>
      </c>
      <c r="AA782" s="214">
        <v>0</v>
      </c>
      <c r="AB782" s="214">
        <v>0</v>
      </c>
      <c r="AC782" s="214">
        <v>0</v>
      </c>
      <c r="AD782" s="215"/>
      <c r="AE782" s="420">
        <v>0</v>
      </c>
      <c r="AF782" s="420">
        <v>0</v>
      </c>
      <c r="AG782" s="420">
        <v>0</v>
      </c>
      <c r="AH782" s="420"/>
      <c r="AI782" s="574">
        <f t="shared" si="19"/>
        <v>63570.63</v>
      </c>
      <c r="AJ782" s="212"/>
    </row>
    <row r="783" spans="2:36" ht="14.4">
      <c r="B783" s="211"/>
      <c r="C783" s="213" t="s">
        <v>29</v>
      </c>
      <c r="D783" s="214">
        <f>50+100+82</f>
        <v>232</v>
      </c>
      <c r="E783" s="214">
        <v>0</v>
      </c>
      <c r="F783" s="214">
        <v>100</v>
      </c>
      <c r="G783" s="214">
        <v>0</v>
      </c>
      <c r="H783" s="214">
        <v>0</v>
      </c>
      <c r="I783" s="214">
        <v>0</v>
      </c>
      <c r="J783" s="214">
        <v>0</v>
      </c>
      <c r="K783" s="214">
        <v>0</v>
      </c>
      <c r="L783" s="214">
        <v>0</v>
      </c>
      <c r="M783" s="214">
        <v>0</v>
      </c>
      <c r="N783" s="214">
        <v>0</v>
      </c>
      <c r="O783" s="214">
        <v>85</v>
      </c>
      <c r="P783" s="214">
        <v>0</v>
      </c>
      <c r="Q783" s="214">
        <v>0</v>
      </c>
      <c r="R783" s="214">
        <v>0</v>
      </c>
      <c r="S783" s="214">
        <v>0</v>
      </c>
      <c r="T783" s="214">
        <v>0</v>
      </c>
      <c r="U783" s="214">
        <v>0</v>
      </c>
      <c r="V783" s="214">
        <v>0</v>
      </c>
      <c r="W783" s="214">
        <v>0</v>
      </c>
      <c r="X783" s="214">
        <v>0</v>
      </c>
      <c r="Y783" s="214">
        <v>0</v>
      </c>
      <c r="Z783" s="214">
        <v>0</v>
      </c>
      <c r="AA783" s="214">
        <v>0</v>
      </c>
      <c r="AB783" s="214">
        <v>0</v>
      </c>
      <c r="AC783" s="214">
        <v>0</v>
      </c>
      <c r="AD783" s="215"/>
      <c r="AE783" s="420">
        <v>0</v>
      </c>
      <c r="AF783" s="420">
        <v>0</v>
      </c>
      <c r="AG783" s="420">
        <v>0</v>
      </c>
      <c r="AH783" s="420"/>
      <c r="AI783" s="574">
        <f t="shared" si="19"/>
        <v>417</v>
      </c>
      <c r="AJ783" s="212"/>
    </row>
    <row r="784" spans="2:36" ht="14.4">
      <c r="B784" s="211"/>
      <c r="C784" s="247" t="s">
        <v>54</v>
      </c>
      <c r="D784" s="214">
        <v>0</v>
      </c>
      <c r="E784" s="214">
        <v>0</v>
      </c>
      <c r="F784" s="214">
        <v>0</v>
      </c>
      <c r="G784" s="214">
        <v>0</v>
      </c>
      <c r="H784" s="214">
        <v>0</v>
      </c>
      <c r="I784" s="214">
        <v>0</v>
      </c>
      <c r="J784" s="214">
        <v>0</v>
      </c>
      <c r="K784" s="214">
        <v>0</v>
      </c>
      <c r="L784" s="214">
        <v>0</v>
      </c>
      <c r="M784" s="214">
        <v>0</v>
      </c>
      <c r="N784" s="214">
        <v>0</v>
      </c>
      <c r="O784" s="214">
        <v>0</v>
      </c>
      <c r="P784" s="214">
        <v>0</v>
      </c>
      <c r="Q784" s="214">
        <v>0</v>
      </c>
      <c r="R784" s="214">
        <v>0</v>
      </c>
      <c r="S784" s="214">
        <v>0</v>
      </c>
      <c r="T784" s="214">
        <v>0</v>
      </c>
      <c r="U784" s="214">
        <v>0</v>
      </c>
      <c r="V784" s="214">
        <v>0</v>
      </c>
      <c r="W784" s="214">
        <v>0</v>
      </c>
      <c r="X784" s="214">
        <v>0</v>
      </c>
      <c r="Y784" s="214">
        <v>0</v>
      </c>
      <c r="Z784" s="214">
        <v>0</v>
      </c>
      <c r="AA784" s="214">
        <v>0</v>
      </c>
      <c r="AB784" s="214">
        <v>0</v>
      </c>
      <c r="AC784" s="214">
        <v>0</v>
      </c>
      <c r="AD784" s="215"/>
      <c r="AE784" s="420">
        <v>0</v>
      </c>
      <c r="AF784" s="420">
        <v>0</v>
      </c>
      <c r="AG784" s="420">
        <v>0</v>
      </c>
      <c r="AH784" s="420"/>
      <c r="AI784" s="574">
        <f t="shared" si="19"/>
        <v>0</v>
      </c>
      <c r="AJ784" s="212"/>
    </row>
    <row r="785" spans="2:36" ht="14.4">
      <c r="B785" s="211"/>
      <c r="C785" s="213" t="s">
        <v>31</v>
      </c>
      <c r="D785" s="214">
        <v>850</v>
      </c>
      <c r="E785" s="214">
        <v>410</v>
      </c>
      <c r="F785" s="214">
        <v>212</v>
      </c>
      <c r="G785" s="214">
        <v>300</v>
      </c>
      <c r="H785" s="214">
        <v>0</v>
      </c>
      <c r="I785" s="214">
        <v>0</v>
      </c>
      <c r="J785" s="214">
        <v>0</v>
      </c>
      <c r="K785" s="214">
        <v>0</v>
      </c>
      <c r="L785" s="214">
        <v>0</v>
      </c>
      <c r="M785" s="214">
        <v>0</v>
      </c>
      <c r="N785" s="214">
        <v>0</v>
      </c>
      <c r="O785" s="214">
        <v>772</v>
      </c>
      <c r="P785" s="214">
        <v>325</v>
      </c>
      <c r="Q785" s="214">
        <v>311</v>
      </c>
      <c r="R785" s="214">
        <v>255</v>
      </c>
      <c r="S785" s="214">
        <v>230</v>
      </c>
      <c r="T785" s="214">
        <v>0</v>
      </c>
      <c r="U785" s="214">
        <v>0</v>
      </c>
      <c r="V785" s="214">
        <v>0</v>
      </c>
      <c r="W785" s="214">
        <v>0</v>
      </c>
      <c r="X785" s="214">
        <v>0</v>
      </c>
      <c r="Y785" s="214">
        <v>0</v>
      </c>
      <c r="Z785" s="214">
        <v>0</v>
      </c>
      <c r="AA785" s="214">
        <v>0</v>
      </c>
      <c r="AB785" s="214">
        <v>0</v>
      </c>
      <c r="AC785" s="214">
        <v>0</v>
      </c>
      <c r="AD785" s="215"/>
      <c r="AE785" s="420">
        <v>50</v>
      </c>
      <c r="AF785" s="420">
        <v>0</v>
      </c>
      <c r="AG785" s="420">
        <v>0</v>
      </c>
      <c r="AH785" s="420"/>
      <c r="AI785" s="574">
        <f t="shared" si="19"/>
        <v>3715</v>
      </c>
      <c r="AJ785" s="212"/>
    </row>
    <row r="786" spans="2:36" ht="14.4">
      <c r="B786" s="211"/>
      <c r="C786" s="213" t="s">
        <v>55</v>
      </c>
      <c r="D786" s="214">
        <v>155</v>
      </c>
      <c r="E786" s="214">
        <v>150</v>
      </c>
      <c r="F786" s="214">
        <v>0</v>
      </c>
      <c r="G786" s="214">
        <v>80</v>
      </c>
      <c r="H786" s="214">
        <v>0</v>
      </c>
      <c r="I786" s="214">
        <v>0</v>
      </c>
      <c r="J786" s="214">
        <v>0</v>
      </c>
      <c r="K786" s="214">
        <v>0</v>
      </c>
      <c r="L786" s="214">
        <v>0</v>
      </c>
      <c r="M786" s="214">
        <v>0</v>
      </c>
      <c r="N786" s="214">
        <v>0</v>
      </c>
      <c r="O786" s="214">
        <v>0</v>
      </c>
      <c r="P786" s="214">
        <v>100</v>
      </c>
      <c r="Q786" s="214">
        <v>0</v>
      </c>
      <c r="R786" s="214">
        <v>0</v>
      </c>
      <c r="S786" s="214">
        <v>0</v>
      </c>
      <c r="T786" s="214">
        <v>0</v>
      </c>
      <c r="U786" s="214">
        <v>0</v>
      </c>
      <c r="V786" s="214">
        <v>0</v>
      </c>
      <c r="W786" s="214">
        <v>0</v>
      </c>
      <c r="X786" s="214">
        <v>0</v>
      </c>
      <c r="Y786" s="214">
        <v>0</v>
      </c>
      <c r="Z786" s="214">
        <v>0</v>
      </c>
      <c r="AA786" s="214">
        <v>0</v>
      </c>
      <c r="AB786" s="214">
        <v>0</v>
      </c>
      <c r="AC786" s="214">
        <v>0</v>
      </c>
      <c r="AD786" s="215"/>
      <c r="AE786" s="420">
        <v>0</v>
      </c>
      <c r="AF786" s="420">
        <v>0</v>
      </c>
      <c r="AG786" s="420">
        <v>0</v>
      </c>
      <c r="AH786" s="420"/>
      <c r="AI786" s="574">
        <f t="shared" si="19"/>
        <v>485</v>
      </c>
      <c r="AJ786" s="212"/>
    </row>
    <row r="787" spans="2:36" ht="14.4">
      <c r="B787" s="211"/>
      <c r="C787" s="213" t="s">
        <v>56</v>
      </c>
      <c r="D787" s="214">
        <v>393.97</v>
      </c>
      <c r="E787" s="214">
        <v>217.24</v>
      </c>
      <c r="F787" s="214">
        <v>217.24</v>
      </c>
      <c r="G787" s="214">
        <v>139.91</v>
      </c>
      <c r="H787" s="214">
        <v>95.73</v>
      </c>
      <c r="I787" s="214">
        <v>0</v>
      </c>
      <c r="J787" s="214">
        <v>0</v>
      </c>
      <c r="K787" s="214">
        <v>0</v>
      </c>
      <c r="L787" s="214">
        <v>0</v>
      </c>
      <c r="M787" s="214">
        <v>0</v>
      </c>
      <c r="N787" s="214">
        <v>0</v>
      </c>
      <c r="O787" s="214">
        <v>69.959999999999994</v>
      </c>
      <c r="P787" s="214">
        <v>0</v>
      </c>
      <c r="Q787" s="214">
        <v>209.87</v>
      </c>
      <c r="R787" s="214">
        <v>0</v>
      </c>
      <c r="S787" s="214">
        <v>0</v>
      </c>
      <c r="T787" s="214">
        <v>0</v>
      </c>
      <c r="U787" s="214">
        <v>0</v>
      </c>
      <c r="V787" s="214">
        <v>0</v>
      </c>
      <c r="W787" s="214">
        <v>0</v>
      </c>
      <c r="X787" s="214">
        <v>0</v>
      </c>
      <c r="Y787" s="214">
        <v>0</v>
      </c>
      <c r="Z787" s="214">
        <v>0</v>
      </c>
      <c r="AA787" s="214">
        <v>0</v>
      </c>
      <c r="AB787" s="214">
        <v>0</v>
      </c>
      <c r="AC787" s="214">
        <v>0</v>
      </c>
      <c r="AD787" s="215"/>
      <c r="AE787" s="420">
        <v>0</v>
      </c>
      <c r="AF787" s="420">
        <v>0</v>
      </c>
      <c r="AG787" s="420">
        <v>0</v>
      </c>
      <c r="AH787" s="420"/>
      <c r="AI787" s="574">
        <f t="shared" si="19"/>
        <v>1343.92</v>
      </c>
      <c r="AJ787" s="212"/>
    </row>
    <row r="788" spans="2:36" ht="14.4">
      <c r="B788" s="211"/>
      <c r="C788" s="213" t="s">
        <v>57</v>
      </c>
      <c r="D788" s="214">
        <v>2600</v>
      </c>
      <c r="E788" s="214">
        <v>300</v>
      </c>
      <c r="F788" s="214">
        <v>3600</v>
      </c>
      <c r="G788" s="214">
        <v>625</v>
      </c>
      <c r="H788" s="214">
        <v>300</v>
      </c>
      <c r="I788" s="214">
        <v>0</v>
      </c>
      <c r="J788" s="214">
        <v>0</v>
      </c>
      <c r="K788" s="214">
        <v>0</v>
      </c>
      <c r="L788" s="214">
        <v>0</v>
      </c>
      <c r="M788" s="214">
        <v>0</v>
      </c>
      <c r="N788" s="214">
        <v>0</v>
      </c>
      <c r="O788" s="214">
        <v>150</v>
      </c>
      <c r="P788" s="214">
        <v>600</v>
      </c>
      <c r="Q788" s="214">
        <v>2600</v>
      </c>
      <c r="R788" s="214">
        <v>0</v>
      </c>
      <c r="S788" s="214">
        <v>150</v>
      </c>
      <c r="T788" s="214">
        <v>0</v>
      </c>
      <c r="U788" s="214">
        <v>0</v>
      </c>
      <c r="V788" s="214">
        <v>0</v>
      </c>
      <c r="W788" s="214">
        <v>0</v>
      </c>
      <c r="X788" s="214">
        <v>0</v>
      </c>
      <c r="Y788" s="214">
        <v>0</v>
      </c>
      <c r="Z788" s="214">
        <v>0</v>
      </c>
      <c r="AA788" s="214">
        <v>0</v>
      </c>
      <c r="AB788" s="214">
        <v>0</v>
      </c>
      <c r="AC788" s="214">
        <v>0</v>
      </c>
      <c r="AD788" s="215"/>
      <c r="AE788" s="420">
        <v>0</v>
      </c>
      <c r="AF788" s="420">
        <v>0</v>
      </c>
      <c r="AG788" s="420">
        <v>0</v>
      </c>
      <c r="AH788" s="420"/>
      <c r="AI788" s="574">
        <f t="shared" si="19"/>
        <v>10925</v>
      </c>
      <c r="AJ788" s="212"/>
    </row>
    <row r="789" spans="2:36" ht="14.4">
      <c r="B789" s="211"/>
      <c r="C789" s="213" t="s">
        <v>58</v>
      </c>
      <c r="D789" s="214">
        <v>1425</v>
      </c>
      <c r="E789" s="214">
        <v>0</v>
      </c>
      <c r="F789" s="214">
        <v>0</v>
      </c>
      <c r="G789" s="214">
        <v>35</v>
      </c>
      <c r="H789" s="214">
        <v>0</v>
      </c>
      <c r="I789" s="214">
        <v>0</v>
      </c>
      <c r="J789" s="214">
        <v>0</v>
      </c>
      <c r="K789" s="214">
        <v>0</v>
      </c>
      <c r="L789" s="214">
        <v>0</v>
      </c>
      <c r="M789" s="214">
        <v>0</v>
      </c>
      <c r="N789" s="214">
        <v>0</v>
      </c>
      <c r="O789" s="214">
        <v>0</v>
      </c>
      <c r="P789" s="214">
        <v>0</v>
      </c>
      <c r="Q789" s="214">
        <v>0</v>
      </c>
      <c r="R789" s="214">
        <v>0</v>
      </c>
      <c r="S789" s="214">
        <v>0</v>
      </c>
      <c r="T789" s="214">
        <v>0</v>
      </c>
      <c r="U789" s="214">
        <v>0</v>
      </c>
      <c r="V789" s="214">
        <v>0</v>
      </c>
      <c r="W789" s="214">
        <v>0</v>
      </c>
      <c r="X789" s="214">
        <v>0</v>
      </c>
      <c r="Y789" s="214">
        <v>0</v>
      </c>
      <c r="Z789" s="214">
        <v>0</v>
      </c>
      <c r="AA789" s="214">
        <v>0</v>
      </c>
      <c r="AB789" s="214">
        <v>0</v>
      </c>
      <c r="AC789" s="214">
        <v>0</v>
      </c>
      <c r="AD789" s="215"/>
      <c r="AE789" s="420">
        <v>0</v>
      </c>
      <c r="AF789" s="420">
        <v>0</v>
      </c>
      <c r="AG789" s="420">
        <v>0</v>
      </c>
      <c r="AH789" s="420"/>
      <c r="AI789" s="574">
        <f t="shared" si="19"/>
        <v>1460</v>
      </c>
      <c r="AJ789" s="212"/>
    </row>
    <row r="790" spans="2:36" ht="14.4">
      <c r="B790" s="211"/>
      <c r="C790" s="213" t="s">
        <v>59</v>
      </c>
      <c r="D790" s="214">
        <v>0</v>
      </c>
      <c r="E790" s="214">
        <v>0</v>
      </c>
      <c r="F790" s="214">
        <v>0</v>
      </c>
      <c r="G790" s="214">
        <v>180</v>
      </c>
      <c r="H790" s="214">
        <v>0</v>
      </c>
      <c r="I790" s="214">
        <v>0</v>
      </c>
      <c r="J790" s="214">
        <v>0</v>
      </c>
      <c r="K790" s="214">
        <v>0</v>
      </c>
      <c r="L790" s="214">
        <v>0</v>
      </c>
      <c r="M790" s="214">
        <v>100</v>
      </c>
      <c r="N790" s="214">
        <v>0</v>
      </c>
      <c r="O790" s="214">
        <v>0</v>
      </c>
      <c r="P790" s="214">
        <v>0</v>
      </c>
      <c r="Q790" s="214">
        <v>0</v>
      </c>
      <c r="R790" s="214">
        <v>0</v>
      </c>
      <c r="S790" s="214">
        <v>0</v>
      </c>
      <c r="T790" s="214">
        <v>0</v>
      </c>
      <c r="U790" s="214">
        <v>0</v>
      </c>
      <c r="V790" s="214">
        <v>0</v>
      </c>
      <c r="W790" s="214">
        <v>0</v>
      </c>
      <c r="X790" s="214">
        <v>0</v>
      </c>
      <c r="Y790" s="214">
        <v>0</v>
      </c>
      <c r="Z790" s="214">
        <v>0</v>
      </c>
      <c r="AA790" s="214">
        <v>0</v>
      </c>
      <c r="AB790" s="214">
        <v>0</v>
      </c>
      <c r="AC790" s="214">
        <v>0</v>
      </c>
      <c r="AD790" s="215"/>
      <c r="AE790" s="420">
        <v>920</v>
      </c>
      <c r="AF790" s="420">
        <v>0</v>
      </c>
      <c r="AG790" s="420">
        <v>0</v>
      </c>
      <c r="AH790" s="420"/>
      <c r="AI790" s="574">
        <f t="shared" si="19"/>
        <v>1200</v>
      </c>
      <c r="AJ790" s="212"/>
    </row>
    <row r="791" spans="2:36" ht="14.4">
      <c r="B791" s="211"/>
      <c r="C791" s="213" t="s">
        <v>60</v>
      </c>
      <c r="D791" s="214">
        <v>0</v>
      </c>
      <c r="E791" s="214">
        <v>0</v>
      </c>
      <c r="F791" s="214">
        <v>0</v>
      </c>
      <c r="G791" s="214">
        <v>0</v>
      </c>
      <c r="H791" s="214">
        <v>0</v>
      </c>
      <c r="I791" s="214">
        <v>0</v>
      </c>
      <c r="J791" s="214">
        <v>0</v>
      </c>
      <c r="K791" s="214">
        <v>0</v>
      </c>
      <c r="L791" s="214">
        <v>0</v>
      </c>
      <c r="M791" s="214">
        <v>0</v>
      </c>
      <c r="N791" s="214">
        <v>0</v>
      </c>
      <c r="O791" s="214">
        <v>0</v>
      </c>
      <c r="P791" s="214">
        <v>0</v>
      </c>
      <c r="Q791" s="214">
        <v>0</v>
      </c>
      <c r="R791" s="214">
        <v>0</v>
      </c>
      <c r="S791" s="214">
        <v>0</v>
      </c>
      <c r="T791" s="214">
        <v>0</v>
      </c>
      <c r="U791" s="214">
        <v>0</v>
      </c>
      <c r="V791" s="214">
        <v>0</v>
      </c>
      <c r="W791" s="214">
        <v>0</v>
      </c>
      <c r="X791" s="214">
        <v>0</v>
      </c>
      <c r="Y791" s="214">
        <v>0</v>
      </c>
      <c r="Z791" s="214">
        <v>0</v>
      </c>
      <c r="AA791" s="214">
        <v>0</v>
      </c>
      <c r="AB791" s="214">
        <v>0</v>
      </c>
      <c r="AC791" s="214">
        <v>0</v>
      </c>
      <c r="AD791" s="215"/>
      <c r="AE791" s="420">
        <v>0</v>
      </c>
      <c r="AF791" s="420">
        <v>0</v>
      </c>
      <c r="AG791" s="420">
        <v>0</v>
      </c>
      <c r="AH791" s="420"/>
      <c r="AI791" s="574">
        <f t="shared" si="19"/>
        <v>0</v>
      </c>
      <c r="AJ791" s="212"/>
    </row>
    <row r="792" spans="2:36" ht="14.4">
      <c r="B792" s="211"/>
      <c r="C792" s="213" t="s">
        <v>61</v>
      </c>
      <c r="D792" s="214">
        <v>13000</v>
      </c>
      <c r="E792" s="214">
        <v>130</v>
      </c>
      <c r="F792" s="214">
        <v>649.5</v>
      </c>
      <c r="G792" s="214">
        <v>1000</v>
      </c>
      <c r="H792" s="214">
        <v>974</v>
      </c>
      <c r="I792" s="214">
        <v>100</v>
      </c>
      <c r="J792" s="214">
        <v>0</v>
      </c>
      <c r="K792" s="214">
        <v>0</v>
      </c>
      <c r="L792" s="214">
        <v>175</v>
      </c>
      <c r="M792" s="214">
        <v>199.5</v>
      </c>
      <c r="N792" s="214">
        <v>0</v>
      </c>
      <c r="O792" s="214">
        <v>0</v>
      </c>
      <c r="P792" s="214">
        <v>0</v>
      </c>
      <c r="Q792" s="214">
        <v>1899.5</v>
      </c>
      <c r="R792" s="214">
        <v>160</v>
      </c>
      <c r="S792" s="214">
        <v>450</v>
      </c>
      <c r="T792" s="214">
        <v>0</v>
      </c>
      <c r="U792" s="214">
        <v>0</v>
      </c>
      <c r="V792" s="214">
        <v>0</v>
      </c>
      <c r="W792" s="214">
        <v>0</v>
      </c>
      <c r="X792" s="214">
        <v>0</v>
      </c>
      <c r="Y792" s="214">
        <v>0</v>
      </c>
      <c r="Z792" s="214">
        <v>0</v>
      </c>
      <c r="AA792" s="214">
        <v>0</v>
      </c>
      <c r="AB792" s="214">
        <v>0</v>
      </c>
      <c r="AC792" s="214">
        <v>0</v>
      </c>
      <c r="AD792" s="215"/>
      <c r="AE792" s="420">
        <v>1520</v>
      </c>
      <c r="AF792" s="420">
        <v>0</v>
      </c>
      <c r="AG792" s="420">
        <v>0</v>
      </c>
      <c r="AH792" s="420"/>
      <c r="AI792" s="574">
        <f t="shared" si="19"/>
        <v>20257.5</v>
      </c>
      <c r="AJ792" s="212"/>
    </row>
    <row r="793" spans="2:36" ht="14.4">
      <c r="B793" s="211"/>
      <c r="C793" s="213" t="s">
        <v>62</v>
      </c>
      <c r="D793" s="214">
        <v>33388</v>
      </c>
      <c r="E793" s="214">
        <v>800</v>
      </c>
      <c r="F793" s="214">
        <v>500</v>
      </c>
      <c r="G793" s="214">
        <v>0</v>
      </c>
      <c r="H793" s="214">
        <v>23500</v>
      </c>
      <c r="I793" s="214">
        <v>0</v>
      </c>
      <c r="J793" s="214">
        <v>0</v>
      </c>
      <c r="K793" s="214">
        <v>0</v>
      </c>
      <c r="L793" s="214">
        <v>0</v>
      </c>
      <c r="M793" s="214">
        <v>0</v>
      </c>
      <c r="N793" s="214">
        <v>0</v>
      </c>
      <c r="O793" s="214">
        <v>0</v>
      </c>
      <c r="P793" s="214">
        <v>1172</v>
      </c>
      <c r="Q793" s="214">
        <v>0</v>
      </c>
      <c r="R793" s="214">
        <v>0</v>
      </c>
      <c r="S793" s="214">
        <v>280</v>
      </c>
      <c r="T793" s="214">
        <v>0</v>
      </c>
      <c r="U793" s="214">
        <v>0</v>
      </c>
      <c r="V793" s="214">
        <v>0</v>
      </c>
      <c r="W793" s="214">
        <v>0</v>
      </c>
      <c r="X793" s="214">
        <v>0</v>
      </c>
      <c r="Y793" s="214">
        <v>0</v>
      </c>
      <c r="Z793" s="214">
        <v>0</v>
      </c>
      <c r="AA793" s="214">
        <v>0</v>
      </c>
      <c r="AB793" s="214">
        <v>0</v>
      </c>
      <c r="AC793" s="214">
        <v>0</v>
      </c>
      <c r="AD793" s="215"/>
      <c r="AE793" s="420">
        <v>0</v>
      </c>
      <c r="AF793" s="420">
        <v>0</v>
      </c>
      <c r="AG793" s="420">
        <v>0</v>
      </c>
      <c r="AH793" s="420"/>
      <c r="AI793" s="574">
        <f t="shared" si="19"/>
        <v>59640</v>
      </c>
      <c r="AJ793" s="212"/>
    </row>
    <row r="794" spans="2:36" ht="14.4">
      <c r="B794" s="211"/>
      <c r="C794" s="213" t="s">
        <v>63</v>
      </c>
      <c r="D794" s="214">
        <v>0</v>
      </c>
      <c r="E794" s="214">
        <v>0</v>
      </c>
      <c r="F794" s="214">
        <v>0</v>
      </c>
      <c r="G794" s="214">
        <v>0</v>
      </c>
      <c r="H794" s="214">
        <v>0</v>
      </c>
      <c r="I794" s="214">
        <v>0</v>
      </c>
      <c r="J794" s="214">
        <v>0</v>
      </c>
      <c r="K794" s="214">
        <v>0</v>
      </c>
      <c r="L794" s="214">
        <v>0</v>
      </c>
      <c r="M794" s="214">
        <v>0</v>
      </c>
      <c r="N794" s="214">
        <v>0</v>
      </c>
      <c r="O794" s="214">
        <v>0</v>
      </c>
      <c r="P794" s="214">
        <v>0</v>
      </c>
      <c r="Q794" s="214">
        <v>0</v>
      </c>
      <c r="R794" s="214">
        <v>0</v>
      </c>
      <c r="S794" s="214">
        <v>0</v>
      </c>
      <c r="T794" s="214">
        <v>0</v>
      </c>
      <c r="U794" s="214">
        <v>0</v>
      </c>
      <c r="V794" s="214">
        <v>0</v>
      </c>
      <c r="W794" s="214">
        <v>0</v>
      </c>
      <c r="X794" s="214">
        <v>0</v>
      </c>
      <c r="Y794" s="214">
        <v>0</v>
      </c>
      <c r="Z794" s="214">
        <v>0</v>
      </c>
      <c r="AA794" s="214">
        <v>0</v>
      </c>
      <c r="AB794" s="214">
        <v>0</v>
      </c>
      <c r="AC794" s="214">
        <v>0</v>
      </c>
      <c r="AD794" s="215"/>
      <c r="AE794" s="420">
        <v>0</v>
      </c>
      <c r="AF794" s="420">
        <v>0</v>
      </c>
      <c r="AG794" s="420">
        <v>0</v>
      </c>
      <c r="AH794" s="420"/>
      <c r="AI794" s="574">
        <f t="shared" si="19"/>
        <v>0</v>
      </c>
      <c r="AJ794" s="212"/>
    </row>
    <row r="795" spans="2:36" ht="14.4">
      <c r="B795" s="211"/>
      <c r="C795" s="213" t="s">
        <v>64</v>
      </c>
      <c r="D795" s="214">
        <v>9000</v>
      </c>
      <c r="E795" s="214">
        <v>18700</v>
      </c>
      <c r="F795" s="214">
        <v>16400</v>
      </c>
      <c r="G795" s="214">
        <v>9000</v>
      </c>
      <c r="H795" s="214">
        <v>21300</v>
      </c>
      <c r="I795" s="214">
        <v>0</v>
      </c>
      <c r="J795" s="214">
        <v>0</v>
      </c>
      <c r="K795" s="214">
        <v>200</v>
      </c>
      <c r="L795" s="214">
        <v>525</v>
      </c>
      <c r="M795" s="214">
        <v>5400</v>
      </c>
      <c r="N795" s="214">
        <v>0</v>
      </c>
      <c r="O795" s="214">
        <v>10700</v>
      </c>
      <c r="P795" s="214">
        <v>0</v>
      </c>
      <c r="Q795" s="214">
        <v>18000</v>
      </c>
      <c r="R795" s="214">
        <v>3260</v>
      </c>
      <c r="S795" s="214">
        <v>0</v>
      </c>
      <c r="T795" s="214">
        <v>0</v>
      </c>
      <c r="U795" s="214">
        <v>400</v>
      </c>
      <c r="V795" s="214">
        <v>400</v>
      </c>
      <c r="W795" s="214">
        <v>0</v>
      </c>
      <c r="X795" s="214">
        <v>0</v>
      </c>
      <c r="Y795" s="214">
        <v>0</v>
      </c>
      <c r="Z795" s="214">
        <v>5950</v>
      </c>
      <c r="AA795" s="214">
        <v>0</v>
      </c>
      <c r="AB795" s="214">
        <v>0</v>
      </c>
      <c r="AC795" s="214">
        <v>0</v>
      </c>
      <c r="AD795" s="215"/>
      <c r="AE795" s="420">
        <v>0</v>
      </c>
      <c r="AF795" s="420">
        <v>0</v>
      </c>
      <c r="AG795" s="420">
        <v>0</v>
      </c>
      <c r="AH795" s="420"/>
      <c r="AI795" s="574">
        <f t="shared" si="19"/>
        <v>119235</v>
      </c>
      <c r="AJ795" s="212"/>
    </row>
    <row r="796" spans="2:36" ht="14.4">
      <c r="B796" s="211"/>
      <c r="C796" s="213" t="s">
        <v>28</v>
      </c>
      <c r="D796" s="214">
        <v>5090</v>
      </c>
      <c r="E796" s="214">
        <v>0</v>
      </c>
      <c r="F796" s="214">
        <v>0</v>
      </c>
      <c r="G796" s="214">
        <v>0</v>
      </c>
      <c r="H796" s="214">
        <v>0</v>
      </c>
      <c r="I796" s="214">
        <v>0</v>
      </c>
      <c r="J796" s="214">
        <v>0</v>
      </c>
      <c r="K796" s="214">
        <v>0</v>
      </c>
      <c r="L796" s="214">
        <v>0</v>
      </c>
      <c r="M796" s="214">
        <v>0</v>
      </c>
      <c r="N796" s="214">
        <v>0</v>
      </c>
      <c r="O796" s="214">
        <v>0</v>
      </c>
      <c r="P796" s="214">
        <v>0</v>
      </c>
      <c r="Q796" s="214">
        <v>0</v>
      </c>
      <c r="R796" s="214">
        <v>0</v>
      </c>
      <c r="S796" s="214">
        <v>0</v>
      </c>
      <c r="T796" s="214">
        <v>0</v>
      </c>
      <c r="U796" s="214">
        <v>0</v>
      </c>
      <c r="V796" s="214">
        <v>0</v>
      </c>
      <c r="W796" s="214">
        <v>0</v>
      </c>
      <c r="X796" s="214">
        <v>0</v>
      </c>
      <c r="Y796" s="214">
        <v>0</v>
      </c>
      <c r="Z796" s="214">
        <v>0</v>
      </c>
      <c r="AA796" s="214">
        <v>0</v>
      </c>
      <c r="AB796" s="214">
        <v>0</v>
      </c>
      <c r="AC796" s="214">
        <v>0</v>
      </c>
      <c r="AD796" s="215"/>
      <c r="AE796" s="420">
        <v>0</v>
      </c>
      <c r="AF796" s="420">
        <v>0</v>
      </c>
      <c r="AG796" s="420">
        <v>0</v>
      </c>
      <c r="AH796" s="420"/>
      <c r="AI796" s="574">
        <f t="shared" si="19"/>
        <v>5090</v>
      </c>
      <c r="AJ796" s="212"/>
    </row>
    <row r="797" spans="2:36" ht="14.4">
      <c r="B797" s="211"/>
      <c r="C797" s="213" t="s">
        <v>157</v>
      </c>
      <c r="D797" s="214">
        <v>0</v>
      </c>
      <c r="E797" s="214">
        <v>123</v>
      </c>
      <c r="F797" s="214">
        <v>0</v>
      </c>
      <c r="G797" s="214">
        <v>0</v>
      </c>
      <c r="H797" s="214">
        <v>0</v>
      </c>
      <c r="I797" s="214">
        <v>0</v>
      </c>
      <c r="J797" s="214">
        <v>0</v>
      </c>
      <c r="K797" s="214">
        <v>0</v>
      </c>
      <c r="L797" s="214">
        <v>0</v>
      </c>
      <c r="M797" s="214">
        <v>0</v>
      </c>
      <c r="N797" s="214">
        <v>0</v>
      </c>
      <c r="O797" s="214">
        <v>0</v>
      </c>
      <c r="P797" s="214">
        <v>235.98</v>
      </c>
      <c r="Q797" s="214">
        <v>820</v>
      </c>
      <c r="R797" s="214">
        <v>266.58</v>
      </c>
      <c r="S797" s="214">
        <v>0</v>
      </c>
      <c r="T797" s="214">
        <v>0</v>
      </c>
      <c r="U797" s="214">
        <v>0</v>
      </c>
      <c r="V797" s="214">
        <v>0</v>
      </c>
      <c r="W797" s="214">
        <v>0</v>
      </c>
      <c r="X797" s="214">
        <v>0</v>
      </c>
      <c r="Y797" s="214">
        <v>0</v>
      </c>
      <c r="Z797" s="214">
        <v>0</v>
      </c>
      <c r="AA797" s="214">
        <v>0</v>
      </c>
      <c r="AB797" s="214">
        <v>0</v>
      </c>
      <c r="AC797" s="214">
        <v>0</v>
      </c>
      <c r="AD797" s="215"/>
      <c r="AE797" s="420">
        <v>0</v>
      </c>
      <c r="AF797" s="420">
        <v>0</v>
      </c>
      <c r="AG797" s="420">
        <v>0</v>
      </c>
      <c r="AH797" s="420"/>
      <c r="AI797" s="574">
        <f t="shared" si="19"/>
        <v>1445.56</v>
      </c>
      <c r="AJ797" s="212"/>
    </row>
    <row r="798" spans="2:36" ht="14.4">
      <c r="B798" s="211"/>
      <c r="C798" s="213" t="s">
        <v>65</v>
      </c>
      <c r="D798" s="214">
        <v>8000</v>
      </c>
      <c r="E798" s="214">
        <v>0</v>
      </c>
      <c r="F798" s="214">
        <v>0</v>
      </c>
      <c r="G798" s="214">
        <v>0</v>
      </c>
      <c r="H798" s="214">
        <v>0</v>
      </c>
      <c r="I798" s="214">
        <v>0</v>
      </c>
      <c r="J798" s="214">
        <v>0</v>
      </c>
      <c r="K798" s="214">
        <v>0</v>
      </c>
      <c r="L798" s="214">
        <v>0</v>
      </c>
      <c r="M798" s="214">
        <v>0</v>
      </c>
      <c r="N798" s="214">
        <v>0</v>
      </c>
      <c r="O798" s="214">
        <v>0</v>
      </c>
      <c r="P798" s="214">
        <v>0</v>
      </c>
      <c r="Q798" s="214">
        <v>0</v>
      </c>
      <c r="R798" s="214">
        <v>0</v>
      </c>
      <c r="S798" s="214">
        <v>0</v>
      </c>
      <c r="T798" s="214">
        <v>0</v>
      </c>
      <c r="U798" s="214">
        <v>0</v>
      </c>
      <c r="V798" s="214">
        <v>0</v>
      </c>
      <c r="W798" s="214">
        <v>0</v>
      </c>
      <c r="X798" s="214">
        <v>0</v>
      </c>
      <c r="Y798" s="214">
        <v>0</v>
      </c>
      <c r="Z798" s="214">
        <v>0</v>
      </c>
      <c r="AA798" s="214">
        <v>0</v>
      </c>
      <c r="AB798" s="214">
        <v>0</v>
      </c>
      <c r="AC798" s="214">
        <v>0</v>
      </c>
      <c r="AD798" s="215"/>
      <c r="AE798" s="420">
        <v>0</v>
      </c>
      <c r="AF798" s="420">
        <v>0</v>
      </c>
      <c r="AG798" s="420">
        <v>0</v>
      </c>
      <c r="AH798" s="420"/>
      <c r="AI798" s="574">
        <f t="shared" si="19"/>
        <v>8000</v>
      </c>
      <c r="AJ798" s="212"/>
    </row>
    <row r="799" spans="2:36" ht="14.4">
      <c r="B799" s="211"/>
      <c r="C799" s="213" t="s">
        <v>66</v>
      </c>
      <c r="D799" s="214">
        <v>0</v>
      </c>
      <c r="E799" s="214">
        <v>0</v>
      </c>
      <c r="F799" s="214">
        <v>0</v>
      </c>
      <c r="G799" s="214">
        <v>0</v>
      </c>
      <c r="H799" s="214">
        <v>0</v>
      </c>
      <c r="I799" s="214">
        <v>0</v>
      </c>
      <c r="J799" s="214">
        <v>0</v>
      </c>
      <c r="K799" s="214">
        <v>0</v>
      </c>
      <c r="L799" s="214">
        <v>0</v>
      </c>
      <c r="M799" s="214">
        <v>0</v>
      </c>
      <c r="N799" s="214">
        <v>0</v>
      </c>
      <c r="O799" s="214">
        <v>0</v>
      </c>
      <c r="P799" s="214">
        <v>0</v>
      </c>
      <c r="Q799" s="214">
        <v>0</v>
      </c>
      <c r="R799" s="214">
        <v>0</v>
      </c>
      <c r="S799" s="214">
        <v>0</v>
      </c>
      <c r="T799" s="214">
        <v>0</v>
      </c>
      <c r="U799" s="214">
        <v>0</v>
      </c>
      <c r="V799" s="214">
        <v>0</v>
      </c>
      <c r="W799" s="214">
        <v>0</v>
      </c>
      <c r="X799" s="214">
        <v>0</v>
      </c>
      <c r="Y799" s="214">
        <v>0</v>
      </c>
      <c r="Z799" s="214">
        <v>0</v>
      </c>
      <c r="AA799" s="214">
        <v>0</v>
      </c>
      <c r="AB799" s="214">
        <v>0</v>
      </c>
      <c r="AC799" s="214">
        <v>0</v>
      </c>
      <c r="AD799" s="215"/>
      <c r="AE799" s="420">
        <v>0</v>
      </c>
      <c r="AF799" s="420">
        <v>0</v>
      </c>
      <c r="AG799" s="420">
        <v>0</v>
      </c>
      <c r="AH799" s="420"/>
      <c r="AI799" s="574">
        <f t="shared" si="19"/>
        <v>0</v>
      </c>
      <c r="AJ799" s="212"/>
    </row>
    <row r="800" spans="2:36" ht="14.4">
      <c r="B800" s="211"/>
      <c r="C800" s="213" t="s">
        <v>30</v>
      </c>
      <c r="D800" s="214">
        <v>28684.880000000001</v>
      </c>
      <c r="E800" s="214">
        <v>8777.25</v>
      </c>
      <c r="F800" s="214">
        <v>8877.25</v>
      </c>
      <c r="G800" s="214">
        <v>6666.25</v>
      </c>
      <c r="H800" s="214">
        <v>7555.25</v>
      </c>
      <c r="I800" s="214">
        <v>0</v>
      </c>
      <c r="J800" s="214">
        <v>1500.25</v>
      </c>
      <c r="K800" s="214">
        <v>0</v>
      </c>
      <c r="L800" s="214">
        <v>0</v>
      </c>
      <c r="M800" s="214">
        <v>3666.26</v>
      </c>
      <c r="N800" s="214">
        <v>1700.25</v>
      </c>
      <c r="O800" s="214">
        <v>3999.25</v>
      </c>
      <c r="P800" s="214">
        <v>5888.25</v>
      </c>
      <c r="Q800" s="214">
        <v>8999.25</v>
      </c>
      <c r="R800" s="214">
        <v>1100.25</v>
      </c>
      <c r="S800" s="214">
        <v>3225.25</v>
      </c>
      <c r="T800" s="214">
        <v>0</v>
      </c>
      <c r="U800" s="214">
        <v>1400.25</v>
      </c>
      <c r="V800" s="214">
        <v>1300.25</v>
      </c>
      <c r="W800" s="214">
        <v>1400.25</v>
      </c>
      <c r="X800" s="214">
        <v>0</v>
      </c>
      <c r="Y800" s="214">
        <v>1300.25</v>
      </c>
      <c r="Z800" s="214">
        <v>1900.25</v>
      </c>
      <c r="AA800" s="214">
        <v>0</v>
      </c>
      <c r="AB800" s="214">
        <v>2223.25</v>
      </c>
      <c r="AC800" s="214">
        <v>1600.25</v>
      </c>
      <c r="AD800" s="215"/>
      <c r="AE800" s="420">
        <v>4555.25</v>
      </c>
      <c r="AF800" s="420">
        <v>1200.02</v>
      </c>
      <c r="AG800" s="420">
        <v>1300.25</v>
      </c>
      <c r="AH800" s="420"/>
      <c r="AI800" s="574">
        <f t="shared" si="19"/>
        <v>108820.16</v>
      </c>
      <c r="AJ800" s="212"/>
    </row>
    <row r="801" spans="2:36" ht="14.4">
      <c r="B801" s="211"/>
      <c r="C801" s="213" t="s">
        <v>67</v>
      </c>
      <c r="D801" s="214">
        <v>0</v>
      </c>
      <c r="E801" s="214">
        <v>0</v>
      </c>
      <c r="F801" s="214">
        <v>0</v>
      </c>
      <c r="G801" s="214">
        <v>0</v>
      </c>
      <c r="H801" s="214">
        <v>0</v>
      </c>
      <c r="I801" s="214">
        <v>0</v>
      </c>
      <c r="J801" s="214">
        <v>0</v>
      </c>
      <c r="K801" s="214">
        <v>0</v>
      </c>
      <c r="L801" s="214">
        <v>0</v>
      </c>
      <c r="M801" s="214">
        <v>0</v>
      </c>
      <c r="N801" s="214">
        <v>0</v>
      </c>
      <c r="O801" s="214">
        <v>0</v>
      </c>
      <c r="P801" s="214">
        <v>0</v>
      </c>
      <c r="Q801" s="214">
        <v>0</v>
      </c>
      <c r="R801" s="214">
        <v>0</v>
      </c>
      <c r="S801" s="214">
        <v>140</v>
      </c>
      <c r="T801" s="214">
        <v>0</v>
      </c>
      <c r="U801" s="214">
        <v>0</v>
      </c>
      <c r="V801" s="214">
        <v>0</v>
      </c>
      <c r="W801" s="214">
        <v>0</v>
      </c>
      <c r="X801" s="214">
        <v>0</v>
      </c>
      <c r="Y801" s="214">
        <v>0</v>
      </c>
      <c r="Z801" s="214">
        <v>0</v>
      </c>
      <c r="AA801" s="214">
        <v>0</v>
      </c>
      <c r="AB801" s="214">
        <v>0</v>
      </c>
      <c r="AC801" s="214">
        <v>0</v>
      </c>
      <c r="AD801" s="215"/>
      <c r="AE801" s="420">
        <v>0</v>
      </c>
      <c r="AF801" s="420">
        <v>0</v>
      </c>
      <c r="AG801" s="420">
        <v>0</v>
      </c>
      <c r="AH801" s="420"/>
      <c r="AI801" s="574">
        <f t="shared" si="19"/>
        <v>140</v>
      </c>
      <c r="AJ801" s="212"/>
    </row>
    <row r="802" spans="2:36" ht="14.4">
      <c r="B802" s="211"/>
      <c r="C802" s="213" t="s">
        <v>111</v>
      </c>
      <c r="D802" s="214">
        <v>0</v>
      </c>
      <c r="E802" s="214">
        <v>300</v>
      </c>
      <c r="F802" s="214">
        <v>500</v>
      </c>
      <c r="G802" s="214">
        <v>100</v>
      </c>
      <c r="H802" s="214">
        <v>1300</v>
      </c>
      <c r="I802" s="214">
        <v>0</v>
      </c>
      <c r="J802" s="214">
        <v>0</v>
      </c>
      <c r="K802" s="214">
        <v>0</v>
      </c>
      <c r="L802" s="214">
        <v>0</v>
      </c>
      <c r="M802" s="214">
        <v>0</v>
      </c>
      <c r="N802" s="214">
        <v>0</v>
      </c>
      <c r="O802" s="214">
        <v>900</v>
      </c>
      <c r="P802" s="214">
        <v>100</v>
      </c>
      <c r="Q802" s="214">
        <v>600</v>
      </c>
      <c r="R802" s="214">
        <v>0</v>
      </c>
      <c r="S802" s="214">
        <v>0</v>
      </c>
      <c r="T802" s="214">
        <v>0</v>
      </c>
      <c r="U802" s="214">
        <v>0</v>
      </c>
      <c r="V802" s="214">
        <v>0</v>
      </c>
      <c r="W802" s="214">
        <v>0</v>
      </c>
      <c r="X802" s="214">
        <v>0</v>
      </c>
      <c r="Y802" s="214">
        <v>0</v>
      </c>
      <c r="Z802" s="214">
        <v>0</v>
      </c>
      <c r="AA802" s="214">
        <v>0</v>
      </c>
      <c r="AB802" s="214">
        <v>0</v>
      </c>
      <c r="AC802" s="214">
        <v>0</v>
      </c>
      <c r="AD802" s="215"/>
      <c r="AE802" s="420">
        <v>700</v>
      </c>
      <c r="AF802" s="420">
        <v>0</v>
      </c>
      <c r="AG802" s="420">
        <v>0</v>
      </c>
      <c r="AH802" s="420"/>
      <c r="AI802" s="574">
        <f t="shared" si="19"/>
        <v>4500</v>
      </c>
      <c r="AJ802" s="212"/>
    </row>
    <row r="803" spans="2:36" ht="14.4">
      <c r="B803" s="211"/>
      <c r="C803" s="213" t="s">
        <v>68</v>
      </c>
      <c r="D803" s="214">
        <v>0</v>
      </c>
      <c r="E803" s="214">
        <v>0</v>
      </c>
      <c r="F803" s="214">
        <v>0</v>
      </c>
      <c r="G803" s="214">
        <v>0</v>
      </c>
      <c r="H803" s="214">
        <v>0</v>
      </c>
      <c r="I803" s="214">
        <v>0</v>
      </c>
      <c r="J803" s="214">
        <v>0</v>
      </c>
      <c r="K803" s="214">
        <v>0</v>
      </c>
      <c r="L803" s="214">
        <v>0</v>
      </c>
      <c r="M803" s="214">
        <v>0</v>
      </c>
      <c r="N803" s="214">
        <v>0</v>
      </c>
      <c r="O803" s="214">
        <v>0</v>
      </c>
      <c r="P803" s="214">
        <v>0</v>
      </c>
      <c r="Q803" s="214">
        <v>0</v>
      </c>
      <c r="R803" s="214">
        <v>0</v>
      </c>
      <c r="S803" s="214">
        <v>0</v>
      </c>
      <c r="T803" s="214">
        <v>0</v>
      </c>
      <c r="U803" s="214">
        <v>0</v>
      </c>
      <c r="V803" s="214">
        <v>0</v>
      </c>
      <c r="W803" s="214">
        <v>0</v>
      </c>
      <c r="X803" s="214">
        <v>0</v>
      </c>
      <c r="Y803" s="214">
        <v>0</v>
      </c>
      <c r="Z803" s="214">
        <v>0</v>
      </c>
      <c r="AA803" s="214">
        <v>0</v>
      </c>
      <c r="AB803" s="214">
        <v>0</v>
      </c>
      <c r="AC803" s="214">
        <v>0</v>
      </c>
      <c r="AD803" s="215"/>
      <c r="AE803" s="420">
        <v>0</v>
      </c>
      <c r="AF803" s="420">
        <v>0</v>
      </c>
      <c r="AG803" s="420">
        <v>0</v>
      </c>
      <c r="AH803" s="420"/>
      <c r="AI803" s="574">
        <f t="shared" si="19"/>
        <v>0</v>
      </c>
      <c r="AJ803" s="212"/>
    </row>
    <row r="804" spans="2:36" ht="14.4">
      <c r="B804" s="211"/>
      <c r="C804" s="213" t="s">
        <v>69</v>
      </c>
      <c r="D804" s="214">
        <v>0</v>
      </c>
      <c r="E804" s="214">
        <v>1200</v>
      </c>
      <c r="F804" s="214">
        <v>400</v>
      </c>
      <c r="G804" s="214">
        <v>0</v>
      </c>
      <c r="H804" s="214">
        <v>0</v>
      </c>
      <c r="I804" s="214">
        <v>0</v>
      </c>
      <c r="J804" s="214">
        <v>0</v>
      </c>
      <c r="K804" s="214">
        <v>0</v>
      </c>
      <c r="L804" s="214">
        <v>0</v>
      </c>
      <c r="M804" s="214">
        <v>1600</v>
      </c>
      <c r="N804" s="214">
        <v>0</v>
      </c>
      <c r="O804" s="214">
        <v>0</v>
      </c>
      <c r="P804" s="214">
        <v>0</v>
      </c>
      <c r="Q804" s="214">
        <v>2200</v>
      </c>
      <c r="R804" s="214">
        <v>0</v>
      </c>
      <c r="S804" s="214">
        <v>400</v>
      </c>
      <c r="T804" s="214">
        <v>0</v>
      </c>
      <c r="U804" s="214">
        <v>0</v>
      </c>
      <c r="V804" s="214">
        <v>0</v>
      </c>
      <c r="W804" s="214">
        <v>0</v>
      </c>
      <c r="X804" s="214">
        <v>0</v>
      </c>
      <c r="Y804" s="214">
        <v>0</v>
      </c>
      <c r="Z804" s="214">
        <v>0</v>
      </c>
      <c r="AA804" s="214">
        <v>0</v>
      </c>
      <c r="AB804" s="214">
        <v>0</v>
      </c>
      <c r="AC804" s="214">
        <v>0</v>
      </c>
      <c r="AD804" s="215"/>
      <c r="AE804" s="420">
        <v>0</v>
      </c>
      <c r="AF804" s="420">
        <v>0</v>
      </c>
      <c r="AG804" s="420">
        <v>0</v>
      </c>
      <c r="AH804" s="420"/>
      <c r="AI804" s="574">
        <f t="shared" si="19"/>
        <v>5800</v>
      </c>
      <c r="AJ804" s="212"/>
    </row>
    <row r="805" spans="2:36" ht="14.4">
      <c r="B805" s="211"/>
      <c r="C805" s="213" t="s">
        <v>70</v>
      </c>
      <c r="D805" s="214">
        <v>1955</v>
      </c>
      <c r="E805" s="214">
        <v>0</v>
      </c>
      <c r="F805" s="214">
        <v>0</v>
      </c>
      <c r="G805" s="214">
        <v>0</v>
      </c>
      <c r="H805" s="214">
        <v>0</v>
      </c>
      <c r="I805" s="214">
        <v>440</v>
      </c>
      <c r="J805" s="214">
        <v>0</v>
      </c>
      <c r="K805" s="214">
        <v>0</v>
      </c>
      <c r="L805" s="214">
        <v>0</v>
      </c>
      <c r="M805" s="214">
        <v>0</v>
      </c>
      <c r="N805" s="214">
        <v>0</v>
      </c>
      <c r="O805" s="214">
        <v>0</v>
      </c>
      <c r="P805" s="214">
        <v>0</v>
      </c>
      <c r="Q805" s="214">
        <v>0</v>
      </c>
      <c r="R805" s="214">
        <v>0</v>
      </c>
      <c r="S805" s="214">
        <v>0</v>
      </c>
      <c r="T805" s="214">
        <v>0</v>
      </c>
      <c r="U805" s="214">
        <v>0</v>
      </c>
      <c r="V805" s="214">
        <v>0</v>
      </c>
      <c r="W805" s="214">
        <v>0</v>
      </c>
      <c r="X805" s="214">
        <v>0</v>
      </c>
      <c r="Y805" s="214">
        <v>0</v>
      </c>
      <c r="Z805" s="214">
        <v>0</v>
      </c>
      <c r="AA805" s="214">
        <v>0</v>
      </c>
      <c r="AB805" s="214">
        <v>0</v>
      </c>
      <c r="AC805" s="214">
        <v>0</v>
      </c>
      <c r="AD805" s="215"/>
      <c r="AE805" s="420">
        <v>0</v>
      </c>
      <c r="AF805" s="420">
        <v>0</v>
      </c>
      <c r="AG805" s="420">
        <v>0</v>
      </c>
      <c r="AH805" s="420"/>
      <c r="AI805" s="574">
        <f t="shared" si="19"/>
        <v>2395</v>
      </c>
      <c r="AJ805" s="212"/>
    </row>
    <row r="806" spans="2:36" ht="14.4">
      <c r="B806" s="211"/>
      <c r="C806" s="213" t="s">
        <v>71</v>
      </c>
      <c r="D806" s="214">
        <v>0</v>
      </c>
      <c r="E806" s="214">
        <v>0</v>
      </c>
      <c r="F806" s="214">
        <v>0</v>
      </c>
      <c r="G806" s="214">
        <v>0</v>
      </c>
      <c r="H806" s="214">
        <v>0</v>
      </c>
      <c r="I806" s="214">
        <v>0</v>
      </c>
      <c r="J806" s="214">
        <v>0</v>
      </c>
      <c r="K806" s="214">
        <v>0</v>
      </c>
      <c r="L806" s="214">
        <v>0</v>
      </c>
      <c r="M806" s="214">
        <v>0</v>
      </c>
      <c r="N806" s="214">
        <v>0</v>
      </c>
      <c r="O806" s="214">
        <v>0</v>
      </c>
      <c r="P806" s="214">
        <v>0</v>
      </c>
      <c r="Q806" s="214">
        <v>0</v>
      </c>
      <c r="R806" s="214">
        <v>0</v>
      </c>
      <c r="S806" s="214">
        <v>0</v>
      </c>
      <c r="T806" s="214">
        <v>0</v>
      </c>
      <c r="U806" s="214">
        <v>0</v>
      </c>
      <c r="V806" s="214">
        <v>0</v>
      </c>
      <c r="W806" s="214">
        <v>0</v>
      </c>
      <c r="X806" s="214">
        <v>0</v>
      </c>
      <c r="Y806" s="214">
        <v>0</v>
      </c>
      <c r="Z806" s="214">
        <v>0</v>
      </c>
      <c r="AA806" s="214">
        <v>0</v>
      </c>
      <c r="AB806" s="214">
        <v>0</v>
      </c>
      <c r="AC806" s="214">
        <v>0</v>
      </c>
      <c r="AD806" s="215"/>
      <c r="AE806" s="420">
        <v>0</v>
      </c>
      <c r="AF806" s="420">
        <v>0</v>
      </c>
      <c r="AG806" s="420">
        <v>0</v>
      </c>
      <c r="AH806" s="420"/>
      <c r="AI806" s="574">
        <f t="shared" si="19"/>
        <v>0</v>
      </c>
      <c r="AJ806" s="212"/>
    </row>
    <row r="807" spans="2:36" ht="14.4">
      <c r="B807" s="211"/>
      <c r="C807" s="213" t="s">
        <v>159</v>
      </c>
      <c r="D807" s="214">
        <v>18755</v>
      </c>
      <c r="E807" s="214">
        <v>0</v>
      </c>
      <c r="F807" s="214">
        <v>0</v>
      </c>
      <c r="G807" s="214">
        <v>0</v>
      </c>
      <c r="H807" s="214">
        <v>0</v>
      </c>
      <c r="I807" s="214">
        <v>0</v>
      </c>
      <c r="J807" s="214">
        <v>0</v>
      </c>
      <c r="K807" s="214">
        <v>0</v>
      </c>
      <c r="L807" s="214">
        <v>0</v>
      </c>
      <c r="M807" s="214">
        <v>0</v>
      </c>
      <c r="N807" s="214">
        <v>0</v>
      </c>
      <c r="O807" s="214">
        <v>0</v>
      </c>
      <c r="P807" s="214">
        <v>0</v>
      </c>
      <c r="Q807" s="214">
        <v>0</v>
      </c>
      <c r="R807" s="214">
        <v>400</v>
      </c>
      <c r="S807" s="214">
        <v>0</v>
      </c>
      <c r="T807" s="214">
        <v>0</v>
      </c>
      <c r="U807" s="214">
        <v>0</v>
      </c>
      <c r="V807" s="214">
        <v>0</v>
      </c>
      <c r="W807" s="214">
        <v>0</v>
      </c>
      <c r="X807" s="214">
        <v>0</v>
      </c>
      <c r="Y807" s="214">
        <v>0</v>
      </c>
      <c r="Z807" s="214">
        <v>0</v>
      </c>
      <c r="AA807" s="214">
        <v>0</v>
      </c>
      <c r="AB807" s="214">
        <v>0</v>
      </c>
      <c r="AC807" s="214">
        <v>0</v>
      </c>
      <c r="AD807" s="215"/>
      <c r="AE807" s="420">
        <v>0</v>
      </c>
      <c r="AF807" s="420">
        <v>0</v>
      </c>
      <c r="AG807" s="420">
        <v>0</v>
      </c>
      <c r="AH807" s="420"/>
      <c r="AI807" s="574">
        <f t="shared" si="19"/>
        <v>19155</v>
      </c>
      <c r="AJ807" s="212"/>
    </row>
    <row r="808" spans="2:36" ht="14.4">
      <c r="B808" s="211"/>
      <c r="C808" s="213" t="s">
        <v>72</v>
      </c>
      <c r="D808" s="214">
        <v>0</v>
      </c>
      <c r="E808" s="214">
        <v>0</v>
      </c>
      <c r="F808" s="214">
        <v>0</v>
      </c>
      <c r="G808" s="214">
        <v>0</v>
      </c>
      <c r="H808" s="214">
        <v>0</v>
      </c>
      <c r="I808" s="214">
        <v>0</v>
      </c>
      <c r="J808" s="214">
        <v>0</v>
      </c>
      <c r="K808" s="214">
        <v>0</v>
      </c>
      <c r="L808" s="214">
        <v>0</v>
      </c>
      <c r="M808" s="214">
        <v>0</v>
      </c>
      <c r="N808" s="214">
        <v>0</v>
      </c>
      <c r="O808" s="214">
        <v>0</v>
      </c>
      <c r="P808" s="214">
        <v>0</v>
      </c>
      <c r="Q808" s="214">
        <v>0</v>
      </c>
      <c r="R808" s="214">
        <v>0</v>
      </c>
      <c r="S808" s="214">
        <v>0</v>
      </c>
      <c r="T808" s="214">
        <v>0</v>
      </c>
      <c r="U808" s="214">
        <v>0</v>
      </c>
      <c r="V808" s="214">
        <v>0</v>
      </c>
      <c r="W808" s="214">
        <v>0</v>
      </c>
      <c r="X808" s="214">
        <v>0</v>
      </c>
      <c r="Y808" s="214">
        <v>0</v>
      </c>
      <c r="Z808" s="214">
        <v>0</v>
      </c>
      <c r="AA808" s="214">
        <v>0</v>
      </c>
      <c r="AB808" s="214">
        <v>0</v>
      </c>
      <c r="AC808" s="214">
        <v>0</v>
      </c>
      <c r="AD808" s="215"/>
      <c r="AE808" s="420">
        <v>0</v>
      </c>
      <c r="AF808" s="420">
        <v>0</v>
      </c>
      <c r="AG808" s="420">
        <v>0</v>
      </c>
      <c r="AH808" s="420"/>
      <c r="AI808" s="574">
        <f t="shared" si="19"/>
        <v>0</v>
      </c>
      <c r="AJ808" s="212"/>
    </row>
    <row r="809" spans="2:36" ht="14.4">
      <c r="B809" s="211"/>
      <c r="C809" s="213" t="s">
        <v>73</v>
      </c>
      <c r="D809" s="214">
        <v>0</v>
      </c>
      <c r="E809" s="214">
        <v>0</v>
      </c>
      <c r="F809" s="214">
        <v>0</v>
      </c>
      <c r="G809" s="214">
        <v>0</v>
      </c>
      <c r="H809" s="214">
        <v>0</v>
      </c>
      <c r="I809" s="214">
        <v>0</v>
      </c>
      <c r="J809" s="214">
        <v>0</v>
      </c>
      <c r="K809" s="214">
        <v>0</v>
      </c>
      <c r="L809" s="214">
        <v>0</v>
      </c>
      <c r="M809" s="214">
        <v>0</v>
      </c>
      <c r="N809" s="214">
        <v>0</v>
      </c>
      <c r="O809" s="214">
        <v>0</v>
      </c>
      <c r="P809" s="214">
        <v>0</v>
      </c>
      <c r="Q809" s="214">
        <v>0</v>
      </c>
      <c r="R809" s="214">
        <v>0</v>
      </c>
      <c r="S809" s="214">
        <v>0</v>
      </c>
      <c r="T809" s="214">
        <v>0</v>
      </c>
      <c r="U809" s="214">
        <v>0</v>
      </c>
      <c r="V809" s="214">
        <v>0</v>
      </c>
      <c r="W809" s="214">
        <v>0</v>
      </c>
      <c r="X809" s="214">
        <v>0</v>
      </c>
      <c r="Y809" s="214">
        <v>0</v>
      </c>
      <c r="Z809" s="214">
        <v>0</v>
      </c>
      <c r="AA809" s="214">
        <v>0</v>
      </c>
      <c r="AB809" s="214">
        <v>0</v>
      </c>
      <c r="AC809" s="214">
        <v>0</v>
      </c>
      <c r="AD809" s="215"/>
      <c r="AE809" s="420">
        <v>0</v>
      </c>
      <c r="AF809" s="420">
        <v>0</v>
      </c>
      <c r="AG809" s="420">
        <v>0</v>
      </c>
      <c r="AH809" s="420"/>
      <c r="AI809" s="574">
        <f t="shared" si="19"/>
        <v>0</v>
      </c>
      <c r="AJ809" s="212"/>
    </row>
    <row r="810" spans="2:36" ht="14.4">
      <c r="B810" s="211"/>
      <c r="C810" s="213" t="s">
        <v>246</v>
      </c>
      <c r="D810" s="214">
        <f>8045+970</f>
        <v>9015</v>
      </c>
      <c r="E810" s="214">
        <v>0</v>
      </c>
      <c r="F810" s="214">
        <v>0</v>
      </c>
      <c r="G810" s="214">
        <v>0</v>
      </c>
      <c r="H810" s="214">
        <v>0</v>
      </c>
      <c r="I810" s="214">
        <v>0</v>
      </c>
      <c r="J810" s="214">
        <v>0</v>
      </c>
      <c r="K810" s="214">
        <v>0</v>
      </c>
      <c r="L810" s="214">
        <v>0</v>
      </c>
      <c r="M810" s="214">
        <v>0</v>
      </c>
      <c r="N810" s="214">
        <v>0</v>
      </c>
      <c r="O810" s="214">
        <v>0</v>
      </c>
      <c r="P810" s="214">
        <v>0</v>
      </c>
      <c r="Q810" s="214">
        <v>0</v>
      </c>
      <c r="R810" s="214">
        <v>0</v>
      </c>
      <c r="S810" s="214">
        <v>0</v>
      </c>
      <c r="T810" s="214">
        <v>0</v>
      </c>
      <c r="U810" s="214">
        <v>0</v>
      </c>
      <c r="V810" s="214">
        <v>0</v>
      </c>
      <c r="W810" s="214">
        <v>0</v>
      </c>
      <c r="X810" s="214">
        <v>0</v>
      </c>
      <c r="Y810" s="214">
        <v>0</v>
      </c>
      <c r="Z810" s="214">
        <v>0</v>
      </c>
      <c r="AA810" s="214">
        <v>0</v>
      </c>
      <c r="AB810" s="214">
        <v>0</v>
      </c>
      <c r="AC810" s="214">
        <v>0</v>
      </c>
      <c r="AD810" s="215"/>
      <c r="AE810" s="420">
        <v>0</v>
      </c>
      <c r="AF810" s="420">
        <v>0</v>
      </c>
      <c r="AG810" s="420">
        <v>0</v>
      </c>
      <c r="AH810" s="420"/>
      <c r="AI810" s="574">
        <f t="shared" si="19"/>
        <v>9015</v>
      </c>
      <c r="AJ810" s="212"/>
    </row>
    <row r="811" spans="2:36" ht="14.4">
      <c r="B811" s="211"/>
      <c r="C811" s="213" t="s">
        <v>75</v>
      </c>
      <c r="D811" s="214">
        <v>0</v>
      </c>
      <c r="E811" s="214">
        <v>0</v>
      </c>
      <c r="F811" s="214">
        <v>0</v>
      </c>
      <c r="G811" s="214">
        <v>0</v>
      </c>
      <c r="H811" s="214">
        <v>0</v>
      </c>
      <c r="I811" s="214">
        <v>0</v>
      </c>
      <c r="J811" s="214">
        <v>0</v>
      </c>
      <c r="K811" s="214">
        <v>0</v>
      </c>
      <c r="L811" s="214">
        <v>0</v>
      </c>
      <c r="M811" s="214">
        <v>0</v>
      </c>
      <c r="N811" s="214">
        <v>0</v>
      </c>
      <c r="O811" s="214">
        <v>0</v>
      </c>
      <c r="P811" s="214">
        <v>0</v>
      </c>
      <c r="Q811" s="214">
        <v>0</v>
      </c>
      <c r="R811" s="214">
        <v>0</v>
      </c>
      <c r="S811" s="214">
        <v>0</v>
      </c>
      <c r="T811" s="214">
        <v>0</v>
      </c>
      <c r="U811" s="214">
        <v>0</v>
      </c>
      <c r="V811" s="214">
        <v>0</v>
      </c>
      <c r="W811" s="214">
        <v>0</v>
      </c>
      <c r="X811" s="214">
        <v>0</v>
      </c>
      <c r="Y811" s="214">
        <v>0</v>
      </c>
      <c r="Z811" s="214">
        <v>0</v>
      </c>
      <c r="AA811" s="214">
        <v>0</v>
      </c>
      <c r="AB811" s="214">
        <v>0</v>
      </c>
      <c r="AC811" s="214">
        <v>0</v>
      </c>
      <c r="AD811" s="215"/>
      <c r="AE811" s="420">
        <v>0</v>
      </c>
      <c r="AF811" s="420">
        <v>0</v>
      </c>
      <c r="AG811" s="420">
        <v>0</v>
      </c>
      <c r="AH811" s="420"/>
      <c r="AI811" s="574">
        <f t="shared" si="19"/>
        <v>0</v>
      </c>
      <c r="AJ811" s="212"/>
    </row>
    <row r="812" spans="2:36" ht="14.4">
      <c r="B812" s="211"/>
      <c r="C812" s="213" t="s">
        <v>76</v>
      </c>
      <c r="D812" s="214">
        <v>0</v>
      </c>
      <c r="E812" s="214">
        <v>0</v>
      </c>
      <c r="F812" s="214">
        <v>0</v>
      </c>
      <c r="G812" s="214">
        <v>0</v>
      </c>
      <c r="H812" s="214">
        <v>0</v>
      </c>
      <c r="I812" s="214">
        <v>0</v>
      </c>
      <c r="J812" s="214">
        <v>0</v>
      </c>
      <c r="K812" s="214">
        <v>0</v>
      </c>
      <c r="L812" s="214">
        <v>0</v>
      </c>
      <c r="M812" s="214">
        <v>0</v>
      </c>
      <c r="N812" s="214">
        <v>0</v>
      </c>
      <c r="O812" s="214">
        <v>0</v>
      </c>
      <c r="P812" s="214">
        <v>0</v>
      </c>
      <c r="Q812" s="214">
        <v>0</v>
      </c>
      <c r="R812" s="214">
        <v>0</v>
      </c>
      <c r="S812" s="214">
        <v>0</v>
      </c>
      <c r="T812" s="214">
        <v>0</v>
      </c>
      <c r="U812" s="214">
        <v>0</v>
      </c>
      <c r="V812" s="214">
        <v>0</v>
      </c>
      <c r="W812" s="214">
        <v>0</v>
      </c>
      <c r="X812" s="214">
        <v>0</v>
      </c>
      <c r="Y812" s="214">
        <v>0</v>
      </c>
      <c r="Z812" s="214">
        <v>0</v>
      </c>
      <c r="AA812" s="214">
        <v>0</v>
      </c>
      <c r="AB812" s="214">
        <v>0</v>
      </c>
      <c r="AC812" s="214">
        <v>0</v>
      </c>
      <c r="AD812" s="215"/>
      <c r="AE812" s="420">
        <v>0</v>
      </c>
      <c r="AF812" s="420">
        <v>0</v>
      </c>
      <c r="AG812" s="420">
        <v>0</v>
      </c>
      <c r="AH812" s="420"/>
      <c r="AI812" s="574">
        <f t="shared" si="19"/>
        <v>0</v>
      </c>
      <c r="AJ812" s="212"/>
    </row>
    <row r="813" spans="2:36" ht="14.4">
      <c r="B813" s="211"/>
      <c r="C813" s="213" t="s">
        <v>77</v>
      </c>
      <c r="D813" s="214">
        <v>0</v>
      </c>
      <c r="E813" s="214">
        <v>0</v>
      </c>
      <c r="F813" s="214">
        <v>0</v>
      </c>
      <c r="G813" s="214">
        <v>0</v>
      </c>
      <c r="H813" s="214">
        <v>0</v>
      </c>
      <c r="I813" s="214">
        <v>0</v>
      </c>
      <c r="J813" s="214">
        <v>0</v>
      </c>
      <c r="K813" s="214">
        <v>0</v>
      </c>
      <c r="L813" s="214">
        <v>0</v>
      </c>
      <c r="M813" s="214">
        <v>0</v>
      </c>
      <c r="N813" s="214">
        <v>0</v>
      </c>
      <c r="O813" s="214">
        <v>0</v>
      </c>
      <c r="P813" s="214">
        <v>0</v>
      </c>
      <c r="Q813" s="214">
        <v>0</v>
      </c>
      <c r="R813" s="214">
        <v>0</v>
      </c>
      <c r="S813" s="214">
        <v>0</v>
      </c>
      <c r="T813" s="214">
        <v>0</v>
      </c>
      <c r="U813" s="214">
        <v>0</v>
      </c>
      <c r="V813" s="214">
        <v>0</v>
      </c>
      <c r="W813" s="214">
        <v>0</v>
      </c>
      <c r="X813" s="214">
        <v>0</v>
      </c>
      <c r="Y813" s="214">
        <v>0</v>
      </c>
      <c r="Z813" s="214">
        <v>0</v>
      </c>
      <c r="AA813" s="214">
        <v>0</v>
      </c>
      <c r="AB813" s="214">
        <v>0</v>
      </c>
      <c r="AC813" s="214">
        <v>0</v>
      </c>
      <c r="AD813" s="215"/>
      <c r="AE813" s="420">
        <v>0</v>
      </c>
      <c r="AF813" s="420">
        <v>0</v>
      </c>
      <c r="AG813" s="420">
        <v>0</v>
      </c>
      <c r="AH813" s="420"/>
      <c r="AI813" s="574">
        <f t="shared" si="19"/>
        <v>0</v>
      </c>
      <c r="AJ813" s="212"/>
    </row>
    <row r="814" spans="2:36" ht="14.4">
      <c r="B814" s="211"/>
      <c r="C814" s="213" t="s">
        <v>78</v>
      </c>
      <c r="D814" s="214">
        <v>0</v>
      </c>
      <c r="E814" s="214">
        <v>0</v>
      </c>
      <c r="F814" s="214">
        <v>0</v>
      </c>
      <c r="G814" s="214">
        <v>0</v>
      </c>
      <c r="H814" s="214">
        <v>0</v>
      </c>
      <c r="I814" s="214">
        <v>0</v>
      </c>
      <c r="J814" s="214">
        <v>0</v>
      </c>
      <c r="K814" s="214">
        <v>0</v>
      </c>
      <c r="L814" s="214">
        <v>0</v>
      </c>
      <c r="M814" s="214">
        <v>0</v>
      </c>
      <c r="N814" s="214">
        <v>0</v>
      </c>
      <c r="O814" s="214">
        <v>0</v>
      </c>
      <c r="P814" s="214">
        <v>0</v>
      </c>
      <c r="Q814" s="214">
        <v>0</v>
      </c>
      <c r="R814" s="214">
        <v>0</v>
      </c>
      <c r="S814" s="214">
        <v>0</v>
      </c>
      <c r="T814" s="214">
        <v>0</v>
      </c>
      <c r="U814" s="214">
        <v>0</v>
      </c>
      <c r="V814" s="214">
        <v>0</v>
      </c>
      <c r="W814" s="214">
        <v>0</v>
      </c>
      <c r="X814" s="214">
        <v>0</v>
      </c>
      <c r="Y814" s="214">
        <v>0</v>
      </c>
      <c r="Z814" s="214">
        <v>0</v>
      </c>
      <c r="AA814" s="214">
        <v>0</v>
      </c>
      <c r="AB814" s="214">
        <v>0</v>
      </c>
      <c r="AC814" s="214">
        <v>0</v>
      </c>
      <c r="AD814" s="215"/>
      <c r="AE814" s="420">
        <v>0</v>
      </c>
      <c r="AF814" s="420">
        <v>0</v>
      </c>
      <c r="AG814" s="420">
        <v>0</v>
      </c>
      <c r="AH814" s="420"/>
      <c r="AI814" s="574">
        <f t="shared" si="19"/>
        <v>0</v>
      </c>
      <c r="AJ814" s="212"/>
    </row>
    <row r="815" spans="2:36" ht="14.4">
      <c r="B815" s="211"/>
      <c r="C815" s="213" t="s">
        <v>79</v>
      </c>
      <c r="D815" s="214">
        <v>0</v>
      </c>
      <c r="E815" s="214">
        <v>0</v>
      </c>
      <c r="F815" s="214">
        <v>0</v>
      </c>
      <c r="G815" s="214">
        <v>0</v>
      </c>
      <c r="H815" s="214">
        <v>0</v>
      </c>
      <c r="I815" s="214">
        <v>0</v>
      </c>
      <c r="J815" s="214">
        <v>0</v>
      </c>
      <c r="K815" s="214">
        <v>0</v>
      </c>
      <c r="L815" s="214">
        <v>0</v>
      </c>
      <c r="M815" s="214">
        <v>0</v>
      </c>
      <c r="N815" s="214">
        <v>0</v>
      </c>
      <c r="O815" s="214">
        <v>0</v>
      </c>
      <c r="P815" s="214">
        <v>0</v>
      </c>
      <c r="Q815" s="214">
        <v>0</v>
      </c>
      <c r="R815" s="214">
        <v>0</v>
      </c>
      <c r="S815" s="214">
        <v>0</v>
      </c>
      <c r="T815" s="214">
        <v>0</v>
      </c>
      <c r="U815" s="214">
        <v>0</v>
      </c>
      <c r="V815" s="214">
        <v>0</v>
      </c>
      <c r="W815" s="214">
        <v>0</v>
      </c>
      <c r="X815" s="214">
        <v>0</v>
      </c>
      <c r="Y815" s="214">
        <v>0</v>
      </c>
      <c r="Z815" s="214">
        <v>0</v>
      </c>
      <c r="AA815" s="214">
        <v>0</v>
      </c>
      <c r="AB815" s="214">
        <v>0</v>
      </c>
      <c r="AC815" s="214">
        <v>0</v>
      </c>
      <c r="AD815" s="215"/>
      <c r="AE815" s="420">
        <v>0</v>
      </c>
      <c r="AF815" s="420">
        <v>0</v>
      </c>
      <c r="AG815" s="420">
        <v>0</v>
      </c>
      <c r="AH815" s="420"/>
      <c r="AI815" s="574">
        <f t="shared" si="19"/>
        <v>0</v>
      </c>
      <c r="AJ815" s="212"/>
    </row>
    <row r="816" spans="2:36" ht="14.4">
      <c r="B816" s="211"/>
      <c r="C816" s="213" t="s">
        <v>80</v>
      </c>
      <c r="D816" s="214">
        <v>0</v>
      </c>
      <c r="E816" s="214">
        <v>0</v>
      </c>
      <c r="F816" s="214">
        <v>0</v>
      </c>
      <c r="G816" s="214">
        <v>0</v>
      </c>
      <c r="H816" s="214">
        <v>0</v>
      </c>
      <c r="I816" s="214">
        <v>0</v>
      </c>
      <c r="J816" s="214">
        <v>0</v>
      </c>
      <c r="K816" s="214">
        <v>0</v>
      </c>
      <c r="L816" s="214">
        <v>0</v>
      </c>
      <c r="M816" s="214">
        <v>0</v>
      </c>
      <c r="N816" s="214">
        <v>0</v>
      </c>
      <c r="O816" s="214">
        <v>0</v>
      </c>
      <c r="P816" s="214">
        <v>0</v>
      </c>
      <c r="Q816" s="214">
        <v>0</v>
      </c>
      <c r="R816" s="214">
        <v>0</v>
      </c>
      <c r="S816" s="214">
        <v>0</v>
      </c>
      <c r="T816" s="214">
        <v>0</v>
      </c>
      <c r="U816" s="214">
        <v>0</v>
      </c>
      <c r="V816" s="214">
        <v>0</v>
      </c>
      <c r="W816" s="214">
        <v>0</v>
      </c>
      <c r="X816" s="214">
        <v>0</v>
      </c>
      <c r="Y816" s="214">
        <v>0</v>
      </c>
      <c r="Z816" s="214">
        <v>0</v>
      </c>
      <c r="AA816" s="214">
        <v>0</v>
      </c>
      <c r="AB816" s="214">
        <v>0</v>
      </c>
      <c r="AC816" s="214">
        <v>0</v>
      </c>
      <c r="AD816" s="215"/>
      <c r="AE816" s="420">
        <v>0</v>
      </c>
      <c r="AF816" s="420">
        <v>0</v>
      </c>
      <c r="AG816" s="420">
        <v>0</v>
      </c>
      <c r="AH816" s="420"/>
      <c r="AI816" s="574">
        <f t="shared" si="19"/>
        <v>0</v>
      </c>
      <c r="AJ816" s="212"/>
    </row>
    <row r="817" spans="2:36" ht="14.4">
      <c r="B817" s="211"/>
      <c r="C817" s="213" t="s">
        <v>81</v>
      </c>
      <c r="D817" s="214">
        <v>0</v>
      </c>
      <c r="E817" s="214">
        <v>0</v>
      </c>
      <c r="F817" s="214">
        <v>0</v>
      </c>
      <c r="G817" s="214">
        <v>0</v>
      </c>
      <c r="H817" s="214">
        <v>0</v>
      </c>
      <c r="I817" s="214">
        <v>0</v>
      </c>
      <c r="J817" s="214">
        <v>0</v>
      </c>
      <c r="K817" s="214">
        <v>0</v>
      </c>
      <c r="L817" s="214">
        <v>0</v>
      </c>
      <c r="M817" s="214">
        <v>0</v>
      </c>
      <c r="N817" s="214">
        <v>0</v>
      </c>
      <c r="O817" s="214">
        <v>0</v>
      </c>
      <c r="P817" s="214">
        <v>0</v>
      </c>
      <c r="Q817" s="214">
        <v>0</v>
      </c>
      <c r="R817" s="214">
        <v>0</v>
      </c>
      <c r="S817" s="214">
        <v>0</v>
      </c>
      <c r="T817" s="214">
        <v>0</v>
      </c>
      <c r="U817" s="214">
        <v>0</v>
      </c>
      <c r="V817" s="214">
        <v>0</v>
      </c>
      <c r="W817" s="214">
        <v>0</v>
      </c>
      <c r="X817" s="214">
        <v>0</v>
      </c>
      <c r="Y817" s="214">
        <v>0</v>
      </c>
      <c r="Z817" s="214">
        <v>0</v>
      </c>
      <c r="AA817" s="214">
        <v>0</v>
      </c>
      <c r="AB817" s="214">
        <v>0</v>
      </c>
      <c r="AC817" s="214">
        <v>0</v>
      </c>
      <c r="AD817" s="215"/>
      <c r="AE817" s="420">
        <v>0</v>
      </c>
      <c r="AF817" s="420">
        <v>0</v>
      </c>
      <c r="AG817" s="420">
        <v>0</v>
      </c>
      <c r="AH817" s="420"/>
      <c r="AI817" s="574">
        <f t="shared" si="19"/>
        <v>0</v>
      </c>
      <c r="AJ817" s="212"/>
    </row>
    <row r="818" spans="2:36" ht="14.4">
      <c r="B818" s="211"/>
      <c r="C818" s="213" t="s">
        <v>82</v>
      </c>
      <c r="D818" s="214">
        <v>0</v>
      </c>
      <c r="E818" s="214">
        <v>0</v>
      </c>
      <c r="F818" s="214">
        <v>0</v>
      </c>
      <c r="G818" s="214">
        <v>0</v>
      </c>
      <c r="H818" s="214">
        <v>0</v>
      </c>
      <c r="I818" s="214">
        <v>0</v>
      </c>
      <c r="J818" s="214">
        <v>0</v>
      </c>
      <c r="K818" s="214">
        <v>0</v>
      </c>
      <c r="L818" s="214">
        <v>0</v>
      </c>
      <c r="M818" s="214">
        <v>0</v>
      </c>
      <c r="N818" s="214">
        <v>0</v>
      </c>
      <c r="O818" s="214">
        <v>0</v>
      </c>
      <c r="P818" s="214">
        <v>0</v>
      </c>
      <c r="Q818" s="214">
        <v>0</v>
      </c>
      <c r="R818" s="214">
        <v>0</v>
      </c>
      <c r="S818" s="214">
        <v>0</v>
      </c>
      <c r="T818" s="214">
        <v>0</v>
      </c>
      <c r="U818" s="214">
        <v>0</v>
      </c>
      <c r="V818" s="214">
        <v>0</v>
      </c>
      <c r="W818" s="214">
        <v>0</v>
      </c>
      <c r="X818" s="214">
        <v>0</v>
      </c>
      <c r="Y818" s="214">
        <v>0</v>
      </c>
      <c r="Z818" s="214">
        <v>0</v>
      </c>
      <c r="AA818" s="214">
        <v>0</v>
      </c>
      <c r="AB818" s="214">
        <v>0</v>
      </c>
      <c r="AC818" s="214">
        <v>0</v>
      </c>
      <c r="AD818" s="215"/>
      <c r="AE818" s="420">
        <v>0</v>
      </c>
      <c r="AF818" s="420">
        <v>0</v>
      </c>
      <c r="AG818" s="420">
        <v>0</v>
      </c>
      <c r="AH818" s="420"/>
      <c r="AI818" s="574">
        <f t="shared" si="19"/>
        <v>0</v>
      </c>
      <c r="AJ818" s="212"/>
    </row>
    <row r="819" spans="2:36" ht="14.4">
      <c r="B819" s="211"/>
      <c r="C819" s="213" t="s">
        <v>83</v>
      </c>
      <c r="D819" s="214">
        <v>0</v>
      </c>
      <c r="E819" s="214">
        <v>0</v>
      </c>
      <c r="F819" s="214">
        <v>0</v>
      </c>
      <c r="G819" s="214">
        <v>0</v>
      </c>
      <c r="H819" s="214">
        <v>0</v>
      </c>
      <c r="I819" s="214">
        <v>0</v>
      </c>
      <c r="J819" s="214">
        <v>0</v>
      </c>
      <c r="K819" s="214">
        <v>0</v>
      </c>
      <c r="L819" s="214">
        <v>0</v>
      </c>
      <c r="M819" s="214">
        <v>0</v>
      </c>
      <c r="N819" s="214">
        <v>0</v>
      </c>
      <c r="O819" s="214">
        <v>0</v>
      </c>
      <c r="P819" s="214">
        <v>0</v>
      </c>
      <c r="Q819" s="214">
        <v>0</v>
      </c>
      <c r="R819" s="214">
        <v>0</v>
      </c>
      <c r="S819" s="214">
        <v>0</v>
      </c>
      <c r="T819" s="214">
        <v>0</v>
      </c>
      <c r="U819" s="214">
        <v>0</v>
      </c>
      <c r="V819" s="214">
        <v>0</v>
      </c>
      <c r="W819" s="214">
        <v>0</v>
      </c>
      <c r="X819" s="214">
        <v>0</v>
      </c>
      <c r="Y819" s="214">
        <v>0</v>
      </c>
      <c r="Z819" s="214">
        <v>0</v>
      </c>
      <c r="AA819" s="214">
        <v>0</v>
      </c>
      <c r="AB819" s="214">
        <v>0</v>
      </c>
      <c r="AC819" s="214">
        <v>0</v>
      </c>
      <c r="AD819" s="215"/>
      <c r="AE819" s="420">
        <v>0</v>
      </c>
      <c r="AF819" s="420">
        <v>0</v>
      </c>
      <c r="AG819" s="420">
        <v>0</v>
      </c>
      <c r="AH819" s="420"/>
      <c r="AI819" s="574">
        <f t="shared" si="19"/>
        <v>0</v>
      </c>
      <c r="AJ819" s="212"/>
    </row>
    <row r="820" spans="2:36" ht="14.4">
      <c r="B820" s="211"/>
      <c r="C820" s="213" t="s">
        <v>84</v>
      </c>
      <c r="D820" s="214">
        <v>0</v>
      </c>
      <c r="E820" s="214">
        <v>0</v>
      </c>
      <c r="F820" s="214">
        <v>0</v>
      </c>
      <c r="G820" s="214">
        <v>0</v>
      </c>
      <c r="H820" s="214">
        <v>0</v>
      </c>
      <c r="I820" s="214">
        <v>0</v>
      </c>
      <c r="J820" s="214">
        <v>0</v>
      </c>
      <c r="K820" s="214">
        <v>0</v>
      </c>
      <c r="L820" s="214">
        <v>0</v>
      </c>
      <c r="M820" s="214">
        <v>0</v>
      </c>
      <c r="N820" s="214">
        <v>0</v>
      </c>
      <c r="O820" s="214">
        <v>0</v>
      </c>
      <c r="P820" s="214">
        <v>0</v>
      </c>
      <c r="Q820" s="214">
        <v>0</v>
      </c>
      <c r="R820" s="214">
        <v>0</v>
      </c>
      <c r="S820" s="214">
        <v>0</v>
      </c>
      <c r="T820" s="214">
        <v>0</v>
      </c>
      <c r="U820" s="214">
        <v>0</v>
      </c>
      <c r="V820" s="214">
        <v>0</v>
      </c>
      <c r="W820" s="214">
        <v>0</v>
      </c>
      <c r="X820" s="214">
        <v>0</v>
      </c>
      <c r="Y820" s="214">
        <v>0</v>
      </c>
      <c r="Z820" s="214">
        <v>0</v>
      </c>
      <c r="AA820" s="214">
        <v>0</v>
      </c>
      <c r="AB820" s="214">
        <v>0</v>
      </c>
      <c r="AC820" s="214">
        <v>0</v>
      </c>
      <c r="AD820" s="215"/>
      <c r="AE820" s="420">
        <v>0</v>
      </c>
      <c r="AF820" s="420">
        <v>0</v>
      </c>
      <c r="AG820" s="420">
        <v>0</v>
      </c>
      <c r="AH820" s="420"/>
      <c r="AI820" s="574">
        <f t="shared" si="19"/>
        <v>0</v>
      </c>
      <c r="AJ820" s="212"/>
    </row>
    <row r="821" spans="2:36" ht="14.4">
      <c r="B821" s="211"/>
      <c r="C821" s="213" t="s">
        <v>85</v>
      </c>
      <c r="D821" s="214">
        <v>49605</v>
      </c>
      <c r="E821" s="214">
        <v>6320</v>
      </c>
      <c r="F821" s="214">
        <v>0</v>
      </c>
      <c r="G821" s="214">
        <v>0</v>
      </c>
      <c r="H821" s="214">
        <v>22841</v>
      </c>
      <c r="I821" s="214">
        <v>12000</v>
      </c>
      <c r="J821" s="214">
        <v>0</v>
      </c>
      <c r="K821" s="214">
        <v>0</v>
      </c>
      <c r="L821" s="214">
        <v>0</v>
      </c>
      <c r="M821" s="214">
        <v>0</v>
      </c>
      <c r="N821" s="214">
        <v>0</v>
      </c>
      <c r="O821" s="214">
        <v>0</v>
      </c>
      <c r="P821" s="214">
        <v>0</v>
      </c>
      <c r="Q821" s="214">
        <v>8880</v>
      </c>
      <c r="R821" s="214">
        <v>0</v>
      </c>
      <c r="S821" s="214">
        <v>0</v>
      </c>
      <c r="T821" s="214">
        <v>0</v>
      </c>
      <c r="U821" s="214">
        <v>0</v>
      </c>
      <c r="V821" s="214">
        <v>0</v>
      </c>
      <c r="W821" s="214">
        <v>0</v>
      </c>
      <c r="X821" s="214">
        <v>4000</v>
      </c>
      <c r="Y821" s="214">
        <v>0</v>
      </c>
      <c r="Z821" s="214">
        <v>0</v>
      </c>
      <c r="AA821" s="214">
        <v>0</v>
      </c>
      <c r="AB821" s="214">
        <v>0</v>
      </c>
      <c r="AC821" s="214">
        <v>0</v>
      </c>
      <c r="AD821" s="215"/>
      <c r="AE821" s="420">
        <v>1666</v>
      </c>
      <c r="AF821" s="420">
        <v>0</v>
      </c>
      <c r="AG821" s="420">
        <v>0</v>
      </c>
      <c r="AH821" s="420"/>
      <c r="AI821" s="574">
        <f t="shared" si="19"/>
        <v>105312</v>
      </c>
      <c r="AJ821" s="212"/>
    </row>
    <row r="822" spans="2:36" ht="14.4">
      <c r="B822" s="211"/>
      <c r="C822" s="213" t="s">
        <v>86</v>
      </c>
      <c r="D822" s="214">
        <v>0</v>
      </c>
      <c r="E822" s="214">
        <v>0</v>
      </c>
      <c r="F822" s="214">
        <v>0</v>
      </c>
      <c r="G822" s="214">
        <v>0</v>
      </c>
      <c r="H822" s="214">
        <v>0</v>
      </c>
      <c r="I822" s="214">
        <v>0</v>
      </c>
      <c r="J822" s="214">
        <v>0</v>
      </c>
      <c r="K822" s="214">
        <v>0</v>
      </c>
      <c r="L822" s="214">
        <v>0</v>
      </c>
      <c r="M822" s="214">
        <v>0</v>
      </c>
      <c r="N822" s="214">
        <v>0</v>
      </c>
      <c r="O822" s="214">
        <v>0</v>
      </c>
      <c r="P822" s="214">
        <v>0</v>
      </c>
      <c r="Q822" s="214">
        <v>0</v>
      </c>
      <c r="R822" s="214">
        <v>0</v>
      </c>
      <c r="S822" s="214">
        <v>0</v>
      </c>
      <c r="T822" s="214">
        <v>0</v>
      </c>
      <c r="U822" s="214">
        <v>0</v>
      </c>
      <c r="V822" s="214">
        <v>0</v>
      </c>
      <c r="W822" s="214">
        <v>0</v>
      </c>
      <c r="X822" s="214">
        <v>0</v>
      </c>
      <c r="Y822" s="214">
        <v>0</v>
      </c>
      <c r="Z822" s="214">
        <v>0</v>
      </c>
      <c r="AA822" s="214">
        <v>0</v>
      </c>
      <c r="AB822" s="214">
        <v>0</v>
      </c>
      <c r="AC822" s="214">
        <v>0</v>
      </c>
      <c r="AD822" s="215"/>
      <c r="AE822" s="420">
        <v>0</v>
      </c>
      <c r="AF822" s="420">
        <v>0</v>
      </c>
      <c r="AG822" s="420">
        <v>0</v>
      </c>
      <c r="AH822" s="420"/>
      <c r="AI822" s="574">
        <f t="shared" si="19"/>
        <v>0</v>
      </c>
      <c r="AJ822" s="212"/>
    </row>
    <row r="823" spans="2:36" ht="14.4">
      <c r="B823" s="211"/>
      <c r="C823" s="213" t="s">
        <v>87</v>
      </c>
      <c r="D823" s="214">
        <v>4500</v>
      </c>
      <c r="E823" s="214">
        <v>0</v>
      </c>
      <c r="F823" s="214">
        <v>0</v>
      </c>
      <c r="G823" s="214">
        <v>0</v>
      </c>
      <c r="H823" s="214">
        <v>2255</v>
      </c>
      <c r="I823" s="214">
        <v>440</v>
      </c>
      <c r="J823" s="214">
        <v>0</v>
      </c>
      <c r="K823" s="214">
        <v>0</v>
      </c>
      <c r="L823" s="214">
        <v>0</v>
      </c>
      <c r="M823" s="214">
        <v>0</v>
      </c>
      <c r="N823" s="214">
        <v>0</v>
      </c>
      <c r="O823" s="214">
        <v>0</v>
      </c>
      <c r="P823" s="214">
        <v>0</v>
      </c>
      <c r="Q823" s="214">
        <v>3832</v>
      </c>
      <c r="R823" s="214">
        <v>0</v>
      </c>
      <c r="S823" s="214">
        <v>0</v>
      </c>
      <c r="T823" s="214">
        <v>0</v>
      </c>
      <c r="U823" s="214">
        <v>0</v>
      </c>
      <c r="V823" s="214">
        <v>0</v>
      </c>
      <c r="W823" s="214">
        <v>0</v>
      </c>
      <c r="X823" s="214">
        <v>0</v>
      </c>
      <c r="Y823" s="214">
        <v>0</v>
      </c>
      <c r="Z823" s="214">
        <v>0</v>
      </c>
      <c r="AA823" s="214">
        <v>0</v>
      </c>
      <c r="AB823" s="214">
        <v>0</v>
      </c>
      <c r="AC823" s="214">
        <v>0</v>
      </c>
      <c r="AD823" s="215"/>
      <c r="AE823" s="420">
        <v>0</v>
      </c>
      <c r="AF823" s="420">
        <v>0</v>
      </c>
      <c r="AG823" s="420">
        <v>0</v>
      </c>
      <c r="AH823" s="420"/>
      <c r="AI823" s="574">
        <f t="shared" si="19"/>
        <v>11027</v>
      </c>
      <c r="AJ823" s="212"/>
    </row>
    <row r="824" spans="2:36" ht="14.4">
      <c r="B824" s="211"/>
      <c r="C824" s="213" t="s">
        <v>88</v>
      </c>
      <c r="D824" s="214">
        <v>0</v>
      </c>
      <c r="E824" s="214">
        <v>0</v>
      </c>
      <c r="F824" s="214">
        <v>0</v>
      </c>
      <c r="G824" s="214">
        <v>0</v>
      </c>
      <c r="H824" s="214">
        <v>0</v>
      </c>
      <c r="I824" s="214">
        <v>0</v>
      </c>
      <c r="J824" s="214">
        <v>0</v>
      </c>
      <c r="K824" s="214">
        <v>0</v>
      </c>
      <c r="L824" s="214">
        <v>0</v>
      </c>
      <c r="M824" s="214">
        <v>0</v>
      </c>
      <c r="N824" s="214">
        <v>0</v>
      </c>
      <c r="O824" s="214">
        <v>0</v>
      </c>
      <c r="P824" s="214">
        <v>0</v>
      </c>
      <c r="Q824" s="214">
        <v>0</v>
      </c>
      <c r="R824" s="214">
        <v>0</v>
      </c>
      <c r="S824" s="214">
        <v>0</v>
      </c>
      <c r="T824" s="214">
        <v>0</v>
      </c>
      <c r="U824" s="214">
        <v>0</v>
      </c>
      <c r="V824" s="214">
        <v>0</v>
      </c>
      <c r="W824" s="214">
        <v>0</v>
      </c>
      <c r="X824" s="214">
        <v>0</v>
      </c>
      <c r="Y824" s="214">
        <v>0</v>
      </c>
      <c r="Z824" s="214">
        <v>0</v>
      </c>
      <c r="AA824" s="214">
        <v>0</v>
      </c>
      <c r="AB824" s="214">
        <v>0</v>
      </c>
      <c r="AC824" s="214">
        <v>0</v>
      </c>
      <c r="AD824" s="215"/>
      <c r="AE824" s="420">
        <v>0</v>
      </c>
      <c r="AF824" s="420">
        <v>0</v>
      </c>
      <c r="AG824" s="420">
        <v>0</v>
      </c>
      <c r="AH824" s="420"/>
      <c r="AI824" s="574">
        <f t="shared" si="19"/>
        <v>0</v>
      </c>
      <c r="AJ824" s="212"/>
    </row>
    <row r="825" spans="2:36" ht="14.4">
      <c r="B825" s="211"/>
      <c r="C825" s="213" t="s">
        <v>89</v>
      </c>
      <c r="D825" s="214">
        <v>155565</v>
      </c>
      <c r="E825" s="214">
        <v>0</v>
      </c>
      <c r="F825" s="214">
        <v>0</v>
      </c>
      <c r="G825" s="214">
        <v>0</v>
      </c>
      <c r="H825" s="214">
        <v>0</v>
      </c>
      <c r="I825" s="214">
        <v>0</v>
      </c>
      <c r="J825" s="214">
        <v>0</v>
      </c>
      <c r="K825" s="214">
        <v>0</v>
      </c>
      <c r="L825" s="214">
        <v>0</v>
      </c>
      <c r="M825" s="214">
        <v>0</v>
      </c>
      <c r="N825" s="214">
        <v>0</v>
      </c>
      <c r="O825" s="214">
        <v>0</v>
      </c>
      <c r="P825" s="214">
        <v>0</v>
      </c>
      <c r="Q825" s="214">
        <v>0</v>
      </c>
      <c r="R825" s="214">
        <v>0</v>
      </c>
      <c r="S825" s="214">
        <v>0</v>
      </c>
      <c r="T825" s="214">
        <v>0</v>
      </c>
      <c r="U825" s="214">
        <v>0</v>
      </c>
      <c r="V825" s="214">
        <v>0</v>
      </c>
      <c r="W825" s="214">
        <v>0</v>
      </c>
      <c r="X825" s="214">
        <v>0</v>
      </c>
      <c r="Y825" s="214">
        <v>0</v>
      </c>
      <c r="Z825" s="214">
        <v>0</v>
      </c>
      <c r="AA825" s="214">
        <v>0</v>
      </c>
      <c r="AB825" s="214">
        <v>0</v>
      </c>
      <c r="AC825" s="214">
        <v>0</v>
      </c>
      <c r="AD825" s="215"/>
      <c r="AE825" s="420">
        <v>0</v>
      </c>
      <c r="AF825" s="420">
        <v>0</v>
      </c>
      <c r="AG825" s="420">
        <v>0</v>
      </c>
      <c r="AH825" s="420"/>
      <c r="AI825" s="574">
        <f t="shared" si="19"/>
        <v>155565</v>
      </c>
      <c r="AJ825" s="212"/>
    </row>
    <row r="826" spans="2:36" ht="14.4">
      <c r="B826" s="211"/>
      <c r="C826" s="213" t="s">
        <v>33</v>
      </c>
      <c r="D826" s="214">
        <v>979</v>
      </c>
      <c r="E826" s="214">
        <v>979</v>
      </c>
      <c r="F826" s="214">
        <v>979</v>
      </c>
      <c r="G826" s="214">
        <v>979</v>
      </c>
      <c r="H826" s="214">
        <v>979</v>
      </c>
      <c r="I826" s="214">
        <v>979</v>
      </c>
      <c r="J826" s="214">
        <v>979</v>
      </c>
      <c r="K826" s="214">
        <v>979</v>
      </c>
      <c r="L826" s="214">
        <v>979</v>
      </c>
      <c r="M826" s="214">
        <v>979</v>
      </c>
      <c r="N826" s="214">
        <v>979</v>
      </c>
      <c r="O826" s="214">
        <v>979</v>
      </c>
      <c r="P826" s="214">
        <v>979</v>
      </c>
      <c r="Q826" s="214">
        <v>979</v>
      </c>
      <c r="R826" s="214">
        <v>979</v>
      </c>
      <c r="S826" s="214">
        <v>979</v>
      </c>
      <c r="T826" s="214">
        <v>979</v>
      </c>
      <c r="U826" s="214">
        <v>979</v>
      </c>
      <c r="V826" s="214">
        <v>979</v>
      </c>
      <c r="W826" s="214">
        <v>979</v>
      </c>
      <c r="X826" s="214">
        <v>979</v>
      </c>
      <c r="Y826" s="214">
        <v>979</v>
      </c>
      <c r="Z826" s="214">
        <v>979</v>
      </c>
      <c r="AA826" s="214">
        <v>979</v>
      </c>
      <c r="AB826" s="214">
        <v>979</v>
      </c>
      <c r="AC826" s="214">
        <v>979</v>
      </c>
      <c r="AD826" s="215"/>
      <c r="AE826" s="420">
        <v>979</v>
      </c>
      <c r="AF826" s="420">
        <v>979</v>
      </c>
      <c r="AG826" s="420">
        <v>979</v>
      </c>
      <c r="AH826" s="420"/>
      <c r="AI826" s="574">
        <f t="shared" si="19"/>
        <v>28391</v>
      </c>
      <c r="AJ826" s="212"/>
    </row>
    <row r="827" spans="2:36" ht="14.4">
      <c r="B827" s="211"/>
      <c r="C827" s="213" t="s">
        <v>90</v>
      </c>
      <c r="D827" s="214">
        <v>0</v>
      </c>
      <c r="E827" s="214">
        <v>0</v>
      </c>
      <c r="F827" s="214">
        <v>0</v>
      </c>
      <c r="G827" s="214">
        <v>0</v>
      </c>
      <c r="H827" s="214">
        <v>0</v>
      </c>
      <c r="I827" s="214">
        <v>0</v>
      </c>
      <c r="J827" s="214">
        <v>0</v>
      </c>
      <c r="K827" s="214">
        <v>0</v>
      </c>
      <c r="L827" s="214">
        <v>0</v>
      </c>
      <c r="M827" s="214">
        <v>0</v>
      </c>
      <c r="N827" s="214">
        <v>0</v>
      </c>
      <c r="O827" s="214">
        <v>0</v>
      </c>
      <c r="P827" s="214">
        <v>0</v>
      </c>
      <c r="Q827" s="214">
        <v>0</v>
      </c>
      <c r="R827" s="214">
        <v>0</v>
      </c>
      <c r="S827" s="214">
        <v>0</v>
      </c>
      <c r="T827" s="214">
        <v>0</v>
      </c>
      <c r="U827" s="214">
        <v>0</v>
      </c>
      <c r="V827" s="214">
        <v>0</v>
      </c>
      <c r="W827" s="214">
        <v>0</v>
      </c>
      <c r="X827" s="214">
        <v>0</v>
      </c>
      <c r="Y827" s="214">
        <v>0</v>
      </c>
      <c r="Z827" s="214">
        <v>0</v>
      </c>
      <c r="AA827" s="214">
        <v>0</v>
      </c>
      <c r="AB827" s="214">
        <v>0</v>
      </c>
      <c r="AC827" s="214">
        <v>0</v>
      </c>
      <c r="AD827" s="215"/>
      <c r="AE827" s="420">
        <v>0</v>
      </c>
      <c r="AF827" s="420">
        <v>0</v>
      </c>
      <c r="AG827" s="420">
        <v>0</v>
      </c>
      <c r="AH827" s="420"/>
      <c r="AI827" s="574">
        <f t="shared" si="19"/>
        <v>0</v>
      </c>
      <c r="AJ827" s="212"/>
    </row>
    <row r="828" spans="2:36" ht="14.4">
      <c r="B828" s="211"/>
      <c r="C828" s="213" t="s">
        <v>91</v>
      </c>
      <c r="D828" s="214">
        <v>0</v>
      </c>
      <c r="E828" s="214">
        <v>0</v>
      </c>
      <c r="F828" s="214">
        <v>0</v>
      </c>
      <c r="G828" s="214">
        <v>0</v>
      </c>
      <c r="H828" s="214">
        <v>0</v>
      </c>
      <c r="I828" s="214">
        <v>0</v>
      </c>
      <c r="J828" s="214">
        <v>0</v>
      </c>
      <c r="K828" s="214">
        <v>0</v>
      </c>
      <c r="L828" s="214">
        <v>0</v>
      </c>
      <c r="M828" s="214">
        <v>0</v>
      </c>
      <c r="N828" s="214">
        <v>0</v>
      </c>
      <c r="O828" s="214">
        <v>0</v>
      </c>
      <c r="P828" s="214">
        <v>0</v>
      </c>
      <c r="Q828" s="214">
        <v>0</v>
      </c>
      <c r="R828" s="214">
        <v>0</v>
      </c>
      <c r="S828" s="214">
        <v>0</v>
      </c>
      <c r="T828" s="214">
        <v>0</v>
      </c>
      <c r="U828" s="214">
        <v>0</v>
      </c>
      <c r="V828" s="214">
        <v>0</v>
      </c>
      <c r="W828" s="214">
        <v>0</v>
      </c>
      <c r="X828" s="214">
        <v>0</v>
      </c>
      <c r="Y828" s="214">
        <v>0</v>
      </c>
      <c r="Z828" s="214">
        <v>0</v>
      </c>
      <c r="AA828" s="214">
        <v>0</v>
      </c>
      <c r="AB828" s="214">
        <v>0</v>
      </c>
      <c r="AC828" s="214">
        <v>0</v>
      </c>
      <c r="AD828" s="215"/>
      <c r="AE828" s="420">
        <v>0</v>
      </c>
      <c r="AF828" s="420">
        <v>0</v>
      </c>
      <c r="AG828" s="420">
        <v>0</v>
      </c>
      <c r="AH828" s="420"/>
      <c r="AI828" s="574">
        <f t="shared" ref="AI828:AI876" si="20">SUM(D828:AH828)</f>
        <v>0</v>
      </c>
      <c r="AJ828" s="212"/>
    </row>
    <row r="829" spans="2:36" ht="14.4">
      <c r="B829" s="211"/>
      <c r="C829" s="213" t="s">
        <v>92</v>
      </c>
      <c r="D829" s="214">
        <v>0</v>
      </c>
      <c r="E829" s="214">
        <v>0</v>
      </c>
      <c r="F829" s="214">
        <v>0</v>
      </c>
      <c r="G829" s="214">
        <v>0</v>
      </c>
      <c r="H829" s="214">
        <v>0</v>
      </c>
      <c r="I829" s="214">
        <v>0</v>
      </c>
      <c r="J829" s="214">
        <v>0</v>
      </c>
      <c r="K829" s="214">
        <v>0</v>
      </c>
      <c r="L829" s="214">
        <v>0</v>
      </c>
      <c r="M829" s="214">
        <v>0</v>
      </c>
      <c r="N829" s="214">
        <v>0</v>
      </c>
      <c r="O829" s="214">
        <v>0</v>
      </c>
      <c r="P829" s="214">
        <v>0</v>
      </c>
      <c r="Q829" s="214">
        <v>0</v>
      </c>
      <c r="R829" s="214">
        <v>0</v>
      </c>
      <c r="S829" s="214">
        <v>0</v>
      </c>
      <c r="T829" s="214">
        <v>0</v>
      </c>
      <c r="U829" s="214">
        <v>0</v>
      </c>
      <c r="V829" s="214">
        <v>0</v>
      </c>
      <c r="W829" s="214">
        <v>0</v>
      </c>
      <c r="X829" s="214">
        <v>0</v>
      </c>
      <c r="Y829" s="214">
        <v>0</v>
      </c>
      <c r="Z829" s="214">
        <v>0</v>
      </c>
      <c r="AA829" s="214">
        <v>0</v>
      </c>
      <c r="AB829" s="214">
        <v>0</v>
      </c>
      <c r="AC829" s="214">
        <v>0</v>
      </c>
      <c r="AD829" s="215"/>
      <c r="AE829" s="420">
        <v>0</v>
      </c>
      <c r="AF829" s="420">
        <v>0</v>
      </c>
      <c r="AG829" s="420">
        <v>0</v>
      </c>
      <c r="AH829" s="420"/>
      <c r="AI829" s="574">
        <f t="shared" si="20"/>
        <v>0</v>
      </c>
      <c r="AJ829" s="212"/>
    </row>
    <row r="830" spans="2:36" ht="14.4">
      <c r="B830" s="211"/>
      <c r="C830" s="213" t="s">
        <v>93</v>
      </c>
      <c r="D830" s="214">
        <v>0</v>
      </c>
      <c r="E830" s="214">
        <v>0</v>
      </c>
      <c r="F830" s="214">
        <v>0</v>
      </c>
      <c r="G830" s="214">
        <v>0</v>
      </c>
      <c r="H830" s="214">
        <v>0</v>
      </c>
      <c r="I830" s="214">
        <v>0</v>
      </c>
      <c r="J830" s="214">
        <v>0</v>
      </c>
      <c r="K830" s="214">
        <v>0</v>
      </c>
      <c r="L830" s="214">
        <v>0</v>
      </c>
      <c r="M830" s="214">
        <v>0</v>
      </c>
      <c r="N830" s="214">
        <v>0</v>
      </c>
      <c r="O830" s="214">
        <v>0</v>
      </c>
      <c r="P830" s="214">
        <v>0</v>
      </c>
      <c r="Q830" s="214">
        <v>0</v>
      </c>
      <c r="R830" s="214">
        <v>0</v>
      </c>
      <c r="S830" s="214">
        <v>0</v>
      </c>
      <c r="T830" s="214">
        <v>0</v>
      </c>
      <c r="U830" s="214">
        <v>0</v>
      </c>
      <c r="V830" s="214">
        <v>0</v>
      </c>
      <c r="W830" s="214">
        <v>0</v>
      </c>
      <c r="X830" s="214">
        <v>0</v>
      </c>
      <c r="Y830" s="214">
        <v>0</v>
      </c>
      <c r="Z830" s="214">
        <v>0</v>
      </c>
      <c r="AA830" s="214">
        <v>0</v>
      </c>
      <c r="AB830" s="214">
        <v>0</v>
      </c>
      <c r="AC830" s="214">
        <v>0</v>
      </c>
      <c r="AD830" s="215"/>
      <c r="AE830" s="420">
        <v>0</v>
      </c>
      <c r="AF830" s="420">
        <v>0</v>
      </c>
      <c r="AG830" s="420">
        <v>0</v>
      </c>
      <c r="AH830" s="420"/>
      <c r="AI830" s="574">
        <f t="shared" si="20"/>
        <v>0</v>
      </c>
      <c r="AJ830" s="212"/>
    </row>
    <row r="831" spans="2:36" ht="14.4">
      <c r="B831" s="211"/>
      <c r="C831" s="213" t="s">
        <v>94</v>
      </c>
      <c r="D831" s="214">
        <v>159735</v>
      </c>
      <c r="E831" s="214">
        <v>9225</v>
      </c>
      <c r="F831" s="214">
        <v>5500</v>
      </c>
      <c r="G831" s="214">
        <v>6000</v>
      </c>
      <c r="H831" s="214">
        <v>2600</v>
      </c>
      <c r="I831" s="214">
        <v>450</v>
      </c>
      <c r="J831" s="214">
        <v>0</v>
      </c>
      <c r="K831" s="214">
        <v>0</v>
      </c>
      <c r="L831" s="214">
        <v>0</v>
      </c>
      <c r="M831" s="214">
        <v>2000</v>
      </c>
      <c r="N831" s="214">
        <v>2800</v>
      </c>
      <c r="O831" s="214">
        <v>384</v>
      </c>
      <c r="P831" s="214">
        <v>3383</v>
      </c>
      <c r="Q831" s="214">
        <v>4630</v>
      </c>
      <c r="R831" s="214">
        <v>2200</v>
      </c>
      <c r="S831" s="214">
        <v>0</v>
      </c>
      <c r="T831" s="214">
        <v>0</v>
      </c>
      <c r="U831" s="214">
        <v>0</v>
      </c>
      <c r="V831" s="214">
        <v>0</v>
      </c>
      <c r="W831" s="214">
        <v>0</v>
      </c>
      <c r="X831" s="214">
        <v>0</v>
      </c>
      <c r="Y831" s="214">
        <v>0</v>
      </c>
      <c r="Z831" s="214">
        <v>0</v>
      </c>
      <c r="AA831" s="214">
        <v>110</v>
      </c>
      <c r="AB831" s="214">
        <v>0</v>
      </c>
      <c r="AC831" s="214">
        <v>0</v>
      </c>
      <c r="AD831" s="215"/>
      <c r="AE831" s="420">
        <v>3384</v>
      </c>
      <c r="AF831" s="420">
        <v>0</v>
      </c>
      <c r="AG831" s="420">
        <v>0</v>
      </c>
      <c r="AH831" s="420"/>
      <c r="AI831" s="574">
        <f t="shared" si="20"/>
        <v>202401</v>
      </c>
      <c r="AJ831" s="212"/>
    </row>
    <row r="832" spans="2:36" ht="14.4">
      <c r="B832" s="211"/>
      <c r="C832" s="213" t="s">
        <v>95</v>
      </c>
      <c r="D832" s="214">
        <v>0</v>
      </c>
      <c r="E832" s="214">
        <v>0</v>
      </c>
      <c r="F832" s="214">
        <v>0</v>
      </c>
      <c r="G832" s="214">
        <v>1396</v>
      </c>
      <c r="H832" s="214">
        <v>5193</v>
      </c>
      <c r="I832" s="214">
        <v>0</v>
      </c>
      <c r="J832" s="214">
        <v>0</v>
      </c>
      <c r="K832" s="214">
        <v>0</v>
      </c>
      <c r="L832" s="214">
        <v>0</v>
      </c>
      <c r="M832" s="214">
        <v>0</v>
      </c>
      <c r="N832" s="214">
        <v>0</v>
      </c>
      <c r="O832" s="214">
        <v>0</v>
      </c>
      <c r="P832" s="214">
        <v>0</v>
      </c>
      <c r="Q832" s="214">
        <v>1396.5</v>
      </c>
      <c r="R832" s="214">
        <v>1165</v>
      </c>
      <c r="S832" s="214">
        <v>2793</v>
      </c>
      <c r="T832" s="214">
        <v>1000</v>
      </c>
      <c r="U832" s="214">
        <v>0</v>
      </c>
      <c r="V832" s="214">
        <v>0</v>
      </c>
      <c r="W832" s="214">
        <v>0</v>
      </c>
      <c r="X832" s="214">
        <v>0</v>
      </c>
      <c r="Y832" s="214">
        <v>0</v>
      </c>
      <c r="Z832" s="214">
        <v>0</v>
      </c>
      <c r="AA832" s="214">
        <v>0</v>
      </c>
      <c r="AB832" s="214">
        <v>0</v>
      </c>
      <c r="AC832" s="214">
        <v>0</v>
      </c>
      <c r="AD832" s="215"/>
      <c r="AE832" s="420">
        <v>0</v>
      </c>
      <c r="AF832" s="420">
        <v>0</v>
      </c>
      <c r="AG832" s="420">
        <v>0</v>
      </c>
      <c r="AH832" s="420"/>
      <c r="AI832" s="574">
        <f t="shared" si="20"/>
        <v>12943.5</v>
      </c>
      <c r="AJ832" s="212"/>
    </row>
    <row r="833" spans="2:36" ht="14.4">
      <c r="B833" s="211"/>
      <c r="C833" s="213" t="s">
        <v>96</v>
      </c>
      <c r="D833" s="214">
        <v>668</v>
      </c>
      <c r="E833" s="214">
        <v>668</v>
      </c>
      <c r="F833" s="214">
        <v>668</v>
      </c>
      <c r="G833" s="214">
        <v>668</v>
      </c>
      <c r="H833" s="214">
        <v>668</v>
      </c>
      <c r="I833" s="214">
        <v>668</v>
      </c>
      <c r="J833" s="214">
        <v>668</v>
      </c>
      <c r="K833" s="214">
        <v>688</v>
      </c>
      <c r="L833" s="214">
        <v>668</v>
      </c>
      <c r="M833" s="214">
        <v>668</v>
      </c>
      <c r="N833" s="214">
        <v>668</v>
      </c>
      <c r="O833" s="214">
        <v>668</v>
      </c>
      <c r="P833" s="214">
        <v>668</v>
      </c>
      <c r="Q833" s="214">
        <v>668</v>
      </c>
      <c r="R833" s="214">
        <v>668</v>
      </c>
      <c r="S833" s="214">
        <v>668</v>
      </c>
      <c r="T833" s="214">
        <v>668</v>
      </c>
      <c r="U833" s="214">
        <v>668</v>
      </c>
      <c r="V833" s="214">
        <v>668</v>
      </c>
      <c r="W833" s="214">
        <v>668</v>
      </c>
      <c r="X833" s="214">
        <v>668</v>
      </c>
      <c r="Y833" s="214">
        <v>668</v>
      </c>
      <c r="Z833" s="214">
        <v>668</v>
      </c>
      <c r="AA833" s="214">
        <v>668</v>
      </c>
      <c r="AB833" s="214">
        <v>668</v>
      </c>
      <c r="AC833" s="214">
        <v>668</v>
      </c>
      <c r="AD833" s="215"/>
      <c r="AE833" s="420">
        <v>668</v>
      </c>
      <c r="AF833" s="420">
        <v>668</v>
      </c>
      <c r="AG833" s="420">
        <v>668</v>
      </c>
      <c r="AH833" s="420"/>
      <c r="AI833" s="574">
        <f t="shared" si="20"/>
        <v>19392</v>
      </c>
      <c r="AJ833" s="212"/>
    </row>
    <row r="834" spans="2:36" ht="14.4">
      <c r="B834" s="211"/>
      <c r="C834" s="213" t="s">
        <v>97</v>
      </c>
      <c r="D834" s="214">
        <v>4476.2700000000004</v>
      </c>
      <c r="E834" s="214">
        <v>0</v>
      </c>
      <c r="F834" s="214">
        <v>0</v>
      </c>
      <c r="G834" s="214">
        <v>0</v>
      </c>
      <c r="H834" s="214">
        <v>823.96</v>
      </c>
      <c r="I834" s="214">
        <v>401.17</v>
      </c>
      <c r="J834" s="214">
        <v>0</v>
      </c>
      <c r="K834" s="214">
        <v>400.96</v>
      </c>
      <c r="L834" s="214">
        <v>0</v>
      </c>
      <c r="M834" s="214">
        <v>400.96</v>
      </c>
      <c r="N834" s="214">
        <v>400.96</v>
      </c>
      <c r="O834" s="214">
        <v>0</v>
      </c>
      <c r="P834" s="214">
        <v>423</v>
      </c>
      <c r="Q834" s="214">
        <v>801.93</v>
      </c>
      <c r="R834" s="214">
        <v>400.96</v>
      </c>
      <c r="S834" s="214">
        <v>823.96</v>
      </c>
      <c r="T834" s="214">
        <v>0</v>
      </c>
      <c r="U834" s="214">
        <v>1125.7</v>
      </c>
      <c r="V834" s="214">
        <v>310</v>
      </c>
      <c r="W834" s="214">
        <v>310</v>
      </c>
      <c r="X834" s="214">
        <v>780.96</v>
      </c>
      <c r="Y834" s="214">
        <v>380</v>
      </c>
      <c r="Z834" s="214">
        <v>310</v>
      </c>
      <c r="AA834" s="214">
        <v>400.96</v>
      </c>
      <c r="AB834" s="214">
        <v>0</v>
      </c>
      <c r="AC834" s="214">
        <v>0</v>
      </c>
      <c r="AD834" s="215"/>
      <c r="AE834" s="420">
        <v>400</v>
      </c>
      <c r="AF834" s="420">
        <v>0</v>
      </c>
      <c r="AG834" s="420">
        <v>310</v>
      </c>
      <c r="AH834" s="420"/>
      <c r="AI834" s="574">
        <f t="shared" si="20"/>
        <v>13681.75</v>
      </c>
      <c r="AJ834" s="212"/>
    </row>
    <row r="835" spans="2:36" ht="14.4">
      <c r="B835" s="211"/>
      <c r="C835" s="213" t="s">
        <v>192</v>
      </c>
      <c r="D835" s="214">
        <v>3000</v>
      </c>
      <c r="E835" s="214">
        <v>0</v>
      </c>
      <c r="F835" s="214">
        <v>0</v>
      </c>
      <c r="G835" s="214">
        <v>0</v>
      </c>
      <c r="H835" s="214">
        <v>0</v>
      </c>
      <c r="I835" s="214">
        <v>0</v>
      </c>
      <c r="J835" s="214">
        <v>0</v>
      </c>
      <c r="K835" s="214">
        <v>0</v>
      </c>
      <c r="L835" s="214">
        <v>0</v>
      </c>
      <c r="M835" s="214">
        <v>0</v>
      </c>
      <c r="N835" s="214">
        <v>0</v>
      </c>
      <c r="O835" s="214">
        <v>0</v>
      </c>
      <c r="P835" s="214">
        <v>0</v>
      </c>
      <c r="Q835" s="214">
        <v>0</v>
      </c>
      <c r="R835" s="214">
        <v>0</v>
      </c>
      <c r="S835" s="214">
        <v>0</v>
      </c>
      <c r="T835" s="214">
        <v>0</v>
      </c>
      <c r="U835" s="214">
        <v>0</v>
      </c>
      <c r="V835" s="214">
        <v>0</v>
      </c>
      <c r="W835" s="214">
        <v>0</v>
      </c>
      <c r="X835" s="214">
        <v>0</v>
      </c>
      <c r="Y835" s="214">
        <v>0</v>
      </c>
      <c r="Z835" s="214">
        <v>0</v>
      </c>
      <c r="AA835" s="214">
        <v>0</v>
      </c>
      <c r="AB835" s="214">
        <v>0</v>
      </c>
      <c r="AC835" s="214">
        <v>0</v>
      </c>
      <c r="AD835" s="215"/>
      <c r="AE835" s="420">
        <v>0</v>
      </c>
      <c r="AF835" s="420">
        <v>0</v>
      </c>
      <c r="AG835" s="420">
        <v>0</v>
      </c>
      <c r="AH835" s="420"/>
      <c r="AI835" s="574">
        <f t="shared" si="20"/>
        <v>3000</v>
      </c>
      <c r="AJ835" s="212"/>
    </row>
    <row r="836" spans="2:36" ht="14.4">
      <c r="B836" s="211"/>
      <c r="C836" s="213" t="s">
        <v>98</v>
      </c>
      <c r="D836" s="214">
        <v>0</v>
      </c>
      <c r="E836" s="214">
        <v>0</v>
      </c>
      <c r="F836" s="214">
        <v>0</v>
      </c>
      <c r="G836" s="214">
        <v>0</v>
      </c>
      <c r="H836" s="214">
        <v>0</v>
      </c>
      <c r="I836" s="214">
        <v>0</v>
      </c>
      <c r="J836" s="214">
        <v>0</v>
      </c>
      <c r="K836" s="214">
        <v>0</v>
      </c>
      <c r="L836" s="214">
        <v>0</v>
      </c>
      <c r="M836" s="214">
        <v>0</v>
      </c>
      <c r="N836" s="214">
        <v>0</v>
      </c>
      <c r="O836" s="214">
        <v>0</v>
      </c>
      <c r="P836" s="214">
        <v>0</v>
      </c>
      <c r="Q836" s="214">
        <v>0</v>
      </c>
      <c r="R836" s="214">
        <v>0</v>
      </c>
      <c r="S836" s="214">
        <v>0</v>
      </c>
      <c r="T836" s="214">
        <v>0</v>
      </c>
      <c r="U836" s="214">
        <v>0</v>
      </c>
      <c r="V836" s="214">
        <v>0</v>
      </c>
      <c r="W836" s="214">
        <v>0</v>
      </c>
      <c r="X836" s="214">
        <v>0</v>
      </c>
      <c r="Y836" s="214">
        <v>0</v>
      </c>
      <c r="Z836" s="214">
        <v>0</v>
      </c>
      <c r="AA836" s="214">
        <v>0</v>
      </c>
      <c r="AB836" s="214">
        <v>0</v>
      </c>
      <c r="AC836" s="214">
        <v>0</v>
      </c>
      <c r="AD836" s="215"/>
      <c r="AE836" s="420">
        <v>0</v>
      </c>
      <c r="AF836" s="420">
        <v>0</v>
      </c>
      <c r="AG836" s="420">
        <v>0</v>
      </c>
      <c r="AH836" s="420"/>
      <c r="AI836" s="574">
        <f t="shared" si="20"/>
        <v>0</v>
      </c>
      <c r="AJ836" s="212"/>
    </row>
    <row r="837" spans="2:36" ht="14.4">
      <c r="B837" s="211"/>
      <c r="C837" s="213" t="s">
        <v>99</v>
      </c>
      <c r="D837" s="214">
        <v>6433.05</v>
      </c>
      <c r="E837" s="214">
        <v>0</v>
      </c>
      <c r="F837" s="214">
        <v>0</v>
      </c>
      <c r="G837" s="214">
        <v>0</v>
      </c>
      <c r="H837" s="214">
        <v>0</v>
      </c>
      <c r="I837" s="214">
        <v>0</v>
      </c>
      <c r="J837" s="214">
        <v>0</v>
      </c>
      <c r="K837" s="214">
        <v>0</v>
      </c>
      <c r="L837" s="214">
        <v>73.33</v>
      </c>
      <c r="M837" s="214">
        <v>0</v>
      </c>
      <c r="N837" s="214">
        <v>0</v>
      </c>
      <c r="O837" s="214">
        <v>0</v>
      </c>
      <c r="P837" s="214">
        <v>0</v>
      </c>
      <c r="Q837" s="214">
        <v>0</v>
      </c>
      <c r="R837" s="214">
        <v>0</v>
      </c>
      <c r="S837" s="214">
        <v>0</v>
      </c>
      <c r="T837" s="214">
        <v>0</v>
      </c>
      <c r="U837" s="214">
        <v>0</v>
      </c>
      <c r="V837" s="214">
        <v>0</v>
      </c>
      <c r="W837" s="214">
        <v>0</v>
      </c>
      <c r="X837" s="214">
        <v>0</v>
      </c>
      <c r="Y837" s="214">
        <v>0</v>
      </c>
      <c r="Z837" s="214">
        <v>0</v>
      </c>
      <c r="AA837" s="214">
        <v>0</v>
      </c>
      <c r="AB837" s="214">
        <v>0</v>
      </c>
      <c r="AC837" s="214">
        <v>0</v>
      </c>
      <c r="AD837" s="215"/>
      <c r="AE837" s="420">
        <v>0</v>
      </c>
      <c r="AF837" s="420">
        <v>0</v>
      </c>
      <c r="AG837" s="420">
        <v>0</v>
      </c>
      <c r="AH837" s="420"/>
      <c r="AI837" s="574">
        <f t="shared" si="20"/>
        <v>6506.38</v>
      </c>
      <c r="AJ837" s="212"/>
    </row>
    <row r="838" spans="2:36" ht="14.4">
      <c r="B838" s="211"/>
      <c r="C838" s="213" t="s">
        <v>100</v>
      </c>
      <c r="D838" s="214">
        <v>1610.47</v>
      </c>
      <c r="E838" s="214">
        <v>103.08</v>
      </c>
      <c r="F838" s="214">
        <v>0</v>
      </c>
      <c r="G838" s="214">
        <v>11.91</v>
      </c>
      <c r="H838" s="214">
        <v>0</v>
      </c>
      <c r="I838" s="214">
        <v>0</v>
      </c>
      <c r="J838" s="214">
        <v>0</v>
      </c>
      <c r="K838" s="214">
        <v>0</v>
      </c>
      <c r="L838" s="214">
        <v>0</v>
      </c>
      <c r="M838" s="214">
        <v>0</v>
      </c>
      <c r="N838" s="214">
        <v>0</v>
      </c>
      <c r="O838" s="214">
        <v>56.16</v>
      </c>
      <c r="P838" s="214">
        <v>0</v>
      </c>
      <c r="Q838" s="214">
        <v>23.33</v>
      </c>
      <c r="R838" s="214">
        <v>0</v>
      </c>
      <c r="S838" s="214">
        <v>0</v>
      </c>
      <c r="T838" s="214">
        <v>43.17</v>
      </c>
      <c r="U838" s="214">
        <v>0</v>
      </c>
      <c r="V838" s="214">
        <v>0</v>
      </c>
      <c r="W838" s="214">
        <v>0</v>
      </c>
      <c r="X838" s="214">
        <v>0</v>
      </c>
      <c r="Y838" s="214">
        <v>0</v>
      </c>
      <c r="Z838" s="214">
        <v>168.33</v>
      </c>
      <c r="AA838" s="214">
        <v>176.5</v>
      </c>
      <c r="AB838" s="214">
        <v>0</v>
      </c>
      <c r="AC838" s="214">
        <v>0</v>
      </c>
      <c r="AD838" s="215"/>
      <c r="AE838" s="420">
        <v>143.34</v>
      </c>
      <c r="AF838" s="420">
        <v>0</v>
      </c>
      <c r="AG838" s="420">
        <v>0</v>
      </c>
      <c r="AH838" s="420"/>
      <c r="AI838" s="574">
        <f t="shared" si="20"/>
        <v>2336.29</v>
      </c>
      <c r="AJ838" s="212"/>
    </row>
    <row r="839" spans="2:36" ht="14.4">
      <c r="B839" s="211"/>
      <c r="C839" s="213" t="s">
        <v>101</v>
      </c>
      <c r="D839" s="214">
        <v>112.5</v>
      </c>
      <c r="E839" s="214">
        <v>1065.6600000000001</v>
      </c>
      <c r="F839" s="214">
        <v>397.33</v>
      </c>
      <c r="G839" s="214">
        <v>0</v>
      </c>
      <c r="H839" s="214">
        <v>457.42</v>
      </c>
      <c r="I839" s="214">
        <v>0</v>
      </c>
      <c r="J839" s="214">
        <v>0</v>
      </c>
      <c r="K839" s="214">
        <v>0</v>
      </c>
      <c r="L839" s="214">
        <v>0</v>
      </c>
      <c r="M839" s="214">
        <v>0</v>
      </c>
      <c r="N839" s="214">
        <v>0</v>
      </c>
      <c r="O839" s="214">
        <v>0</v>
      </c>
      <c r="P839" s="214">
        <v>0</v>
      </c>
      <c r="Q839" s="214">
        <v>1404.17</v>
      </c>
      <c r="R839" s="214">
        <v>0</v>
      </c>
      <c r="S839" s="214">
        <v>0</v>
      </c>
      <c r="T839" s="214">
        <v>0</v>
      </c>
      <c r="U839" s="214">
        <v>0</v>
      </c>
      <c r="V839" s="214">
        <v>0</v>
      </c>
      <c r="W839" s="214">
        <v>0</v>
      </c>
      <c r="X839" s="214">
        <v>103.5</v>
      </c>
      <c r="Y839" s="214">
        <v>0</v>
      </c>
      <c r="Z839" s="214">
        <v>0</v>
      </c>
      <c r="AA839" s="214">
        <v>0</v>
      </c>
      <c r="AB839" s="214">
        <v>0</v>
      </c>
      <c r="AC839" s="214">
        <v>0</v>
      </c>
      <c r="AD839" s="215"/>
      <c r="AE839" s="420">
        <v>0</v>
      </c>
      <c r="AF839" s="420">
        <v>0</v>
      </c>
      <c r="AG839" s="420">
        <v>0</v>
      </c>
      <c r="AH839" s="420"/>
      <c r="AI839" s="574">
        <f t="shared" si="20"/>
        <v>3540.58</v>
      </c>
      <c r="AJ839" s="212"/>
    </row>
    <row r="840" spans="2:36" ht="14.4">
      <c r="B840" s="211"/>
      <c r="C840" s="213" t="s">
        <v>102</v>
      </c>
      <c r="D840" s="214">
        <v>21345.85</v>
      </c>
      <c r="E840" s="214">
        <v>759.2</v>
      </c>
      <c r="F840" s="214">
        <v>1714.88</v>
      </c>
      <c r="G840" s="214">
        <v>664.6</v>
      </c>
      <c r="H840" s="214">
        <v>1865.74</v>
      </c>
      <c r="I840" s="214">
        <v>667.77</v>
      </c>
      <c r="J840" s="214">
        <v>198.48</v>
      </c>
      <c r="K840" s="214">
        <v>455.09</v>
      </c>
      <c r="L840" s="214">
        <v>337.39</v>
      </c>
      <c r="M840" s="214">
        <v>1557.25</v>
      </c>
      <c r="N840" s="214">
        <v>622.67999999999995</v>
      </c>
      <c r="O840" s="214">
        <v>2325.88</v>
      </c>
      <c r="P840" s="214">
        <v>1633.4</v>
      </c>
      <c r="Q840" s="214">
        <v>1560.52</v>
      </c>
      <c r="R840" s="214">
        <v>0</v>
      </c>
      <c r="S840" s="214">
        <v>473.18</v>
      </c>
      <c r="T840" s="214">
        <v>75.33</v>
      </c>
      <c r="U840" s="214">
        <v>0</v>
      </c>
      <c r="V840" s="214">
        <v>123.15</v>
      </c>
      <c r="W840" s="214">
        <v>0</v>
      </c>
      <c r="X840" s="214">
        <v>0.53</v>
      </c>
      <c r="Y840" s="214">
        <v>52.32</v>
      </c>
      <c r="Z840" s="214">
        <v>39.75</v>
      </c>
      <c r="AA840" s="214">
        <v>168.76</v>
      </c>
      <c r="AB840" s="214">
        <v>457.9</v>
      </c>
      <c r="AC840" s="214">
        <v>399.77</v>
      </c>
      <c r="AD840" s="215"/>
      <c r="AE840" s="420">
        <v>3789.58</v>
      </c>
      <c r="AF840" s="420">
        <v>2029.56</v>
      </c>
      <c r="AG840" s="420">
        <v>2465.08</v>
      </c>
      <c r="AH840" s="420"/>
      <c r="AI840" s="574">
        <f t="shared" si="20"/>
        <v>45783.64</v>
      </c>
      <c r="AJ840" s="212"/>
    </row>
    <row r="841" spans="2:36" ht="14.4">
      <c r="B841" s="211"/>
      <c r="C841" s="213" t="s">
        <v>103</v>
      </c>
      <c r="D841" s="214">
        <v>3301.12</v>
      </c>
      <c r="E841" s="214">
        <v>98.57</v>
      </c>
      <c r="F841" s="214">
        <v>106.41</v>
      </c>
      <c r="G841" s="214">
        <v>85.22</v>
      </c>
      <c r="H841" s="214">
        <v>217.87</v>
      </c>
      <c r="I841" s="214">
        <v>53.44</v>
      </c>
      <c r="J841" s="214">
        <v>53.44</v>
      </c>
      <c r="K841" s="214">
        <v>53.44</v>
      </c>
      <c r="L841" s="214">
        <v>53.44</v>
      </c>
      <c r="M841" s="214">
        <v>0</v>
      </c>
      <c r="N841" s="214">
        <v>53.44</v>
      </c>
      <c r="O841" s="214">
        <v>147.82</v>
      </c>
      <c r="P841" s="214">
        <v>98.65</v>
      </c>
      <c r="Q841" s="214">
        <v>53.44</v>
      </c>
      <c r="R841" s="214">
        <v>79.5</v>
      </c>
      <c r="S841" s="214">
        <v>98.57</v>
      </c>
      <c r="T841" s="214">
        <v>53.44</v>
      </c>
      <c r="U841" s="214">
        <v>53.44</v>
      </c>
      <c r="V841" s="214">
        <v>53.44</v>
      </c>
      <c r="W841" s="214">
        <v>53.44</v>
      </c>
      <c r="X841" s="214">
        <v>53.44</v>
      </c>
      <c r="Y841" s="214">
        <v>53.44</v>
      </c>
      <c r="Z841" s="214">
        <v>115.18</v>
      </c>
      <c r="AA841" s="214">
        <v>331.54</v>
      </c>
      <c r="AB841" s="214">
        <v>0</v>
      </c>
      <c r="AC841" s="214">
        <v>0</v>
      </c>
      <c r="AD841" s="215"/>
      <c r="AE841" s="420">
        <v>1402.26</v>
      </c>
      <c r="AF841" s="420">
        <v>0</v>
      </c>
      <c r="AG841" s="420">
        <v>90.26</v>
      </c>
      <c r="AH841" s="420"/>
      <c r="AI841" s="574">
        <f t="shared" si="20"/>
        <v>6814.2499999999973</v>
      </c>
      <c r="AJ841" s="212"/>
    </row>
    <row r="842" spans="2:36" ht="14.4">
      <c r="B842" s="211"/>
      <c r="C842" s="213" t="s">
        <v>104</v>
      </c>
      <c r="D842" s="214">
        <v>5157.38</v>
      </c>
      <c r="E842" s="214">
        <v>395</v>
      </c>
      <c r="F842" s="214">
        <v>164.37</v>
      </c>
      <c r="G842" s="214">
        <v>320.52999999999997</v>
      </c>
      <c r="H842" s="214">
        <v>888.82</v>
      </c>
      <c r="I842" s="214">
        <v>107.34</v>
      </c>
      <c r="J842" s="214">
        <v>147.91999999999999</v>
      </c>
      <c r="K842" s="214">
        <v>0</v>
      </c>
      <c r="L842" s="214">
        <v>0</v>
      </c>
      <c r="M842" s="214">
        <v>417.72</v>
      </c>
      <c r="N842" s="214">
        <v>107.34</v>
      </c>
      <c r="O842" s="214">
        <v>297.14</v>
      </c>
      <c r="P842" s="214">
        <v>825.03</v>
      </c>
      <c r="Q842" s="214">
        <v>274.49</v>
      </c>
      <c r="R842" s="214">
        <v>843.3</v>
      </c>
      <c r="S842" s="214">
        <v>121.51</v>
      </c>
      <c r="T842" s="214">
        <v>227.5</v>
      </c>
      <c r="U842" s="214">
        <v>275.83</v>
      </c>
      <c r="V842" s="214">
        <v>44.58</v>
      </c>
      <c r="W842" s="214">
        <v>45.83</v>
      </c>
      <c r="X842" s="214">
        <v>85.83</v>
      </c>
      <c r="Y842" s="214">
        <v>52.92</v>
      </c>
      <c r="Z842" s="214">
        <v>59.18</v>
      </c>
      <c r="AA842" s="214">
        <v>112.5</v>
      </c>
      <c r="AB842" s="214">
        <v>110.42</v>
      </c>
      <c r="AC842" s="214">
        <v>244.38</v>
      </c>
      <c r="AD842" s="215"/>
      <c r="AE842" s="420">
        <v>573.57000000000005</v>
      </c>
      <c r="AF842" s="420">
        <v>302.44</v>
      </c>
      <c r="AG842" s="420">
        <v>318.27</v>
      </c>
      <c r="AH842" s="420"/>
      <c r="AI842" s="574">
        <f t="shared" si="20"/>
        <v>12521.14</v>
      </c>
      <c r="AJ842" s="212"/>
    </row>
    <row r="843" spans="2:36" ht="14.4">
      <c r="B843" s="211"/>
      <c r="C843" s="213" t="s">
        <v>105</v>
      </c>
      <c r="D843" s="214">
        <v>1007.92</v>
      </c>
      <c r="E843" s="214">
        <v>9026.67</v>
      </c>
      <c r="F843" s="214">
        <v>0</v>
      </c>
      <c r="G843" s="214">
        <v>0</v>
      </c>
      <c r="H843" s="214">
        <v>0</v>
      </c>
      <c r="I843" s="214">
        <v>87.25</v>
      </c>
      <c r="J843" s="214">
        <v>0</v>
      </c>
      <c r="K843" s="214">
        <v>33.75</v>
      </c>
      <c r="L843" s="214">
        <v>0</v>
      </c>
      <c r="M843" s="214">
        <v>1500</v>
      </c>
      <c r="N843" s="214">
        <v>0</v>
      </c>
      <c r="O843" s="214">
        <v>276.99</v>
      </c>
      <c r="P843" s="214">
        <v>56.25</v>
      </c>
      <c r="Q843" s="214">
        <v>5393.6</v>
      </c>
      <c r="R843" s="214">
        <v>851.16</v>
      </c>
      <c r="S843" s="214">
        <v>1004.92</v>
      </c>
      <c r="T843" s="214">
        <v>0</v>
      </c>
      <c r="U843" s="214">
        <v>570.41999999999996</v>
      </c>
      <c r="V843" s="214">
        <v>6</v>
      </c>
      <c r="W843" s="214">
        <v>17.3</v>
      </c>
      <c r="X843" s="214">
        <v>14.67</v>
      </c>
      <c r="Y843" s="214">
        <v>918.67</v>
      </c>
      <c r="Z843" s="214">
        <v>15</v>
      </c>
      <c r="AA843" s="214">
        <v>12.5</v>
      </c>
      <c r="AB843" s="214">
        <v>225.58</v>
      </c>
      <c r="AC843" s="214">
        <v>59.33</v>
      </c>
      <c r="AD843" s="215"/>
      <c r="AE843" s="420">
        <v>1072.1199999999999</v>
      </c>
      <c r="AF843" s="420">
        <v>340.15</v>
      </c>
      <c r="AG843" s="420">
        <v>515.15</v>
      </c>
      <c r="AH843" s="420"/>
      <c r="AI843" s="574">
        <f t="shared" si="20"/>
        <v>23005.399999999998</v>
      </c>
      <c r="AJ843" s="212"/>
    </row>
    <row r="844" spans="2:36" ht="14.4">
      <c r="B844" s="211"/>
      <c r="C844" s="213" t="s">
        <v>106</v>
      </c>
      <c r="D844" s="214">
        <v>0</v>
      </c>
      <c r="E844" s="214">
        <v>0</v>
      </c>
      <c r="F844" s="214">
        <v>0</v>
      </c>
      <c r="G844" s="214">
        <v>0</v>
      </c>
      <c r="H844" s="214">
        <v>0</v>
      </c>
      <c r="I844" s="214">
        <v>0</v>
      </c>
      <c r="J844" s="214">
        <v>0</v>
      </c>
      <c r="K844" s="214">
        <v>0</v>
      </c>
      <c r="L844" s="214">
        <v>0</v>
      </c>
      <c r="M844" s="214">
        <v>0</v>
      </c>
      <c r="N844" s="214">
        <v>0</v>
      </c>
      <c r="O844" s="214">
        <v>0</v>
      </c>
      <c r="P844" s="214">
        <v>0</v>
      </c>
      <c r="Q844" s="214">
        <v>0</v>
      </c>
      <c r="R844" s="214">
        <v>0</v>
      </c>
      <c r="S844" s="214">
        <v>0</v>
      </c>
      <c r="T844" s="214">
        <v>0</v>
      </c>
      <c r="U844" s="214">
        <v>0</v>
      </c>
      <c r="V844" s="214">
        <v>0</v>
      </c>
      <c r="W844" s="214">
        <v>0</v>
      </c>
      <c r="X844" s="214">
        <v>0</v>
      </c>
      <c r="Y844" s="214">
        <v>0</v>
      </c>
      <c r="Z844" s="214">
        <v>0</v>
      </c>
      <c r="AA844" s="214">
        <v>0</v>
      </c>
      <c r="AB844" s="214">
        <v>0</v>
      </c>
      <c r="AC844" s="214">
        <v>0</v>
      </c>
      <c r="AD844" s="215"/>
      <c r="AE844" s="420">
        <v>0</v>
      </c>
      <c r="AF844" s="420">
        <v>0</v>
      </c>
      <c r="AG844" s="420">
        <v>0</v>
      </c>
      <c r="AH844" s="420"/>
      <c r="AI844" s="574">
        <f t="shared" si="20"/>
        <v>0</v>
      </c>
      <c r="AJ844" s="212"/>
    </row>
    <row r="845" spans="2:36" ht="14.4">
      <c r="B845" s="211"/>
      <c r="C845" s="213" t="s">
        <v>107</v>
      </c>
      <c r="D845" s="214">
        <v>0</v>
      </c>
      <c r="E845" s="214">
        <v>0</v>
      </c>
      <c r="F845" s="214">
        <v>0</v>
      </c>
      <c r="G845" s="214">
        <v>0</v>
      </c>
      <c r="H845" s="214">
        <v>0</v>
      </c>
      <c r="I845" s="214">
        <v>0</v>
      </c>
      <c r="J845" s="214">
        <v>0</v>
      </c>
      <c r="K845" s="214">
        <v>0</v>
      </c>
      <c r="L845" s="214">
        <v>0</v>
      </c>
      <c r="M845" s="214">
        <v>0</v>
      </c>
      <c r="N845" s="214">
        <v>0</v>
      </c>
      <c r="O845" s="214">
        <v>0</v>
      </c>
      <c r="P845" s="214">
        <v>0</v>
      </c>
      <c r="Q845" s="214">
        <v>0</v>
      </c>
      <c r="R845" s="214">
        <v>0</v>
      </c>
      <c r="S845" s="214">
        <v>0</v>
      </c>
      <c r="T845" s="214">
        <v>0</v>
      </c>
      <c r="U845" s="214">
        <v>0</v>
      </c>
      <c r="V845" s="214">
        <v>0</v>
      </c>
      <c r="W845" s="214">
        <v>0</v>
      </c>
      <c r="X845" s="214">
        <v>0</v>
      </c>
      <c r="Y845" s="214">
        <v>0</v>
      </c>
      <c r="Z845" s="214">
        <v>0</v>
      </c>
      <c r="AA845" s="214">
        <v>0</v>
      </c>
      <c r="AB845" s="214">
        <v>0</v>
      </c>
      <c r="AC845" s="214">
        <v>0</v>
      </c>
      <c r="AD845" s="215"/>
      <c r="AE845" s="420">
        <v>0</v>
      </c>
      <c r="AF845" s="420">
        <v>0</v>
      </c>
      <c r="AG845" s="420">
        <v>0</v>
      </c>
      <c r="AH845" s="420"/>
      <c r="AI845" s="574">
        <f t="shared" si="20"/>
        <v>0</v>
      </c>
      <c r="AJ845" s="212"/>
    </row>
    <row r="846" spans="2:36" ht="14.4">
      <c r="B846" s="211"/>
      <c r="C846" s="213" t="s">
        <v>108</v>
      </c>
      <c r="D846" s="214"/>
      <c r="E846" s="214">
        <v>21467.759999999998</v>
      </c>
      <c r="F846" s="214">
        <v>37861.31</v>
      </c>
      <c r="G846" s="214">
        <v>23581.58</v>
      </c>
      <c r="H846" s="214">
        <v>4021.25</v>
      </c>
      <c r="I846" s="214">
        <v>0</v>
      </c>
      <c r="J846" s="214">
        <v>0</v>
      </c>
      <c r="K846" s="214"/>
      <c r="L846" s="214"/>
      <c r="M846" s="214">
        <v>351</v>
      </c>
      <c r="N846" s="214"/>
      <c r="O846" s="214">
        <v>2400.8000000000002</v>
      </c>
      <c r="P846" s="214">
        <v>1480.43</v>
      </c>
      <c r="Q846" s="214">
        <v>34033.93</v>
      </c>
      <c r="R846" s="214">
        <v>3497</v>
      </c>
      <c r="S846" s="214">
        <v>2046</v>
      </c>
      <c r="T846" s="214"/>
      <c r="U846" s="214"/>
      <c r="V846" s="214"/>
      <c r="W846" s="214"/>
      <c r="X846" s="214"/>
      <c r="Y846" s="214">
        <v>0</v>
      </c>
      <c r="Z846" s="214">
        <v>0</v>
      </c>
      <c r="AA846" s="214">
        <v>0</v>
      </c>
      <c r="AB846" s="214">
        <v>0</v>
      </c>
      <c r="AC846" s="214">
        <v>0</v>
      </c>
      <c r="AD846" s="215"/>
      <c r="AE846" s="420">
        <v>1126</v>
      </c>
      <c r="AF846" s="420"/>
      <c r="AG846" s="420">
        <v>586</v>
      </c>
      <c r="AH846" s="420"/>
      <c r="AI846" s="574">
        <f t="shared" si="20"/>
        <v>132453.06</v>
      </c>
      <c r="AJ846" s="212"/>
    </row>
    <row r="847" spans="2:36" ht="14.4">
      <c r="B847" s="211"/>
      <c r="C847" s="247" t="s">
        <v>109</v>
      </c>
      <c r="D847" s="214">
        <v>0</v>
      </c>
      <c r="E847" s="214">
        <v>0</v>
      </c>
      <c r="F847" s="214">
        <v>0</v>
      </c>
      <c r="G847" s="214">
        <v>0</v>
      </c>
      <c r="H847" s="214">
        <v>0</v>
      </c>
      <c r="I847" s="214">
        <v>0</v>
      </c>
      <c r="J847" s="214">
        <v>0</v>
      </c>
      <c r="K847" s="214">
        <v>0</v>
      </c>
      <c r="L847" s="214">
        <v>0</v>
      </c>
      <c r="M847" s="214">
        <v>0</v>
      </c>
      <c r="N847" s="214">
        <v>0</v>
      </c>
      <c r="O847" s="214">
        <v>0</v>
      </c>
      <c r="P847" s="214">
        <v>0</v>
      </c>
      <c r="Q847" s="214">
        <v>0</v>
      </c>
      <c r="R847" s="214">
        <v>0</v>
      </c>
      <c r="S847" s="214">
        <v>0</v>
      </c>
      <c r="T847" s="214">
        <v>0</v>
      </c>
      <c r="U847" s="214">
        <v>0</v>
      </c>
      <c r="V847" s="214">
        <v>0</v>
      </c>
      <c r="W847" s="214">
        <v>0</v>
      </c>
      <c r="X847" s="214">
        <v>0</v>
      </c>
      <c r="Y847" s="214">
        <v>0</v>
      </c>
      <c r="Z847" s="214">
        <v>0</v>
      </c>
      <c r="AA847" s="214">
        <v>0</v>
      </c>
      <c r="AB847" s="214">
        <v>0</v>
      </c>
      <c r="AC847" s="214">
        <v>0</v>
      </c>
      <c r="AD847" s="215"/>
      <c r="AE847" s="420">
        <v>0</v>
      </c>
      <c r="AF847" s="420">
        <v>0</v>
      </c>
      <c r="AG847" s="420">
        <v>0</v>
      </c>
      <c r="AH847" s="420"/>
      <c r="AI847" s="574">
        <f t="shared" si="20"/>
        <v>0</v>
      </c>
      <c r="AJ847" s="212"/>
    </row>
    <row r="848" spans="2:36" ht="14.4">
      <c r="B848" s="211"/>
      <c r="C848" s="213" t="s">
        <v>110</v>
      </c>
      <c r="D848" s="214">
        <v>0</v>
      </c>
      <c r="E848" s="214">
        <v>0</v>
      </c>
      <c r="F848" s="214">
        <v>0</v>
      </c>
      <c r="G848" s="214">
        <v>0</v>
      </c>
      <c r="H848" s="214">
        <v>0</v>
      </c>
      <c r="I848" s="214">
        <v>0</v>
      </c>
      <c r="J848" s="214">
        <v>0</v>
      </c>
      <c r="K848" s="214">
        <v>0</v>
      </c>
      <c r="L848" s="214">
        <v>0</v>
      </c>
      <c r="M848" s="214">
        <v>0</v>
      </c>
      <c r="N848" s="214">
        <v>0</v>
      </c>
      <c r="O848" s="214">
        <v>166.66</v>
      </c>
      <c r="P848" s="214">
        <v>0</v>
      </c>
      <c r="Q848" s="214">
        <v>0</v>
      </c>
      <c r="R848" s="214">
        <v>0</v>
      </c>
      <c r="S848" s="214">
        <v>0</v>
      </c>
      <c r="T848" s="214">
        <v>0</v>
      </c>
      <c r="U848" s="214">
        <v>0</v>
      </c>
      <c r="V848" s="214">
        <v>0</v>
      </c>
      <c r="W848" s="214">
        <v>0</v>
      </c>
      <c r="X848" s="214">
        <v>0</v>
      </c>
      <c r="Y848" s="214">
        <v>0</v>
      </c>
      <c r="Z848" s="214">
        <v>0</v>
      </c>
      <c r="AA848" s="214">
        <v>0</v>
      </c>
      <c r="AB848" s="214">
        <v>0</v>
      </c>
      <c r="AC848" s="214">
        <v>0</v>
      </c>
      <c r="AD848" s="215"/>
      <c r="AE848" s="420">
        <v>0</v>
      </c>
      <c r="AF848" s="420">
        <v>0</v>
      </c>
      <c r="AG848" s="420">
        <v>0</v>
      </c>
      <c r="AH848" s="420"/>
      <c r="AI848" s="574">
        <f t="shared" si="20"/>
        <v>166.66</v>
      </c>
      <c r="AJ848" s="212"/>
    </row>
    <row r="849" spans="2:36" ht="14.4">
      <c r="B849" s="211"/>
      <c r="C849" s="213" t="s">
        <v>112</v>
      </c>
      <c r="D849" s="214">
        <v>0</v>
      </c>
      <c r="E849" s="214">
        <v>0</v>
      </c>
      <c r="F849" s="214">
        <v>0</v>
      </c>
      <c r="G849" s="214">
        <v>0</v>
      </c>
      <c r="H849" s="214">
        <v>0</v>
      </c>
      <c r="I849" s="214">
        <v>0</v>
      </c>
      <c r="J849" s="214">
        <v>0</v>
      </c>
      <c r="K849" s="214">
        <v>0</v>
      </c>
      <c r="L849" s="214">
        <v>0</v>
      </c>
      <c r="M849" s="214">
        <v>0</v>
      </c>
      <c r="N849" s="214">
        <v>0</v>
      </c>
      <c r="O849" s="214">
        <v>0</v>
      </c>
      <c r="P849" s="214">
        <v>0</v>
      </c>
      <c r="Q849" s="214">
        <v>0</v>
      </c>
      <c r="R849" s="214">
        <v>0</v>
      </c>
      <c r="S849" s="214">
        <v>0</v>
      </c>
      <c r="T849" s="214">
        <v>0</v>
      </c>
      <c r="U849" s="214">
        <v>0</v>
      </c>
      <c r="V849" s="214">
        <v>0</v>
      </c>
      <c r="W849" s="214">
        <v>264</v>
      </c>
      <c r="X849" s="214">
        <v>0</v>
      </c>
      <c r="Y849" s="214">
        <v>0</v>
      </c>
      <c r="Z849" s="214">
        <v>0</v>
      </c>
      <c r="AA849" s="214">
        <v>0</v>
      </c>
      <c r="AB849" s="214">
        <v>0</v>
      </c>
      <c r="AC849" s="214">
        <v>0</v>
      </c>
      <c r="AD849" s="215"/>
      <c r="AE849" s="420">
        <v>0</v>
      </c>
      <c r="AF849" s="420">
        <v>0</v>
      </c>
      <c r="AG849" s="420">
        <v>0</v>
      </c>
      <c r="AH849" s="420"/>
      <c r="AI849" s="574">
        <f t="shared" si="20"/>
        <v>264</v>
      </c>
      <c r="AJ849" s="212"/>
    </row>
    <row r="850" spans="2:36" ht="14.4">
      <c r="B850" s="211"/>
      <c r="C850" s="247" t="s">
        <v>113</v>
      </c>
      <c r="D850" s="214">
        <v>58399.12</v>
      </c>
      <c r="E850" s="214">
        <v>41741.129999999997</v>
      </c>
      <c r="F850" s="214">
        <v>14561.83</v>
      </c>
      <c r="G850" s="214">
        <v>0</v>
      </c>
      <c r="H850" s="214">
        <v>0</v>
      </c>
      <c r="I850" s="214">
        <v>0</v>
      </c>
      <c r="J850" s="214">
        <v>0</v>
      </c>
      <c r="K850" s="214">
        <v>0</v>
      </c>
      <c r="L850" s="214">
        <v>0</v>
      </c>
      <c r="M850" s="214">
        <v>0</v>
      </c>
      <c r="N850" s="214">
        <v>4253</v>
      </c>
      <c r="O850" s="214">
        <v>0</v>
      </c>
      <c r="P850" s="214">
        <v>0</v>
      </c>
      <c r="Q850" s="214">
        <v>6645.16</v>
      </c>
      <c r="R850" s="214">
        <v>0</v>
      </c>
      <c r="S850" s="214">
        <v>0</v>
      </c>
      <c r="T850" s="214">
        <v>0</v>
      </c>
      <c r="U850" s="214">
        <v>0</v>
      </c>
      <c r="V850" s="214">
        <v>0</v>
      </c>
      <c r="W850" s="214">
        <v>0</v>
      </c>
      <c r="X850" s="214">
        <v>0</v>
      </c>
      <c r="Y850" s="214">
        <v>0</v>
      </c>
      <c r="Z850" s="214">
        <v>0</v>
      </c>
      <c r="AA850" s="214">
        <v>0</v>
      </c>
      <c r="AB850" s="214">
        <v>5907.64</v>
      </c>
      <c r="AC850" s="214">
        <v>0</v>
      </c>
      <c r="AD850" s="215"/>
      <c r="AE850" s="420">
        <v>0</v>
      </c>
      <c r="AF850" s="420">
        <v>0</v>
      </c>
      <c r="AG850" s="420">
        <v>0</v>
      </c>
      <c r="AH850" s="420"/>
      <c r="AI850" s="574">
        <f t="shared" si="20"/>
        <v>131507.88</v>
      </c>
      <c r="AJ850" s="212"/>
    </row>
    <row r="851" spans="2:36" ht="14.4">
      <c r="B851" s="211"/>
      <c r="C851" s="247" t="s">
        <v>137</v>
      </c>
      <c r="D851" s="214">
        <v>0</v>
      </c>
      <c r="E851" s="214">
        <v>0</v>
      </c>
      <c r="F851" s="214">
        <v>0</v>
      </c>
      <c r="G851" s="214">
        <v>0</v>
      </c>
      <c r="H851" s="214">
        <v>0</v>
      </c>
      <c r="I851" s="214">
        <v>0</v>
      </c>
      <c r="J851" s="214">
        <v>0</v>
      </c>
      <c r="K851" s="214">
        <v>0</v>
      </c>
      <c r="L851" s="214">
        <v>0</v>
      </c>
      <c r="M851" s="214">
        <v>0</v>
      </c>
      <c r="N851" s="214">
        <v>0</v>
      </c>
      <c r="O851" s="214">
        <v>0</v>
      </c>
      <c r="P851" s="214">
        <v>0</v>
      </c>
      <c r="Q851" s="214">
        <v>0</v>
      </c>
      <c r="R851" s="214">
        <v>0</v>
      </c>
      <c r="S851" s="214">
        <v>0</v>
      </c>
      <c r="T851" s="214">
        <v>0</v>
      </c>
      <c r="U851" s="214">
        <v>0</v>
      </c>
      <c r="V851" s="214">
        <v>0</v>
      </c>
      <c r="W851" s="214">
        <v>0</v>
      </c>
      <c r="X851" s="214">
        <v>0</v>
      </c>
      <c r="Y851" s="214">
        <v>0</v>
      </c>
      <c r="Z851" s="214">
        <v>0</v>
      </c>
      <c r="AA851" s="214">
        <v>0</v>
      </c>
      <c r="AB851" s="214">
        <v>0</v>
      </c>
      <c r="AC851" s="214">
        <v>0</v>
      </c>
      <c r="AD851" s="215"/>
      <c r="AE851" s="420">
        <v>0</v>
      </c>
      <c r="AF851" s="420">
        <v>0</v>
      </c>
      <c r="AG851" s="420">
        <v>0</v>
      </c>
      <c r="AH851" s="420"/>
      <c r="AI851" s="574">
        <f t="shared" si="20"/>
        <v>0</v>
      </c>
      <c r="AJ851" s="212"/>
    </row>
    <row r="852" spans="2:36" ht="14.4">
      <c r="B852" s="211"/>
      <c r="C852" s="213" t="s">
        <v>140</v>
      </c>
      <c r="D852" s="214">
        <v>0</v>
      </c>
      <c r="E852" s="214">
        <v>0</v>
      </c>
      <c r="F852" s="214">
        <v>0</v>
      </c>
      <c r="G852" s="214">
        <v>584</v>
      </c>
      <c r="H852" s="214">
        <v>2315</v>
      </c>
      <c r="I852" s="214">
        <v>0</v>
      </c>
      <c r="J852" s="214">
        <v>0</v>
      </c>
      <c r="K852" s="214">
        <v>0</v>
      </c>
      <c r="L852" s="214">
        <v>2284</v>
      </c>
      <c r="M852" s="214">
        <v>0</v>
      </c>
      <c r="N852" s="214">
        <v>0</v>
      </c>
      <c r="O852" s="214">
        <v>1000</v>
      </c>
      <c r="P852" s="214">
        <v>0</v>
      </c>
      <c r="Q852" s="214">
        <v>820</v>
      </c>
      <c r="R852" s="214">
        <v>0</v>
      </c>
      <c r="S852" s="214">
        <v>0</v>
      </c>
      <c r="T852" s="214">
        <v>0</v>
      </c>
      <c r="U852" s="214">
        <v>0</v>
      </c>
      <c r="V852" s="214">
        <v>0</v>
      </c>
      <c r="W852" s="214">
        <v>0</v>
      </c>
      <c r="X852" s="214">
        <v>0</v>
      </c>
      <c r="Y852" s="214">
        <v>0</v>
      </c>
      <c r="Z852" s="214">
        <v>0</v>
      </c>
      <c r="AA852" s="214">
        <v>0</v>
      </c>
      <c r="AB852" s="214">
        <v>560</v>
      </c>
      <c r="AC852" s="214">
        <v>0</v>
      </c>
      <c r="AD852" s="215"/>
      <c r="AE852" s="420">
        <v>0</v>
      </c>
      <c r="AF852" s="420">
        <v>0</v>
      </c>
      <c r="AG852" s="420">
        <v>0</v>
      </c>
      <c r="AH852" s="420"/>
      <c r="AI852" s="574">
        <f t="shared" si="20"/>
        <v>7563</v>
      </c>
      <c r="AJ852" s="212"/>
    </row>
    <row r="853" spans="2:36" ht="14.4">
      <c r="B853" s="211"/>
      <c r="C853" s="213" t="s">
        <v>141</v>
      </c>
      <c r="D853" s="214">
        <v>0</v>
      </c>
      <c r="E853" s="214">
        <v>0</v>
      </c>
      <c r="F853" s="214">
        <v>0</v>
      </c>
      <c r="G853" s="214">
        <v>0</v>
      </c>
      <c r="H853" s="214">
        <v>0</v>
      </c>
      <c r="I853" s="214">
        <v>0</v>
      </c>
      <c r="J853" s="214">
        <v>0</v>
      </c>
      <c r="K853" s="214">
        <v>0</v>
      </c>
      <c r="L853" s="214">
        <v>0</v>
      </c>
      <c r="M853" s="214">
        <v>0</v>
      </c>
      <c r="N853" s="214">
        <v>0</v>
      </c>
      <c r="O853" s="214">
        <v>0</v>
      </c>
      <c r="P853" s="214">
        <v>0</v>
      </c>
      <c r="Q853" s="214">
        <v>0</v>
      </c>
      <c r="R853" s="214">
        <v>0</v>
      </c>
      <c r="S853" s="214">
        <v>0</v>
      </c>
      <c r="T853" s="214">
        <v>0</v>
      </c>
      <c r="U853" s="214">
        <v>0</v>
      </c>
      <c r="V853" s="214">
        <v>0</v>
      </c>
      <c r="W853" s="214">
        <v>0</v>
      </c>
      <c r="X853" s="214">
        <v>0</v>
      </c>
      <c r="Y853" s="214">
        <v>0</v>
      </c>
      <c r="Z853" s="214">
        <v>0</v>
      </c>
      <c r="AA853" s="214">
        <v>0</v>
      </c>
      <c r="AB853" s="214">
        <v>0</v>
      </c>
      <c r="AC853" s="214">
        <v>0</v>
      </c>
      <c r="AD853" s="215"/>
      <c r="AE853" s="420">
        <v>0</v>
      </c>
      <c r="AF853" s="420">
        <v>0</v>
      </c>
      <c r="AG853" s="420">
        <v>0</v>
      </c>
      <c r="AH853" s="420"/>
      <c r="AI853" s="574">
        <f t="shared" si="20"/>
        <v>0</v>
      </c>
      <c r="AJ853" s="212"/>
    </row>
    <row r="854" spans="2:36" ht="14.4">
      <c r="B854" s="211"/>
      <c r="C854" s="213" t="s">
        <v>193</v>
      </c>
      <c r="D854" s="214">
        <v>500</v>
      </c>
      <c r="E854" s="214">
        <v>0</v>
      </c>
      <c r="F854" s="214">
        <v>0</v>
      </c>
      <c r="G854" s="214">
        <v>0</v>
      </c>
      <c r="H854" s="214">
        <v>2700</v>
      </c>
      <c r="I854" s="214">
        <v>0</v>
      </c>
      <c r="J854" s="214">
        <v>0</v>
      </c>
      <c r="K854" s="214">
        <v>0</v>
      </c>
      <c r="L854" s="214">
        <v>0</v>
      </c>
      <c r="M854" s="214">
        <v>0</v>
      </c>
      <c r="N854" s="214">
        <v>0</v>
      </c>
      <c r="O854" s="214">
        <v>0</v>
      </c>
      <c r="P854" s="214">
        <v>0</v>
      </c>
      <c r="Q854" s="214">
        <v>0</v>
      </c>
      <c r="R854" s="214">
        <v>0</v>
      </c>
      <c r="S854" s="214">
        <v>0</v>
      </c>
      <c r="T854" s="214">
        <v>0</v>
      </c>
      <c r="U854" s="214">
        <v>0</v>
      </c>
      <c r="V854" s="214">
        <v>0</v>
      </c>
      <c r="W854" s="214">
        <v>0</v>
      </c>
      <c r="X854" s="214">
        <v>0</v>
      </c>
      <c r="Y854" s="214">
        <v>0</v>
      </c>
      <c r="Z854" s="214">
        <v>0</v>
      </c>
      <c r="AA854" s="214">
        <v>0</v>
      </c>
      <c r="AB854" s="214">
        <v>0</v>
      </c>
      <c r="AC854" s="214">
        <v>0</v>
      </c>
      <c r="AD854" s="215"/>
      <c r="AE854" s="420">
        <v>0</v>
      </c>
      <c r="AF854" s="420">
        <v>0</v>
      </c>
      <c r="AG854" s="420">
        <v>0</v>
      </c>
      <c r="AH854" s="420"/>
      <c r="AI854" s="574">
        <f t="shared" si="20"/>
        <v>3200</v>
      </c>
      <c r="AJ854" s="212"/>
    </row>
    <row r="855" spans="2:36" ht="14.4">
      <c r="B855" s="211"/>
      <c r="C855" s="213" t="s">
        <v>148</v>
      </c>
      <c r="D855" s="214">
        <v>0</v>
      </c>
      <c r="E855" s="214">
        <v>0</v>
      </c>
      <c r="F855" s="214">
        <v>0</v>
      </c>
      <c r="G855" s="214">
        <v>0</v>
      </c>
      <c r="H855" s="214">
        <v>0</v>
      </c>
      <c r="I855" s="214">
        <v>0</v>
      </c>
      <c r="J855" s="214">
        <v>0</v>
      </c>
      <c r="K855" s="214">
        <v>0</v>
      </c>
      <c r="L855" s="214">
        <v>0</v>
      </c>
      <c r="M855" s="214">
        <v>0</v>
      </c>
      <c r="N855" s="214">
        <v>0</v>
      </c>
      <c r="O855" s="214">
        <v>0</v>
      </c>
      <c r="P855" s="214">
        <v>0</v>
      </c>
      <c r="Q855" s="214">
        <v>0</v>
      </c>
      <c r="R855" s="214">
        <v>0</v>
      </c>
      <c r="S855" s="214">
        <v>0</v>
      </c>
      <c r="T855" s="214">
        <v>2215</v>
      </c>
      <c r="U855" s="214">
        <v>0</v>
      </c>
      <c r="V855" s="214">
        <v>0</v>
      </c>
      <c r="W855" s="214">
        <v>0</v>
      </c>
      <c r="X855" s="214">
        <v>0</v>
      </c>
      <c r="Y855" s="214">
        <v>0</v>
      </c>
      <c r="Z855" s="214">
        <v>0</v>
      </c>
      <c r="AA855" s="214">
        <v>0</v>
      </c>
      <c r="AB855" s="214">
        <v>0</v>
      </c>
      <c r="AC855" s="214">
        <v>0</v>
      </c>
      <c r="AD855" s="215"/>
      <c r="AE855" s="420">
        <v>0</v>
      </c>
      <c r="AF855" s="420">
        <v>0</v>
      </c>
      <c r="AG855" s="420">
        <v>0</v>
      </c>
      <c r="AH855" s="420"/>
      <c r="AI855" s="574">
        <f t="shared" si="20"/>
        <v>2215</v>
      </c>
      <c r="AJ855" s="212"/>
    </row>
    <row r="856" spans="2:36" ht="14.4">
      <c r="B856" s="211"/>
      <c r="C856" s="213" t="s">
        <v>186</v>
      </c>
      <c r="D856" s="214">
        <v>0</v>
      </c>
      <c r="E856" s="214">
        <v>0</v>
      </c>
      <c r="F856" s="214">
        <v>0</v>
      </c>
      <c r="G856" s="214">
        <v>0</v>
      </c>
      <c r="H856" s="214">
        <v>0</v>
      </c>
      <c r="I856" s="214">
        <v>0</v>
      </c>
      <c r="J856" s="214">
        <v>0</v>
      </c>
      <c r="K856" s="214">
        <v>0</v>
      </c>
      <c r="L856" s="214">
        <v>0</v>
      </c>
      <c r="M856" s="214">
        <v>0</v>
      </c>
      <c r="N856" s="214">
        <v>0</v>
      </c>
      <c r="O856" s="214">
        <v>0</v>
      </c>
      <c r="P856" s="214">
        <v>0</v>
      </c>
      <c r="Q856" s="214">
        <v>0</v>
      </c>
      <c r="R856" s="214">
        <v>0</v>
      </c>
      <c r="S856" s="214">
        <v>0</v>
      </c>
      <c r="T856" s="214">
        <v>0</v>
      </c>
      <c r="U856" s="214">
        <v>0</v>
      </c>
      <c r="V856" s="214">
        <v>0</v>
      </c>
      <c r="W856" s="214">
        <v>0</v>
      </c>
      <c r="X856" s="214">
        <v>0</v>
      </c>
      <c r="Y856" s="214">
        <v>0</v>
      </c>
      <c r="Z856" s="214">
        <v>0</v>
      </c>
      <c r="AA856" s="214">
        <v>0</v>
      </c>
      <c r="AB856" s="214">
        <v>0</v>
      </c>
      <c r="AC856" s="214">
        <v>0</v>
      </c>
      <c r="AD856" s="215"/>
      <c r="AE856" s="420">
        <v>0</v>
      </c>
      <c r="AF856" s="420">
        <v>0</v>
      </c>
      <c r="AG856" s="420">
        <v>0</v>
      </c>
      <c r="AH856" s="420"/>
      <c r="AI856" s="574">
        <f t="shared" si="20"/>
        <v>0</v>
      </c>
      <c r="AJ856" s="212"/>
    </row>
    <row r="857" spans="2:36" ht="14.4">
      <c r="B857" s="211"/>
      <c r="C857" s="213" t="s">
        <v>171</v>
      </c>
      <c r="D857" s="214">
        <v>0</v>
      </c>
      <c r="E857" s="214">
        <v>0</v>
      </c>
      <c r="F857" s="214">
        <v>0</v>
      </c>
      <c r="G857" s="214">
        <v>0</v>
      </c>
      <c r="H857" s="214">
        <v>0</v>
      </c>
      <c r="I857" s="214">
        <v>0</v>
      </c>
      <c r="J857" s="214">
        <v>0</v>
      </c>
      <c r="K857" s="214">
        <v>0</v>
      </c>
      <c r="L857" s="214">
        <v>0</v>
      </c>
      <c r="M857" s="214">
        <v>0</v>
      </c>
      <c r="N857" s="214">
        <v>0</v>
      </c>
      <c r="O857" s="214">
        <v>0</v>
      </c>
      <c r="P857" s="214">
        <v>0</v>
      </c>
      <c r="Q857" s="214">
        <v>0</v>
      </c>
      <c r="R857" s="214">
        <v>0</v>
      </c>
      <c r="S857" s="214">
        <v>0</v>
      </c>
      <c r="T857" s="214">
        <v>0</v>
      </c>
      <c r="U857" s="214">
        <v>0</v>
      </c>
      <c r="V857" s="214">
        <v>0</v>
      </c>
      <c r="W857" s="214">
        <v>0</v>
      </c>
      <c r="X857" s="214">
        <v>0</v>
      </c>
      <c r="Y857" s="214">
        <v>0</v>
      </c>
      <c r="Z857" s="214">
        <v>0</v>
      </c>
      <c r="AA857" s="214">
        <v>0</v>
      </c>
      <c r="AB857" s="214">
        <v>0</v>
      </c>
      <c r="AC857" s="214">
        <v>0</v>
      </c>
      <c r="AD857" s="215"/>
      <c r="AE857" s="420">
        <v>0</v>
      </c>
      <c r="AF857" s="420">
        <v>0</v>
      </c>
      <c r="AG857" s="420">
        <v>0</v>
      </c>
      <c r="AH857" s="420"/>
      <c r="AI857" s="574">
        <f t="shared" si="20"/>
        <v>0</v>
      </c>
      <c r="AJ857" s="212"/>
    </row>
    <row r="858" spans="2:36" ht="14.4">
      <c r="B858" s="211"/>
      <c r="C858" s="213" t="s">
        <v>180</v>
      </c>
      <c r="D858" s="214">
        <v>0</v>
      </c>
      <c r="E858" s="214">
        <v>0</v>
      </c>
      <c r="F858" s="214">
        <v>0</v>
      </c>
      <c r="G858" s="214">
        <v>0</v>
      </c>
      <c r="H858" s="214">
        <v>0</v>
      </c>
      <c r="I858" s="214">
        <v>0</v>
      </c>
      <c r="J858" s="214">
        <v>0</v>
      </c>
      <c r="K858" s="214">
        <v>0</v>
      </c>
      <c r="L858" s="214">
        <v>0</v>
      </c>
      <c r="M858" s="214">
        <v>0</v>
      </c>
      <c r="N858" s="214">
        <v>0</v>
      </c>
      <c r="O858" s="214">
        <v>0</v>
      </c>
      <c r="P858" s="214">
        <v>0</v>
      </c>
      <c r="Q858" s="214">
        <v>0</v>
      </c>
      <c r="R858" s="214">
        <v>0</v>
      </c>
      <c r="S858" s="214">
        <v>0</v>
      </c>
      <c r="T858" s="214">
        <v>0</v>
      </c>
      <c r="U858" s="214">
        <v>0</v>
      </c>
      <c r="V858" s="214">
        <v>0</v>
      </c>
      <c r="W858" s="214">
        <v>0</v>
      </c>
      <c r="X858" s="214">
        <v>0</v>
      </c>
      <c r="Y858" s="214">
        <v>0</v>
      </c>
      <c r="Z858" s="214">
        <v>0</v>
      </c>
      <c r="AA858" s="214">
        <v>0</v>
      </c>
      <c r="AB858" s="214">
        <v>0</v>
      </c>
      <c r="AC858" s="214">
        <v>0</v>
      </c>
      <c r="AD858" s="215"/>
      <c r="AE858" s="420">
        <v>0</v>
      </c>
      <c r="AF858" s="420">
        <v>0</v>
      </c>
      <c r="AG858" s="420">
        <v>0</v>
      </c>
      <c r="AH858" s="420"/>
      <c r="AI858" s="574">
        <f t="shared" si="20"/>
        <v>0</v>
      </c>
      <c r="AJ858" s="212"/>
    </row>
    <row r="859" spans="2:36" ht="14.4">
      <c r="B859" s="211"/>
      <c r="C859" s="213" t="s">
        <v>183</v>
      </c>
      <c r="D859" s="214">
        <v>0</v>
      </c>
      <c r="E859" s="214">
        <v>2970</v>
      </c>
      <c r="F859" s="214">
        <v>438</v>
      </c>
      <c r="G859" s="214">
        <v>3795.71</v>
      </c>
      <c r="H859" s="214">
        <v>1560</v>
      </c>
      <c r="I859" s="214">
        <v>0</v>
      </c>
      <c r="J859" s="214">
        <v>0</v>
      </c>
      <c r="K859" s="214">
        <v>0</v>
      </c>
      <c r="L859" s="214">
        <v>0</v>
      </c>
      <c r="M859" s="214">
        <v>190</v>
      </c>
      <c r="N859" s="214">
        <v>0</v>
      </c>
      <c r="O859" s="214">
        <v>868</v>
      </c>
      <c r="P859" s="214">
        <v>538</v>
      </c>
      <c r="Q859" s="214">
        <v>4679.95</v>
      </c>
      <c r="R859" s="214">
        <v>0</v>
      </c>
      <c r="S859" s="214">
        <v>206</v>
      </c>
      <c r="T859" s="214">
        <v>0</v>
      </c>
      <c r="U859" s="214">
        <v>0</v>
      </c>
      <c r="V859" s="214">
        <v>0</v>
      </c>
      <c r="W859" s="214">
        <v>0</v>
      </c>
      <c r="X859" s="214">
        <v>0</v>
      </c>
      <c r="Y859" s="214">
        <v>0</v>
      </c>
      <c r="Z859" s="214">
        <v>0</v>
      </c>
      <c r="AA859" s="214">
        <v>0</v>
      </c>
      <c r="AB859" s="214">
        <v>0</v>
      </c>
      <c r="AC859" s="214">
        <v>0</v>
      </c>
      <c r="AD859" s="215"/>
      <c r="AE859" s="420">
        <v>627</v>
      </c>
      <c r="AF859" s="420">
        <v>0</v>
      </c>
      <c r="AG859" s="420">
        <v>0</v>
      </c>
      <c r="AH859" s="420"/>
      <c r="AI859" s="574">
        <f t="shared" si="20"/>
        <v>15872.66</v>
      </c>
      <c r="AJ859" s="212"/>
    </row>
    <row r="860" spans="2:36" ht="14.4">
      <c r="B860" s="211"/>
      <c r="C860" s="213" t="s">
        <v>195</v>
      </c>
      <c r="D860" s="214">
        <v>17814</v>
      </c>
      <c r="E860" s="214">
        <v>0</v>
      </c>
      <c r="F860" s="214">
        <v>0</v>
      </c>
      <c r="G860" s="214">
        <v>0</v>
      </c>
      <c r="H860" s="214">
        <v>0</v>
      </c>
      <c r="I860" s="214">
        <v>0</v>
      </c>
      <c r="J860" s="214">
        <v>0</v>
      </c>
      <c r="K860" s="214">
        <v>0</v>
      </c>
      <c r="L860" s="214">
        <v>0</v>
      </c>
      <c r="M860" s="214">
        <v>0</v>
      </c>
      <c r="N860" s="214">
        <v>0</v>
      </c>
      <c r="O860" s="214">
        <v>0</v>
      </c>
      <c r="P860" s="214">
        <v>0</v>
      </c>
      <c r="Q860" s="214">
        <v>0</v>
      </c>
      <c r="R860" s="214">
        <v>0</v>
      </c>
      <c r="S860" s="214">
        <v>0</v>
      </c>
      <c r="T860" s="214">
        <v>0</v>
      </c>
      <c r="U860" s="214">
        <v>0</v>
      </c>
      <c r="V860" s="214">
        <v>0</v>
      </c>
      <c r="W860" s="214">
        <v>0</v>
      </c>
      <c r="X860" s="214">
        <v>0</v>
      </c>
      <c r="Y860" s="214">
        <v>0</v>
      </c>
      <c r="Z860" s="214">
        <v>0</v>
      </c>
      <c r="AA860" s="214">
        <v>0</v>
      </c>
      <c r="AB860" s="214">
        <v>0</v>
      </c>
      <c r="AC860" s="214">
        <v>0</v>
      </c>
      <c r="AD860" s="215"/>
      <c r="AE860" s="420">
        <v>0</v>
      </c>
      <c r="AF860" s="420">
        <v>0</v>
      </c>
      <c r="AG860" s="420">
        <v>0</v>
      </c>
      <c r="AH860" s="420"/>
      <c r="AI860" s="574">
        <f t="shared" si="20"/>
        <v>17814</v>
      </c>
      <c r="AJ860" s="212"/>
    </row>
    <row r="861" spans="2:36" ht="14.4">
      <c r="B861" s="211"/>
      <c r="C861" s="213" t="s">
        <v>189</v>
      </c>
      <c r="D861" s="214">
        <v>24551.279999999999</v>
      </c>
      <c r="E861" s="214">
        <v>0</v>
      </c>
      <c r="F861" s="214">
        <v>0</v>
      </c>
      <c r="G861" s="214">
        <v>0</v>
      </c>
      <c r="H861" s="214">
        <v>0</v>
      </c>
      <c r="I861" s="214">
        <v>0</v>
      </c>
      <c r="J861" s="214">
        <v>0</v>
      </c>
      <c r="K861" s="214">
        <v>0</v>
      </c>
      <c r="L861" s="214">
        <v>0</v>
      </c>
      <c r="M861" s="214">
        <v>0</v>
      </c>
      <c r="N861" s="214">
        <v>0</v>
      </c>
      <c r="O861" s="214">
        <v>0</v>
      </c>
      <c r="P861" s="214">
        <v>0</v>
      </c>
      <c r="Q861" s="214">
        <v>0</v>
      </c>
      <c r="R861" s="214">
        <v>0</v>
      </c>
      <c r="S861" s="214">
        <v>0</v>
      </c>
      <c r="T861" s="214">
        <v>0</v>
      </c>
      <c r="U861" s="214">
        <v>0</v>
      </c>
      <c r="V861" s="214">
        <v>0</v>
      </c>
      <c r="W861" s="214">
        <v>0</v>
      </c>
      <c r="X861" s="214">
        <v>0</v>
      </c>
      <c r="Y861" s="214">
        <v>0</v>
      </c>
      <c r="Z861" s="214">
        <v>0</v>
      </c>
      <c r="AA861" s="214">
        <v>0</v>
      </c>
      <c r="AB861" s="214">
        <v>0</v>
      </c>
      <c r="AC861" s="214">
        <v>0</v>
      </c>
      <c r="AD861" s="215"/>
      <c r="AE861" s="420">
        <v>0</v>
      </c>
      <c r="AF861" s="420">
        <v>0</v>
      </c>
      <c r="AG861" s="420">
        <v>0</v>
      </c>
      <c r="AH861" s="420"/>
      <c r="AI861" s="574">
        <f t="shared" si="20"/>
        <v>24551.279999999999</v>
      </c>
      <c r="AJ861" s="212"/>
    </row>
    <row r="862" spans="2:36" ht="14.4">
      <c r="B862" s="211"/>
      <c r="C862" s="213" t="s">
        <v>188</v>
      </c>
      <c r="D862" s="214">
        <v>119616.69</v>
      </c>
      <c r="E862" s="214">
        <v>0</v>
      </c>
      <c r="F862" s="214">
        <v>0</v>
      </c>
      <c r="G862" s="214">
        <v>0</v>
      </c>
      <c r="H862" s="214">
        <v>0</v>
      </c>
      <c r="I862" s="214">
        <v>0</v>
      </c>
      <c r="J862" s="214">
        <v>0</v>
      </c>
      <c r="K862" s="214">
        <v>0</v>
      </c>
      <c r="L862" s="214">
        <v>0</v>
      </c>
      <c r="M862" s="214">
        <v>0</v>
      </c>
      <c r="N862" s="214">
        <v>0</v>
      </c>
      <c r="O862" s="214">
        <v>0</v>
      </c>
      <c r="P862" s="214">
        <v>0</v>
      </c>
      <c r="Q862" s="214">
        <v>0</v>
      </c>
      <c r="R862" s="214">
        <v>0</v>
      </c>
      <c r="S862" s="214">
        <v>0</v>
      </c>
      <c r="T862" s="214">
        <v>0</v>
      </c>
      <c r="U862" s="214">
        <v>0</v>
      </c>
      <c r="V862" s="214">
        <v>0</v>
      </c>
      <c r="W862" s="214">
        <v>0</v>
      </c>
      <c r="X862" s="214">
        <v>0</v>
      </c>
      <c r="Y862" s="214">
        <v>0</v>
      </c>
      <c r="Z862" s="214">
        <v>0</v>
      </c>
      <c r="AA862" s="214">
        <v>0</v>
      </c>
      <c r="AB862" s="214">
        <v>0</v>
      </c>
      <c r="AC862" s="214">
        <v>0</v>
      </c>
      <c r="AD862" s="215"/>
      <c r="AE862" s="420">
        <v>0</v>
      </c>
      <c r="AF862" s="420">
        <v>0</v>
      </c>
      <c r="AG862" s="420">
        <v>0</v>
      </c>
      <c r="AH862" s="420"/>
      <c r="AI862" s="574">
        <f t="shared" si="20"/>
        <v>119616.69</v>
      </c>
      <c r="AJ862" s="212"/>
    </row>
    <row r="863" spans="2:36" ht="14.4">
      <c r="B863" s="211"/>
      <c r="C863" s="213" t="s">
        <v>196</v>
      </c>
      <c r="D863" s="214">
        <v>52696.19</v>
      </c>
      <c r="E863" s="214">
        <v>0</v>
      </c>
      <c r="F863" s="214">
        <v>0</v>
      </c>
      <c r="G863" s="214">
        <v>0</v>
      </c>
      <c r="H863" s="214">
        <v>0</v>
      </c>
      <c r="I863" s="214">
        <v>0</v>
      </c>
      <c r="J863" s="214">
        <v>0</v>
      </c>
      <c r="K863" s="214">
        <v>0</v>
      </c>
      <c r="L863" s="214">
        <v>0</v>
      </c>
      <c r="M863" s="214">
        <v>0</v>
      </c>
      <c r="N863" s="214">
        <v>0</v>
      </c>
      <c r="O863" s="214">
        <v>0</v>
      </c>
      <c r="P863" s="214">
        <v>0</v>
      </c>
      <c r="Q863" s="214">
        <v>0</v>
      </c>
      <c r="R863" s="214">
        <v>0</v>
      </c>
      <c r="S863" s="214">
        <v>0</v>
      </c>
      <c r="T863" s="214">
        <v>0</v>
      </c>
      <c r="U863" s="214">
        <v>0</v>
      </c>
      <c r="V863" s="214">
        <v>0</v>
      </c>
      <c r="W863" s="214">
        <v>0</v>
      </c>
      <c r="X863" s="214">
        <v>0</v>
      </c>
      <c r="Y863" s="214">
        <v>0</v>
      </c>
      <c r="Z863" s="214">
        <v>0</v>
      </c>
      <c r="AA863" s="214">
        <v>0</v>
      </c>
      <c r="AB863" s="214">
        <v>0</v>
      </c>
      <c r="AC863" s="214">
        <v>0</v>
      </c>
      <c r="AD863" s="215"/>
      <c r="AE863" s="420">
        <v>0</v>
      </c>
      <c r="AF863" s="420">
        <v>0</v>
      </c>
      <c r="AG863" s="420">
        <v>0</v>
      </c>
      <c r="AH863" s="420"/>
      <c r="AI863" s="574">
        <f t="shared" si="20"/>
        <v>52696.19</v>
      </c>
      <c r="AJ863" s="212"/>
    </row>
    <row r="864" spans="2:36" ht="14.4">
      <c r="B864" s="211"/>
      <c r="C864" s="213" t="s">
        <v>197</v>
      </c>
      <c r="D864" s="214">
        <v>0</v>
      </c>
      <c r="E864" s="214">
        <v>0</v>
      </c>
      <c r="F864" s="214">
        <v>0</v>
      </c>
      <c r="G864" s="214">
        <v>0</v>
      </c>
      <c r="H864" s="214">
        <v>0</v>
      </c>
      <c r="I864" s="214">
        <v>0</v>
      </c>
      <c r="J864" s="214">
        <v>0</v>
      </c>
      <c r="K864" s="214">
        <v>0</v>
      </c>
      <c r="L864" s="214">
        <v>0</v>
      </c>
      <c r="M864" s="214">
        <v>0</v>
      </c>
      <c r="N864" s="214">
        <v>0</v>
      </c>
      <c r="O864" s="214">
        <v>0</v>
      </c>
      <c r="P864" s="214">
        <v>0</v>
      </c>
      <c r="Q864" s="214">
        <v>0</v>
      </c>
      <c r="R864" s="214">
        <v>0</v>
      </c>
      <c r="S864" s="214">
        <v>0</v>
      </c>
      <c r="T864" s="214">
        <v>0</v>
      </c>
      <c r="U864" s="214">
        <v>0</v>
      </c>
      <c r="V864" s="214">
        <v>0</v>
      </c>
      <c r="W864" s="214">
        <v>0</v>
      </c>
      <c r="X864" s="214">
        <v>0</v>
      </c>
      <c r="Y864" s="214">
        <v>0</v>
      </c>
      <c r="Z864" s="214">
        <v>0</v>
      </c>
      <c r="AA864" s="214">
        <v>0</v>
      </c>
      <c r="AB864" s="214">
        <v>0</v>
      </c>
      <c r="AC864" s="214">
        <v>0</v>
      </c>
      <c r="AD864" s="215"/>
      <c r="AE864" s="420">
        <v>0</v>
      </c>
      <c r="AF864" s="420">
        <v>0</v>
      </c>
      <c r="AG864" s="420">
        <v>0</v>
      </c>
      <c r="AH864" s="420"/>
      <c r="AI864" s="574">
        <f t="shared" si="20"/>
        <v>0</v>
      </c>
      <c r="AJ864" s="212"/>
    </row>
    <row r="865" spans="2:36" ht="14.4">
      <c r="B865" s="211"/>
      <c r="C865" s="213" t="s">
        <v>198</v>
      </c>
      <c r="D865" s="214">
        <v>0</v>
      </c>
      <c r="E865" s="214">
        <v>0</v>
      </c>
      <c r="F865" s="214">
        <v>0</v>
      </c>
      <c r="G865" s="214">
        <v>0</v>
      </c>
      <c r="H865" s="214">
        <v>0</v>
      </c>
      <c r="I865" s="214">
        <v>0</v>
      </c>
      <c r="J865" s="214">
        <v>0</v>
      </c>
      <c r="K865" s="214">
        <v>0</v>
      </c>
      <c r="L865" s="214">
        <v>0</v>
      </c>
      <c r="M865" s="214">
        <v>0</v>
      </c>
      <c r="N865" s="214">
        <v>0</v>
      </c>
      <c r="O865" s="214">
        <v>0</v>
      </c>
      <c r="P865" s="214">
        <v>0</v>
      </c>
      <c r="Q865" s="214">
        <v>0</v>
      </c>
      <c r="R865" s="214">
        <v>0</v>
      </c>
      <c r="S865" s="214">
        <v>0</v>
      </c>
      <c r="T865" s="214">
        <v>0</v>
      </c>
      <c r="U865" s="214">
        <v>0</v>
      </c>
      <c r="V865" s="214">
        <v>0</v>
      </c>
      <c r="W865" s="214">
        <v>0</v>
      </c>
      <c r="X865" s="214">
        <v>0</v>
      </c>
      <c r="Y865" s="214">
        <v>0</v>
      </c>
      <c r="Z865" s="214">
        <v>0</v>
      </c>
      <c r="AA865" s="214">
        <v>0</v>
      </c>
      <c r="AB865" s="214">
        <v>0</v>
      </c>
      <c r="AC865" s="214">
        <v>0</v>
      </c>
      <c r="AD865" s="215"/>
      <c r="AE865" s="420">
        <v>0</v>
      </c>
      <c r="AF865" s="420">
        <v>0</v>
      </c>
      <c r="AG865" s="420">
        <v>0</v>
      </c>
      <c r="AH865" s="420"/>
      <c r="AI865" s="574">
        <f t="shared" si="20"/>
        <v>0</v>
      </c>
      <c r="AJ865" s="212"/>
    </row>
    <row r="866" spans="2:36" ht="14.4">
      <c r="B866" s="211"/>
      <c r="C866" s="213" t="s">
        <v>201</v>
      </c>
      <c r="D866" s="214">
        <v>20328.900000000001</v>
      </c>
      <c r="E866" s="214">
        <v>0</v>
      </c>
      <c r="F866" s="214">
        <v>0</v>
      </c>
      <c r="G866" s="214">
        <v>0</v>
      </c>
      <c r="H866" s="214">
        <v>0</v>
      </c>
      <c r="I866" s="214">
        <v>0</v>
      </c>
      <c r="J866" s="214">
        <v>0</v>
      </c>
      <c r="K866" s="214">
        <v>0</v>
      </c>
      <c r="L866" s="214">
        <v>0</v>
      </c>
      <c r="M866" s="214">
        <v>0</v>
      </c>
      <c r="N866" s="214">
        <v>0</v>
      </c>
      <c r="O866" s="214">
        <v>0</v>
      </c>
      <c r="P866" s="214">
        <v>0</v>
      </c>
      <c r="Q866" s="214">
        <v>0</v>
      </c>
      <c r="R866" s="214">
        <v>0</v>
      </c>
      <c r="S866" s="214">
        <v>0</v>
      </c>
      <c r="T866" s="214">
        <v>0</v>
      </c>
      <c r="U866" s="214">
        <v>0</v>
      </c>
      <c r="V866" s="214">
        <v>0</v>
      </c>
      <c r="W866" s="214">
        <v>0</v>
      </c>
      <c r="X866" s="214">
        <v>0</v>
      </c>
      <c r="Y866" s="214">
        <v>0</v>
      </c>
      <c r="Z866" s="214">
        <v>0</v>
      </c>
      <c r="AA866" s="214">
        <v>0</v>
      </c>
      <c r="AB866" s="214">
        <v>0</v>
      </c>
      <c r="AC866" s="214">
        <v>0</v>
      </c>
      <c r="AD866" s="215"/>
      <c r="AE866" s="420">
        <v>0</v>
      </c>
      <c r="AF866" s="420">
        <v>0</v>
      </c>
      <c r="AG866" s="420">
        <v>0</v>
      </c>
      <c r="AH866" s="420"/>
      <c r="AI866" s="574">
        <f t="shared" si="20"/>
        <v>20328.900000000001</v>
      </c>
      <c r="AJ866" s="212"/>
    </row>
    <row r="867" spans="2:36" ht="14.4">
      <c r="B867" s="211"/>
      <c r="C867" s="213" t="s">
        <v>202</v>
      </c>
      <c r="D867" s="214">
        <v>31885.69</v>
      </c>
      <c r="E867" s="214">
        <v>0</v>
      </c>
      <c r="F867" s="214">
        <v>0</v>
      </c>
      <c r="G867" s="214">
        <v>0</v>
      </c>
      <c r="H867" s="214">
        <v>0</v>
      </c>
      <c r="I867" s="214">
        <v>0</v>
      </c>
      <c r="J867" s="214">
        <v>0</v>
      </c>
      <c r="K867" s="214">
        <v>0</v>
      </c>
      <c r="L867" s="214">
        <v>0</v>
      </c>
      <c r="M867" s="214">
        <v>0</v>
      </c>
      <c r="N867" s="214">
        <v>0</v>
      </c>
      <c r="O867" s="214">
        <v>0</v>
      </c>
      <c r="P867" s="214">
        <v>0</v>
      </c>
      <c r="Q867" s="214">
        <v>0</v>
      </c>
      <c r="R867" s="214">
        <v>0</v>
      </c>
      <c r="S867" s="214">
        <v>0</v>
      </c>
      <c r="T867" s="214">
        <v>0</v>
      </c>
      <c r="U867" s="214">
        <v>0</v>
      </c>
      <c r="V867" s="214">
        <v>0</v>
      </c>
      <c r="W867" s="214">
        <v>0</v>
      </c>
      <c r="X867" s="214">
        <v>0</v>
      </c>
      <c r="Y867" s="214">
        <v>0</v>
      </c>
      <c r="Z867" s="214">
        <v>0</v>
      </c>
      <c r="AA867" s="214">
        <v>0</v>
      </c>
      <c r="AB867" s="214">
        <v>0</v>
      </c>
      <c r="AC867" s="214">
        <v>0</v>
      </c>
      <c r="AD867" s="215"/>
      <c r="AE867" s="420">
        <v>0</v>
      </c>
      <c r="AF867" s="420">
        <v>0</v>
      </c>
      <c r="AG867" s="420">
        <v>0</v>
      </c>
      <c r="AH867" s="420"/>
      <c r="AI867" s="574">
        <f t="shared" si="20"/>
        <v>31885.69</v>
      </c>
      <c r="AJ867" s="212"/>
    </row>
    <row r="868" spans="2:36" ht="14.4">
      <c r="B868" s="211"/>
      <c r="C868" s="213" t="s">
        <v>206</v>
      </c>
      <c r="D868" s="214">
        <v>20793.88</v>
      </c>
      <c r="E868" s="214">
        <v>0</v>
      </c>
      <c r="F868" s="214">
        <v>0</v>
      </c>
      <c r="G868" s="214">
        <v>0</v>
      </c>
      <c r="H868" s="214">
        <v>0</v>
      </c>
      <c r="I868" s="214">
        <v>0</v>
      </c>
      <c r="J868" s="214">
        <v>0</v>
      </c>
      <c r="K868" s="214">
        <v>0</v>
      </c>
      <c r="L868" s="214">
        <v>0</v>
      </c>
      <c r="M868" s="214">
        <v>0</v>
      </c>
      <c r="N868" s="214">
        <v>0</v>
      </c>
      <c r="O868" s="214">
        <v>0</v>
      </c>
      <c r="P868" s="214">
        <v>0</v>
      </c>
      <c r="Q868" s="214">
        <v>0</v>
      </c>
      <c r="R868" s="214">
        <v>0</v>
      </c>
      <c r="S868" s="214">
        <v>0</v>
      </c>
      <c r="T868" s="214">
        <v>0</v>
      </c>
      <c r="U868" s="214">
        <v>0</v>
      </c>
      <c r="V868" s="214">
        <v>0</v>
      </c>
      <c r="W868" s="214">
        <v>0</v>
      </c>
      <c r="X868" s="214">
        <v>0</v>
      </c>
      <c r="Y868" s="214">
        <v>0</v>
      </c>
      <c r="Z868" s="214">
        <v>0</v>
      </c>
      <c r="AA868" s="214">
        <v>0</v>
      </c>
      <c r="AB868" s="214">
        <v>0</v>
      </c>
      <c r="AC868" s="214">
        <v>0</v>
      </c>
      <c r="AD868" s="215"/>
      <c r="AE868" s="420">
        <v>0</v>
      </c>
      <c r="AF868" s="420">
        <v>0</v>
      </c>
      <c r="AG868" s="420">
        <v>0</v>
      </c>
      <c r="AH868" s="420"/>
      <c r="AI868" s="574">
        <f t="shared" si="20"/>
        <v>20793.88</v>
      </c>
      <c r="AJ868" s="212"/>
    </row>
    <row r="869" spans="2:36" ht="14.4">
      <c r="B869" s="211"/>
      <c r="C869" s="213" t="s">
        <v>207</v>
      </c>
      <c r="D869" s="214">
        <v>11400</v>
      </c>
      <c r="E869" s="214">
        <v>3881.25</v>
      </c>
      <c r="F869" s="214">
        <v>3450</v>
      </c>
      <c r="G869" s="214">
        <v>3975</v>
      </c>
      <c r="H869" s="214">
        <v>862.5</v>
      </c>
      <c r="I869" s="214">
        <v>1293.75</v>
      </c>
      <c r="J869" s="214">
        <v>0</v>
      </c>
      <c r="K869" s="214">
        <v>0</v>
      </c>
      <c r="L869" s="214">
        <v>862.5</v>
      </c>
      <c r="M869" s="214">
        <v>1293.75</v>
      </c>
      <c r="N869" s="214">
        <v>431.25</v>
      </c>
      <c r="O869" s="214">
        <v>0</v>
      </c>
      <c r="P869" s="214">
        <v>431.25</v>
      </c>
      <c r="Q869" s="214">
        <v>431.25</v>
      </c>
      <c r="R869" s="214">
        <v>1387.5</v>
      </c>
      <c r="S869" s="214">
        <v>862.5</v>
      </c>
      <c r="T869" s="214">
        <v>0</v>
      </c>
      <c r="U869" s="214">
        <v>0</v>
      </c>
      <c r="V869" s="214"/>
      <c r="W869" s="214"/>
      <c r="X869" s="214">
        <v>431.25</v>
      </c>
      <c r="Y869" s="214">
        <v>431.25</v>
      </c>
      <c r="Z869" s="214">
        <v>0</v>
      </c>
      <c r="AA869" s="214">
        <v>431.25</v>
      </c>
      <c r="AB869" s="214">
        <v>0</v>
      </c>
      <c r="AC869" s="214">
        <v>862.5</v>
      </c>
      <c r="AD869" s="215"/>
      <c r="AE869" s="420">
        <v>431.25</v>
      </c>
      <c r="AF869" s="420"/>
      <c r="AG869" s="420"/>
      <c r="AH869" s="420"/>
      <c r="AI869" s="574">
        <f t="shared" si="20"/>
        <v>33150</v>
      </c>
      <c r="AJ869" s="212"/>
    </row>
    <row r="870" spans="2:36" ht="14.4">
      <c r="B870" s="211"/>
      <c r="C870" s="213" t="s">
        <v>208</v>
      </c>
      <c r="D870" s="214">
        <v>22914.91</v>
      </c>
      <c r="E870" s="214">
        <v>0</v>
      </c>
      <c r="F870" s="214">
        <v>0</v>
      </c>
      <c r="G870" s="214">
        <v>0</v>
      </c>
      <c r="H870" s="214">
        <v>0</v>
      </c>
      <c r="I870" s="214">
        <v>0</v>
      </c>
      <c r="J870" s="214">
        <v>0</v>
      </c>
      <c r="K870" s="214">
        <v>0</v>
      </c>
      <c r="L870" s="214">
        <v>0</v>
      </c>
      <c r="M870" s="214">
        <v>0</v>
      </c>
      <c r="N870" s="214">
        <v>0</v>
      </c>
      <c r="O870" s="214">
        <v>0</v>
      </c>
      <c r="P870" s="214">
        <v>0</v>
      </c>
      <c r="Q870" s="214">
        <v>0</v>
      </c>
      <c r="R870" s="214">
        <v>0</v>
      </c>
      <c r="S870" s="214">
        <v>0</v>
      </c>
      <c r="T870" s="214">
        <v>0</v>
      </c>
      <c r="U870" s="214">
        <v>0</v>
      </c>
      <c r="V870" s="214">
        <v>0</v>
      </c>
      <c r="W870" s="214">
        <v>0</v>
      </c>
      <c r="X870" s="214">
        <v>0</v>
      </c>
      <c r="Y870" s="214">
        <v>0</v>
      </c>
      <c r="Z870" s="214">
        <v>0</v>
      </c>
      <c r="AA870" s="214">
        <v>0</v>
      </c>
      <c r="AB870" s="214">
        <v>0</v>
      </c>
      <c r="AC870" s="214">
        <v>0</v>
      </c>
      <c r="AD870" s="215"/>
      <c r="AE870" s="420">
        <v>0</v>
      </c>
      <c r="AF870" s="420">
        <v>0</v>
      </c>
      <c r="AG870" s="420">
        <v>0</v>
      </c>
      <c r="AH870" s="420"/>
      <c r="AI870" s="574">
        <f t="shared" si="20"/>
        <v>22914.91</v>
      </c>
      <c r="AJ870" s="212"/>
    </row>
    <row r="871" spans="2:36" ht="14.4">
      <c r="B871" s="211"/>
      <c r="C871" s="213" t="s">
        <v>236</v>
      </c>
      <c r="D871" s="214">
        <v>24094.78</v>
      </c>
      <c r="E871" s="214">
        <v>0</v>
      </c>
      <c r="F871" s="214">
        <v>0</v>
      </c>
      <c r="G871" s="214">
        <v>0</v>
      </c>
      <c r="H871" s="214">
        <v>0</v>
      </c>
      <c r="I871" s="214">
        <v>0</v>
      </c>
      <c r="J871" s="214">
        <v>0</v>
      </c>
      <c r="K871" s="214">
        <v>0</v>
      </c>
      <c r="L871" s="214">
        <v>0</v>
      </c>
      <c r="M871" s="214">
        <v>0</v>
      </c>
      <c r="N871" s="214">
        <v>0</v>
      </c>
      <c r="O871" s="214">
        <v>0</v>
      </c>
      <c r="P871" s="214">
        <v>0</v>
      </c>
      <c r="Q871" s="214">
        <v>0</v>
      </c>
      <c r="R871" s="214">
        <v>0</v>
      </c>
      <c r="S871" s="214">
        <v>0</v>
      </c>
      <c r="T871" s="214">
        <v>0</v>
      </c>
      <c r="U871" s="214">
        <v>0</v>
      </c>
      <c r="V871" s="214">
        <v>0</v>
      </c>
      <c r="W871" s="214">
        <v>0</v>
      </c>
      <c r="X871" s="214">
        <v>0</v>
      </c>
      <c r="Y871" s="214">
        <v>0</v>
      </c>
      <c r="Z871" s="214">
        <v>0</v>
      </c>
      <c r="AA871" s="214">
        <v>0</v>
      </c>
      <c r="AB871" s="214">
        <v>0</v>
      </c>
      <c r="AC871" s="214">
        <v>0</v>
      </c>
      <c r="AD871" s="215"/>
      <c r="AE871" s="420">
        <v>0</v>
      </c>
      <c r="AF871" s="420">
        <v>0</v>
      </c>
      <c r="AG871" s="420">
        <v>0</v>
      </c>
      <c r="AH871" s="420"/>
      <c r="AI871" s="574">
        <f t="shared" si="20"/>
        <v>24094.78</v>
      </c>
      <c r="AJ871" s="212"/>
    </row>
    <row r="872" spans="2:36" ht="14.4">
      <c r="B872" s="211"/>
      <c r="C872" s="240" t="s">
        <v>209</v>
      </c>
      <c r="D872" s="214">
        <v>10000</v>
      </c>
      <c r="E872" s="214">
        <v>0</v>
      </c>
      <c r="F872" s="214">
        <v>0</v>
      </c>
      <c r="G872" s="214">
        <v>0</v>
      </c>
      <c r="H872" s="214">
        <v>0</v>
      </c>
      <c r="I872" s="214">
        <v>0</v>
      </c>
      <c r="J872" s="214">
        <v>0</v>
      </c>
      <c r="K872" s="214">
        <v>0</v>
      </c>
      <c r="L872" s="214">
        <v>0</v>
      </c>
      <c r="M872" s="214">
        <v>0</v>
      </c>
      <c r="N872" s="214">
        <v>0</v>
      </c>
      <c r="O872" s="214">
        <v>0</v>
      </c>
      <c r="P872" s="214">
        <v>0</v>
      </c>
      <c r="Q872" s="214">
        <v>0</v>
      </c>
      <c r="R872" s="214">
        <v>0</v>
      </c>
      <c r="S872" s="214">
        <v>0</v>
      </c>
      <c r="T872" s="214">
        <v>0</v>
      </c>
      <c r="U872" s="214">
        <v>0</v>
      </c>
      <c r="V872" s="214">
        <v>0</v>
      </c>
      <c r="W872" s="214">
        <v>0</v>
      </c>
      <c r="X872" s="214">
        <v>0</v>
      </c>
      <c r="Y872" s="214">
        <v>0</v>
      </c>
      <c r="Z872" s="214">
        <v>0</v>
      </c>
      <c r="AA872" s="214">
        <v>0</v>
      </c>
      <c r="AB872" s="214">
        <v>0</v>
      </c>
      <c r="AC872" s="214">
        <v>0</v>
      </c>
      <c r="AD872" s="215"/>
      <c r="AE872" s="420">
        <v>0</v>
      </c>
      <c r="AF872" s="420">
        <v>0</v>
      </c>
      <c r="AG872" s="420">
        <v>0</v>
      </c>
      <c r="AH872" s="420"/>
      <c r="AI872" s="574">
        <f t="shared" si="20"/>
        <v>10000</v>
      </c>
      <c r="AJ872" s="212"/>
    </row>
    <row r="873" spans="2:36" ht="14.4">
      <c r="B873" s="211"/>
      <c r="C873" s="240" t="s">
        <v>360</v>
      </c>
      <c r="D873" s="214"/>
      <c r="E873" s="214">
        <v>393717.5</v>
      </c>
      <c r="F873" s="214">
        <v>208160.84000000003</v>
      </c>
      <c r="G873" s="214"/>
      <c r="H873" s="214">
        <v>450649.55</v>
      </c>
      <c r="I873" s="214"/>
      <c r="J873" s="214"/>
      <c r="K873" s="214"/>
      <c r="L873" s="214"/>
      <c r="M873" s="214">
        <v>103886.42</v>
      </c>
      <c r="N873" s="214">
        <v>23.21</v>
      </c>
      <c r="O873" s="214">
        <v>261399.41000000003</v>
      </c>
      <c r="P873" s="214">
        <v>136695.21000000002</v>
      </c>
      <c r="Q873" s="214">
        <v>268238.49</v>
      </c>
      <c r="R873" s="214">
        <v>96.05</v>
      </c>
      <c r="S873" s="214">
        <v>117191.68000000001</v>
      </c>
      <c r="T873" s="214"/>
      <c r="U873" s="214"/>
      <c r="V873" s="214"/>
      <c r="W873" s="214"/>
      <c r="X873" s="214"/>
      <c r="Y873" s="214"/>
      <c r="Z873" s="214"/>
      <c r="AA873" s="214"/>
      <c r="AB873" s="214"/>
      <c r="AC873" s="214"/>
      <c r="AD873" s="241"/>
      <c r="AE873" s="420">
        <v>222669.11</v>
      </c>
      <c r="AF873" s="420"/>
      <c r="AG873" s="420"/>
      <c r="AH873" s="420"/>
      <c r="AI873" s="574">
        <f t="shared" si="20"/>
        <v>2162727.4700000002</v>
      </c>
      <c r="AJ873" s="212"/>
    </row>
    <row r="874" spans="2:36" ht="14.4">
      <c r="B874" s="211"/>
      <c r="C874" s="240" t="s">
        <v>390</v>
      </c>
      <c r="D874" s="214">
        <v>0</v>
      </c>
      <c r="E874" s="214">
        <v>0</v>
      </c>
      <c r="F874" s="214">
        <v>0</v>
      </c>
      <c r="G874" s="214">
        <v>0</v>
      </c>
      <c r="H874" s="214">
        <v>0</v>
      </c>
      <c r="I874" s="214">
        <v>0</v>
      </c>
      <c r="J874" s="214">
        <v>0</v>
      </c>
      <c r="K874" s="214">
        <v>0</v>
      </c>
      <c r="L874" s="214">
        <v>0</v>
      </c>
      <c r="M874" s="214">
        <v>0</v>
      </c>
      <c r="N874" s="214">
        <v>0</v>
      </c>
      <c r="O874" s="214">
        <v>0</v>
      </c>
      <c r="P874" s="214">
        <v>0</v>
      </c>
      <c r="Q874" s="214">
        <v>0</v>
      </c>
      <c r="R874" s="214">
        <v>0</v>
      </c>
      <c r="S874" s="214">
        <v>0</v>
      </c>
      <c r="T874" s="214">
        <v>0</v>
      </c>
      <c r="U874" s="214">
        <v>0</v>
      </c>
      <c r="V874" s="214">
        <v>0</v>
      </c>
      <c r="W874" s="214">
        <v>0</v>
      </c>
      <c r="X874" s="214">
        <v>0</v>
      </c>
      <c r="Y874" s="214">
        <v>0</v>
      </c>
      <c r="Z874" s="214">
        <v>0</v>
      </c>
      <c r="AA874" s="214">
        <v>0</v>
      </c>
      <c r="AB874" s="214">
        <v>0</v>
      </c>
      <c r="AC874" s="214">
        <v>0</v>
      </c>
      <c r="AD874" s="241"/>
      <c r="AE874" s="420">
        <v>0</v>
      </c>
      <c r="AF874" s="420">
        <v>0</v>
      </c>
      <c r="AG874" s="420">
        <v>0</v>
      </c>
      <c r="AH874" s="420"/>
      <c r="AI874" s="574">
        <f t="shared" si="20"/>
        <v>0</v>
      </c>
      <c r="AJ874" s="212"/>
    </row>
    <row r="875" spans="2:36" ht="14.4">
      <c r="B875" s="211"/>
      <c r="C875" s="240" t="s">
        <v>392</v>
      </c>
      <c r="D875" s="214">
        <v>0</v>
      </c>
      <c r="E875" s="214">
        <v>62211.040000000001</v>
      </c>
      <c r="F875" s="214">
        <v>44918.8</v>
      </c>
      <c r="G875" s="214">
        <v>0</v>
      </c>
      <c r="H875" s="214">
        <v>79332.69</v>
      </c>
      <c r="I875" s="214">
        <v>0</v>
      </c>
      <c r="J875" s="214">
        <v>0</v>
      </c>
      <c r="K875" s="214">
        <v>0</v>
      </c>
      <c r="L875" s="214">
        <v>0</v>
      </c>
      <c r="M875" s="214">
        <v>27532.23</v>
      </c>
      <c r="N875" s="214">
        <v>31.43</v>
      </c>
      <c r="O875" s="214">
        <v>38799.740000000005</v>
      </c>
      <c r="P875" s="214">
        <v>19425.43</v>
      </c>
      <c r="Q875" s="214">
        <v>46287.32</v>
      </c>
      <c r="R875" s="214">
        <v>35</v>
      </c>
      <c r="S875" s="214">
        <v>26105.599999999999</v>
      </c>
      <c r="T875" s="214">
        <v>0</v>
      </c>
      <c r="U875" s="214">
        <v>0</v>
      </c>
      <c r="V875" s="214">
        <v>0</v>
      </c>
      <c r="W875" s="214">
        <v>0</v>
      </c>
      <c r="X875" s="214">
        <v>0</v>
      </c>
      <c r="Y875" s="214">
        <v>0</v>
      </c>
      <c r="Z875" s="214">
        <v>0</v>
      </c>
      <c r="AA875" s="214">
        <v>0</v>
      </c>
      <c r="AB875" s="214">
        <v>0</v>
      </c>
      <c r="AC875" s="214">
        <v>0</v>
      </c>
      <c r="AD875" s="241">
        <v>0</v>
      </c>
      <c r="AE875" s="420">
        <v>49139.47</v>
      </c>
      <c r="AF875" s="420">
        <v>0</v>
      </c>
      <c r="AG875" s="420">
        <v>0</v>
      </c>
      <c r="AH875" s="420">
        <v>0</v>
      </c>
      <c r="AI875" s="574">
        <f t="shared" si="20"/>
        <v>393818.75</v>
      </c>
      <c r="AJ875" s="212"/>
    </row>
    <row r="876" spans="2:36" ht="14.4">
      <c r="B876" s="211"/>
      <c r="C876" s="516" t="s">
        <v>400</v>
      </c>
      <c r="D876" s="241">
        <v>145389.75</v>
      </c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420"/>
      <c r="AF876" s="420"/>
      <c r="AG876" s="420"/>
      <c r="AH876" s="420"/>
      <c r="AI876" s="574">
        <f t="shared" si="20"/>
        <v>145389.75</v>
      </c>
      <c r="AJ876" s="212"/>
    </row>
    <row r="877" spans="2:36" ht="14.4">
      <c r="B877" s="211"/>
      <c r="C877" s="149" t="s">
        <v>239</v>
      </c>
      <c r="D877" s="217">
        <f>SUM(D763:D876)</f>
        <v>2516501.6999999997</v>
      </c>
      <c r="E877" s="217">
        <f t="shared" ref="E877:AH877" si="21">SUM(E763:E875)</f>
        <v>1023718.5599999999</v>
      </c>
      <c r="F877" s="217">
        <f t="shared" si="21"/>
        <v>842125.76</v>
      </c>
      <c r="G877" s="217">
        <f t="shared" si="21"/>
        <v>490212.36</v>
      </c>
      <c r="H877" s="217">
        <f t="shared" si="21"/>
        <v>1096504.8399999999</v>
      </c>
      <c r="I877" s="217">
        <f t="shared" si="21"/>
        <v>88867.294999999998</v>
      </c>
      <c r="J877" s="217">
        <f t="shared" si="21"/>
        <v>24896.699999999997</v>
      </c>
      <c r="K877" s="217">
        <f t="shared" si="21"/>
        <v>18190.689999999995</v>
      </c>
      <c r="L877" s="217">
        <f t="shared" si="21"/>
        <v>25350.12</v>
      </c>
      <c r="M877" s="217">
        <f t="shared" si="21"/>
        <v>383670.22</v>
      </c>
      <c r="N877" s="217">
        <f t="shared" si="21"/>
        <v>60501.659999999996</v>
      </c>
      <c r="O877" s="217">
        <f t="shared" si="21"/>
        <v>650999.1399999999</v>
      </c>
      <c r="P877" s="217">
        <f t="shared" si="21"/>
        <v>414195.87</v>
      </c>
      <c r="Q877" s="217">
        <f t="shared" si="21"/>
        <v>1010543.67</v>
      </c>
      <c r="R877" s="217">
        <f t="shared" si="21"/>
        <v>82936.710000000021</v>
      </c>
      <c r="S877" s="217">
        <f t="shared" si="21"/>
        <v>408916.32999999996</v>
      </c>
      <c r="T877" s="217">
        <f t="shared" si="21"/>
        <v>17974.239999999998</v>
      </c>
      <c r="U877" s="217">
        <f t="shared" si="21"/>
        <v>28804.36</v>
      </c>
      <c r="V877" s="217">
        <f t="shared" si="21"/>
        <v>29254.750000000004</v>
      </c>
      <c r="W877" s="217">
        <f t="shared" si="21"/>
        <v>11675.51</v>
      </c>
      <c r="X877" s="217">
        <f t="shared" si="21"/>
        <v>49776.85</v>
      </c>
      <c r="Y877" s="217">
        <f t="shared" si="21"/>
        <v>15871.52</v>
      </c>
      <c r="Z877" s="217">
        <f t="shared" si="21"/>
        <v>17277.36</v>
      </c>
      <c r="AA877" s="217">
        <f t="shared" si="21"/>
        <v>44022.880000000005</v>
      </c>
      <c r="AB877" s="217">
        <f t="shared" si="21"/>
        <v>38079.97</v>
      </c>
      <c r="AC877" s="217">
        <f t="shared" si="21"/>
        <v>27380.890000000003</v>
      </c>
      <c r="AD877" s="217">
        <f t="shared" si="21"/>
        <v>0</v>
      </c>
      <c r="AE877" s="217">
        <f t="shared" si="21"/>
        <v>686974.74</v>
      </c>
      <c r="AF877" s="217">
        <f t="shared" si="21"/>
        <v>16349.320000000002</v>
      </c>
      <c r="AG877" s="217">
        <f t="shared" si="21"/>
        <v>46679.41</v>
      </c>
      <c r="AH877" s="217">
        <f t="shared" si="21"/>
        <v>0</v>
      </c>
      <c r="AI877" s="575">
        <f>SUM(AI763:AI876)</f>
        <v>10168253.425000003</v>
      </c>
      <c r="AJ877" s="212"/>
    </row>
    <row r="878" spans="2:36" ht="14.4">
      <c r="B878" s="218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  <c r="AB878" s="219"/>
      <c r="AC878" s="219"/>
      <c r="AD878" s="219"/>
      <c r="AE878" s="219"/>
      <c r="AF878" s="219"/>
      <c r="AG878" s="219"/>
      <c r="AH878" s="219"/>
      <c r="AI878" s="576"/>
      <c r="AJ878" s="212"/>
    </row>
    <row r="879" spans="2:36" ht="14.4">
      <c r="B879" s="209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  <c r="AA879" s="202"/>
      <c r="AB879" s="202"/>
      <c r="AC879" s="202"/>
      <c r="AD879" s="202"/>
      <c r="AE879" s="202"/>
      <c r="AF879" s="202"/>
      <c r="AG879" s="202"/>
      <c r="AH879" s="202"/>
      <c r="AI879" s="577"/>
      <c r="AJ879" s="209"/>
    </row>
    <row r="880" spans="2:36" ht="14.4">
      <c r="B880" s="220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  <c r="AB880" s="221"/>
      <c r="AC880" s="221"/>
      <c r="AD880" s="221"/>
      <c r="AE880" s="221"/>
      <c r="AF880" s="221"/>
      <c r="AG880" s="221"/>
      <c r="AH880" s="221"/>
      <c r="AI880" s="578"/>
      <c r="AJ880" s="222"/>
    </row>
    <row r="884" spans="1:36">
      <c r="A884" s="202"/>
    </row>
    <row r="885" spans="1:36" ht="21">
      <c r="A885" s="203"/>
      <c r="B885" s="204"/>
      <c r="C885" s="116" t="s">
        <v>272</v>
      </c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570"/>
      <c r="AJ885" s="117"/>
    </row>
    <row r="886" spans="1:36" ht="21">
      <c r="A886" s="206"/>
      <c r="B886" s="207"/>
      <c r="C886" s="119"/>
      <c r="D886" s="120"/>
      <c r="E886" s="634"/>
      <c r="F886" s="634"/>
      <c r="G886" s="634"/>
      <c r="H886" s="634"/>
      <c r="I886" s="634"/>
      <c r="J886" s="634"/>
      <c r="K886" s="120"/>
      <c r="L886" s="120"/>
      <c r="M886" s="120"/>
      <c r="N886" s="634" t="s">
        <v>394</v>
      </c>
      <c r="O886" s="634"/>
      <c r="P886" s="634"/>
      <c r="Q886" s="634"/>
      <c r="R886" s="634"/>
      <c r="S886" s="634"/>
      <c r="T886" s="634"/>
      <c r="U886" s="634"/>
      <c r="V886" s="634"/>
      <c r="W886" s="634"/>
      <c r="X886" s="634"/>
      <c r="Y886" s="634"/>
      <c r="Z886" s="634"/>
      <c r="AA886" s="120"/>
      <c r="AB886" s="120"/>
      <c r="AC886" s="120"/>
      <c r="AD886" s="120"/>
      <c r="AE886" s="120"/>
      <c r="AF886" s="120"/>
      <c r="AG886" s="120"/>
      <c r="AH886" s="120"/>
      <c r="AI886" s="571"/>
      <c r="AJ886" s="120"/>
    </row>
    <row r="887" spans="1:36" ht="14.4">
      <c r="A887" s="205"/>
    </row>
    <row r="888" spans="1:36" ht="14.4">
      <c r="B888" s="208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  <c r="AH888" s="209"/>
      <c r="AI888" s="573"/>
      <c r="AJ888" s="210"/>
    </row>
    <row r="889" spans="1:36" ht="14.4">
      <c r="B889" s="211"/>
      <c r="C889" s="133" t="s">
        <v>264</v>
      </c>
      <c r="D889" s="126" t="s">
        <v>184</v>
      </c>
      <c r="E889" s="201" t="s">
        <v>36</v>
      </c>
      <c r="F889" s="201" t="s">
        <v>9</v>
      </c>
      <c r="G889" s="201" t="s">
        <v>25</v>
      </c>
      <c r="H889" s="201" t="s">
        <v>160</v>
      </c>
      <c r="I889" s="201" t="s">
        <v>139</v>
      </c>
      <c r="J889" s="201" t="s">
        <v>37</v>
      </c>
      <c r="K889" s="201" t="s">
        <v>133</v>
      </c>
      <c r="L889" s="201" t="s">
        <v>123</v>
      </c>
      <c r="M889" s="201" t="s">
        <v>145</v>
      </c>
      <c r="N889" s="201" t="s">
        <v>124</v>
      </c>
      <c r="O889" s="201" t="s">
        <v>169</v>
      </c>
      <c r="P889" s="201" t="s">
        <v>243</v>
      </c>
      <c r="Q889" s="201" t="s">
        <v>175</v>
      </c>
      <c r="R889" s="201" t="s">
        <v>170</v>
      </c>
      <c r="S889" s="201" t="s">
        <v>203</v>
      </c>
      <c r="T889" s="201" t="s">
        <v>172</v>
      </c>
      <c r="U889" s="201" t="s">
        <v>176</v>
      </c>
      <c r="V889" s="201" t="s">
        <v>177</v>
      </c>
      <c r="W889" s="201" t="s">
        <v>178</v>
      </c>
      <c r="X889" s="201" t="s">
        <v>179</v>
      </c>
      <c r="Y889" s="201" t="s">
        <v>181</v>
      </c>
      <c r="Z889" s="201" t="s">
        <v>182</v>
      </c>
      <c r="AA889" s="201" t="s">
        <v>187</v>
      </c>
      <c r="AB889" s="201" t="s">
        <v>233</v>
      </c>
      <c r="AC889" s="201" t="s">
        <v>240</v>
      </c>
      <c r="AD889" s="201" t="s">
        <v>245</v>
      </c>
      <c r="AE889" s="201" t="s">
        <v>357</v>
      </c>
      <c r="AF889" s="201" t="s">
        <v>362</v>
      </c>
      <c r="AG889" s="201" t="s">
        <v>361</v>
      </c>
      <c r="AH889" s="201" t="s">
        <v>234</v>
      </c>
      <c r="AI889" s="568" t="s">
        <v>239</v>
      </c>
      <c r="AJ889" s="212"/>
    </row>
    <row r="890" spans="1:36" ht="14.4">
      <c r="B890" s="211"/>
      <c r="C890" s="213" t="s">
        <v>40</v>
      </c>
      <c r="D890" s="214">
        <v>1266314.54</v>
      </c>
      <c r="E890" s="214">
        <v>0</v>
      </c>
      <c r="F890" s="214">
        <v>0</v>
      </c>
      <c r="G890" s="214">
        <v>0</v>
      </c>
      <c r="H890" s="214">
        <v>0</v>
      </c>
      <c r="I890" s="214">
        <v>0</v>
      </c>
      <c r="J890" s="214">
        <v>0</v>
      </c>
      <c r="K890" s="214">
        <v>0</v>
      </c>
      <c r="L890" s="214">
        <v>0</v>
      </c>
      <c r="M890" s="214">
        <v>0</v>
      </c>
      <c r="N890" s="214">
        <v>0</v>
      </c>
      <c r="O890" s="214">
        <v>0</v>
      </c>
      <c r="P890" s="214">
        <v>0</v>
      </c>
      <c r="Q890" s="214">
        <v>0</v>
      </c>
      <c r="R890" s="214">
        <v>0</v>
      </c>
      <c r="S890" s="214">
        <v>0</v>
      </c>
      <c r="T890" s="214">
        <v>0</v>
      </c>
      <c r="U890" s="214">
        <v>0</v>
      </c>
      <c r="V890" s="214">
        <v>0</v>
      </c>
      <c r="W890" s="214">
        <v>0</v>
      </c>
      <c r="X890" s="214">
        <v>0</v>
      </c>
      <c r="Y890" s="214">
        <v>0</v>
      </c>
      <c r="Z890" s="214">
        <v>0</v>
      </c>
      <c r="AA890" s="214">
        <v>0</v>
      </c>
      <c r="AB890" s="214">
        <v>0</v>
      </c>
      <c r="AC890" s="214">
        <v>0</v>
      </c>
      <c r="AD890" s="215"/>
      <c r="AE890" s="420">
        <v>0</v>
      </c>
      <c r="AF890" s="420">
        <v>0</v>
      </c>
      <c r="AG890" s="420">
        <v>0</v>
      </c>
      <c r="AH890" s="420"/>
      <c r="AI890" s="574">
        <f>SUM(D890:AH890)</f>
        <v>1266314.54</v>
      </c>
      <c r="AJ890" s="212"/>
    </row>
    <row r="891" spans="1:36" ht="14.4">
      <c r="B891" s="211"/>
      <c r="C891" s="213" t="s">
        <v>41</v>
      </c>
      <c r="D891" s="214">
        <v>0</v>
      </c>
      <c r="E891" s="214">
        <v>323117.12</v>
      </c>
      <c r="F891" s="214">
        <v>353162.63999999996</v>
      </c>
      <c r="G891" s="214">
        <v>281311.24</v>
      </c>
      <c r="H891" s="214">
        <v>438049.72</v>
      </c>
      <c r="I891" s="214">
        <v>42282.119999999995</v>
      </c>
      <c r="J891" s="214">
        <v>21718.85</v>
      </c>
      <c r="K891" s="214">
        <v>16255.18</v>
      </c>
      <c r="L891" s="214">
        <v>19712.740000000002</v>
      </c>
      <c r="M891" s="214">
        <v>230937.76</v>
      </c>
      <c r="N891" s="214">
        <v>33022.69</v>
      </c>
      <c r="O891" s="214">
        <v>309902.64</v>
      </c>
      <c r="P891" s="214">
        <v>219277.31999999998</v>
      </c>
      <c r="Q891" s="214">
        <v>431511.25</v>
      </c>
      <c r="R891" s="214">
        <v>57300.4</v>
      </c>
      <c r="S891" s="214">
        <v>181585.56</v>
      </c>
      <c r="T891" s="214">
        <v>22950.399999999998</v>
      </c>
      <c r="U891" s="214">
        <v>22061.1</v>
      </c>
      <c r="V891" s="214">
        <v>24582.92</v>
      </c>
      <c r="W891" s="214">
        <v>8043.64</v>
      </c>
      <c r="X891" s="214">
        <v>10659.62</v>
      </c>
      <c r="Y891" s="214">
        <v>10712.18</v>
      </c>
      <c r="Z891" s="214">
        <v>7014.8</v>
      </c>
      <c r="AA891" s="214">
        <v>9294.23</v>
      </c>
      <c r="AB891" s="214">
        <v>40042.769999999997</v>
      </c>
      <c r="AC891" s="214">
        <v>23163.94</v>
      </c>
      <c r="AD891" s="215"/>
      <c r="AE891" s="420">
        <v>311197.58</v>
      </c>
      <c r="AF891" s="420">
        <v>6893.79</v>
      </c>
      <c r="AG891" s="420">
        <v>33590.629999999997</v>
      </c>
      <c r="AH891" s="420">
        <v>0</v>
      </c>
      <c r="AI891" s="574">
        <f t="shared" ref="AI891:AI954" si="22">SUM(D891:AH891)</f>
        <v>3489354.8299999996</v>
      </c>
      <c r="AJ891" s="212"/>
    </row>
    <row r="892" spans="1:36" ht="14.4">
      <c r="B892" s="211"/>
      <c r="C892" s="213" t="s">
        <v>26</v>
      </c>
      <c r="D892" s="214">
        <v>12995</v>
      </c>
      <c r="E892" s="214">
        <v>7215</v>
      </c>
      <c r="F892" s="214">
        <v>8000</v>
      </c>
      <c r="G892" s="214">
        <v>8391</v>
      </c>
      <c r="H892" s="214">
        <v>13041</v>
      </c>
      <c r="I892" s="214">
        <v>0</v>
      </c>
      <c r="J892" s="214">
        <v>0</v>
      </c>
      <c r="K892" s="214">
        <v>0</v>
      </c>
      <c r="L892" s="214">
        <v>0</v>
      </c>
      <c r="M892" s="214">
        <v>0</v>
      </c>
      <c r="N892" s="214">
        <v>0</v>
      </c>
      <c r="O892" s="214">
        <v>2500</v>
      </c>
      <c r="P892" s="214">
        <v>6425</v>
      </c>
      <c r="Q892" s="214">
        <v>0</v>
      </c>
      <c r="R892" s="214">
        <v>4200</v>
      </c>
      <c r="S892" s="214">
        <v>5480</v>
      </c>
      <c r="T892" s="214">
        <v>0</v>
      </c>
      <c r="U892" s="214">
        <v>0</v>
      </c>
      <c r="V892" s="214">
        <v>0</v>
      </c>
      <c r="W892" s="214">
        <v>0</v>
      </c>
      <c r="X892" s="214">
        <v>0</v>
      </c>
      <c r="Y892" s="214">
        <v>0</v>
      </c>
      <c r="Z892" s="214">
        <v>0</v>
      </c>
      <c r="AA892" s="214">
        <v>0</v>
      </c>
      <c r="AB892" s="214">
        <v>0</v>
      </c>
      <c r="AC892" s="214">
        <v>0</v>
      </c>
      <c r="AD892" s="215"/>
      <c r="AE892" s="420">
        <v>3200</v>
      </c>
      <c r="AF892" s="420">
        <v>0</v>
      </c>
      <c r="AG892" s="420">
        <v>0</v>
      </c>
      <c r="AH892" s="420"/>
      <c r="AI892" s="574">
        <f t="shared" si="22"/>
        <v>71447</v>
      </c>
      <c r="AJ892" s="212"/>
    </row>
    <row r="893" spans="1:36" ht="14.4">
      <c r="B893" s="211"/>
      <c r="C893" s="213" t="s">
        <v>27</v>
      </c>
      <c r="D893" s="214">
        <v>0</v>
      </c>
      <c r="E893" s="214">
        <v>569</v>
      </c>
      <c r="F893" s="214">
        <v>0</v>
      </c>
      <c r="G893" s="214">
        <v>118</v>
      </c>
      <c r="H893" s="214">
        <v>0</v>
      </c>
      <c r="I893" s="214">
        <v>0</v>
      </c>
      <c r="J893" s="214">
        <v>0</v>
      </c>
      <c r="K893" s="214">
        <v>0</v>
      </c>
      <c r="L893" s="214">
        <v>0</v>
      </c>
      <c r="M893" s="214">
        <v>0</v>
      </c>
      <c r="N893" s="214">
        <v>0</v>
      </c>
      <c r="O893" s="214">
        <v>0</v>
      </c>
      <c r="P893" s="214">
        <v>0</v>
      </c>
      <c r="Q893" s="214">
        <v>0</v>
      </c>
      <c r="R893" s="214">
        <v>540</v>
      </c>
      <c r="S893" s="214">
        <v>0</v>
      </c>
      <c r="T893" s="214">
        <v>0</v>
      </c>
      <c r="U893" s="214">
        <v>0</v>
      </c>
      <c r="V893" s="214">
        <v>0</v>
      </c>
      <c r="W893" s="214">
        <v>0</v>
      </c>
      <c r="X893" s="214">
        <v>0</v>
      </c>
      <c r="Y893" s="214">
        <v>0</v>
      </c>
      <c r="Z893" s="214">
        <v>0</v>
      </c>
      <c r="AA893" s="214">
        <v>0</v>
      </c>
      <c r="AB893" s="214">
        <v>0</v>
      </c>
      <c r="AC893" s="214">
        <v>0</v>
      </c>
      <c r="AD893" s="215"/>
      <c r="AE893" s="420">
        <v>0</v>
      </c>
      <c r="AF893" s="420">
        <v>0</v>
      </c>
      <c r="AG893" s="420">
        <v>0</v>
      </c>
      <c r="AH893" s="420"/>
      <c r="AI893" s="574">
        <f t="shared" si="22"/>
        <v>1227</v>
      </c>
      <c r="AJ893" s="212"/>
    </row>
    <row r="894" spans="1:36" ht="14.4">
      <c r="B894" s="211"/>
      <c r="C894" s="213" t="s">
        <v>42</v>
      </c>
      <c r="D894" s="214">
        <v>0</v>
      </c>
      <c r="E894" s="214">
        <v>0</v>
      </c>
      <c r="F894" s="214">
        <v>0</v>
      </c>
      <c r="G894" s="214">
        <v>0</v>
      </c>
      <c r="H894" s="214">
        <v>0</v>
      </c>
      <c r="I894" s="214">
        <v>0</v>
      </c>
      <c r="J894" s="214">
        <v>0</v>
      </c>
      <c r="K894" s="214">
        <v>0</v>
      </c>
      <c r="L894" s="214">
        <v>0</v>
      </c>
      <c r="M894" s="214">
        <v>0</v>
      </c>
      <c r="N894" s="214">
        <v>0</v>
      </c>
      <c r="O894" s="214">
        <v>0</v>
      </c>
      <c r="P894" s="214">
        <v>0</v>
      </c>
      <c r="Q894" s="214">
        <v>0</v>
      </c>
      <c r="R894" s="214">
        <v>0</v>
      </c>
      <c r="S894" s="214">
        <v>0</v>
      </c>
      <c r="T894" s="214">
        <v>0</v>
      </c>
      <c r="U894" s="214">
        <v>0</v>
      </c>
      <c r="V894" s="214">
        <v>0</v>
      </c>
      <c r="W894" s="214">
        <v>0</v>
      </c>
      <c r="X894" s="214">
        <v>0</v>
      </c>
      <c r="Y894" s="214">
        <v>0</v>
      </c>
      <c r="Z894" s="214">
        <v>0</v>
      </c>
      <c r="AA894" s="214">
        <v>0</v>
      </c>
      <c r="AB894" s="214">
        <v>0</v>
      </c>
      <c r="AC894" s="214">
        <v>0</v>
      </c>
      <c r="AD894" s="215"/>
      <c r="AE894" s="420">
        <v>0</v>
      </c>
      <c r="AF894" s="420">
        <v>0</v>
      </c>
      <c r="AG894" s="420">
        <v>0</v>
      </c>
      <c r="AH894" s="420"/>
      <c r="AI894" s="574">
        <f t="shared" si="22"/>
        <v>0</v>
      </c>
      <c r="AJ894" s="212"/>
    </row>
    <row r="895" spans="1:36" ht="14.4">
      <c r="B895" s="211"/>
      <c r="C895" s="213" t="s">
        <v>43</v>
      </c>
      <c r="D895" s="214">
        <v>0</v>
      </c>
      <c r="E895" s="214">
        <v>100000</v>
      </c>
      <c r="F895" s="214">
        <v>100000</v>
      </c>
      <c r="G895" s="214">
        <v>100000</v>
      </c>
      <c r="H895" s="214">
        <v>0</v>
      </c>
      <c r="I895" s="214">
        <v>0</v>
      </c>
      <c r="J895" s="214">
        <v>0</v>
      </c>
      <c r="K895" s="214">
        <v>0</v>
      </c>
      <c r="L895" s="214">
        <v>0</v>
      </c>
      <c r="M895" s="214">
        <v>0</v>
      </c>
      <c r="N895" s="214">
        <v>0</v>
      </c>
      <c r="O895" s="214">
        <v>0</v>
      </c>
      <c r="P895" s="214">
        <v>0</v>
      </c>
      <c r="Q895" s="214">
        <v>0</v>
      </c>
      <c r="R895" s="214">
        <v>0</v>
      </c>
      <c r="S895" s="214">
        <v>0</v>
      </c>
      <c r="T895" s="214">
        <v>0</v>
      </c>
      <c r="U895" s="214">
        <v>0</v>
      </c>
      <c r="V895" s="214">
        <v>0</v>
      </c>
      <c r="W895" s="214">
        <v>0</v>
      </c>
      <c r="X895" s="214">
        <v>0</v>
      </c>
      <c r="Y895" s="214">
        <v>0</v>
      </c>
      <c r="Z895" s="214">
        <v>0</v>
      </c>
      <c r="AA895" s="214">
        <v>0</v>
      </c>
      <c r="AB895" s="214">
        <v>0</v>
      </c>
      <c r="AC895" s="214">
        <v>0</v>
      </c>
      <c r="AD895" s="215"/>
      <c r="AE895" s="420">
        <v>0</v>
      </c>
      <c r="AF895" s="420">
        <v>0</v>
      </c>
      <c r="AG895" s="420">
        <v>0</v>
      </c>
      <c r="AH895" s="420"/>
      <c r="AI895" s="574">
        <f t="shared" si="22"/>
        <v>300000</v>
      </c>
      <c r="AJ895" s="212"/>
    </row>
    <row r="896" spans="1:36" ht="14.4">
      <c r="B896" s="211"/>
      <c r="C896" s="213" t="s">
        <v>44</v>
      </c>
      <c r="D896" s="214">
        <v>100000</v>
      </c>
      <c r="E896" s="214">
        <v>0</v>
      </c>
      <c r="F896" s="214">
        <v>0</v>
      </c>
      <c r="G896" s="214">
        <v>0</v>
      </c>
      <c r="H896" s="214">
        <v>0</v>
      </c>
      <c r="I896" s="214">
        <v>0</v>
      </c>
      <c r="J896" s="214">
        <v>0</v>
      </c>
      <c r="K896" s="214">
        <v>0</v>
      </c>
      <c r="L896" s="214">
        <v>0</v>
      </c>
      <c r="M896" s="214">
        <v>0</v>
      </c>
      <c r="N896" s="214">
        <v>0</v>
      </c>
      <c r="O896" s="214">
        <v>0</v>
      </c>
      <c r="P896" s="214">
        <v>0</v>
      </c>
      <c r="Q896" s="214">
        <v>0</v>
      </c>
      <c r="R896" s="214">
        <v>0</v>
      </c>
      <c r="S896" s="214">
        <v>0</v>
      </c>
      <c r="T896" s="214">
        <v>0</v>
      </c>
      <c r="U896" s="214">
        <v>0</v>
      </c>
      <c r="V896" s="214">
        <v>0</v>
      </c>
      <c r="W896" s="214">
        <v>0</v>
      </c>
      <c r="X896" s="214">
        <v>0</v>
      </c>
      <c r="Y896" s="214">
        <v>0</v>
      </c>
      <c r="Z896" s="214">
        <v>0</v>
      </c>
      <c r="AA896" s="214">
        <v>0</v>
      </c>
      <c r="AB896" s="214">
        <v>0</v>
      </c>
      <c r="AC896" s="214">
        <v>0</v>
      </c>
      <c r="AD896" s="215"/>
      <c r="AE896" s="420">
        <v>0</v>
      </c>
      <c r="AF896" s="420">
        <v>0</v>
      </c>
      <c r="AG896" s="420">
        <v>0</v>
      </c>
      <c r="AH896" s="420"/>
      <c r="AI896" s="574">
        <f t="shared" si="22"/>
        <v>100000</v>
      </c>
      <c r="AJ896" s="212"/>
    </row>
    <row r="897" spans="2:36" ht="14.4">
      <c r="B897" s="211"/>
      <c r="C897" s="213" t="s">
        <v>45</v>
      </c>
      <c r="D897" s="214">
        <v>41900</v>
      </c>
      <c r="E897" s="214">
        <v>0</v>
      </c>
      <c r="F897" s="214">
        <v>26200</v>
      </c>
      <c r="G897" s="214">
        <v>12000</v>
      </c>
      <c r="H897" s="214">
        <v>35500</v>
      </c>
      <c r="I897" s="214">
        <v>0</v>
      </c>
      <c r="J897" s="214">
        <v>0</v>
      </c>
      <c r="K897" s="214">
        <v>0</v>
      </c>
      <c r="L897" s="214">
        <v>0</v>
      </c>
      <c r="M897" s="214">
        <v>16000</v>
      </c>
      <c r="N897" s="214">
        <v>13200</v>
      </c>
      <c r="O897" s="214">
        <v>23225</v>
      </c>
      <c r="P897" s="214">
        <v>20900</v>
      </c>
      <c r="Q897" s="214">
        <v>93886</v>
      </c>
      <c r="R897" s="214">
        <v>23420</v>
      </c>
      <c r="S897" s="214">
        <v>50620</v>
      </c>
      <c r="T897" s="214">
        <v>0</v>
      </c>
      <c r="U897" s="214">
        <v>0</v>
      </c>
      <c r="V897" s="214">
        <v>0</v>
      </c>
      <c r="W897" s="214">
        <v>0</v>
      </c>
      <c r="X897" s="214">
        <v>0</v>
      </c>
      <c r="Y897" s="214">
        <v>0</v>
      </c>
      <c r="Z897" s="214">
        <v>0</v>
      </c>
      <c r="AA897" s="214">
        <v>0</v>
      </c>
      <c r="AB897" s="214">
        <v>0</v>
      </c>
      <c r="AC897" s="214">
        <v>0</v>
      </c>
      <c r="AD897" s="215"/>
      <c r="AE897" s="420">
        <v>44025</v>
      </c>
      <c r="AF897" s="420">
        <v>0</v>
      </c>
      <c r="AG897" s="420">
        <v>0</v>
      </c>
      <c r="AH897" s="420"/>
      <c r="AI897" s="574">
        <f t="shared" si="22"/>
        <v>400876</v>
      </c>
      <c r="AJ897" s="212"/>
    </row>
    <row r="898" spans="2:36" ht="14.4">
      <c r="B898" s="211"/>
      <c r="C898" s="213" t="s">
        <v>156</v>
      </c>
      <c r="D898" s="214">
        <v>12220</v>
      </c>
      <c r="E898" s="214">
        <v>0</v>
      </c>
      <c r="F898" s="214">
        <v>0</v>
      </c>
      <c r="G898" s="214">
        <v>290</v>
      </c>
      <c r="H898" s="214">
        <v>90</v>
      </c>
      <c r="I898" s="214">
        <v>0</v>
      </c>
      <c r="J898" s="214">
        <v>0</v>
      </c>
      <c r="K898" s="214">
        <v>0</v>
      </c>
      <c r="L898" s="214">
        <v>0</v>
      </c>
      <c r="M898" s="214">
        <v>0</v>
      </c>
      <c r="N898" s="214">
        <v>0</v>
      </c>
      <c r="O898" s="214">
        <v>90</v>
      </c>
      <c r="P898" s="214">
        <v>0</v>
      </c>
      <c r="Q898" s="214">
        <v>260</v>
      </c>
      <c r="R898" s="214">
        <v>0</v>
      </c>
      <c r="S898" s="214">
        <v>0</v>
      </c>
      <c r="T898" s="214">
        <v>0</v>
      </c>
      <c r="U898" s="214">
        <v>0</v>
      </c>
      <c r="V898" s="214">
        <v>0</v>
      </c>
      <c r="W898" s="214">
        <v>0</v>
      </c>
      <c r="X898" s="214">
        <v>0</v>
      </c>
      <c r="Y898" s="214">
        <v>0</v>
      </c>
      <c r="Z898" s="214">
        <v>0</v>
      </c>
      <c r="AA898" s="214">
        <v>0</v>
      </c>
      <c r="AB898" s="214">
        <v>0</v>
      </c>
      <c r="AC898" s="214">
        <v>0</v>
      </c>
      <c r="AD898" s="215"/>
      <c r="AE898" s="420">
        <v>101</v>
      </c>
      <c r="AF898" s="420">
        <v>0</v>
      </c>
      <c r="AG898" s="420">
        <v>0</v>
      </c>
      <c r="AH898" s="420"/>
      <c r="AI898" s="574">
        <f t="shared" si="22"/>
        <v>13051</v>
      </c>
      <c r="AJ898" s="212"/>
    </row>
    <row r="899" spans="2:36" ht="14.4">
      <c r="B899" s="211"/>
      <c r="C899" s="213" t="s">
        <v>46</v>
      </c>
      <c r="D899" s="214">
        <v>12260.68</v>
      </c>
      <c r="E899" s="214">
        <v>721.98</v>
      </c>
      <c r="F899" s="214">
        <v>0</v>
      </c>
      <c r="G899" s="214">
        <v>444.46</v>
      </c>
      <c r="H899" s="214">
        <v>147.13</v>
      </c>
      <c r="I899" s="214">
        <v>84.95</v>
      </c>
      <c r="J899" s="214">
        <v>50.97</v>
      </c>
      <c r="K899" s="214">
        <v>523.88</v>
      </c>
      <c r="L899" s="214">
        <v>65.87</v>
      </c>
      <c r="M899" s="214">
        <v>844.4</v>
      </c>
      <c r="N899" s="214">
        <v>54.67</v>
      </c>
      <c r="O899" s="214">
        <v>212.11</v>
      </c>
      <c r="P899" s="214">
        <v>618.80999999999995</v>
      </c>
      <c r="Q899" s="214">
        <v>348.43</v>
      </c>
      <c r="R899" s="214">
        <v>65.87</v>
      </c>
      <c r="S899" s="214">
        <v>686.1</v>
      </c>
      <c r="T899" s="214">
        <v>0</v>
      </c>
      <c r="U899" s="214">
        <v>168.67</v>
      </c>
      <c r="V899" s="214">
        <v>124</v>
      </c>
      <c r="W899" s="214">
        <v>124</v>
      </c>
      <c r="X899" s="214">
        <v>168.67</v>
      </c>
      <c r="Y899" s="214">
        <v>62.18</v>
      </c>
      <c r="Z899" s="214">
        <v>57.87</v>
      </c>
      <c r="AA899" s="214">
        <v>65.87</v>
      </c>
      <c r="AB899" s="214">
        <v>68.33</v>
      </c>
      <c r="AC899" s="214">
        <v>62.18</v>
      </c>
      <c r="AD899" s="215"/>
      <c r="AE899" s="420">
        <v>370.86</v>
      </c>
      <c r="AF899" s="420">
        <v>185</v>
      </c>
      <c r="AG899" s="420">
        <v>124</v>
      </c>
      <c r="AH899" s="420"/>
      <c r="AI899" s="574">
        <f t="shared" si="22"/>
        <v>18711.939999999995</v>
      </c>
      <c r="AJ899" s="212"/>
    </row>
    <row r="900" spans="2:36" ht="14.4">
      <c r="B900" s="211"/>
      <c r="C900" s="213" t="s">
        <v>47</v>
      </c>
      <c r="D900" s="214">
        <v>0</v>
      </c>
      <c r="E900" s="214">
        <v>0</v>
      </c>
      <c r="F900" s="214">
        <v>0</v>
      </c>
      <c r="G900" s="214">
        <v>0</v>
      </c>
      <c r="H900" s="214">
        <v>0</v>
      </c>
      <c r="I900" s="214">
        <v>0</v>
      </c>
      <c r="J900" s="214">
        <v>0</v>
      </c>
      <c r="K900" s="214">
        <v>0</v>
      </c>
      <c r="L900" s="214">
        <v>0</v>
      </c>
      <c r="M900" s="214">
        <v>0</v>
      </c>
      <c r="N900" s="214">
        <v>0</v>
      </c>
      <c r="O900" s="214">
        <v>0</v>
      </c>
      <c r="P900" s="214">
        <v>0</v>
      </c>
      <c r="Q900" s="214">
        <v>0</v>
      </c>
      <c r="R900" s="214">
        <v>0</v>
      </c>
      <c r="S900" s="214">
        <v>0</v>
      </c>
      <c r="T900" s="214">
        <v>0</v>
      </c>
      <c r="U900" s="214">
        <v>0</v>
      </c>
      <c r="V900" s="214">
        <v>0</v>
      </c>
      <c r="W900" s="214">
        <v>0</v>
      </c>
      <c r="X900" s="214">
        <v>0</v>
      </c>
      <c r="Y900" s="214">
        <v>0</v>
      </c>
      <c r="Z900" s="214">
        <v>0</v>
      </c>
      <c r="AA900" s="214">
        <v>0</v>
      </c>
      <c r="AB900" s="214">
        <v>0</v>
      </c>
      <c r="AC900" s="214">
        <v>0</v>
      </c>
      <c r="AD900" s="215"/>
      <c r="AE900" s="420">
        <v>0</v>
      </c>
      <c r="AF900" s="420">
        <v>0</v>
      </c>
      <c r="AG900" s="420">
        <v>0</v>
      </c>
      <c r="AH900" s="420"/>
      <c r="AI900" s="574">
        <f t="shared" si="22"/>
        <v>0</v>
      </c>
      <c r="AJ900" s="212"/>
    </row>
    <row r="901" spans="2:36" ht="14.4">
      <c r="B901" s="211"/>
      <c r="C901" s="213" t="s">
        <v>48</v>
      </c>
      <c r="D901" s="214">
        <v>4698</v>
      </c>
      <c r="E901" s="214">
        <v>0</v>
      </c>
      <c r="F901" s="214">
        <v>500</v>
      </c>
      <c r="G901" s="214">
        <v>0</v>
      </c>
      <c r="H901" s="214">
        <v>900</v>
      </c>
      <c r="I901" s="214">
        <v>0</v>
      </c>
      <c r="J901" s="214">
        <v>0</v>
      </c>
      <c r="K901" s="214">
        <v>0</v>
      </c>
      <c r="L901" s="214">
        <v>0</v>
      </c>
      <c r="M901" s="214">
        <v>0</v>
      </c>
      <c r="N901" s="214">
        <v>0</v>
      </c>
      <c r="O901" s="214">
        <v>300</v>
      </c>
      <c r="P901" s="214">
        <v>0</v>
      </c>
      <c r="Q901" s="214">
        <v>900</v>
      </c>
      <c r="R901" s="214">
        <v>1325</v>
      </c>
      <c r="S901" s="214">
        <v>500</v>
      </c>
      <c r="T901" s="214">
        <v>0</v>
      </c>
      <c r="U901" s="214">
        <v>0</v>
      </c>
      <c r="V901" s="214">
        <v>0</v>
      </c>
      <c r="W901" s="214">
        <v>0</v>
      </c>
      <c r="X901" s="214">
        <v>0</v>
      </c>
      <c r="Y901" s="214">
        <v>0</v>
      </c>
      <c r="Z901" s="214">
        <v>0</v>
      </c>
      <c r="AA901" s="214">
        <v>0</v>
      </c>
      <c r="AB901" s="214">
        <v>0</v>
      </c>
      <c r="AC901" s="214">
        <v>0</v>
      </c>
      <c r="AD901" s="215"/>
      <c r="AE901" s="420">
        <v>500</v>
      </c>
      <c r="AF901" s="420">
        <v>0</v>
      </c>
      <c r="AG901" s="420">
        <v>0</v>
      </c>
      <c r="AH901" s="420"/>
      <c r="AI901" s="574">
        <f t="shared" si="22"/>
        <v>9623</v>
      </c>
      <c r="AJ901" s="212"/>
    </row>
    <row r="902" spans="2:36" ht="14.4">
      <c r="B902" s="211"/>
      <c r="C902" s="213" t="s">
        <v>49</v>
      </c>
      <c r="D902" s="214">
        <v>8733</v>
      </c>
      <c r="E902" s="214">
        <v>0</v>
      </c>
      <c r="F902" s="214">
        <v>0</v>
      </c>
      <c r="G902" s="214">
        <v>0</v>
      </c>
      <c r="H902" s="214">
        <v>0</v>
      </c>
      <c r="I902" s="214">
        <v>0</v>
      </c>
      <c r="J902" s="214">
        <v>0</v>
      </c>
      <c r="K902" s="214">
        <v>0</v>
      </c>
      <c r="L902" s="214">
        <v>0</v>
      </c>
      <c r="M902" s="214">
        <v>0</v>
      </c>
      <c r="N902" s="214">
        <v>0</v>
      </c>
      <c r="O902" s="214">
        <v>0</v>
      </c>
      <c r="P902" s="214">
        <v>0</v>
      </c>
      <c r="Q902" s="214">
        <v>0</v>
      </c>
      <c r="R902" s="214">
        <v>0</v>
      </c>
      <c r="S902" s="214">
        <v>0</v>
      </c>
      <c r="T902" s="214">
        <v>0</v>
      </c>
      <c r="U902" s="214">
        <v>0</v>
      </c>
      <c r="V902" s="214">
        <v>0</v>
      </c>
      <c r="W902" s="214">
        <v>0</v>
      </c>
      <c r="X902" s="214">
        <v>0</v>
      </c>
      <c r="Y902" s="214">
        <v>0</v>
      </c>
      <c r="Z902" s="214">
        <v>0</v>
      </c>
      <c r="AA902" s="214">
        <v>0</v>
      </c>
      <c r="AB902" s="214">
        <v>0</v>
      </c>
      <c r="AC902" s="214">
        <v>0</v>
      </c>
      <c r="AD902" s="215"/>
      <c r="AE902" s="420">
        <v>0</v>
      </c>
      <c r="AF902" s="420">
        <v>0</v>
      </c>
      <c r="AG902" s="420">
        <v>0</v>
      </c>
      <c r="AH902" s="420"/>
      <c r="AI902" s="574">
        <f t="shared" si="22"/>
        <v>8733</v>
      </c>
      <c r="AJ902" s="212"/>
    </row>
    <row r="903" spans="2:36" ht="14.4">
      <c r="B903" s="211"/>
      <c r="C903" s="213" t="s">
        <v>158</v>
      </c>
      <c r="D903" s="214">
        <v>34084</v>
      </c>
      <c r="E903" s="214">
        <v>2500</v>
      </c>
      <c r="F903" s="214">
        <v>330</v>
      </c>
      <c r="G903" s="214">
        <v>1500</v>
      </c>
      <c r="H903" s="214">
        <v>0</v>
      </c>
      <c r="I903" s="214">
        <v>0</v>
      </c>
      <c r="J903" s="214">
        <v>0</v>
      </c>
      <c r="K903" s="214">
        <v>0</v>
      </c>
      <c r="L903" s="214">
        <v>0</v>
      </c>
      <c r="M903" s="214">
        <v>2105</v>
      </c>
      <c r="N903" s="214">
        <v>0</v>
      </c>
      <c r="O903" s="214">
        <v>0</v>
      </c>
      <c r="P903" s="214">
        <v>250</v>
      </c>
      <c r="Q903" s="214">
        <v>0</v>
      </c>
      <c r="R903" s="214">
        <v>0</v>
      </c>
      <c r="S903" s="214">
        <v>0</v>
      </c>
      <c r="T903" s="214">
        <v>0</v>
      </c>
      <c r="U903" s="214">
        <v>0</v>
      </c>
      <c r="V903" s="214">
        <v>0</v>
      </c>
      <c r="W903" s="214">
        <v>0</v>
      </c>
      <c r="X903" s="214">
        <v>0</v>
      </c>
      <c r="Y903" s="214">
        <v>0</v>
      </c>
      <c r="Z903" s="214">
        <v>0</v>
      </c>
      <c r="AA903" s="214">
        <v>0</v>
      </c>
      <c r="AB903" s="214">
        <v>0</v>
      </c>
      <c r="AC903" s="214">
        <v>0</v>
      </c>
      <c r="AD903" s="215"/>
      <c r="AE903" s="420">
        <v>250</v>
      </c>
      <c r="AF903" s="420">
        <v>0</v>
      </c>
      <c r="AG903" s="420">
        <v>0</v>
      </c>
      <c r="AH903" s="420"/>
      <c r="AI903" s="574">
        <f t="shared" si="22"/>
        <v>41019</v>
      </c>
      <c r="AJ903" s="212"/>
    </row>
    <row r="904" spans="2:36" ht="14.4">
      <c r="B904" s="211"/>
      <c r="C904" s="213" t="s">
        <v>50</v>
      </c>
      <c r="D904" s="214">
        <v>4620</v>
      </c>
      <c r="E904" s="214">
        <v>3080</v>
      </c>
      <c r="F904" s="214">
        <v>1540</v>
      </c>
      <c r="G904" s="214">
        <v>3180</v>
      </c>
      <c r="H904" s="214">
        <v>4050</v>
      </c>
      <c r="I904" s="214">
        <v>1540</v>
      </c>
      <c r="J904" s="214">
        <v>770</v>
      </c>
      <c r="K904" s="214">
        <v>770</v>
      </c>
      <c r="L904" s="214">
        <v>770</v>
      </c>
      <c r="M904" s="214">
        <v>2310</v>
      </c>
      <c r="N904" s="214">
        <v>770</v>
      </c>
      <c r="O904" s="214">
        <v>1540</v>
      </c>
      <c r="P904" s="214">
        <v>0</v>
      </c>
      <c r="Q904" s="214">
        <v>0</v>
      </c>
      <c r="R904" s="214">
        <v>0</v>
      </c>
      <c r="S904" s="214">
        <v>1540</v>
      </c>
      <c r="T904" s="214">
        <v>1540</v>
      </c>
      <c r="U904" s="214">
        <v>0</v>
      </c>
      <c r="V904" s="214">
        <v>0</v>
      </c>
      <c r="W904" s="214">
        <v>770</v>
      </c>
      <c r="X904" s="214">
        <v>0</v>
      </c>
      <c r="Y904" s="214">
        <v>770</v>
      </c>
      <c r="Z904" s="214">
        <v>0</v>
      </c>
      <c r="AA904" s="214">
        <v>770</v>
      </c>
      <c r="AB904" s="214">
        <v>0</v>
      </c>
      <c r="AC904" s="214">
        <v>770</v>
      </c>
      <c r="AD904" s="215"/>
      <c r="AE904" s="420">
        <v>0</v>
      </c>
      <c r="AF904" s="420">
        <v>770</v>
      </c>
      <c r="AG904" s="420">
        <v>0</v>
      </c>
      <c r="AH904" s="420"/>
      <c r="AI904" s="574">
        <f t="shared" si="22"/>
        <v>31870</v>
      </c>
      <c r="AJ904" s="212"/>
    </row>
    <row r="905" spans="2:36" ht="14.4">
      <c r="B905" s="211"/>
      <c r="C905" s="213" t="s">
        <v>51</v>
      </c>
      <c r="D905" s="214">
        <v>0</v>
      </c>
      <c r="E905" s="214">
        <v>4500</v>
      </c>
      <c r="F905" s="214">
        <v>6750</v>
      </c>
      <c r="G905" s="214">
        <v>0</v>
      </c>
      <c r="H905" s="214">
        <v>4500</v>
      </c>
      <c r="I905" s="214">
        <v>0</v>
      </c>
      <c r="J905" s="214">
        <v>4500</v>
      </c>
      <c r="K905" s="214">
        <v>0</v>
      </c>
      <c r="L905" s="214">
        <v>0</v>
      </c>
      <c r="M905" s="214">
        <v>4500</v>
      </c>
      <c r="N905" s="214">
        <v>0</v>
      </c>
      <c r="O905" s="214">
        <v>2250</v>
      </c>
      <c r="P905" s="214">
        <v>2250</v>
      </c>
      <c r="Q905" s="214">
        <v>6750</v>
      </c>
      <c r="R905" s="214">
        <v>0</v>
      </c>
      <c r="S905" s="214">
        <v>2250</v>
      </c>
      <c r="T905" s="214">
        <v>0</v>
      </c>
      <c r="U905" s="214">
        <v>0</v>
      </c>
      <c r="V905" s="214">
        <v>2250</v>
      </c>
      <c r="W905" s="214">
        <v>2250</v>
      </c>
      <c r="X905" s="214">
        <v>0</v>
      </c>
      <c r="Y905" s="214">
        <v>0</v>
      </c>
      <c r="Z905" s="214">
        <v>0</v>
      </c>
      <c r="AA905" s="214">
        <v>0</v>
      </c>
      <c r="AB905" s="214">
        <v>0</v>
      </c>
      <c r="AC905" s="214">
        <v>2250</v>
      </c>
      <c r="AD905" s="215"/>
      <c r="AE905" s="420">
        <v>4500</v>
      </c>
      <c r="AF905" s="420">
        <v>0</v>
      </c>
      <c r="AG905" s="420">
        <v>0</v>
      </c>
      <c r="AH905" s="420"/>
      <c r="AI905" s="574">
        <f t="shared" si="22"/>
        <v>49500</v>
      </c>
      <c r="AJ905" s="212"/>
    </row>
    <row r="906" spans="2:36" ht="14.4">
      <c r="B906" s="211"/>
      <c r="C906" s="213" t="s">
        <v>52</v>
      </c>
      <c r="D906" s="214">
        <v>0</v>
      </c>
      <c r="E906" s="214">
        <v>0</v>
      </c>
      <c r="F906" s="214">
        <v>0</v>
      </c>
      <c r="G906" s="214">
        <v>0</v>
      </c>
      <c r="H906" s="214">
        <v>0</v>
      </c>
      <c r="I906" s="214">
        <v>0</v>
      </c>
      <c r="J906" s="214">
        <v>0</v>
      </c>
      <c r="K906" s="214">
        <v>0</v>
      </c>
      <c r="L906" s="214">
        <v>0</v>
      </c>
      <c r="M906" s="214">
        <v>0</v>
      </c>
      <c r="N906" s="214">
        <v>0</v>
      </c>
      <c r="O906" s="214">
        <v>0</v>
      </c>
      <c r="P906" s="214">
        <v>0</v>
      </c>
      <c r="Q906" s="214">
        <v>0</v>
      </c>
      <c r="R906" s="214">
        <v>0</v>
      </c>
      <c r="S906" s="214">
        <v>0</v>
      </c>
      <c r="T906" s="214">
        <v>0</v>
      </c>
      <c r="U906" s="214">
        <v>0</v>
      </c>
      <c r="V906" s="214">
        <v>0</v>
      </c>
      <c r="W906" s="214">
        <v>0</v>
      </c>
      <c r="X906" s="214">
        <v>0</v>
      </c>
      <c r="Y906" s="214">
        <v>0</v>
      </c>
      <c r="Z906" s="214">
        <v>0</v>
      </c>
      <c r="AA906" s="214">
        <v>0</v>
      </c>
      <c r="AB906" s="214">
        <v>0</v>
      </c>
      <c r="AC906" s="214">
        <v>0</v>
      </c>
      <c r="AD906" s="215"/>
      <c r="AE906" s="420">
        <v>0</v>
      </c>
      <c r="AF906" s="420">
        <v>0</v>
      </c>
      <c r="AG906" s="420">
        <v>0</v>
      </c>
      <c r="AH906" s="420"/>
      <c r="AI906" s="574">
        <f t="shared" si="22"/>
        <v>0</v>
      </c>
      <c r="AJ906" s="212"/>
    </row>
    <row r="907" spans="2:36" ht="14.4">
      <c r="B907" s="211"/>
      <c r="C907" s="213" t="s">
        <v>174</v>
      </c>
      <c r="D907" s="214">
        <v>9420</v>
      </c>
      <c r="E907" s="214">
        <v>2070</v>
      </c>
      <c r="F907" s="214">
        <v>2070</v>
      </c>
      <c r="G907" s="214">
        <v>2070</v>
      </c>
      <c r="H907" s="214">
        <v>2070</v>
      </c>
      <c r="I907" s="214">
        <v>0</v>
      </c>
      <c r="J907" s="214">
        <v>0</v>
      </c>
      <c r="K907" s="214">
        <v>0</v>
      </c>
      <c r="L907" s="214">
        <v>0</v>
      </c>
      <c r="M907" s="214">
        <v>2072</v>
      </c>
      <c r="N907" s="214">
        <v>0</v>
      </c>
      <c r="O907" s="214">
        <v>2072</v>
      </c>
      <c r="P907" s="214">
        <v>2070</v>
      </c>
      <c r="Q907" s="214">
        <v>2072</v>
      </c>
      <c r="R907" s="214">
        <v>2071</v>
      </c>
      <c r="S907" s="214">
        <v>2070</v>
      </c>
      <c r="T907" s="214">
        <v>0</v>
      </c>
      <c r="U907" s="214">
        <v>0</v>
      </c>
      <c r="V907" s="214">
        <v>0</v>
      </c>
      <c r="W907" s="214">
        <v>0</v>
      </c>
      <c r="X907" s="214">
        <v>0</v>
      </c>
      <c r="Y907" s="214">
        <v>0</v>
      </c>
      <c r="Z907" s="214">
        <v>0</v>
      </c>
      <c r="AA907" s="214">
        <v>0</v>
      </c>
      <c r="AB907" s="214">
        <v>0</v>
      </c>
      <c r="AC907" s="214">
        <v>0</v>
      </c>
      <c r="AD907" s="215"/>
      <c r="AE907" s="420">
        <v>2070</v>
      </c>
      <c r="AF907" s="420">
        <v>0</v>
      </c>
      <c r="AG907" s="420">
        <v>0</v>
      </c>
      <c r="AH907" s="420"/>
      <c r="AI907" s="574">
        <f t="shared" si="22"/>
        <v>32197</v>
      </c>
      <c r="AJ907" s="212"/>
    </row>
    <row r="908" spans="2:36" ht="14.4">
      <c r="B908" s="211"/>
      <c r="C908" s="213" t="s">
        <v>53</v>
      </c>
      <c r="D908" s="214">
        <v>16516</v>
      </c>
      <c r="E908" s="214">
        <v>1690</v>
      </c>
      <c r="F908" s="214">
        <v>0</v>
      </c>
      <c r="G908" s="214">
        <v>29526</v>
      </c>
      <c r="H908" s="214">
        <v>0</v>
      </c>
      <c r="I908" s="214">
        <v>0</v>
      </c>
      <c r="J908" s="214">
        <v>0</v>
      </c>
      <c r="K908" s="214">
        <v>0</v>
      </c>
      <c r="L908" s="214">
        <v>0</v>
      </c>
      <c r="M908" s="214">
        <v>0</v>
      </c>
      <c r="N908" s="214">
        <v>0</v>
      </c>
      <c r="O908" s="214">
        <v>30</v>
      </c>
      <c r="P908" s="214">
        <v>0</v>
      </c>
      <c r="Q908" s="214">
        <v>0</v>
      </c>
      <c r="R908" s="214">
        <v>400</v>
      </c>
      <c r="S908" s="214">
        <v>2341</v>
      </c>
      <c r="T908" s="214">
        <v>0</v>
      </c>
      <c r="U908" s="214">
        <v>0</v>
      </c>
      <c r="V908" s="214">
        <v>0</v>
      </c>
      <c r="W908" s="214">
        <v>0</v>
      </c>
      <c r="X908" s="214">
        <v>0</v>
      </c>
      <c r="Y908" s="214">
        <v>0</v>
      </c>
      <c r="Z908" s="214">
        <v>0</v>
      </c>
      <c r="AA908" s="214">
        <v>0</v>
      </c>
      <c r="AB908" s="214">
        <v>0</v>
      </c>
      <c r="AC908" s="214">
        <v>0</v>
      </c>
      <c r="AD908" s="215"/>
      <c r="AE908" s="420">
        <v>0</v>
      </c>
      <c r="AF908" s="420">
        <v>0</v>
      </c>
      <c r="AG908" s="420">
        <v>0</v>
      </c>
      <c r="AH908" s="420"/>
      <c r="AI908" s="574">
        <f t="shared" si="22"/>
        <v>50503</v>
      </c>
      <c r="AJ908" s="212"/>
    </row>
    <row r="909" spans="2:36" ht="14.4">
      <c r="B909" s="211"/>
      <c r="C909" s="213" t="s">
        <v>191</v>
      </c>
      <c r="D909" s="214">
        <v>70347.5</v>
      </c>
      <c r="E909" s="214">
        <v>0</v>
      </c>
      <c r="F909" s="214">
        <v>699.41</v>
      </c>
      <c r="G909" s="214">
        <v>0</v>
      </c>
      <c r="H909" s="214">
        <v>0</v>
      </c>
      <c r="I909" s="214">
        <v>0</v>
      </c>
      <c r="J909" s="214">
        <v>0</v>
      </c>
      <c r="K909" s="214">
        <v>0</v>
      </c>
      <c r="L909" s="214">
        <v>0</v>
      </c>
      <c r="M909" s="214">
        <v>0</v>
      </c>
      <c r="N909" s="214">
        <v>0</v>
      </c>
      <c r="O909" s="214">
        <v>0</v>
      </c>
      <c r="P909" s="214">
        <v>0</v>
      </c>
      <c r="Q909" s="214">
        <v>0</v>
      </c>
      <c r="R909" s="214">
        <v>0</v>
      </c>
      <c r="S909" s="214">
        <v>0</v>
      </c>
      <c r="T909" s="214">
        <v>0</v>
      </c>
      <c r="U909" s="214">
        <v>0</v>
      </c>
      <c r="V909" s="214">
        <v>0</v>
      </c>
      <c r="W909" s="214">
        <v>0</v>
      </c>
      <c r="X909" s="214">
        <v>0</v>
      </c>
      <c r="Y909" s="214">
        <v>0</v>
      </c>
      <c r="Z909" s="214">
        <v>0</v>
      </c>
      <c r="AA909" s="214">
        <v>0</v>
      </c>
      <c r="AB909" s="214">
        <v>0</v>
      </c>
      <c r="AC909" s="214">
        <v>0</v>
      </c>
      <c r="AD909" s="215"/>
      <c r="AE909" s="420">
        <v>0</v>
      </c>
      <c r="AF909" s="420">
        <v>0</v>
      </c>
      <c r="AG909" s="420">
        <v>0</v>
      </c>
      <c r="AH909" s="420"/>
      <c r="AI909" s="574">
        <f t="shared" si="22"/>
        <v>71046.91</v>
      </c>
      <c r="AJ909" s="212"/>
    </row>
    <row r="910" spans="2:36" ht="14.4">
      <c r="B910" s="211"/>
      <c r="C910" s="213" t="s">
        <v>29</v>
      </c>
      <c r="D910" s="214">
        <v>0</v>
      </c>
      <c r="E910" s="214">
        <v>0</v>
      </c>
      <c r="F910" s="214">
        <v>0</v>
      </c>
      <c r="G910" s="214">
        <v>200</v>
      </c>
      <c r="H910" s="214">
        <v>0</v>
      </c>
      <c r="I910" s="214">
        <v>0</v>
      </c>
      <c r="J910" s="214">
        <v>0</v>
      </c>
      <c r="K910" s="214">
        <v>0</v>
      </c>
      <c r="L910" s="214">
        <v>0</v>
      </c>
      <c r="M910" s="214">
        <v>0</v>
      </c>
      <c r="N910" s="214">
        <v>0</v>
      </c>
      <c r="O910" s="214">
        <v>0</v>
      </c>
      <c r="P910" s="214">
        <v>0</v>
      </c>
      <c r="Q910" s="214">
        <v>0</v>
      </c>
      <c r="R910" s="214">
        <v>0</v>
      </c>
      <c r="S910" s="214">
        <v>0</v>
      </c>
      <c r="T910" s="214">
        <v>0</v>
      </c>
      <c r="U910" s="214">
        <v>0</v>
      </c>
      <c r="V910" s="214">
        <v>0</v>
      </c>
      <c r="W910" s="214">
        <v>0</v>
      </c>
      <c r="X910" s="214">
        <v>0</v>
      </c>
      <c r="Y910" s="214">
        <v>0</v>
      </c>
      <c r="Z910" s="214">
        <v>0</v>
      </c>
      <c r="AA910" s="214">
        <v>0</v>
      </c>
      <c r="AB910" s="214">
        <v>0</v>
      </c>
      <c r="AC910" s="214">
        <v>0</v>
      </c>
      <c r="AD910" s="215"/>
      <c r="AE910" s="420">
        <v>0</v>
      </c>
      <c r="AF910" s="420">
        <v>0</v>
      </c>
      <c r="AG910" s="420">
        <v>0</v>
      </c>
      <c r="AH910" s="420"/>
      <c r="AI910" s="574">
        <f t="shared" si="22"/>
        <v>200</v>
      </c>
      <c r="AJ910" s="212"/>
    </row>
    <row r="911" spans="2:36" ht="14.4">
      <c r="B911" s="211"/>
      <c r="C911" s="247" t="s">
        <v>54</v>
      </c>
      <c r="D911" s="214">
        <v>0</v>
      </c>
      <c r="E911" s="214">
        <v>0</v>
      </c>
      <c r="F911" s="214">
        <v>0</v>
      </c>
      <c r="G911" s="214">
        <v>0</v>
      </c>
      <c r="H911" s="214">
        <v>0</v>
      </c>
      <c r="I911" s="214">
        <v>0</v>
      </c>
      <c r="J911" s="214">
        <v>0</v>
      </c>
      <c r="K911" s="214">
        <v>0</v>
      </c>
      <c r="L911" s="214">
        <v>0</v>
      </c>
      <c r="M911" s="214">
        <v>0</v>
      </c>
      <c r="N911" s="214">
        <v>0</v>
      </c>
      <c r="O911" s="214">
        <v>0</v>
      </c>
      <c r="P911" s="214">
        <v>0</v>
      </c>
      <c r="Q911" s="214">
        <v>0</v>
      </c>
      <c r="R911" s="214">
        <v>0</v>
      </c>
      <c r="S911" s="214">
        <v>0</v>
      </c>
      <c r="T911" s="214">
        <v>0</v>
      </c>
      <c r="U911" s="214">
        <v>0</v>
      </c>
      <c r="V911" s="214">
        <v>0</v>
      </c>
      <c r="W911" s="214">
        <v>0</v>
      </c>
      <c r="X911" s="214">
        <v>0</v>
      </c>
      <c r="Y911" s="214">
        <v>0</v>
      </c>
      <c r="Z911" s="214">
        <v>0</v>
      </c>
      <c r="AA911" s="214">
        <v>0</v>
      </c>
      <c r="AB911" s="214">
        <v>0</v>
      </c>
      <c r="AC911" s="214">
        <v>0</v>
      </c>
      <c r="AD911" s="215"/>
      <c r="AE911" s="420">
        <v>0</v>
      </c>
      <c r="AF911" s="420">
        <v>0</v>
      </c>
      <c r="AG911" s="420">
        <v>0</v>
      </c>
      <c r="AH911" s="420"/>
      <c r="AI911" s="574">
        <f t="shared" si="22"/>
        <v>0</v>
      </c>
      <c r="AJ911" s="212"/>
    </row>
    <row r="912" spans="2:36" ht="14.4">
      <c r="B912" s="211"/>
      <c r="C912" s="213" t="s">
        <v>31</v>
      </c>
      <c r="D912" s="214">
        <v>321</v>
      </c>
      <c r="E912" s="214">
        <v>535</v>
      </c>
      <c r="F912" s="214">
        <v>164</v>
      </c>
      <c r="G912" s="214">
        <v>250</v>
      </c>
      <c r="H912" s="214">
        <v>360</v>
      </c>
      <c r="I912" s="214">
        <v>0</v>
      </c>
      <c r="J912" s="214">
        <v>0</v>
      </c>
      <c r="K912" s="214">
        <v>0</v>
      </c>
      <c r="L912" s="214">
        <v>0</v>
      </c>
      <c r="M912" s="214">
        <v>300</v>
      </c>
      <c r="N912" s="214">
        <v>0</v>
      </c>
      <c r="O912" s="214">
        <v>157</v>
      </c>
      <c r="P912" s="214">
        <v>110</v>
      </c>
      <c r="Q912" s="214">
        <v>115</v>
      </c>
      <c r="R912" s="214">
        <v>60</v>
      </c>
      <c r="S912" s="214">
        <v>225</v>
      </c>
      <c r="T912" s="214">
        <v>0</v>
      </c>
      <c r="U912" s="214">
        <v>0</v>
      </c>
      <c r="V912" s="214">
        <v>0</v>
      </c>
      <c r="W912" s="214">
        <v>0</v>
      </c>
      <c r="X912" s="214">
        <v>0</v>
      </c>
      <c r="Y912" s="214">
        <v>0</v>
      </c>
      <c r="Z912" s="214">
        <v>0</v>
      </c>
      <c r="AA912" s="214">
        <v>0</v>
      </c>
      <c r="AB912" s="214">
        <v>0</v>
      </c>
      <c r="AC912" s="214">
        <v>0</v>
      </c>
      <c r="AD912" s="215"/>
      <c r="AE912" s="420">
        <v>210</v>
      </c>
      <c r="AF912" s="420">
        <v>0</v>
      </c>
      <c r="AG912" s="420">
        <v>0</v>
      </c>
      <c r="AH912" s="420"/>
      <c r="AI912" s="574">
        <f t="shared" si="22"/>
        <v>2807</v>
      </c>
      <c r="AJ912" s="212"/>
    </row>
    <row r="913" spans="2:36" ht="14.4">
      <c r="B913" s="211"/>
      <c r="C913" s="213" t="s">
        <v>55</v>
      </c>
      <c r="D913" s="214">
        <v>100</v>
      </c>
      <c r="E913" s="214">
        <v>0</v>
      </c>
      <c r="F913" s="214">
        <v>0</v>
      </c>
      <c r="G913" s="214">
        <v>80</v>
      </c>
      <c r="H913" s="214">
        <v>0</v>
      </c>
      <c r="I913" s="214">
        <v>0</v>
      </c>
      <c r="J913" s="214">
        <v>0</v>
      </c>
      <c r="K913" s="214">
        <v>0</v>
      </c>
      <c r="L913" s="214">
        <v>0</v>
      </c>
      <c r="M913" s="214">
        <v>0</v>
      </c>
      <c r="N913" s="214">
        <v>0</v>
      </c>
      <c r="O913" s="214">
        <v>0</v>
      </c>
      <c r="P913" s="214">
        <v>0</v>
      </c>
      <c r="Q913" s="214">
        <v>0</v>
      </c>
      <c r="R913" s="214">
        <v>0</v>
      </c>
      <c r="S913" s="214">
        <v>0</v>
      </c>
      <c r="T913" s="214">
        <v>0</v>
      </c>
      <c r="U913" s="214">
        <v>0</v>
      </c>
      <c r="V913" s="214">
        <v>0</v>
      </c>
      <c r="W913" s="214">
        <v>0</v>
      </c>
      <c r="X913" s="214">
        <v>0</v>
      </c>
      <c r="Y913" s="214">
        <v>0</v>
      </c>
      <c r="Z913" s="214">
        <v>0</v>
      </c>
      <c r="AA913" s="214">
        <v>0</v>
      </c>
      <c r="AB913" s="214">
        <v>0</v>
      </c>
      <c r="AC913" s="214">
        <v>0</v>
      </c>
      <c r="AD913" s="215"/>
      <c r="AE913" s="420">
        <v>0</v>
      </c>
      <c r="AF913" s="420">
        <v>0</v>
      </c>
      <c r="AG913" s="420">
        <v>0</v>
      </c>
      <c r="AH913" s="420"/>
      <c r="AI913" s="574">
        <f t="shared" si="22"/>
        <v>180</v>
      </c>
      <c r="AJ913" s="212"/>
    </row>
    <row r="914" spans="2:36" ht="14.4">
      <c r="B914" s="211"/>
      <c r="C914" s="213" t="s">
        <v>56</v>
      </c>
      <c r="D914" s="214">
        <v>393.97</v>
      </c>
      <c r="E914" s="214">
        <v>217.24</v>
      </c>
      <c r="F914" s="214">
        <v>217.24</v>
      </c>
      <c r="G914" s="214">
        <v>139.91</v>
      </c>
      <c r="H914" s="214">
        <v>95.73</v>
      </c>
      <c r="I914" s="214">
        <v>0</v>
      </c>
      <c r="J914" s="214">
        <v>0</v>
      </c>
      <c r="K914" s="214">
        <v>0</v>
      </c>
      <c r="L914" s="214">
        <v>0</v>
      </c>
      <c r="M914" s="214">
        <v>0</v>
      </c>
      <c r="N914" s="214">
        <v>0</v>
      </c>
      <c r="O914" s="214">
        <v>69.959999999999994</v>
      </c>
      <c r="P914" s="214">
        <v>0</v>
      </c>
      <c r="Q914" s="214">
        <v>209.87</v>
      </c>
      <c r="R914" s="214">
        <v>0</v>
      </c>
      <c r="S914" s="214">
        <v>0</v>
      </c>
      <c r="T914" s="214">
        <v>0</v>
      </c>
      <c r="U914" s="214">
        <v>0</v>
      </c>
      <c r="V914" s="214">
        <v>0</v>
      </c>
      <c r="W914" s="214">
        <v>0</v>
      </c>
      <c r="X914" s="214">
        <v>0</v>
      </c>
      <c r="Y914" s="214">
        <v>0</v>
      </c>
      <c r="Z914" s="214">
        <v>0</v>
      </c>
      <c r="AA914" s="214">
        <v>0</v>
      </c>
      <c r="AB914" s="214">
        <v>0</v>
      </c>
      <c r="AC914" s="214">
        <v>0</v>
      </c>
      <c r="AD914" s="215"/>
      <c r="AE914" s="420">
        <v>0</v>
      </c>
      <c r="AF914" s="420">
        <v>0</v>
      </c>
      <c r="AG914" s="420">
        <v>0</v>
      </c>
      <c r="AH914" s="420"/>
      <c r="AI914" s="574">
        <f t="shared" si="22"/>
        <v>1343.92</v>
      </c>
      <c r="AJ914" s="212"/>
    </row>
    <row r="915" spans="2:36" ht="14.4">
      <c r="B915" s="211"/>
      <c r="C915" s="213" t="s">
        <v>57</v>
      </c>
      <c r="D915" s="214">
        <v>1950</v>
      </c>
      <c r="E915" s="214">
        <v>300</v>
      </c>
      <c r="F915" s="214">
        <v>2800</v>
      </c>
      <c r="G915" s="214">
        <v>1300</v>
      </c>
      <c r="H915" s="214">
        <v>300</v>
      </c>
      <c r="I915" s="214">
        <v>0</v>
      </c>
      <c r="J915" s="214">
        <v>0</v>
      </c>
      <c r="K915" s="214">
        <v>0</v>
      </c>
      <c r="L915" s="214">
        <v>0</v>
      </c>
      <c r="M915" s="214">
        <v>0</v>
      </c>
      <c r="N915" s="214">
        <v>0</v>
      </c>
      <c r="O915" s="214">
        <v>150</v>
      </c>
      <c r="P915" s="214">
        <v>300</v>
      </c>
      <c r="Q915" s="214">
        <v>600</v>
      </c>
      <c r="R915" s="214">
        <v>1190</v>
      </c>
      <c r="S915" s="214">
        <v>150</v>
      </c>
      <c r="T915" s="214">
        <v>0</v>
      </c>
      <c r="U915" s="214">
        <v>0</v>
      </c>
      <c r="V915" s="214">
        <v>0</v>
      </c>
      <c r="W915" s="214">
        <v>0</v>
      </c>
      <c r="X915" s="214">
        <v>0</v>
      </c>
      <c r="Y915" s="214">
        <v>0</v>
      </c>
      <c r="Z915" s="214">
        <v>0</v>
      </c>
      <c r="AA915" s="214">
        <v>0</v>
      </c>
      <c r="AB915" s="214">
        <v>0</v>
      </c>
      <c r="AC915" s="214">
        <v>0</v>
      </c>
      <c r="AD915" s="215"/>
      <c r="AE915" s="420">
        <v>0</v>
      </c>
      <c r="AF915" s="420">
        <v>0</v>
      </c>
      <c r="AG915" s="420">
        <v>0</v>
      </c>
      <c r="AH915" s="420"/>
      <c r="AI915" s="574">
        <f t="shared" si="22"/>
        <v>9040</v>
      </c>
      <c r="AJ915" s="212"/>
    </row>
    <row r="916" spans="2:36" ht="14.4">
      <c r="B916" s="211"/>
      <c r="C916" s="213" t="s">
        <v>58</v>
      </c>
      <c r="D916" s="214">
        <v>0</v>
      </c>
      <c r="E916" s="214">
        <v>0</v>
      </c>
      <c r="F916" s="214">
        <v>0</v>
      </c>
      <c r="G916" s="214">
        <v>0</v>
      </c>
      <c r="H916" s="214">
        <v>0</v>
      </c>
      <c r="I916" s="214">
        <v>0</v>
      </c>
      <c r="J916" s="214">
        <v>0</v>
      </c>
      <c r="K916" s="214">
        <v>0</v>
      </c>
      <c r="L916" s="214">
        <v>0</v>
      </c>
      <c r="M916" s="214">
        <v>0</v>
      </c>
      <c r="N916" s="214">
        <v>0</v>
      </c>
      <c r="O916" s="214">
        <v>0</v>
      </c>
      <c r="P916" s="214">
        <v>0</v>
      </c>
      <c r="Q916" s="214">
        <v>0</v>
      </c>
      <c r="R916" s="214">
        <v>0</v>
      </c>
      <c r="S916" s="214">
        <v>0</v>
      </c>
      <c r="T916" s="214">
        <v>0</v>
      </c>
      <c r="U916" s="214">
        <v>0</v>
      </c>
      <c r="V916" s="214">
        <v>0</v>
      </c>
      <c r="W916" s="214">
        <v>0</v>
      </c>
      <c r="X916" s="214">
        <v>0</v>
      </c>
      <c r="Y916" s="214">
        <v>0</v>
      </c>
      <c r="Z916" s="214">
        <v>0</v>
      </c>
      <c r="AA916" s="214">
        <v>0</v>
      </c>
      <c r="AB916" s="214">
        <v>0</v>
      </c>
      <c r="AC916" s="214">
        <v>0</v>
      </c>
      <c r="AD916" s="215"/>
      <c r="AE916" s="420">
        <v>0</v>
      </c>
      <c r="AF916" s="420">
        <v>0</v>
      </c>
      <c r="AG916" s="420">
        <v>0</v>
      </c>
      <c r="AH916" s="420"/>
      <c r="AI916" s="574">
        <f t="shared" si="22"/>
        <v>0</v>
      </c>
      <c r="AJ916" s="212"/>
    </row>
    <row r="917" spans="2:36" ht="14.4">
      <c r="B917" s="211"/>
      <c r="C917" s="213" t="s">
        <v>59</v>
      </c>
      <c r="D917" s="214">
        <v>0</v>
      </c>
      <c r="E917" s="214">
        <v>0</v>
      </c>
      <c r="F917" s="214">
        <v>0</v>
      </c>
      <c r="G917" s="214">
        <v>0</v>
      </c>
      <c r="H917" s="214">
        <v>0</v>
      </c>
      <c r="I917" s="214">
        <v>0</v>
      </c>
      <c r="J917" s="214">
        <v>0</v>
      </c>
      <c r="K917" s="214">
        <v>0</v>
      </c>
      <c r="L917" s="214">
        <v>0</v>
      </c>
      <c r="M917" s="214">
        <v>0</v>
      </c>
      <c r="N917" s="214">
        <v>0</v>
      </c>
      <c r="O917" s="214">
        <v>0</v>
      </c>
      <c r="P917" s="214">
        <v>0</v>
      </c>
      <c r="Q917" s="214">
        <v>0</v>
      </c>
      <c r="R917" s="214">
        <v>0</v>
      </c>
      <c r="S917" s="214">
        <v>0</v>
      </c>
      <c r="T917" s="214">
        <v>0</v>
      </c>
      <c r="U917" s="214">
        <v>0</v>
      </c>
      <c r="V917" s="214">
        <v>0</v>
      </c>
      <c r="W917" s="214">
        <v>0</v>
      </c>
      <c r="X917" s="214">
        <v>0</v>
      </c>
      <c r="Y917" s="214">
        <v>0</v>
      </c>
      <c r="Z917" s="214">
        <v>0</v>
      </c>
      <c r="AA917" s="214">
        <v>0</v>
      </c>
      <c r="AB917" s="214">
        <v>0</v>
      </c>
      <c r="AC917" s="214">
        <v>0</v>
      </c>
      <c r="AD917" s="215"/>
      <c r="AE917" s="420">
        <v>0</v>
      </c>
      <c r="AF917" s="420">
        <v>0</v>
      </c>
      <c r="AG917" s="420">
        <v>0</v>
      </c>
      <c r="AH917" s="420"/>
      <c r="AI917" s="574">
        <f t="shared" si="22"/>
        <v>0</v>
      </c>
      <c r="AJ917" s="212"/>
    </row>
    <row r="918" spans="2:36" ht="14.4">
      <c r="B918" s="211"/>
      <c r="C918" s="213" t="s">
        <v>60</v>
      </c>
      <c r="D918" s="214">
        <v>0</v>
      </c>
      <c r="E918" s="214">
        <v>0</v>
      </c>
      <c r="F918" s="214">
        <v>0</v>
      </c>
      <c r="G918" s="214">
        <v>0</v>
      </c>
      <c r="H918" s="214">
        <v>0</v>
      </c>
      <c r="I918" s="214">
        <v>0</v>
      </c>
      <c r="J918" s="214">
        <v>0</v>
      </c>
      <c r="K918" s="214">
        <v>0</v>
      </c>
      <c r="L918" s="214">
        <v>0</v>
      </c>
      <c r="M918" s="214">
        <v>0</v>
      </c>
      <c r="N918" s="214">
        <v>0</v>
      </c>
      <c r="O918" s="214">
        <v>0</v>
      </c>
      <c r="P918" s="214">
        <v>0</v>
      </c>
      <c r="Q918" s="214">
        <v>0</v>
      </c>
      <c r="R918" s="214">
        <v>0</v>
      </c>
      <c r="S918" s="214">
        <v>0</v>
      </c>
      <c r="T918" s="214">
        <v>0</v>
      </c>
      <c r="U918" s="214">
        <v>0</v>
      </c>
      <c r="V918" s="214">
        <v>0</v>
      </c>
      <c r="W918" s="214">
        <v>0</v>
      </c>
      <c r="X918" s="214">
        <v>0</v>
      </c>
      <c r="Y918" s="214">
        <v>0</v>
      </c>
      <c r="Z918" s="214">
        <v>0</v>
      </c>
      <c r="AA918" s="214">
        <v>0</v>
      </c>
      <c r="AB918" s="214">
        <v>0</v>
      </c>
      <c r="AC918" s="214">
        <v>0</v>
      </c>
      <c r="AD918" s="215"/>
      <c r="AE918" s="420">
        <v>0</v>
      </c>
      <c r="AF918" s="420">
        <v>0</v>
      </c>
      <c r="AG918" s="420">
        <v>0</v>
      </c>
      <c r="AH918" s="420"/>
      <c r="AI918" s="574">
        <f t="shared" si="22"/>
        <v>0</v>
      </c>
      <c r="AJ918" s="212"/>
    </row>
    <row r="919" spans="2:36" ht="14.4">
      <c r="B919" s="211"/>
      <c r="C919" s="213" t="s">
        <v>61</v>
      </c>
      <c r="D919" s="214">
        <v>2390</v>
      </c>
      <c r="E919" s="214">
        <v>1610</v>
      </c>
      <c r="F919" s="214">
        <v>385</v>
      </c>
      <c r="G919" s="214">
        <v>70</v>
      </c>
      <c r="H919" s="214">
        <v>225</v>
      </c>
      <c r="I919" s="214">
        <v>0</v>
      </c>
      <c r="J919" s="214">
        <v>0</v>
      </c>
      <c r="K919" s="214">
        <v>0</v>
      </c>
      <c r="L919" s="214">
        <v>0</v>
      </c>
      <c r="M919" s="214">
        <v>0</v>
      </c>
      <c r="N919" s="214">
        <v>0</v>
      </c>
      <c r="O919" s="214">
        <v>0</v>
      </c>
      <c r="P919" s="214">
        <v>0</v>
      </c>
      <c r="Q919" s="214">
        <v>2080</v>
      </c>
      <c r="R919" s="214">
        <v>100</v>
      </c>
      <c r="S919" s="214">
        <v>760</v>
      </c>
      <c r="T919" s="214">
        <v>0</v>
      </c>
      <c r="U919" s="214">
        <v>0</v>
      </c>
      <c r="V919" s="214">
        <v>0</v>
      </c>
      <c r="W919" s="214">
        <v>0</v>
      </c>
      <c r="X919" s="214">
        <v>0</v>
      </c>
      <c r="Y919" s="214">
        <v>0</v>
      </c>
      <c r="Z919" s="214">
        <v>0</v>
      </c>
      <c r="AA919" s="214">
        <v>0</v>
      </c>
      <c r="AB919" s="214">
        <v>0</v>
      </c>
      <c r="AC919" s="214">
        <v>400</v>
      </c>
      <c r="AD919" s="215"/>
      <c r="AE919" s="420">
        <v>1500</v>
      </c>
      <c r="AF919" s="420">
        <v>0</v>
      </c>
      <c r="AG919" s="420">
        <v>0</v>
      </c>
      <c r="AH919" s="420"/>
      <c r="AI919" s="574">
        <f t="shared" si="22"/>
        <v>9520</v>
      </c>
      <c r="AJ919" s="212"/>
    </row>
    <row r="920" spans="2:36" ht="14.4">
      <c r="B920" s="211"/>
      <c r="C920" s="213" t="s">
        <v>62</v>
      </c>
      <c r="D920" s="214">
        <v>20800</v>
      </c>
      <c r="E920" s="214">
        <v>2885</v>
      </c>
      <c r="F920" s="214">
        <v>0</v>
      </c>
      <c r="G920" s="214">
        <v>0</v>
      </c>
      <c r="H920" s="214">
        <v>0</v>
      </c>
      <c r="I920" s="214">
        <v>17000</v>
      </c>
      <c r="J920" s="214">
        <v>0</v>
      </c>
      <c r="K920" s="214">
        <v>0</v>
      </c>
      <c r="L920" s="214">
        <v>0</v>
      </c>
      <c r="M920" s="214">
        <v>0</v>
      </c>
      <c r="N920" s="214">
        <v>0</v>
      </c>
      <c r="O920" s="214">
        <v>0</v>
      </c>
      <c r="P920" s="214">
        <v>0</v>
      </c>
      <c r="Q920" s="214">
        <v>900</v>
      </c>
      <c r="R920" s="214">
        <v>0</v>
      </c>
      <c r="S920" s="214">
        <v>0</v>
      </c>
      <c r="T920" s="214">
        <v>0</v>
      </c>
      <c r="U920" s="214">
        <v>0</v>
      </c>
      <c r="V920" s="214">
        <v>0</v>
      </c>
      <c r="W920" s="214">
        <v>0</v>
      </c>
      <c r="X920" s="214">
        <v>0</v>
      </c>
      <c r="Y920" s="214">
        <v>0</v>
      </c>
      <c r="Z920" s="214">
        <v>0</v>
      </c>
      <c r="AA920" s="214">
        <v>0</v>
      </c>
      <c r="AB920" s="214">
        <v>0</v>
      </c>
      <c r="AC920" s="214">
        <v>0</v>
      </c>
      <c r="AD920" s="215"/>
      <c r="AE920" s="420">
        <v>5000</v>
      </c>
      <c r="AF920" s="420">
        <v>0</v>
      </c>
      <c r="AG920" s="420">
        <v>0</v>
      </c>
      <c r="AH920" s="420"/>
      <c r="AI920" s="574">
        <f t="shared" si="22"/>
        <v>46585</v>
      </c>
      <c r="AJ920" s="212"/>
    </row>
    <row r="921" spans="2:36" ht="14.4">
      <c r="B921" s="211"/>
      <c r="C921" s="213" t="s">
        <v>63</v>
      </c>
      <c r="D921" s="214">
        <v>3000</v>
      </c>
      <c r="E921" s="214">
        <v>0</v>
      </c>
      <c r="F921" s="214">
        <v>0</v>
      </c>
      <c r="G921" s="214">
        <v>0</v>
      </c>
      <c r="H921" s="214">
        <v>0</v>
      </c>
      <c r="I921" s="214">
        <v>0</v>
      </c>
      <c r="J921" s="214">
        <v>0</v>
      </c>
      <c r="K921" s="214">
        <v>0</v>
      </c>
      <c r="L921" s="214">
        <v>0</v>
      </c>
      <c r="M921" s="214">
        <v>0</v>
      </c>
      <c r="N921" s="214">
        <v>0</v>
      </c>
      <c r="O921" s="214">
        <v>0</v>
      </c>
      <c r="P921" s="214">
        <v>0</v>
      </c>
      <c r="Q921" s="214">
        <v>0</v>
      </c>
      <c r="R921" s="214">
        <v>0</v>
      </c>
      <c r="S921" s="214">
        <v>0</v>
      </c>
      <c r="T921" s="214">
        <v>0</v>
      </c>
      <c r="U921" s="214">
        <v>0</v>
      </c>
      <c r="V921" s="214">
        <v>0</v>
      </c>
      <c r="W921" s="214">
        <v>0</v>
      </c>
      <c r="X921" s="214">
        <v>0</v>
      </c>
      <c r="Y921" s="214">
        <v>0</v>
      </c>
      <c r="Z921" s="214">
        <v>0</v>
      </c>
      <c r="AA921" s="214">
        <v>0</v>
      </c>
      <c r="AB921" s="214">
        <v>0</v>
      </c>
      <c r="AC921" s="214">
        <v>0</v>
      </c>
      <c r="AD921" s="215"/>
      <c r="AE921" s="420">
        <v>0</v>
      </c>
      <c r="AF921" s="420">
        <v>0</v>
      </c>
      <c r="AG921" s="420">
        <v>0</v>
      </c>
      <c r="AH921" s="420"/>
      <c r="AI921" s="574">
        <f t="shared" si="22"/>
        <v>3000</v>
      </c>
      <c r="AJ921" s="212"/>
    </row>
    <row r="922" spans="2:36" ht="14.4">
      <c r="B922" s="211"/>
      <c r="C922" s="213" t="s">
        <v>64</v>
      </c>
      <c r="D922" s="214">
        <v>4500</v>
      </c>
      <c r="E922" s="214">
        <v>0</v>
      </c>
      <c r="F922" s="214">
        <v>10000</v>
      </c>
      <c r="G922" s="214">
        <v>9600</v>
      </c>
      <c r="H922" s="214">
        <v>21900</v>
      </c>
      <c r="I922" s="214">
        <v>0</v>
      </c>
      <c r="J922" s="214">
        <v>0</v>
      </c>
      <c r="K922" s="214">
        <v>0</v>
      </c>
      <c r="L922" s="214">
        <v>0</v>
      </c>
      <c r="M922" s="214">
        <v>0</v>
      </c>
      <c r="N922" s="214">
        <v>0</v>
      </c>
      <c r="O922" s="214">
        <v>0</v>
      </c>
      <c r="P922" s="214">
        <v>12350</v>
      </c>
      <c r="Q922" s="214">
        <v>18100</v>
      </c>
      <c r="R922" s="214">
        <v>0</v>
      </c>
      <c r="S922" s="214">
        <v>0</v>
      </c>
      <c r="T922" s="214">
        <v>0</v>
      </c>
      <c r="U922" s="214">
        <v>0</v>
      </c>
      <c r="V922" s="214">
        <v>0</v>
      </c>
      <c r="W922" s="214">
        <v>200</v>
      </c>
      <c r="X922" s="214">
        <v>0</v>
      </c>
      <c r="Y922" s="214">
        <v>200</v>
      </c>
      <c r="Z922" s="214">
        <v>0</v>
      </c>
      <c r="AA922" s="214">
        <v>200</v>
      </c>
      <c r="AB922" s="214">
        <v>0</v>
      </c>
      <c r="AC922" s="214">
        <v>400</v>
      </c>
      <c r="AD922" s="215"/>
      <c r="AE922" s="420">
        <v>9100</v>
      </c>
      <c r="AF922" s="420">
        <v>0</v>
      </c>
      <c r="AG922" s="420">
        <v>400</v>
      </c>
      <c r="AH922" s="420"/>
      <c r="AI922" s="574">
        <f t="shared" si="22"/>
        <v>86950</v>
      </c>
      <c r="AJ922" s="212"/>
    </row>
    <row r="923" spans="2:36" ht="14.4">
      <c r="B923" s="211"/>
      <c r="C923" s="213" t="s">
        <v>28</v>
      </c>
      <c r="D923" s="214">
        <v>4700</v>
      </c>
      <c r="E923" s="214">
        <v>0</v>
      </c>
      <c r="F923" s="214">
        <v>0</v>
      </c>
      <c r="G923" s="214">
        <v>0</v>
      </c>
      <c r="H923" s="214">
        <v>0</v>
      </c>
      <c r="I923" s="214">
        <v>0</v>
      </c>
      <c r="J923" s="214">
        <v>0</v>
      </c>
      <c r="K923" s="214">
        <v>0</v>
      </c>
      <c r="L923" s="214">
        <v>0</v>
      </c>
      <c r="M923" s="214">
        <v>0</v>
      </c>
      <c r="N923" s="214">
        <v>0</v>
      </c>
      <c r="O923" s="214">
        <v>0</v>
      </c>
      <c r="P923" s="214">
        <v>0</v>
      </c>
      <c r="Q923" s="214">
        <v>0</v>
      </c>
      <c r="R923" s="214">
        <v>0</v>
      </c>
      <c r="S923" s="214">
        <v>0</v>
      </c>
      <c r="T923" s="214">
        <v>0</v>
      </c>
      <c r="U923" s="214">
        <v>0</v>
      </c>
      <c r="V923" s="214">
        <v>0</v>
      </c>
      <c r="W923" s="214">
        <v>0</v>
      </c>
      <c r="X923" s="214">
        <v>0</v>
      </c>
      <c r="Y923" s="214">
        <v>0</v>
      </c>
      <c r="Z923" s="214">
        <v>0</v>
      </c>
      <c r="AA923" s="214">
        <v>0</v>
      </c>
      <c r="AB923" s="214">
        <v>0</v>
      </c>
      <c r="AC923" s="214">
        <v>0</v>
      </c>
      <c r="AD923" s="215"/>
      <c r="AE923" s="420">
        <v>0</v>
      </c>
      <c r="AF923" s="420">
        <v>0</v>
      </c>
      <c r="AG923" s="420">
        <v>0</v>
      </c>
      <c r="AH923" s="420"/>
      <c r="AI923" s="574">
        <f t="shared" si="22"/>
        <v>4700</v>
      </c>
      <c r="AJ923" s="212"/>
    </row>
    <row r="924" spans="2:36" ht="14.4">
      <c r="B924" s="211"/>
      <c r="C924" s="213" t="s">
        <v>157</v>
      </c>
      <c r="D924" s="214">
        <v>0</v>
      </c>
      <c r="E924" s="214">
        <v>937.62</v>
      </c>
      <c r="F924" s="214">
        <v>725.56</v>
      </c>
      <c r="G924" s="214">
        <v>0</v>
      </c>
      <c r="H924" s="214">
        <v>0</v>
      </c>
      <c r="I924" s="214">
        <v>0</v>
      </c>
      <c r="J924" s="214">
        <v>0</v>
      </c>
      <c r="K924" s="214">
        <v>0</v>
      </c>
      <c r="L924" s="214">
        <v>0</v>
      </c>
      <c r="M924" s="214">
        <v>0</v>
      </c>
      <c r="N924" s="214">
        <v>0</v>
      </c>
      <c r="O924" s="214">
        <v>0</v>
      </c>
      <c r="P924" s="214">
        <v>0</v>
      </c>
      <c r="Q924" s="214">
        <v>1170.29</v>
      </c>
      <c r="R924" s="214">
        <v>0</v>
      </c>
      <c r="S924" s="214">
        <v>0</v>
      </c>
      <c r="T924" s="214">
        <v>0</v>
      </c>
      <c r="U924" s="214">
        <v>0</v>
      </c>
      <c r="V924" s="214">
        <v>0</v>
      </c>
      <c r="W924" s="214">
        <v>0</v>
      </c>
      <c r="X924" s="214">
        <v>0</v>
      </c>
      <c r="Y924" s="214">
        <v>0</v>
      </c>
      <c r="Z924" s="214">
        <v>0</v>
      </c>
      <c r="AA924" s="214">
        <v>0</v>
      </c>
      <c r="AB924" s="214">
        <v>0</v>
      </c>
      <c r="AC924" s="214">
        <v>0</v>
      </c>
      <c r="AD924" s="215"/>
      <c r="AE924" s="420">
        <v>71.59</v>
      </c>
      <c r="AF924" s="420">
        <v>0</v>
      </c>
      <c r="AG924" s="420">
        <v>0</v>
      </c>
      <c r="AH924" s="420"/>
      <c r="AI924" s="574">
        <f t="shared" si="22"/>
        <v>2905.06</v>
      </c>
      <c r="AJ924" s="212"/>
    </row>
    <row r="925" spans="2:36" ht="14.4">
      <c r="B925" s="211"/>
      <c r="C925" s="213" t="s">
        <v>65</v>
      </c>
      <c r="D925" s="214">
        <v>13000</v>
      </c>
      <c r="E925" s="214">
        <v>0</v>
      </c>
      <c r="F925" s="214">
        <v>0</v>
      </c>
      <c r="G925" s="214">
        <v>0</v>
      </c>
      <c r="H925" s="214">
        <v>0</v>
      </c>
      <c r="I925" s="214">
        <v>0</v>
      </c>
      <c r="J925" s="214">
        <v>0</v>
      </c>
      <c r="K925" s="214">
        <v>0</v>
      </c>
      <c r="L925" s="214">
        <v>0</v>
      </c>
      <c r="M925" s="214">
        <v>0</v>
      </c>
      <c r="N925" s="214">
        <v>0</v>
      </c>
      <c r="O925" s="214">
        <v>0</v>
      </c>
      <c r="P925" s="214">
        <v>0</v>
      </c>
      <c r="Q925" s="214">
        <v>0</v>
      </c>
      <c r="R925" s="214">
        <v>0</v>
      </c>
      <c r="S925" s="214">
        <v>0</v>
      </c>
      <c r="T925" s="214">
        <v>0</v>
      </c>
      <c r="U925" s="214">
        <v>0</v>
      </c>
      <c r="V925" s="214">
        <v>0</v>
      </c>
      <c r="W925" s="214">
        <v>0</v>
      </c>
      <c r="X925" s="214">
        <v>0</v>
      </c>
      <c r="Y925" s="214">
        <v>0</v>
      </c>
      <c r="Z925" s="214">
        <v>0</v>
      </c>
      <c r="AA925" s="214">
        <v>0</v>
      </c>
      <c r="AB925" s="214">
        <v>0</v>
      </c>
      <c r="AC925" s="214">
        <v>0</v>
      </c>
      <c r="AD925" s="215"/>
      <c r="AE925" s="420">
        <v>0</v>
      </c>
      <c r="AF925" s="420">
        <v>0</v>
      </c>
      <c r="AG925" s="420">
        <v>0</v>
      </c>
      <c r="AH925" s="420"/>
      <c r="AI925" s="574">
        <f t="shared" si="22"/>
        <v>13000</v>
      </c>
      <c r="AJ925" s="212"/>
    </row>
    <row r="926" spans="2:36" ht="14.4">
      <c r="B926" s="211"/>
      <c r="C926" s="213" t="s">
        <v>66</v>
      </c>
      <c r="D926" s="214">
        <v>0</v>
      </c>
      <c r="E926" s="214">
        <v>0</v>
      </c>
      <c r="F926" s="214">
        <v>0</v>
      </c>
      <c r="G926" s="214">
        <v>0</v>
      </c>
      <c r="H926" s="214">
        <v>0</v>
      </c>
      <c r="I926" s="214">
        <v>0</v>
      </c>
      <c r="J926" s="214">
        <v>0</v>
      </c>
      <c r="K926" s="214">
        <v>0</v>
      </c>
      <c r="L926" s="214">
        <v>0</v>
      </c>
      <c r="M926" s="214">
        <v>0</v>
      </c>
      <c r="N926" s="214">
        <v>0</v>
      </c>
      <c r="O926" s="214">
        <v>0</v>
      </c>
      <c r="P926" s="214">
        <v>0</v>
      </c>
      <c r="Q926" s="214">
        <v>0</v>
      </c>
      <c r="R926" s="214">
        <v>0</v>
      </c>
      <c r="S926" s="214">
        <v>0</v>
      </c>
      <c r="T926" s="214">
        <v>0</v>
      </c>
      <c r="U926" s="214">
        <v>0</v>
      </c>
      <c r="V926" s="214">
        <v>0</v>
      </c>
      <c r="W926" s="214">
        <v>0</v>
      </c>
      <c r="X926" s="214">
        <v>0</v>
      </c>
      <c r="Y926" s="214">
        <v>0</v>
      </c>
      <c r="Z926" s="214">
        <v>0</v>
      </c>
      <c r="AA926" s="214">
        <v>0</v>
      </c>
      <c r="AB926" s="214">
        <v>0</v>
      </c>
      <c r="AC926" s="214">
        <v>0</v>
      </c>
      <c r="AD926" s="215"/>
      <c r="AE926" s="420">
        <v>0</v>
      </c>
      <c r="AF926" s="420">
        <v>0</v>
      </c>
      <c r="AG926" s="420">
        <v>0</v>
      </c>
      <c r="AH926" s="420"/>
      <c r="AI926" s="574">
        <f t="shared" si="22"/>
        <v>0</v>
      </c>
      <c r="AJ926" s="212"/>
    </row>
    <row r="927" spans="2:36" ht="14.4">
      <c r="B927" s="211"/>
      <c r="C927" s="213" t="s">
        <v>30</v>
      </c>
      <c r="D927" s="214">
        <v>14143.99</v>
      </c>
      <c r="E927" s="214">
        <v>0</v>
      </c>
      <c r="F927" s="214">
        <v>0</v>
      </c>
      <c r="G927" s="214">
        <v>0</v>
      </c>
      <c r="H927" s="214">
        <v>0</v>
      </c>
      <c r="I927" s="214">
        <v>0</v>
      </c>
      <c r="J927" s="214">
        <v>0</v>
      </c>
      <c r="K927" s="214">
        <v>0</v>
      </c>
      <c r="L927" s="214">
        <v>0</v>
      </c>
      <c r="M927" s="214">
        <v>0</v>
      </c>
      <c r="N927" s="214">
        <v>0</v>
      </c>
      <c r="O927" s="214">
        <v>0</v>
      </c>
      <c r="P927" s="214">
        <v>0</v>
      </c>
      <c r="Q927" s="214">
        <v>0</v>
      </c>
      <c r="R927" s="214">
        <v>0</v>
      </c>
      <c r="S927" s="214">
        <v>0</v>
      </c>
      <c r="T927" s="214">
        <v>0</v>
      </c>
      <c r="U927" s="214">
        <v>0</v>
      </c>
      <c r="V927" s="214">
        <v>0</v>
      </c>
      <c r="W927" s="214">
        <v>0</v>
      </c>
      <c r="X927" s="214">
        <v>0</v>
      </c>
      <c r="Y927" s="214">
        <v>0</v>
      </c>
      <c r="Z927" s="214">
        <v>0</v>
      </c>
      <c r="AA927" s="214">
        <v>0</v>
      </c>
      <c r="AB927" s="214">
        <v>0</v>
      </c>
      <c r="AC927" s="214">
        <v>0</v>
      </c>
      <c r="AD927" s="215"/>
      <c r="AE927" s="420">
        <v>0</v>
      </c>
      <c r="AF927" s="420">
        <v>0</v>
      </c>
      <c r="AG927" s="420">
        <v>0</v>
      </c>
      <c r="AH927" s="420"/>
      <c r="AI927" s="574">
        <f t="shared" si="22"/>
        <v>14143.99</v>
      </c>
      <c r="AJ927" s="212"/>
    </row>
    <row r="928" spans="2:36" ht="14.4">
      <c r="B928" s="211"/>
      <c r="C928" s="213" t="s">
        <v>67</v>
      </c>
      <c r="D928" s="214">
        <v>39912</v>
      </c>
      <c r="E928" s="214">
        <v>20460</v>
      </c>
      <c r="F928" s="214">
        <v>16500</v>
      </c>
      <c r="G928" s="214">
        <v>8580</v>
      </c>
      <c r="H928" s="214">
        <v>23100</v>
      </c>
      <c r="I928" s="214">
        <v>1650</v>
      </c>
      <c r="J928" s="214">
        <v>4158</v>
      </c>
      <c r="K928" s="214">
        <v>3300</v>
      </c>
      <c r="L928" s="214">
        <v>1650</v>
      </c>
      <c r="M928" s="214">
        <v>13530</v>
      </c>
      <c r="N928" s="214">
        <v>0</v>
      </c>
      <c r="O928" s="214">
        <v>8250</v>
      </c>
      <c r="P928" s="214">
        <v>8250</v>
      </c>
      <c r="Q928" s="214">
        <v>26400</v>
      </c>
      <c r="R928" s="214">
        <v>9900</v>
      </c>
      <c r="S928" s="214">
        <v>6600</v>
      </c>
      <c r="T928" s="214">
        <v>0</v>
      </c>
      <c r="U928" s="214">
        <v>1650</v>
      </c>
      <c r="V928" s="214">
        <v>1650</v>
      </c>
      <c r="W928" s="214">
        <v>3300</v>
      </c>
      <c r="X928" s="214">
        <v>0</v>
      </c>
      <c r="Y928" s="214">
        <v>1650</v>
      </c>
      <c r="Z928" s="214">
        <v>0</v>
      </c>
      <c r="AA928" s="214">
        <v>0</v>
      </c>
      <c r="AB928" s="214">
        <v>0</v>
      </c>
      <c r="AC928" s="214">
        <v>1650</v>
      </c>
      <c r="AD928" s="215"/>
      <c r="AE928" s="420">
        <v>3300</v>
      </c>
      <c r="AF928" s="420">
        <v>0</v>
      </c>
      <c r="AG928" s="420">
        <v>4125</v>
      </c>
      <c r="AH928" s="420"/>
      <c r="AI928" s="574">
        <f t="shared" si="22"/>
        <v>209565</v>
      </c>
      <c r="AJ928" s="212"/>
    </row>
    <row r="929" spans="2:36" ht="14.4">
      <c r="B929" s="211"/>
      <c r="C929" s="213" t="s">
        <v>111</v>
      </c>
      <c r="D929" s="214">
        <v>400</v>
      </c>
      <c r="E929" s="214">
        <v>400</v>
      </c>
      <c r="F929" s="214">
        <v>1200</v>
      </c>
      <c r="G929" s="214">
        <v>0</v>
      </c>
      <c r="H929" s="214">
        <v>1600</v>
      </c>
      <c r="I929" s="214">
        <v>0</v>
      </c>
      <c r="J929" s="214">
        <v>0</v>
      </c>
      <c r="K929" s="214">
        <v>0</v>
      </c>
      <c r="L929" s="214">
        <v>0</v>
      </c>
      <c r="M929" s="214">
        <v>0</v>
      </c>
      <c r="N929" s="214">
        <v>0</v>
      </c>
      <c r="O929" s="214">
        <v>400</v>
      </c>
      <c r="P929" s="214">
        <v>0</v>
      </c>
      <c r="Q929" s="214">
        <v>1000</v>
      </c>
      <c r="R929" s="214">
        <v>0</v>
      </c>
      <c r="S929" s="214">
        <v>200</v>
      </c>
      <c r="T929" s="214">
        <v>0</v>
      </c>
      <c r="U929" s="214">
        <v>0</v>
      </c>
      <c r="V929" s="214">
        <v>0</v>
      </c>
      <c r="W929" s="214">
        <v>0</v>
      </c>
      <c r="X929" s="214">
        <v>0</v>
      </c>
      <c r="Y929" s="214">
        <v>0</v>
      </c>
      <c r="Z929" s="214">
        <v>0</v>
      </c>
      <c r="AA929" s="214">
        <v>0</v>
      </c>
      <c r="AB929" s="214">
        <v>0</v>
      </c>
      <c r="AC929" s="214">
        <v>0</v>
      </c>
      <c r="AD929" s="215"/>
      <c r="AE929" s="420">
        <v>300</v>
      </c>
      <c r="AF929" s="420">
        <v>0</v>
      </c>
      <c r="AG929" s="420">
        <v>0</v>
      </c>
      <c r="AH929" s="420"/>
      <c r="AI929" s="574">
        <f t="shared" si="22"/>
        <v>5500</v>
      </c>
      <c r="AJ929" s="212"/>
    </row>
    <row r="930" spans="2:36" ht="14.4">
      <c r="B930" s="211"/>
      <c r="C930" s="213" t="s">
        <v>68</v>
      </c>
      <c r="D930" s="214">
        <v>0</v>
      </c>
      <c r="E930" s="214">
        <v>0</v>
      </c>
      <c r="F930" s="214">
        <v>0</v>
      </c>
      <c r="G930" s="214">
        <v>0</v>
      </c>
      <c r="H930" s="214">
        <v>0</v>
      </c>
      <c r="I930" s="214">
        <v>0</v>
      </c>
      <c r="J930" s="214">
        <v>0</v>
      </c>
      <c r="K930" s="214">
        <v>0</v>
      </c>
      <c r="L930" s="214">
        <v>0</v>
      </c>
      <c r="M930" s="214">
        <v>0</v>
      </c>
      <c r="N930" s="214">
        <v>0</v>
      </c>
      <c r="O930" s="214">
        <v>0</v>
      </c>
      <c r="P930" s="214">
        <v>0</v>
      </c>
      <c r="Q930" s="214">
        <v>0</v>
      </c>
      <c r="R930" s="214">
        <v>0</v>
      </c>
      <c r="S930" s="214">
        <v>0</v>
      </c>
      <c r="T930" s="214">
        <v>0</v>
      </c>
      <c r="U930" s="214">
        <v>0</v>
      </c>
      <c r="V930" s="214">
        <v>0</v>
      </c>
      <c r="W930" s="214">
        <v>0</v>
      </c>
      <c r="X930" s="214">
        <v>0</v>
      </c>
      <c r="Y930" s="214">
        <v>0</v>
      </c>
      <c r="Z930" s="214">
        <v>0</v>
      </c>
      <c r="AA930" s="214">
        <v>0</v>
      </c>
      <c r="AB930" s="214">
        <v>0</v>
      </c>
      <c r="AC930" s="214">
        <v>0</v>
      </c>
      <c r="AD930" s="215"/>
      <c r="AE930" s="420">
        <v>0</v>
      </c>
      <c r="AF930" s="420">
        <v>0</v>
      </c>
      <c r="AG930" s="420">
        <v>0</v>
      </c>
      <c r="AH930" s="420"/>
      <c r="AI930" s="574">
        <f t="shared" si="22"/>
        <v>0</v>
      </c>
      <c r="AJ930" s="212"/>
    </row>
    <row r="931" spans="2:36" ht="14.4">
      <c r="B931" s="211"/>
      <c r="C931" s="213" t="s">
        <v>69</v>
      </c>
      <c r="D931" s="214">
        <v>0</v>
      </c>
      <c r="E931" s="214">
        <v>0</v>
      </c>
      <c r="F931" s="214">
        <v>0</v>
      </c>
      <c r="G931" s="214">
        <v>0</v>
      </c>
      <c r="H931" s="214">
        <v>0</v>
      </c>
      <c r="I931" s="214">
        <v>0</v>
      </c>
      <c r="J931" s="214">
        <v>0</v>
      </c>
      <c r="K931" s="214">
        <v>0</v>
      </c>
      <c r="L931" s="214">
        <v>0</v>
      </c>
      <c r="M931" s="214">
        <v>0</v>
      </c>
      <c r="N931" s="214">
        <v>0</v>
      </c>
      <c r="O931" s="214">
        <v>0</v>
      </c>
      <c r="P931" s="214">
        <v>0</v>
      </c>
      <c r="Q931" s="214">
        <v>0</v>
      </c>
      <c r="R931" s="214">
        <v>0</v>
      </c>
      <c r="S931" s="214">
        <v>0</v>
      </c>
      <c r="T931" s="214">
        <v>0</v>
      </c>
      <c r="U931" s="214">
        <v>0</v>
      </c>
      <c r="V931" s="214">
        <v>0</v>
      </c>
      <c r="W931" s="214">
        <v>0</v>
      </c>
      <c r="X931" s="214">
        <v>0</v>
      </c>
      <c r="Y931" s="214">
        <v>0</v>
      </c>
      <c r="Z931" s="214">
        <v>0</v>
      </c>
      <c r="AA931" s="214">
        <v>0</v>
      </c>
      <c r="AB931" s="214">
        <v>0</v>
      </c>
      <c r="AC931" s="214">
        <v>0</v>
      </c>
      <c r="AD931" s="215"/>
      <c r="AE931" s="420">
        <v>0</v>
      </c>
      <c r="AF931" s="420">
        <v>0</v>
      </c>
      <c r="AG931" s="420">
        <v>0</v>
      </c>
      <c r="AH931" s="420"/>
      <c r="AI931" s="574">
        <f t="shared" si="22"/>
        <v>0</v>
      </c>
      <c r="AJ931" s="212"/>
    </row>
    <row r="932" spans="2:36" ht="14.4">
      <c r="B932" s="211"/>
      <c r="C932" s="213" t="s">
        <v>70</v>
      </c>
      <c r="D932" s="214">
        <v>6660</v>
      </c>
      <c r="E932" s="214">
        <v>0</v>
      </c>
      <c r="F932" s="214">
        <v>0</v>
      </c>
      <c r="G932" s="214">
        <v>0</v>
      </c>
      <c r="H932" s="214">
        <v>0</v>
      </c>
      <c r="I932" s="214">
        <v>420</v>
      </c>
      <c r="J932" s="214">
        <v>0</v>
      </c>
      <c r="K932" s="214">
        <v>0</v>
      </c>
      <c r="L932" s="214">
        <v>0</v>
      </c>
      <c r="M932" s="214">
        <v>0</v>
      </c>
      <c r="N932" s="214">
        <v>0</v>
      </c>
      <c r="O932" s="214">
        <v>0</v>
      </c>
      <c r="P932" s="214">
        <v>0</v>
      </c>
      <c r="Q932" s="214">
        <v>0</v>
      </c>
      <c r="R932" s="214">
        <v>0</v>
      </c>
      <c r="S932" s="214">
        <v>0</v>
      </c>
      <c r="T932" s="214">
        <v>0</v>
      </c>
      <c r="U932" s="214">
        <v>0</v>
      </c>
      <c r="V932" s="214">
        <v>0</v>
      </c>
      <c r="W932" s="214">
        <v>0</v>
      </c>
      <c r="X932" s="214">
        <v>0</v>
      </c>
      <c r="Y932" s="214">
        <v>0</v>
      </c>
      <c r="Z932" s="214">
        <v>0</v>
      </c>
      <c r="AA932" s="214">
        <v>0</v>
      </c>
      <c r="AB932" s="214">
        <v>0</v>
      </c>
      <c r="AC932" s="214">
        <v>0</v>
      </c>
      <c r="AD932" s="215"/>
      <c r="AE932" s="420">
        <v>0</v>
      </c>
      <c r="AF932" s="420">
        <v>0</v>
      </c>
      <c r="AG932" s="420">
        <v>0</v>
      </c>
      <c r="AH932" s="420"/>
      <c r="AI932" s="574">
        <f t="shared" si="22"/>
        <v>7080</v>
      </c>
      <c r="AJ932" s="212"/>
    </row>
    <row r="933" spans="2:36" ht="14.4">
      <c r="B933" s="211"/>
      <c r="C933" s="213" t="s">
        <v>71</v>
      </c>
      <c r="D933" s="214">
        <v>0</v>
      </c>
      <c r="E933" s="214">
        <v>0</v>
      </c>
      <c r="F933" s="214">
        <v>0</v>
      </c>
      <c r="G933" s="214">
        <v>0</v>
      </c>
      <c r="H933" s="214">
        <v>0</v>
      </c>
      <c r="I933" s="214">
        <v>0</v>
      </c>
      <c r="J933" s="214">
        <v>0</v>
      </c>
      <c r="K933" s="214">
        <v>0</v>
      </c>
      <c r="L933" s="214">
        <v>0</v>
      </c>
      <c r="M933" s="214">
        <v>0</v>
      </c>
      <c r="N933" s="214">
        <v>0</v>
      </c>
      <c r="O933" s="214">
        <v>0</v>
      </c>
      <c r="P933" s="214">
        <v>0</v>
      </c>
      <c r="Q933" s="214">
        <v>0</v>
      </c>
      <c r="R933" s="214">
        <v>0</v>
      </c>
      <c r="S933" s="214">
        <v>0</v>
      </c>
      <c r="T933" s="214">
        <v>0</v>
      </c>
      <c r="U933" s="214">
        <v>0</v>
      </c>
      <c r="V933" s="214">
        <v>0</v>
      </c>
      <c r="W933" s="214">
        <v>0</v>
      </c>
      <c r="X933" s="214">
        <v>0</v>
      </c>
      <c r="Y933" s="214">
        <v>0</v>
      </c>
      <c r="Z933" s="214">
        <v>0</v>
      </c>
      <c r="AA933" s="214">
        <v>0</v>
      </c>
      <c r="AB933" s="214">
        <v>0</v>
      </c>
      <c r="AC933" s="214">
        <v>0</v>
      </c>
      <c r="AD933" s="215"/>
      <c r="AE933" s="420">
        <v>0</v>
      </c>
      <c r="AF933" s="420">
        <v>0</v>
      </c>
      <c r="AG933" s="420">
        <v>0</v>
      </c>
      <c r="AH933" s="420"/>
      <c r="AI933" s="574">
        <f t="shared" si="22"/>
        <v>0</v>
      </c>
      <c r="AJ933" s="212"/>
    </row>
    <row r="934" spans="2:36" ht="14.4">
      <c r="B934" s="211"/>
      <c r="C934" s="213" t="s">
        <v>159</v>
      </c>
      <c r="D934" s="214">
        <v>22715</v>
      </c>
      <c r="E934" s="214">
        <v>0</v>
      </c>
      <c r="F934" s="214">
        <v>0</v>
      </c>
      <c r="G934" s="214">
        <v>0</v>
      </c>
      <c r="H934" s="214">
        <v>0</v>
      </c>
      <c r="I934" s="214">
        <v>0</v>
      </c>
      <c r="J934" s="214">
        <v>0</v>
      </c>
      <c r="K934" s="214">
        <v>0</v>
      </c>
      <c r="L934" s="214">
        <v>0</v>
      </c>
      <c r="M934" s="214">
        <v>0</v>
      </c>
      <c r="N934" s="214">
        <v>0</v>
      </c>
      <c r="O934" s="214">
        <v>0</v>
      </c>
      <c r="P934" s="214">
        <v>0</v>
      </c>
      <c r="Q934" s="214">
        <v>0</v>
      </c>
      <c r="R934" s="214">
        <v>1600</v>
      </c>
      <c r="S934" s="214">
        <v>0</v>
      </c>
      <c r="T934" s="214">
        <v>0</v>
      </c>
      <c r="U934" s="214">
        <v>0</v>
      </c>
      <c r="V934" s="214">
        <v>0</v>
      </c>
      <c r="W934" s="214">
        <v>0</v>
      </c>
      <c r="X934" s="214">
        <v>0</v>
      </c>
      <c r="Y934" s="214">
        <v>0</v>
      </c>
      <c r="Z934" s="214">
        <v>0</v>
      </c>
      <c r="AA934" s="214">
        <v>0</v>
      </c>
      <c r="AB934" s="214">
        <v>0</v>
      </c>
      <c r="AC934" s="214">
        <v>0</v>
      </c>
      <c r="AD934" s="215"/>
      <c r="AE934" s="420">
        <v>0</v>
      </c>
      <c r="AF934" s="420">
        <v>0</v>
      </c>
      <c r="AG934" s="420">
        <v>0</v>
      </c>
      <c r="AH934" s="420"/>
      <c r="AI934" s="574">
        <f t="shared" si="22"/>
        <v>24315</v>
      </c>
      <c r="AJ934" s="212"/>
    </row>
    <row r="935" spans="2:36" ht="14.4">
      <c r="B935" s="211"/>
      <c r="C935" s="213" t="s">
        <v>72</v>
      </c>
      <c r="D935" s="214">
        <v>7050</v>
      </c>
      <c r="E935" s="214">
        <v>0</v>
      </c>
      <c r="F935" s="214">
        <v>0</v>
      </c>
      <c r="G935" s="214">
        <v>0</v>
      </c>
      <c r="H935" s="214">
        <v>0</v>
      </c>
      <c r="I935" s="214">
        <v>0</v>
      </c>
      <c r="J935" s="214">
        <v>0</v>
      </c>
      <c r="K935" s="214">
        <v>0</v>
      </c>
      <c r="L935" s="214">
        <v>0</v>
      </c>
      <c r="M935" s="214">
        <v>0</v>
      </c>
      <c r="N935" s="214">
        <v>0</v>
      </c>
      <c r="O935" s="214">
        <v>0</v>
      </c>
      <c r="P935" s="214">
        <v>0</v>
      </c>
      <c r="Q935" s="214">
        <v>0</v>
      </c>
      <c r="R935" s="214">
        <v>0</v>
      </c>
      <c r="S935" s="214">
        <v>0</v>
      </c>
      <c r="T935" s="214">
        <v>0</v>
      </c>
      <c r="U935" s="214">
        <v>0</v>
      </c>
      <c r="V935" s="214">
        <v>0</v>
      </c>
      <c r="W935" s="214">
        <v>0</v>
      </c>
      <c r="X935" s="214">
        <v>0</v>
      </c>
      <c r="Y935" s="214">
        <v>0</v>
      </c>
      <c r="Z935" s="214">
        <v>0</v>
      </c>
      <c r="AA935" s="214">
        <v>0</v>
      </c>
      <c r="AB935" s="214">
        <v>0</v>
      </c>
      <c r="AC935" s="214">
        <v>0</v>
      </c>
      <c r="AD935" s="215"/>
      <c r="AE935" s="420">
        <v>0</v>
      </c>
      <c r="AF935" s="420">
        <v>0</v>
      </c>
      <c r="AG935" s="420">
        <v>0</v>
      </c>
      <c r="AH935" s="420"/>
      <c r="AI935" s="574">
        <f t="shared" si="22"/>
        <v>7050</v>
      </c>
      <c r="AJ935" s="212"/>
    </row>
    <row r="936" spans="2:36" ht="14.4">
      <c r="B936" s="211"/>
      <c r="C936" s="213" t="s">
        <v>73</v>
      </c>
      <c r="D936" s="214">
        <v>0</v>
      </c>
      <c r="E936" s="214">
        <v>0</v>
      </c>
      <c r="F936" s="214">
        <v>0</v>
      </c>
      <c r="G936" s="214">
        <v>0</v>
      </c>
      <c r="H936" s="214">
        <v>0</v>
      </c>
      <c r="I936" s="214">
        <v>0</v>
      </c>
      <c r="J936" s="214">
        <v>0</v>
      </c>
      <c r="K936" s="214">
        <v>0</v>
      </c>
      <c r="L936" s="214">
        <v>0</v>
      </c>
      <c r="M936" s="214">
        <v>0</v>
      </c>
      <c r="N936" s="214">
        <v>0</v>
      </c>
      <c r="O936" s="214">
        <v>0</v>
      </c>
      <c r="P936" s="214">
        <v>0</v>
      </c>
      <c r="Q936" s="214">
        <v>0</v>
      </c>
      <c r="R936" s="214">
        <v>0</v>
      </c>
      <c r="S936" s="214">
        <v>0</v>
      </c>
      <c r="T936" s="214">
        <v>0</v>
      </c>
      <c r="U936" s="214">
        <v>0</v>
      </c>
      <c r="V936" s="214">
        <v>0</v>
      </c>
      <c r="W936" s="214">
        <v>0</v>
      </c>
      <c r="X936" s="214">
        <v>0</v>
      </c>
      <c r="Y936" s="214">
        <v>0</v>
      </c>
      <c r="Z936" s="214">
        <v>0</v>
      </c>
      <c r="AA936" s="214">
        <v>0</v>
      </c>
      <c r="AB936" s="214">
        <v>0</v>
      </c>
      <c r="AC936" s="214">
        <v>0</v>
      </c>
      <c r="AD936" s="215"/>
      <c r="AE936" s="420">
        <v>0</v>
      </c>
      <c r="AF936" s="420">
        <v>0</v>
      </c>
      <c r="AG936" s="420">
        <v>0</v>
      </c>
      <c r="AH936" s="420"/>
      <c r="AI936" s="574">
        <f t="shared" si="22"/>
        <v>0</v>
      </c>
      <c r="AJ936" s="212"/>
    </row>
    <row r="937" spans="2:36" ht="14.4">
      <c r="B937" s="211"/>
      <c r="C937" s="213" t="s">
        <v>246</v>
      </c>
      <c r="D937" s="214">
        <v>45331</v>
      </c>
      <c r="E937" s="214">
        <v>0</v>
      </c>
      <c r="F937" s="214">
        <v>0</v>
      </c>
      <c r="G937" s="214">
        <v>0</v>
      </c>
      <c r="H937" s="214">
        <v>0</v>
      </c>
      <c r="I937" s="214">
        <v>0</v>
      </c>
      <c r="J937" s="214">
        <v>0</v>
      </c>
      <c r="K937" s="214">
        <v>0</v>
      </c>
      <c r="L937" s="214">
        <v>0</v>
      </c>
      <c r="M937" s="214">
        <v>0</v>
      </c>
      <c r="N937" s="214">
        <v>0</v>
      </c>
      <c r="O937" s="214">
        <v>0</v>
      </c>
      <c r="P937" s="214">
        <v>0</v>
      </c>
      <c r="Q937" s="214">
        <v>0</v>
      </c>
      <c r="R937" s="214">
        <v>0</v>
      </c>
      <c r="S937" s="214">
        <v>0</v>
      </c>
      <c r="T937" s="214">
        <v>0</v>
      </c>
      <c r="U937" s="214">
        <v>0</v>
      </c>
      <c r="V937" s="214">
        <v>0</v>
      </c>
      <c r="W937" s="214">
        <v>0</v>
      </c>
      <c r="X937" s="214">
        <v>0</v>
      </c>
      <c r="Y937" s="214">
        <v>0</v>
      </c>
      <c r="Z937" s="214">
        <v>0</v>
      </c>
      <c r="AA937" s="214">
        <v>0</v>
      </c>
      <c r="AB937" s="214">
        <v>0</v>
      </c>
      <c r="AC937" s="214">
        <v>0</v>
      </c>
      <c r="AD937" s="215"/>
      <c r="AE937" s="420">
        <v>0</v>
      </c>
      <c r="AF937" s="420">
        <v>0</v>
      </c>
      <c r="AG937" s="420">
        <v>0</v>
      </c>
      <c r="AH937" s="420"/>
      <c r="AI937" s="574">
        <f t="shared" si="22"/>
        <v>45331</v>
      </c>
      <c r="AJ937" s="212"/>
    </row>
    <row r="938" spans="2:36" ht="14.4">
      <c r="B938" s="211"/>
      <c r="C938" s="213" t="s">
        <v>75</v>
      </c>
      <c r="D938" s="214">
        <v>0</v>
      </c>
      <c r="E938" s="214">
        <v>0</v>
      </c>
      <c r="F938" s="214">
        <v>0</v>
      </c>
      <c r="G938" s="214">
        <v>0</v>
      </c>
      <c r="H938" s="214">
        <v>0</v>
      </c>
      <c r="I938" s="214">
        <v>0</v>
      </c>
      <c r="J938" s="214">
        <v>0</v>
      </c>
      <c r="K938" s="214">
        <v>0</v>
      </c>
      <c r="L938" s="214">
        <v>0</v>
      </c>
      <c r="M938" s="214">
        <v>0</v>
      </c>
      <c r="N938" s="214">
        <v>0</v>
      </c>
      <c r="O938" s="214">
        <v>0</v>
      </c>
      <c r="P938" s="214">
        <v>0</v>
      </c>
      <c r="Q938" s="214">
        <v>0</v>
      </c>
      <c r="R938" s="214">
        <v>0</v>
      </c>
      <c r="S938" s="214">
        <v>0</v>
      </c>
      <c r="T938" s="214">
        <v>0</v>
      </c>
      <c r="U938" s="214">
        <v>0</v>
      </c>
      <c r="V938" s="214">
        <v>0</v>
      </c>
      <c r="W938" s="214">
        <v>0</v>
      </c>
      <c r="X938" s="214">
        <v>0</v>
      </c>
      <c r="Y938" s="214">
        <v>0</v>
      </c>
      <c r="Z938" s="214">
        <v>0</v>
      </c>
      <c r="AA938" s="214">
        <v>0</v>
      </c>
      <c r="AB938" s="214">
        <v>0</v>
      </c>
      <c r="AC938" s="214">
        <v>0</v>
      </c>
      <c r="AD938" s="215"/>
      <c r="AE938" s="420">
        <v>0</v>
      </c>
      <c r="AF938" s="420">
        <v>0</v>
      </c>
      <c r="AG938" s="420">
        <v>0</v>
      </c>
      <c r="AH938" s="420"/>
      <c r="AI938" s="574">
        <f t="shared" si="22"/>
        <v>0</v>
      </c>
      <c r="AJ938" s="212"/>
    </row>
    <row r="939" spans="2:36" ht="14.4">
      <c r="B939" s="211"/>
      <c r="C939" s="213" t="s">
        <v>76</v>
      </c>
      <c r="D939" s="214">
        <v>0</v>
      </c>
      <c r="E939" s="214">
        <v>0</v>
      </c>
      <c r="F939" s="214">
        <v>0</v>
      </c>
      <c r="G939" s="214">
        <v>0</v>
      </c>
      <c r="H939" s="214">
        <v>0</v>
      </c>
      <c r="I939" s="214">
        <v>0</v>
      </c>
      <c r="J939" s="214">
        <v>0</v>
      </c>
      <c r="K939" s="214">
        <v>0</v>
      </c>
      <c r="L939" s="214">
        <v>0</v>
      </c>
      <c r="M939" s="214">
        <v>0</v>
      </c>
      <c r="N939" s="214">
        <v>0</v>
      </c>
      <c r="O939" s="214">
        <v>0</v>
      </c>
      <c r="P939" s="214">
        <v>0</v>
      </c>
      <c r="Q939" s="214">
        <v>0</v>
      </c>
      <c r="R939" s="214">
        <v>0</v>
      </c>
      <c r="S939" s="214">
        <v>0</v>
      </c>
      <c r="T939" s="214">
        <v>0</v>
      </c>
      <c r="U939" s="214">
        <v>0</v>
      </c>
      <c r="V939" s="214">
        <v>0</v>
      </c>
      <c r="W939" s="214">
        <v>0</v>
      </c>
      <c r="X939" s="214">
        <v>0</v>
      </c>
      <c r="Y939" s="214">
        <v>0</v>
      </c>
      <c r="Z939" s="214">
        <v>0</v>
      </c>
      <c r="AA939" s="214">
        <v>0</v>
      </c>
      <c r="AB939" s="214">
        <v>0</v>
      </c>
      <c r="AC939" s="214">
        <v>0</v>
      </c>
      <c r="AD939" s="215"/>
      <c r="AE939" s="420">
        <v>0</v>
      </c>
      <c r="AF939" s="420">
        <v>0</v>
      </c>
      <c r="AG939" s="420">
        <v>0</v>
      </c>
      <c r="AH939" s="420"/>
      <c r="AI939" s="574">
        <f t="shared" si="22"/>
        <v>0</v>
      </c>
      <c r="AJ939" s="212"/>
    </row>
    <row r="940" spans="2:36" ht="14.4">
      <c r="B940" s="211"/>
      <c r="C940" s="213" t="s">
        <v>77</v>
      </c>
      <c r="D940" s="214">
        <v>0</v>
      </c>
      <c r="E940" s="214">
        <v>0</v>
      </c>
      <c r="F940" s="214">
        <v>0</v>
      </c>
      <c r="G940" s="214">
        <v>0</v>
      </c>
      <c r="H940" s="214">
        <v>0</v>
      </c>
      <c r="I940" s="214">
        <v>0</v>
      </c>
      <c r="J940" s="214">
        <v>0</v>
      </c>
      <c r="K940" s="214">
        <v>0</v>
      </c>
      <c r="L940" s="214">
        <v>0</v>
      </c>
      <c r="M940" s="214">
        <v>0</v>
      </c>
      <c r="N940" s="214">
        <v>0</v>
      </c>
      <c r="O940" s="214">
        <v>0</v>
      </c>
      <c r="P940" s="214">
        <v>0</v>
      </c>
      <c r="Q940" s="214">
        <v>0</v>
      </c>
      <c r="R940" s="214">
        <v>0</v>
      </c>
      <c r="S940" s="214">
        <v>0</v>
      </c>
      <c r="T940" s="214">
        <v>0</v>
      </c>
      <c r="U940" s="214">
        <v>0</v>
      </c>
      <c r="V940" s="214">
        <v>0</v>
      </c>
      <c r="W940" s="214">
        <v>0</v>
      </c>
      <c r="X940" s="214">
        <v>0</v>
      </c>
      <c r="Y940" s="214">
        <v>0</v>
      </c>
      <c r="Z940" s="214">
        <v>0</v>
      </c>
      <c r="AA940" s="214">
        <v>0</v>
      </c>
      <c r="AB940" s="214">
        <v>0</v>
      </c>
      <c r="AC940" s="214">
        <v>0</v>
      </c>
      <c r="AD940" s="215"/>
      <c r="AE940" s="420">
        <v>0</v>
      </c>
      <c r="AF940" s="420">
        <v>0</v>
      </c>
      <c r="AG940" s="420">
        <v>0</v>
      </c>
      <c r="AH940" s="420"/>
      <c r="AI940" s="574">
        <f t="shared" si="22"/>
        <v>0</v>
      </c>
      <c r="AJ940" s="212"/>
    </row>
    <row r="941" spans="2:36" ht="14.4">
      <c r="B941" s="211"/>
      <c r="C941" s="213" t="s">
        <v>78</v>
      </c>
      <c r="D941" s="214">
        <v>0</v>
      </c>
      <c r="E941" s="214">
        <v>0</v>
      </c>
      <c r="F941" s="214">
        <v>0</v>
      </c>
      <c r="G941" s="214">
        <v>0</v>
      </c>
      <c r="H941" s="214">
        <v>0</v>
      </c>
      <c r="I941" s="214">
        <v>0</v>
      </c>
      <c r="J941" s="214">
        <v>0</v>
      </c>
      <c r="K941" s="214">
        <v>0</v>
      </c>
      <c r="L941" s="214">
        <v>0</v>
      </c>
      <c r="M941" s="214">
        <v>0</v>
      </c>
      <c r="N941" s="214">
        <v>0</v>
      </c>
      <c r="O941" s="214">
        <v>0</v>
      </c>
      <c r="P941" s="214">
        <v>0</v>
      </c>
      <c r="Q941" s="214">
        <v>0</v>
      </c>
      <c r="R941" s="214">
        <v>0</v>
      </c>
      <c r="S941" s="214">
        <v>0</v>
      </c>
      <c r="T941" s="214">
        <v>0</v>
      </c>
      <c r="U941" s="214">
        <v>0</v>
      </c>
      <c r="V941" s="214">
        <v>0</v>
      </c>
      <c r="W941" s="214">
        <v>0</v>
      </c>
      <c r="X941" s="214">
        <v>0</v>
      </c>
      <c r="Y941" s="214">
        <v>0</v>
      </c>
      <c r="Z941" s="214">
        <v>0</v>
      </c>
      <c r="AA941" s="214">
        <v>0</v>
      </c>
      <c r="AB941" s="214">
        <v>0</v>
      </c>
      <c r="AC941" s="214">
        <v>0</v>
      </c>
      <c r="AD941" s="215"/>
      <c r="AE941" s="420">
        <v>0</v>
      </c>
      <c r="AF941" s="420">
        <v>0</v>
      </c>
      <c r="AG941" s="420">
        <v>0</v>
      </c>
      <c r="AH941" s="420"/>
      <c r="AI941" s="574">
        <f t="shared" si="22"/>
        <v>0</v>
      </c>
      <c r="AJ941" s="212"/>
    </row>
    <row r="942" spans="2:36" ht="14.4">
      <c r="B942" s="211"/>
      <c r="C942" s="213" t="s">
        <v>79</v>
      </c>
      <c r="D942" s="214">
        <v>0</v>
      </c>
      <c r="E942" s="214">
        <v>0</v>
      </c>
      <c r="F942" s="214">
        <v>0</v>
      </c>
      <c r="G942" s="214">
        <v>0</v>
      </c>
      <c r="H942" s="214">
        <v>0</v>
      </c>
      <c r="I942" s="214">
        <v>0</v>
      </c>
      <c r="J942" s="214">
        <v>0</v>
      </c>
      <c r="K942" s="214">
        <v>0</v>
      </c>
      <c r="L942" s="214">
        <v>0</v>
      </c>
      <c r="M942" s="214">
        <v>0</v>
      </c>
      <c r="N942" s="214">
        <v>0</v>
      </c>
      <c r="O942" s="214">
        <v>0</v>
      </c>
      <c r="P942" s="214">
        <v>0</v>
      </c>
      <c r="Q942" s="214">
        <v>0</v>
      </c>
      <c r="R942" s="214">
        <v>0</v>
      </c>
      <c r="S942" s="214">
        <v>0</v>
      </c>
      <c r="T942" s="214">
        <v>0</v>
      </c>
      <c r="U942" s="214">
        <v>0</v>
      </c>
      <c r="V942" s="214">
        <v>0</v>
      </c>
      <c r="W942" s="214">
        <v>0</v>
      </c>
      <c r="X942" s="214">
        <v>0</v>
      </c>
      <c r="Y942" s="214">
        <v>0</v>
      </c>
      <c r="Z942" s="214">
        <v>0</v>
      </c>
      <c r="AA942" s="214">
        <v>0</v>
      </c>
      <c r="AB942" s="214">
        <v>0</v>
      </c>
      <c r="AC942" s="214">
        <v>0</v>
      </c>
      <c r="AD942" s="215"/>
      <c r="AE942" s="420">
        <v>0</v>
      </c>
      <c r="AF942" s="420">
        <v>0</v>
      </c>
      <c r="AG942" s="420">
        <v>0</v>
      </c>
      <c r="AH942" s="420"/>
      <c r="AI942" s="574">
        <f t="shared" si="22"/>
        <v>0</v>
      </c>
      <c r="AJ942" s="212"/>
    </row>
    <row r="943" spans="2:36" ht="14.4">
      <c r="B943" s="211"/>
      <c r="C943" s="213" t="s">
        <v>80</v>
      </c>
      <c r="D943" s="214">
        <v>0</v>
      </c>
      <c r="E943" s="214">
        <v>0</v>
      </c>
      <c r="F943" s="214">
        <v>0</v>
      </c>
      <c r="G943" s="214">
        <v>0</v>
      </c>
      <c r="H943" s="214">
        <v>0</v>
      </c>
      <c r="I943" s="214">
        <v>0</v>
      </c>
      <c r="J943" s="214">
        <v>0</v>
      </c>
      <c r="K943" s="214">
        <v>0</v>
      </c>
      <c r="L943" s="214">
        <v>0</v>
      </c>
      <c r="M943" s="214">
        <v>0</v>
      </c>
      <c r="N943" s="214">
        <v>0</v>
      </c>
      <c r="O943" s="214">
        <v>0</v>
      </c>
      <c r="P943" s="214">
        <v>0</v>
      </c>
      <c r="Q943" s="214">
        <v>0</v>
      </c>
      <c r="R943" s="214">
        <v>0</v>
      </c>
      <c r="S943" s="214">
        <v>0</v>
      </c>
      <c r="T943" s="214">
        <v>0</v>
      </c>
      <c r="U943" s="214">
        <v>0</v>
      </c>
      <c r="V943" s="214">
        <v>0</v>
      </c>
      <c r="W943" s="214">
        <v>0</v>
      </c>
      <c r="X943" s="214">
        <v>0</v>
      </c>
      <c r="Y943" s="214">
        <v>0</v>
      </c>
      <c r="Z943" s="214">
        <v>0</v>
      </c>
      <c r="AA943" s="214">
        <v>0</v>
      </c>
      <c r="AB943" s="214">
        <v>0</v>
      </c>
      <c r="AC943" s="214">
        <v>0</v>
      </c>
      <c r="AD943" s="215"/>
      <c r="AE943" s="420">
        <v>0</v>
      </c>
      <c r="AF943" s="420">
        <v>0</v>
      </c>
      <c r="AG943" s="420">
        <v>0</v>
      </c>
      <c r="AH943" s="420"/>
      <c r="AI943" s="574">
        <f t="shared" si="22"/>
        <v>0</v>
      </c>
      <c r="AJ943" s="212"/>
    </row>
    <row r="944" spans="2:36" ht="14.4">
      <c r="B944" s="211"/>
      <c r="C944" s="213" t="s">
        <v>81</v>
      </c>
      <c r="D944" s="214">
        <v>0</v>
      </c>
      <c r="E944" s="214">
        <v>0</v>
      </c>
      <c r="F944" s="214">
        <v>0</v>
      </c>
      <c r="G944" s="214">
        <v>0</v>
      </c>
      <c r="H944" s="214">
        <v>0</v>
      </c>
      <c r="I944" s="214">
        <v>0</v>
      </c>
      <c r="J944" s="214">
        <v>0</v>
      </c>
      <c r="K944" s="214">
        <v>0</v>
      </c>
      <c r="L944" s="214">
        <v>0</v>
      </c>
      <c r="M944" s="214">
        <v>0</v>
      </c>
      <c r="N944" s="214">
        <v>0</v>
      </c>
      <c r="O944" s="214">
        <v>0</v>
      </c>
      <c r="P944" s="214">
        <v>0</v>
      </c>
      <c r="Q944" s="214">
        <v>0</v>
      </c>
      <c r="R944" s="214">
        <v>0</v>
      </c>
      <c r="S944" s="214">
        <v>0</v>
      </c>
      <c r="T944" s="214">
        <v>0</v>
      </c>
      <c r="U944" s="214">
        <v>0</v>
      </c>
      <c r="V944" s="214">
        <v>0</v>
      </c>
      <c r="W944" s="214">
        <v>0</v>
      </c>
      <c r="X944" s="214">
        <v>0</v>
      </c>
      <c r="Y944" s="214">
        <v>0</v>
      </c>
      <c r="Z944" s="214">
        <v>0</v>
      </c>
      <c r="AA944" s="214">
        <v>0</v>
      </c>
      <c r="AB944" s="214">
        <v>0</v>
      </c>
      <c r="AC944" s="214">
        <v>0</v>
      </c>
      <c r="AD944" s="215"/>
      <c r="AE944" s="420">
        <v>0</v>
      </c>
      <c r="AF944" s="420">
        <v>0</v>
      </c>
      <c r="AG944" s="420">
        <v>0</v>
      </c>
      <c r="AH944" s="420"/>
      <c r="AI944" s="574">
        <f t="shared" si="22"/>
        <v>0</v>
      </c>
      <c r="AJ944" s="212"/>
    </row>
    <row r="945" spans="2:36" ht="14.4">
      <c r="B945" s="211"/>
      <c r="C945" s="213" t="s">
        <v>82</v>
      </c>
      <c r="D945" s="214">
        <v>0</v>
      </c>
      <c r="E945" s="214">
        <v>0</v>
      </c>
      <c r="F945" s="214">
        <v>0</v>
      </c>
      <c r="G945" s="214">
        <v>0</v>
      </c>
      <c r="H945" s="214">
        <v>0</v>
      </c>
      <c r="I945" s="214">
        <v>0</v>
      </c>
      <c r="J945" s="214">
        <v>0</v>
      </c>
      <c r="K945" s="214">
        <v>0</v>
      </c>
      <c r="L945" s="214">
        <v>0</v>
      </c>
      <c r="M945" s="214">
        <v>0</v>
      </c>
      <c r="N945" s="214">
        <v>0</v>
      </c>
      <c r="O945" s="214">
        <v>0</v>
      </c>
      <c r="P945" s="214">
        <v>0</v>
      </c>
      <c r="Q945" s="214">
        <v>0</v>
      </c>
      <c r="R945" s="214">
        <v>0</v>
      </c>
      <c r="S945" s="214">
        <v>0</v>
      </c>
      <c r="T945" s="214">
        <v>0</v>
      </c>
      <c r="U945" s="214">
        <v>0</v>
      </c>
      <c r="V945" s="214">
        <v>0</v>
      </c>
      <c r="W945" s="214">
        <v>0</v>
      </c>
      <c r="X945" s="214">
        <v>0</v>
      </c>
      <c r="Y945" s="214">
        <v>0</v>
      </c>
      <c r="Z945" s="214">
        <v>0</v>
      </c>
      <c r="AA945" s="214">
        <v>0</v>
      </c>
      <c r="AB945" s="214">
        <v>0</v>
      </c>
      <c r="AC945" s="214">
        <v>0</v>
      </c>
      <c r="AD945" s="215"/>
      <c r="AE945" s="420">
        <v>0</v>
      </c>
      <c r="AF945" s="420">
        <v>0</v>
      </c>
      <c r="AG945" s="420">
        <v>0</v>
      </c>
      <c r="AH945" s="420"/>
      <c r="AI945" s="574">
        <f t="shared" si="22"/>
        <v>0</v>
      </c>
      <c r="AJ945" s="212"/>
    </row>
    <row r="946" spans="2:36" ht="14.4">
      <c r="B946" s="211"/>
      <c r="C946" s="213" t="s">
        <v>83</v>
      </c>
      <c r="D946" s="214">
        <v>0</v>
      </c>
      <c r="E946" s="214">
        <v>0</v>
      </c>
      <c r="F946" s="214">
        <v>0</v>
      </c>
      <c r="G946" s="214">
        <v>0</v>
      </c>
      <c r="H946" s="214">
        <v>0</v>
      </c>
      <c r="I946" s="214">
        <v>0</v>
      </c>
      <c r="J946" s="214">
        <v>0</v>
      </c>
      <c r="K946" s="214">
        <v>0</v>
      </c>
      <c r="L946" s="214">
        <v>0</v>
      </c>
      <c r="M946" s="214">
        <v>0</v>
      </c>
      <c r="N946" s="214">
        <v>0</v>
      </c>
      <c r="O946" s="214">
        <v>0</v>
      </c>
      <c r="P946" s="214">
        <v>0</v>
      </c>
      <c r="Q946" s="214">
        <v>0</v>
      </c>
      <c r="R946" s="214">
        <v>0</v>
      </c>
      <c r="S946" s="214">
        <v>0</v>
      </c>
      <c r="T946" s="214">
        <v>0</v>
      </c>
      <c r="U946" s="214">
        <v>0</v>
      </c>
      <c r="V946" s="214">
        <v>0</v>
      </c>
      <c r="W946" s="214">
        <v>0</v>
      </c>
      <c r="X946" s="214">
        <v>0</v>
      </c>
      <c r="Y946" s="214">
        <v>0</v>
      </c>
      <c r="Z946" s="214">
        <v>0</v>
      </c>
      <c r="AA946" s="214">
        <v>0</v>
      </c>
      <c r="AB946" s="214">
        <v>0</v>
      </c>
      <c r="AC946" s="214">
        <v>0</v>
      </c>
      <c r="AD946" s="215"/>
      <c r="AE946" s="420">
        <v>0</v>
      </c>
      <c r="AF946" s="420">
        <v>0</v>
      </c>
      <c r="AG946" s="420">
        <v>0</v>
      </c>
      <c r="AH946" s="420"/>
      <c r="AI946" s="574">
        <f t="shared" si="22"/>
        <v>0</v>
      </c>
      <c r="AJ946" s="212"/>
    </row>
    <row r="947" spans="2:36" ht="14.4">
      <c r="B947" s="211"/>
      <c r="C947" s="213" t="s">
        <v>84</v>
      </c>
      <c r="D947" s="214">
        <v>0</v>
      </c>
      <c r="E947" s="214">
        <v>0</v>
      </c>
      <c r="F947" s="214">
        <v>0</v>
      </c>
      <c r="G947" s="214">
        <v>0</v>
      </c>
      <c r="H947" s="214">
        <v>0</v>
      </c>
      <c r="I947" s="214">
        <v>0</v>
      </c>
      <c r="J947" s="214">
        <v>0</v>
      </c>
      <c r="K947" s="214">
        <v>0</v>
      </c>
      <c r="L947" s="214">
        <v>0</v>
      </c>
      <c r="M947" s="214">
        <v>0</v>
      </c>
      <c r="N947" s="214">
        <v>0</v>
      </c>
      <c r="O947" s="214">
        <v>0</v>
      </c>
      <c r="P947" s="214">
        <v>0</v>
      </c>
      <c r="Q947" s="214">
        <v>0</v>
      </c>
      <c r="R947" s="214">
        <v>0</v>
      </c>
      <c r="S947" s="214">
        <v>0</v>
      </c>
      <c r="T947" s="214">
        <v>0</v>
      </c>
      <c r="U947" s="214">
        <v>0</v>
      </c>
      <c r="V947" s="214">
        <v>0</v>
      </c>
      <c r="W947" s="214">
        <v>0</v>
      </c>
      <c r="X947" s="214">
        <v>0</v>
      </c>
      <c r="Y947" s="214">
        <v>0</v>
      </c>
      <c r="Z947" s="214">
        <v>0</v>
      </c>
      <c r="AA947" s="214">
        <v>0</v>
      </c>
      <c r="AB947" s="214">
        <v>0</v>
      </c>
      <c r="AC947" s="214">
        <v>0</v>
      </c>
      <c r="AD947" s="215"/>
      <c r="AE947" s="420">
        <v>0</v>
      </c>
      <c r="AF947" s="420">
        <v>0</v>
      </c>
      <c r="AG947" s="420">
        <v>0</v>
      </c>
      <c r="AH947" s="420"/>
      <c r="AI947" s="574">
        <f t="shared" si="22"/>
        <v>0</v>
      </c>
      <c r="AJ947" s="212"/>
    </row>
    <row r="948" spans="2:36" ht="14.4">
      <c r="B948" s="211"/>
      <c r="C948" s="213" t="s">
        <v>85</v>
      </c>
      <c r="D948" s="214">
        <v>300</v>
      </c>
      <c r="E948" s="214">
        <v>300</v>
      </c>
      <c r="F948" s="214">
        <v>300</v>
      </c>
      <c r="G948" s="214">
        <v>300</v>
      </c>
      <c r="H948" s="214">
        <v>300</v>
      </c>
      <c r="I948" s="214">
        <v>1185</v>
      </c>
      <c r="J948" s="214">
        <v>300</v>
      </c>
      <c r="K948" s="214">
        <v>300</v>
      </c>
      <c r="L948" s="214">
        <v>300</v>
      </c>
      <c r="M948" s="214">
        <v>300</v>
      </c>
      <c r="N948" s="214">
        <v>300</v>
      </c>
      <c r="O948" s="214">
        <v>300</v>
      </c>
      <c r="P948" s="214">
        <v>300</v>
      </c>
      <c r="Q948" s="214">
        <v>300</v>
      </c>
      <c r="R948" s="214">
        <v>300</v>
      </c>
      <c r="S948" s="214">
        <v>300</v>
      </c>
      <c r="T948" s="214">
        <v>300</v>
      </c>
      <c r="U948" s="214">
        <v>300</v>
      </c>
      <c r="V948" s="214">
        <v>300</v>
      </c>
      <c r="W948" s="214">
        <v>300</v>
      </c>
      <c r="X948" s="214">
        <v>6185</v>
      </c>
      <c r="Y948" s="214">
        <v>300</v>
      </c>
      <c r="Z948" s="214">
        <v>300</v>
      </c>
      <c r="AA948" s="214">
        <v>300</v>
      </c>
      <c r="AB948" s="214">
        <v>300</v>
      </c>
      <c r="AC948" s="214">
        <v>300</v>
      </c>
      <c r="AD948" s="215"/>
      <c r="AE948" s="420">
        <v>300</v>
      </c>
      <c r="AF948" s="420">
        <v>300</v>
      </c>
      <c r="AG948" s="420">
        <v>300</v>
      </c>
      <c r="AH948" s="420"/>
      <c r="AI948" s="574">
        <f t="shared" si="22"/>
        <v>15470</v>
      </c>
      <c r="AJ948" s="212"/>
    </row>
    <row r="949" spans="2:36" ht="14.4">
      <c r="B949" s="211"/>
      <c r="C949" s="213" t="s">
        <v>86</v>
      </c>
      <c r="D949" s="214">
        <v>0</v>
      </c>
      <c r="E949" s="214">
        <v>0</v>
      </c>
      <c r="F949" s="214">
        <v>0</v>
      </c>
      <c r="G949" s="214">
        <v>0</v>
      </c>
      <c r="H949" s="214">
        <v>0</v>
      </c>
      <c r="I949" s="214">
        <v>0</v>
      </c>
      <c r="J949" s="214">
        <v>0</v>
      </c>
      <c r="K949" s="214">
        <v>0</v>
      </c>
      <c r="L949" s="214">
        <v>0</v>
      </c>
      <c r="M949" s="214">
        <v>0</v>
      </c>
      <c r="N949" s="214">
        <v>0</v>
      </c>
      <c r="O949" s="214">
        <v>0</v>
      </c>
      <c r="P949" s="214">
        <v>0</v>
      </c>
      <c r="Q949" s="214">
        <v>0</v>
      </c>
      <c r="R949" s="214">
        <v>0</v>
      </c>
      <c r="S949" s="214">
        <v>0</v>
      </c>
      <c r="T949" s="214">
        <v>0</v>
      </c>
      <c r="U949" s="214">
        <v>0</v>
      </c>
      <c r="V949" s="214">
        <v>0</v>
      </c>
      <c r="W949" s="214">
        <v>0</v>
      </c>
      <c r="X949" s="214">
        <v>0</v>
      </c>
      <c r="Y949" s="214">
        <v>0</v>
      </c>
      <c r="Z949" s="214">
        <v>0</v>
      </c>
      <c r="AA949" s="214">
        <v>0</v>
      </c>
      <c r="AB949" s="214">
        <v>0</v>
      </c>
      <c r="AC949" s="214">
        <v>0</v>
      </c>
      <c r="AD949" s="215"/>
      <c r="AE949" s="420">
        <v>0</v>
      </c>
      <c r="AF949" s="420">
        <v>0</v>
      </c>
      <c r="AG949" s="420">
        <v>0</v>
      </c>
      <c r="AH949" s="420"/>
      <c r="AI949" s="574">
        <f t="shared" si="22"/>
        <v>0</v>
      </c>
      <c r="AJ949" s="212"/>
    </row>
    <row r="950" spans="2:36" ht="14.4">
      <c r="B950" s="211"/>
      <c r="C950" s="213" t="s">
        <v>87</v>
      </c>
      <c r="D950" s="214">
        <v>0</v>
      </c>
      <c r="E950" s="214">
        <v>0</v>
      </c>
      <c r="F950" s="214">
        <v>0</v>
      </c>
      <c r="G950" s="214">
        <v>0</v>
      </c>
      <c r="H950" s="214">
        <v>0</v>
      </c>
      <c r="I950" s="214">
        <v>0</v>
      </c>
      <c r="J950" s="214">
        <v>0</v>
      </c>
      <c r="K950" s="214">
        <v>0</v>
      </c>
      <c r="L950" s="214">
        <v>0</v>
      </c>
      <c r="M950" s="214">
        <v>0</v>
      </c>
      <c r="N950" s="214">
        <v>0</v>
      </c>
      <c r="O950" s="214">
        <v>0</v>
      </c>
      <c r="P950" s="214">
        <v>0</v>
      </c>
      <c r="Q950" s="214">
        <v>0</v>
      </c>
      <c r="R950" s="214">
        <v>0</v>
      </c>
      <c r="S950" s="214">
        <v>0</v>
      </c>
      <c r="T950" s="214">
        <v>0</v>
      </c>
      <c r="U950" s="214">
        <v>0</v>
      </c>
      <c r="V950" s="214">
        <v>0</v>
      </c>
      <c r="W950" s="214">
        <v>0</v>
      </c>
      <c r="X950" s="214">
        <v>0</v>
      </c>
      <c r="Y950" s="214">
        <v>0</v>
      </c>
      <c r="Z950" s="214">
        <v>0</v>
      </c>
      <c r="AA950" s="214">
        <v>0</v>
      </c>
      <c r="AB950" s="214">
        <v>0</v>
      </c>
      <c r="AC950" s="214">
        <v>0</v>
      </c>
      <c r="AD950" s="215"/>
      <c r="AE950" s="420">
        <v>0</v>
      </c>
      <c r="AF950" s="420">
        <v>0</v>
      </c>
      <c r="AG950" s="420">
        <v>0</v>
      </c>
      <c r="AH950" s="420"/>
      <c r="AI950" s="574">
        <f t="shared" si="22"/>
        <v>0</v>
      </c>
      <c r="AJ950" s="212"/>
    </row>
    <row r="951" spans="2:36" ht="14.4">
      <c r="B951" s="211"/>
      <c r="C951" s="213" t="s">
        <v>88</v>
      </c>
      <c r="D951" s="214">
        <v>0</v>
      </c>
      <c r="E951" s="214">
        <v>0</v>
      </c>
      <c r="F951" s="214">
        <v>0</v>
      </c>
      <c r="G951" s="214">
        <v>0</v>
      </c>
      <c r="H951" s="214">
        <v>0</v>
      </c>
      <c r="I951" s="214">
        <v>0</v>
      </c>
      <c r="J951" s="214">
        <v>0</v>
      </c>
      <c r="K951" s="214">
        <v>0</v>
      </c>
      <c r="L951" s="214">
        <v>0</v>
      </c>
      <c r="M951" s="214">
        <v>0</v>
      </c>
      <c r="N951" s="214">
        <v>0</v>
      </c>
      <c r="O951" s="214">
        <v>0</v>
      </c>
      <c r="P951" s="214">
        <v>0</v>
      </c>
      <c r="Q951" s="214">
        <v>0</v>
      </c>
      <c r="R951" s="214">
        <v>0</v>
      </c>
      <c r="S951" s="214">
        <v>0</v>
      </c>
      <c r="T951" s="214">
        <v>0</v>
      </c>
      <c r="U951" s="214">
        <v>0</v>
      </c>
      <c r="V951" s="214">
        <v>0</v>
      </c>
      <c r="W951" s="214">
        <v>0</v>
      </c>
      <c r="X951" s="214">
        <v>0</v>
      </c>
      <c r="Y951" s="214">
        <v>0</v>
      </c>
      <c r="Z951" s="214">
        <v>0</v>
      </c>
      <c r="AA951" s="214">
        <v>0</v>
      </c>
      <c r="AB951" s="214">
        <v>0</v>
      </c>
      <c r="AC951" s="214">
        <v>0</v>
      </c>
      <c r="AD951" s="215"/>
      <c r="AE951" s="420">
        <v>0</v>
      </c>
      <c r="AF951" s="420">
        <v>0</v>
      </c>
      <c r="AG951" s="420">
        <v>0</v>
      </c>
      <c r="AH951" s="420"/>
      <c r="AI951" s="574">
        <f t="shared" si="22"/>
        <v>0</v>
      </c>
      <c r="AJ951" s="212"/>
    </row>
    <row r="952" spans="2:36" ht="14.4">
      <c r="B952" s="211"/>
      <c r="C952" s="213" t="s">
        <v>89</v>
      </c>
      <c r="D952" s="214">
        <v>154970</v>
      </c>
      <c r="E952" s="214">
        <v>0</v>
      </c>
      <c r="F952" s="214">
        <v>0</v>
      </c>
      <c r="G952" s="214">
        <v>0</v>
      </c>
      <c r="H952" s="214">
        <v>0</v>
      </c>
      <c r="I952" s="214">
        <v>0</v>
      </c>
      <c r="J952" s="214">
        <v>0</v>
      </c>
      <c r="K952" s="214">
        <v>0</v>
      </c>
      <c r="L952" s="214">
        <v>0</v>
      </c>
      <c r="M952" s="214">
        <v>0</v>
      </c>
      <c r="N952" s="214">
        <v>0</v>
      </c>
      <c r="O952" s="214">
        <v>0</v>
      </c>
      <c r="P952" s="214">
        <v>0</v>
      </c>
      <c r="Q952" s="214">
        <v>0</v>
      </c>
      <c r="R952" s="214">
        <v>0</v>
      </c>
      <c r="S952" s="214">
        <v>0</v>
      </c>
      <c r="T952" s="214">
        <v>0</v>
      </c>
      <c r="U952" s="214">
        <v>0</v>
      </c>
      <c r="V952" s="214">
        <v>0</v>
      </c>
      <c r="W952" s="214">
        <v>0</v>
      </c>
      <c r="X952" s="214">
        <v>0</v>
      </c>
      <c r="Y952" s="214">
        <v>0</v>
      </c>
      <c r="Z952" s="214">
        <v>0</v>
      </c>
      <c r="AA952" s="214">
        <v>0</v>
      </c>
      <c r="AB952" s="214">
        <v>0</v>
      </c>
      <c r="AC952" s="214">
        <v>0</v>
      </c>
      <c r="AD952" s="215"/>
      <c r="AE952" s="420">
        <v>0</v>
      </c>
      <c r="AF952" s="420">
        <v>0</v>
      </c>
      <c r="AG952" s="420">
        <v>0</v>
      </c>
      <c r="AH952" s="420"/>
      <c r="AI952" s="574">
        <f t="shared" si="22"/>
        <v>154970</v>
      </c>
      <c r="AJ952" s="212"/>
    </row>
    <row r="953" spans="2:36" ht="14.4">
      <c r="B953" s="211"/>
      <c r="C953" s="213" t="s">
        <v>33</v>
      </c>
      <c r="D953" s="214">
        <v>12019.4</v>
      </c>
      <c r="E953" s="214">
        <v>6953.4</v>
      </c>
      <c r="F953" s="214">
        <v>4439.3999999999996</v>
      </c>
      <c r="G953" s="214">
        <v>2514</v>
      </c>
      <c r="H953" s="214">
        <v>1404.4</v>
      </c>
      <c r="I953" s="214">
        <v>0</v>
      </c>
      <c r="J953" s="214">
        <v>0</v>
      </c>
      <c r="K953" s="214">
        <v>0</v>
      </c>
      <c r="L953" s="214">
        <v>0</v>
      </c>
      <c r="M953" s="214">
        <v>4439.3999999999996</v>
      </c>
      <c r="N953" s="214">
        <v>0</v>
      </c>
      <c r="O953" s="214">
        <v>1404.4</v>
      </c>
      <c r="P953" s="214">
        <v>0</v>
      </c>
      <c r="Q953" s="214">
        <v>4439.3999999999996</v>
      </c>
      <c r="R953" s="214">
        <v>0</v>
      </c>
      <c r="S953" s="214">
        <v>0</v>
      </c>
      <c r="T953" s="214">
        <v>0</v>
      </c>
      <c r="U953" s="214">
        <v>0</v>
      </c>
      <c r="V953" s="214">
        <v>0</v>
      </c>
      <c r="W953" s="214">
        <v>0</v>
      </c>
      <c r="X953" s="214">
        <v>0</v>
      </c>
      <c r="Y953" s="214">
        <v>0</v>
      </c>
      <c r="Z953" s="214">
        <v>0</v>
      </c>
      <c r="AA953" s="214">
        <v>0</v>
      </c>
      <c r="AB953" s="214">
        <v>0</v>
      </c>
      <c r="AC953" s="214">
        <v>0</v>
      </c>
      <c r="AD953" s="215"/>
      <c r="AE953" s="420">
        <v>0</v>
      </c>
      <c r="AF953" s="420">
        <v>0</v>
      </c>
      <c r="AG953" s="420">
        <v>0</v>
      </c>
      <c r="AH953" s="420"/>
      <c r="AI953" s="574">
        <f t="shared" si="22"/>
        <v>37613.800000000003</v>
      </c>
      <c r="AJ953" s="212"/>
    </row>
    <row r="954" spans="2:36" ht="14.4">
      <c r="B954" s="211"/>
      <c r="C954" s="213" t="s">
        <v>90</v>
      </c>
      <c r="D954" s="214">
        <v>0</v>
      </c>
      <c r="E954" s="214">
        <v>0</v>
      </c>
      <c r="F954" s="214">
        <v>0</v>
      </c>
      <c r="G954" s="214">
        <v>0</v>
      </c>
      <c r="H954" s="214">
        <v>0</v>
      </c>
      <c r="I954" s="214">
        <v>0</v>
      </c>
      <c r="J954" s="214">
        <v>0</v>
      </c>
      <c r="K954" s="214">
        <v>0</v>
      </c>
      <c r="L954" s="214">
        <v>0</v>
      </c>
      <c r="M954" s="214">
        <v>0</v>
      </c>
      <c r="N954" s="214">
        <v>0</v>
      </c>
      <c r="O954" s="214">
        <v>0</v>
      </c>
      <c r="P954" s="214">
        <v>0</v>
      </c>
      <c r="Q954" s="214">
        <v>0</v>
      </c>
      <c r="R954" s="214">
        <v>0</v>
      </c>
      <c r="S954" s="214">
        <v>0</v>
      </c>
      <c r="T954" s="214">
        <v>0</v>
      </c>
      <c r="U954" s="214">
        <v>0</v>
      </c>
      <c r="V954" s="214">
        <v>0</v>
      </c>
      <c r="W954" s="214">
        <v>0</v>
      </c>
      <c r="X954" s="214">
        <v>0</v>
      </c>
      <c r="Y954" s="214">
        <v>0</v>
      </c>
      <c r="Z954" s="214">
        <v>0</v>
      </c>
      <c r="AA954" s="214">
        <v>0</v>
      </c>
      <c r="AB954" s="214">
        <v>0</v>
      </c>
      <c r="AC954" s="214">
        <v>0</v>
      </c>
      <c r="AD954" s="215"/>
      <c r="AE954" s="420">
        <v>0</v>
      </c>
      <c r="AF954" s="420">
        <v>0</v>
      </c>
      <c r="AG954" s="420">
        <v>0</v>
      </c>
      <c r="AH954" s="420"/>
      <c r="AI954" s="574">
        <f t="shared" si="22"/>
        <v>0</v>
      </c>
      <c r="AJ954" s="212"/>
    </row>
    <row r="955" spans="2:36" ht="14.4">
      <c r="B955" s="211"/>
      <c r="C955" s="213" t="s">
        <v>91</v>
      </c>
      <c r="D955" s="214">
        <v>550</v>
      </c>
      <c r="E955" s="214">
        <v>0</v>
      </c>
      <c r="F955" s="214">
        <v>0</v>
      </c>
      <c r="G955" s="214">
        <v>0</v>
      </c>
      <c r="H955" s="214">
        <v>0</v>
      </c>
      <c r="I955" s="214">
        <v>0</v>
      </c>
      <c r="J955" s="214">
        <v>0</v>
      </c>
      <c r="K955" s="214">
        <v>0</v>
      </c>
      <c r="L955" s="214">
        <v>0</v>
      </c>
      <c r="M955" s="214">
        <v>0</v>
      </c>
      <c r="N955" s="214">
        <v>0</v>
      </c>
      <c r="O955" s="214">
        <v>0</v>
      </c>
      <c r="P955" s="214">
        <v>0</v>
      </c>
      <c r="Q955" s="214">
        <v>0</v>
      </c>
      <c r="R955" s="214">
        <v>0</v>
      </c>
      <c r="S955" s="214">
        <v>0</v>
      </c>
      <c r="T955" s="214">
        <v>0</v>
      </c>
      <c r="U955" s="214">
        <v>0</v>
      </c>
      <c r="V955" s="214">
        <v>0</v>
      </c>
      <c r="W955" s="214">
        <v>0</v>
      </c>
      <c r="X955" s="214">
        <v>0</v>
      </c>
      <c r="Y955" s="214">
        <v>0</v>
      </c>
      <c r="Z955" s="214">
        <v>0</v>
      </c>
      <c r="AA955" s="214">
        <v>0</v>
      </c>
      <c r="AB955" s="214">
        <v>0</v>
      </c>
      <c r="AC955" s="214">
        <v>0</v>
      </c>
      <c r="AD955" s="215"/>
      <c r="AE955" s="420">
        <v>0</v>
      </c>
      <c r="AF955" s="420">
        <v>0</v>
      </c>
      <c r="AG955" s="420">
        <v>0</v>
      </c>
      <c r="AH955" s="420"/>
      <c r="AI955" s="574">
        <f t="shared" ref="AI955:AI1003" si="23">SUM(D955:AH955)</f>
        <v>550</v>
      </c>
      <c r="AJ955" s="212"/>
    </row>
    <row r="956" spans="2:36" ht="14.4">
      <c r="B956" s="211"/>
      <c r="C956" s="213" t="s">
        <v>92</v>
      </c>
      <c r="D956" s="214">
        <v>0</v>
      </c>
      <c r="E956" s="214">
        <v>0</v>
      </c>
      <c r="F956" s="214">
        <v>0</v>
      </c>
      <c r="G956" s="214">
        <v>0</v>
      </c>
      <c r="H956" s="214">
        <v>0</v>
      </c>
      <c r="I956" s="214">
        <v>0</v>
      </c>
      <c r="J956" s="214">
        <v>0</v>
      </c>
      <c r="K956" s="214">
        <v>0</v>
      </c>
      <c r="L956" s="214">
        <v>0</v>
      </c>
      <c r="M956" s="214">
        <v>0</v>
      </c>
      <c r="N956" s="214">
        <v>0</v>
      </c>
      <c r="O956" s="214">
        <v>0</v>
      </c>
      <c r="P956" s="214">
        <v>0</v>
      </c>
      <c r="Q956" s="214">
        <v>0</v>
      </c>
      <c r="R956" s="214">
        <v>0</v>
      </c>
      <c r="S956" s="214">
        <v>0</v>
      </c>
      <c r="T956" s="214">
        <v>0</v>
      </c>
      <c r="U956" s="214">
        <v>0</v>
      </c>
      <c r="V956" s="214">
        <v>0</v>
      </c>
      <c r="W956" s="214">
        <v>0</v>
      </c>
      <c r="X956" s="214">
        <v>0</v>
      </c>
      <c r="Y956" s="214">
        <v>0</v>
      </c>
      <c r="Z956" s="214">
        <v>0</v>
      </c>
      <c r="AA956" s="214">
        <v>0</v>
      </c>
      <c r="AB956" s="214">
        <v>0</v>
      </c>
      <c r="AC956" s="214">
        <v>0</v>
      </c>
      <c r="AD956" s="215"/>
      <c r="AE956" s="420">
        <v>0</v>
      </c>
      <c r="AF956" s="420">
        <v>0</v>
      </c>
      <c r="AG956" s="420">
        <v>0</v>
      </c>
      <c r="AH956" s="420"/>
      <c r="AI956" s="574">
        <f t="shared" si="23"/>
        <v>0</v>
      </c>
      <c r="AJ956" s="212"/>
    </row>
    <row r="957" spans="2:36" ht="14.4">
      <c r="B957" s="211"/>
      <c r="C957" s="213" t="s">
        <v>93</v>
      </c>
      <c r="D957" s="214">
        <v>0</v>
      </c>
      <c r="E957" s="214">
        <v>0</v>
      </c>
      <c r="F957" s="214">
        <v>0</v>
      </c>
      <c r="G957" s="214">
        <v>0</v>
      </c>
      <c r="H957" s="214">
        <v>0</v>
      </c>
      <c r="I957" s="214">
        <v>0</v>
      </c>
      <c r="J957" s="214">
        <v>0</v>
      </c>
      <c r="K957" s="214">
        <v>0</v>
      </c>
      <c r="L957" s="214">
        <v>0</v>
      </c>
      <c r="M957" s="214">
        <v>0</v>
      </c>
      <c r="N957" s="214">
        <v>0</v>
      </c>
      <c r="O957" s="214">
        <v>0</v>
      </c>
      <c r="P957" s="214">
        <v>0</v>
      </c>
      <c r="Q957" s="214">
        <v>0</v>
      </c>
      <c r="R957" s="214">
        <v>0</v>
      </c>
      <c r="S957" s="214">
        <v>0</v>
      </c>
      <c r="T957" s="214">
        <v>0</v>
      </c>
      <c r="U957" s="214">
        <v>0</v>
      </c>
      <c r="V957" s="214">
        <v>0</v>
      </c>
      <c r="W957" s="214">
        <v>0</v>
      </c>
      <c r="X957" s="214">
        <v>0</v>
      </c>
      <c r="Y957" s="214">
        <v>0</v>
      </c>
      <c r="Z957" s="214">
        <v>0</v>
      </c>
      <c r="AA957" s="214">
        <v>0</v>
      </c>
      <c r="AB957" s="214">
        <v>0</v>
      </c>
      <c r="AC957" s="214">
        <v>0</v>
      </c>
      <c r="AD957" s="215"/>
      <c r="AE957" s="420">
        <v>0</v>
      </c>
      <c r="AF957" s="420">
        <v>0</v>
      </c>
      <c r="AG957" s="420">
        <v>0</v>
      </c>
      <c r="AH957" s="420"/>
      <c r="AI957" s="574">
        <f t="shared" si="23"/>
        <v>0</v>
      </c>
      <c r="AJ957" s="212"/>
    </row>
    <row r="958" spans="2:36" ht="14.4">
      <c r="B958" s="211"/>
      <c r="C958" s="213" t="s">
        <v>94</v>
      </c>
      <c r="D958" s="214">
        <v>158880</v>
      </c>
      <c r="E958" s="214">
        <v>7160</v>
      </c>
      <c r="F958" s="214">
        <v>5560</v>
      </c>
      <c r="G958" s="214">
        <v>6120</v>
      </c>
      <c r="H958" s="214">
        <v>2500</v>
      </c>
      <c r="I958" s="214">
        <v>450</v>
      </c>
      <c r="J958" s="214">
        <v>0</v>
      </c>
      <c r="K958" s="214">
        <v>0</v>
      </c>
      <c r="L958" s="214">
        <v>0</v>
      </c>
      <c r="M958" s="214">
        <v>2000</v>
      </c>
      <c r="N958" s="214">
        <v>1200</v>
      </c>
      <c r="O958" s="214">
        <v>0</v>
      </c>
      <c r="P958" s="214">
        <v>3000</v>
      </c>
      <c r="Q958" s="214">
        <v>4755</v>
      </c>
      <c r="R958" s="214">
        <v>2200</v>
      </c>
      <c r="S958" s="214">
        <v>950</v>
      </c>
      <c r="T958" s="214">
        <v>0</v>
      </c>
      <c r="U958" s="214">
        <v>0</v>
      </c>
      <c r="V958" s="214">
        <v>0</v>
      </c>
      <c r="W958" s="214">
        <v>0</v>
      </c>
      <c r="X958" s="214">
        <v>650</v>
      </c>
      <c r="Y958" s="214">
        <v>0</v>
      </c>
      <c r="Z958" s="214">
        <v>0</v>
      </c>
      <c r="AA958" s="214">
        <v>0</v>
      </c>
      <c r="AB958" s="214">
        <v>0</v>
      </c>
      <c r="AC958" s="214">
        <v>0</v>
      </c>
      <c r="AD958" s="215"/>
      <c r="AE958" s="420">
        <v>0</v>
      </c>
      <c r="AF958" s="420">
        <v>0</v>
      </c>
      <c r="AG958" s="420">
        <v>0</v>
      </c>
      <c r="AH958" s="420"/>
      <c r="AI958" s="574">
        <f t="shared" si="23"/>
        <v>195425</v>
      </c>
      <c r="AJ958" s="212"/>
    </row>
    <row r="959" spans="2:36" ht="14.4">
      <c r="B959" s="211"/>
      <c r="C959" s="213" t="s">
        <v>95</v>
      </c>
      <c r="D959" s="214">
        <v>0</v>
      </c>
      <c r="E959" s="214">
        <v>1680</v>
      </c>
      <c r="F959" s="214">
        <v>0</v>
      </c>
      <c r="G959" s="214">
        <v>0</v>
      </c>
      <c r="H959" s="214">
        <v>0</v>
      </c>
      <c r="I959" s="214">
        <v>0</v>
      </c>
      <c r="J959" s="214">
        <v>0</v>
      </c>
      <c r="K959" s="214">
        <v>0</v>
      </c>
      <c r="L959" s="214">
        <v>0</v>
      </c>
      <c r="M959" s="214">
        <v>0</v>
      </c>
      <c r="N959" s="214">
        <v>0</v>
      </c>
      <c r="O959" s="214">
        <v>0</v>
      </c>
      <c r="P959" s="214">
        <v>6000</v>
      </c>
      <c r="Q959" s="214">
        <v>0</v>
      </c>
      <c r="R959" s="214">
        <v>0</v>
      </c>
      <c r="S959" s="214">
        <v>0</v>
      </c>
      <c r="T959" s="214">
        <v>0</v>
      </c>
      <c r="U959" s="214">
        <v>0</v>
      </c>
      <c r="V959" s="214">
        <v>0</v>
      </c>
      <c r="W959" s="214">
        <v>0</v>
      </c>
      <c r="X959" s="214">
        <v>0</v>
      </c>
      <c r="Y959" s="214">
        <v>0</v>
      </c>
      <c r="Z959" s="214">
        <v>0</v>
      </c>
      <c r="AA959" s="214">
        <v>0</v>
      </c>
      <c r="AB959" s="214">
        <v>0</v>
      </c>
      <c r="AC959" s="214">
        <v>0</v>
      </c>
      <c r="AD959" s="215"/>
      <c r="AE959" s="420">
        <v>880</v>
      </c>
      <c r="AF959" s="420">
        <v>0</v>
      </c>
      <c r="AG959" s="420">
        <v>0</v>
      </c>
      <c r="AH959" s="420"/>
      <c r="AI959" s="574">
        <f t="shared" si="23"/>
        <v>8560</v>
      </c>
      <c r="AJ959" s="212"/>
    </row>
    <row r="960" spans="2:36" ht="14.4">
      <c r="B960" s="211"/>
      <c r="C960" s="213" t="s">
        <v>96</v>
      </c>
      <c r="D960" s="214">
        <v>1331.8</v>
      </c>
      <c r="E960" s="214">
        <v>1331.8</v>
      </c>
      <c r="F960" s="214">
        <v>1331.8</v>
      </c>
      <c r="G960" s="214">
        <v>0</v>
      </c>
      <c r="H960" s="214">
        <v>1331.8</v>
      </c>
      <c r="I960" s="214">
        <v>0</v>
      </c>
      <c r="J960" s="214">
        <v>0</v>
      </c>
      <c r="K960" s="214">
        <v>0</v>
      </c>
      <c r="L960" s="214">
        <v>0</v>
      </c>
      <c r="M960" s="214">
        <v>1331.8</v>
      </c>
      <c r="N960" s="214">
        <v>0</v>
      </c>
      <c r="O960" s="214">
        <v>1331.8</v>
      </c>
      <c r="P960" s="214">
        <v>0</v>
      </c>
      <c r="Q960" s="214">
        <v>1331.8</v>
      </c>
      <c r="R960" s="214">
        <v>0</v>
      </c>
      <c r="S960" s="214">
        <v>0</v>
      </c>
      <c r="T960" s="214">
        <v>0</v>
      </c>
      <c r="U960" s="214">
        <v>0</v>
      </c>
      <c r="V960" s="214">
        <v>0</v>
      </c>
      <c r="W960" s="214">
        <v>0</v>
      </c>
      <c r="X960" s="214">
        <v>0</v>
      </c>
      <c r="Y960" s="214">
        <v>0</v>
      </c>
      <c r="Z960" s="214">
        <v>0</v>
      </c>
      <c r="AA960" s="214">
        <v>0</v>
      </c>
      <c r="AB960" s="214">
        <v>0</v>
      </c>
      <c r="AC960" s="214">
        <v>0</v>
      </c>
      <c r="AD960" s="215"/>
      <c r="AE960" s="420">
        <v>0</v>
      </c>
      <c r="AF960" s="420">
        <v>0</v>
      </c>
      <c r="AG960" s="420">
        <v>0</v>
      </c>
      <c r="AH960" s="420"/>
      <c r="AI960" s="574">
        <f t="shared" si="23"/>
        <v>9322.6</v>
      </c>
      <c r="AJ960" s="212"/>
    </row>
    <row r="961" spans="2:36" ht="14.4">
      <c r="B961" s="211"/>
      <c r="C961" s="213" t="s">
        <v>97</v>
      </c>
      <c r="D961" s="214">
        <v>9303.75</v>
      </c>
      <c r="E961" s="214">
        <v>0</v>
      </c>
      <c r="F961" s="214">
        <v>0</v>
      </c>
      <c r="G961" s="214">
        <v>0</v>
      </c>
      <c r="H961" s="214">
        <v>1108.96</v>
      </c>
      <c r="I961" s="214">
        <v>760.96</v>
      </c>
      <c r="J961" s="214">
        <v>450</v>
      </c>
      <c r="K961" s="214">
        <v>400.96</v>
      </c>
      <c r="L961" s="214">
        <v>0</v>
      </c>
      <c r="M961" s="214">
        <v>813.75</v>
      </c>
      <c r="N961" s="214">
        <v>400.96</v>
      </c>
      <c r="O961" s="214">
        <v>0</v>
      </c>
      <c r="P961" s="214">
        <v>423</v>
      </c>
      <c r="Q961" s="214">
        <v>801.93</v>
      </c>
      <c r="R961" s="214">
        <v>400.96</v>
      </c>
      <c r="S961" s="214">
        <v>1033.96</v>
      </c>
      <c r="T961" s="214">
        <v>0</v>
      </c>
      <c r="U961" s="214">
        <v>2646.86</v>
      </c>
      <c r="V961" s="214">
        <v>309</v>
      </c>
      <c r="W961" s="214">
        <v>309</v>
      </c>
      <c r="X961" s="214">
        <v>709.96</v>
      </c>
      <c r="Y961" s="214">
        <v>275</v>
      </c>
      <c r="Z961" s="214">
        <v>309</v>
      </c>
      <c r="AA961" s="214">
        <v>400.96</v>
      </c>
      <c r="AB961" s="214">
        <v>0</v>
      </c>
      <c r="AC961" s="214">
        <v>380</v>
      </c>
      <c r="AD961" s="215"/>
      <c r="AE961" s="420">
        <v>526</v>
      </c>
      <c r="AF961" s="420">
        <v>0</v>
      </c>
      <c r="AG961" s="420">
        <v>309</v>
      </c>
      <c r="AH961" s="420"/>
      <c r="AI961" s="574">
        <f t="shared" si="23"/>
        <v>22073.969999999994</v>
      </c>
      <c r="AJ961" s="212"/>
    </row>
    <row r="962" spans="2:36" ht="14.4">
      <c r="B962" s="211"/>
      <c r="C962" s="213" t="s">
        <v>192</v>
      </c>
      <c r="D962" s="214">
        <v>18250</v>
      </c>
      <c r="E962" s="214">
        <v>0</v>
      </c>
      <c r="F962" s="214">
        <v>0</v>
      </c>
      <c r="G962" s="214">
        <v>0</v>
      </c>
      <c r="H962" s="214">
        <v>0</v>
      </c>
      <c r="I962" s="214">
        <v>0</v>
      </c>
      <c r="J962" s="214">
        <v>0</v>
      </c>
      <c r="K962" s="214">
        <v>0</v>
      </c>
      <c r="L962" s="214">
        <v>0</v>
      </c>
      <c r="M962" s="214">
        <v>0</v>
      </c>
      <c r="N962" s="214">
        <v>0</v>
      </c>
      <c r="O962" s="214">
        <v>0</v>
      </c>
      <c r="P962" s="214">
        <v>0</v>
      </c>
      <c r="Q962" s="214">
        <v>0</v>
      </c>
      <c r="R962" s="214">
        <v>0</v>
      </c>
      <c r="S962" s="214">
        <v>0</v>
      </c>
      <c r="T962" s="214">
        <v>0</v>
      </c>
      <c r="U962" s="214">
        <v>0</v>
      </c>
      <c r="V962" s="214">
        <v>0</v>
      </c>
      <c r="W962" s="214">
        <v>0</v>
      </c>
      <c r="X962" s="214">
        <v>0</v>
      </c>
      <c r="Y962" s="214">
        <v>0</v>
      </c>
      <c r="Z962" s="214">
        <v>0</v>
      </c>
      <c r="AA962" s="214">
        <v>0</v>
      </c>
      <c r="AB962" s="214">
        <v>0</v>
      </c>
      <c r="AC962" s="214">
        <v>0</v>
      </c>
      <c r="AD962" s="215"/>
      <c r="AE962" s="420">
        <v>0</v>
      </c>
      <c r="AF962" s="420">
        <v>0</v>
      </c>
      <c r="AG962" s="420">
        <v>0</v>
      </c>
      <c r="AH962" s="420"/>
      <c r="AI962" s="574">
        <f t="shared" si="23"/>
        <v>18250</v>
      </c>
      <c r="AJ962" s="212"/>
    </row>
    <row r="963" spans="2:36" ht="14.4">
      <c r="B963" s="211"/>
      <c r="C963" s="213" t="s">
        <v>98</v>
      </c>
      <c r="D963" s="214">
        <v>0</v>
      </c>
      <c r="E963" s="214">
        <v>0</v>
      </c>
      <c r="F963" s="214">
        <v>0</v>
      </c>
      <c r="G963" s="214">
        <v>0</v>
      </c>
      <c r="H963" s="214">
        <v>0</v>
      </c>
      <c r="I963" s="214">
        <v>0</v>
      </c>
      <c r="J963" s="214">
        <v>0</v>
      </c>
      <c r="K963" s="214">
        <v>0</v>
      </c>
      <c r="L963" s="214">
        <v>0</v>
      </c>
      <c r="M963" s="214">
        <v>0</v>
      </c>
      <c r="N963" s="214">
        <v>0</v>
      </c>
      <c r="O963" s="214">
        <v>0</v>
      </c>
      <c r="P963" s="214">
        <v>0</v>
      </c>
      <c r="Q963" s="214">
        <v>0</v>
      </c>
      <c r="R963" s="214">
        <v>0</v>
      </c>
      <c r="S963" s="214">
        <v>0</v>
      </c>
      <c r="T963" s="214">
        <v>0</v>
      </c>
      <c r="U963" s="214">
        <v>0</v>
      </c>
      <c r="V963" s="214">
        <v>0</v>
      </c>
      <c r="W963" s="214">
        <v>0</v>
      </c>
      <c r="X963" s="214">
        <v>0</v>
      </c>
      <c r="Y963" s="214">
        <v>0</v>
      </c>
      <c r="Z963" s="214">
        <v>0</v>
      </c>
      <c r="AA963" s="214">
        <v>0</v>
      </c>
      <c r="AB963" s="214">
        <v>0</v>
      </c>
      <c r="AC963" s="214">
        <v>0</v>
      </c>
      <c r="AD963" s="215"/>
      <c r="AE963" s="420">
        <v>0</v>
      </c>
      <c r="AF963" s="420">
        <v>0</v>
      </c>
      <c r="AG963" s="420">
        <v>0</v>
      </c>
      <c r="AH963" s="420"/>
      <c r="AI963" s="574">
        <f t="shared" si="23"/>
        <v>0</v>
      </c>
      <c r="AJ963" s="212"/>
    </row>
    <row r="964" spans="2:36" ht="14.4">
      <c r="B964" s="211"/>
      <c r="C964" s="213" t="s">
        <v>99</v>
      </c>
      <c r="D964" s="214">
        <v>6433.05</v>
      </c>
      <c r="E964" s="214">
        <v>0</v>
      </c>
      <c r="F964" s="214">
        <v>0</v>
      </c>
      <c r="G964" s="214">
        <v>0</v>
      </c>
      <c r="H964" s="214">
        <v>0</v>
      </c>
      <c r="I964" s="214">
        <v>0</v>
      </c>
      <c r="J964" s="214">
        <v>0</v>
      </c>
      <c r="K964" s="214">
        <v>0</v>
      </c>
      <c r="L964" s="214">
        <v>73.33</v>
      </c>
      <c r="M964" s="214">
        <v>0</v>
      </c>
      <c r="N964" s="214">
        <v>0</v>
      </c>
      <c r="O964" s="214">
        <v>0</v>
      </c>
      <c r="P964" s="214">
        <v>0</v>
      </c>
      <c r="Q964" s="214">
        <v>0</v>
      </c>
      <c r="R964" s="214">
        <v>0</v>
      </c>
      <c r="S964" s="214">
        <v>0</v>
      </c>
      <c r="T964" s="214">
        <v>0</v>
      </c>
      <c r="U964" s="214">
        <v>0</v>
      </c>
      <c r="V964" s="214">
        <v>0</v>
      </c>
      <c r="W964" s="214">
        <v>0</v>
      </c>
      <c r="X964" s="214">
        <v>0</v>
      </c>
      <c r="Y964" s="214">
        <v>0</v>
      </c>
      <c r="Z964" s="214">
        <v>0</v>
      </c>
      <c r="AA964" s="214">
        <v>0</v>
      </c>
      <c r="AB964" s="214">
        <v>0</v>
      </c>
      <c r="AC964" s="214">
        <v>0</v>
      </c>
      <c r="AD964" s="215"/>
      <c r="AE964" s="420">
        <v>0</v>
      </c>
      <c r="AF964" s="420">
        <v>0</v>
      </c>
      <c r="AG964" s="420">
        <v>0</v>
      </c>
      <c r="AH964" s="420"/>
      <c r="AI964" s="574">
        <f t="shared" si="23"/>
        <v>6506.38</v>
      </c>
      <c r="AJ964" s="212"/>
    </row>
    <row r="965" spans="2:36" ht="14.4">
      <c r="B965" s="211"/>
      <c r="C965" s="213" t="s">
        <v>100</v>
      </c>
      <c r="D965" s="214">
        <v>1610.47</v>
      </c>
      <c r="E965" s="214">
        <v>103.08</v>
      </c>
      <c r="F965" s="214">
        <v>0</v>
      </c>
      <c r="G965" s="214">
        <v>11.91</v>
      </c>
      <c r="H965" s="214">
        <v>0</v>
      </c>
      <c r="I965" s="214">
        <v>0</v>
      </c>
      <c r="J965" s="214">
        <v>0</v>
      </c>
      <c r="K965" s="214">
        <v>0</v>
      </c>
      <c r="L965" s="214">
        <v>0</v>
      </c>
      <c r="M965" s="214">
        <v>0</v>
      </c>
      <c r="N965" s="214">
        <v>0</v>
      </c>
      <c r="O965" s="214">
        <v>56.16</v>
      </c>
      <c r="P965" s="214">
        <v>0</v>
      </c>
      <c r="Q965" s="214">
        <v>23.33</v>
      </c>
      <c r="R965" s="214">
        <v>0</v>
      </c>
      <c r="S965" s="214">
        <v>0</v>
      </c>
      <c r="T965" s="214">
        <v>43.17</v>
      </c>
      <c r="U965" s="214">
        <v>0</v>
      </c>
      <c r="V965" s="214">
        <v>0</v>
      </c>
      <c r="W965" s="214">
        <v>0</v>
      </c>
      <c r="X965" s="214">
        <v>0</v>
      </c>
      <c r="Y965" s="214">
        <v>0</v>
      </c>
      <c r="Z965" s="214">
        <v>168.33</v>
      </c>
      <c r="AA965" s="214">
        <v>176.5</v>
      </c>
      <c r="AB965" s="214">
        <v>0</v>
      </c>
      <c r="AC965" s="214">
        <v>0</v>
      </c>
      <c r="AD965" s="215"/>
      <c r="AE965" s="420">
        <v>143.34</v>
      </c>
      <c r="AF965" s="420">
        <v>0</v>
      </c>
      <c r="AG965" s="420">
        <v>0</v>
      </c>
      <c r="AH965" s="420"/>
      <c r="AI965" s="574">
        <f t="shared" si="23"/>
        <v>2336.29</v>
      </c>
      <c r="AJ965" s="212"/>
    </row>
    <row r="966" spans="2:36" ht="14.4">
      <c r="B966" s="211"/>
      <c r="C966" s="213" t="s">
        <v>101</v>
      </c>
      <c r="D966" s="214">
        <v>112.5</v>
      </c>
      <c r="E966" s="214">
        <v>1065.6600000000001</v>
      </c>
      <c r="F966" s="214">
        <v>397.33</v>
      </c>
      <c r="G966" s="214">
        <v>0</v>
      </c>
      <c r="H966" s="214">
        <v>417.89</v>
      </c>
      <c r="I966" s="214">
        <v>0</v>
      </c>
      <c r="J966" s="214">
        <v>0</v>
      </c>
      <c r="K966" s="214">
        <v>0</v>
      </c>
      <c r="L966" s="214">
        <v>0</v>
      </c>
      <c r="M966" s="214">
        <v>0</v>
      </c>
      <c r="N966" s="214">
        <v>0</v>
      </c>
      <c r="O966" s="214">
        <v>0</v>
      </c>
      <c r="P966" s="214">
        <v>0</v>
      </c>
      <c r="Q966" s="214">
        <v>1404.17</v>
      </c>
      <c r="R966" s="214">
        <v>0</v>
      </c>
      <c r="S966" s="214">
        <v>0</v>
      </c>
      <c r="T966" s="214">
        <v>589.95000000000005</v>
      </c>
      <c r="U966" s="214">
        <v>0</v>
      </c>
      <c r="V966" s="214">
        <v>0</v>
      </c>
      <c r="W966" s="214">
        <v>0</v>
      </c>
      <c r="X966" s="214">
        <v>103.5</v>
      </c>
      <c r="Y966" s="214">
        <v>0</v>
      </c>
      <c r="Z966" s="214">
        <v>0</v>
      </c>
      <c r="AA966" s="214">
        <v>0</v>
      </c>
      <c r="AB966" s="214">
        <v>0</v>
      </c>
      <c r="AC966" s="214">
        <v>0</v>
      </c>
      <c r="AD966" s="215"/>
      <c r="AE966" s="420">
        <v>0</v>
      </c>
      <c r="AF966" s="420">
        <v>0</v>
      </c>
      <c r="AG966" s="420">
        <v>0</v>
      </c>
      <c r="AH966" s="420"/>
      <c r="AI966" s="574">
        <f t="shared" si="23"/>
        <v>4091</v>
      </c>
      <c r="AJ966" s="212"/>
    </row>
    <row r="967" spans="2:36" ht="14.4">
      <c r="B967" s="211"/>
      <c r="C967" s="213" t="s">
        <v>102</v>
      </c>
      <c r="D967" s="214">
        <v>22622.85</v>
      </c>
      <c r="E967" s="214">
        <v>759.2</v>
      </c>
      <c r="F967" s="214">
        <v>1714.88</v>
      </c>
      <c r="G967" s="214">
        <v>654.30999999999995</v>
      </c>
      <c r="H967" s="214">
        <v>1825.08</v>
      </c>
      <c r="I967" s="214">
        <v>667.77</v>
      </c>
      <c r="J967" s="214">
        <v>233.06</v>
      </c>
      <c r="K967" s="214">
        <v>489.67</v>
      </c>
      <c r="L967" s="214">
        <v>371.97</v>
      </c>
      <c r="M967" s="214">
        <v>1726.56</v>
      </c>
      <c r="N967" s="214">
        <v>622.67999999999995</v>
      </c>
      <c r="O967" s="214">
        <v>2325.88</v>
      </c>
      <c r="P967" s="214">
        <v>1633.4</v>
      </c>
      <c r="Q967" s="214">
        <v>1565.82</v>
      </c>
      <c r="R967" s="214">
        <v>0</v>
      </c>
      <c r="S967" s="214">
        <v>473.18</v>
      </c>
      <c r="T967" s="214">
        <v>75.33</v>
      </c>
      <c r="U967" s="214">
        <v>6.73</v>
      </c>
      <c r="V967" s="214">
        <v>157.72999999999999</v>
      </c>
      <c r="W967" s="214">
        <v>0</v>
      </c>
      <c r="X967" s="214">
        <v>0</v>
      </c>
      <c r="Y967" s="214">
        <v>51.79</v>
      </c>
      <c r="Z967" s="214">
        <v>37.67</v>
      </c>
      <c r="AA967" s="214">
        <v>112.04</v>
      </c>
      <c r="AB967" s="214">
        <v>457.9</v>
      </c>
      <c r="AC967" s="214">
        <v>434.35</v>
      </c>
      <c r="AD967" s="215"/>
      <c r="AE967" s="420">
        <v>3789.58</v>
      </c>
      <c r="AF967" s="420">
        <v>2029.56</v>
      </c>
      <c r="AG967" s="420">
        <v>2465.08</v>
      </c>
      <c r="AH967" s="420"/>
      <c r="AI967" s="574">
        <f t="shared" si="23"/>
        <v>47304.070000000014</v>
      </c>
      <c r="AJ967" s="212"/>
    </row>
    <row r="968" spans="2:36" ht="14.4">
      <c r="B968" s="211"/>
      <c r="C968" s="213" t="s">
        <v>103</v>
      </c>
      <c r="D968" s="214">
        <v>3192.6</v>
      </c>
      <c r="E968" s="214">
        <v>83.3</v>
      </c>
      <c r="F968" s="214">
        <v>91.14</v>
      </c>
      <c r="G968" s="214">
        <v>69.95</v>
      </c>
      <c r="H968" s="214">
        <v>202.6</v>
      </c>
      <c r="I968" s="214">
        <v>38.17</v>
      </c>
      <c r="J968" s="214">
        <v>38.17</v>
      </c>
      <c r="K968" s="214">
        <v>38.17</v>
      </c>
      <c r="L968" s="214">
        <v>38.17</v>
      </c>
      <c r="M968" s="214">
        <v>0</v>
      </c>
      <c r="N968" s="214">
        <v>38.17</v>
      </c>
      <c r="O968" s="214">
        <v>142.66999999999999</v>
      </c>
      <c r="P968" s="214">
        <v>83.38</v>
      </c>
      <c r="Q968" s="214">
        <v>38.17</v>
      </c>
      <c r="R968" s="214">
        <v>67.040000000000006</v>
      </c>
      <c r="S968" s="214">
        <v>83.3</v>
      </c>
      <c r="T968" s="214">
        <v>38.17</v>
      </c>
      <c r="U968" s="214">
        <v>38.17</v>
      </c>
      <c r="V968" s="214">
        <v>38.17</v>
      </c>
      <c r="W968" s="214">
        <v>38.17</v>
      </c>
      <c r="X968" s="214">
        <v>38.17</v>
      </c>
      <c r="Y968" s="214">
        <v>38.17</v>
      </c>
      <c r="Z968" s="214">
        <v>38.17</v>
      </c>
      <c r="AA968" s="214">
        <v>242.13</v>
      </c>
      <c r="AB968" s="214">
        <v>0</v>
      </c>
      <c r="AC968" s="214">
        <v>0</v>
      </c>
      <c r="AD968" s="215"/>
      <c r="AE968" s="420">
        <v>1402.26</v>
      </c>
      <c r="AF968" s="420">
        <v>0</v>
      </c>
      <c r="AG968" s="420">
        <v>90.26</v>
      </c>
      <c r="AH968" s="420"/>
      <c r="AI968" s="574">
        <f t="shared" si="23"/>
        <v>6246.840000000002</v>
      </c>
      <c r="AJ968" s="212"/>
    </row>
    <row r="969" spans="2:36" ht="14.4">
      <c r="B969" s="211"/>
      <c r="C969" s="213" t="s">
        <v>104</v>
      </c>
      <c r="D969" s="214">
        <v>5225.29</v>
      </c>
      <c r="E969" s="214">
        <v>395</v>
      </c>
      <c r="F969" s="214">
        <v>164.37</v>
      </c>
      <c r="G969" s="214">
        <v>320.52999999999997</v>
      </c>
      <c r="H969" s="214">
        <v>888.82</v>
      </c>
      <c r="I969" s="214">
        <v>107.34</v>
      </c>
      <c r="J969" s="214">
        <v>147.91999999999999</v>
      </c>
      <c r="K969" s="214">
        <v>0</v>
      </c>
      <c r="L969" s="214">
        <v>0</v>
      </c>
      <c r="M969" s="214">
        <v>615.29999999999995</v>
      </c>
      <c r="N969" s="214">
        <v>107.34</v>
      </c>
      <c r="O969" s="214">
        <v>297.14</v>
      </c>
      <c r="P969" s="214">
        <v>884.8</v>
      </c>
      <c r="Q969" s="214">
        <v>274.49</v>
      </c>
      <c r="R969" s="214">
        <v>843.3</v>
      </c>
      <c r="S969" s="214">
        <v>121.51</v>
      </c>
      <c r="T969" s="214">
        <v>227.5</v>
      </c>
      <c r="U969" s="214">
        <v>275.83</v>
      </c>
      <c r="V969" s="214">
        <v>44.58</v>
      </c>
      <c r="W969" s="214">
        <v>45.83</v>
      </c>
      <c r="X969" s="214">
        <v>85.83</v>
      </c>
      <c r="Y969" s="214">
        <v>52.92</v>
      </c>
      <c r="Z969" s="214">
        <v>54.17</v>
      </c>
      <c r="AA969" s="214">
        <v>94.03</v>
      </c>
      <c r="AB969" s="214">
        <v>110.42</v>
      </c>
      <c r="AC969" s="214">
        <v>244.38</v>
      </c>
      <c r="AD969" s="215"/>
      <c r="AE969" s="420">
        <v>593.25</v>
      </c>
      <c r="AF969" s="420">
        <v>302.44</v>
      </c>
      <c r="AG969" s="420">
        <v>318.27</v>
      </c>
      <c r="AH969" s="420"/>
      <c r="AI969" s="574">
        <f t="shared" si="23"/>
        <v>12842.599999999999</v>
      </c>
      <c r="AJ969" s="212"/>
    </row>
    <row r="970" spans="2:36" ht="14.4">
      <c r="B970" s="211"/>
      <c r="C970" s="213" t="s">
        <v>105</v>
      </c>
      <c r="D970" s="214">
        <v>1236.8499999999999</v>
      </c>
      <c r="E970" s="214">
        <v>9106.27</v>
      </c>
      <c r="F970" s="214">
        <v>0</v>
      </c>
      <c r="G970" s="214">
        <v>0</v>
      </c>
      <c r="H970" s="214">
        <v>0</v>
      </c>
      <c r="I970" s="214">
        <v>87.25</v>
      </c>
      <c r="J970" s="214">
        <v>0</v>
      </c>
      <c r="K970" s="214">
        <v>0</v>
      </c>
      <c r="L970" s="214">
        <v>0</v>
      </c>
      <c r="M970" s="214">
        <v>1500</v>
      </c>
      <c r="N970" s="214">
        <v>0</v>
      </c>
      <c r="O970" s="214">
        <v>282.23</v>
      </c>
      <c r="P970" s="214">
        <v>56.25</v>
      </c>
      <c r="Q970" s="214">
        <v>3077.44</v>
      </c>
      <c r="R970" s="214">
        <v>851.16</v>
      </c>
      <c r="S970" s="214">
        <v>1004.92</v>
      </c>
      <c r="T970" s="214">
        <v>0</v>
      </c>
      <c r="U970" s="214">
        <v>570.41999999999996</v>
      </c>
      <c r="V970" s="214">
        <v>6</v>
      </c>
      <c r="W970" s="214">
        <v>17.3</v>
      </c>
      <c r="X970" s="214">
        <v>14.67</v>
      </c>
      <c r="Y970" s="214">
        <v>918.67</v>
      </c>
      <c r="Z970" s="214">
        <v>15</v>
      </c>
      <c r="AA970" s="214">
        <v>12.5</v>
      </c>
      <c r="AB970" s="214">
        <v>225.58</v>
      </c>
      <c r="AC970" s="214">
        <v>59.33</v>
      </c>
      <c r="AD970" s="215"/>
      <c r="AE970" s="420">
        <v>1072.1199999999999</v>
      </c>
      <c r="AF970" s="420">
        <v>340.15</v>
      </c>
      <c r="AG970" s="420">
        <v>515.15</v>
      </c>
      <c r="AH970" s="420"/>
      <c r="AI970" s="574">
        <f t="shared" si="23"/>
        <v>20969.259999999998</v>
      </c>
      <c r="AJ970" s="212"/>
    </row>
    <row r="971" spans="2:36" ht="14.4">
      <c r="B971" s="211"/>
      <c r="C971" s="213" t="s">
        <v>106</v>
      </c>
      <c r="D971" s="214">
        <v>0</v>
      </c>
      <c r="E971" s="214">
        <v>0</v>
      </c>
      <c r="F971" s="214">
        <v>0</v>
      </c>
      <c r="G971" s="214">
        <v>0</v>
      </c>
      <c r="H971" s="214">
        <v>0</v>
      </c>
      <c r="I971" s="214">
        <v>0</v>
      </c>
      <c r="J971" s="214">
        <v>0</v>
      </c>
      <c r="K971" s="214">
        <v>0</v>
      </c>
      <c r="L971" s="214">
        <v>0</v>
      </c>
      <c r="M971" s="214">
        <v>0</v>
      </c>
      <c r="N971" s="214">
        <v>0</v>
      </c>
      <c r="O971" s="214">
        <v>0</v>
      </c>
      <c r="P971" s="214">
        <v>0</v>
      </c>
      <c r="Q971" s="214">
        <v>0</v>
      </c>
      <c r="R971" s="214">
        <v>0</v>
      </c>
      <c r="S971" s="214">
        <v>0</v>
      </c>
      <c r="T971" s="214">
        <v>0</v>
      </c>
      <c r="U971" s="214">
        <v>0</v>
      </c>
      <c r="V971" s="214">
        <v>0</v>
      </c>
      <c r="W971" s="214">
        <v>0</v>
      </c>
      <c r="X971" s="214">
        <v>0</v>
      </c>
      <c r="Y971" s="214">
        <v>0</v>
      </c>
      <c r="Z971" s="214">
        <v>0</v>
      </c>
      <c r="AA971" s="214">
        <v>0</v>
      </c>
      <c r="AB971" s="214">
        <v>0</v>
      </c>
      <c r="AC971" s="214">
        <v>0</v>
      </c>
      <c r="AD971" s="215"/>
      <c r="AE971" s="420">
        <v>0</v>
      </c>
      <c r="AF971" s="420">
        <v>0</v>
      </c>
      <c r="AG971" s="420">
        <v>0</v>
      </c>
      <c r="AH971" s="420"/>
      <c r="AI971" s="574">
        <f t="shared" si="23"/>
        <v>0</v>
      </c>
      <c r="AJ971" s="212"/>
    </row>
    <row r="972" spans="2:36" ht="14.4">
      <c r="B972" s="211"/>
      <c r="C972" s="213" t="s">
        <v>107</v>
      </c>
      <c r="D972" s="214">
        <v>0</v>
      </c>
      <c r="E972" s="214">
        <v>0</v>
      </c>
      <c r="F972" s="214">
        <v>0</v>
      </c>
      <c r="G972" s="214">
        <v>0</v>
      </c>
      <c r="H972" s="214">
        <v>0</v>
      </c>
      <c r="I972" s="214">
        <v>0</v>
      </c>
      <c r="J972" s="214">
        <v>0</v>
      </c>
      <c r="K972" s="214">
        <v>0</v>
      </c>
      <c r="L972" s="214">
        <v>0</v>
      </c>
      <c r="M972" s="214">
        <v>0</v>
      </c>
      <c r="N972" s="214">
        <v>0</v>
      </c>
      <c r="O972" s="214">
        <v>0</v>
      </c>
      <c r="P972" s="214">
        <v>0</v>
      </c>
      <c r="Q972" s="214">
        <v>0</v>
      </c>
      <c r="R972" s="214">
        <v>0</v>
      </c>
      <c r="S972" s="214">
        <v>0</v>
      </c>
      <c r="T972" s="214">
        <v>0</v>
      </c>
      <c r="U972" s="214">
        <v>0</v>
      </c>
      <c r="V972" s="214">
        <v>0</v>
      </c>
      <c r="W972" s="214">
        <v>0</v>
      </c>
      <c r="X972" s="214">
        <v>0</v>
      </c>
      <c r="Y972" s="214">
        <v>0</v>
      </c>
      <c r="Z972" s="214">
        <v>0</v>
      </c>
      <c r="AA972" s="214">
        <v>0</v>
      </c>
      <c r="AB972" s="214">
        <v>0</v>
      </c>
      <c r="AC972" s="214">
        <v>0</v>
      </c>
      <c r="AD972" s="215"/>
      <c r="AE972" s="420">
        <v>0</v>
      </c>
      <c r="AF972" s="420">
        <v>0</v>
      </c>
      <c r="AG972" s="420">
        <v>0</v>
      </c>
      <c r="AH972" s="420"/>
      <c r="AI972" s="574">
        <f t="shared" si="23"/>
        <v>0</v>
      </c>
      <c r="AJ972" s="212"/>
    </row>
    <row r="973" spans="2:36" ht="14.4">
      <c r="B973" s="211"/>
      <c r="C973" s="213" t="s">
        <v>108</v>
      </c>
      <c r="D973" s="214">
        <v>0</v>
      </c>
      <c r="E973" s="214">
        <v>19234.48</v>
      </c>
      <c r="F973" s="214">
        <v>41603.21</v>
      </c>
      <c r="G973" s="214">
        <v>17107.439999999999</v>
      </c>
      <c r="H973" s="214">
        <v>4354.43</v>
      </c>
      <c r="I973" s="214">
        <v>0</v>
      </c>
      <c r="J973" s="214">
        <v>0</v>
      </c>
      <c r="K973" s="214">
        <v>0</v>
      </c>
      <c r="L973" s="214">
        <v>0</v>
      </c>
      <c r="M973" s="214">
        <v>266</v>
      </c>
      <c r="N973" s="214">
        <v>0</v>
      </c>
      <c r="O973" s="214">
        <v>2576.7800000000002</v>
      </c>
      <c r="P973" s="214">
        <v>174</v>
      </c>
      <c r="Q973" s="214">
        <v>35058.89</v>
      </c>
      <c r="R973" s="214">
        <v>5888</v>
      </c>
      <c r="S973" s="214">
        <v>1979</v>
      </c>
      <c r="T973" s="214">
        <v>0</v>
      </c>
      <c r="U973" s="214">
        <v>0</v>
      </c>
      <c r="V973" s="214">
        <v>0</v>
      </c>
      <c r="W973" s="214">
        <v>0</v>
      </c>
      <c r="X973" s="214">
        <v>0</v>
      </c>
      <c r="Y973" s="214">
        <v>0</v>
      </c>
      <c r="Z973" s="214">
        <v>0</v>
      </c>
      <c r="AA973" s="214">
        <v>0</v>
      </c>
      <c r="AB973" s="214">
        <v>0</v>
      </c>
      <c r="AC973" s="214">
        <v>0</v>
      </c>
      <c r="AD973" s="215">
        <v>0</v>
      </c>
      <c r="AE973" s="420">
        <v>429</v>
      </c>
      <c r="AF973" s="420">
        <v>0</v>
      </c>
      <c r="AG973" s="420">
        <v>252</v>
      </c>
      <c r="AH973" s="420">
        <v>0</v>
      </c>
      <c r="AI973" s="574">
        <f t="shared" si="23"/>
        <v>128923.23</v>
      </c>
      <c r="AJ973" s="212"/>
    </row>
    <row r="974" spans="2:36" ht="14.4">
      <c r="B974" s="211"/>
      <c r="C974" s="247" t="s">
        <v>109</v>
      </c>
      <c r="D974" s="214">
        <v>0</v>
      </c>
      <c r="E974" s="214">
        <v>0</v>
      </c>
      <c r="F974" s="214">
        <v>0</v>
      </c>
      <c r="G974" s="214">
        <v>0</v>
      </c>
      <c r="H974" s="214">
        <v>0</v>
      </c>
      <c r="I974" s="214">
        <v>0</v>
      </c>
      <c r="J974" s="214">
        <v>0</v>
      </c>
      <c r="K974" s="214">
        <v>0</v>
      </c>
      <c r="L974" s="214">
        <v>0</v>
      </c>
      <c r="M974" s="214">
        <v>0</v>
      </c>
      <c r="N974" s="214">
        <v>0</v>
      </c>
      <c r="O974" s="214">
        <v>0</v>
      </c>
      <c r="P974" s="214">
        <v>0</v>
      </c>
      <c r="Q974" s="214">
        <v>0</v>
      </c>
      <c r="R974" s="214">
        <v>0</v>
      </c>
      <c r="S974" s="214">
        <v>0</v>
      </c>
      <c r="T974" s="214">
        <v>0</v>
      </c>
      <c r="U974" s="214">
        <v>0</v>
      </c>
      <c r="V974" s="214">
        <v>0</v>
      </c>
      <c r="W974" s="214">
        <v>0</v>
      </c>
      <c r="X974" s="214">
        <v>0</v>
      </c>
      <c r="Y974" s="214">
        <v>0</v>
      </c>
      <c r="Z974" s="214">
        <v>0</v>
      </c>
      <c r="AA974" s="214">
        <v>0</v>
      </c>
      <c r="AB974" s="214">
        <v>0</v>
      </c>
      <c r="AC974" s="214">
        <v>0</v>
      </c>
      <c r="AD974" s="215"/>
      <c r="AE974" s="420">
        <v>0</v>
      </c>
      <c r="AF974" s="420">
        <v>0</v>
      </c>
      <c r="AG974" s="420">
        <v>0</v>
      </c>
      <c r="AH974" s="420"/>
      <c r="AI974" s="574">
        <f t="shared" si="23"/>
        <v>0</v>
      </c>
      <c r="AJ974" s="212"/>
    </row>
    <row r="975" spans="2:36" ht="14.4">
      <c r="B975" s="211"/>
      <c r="C975" s="213" t="s">
        <v>110</v>
      </c>
      <c r="D975" s="214">
        <v>0</v>
      </c>
      <c r="E975" s="214">
        <v>0</v>
      </c>
      <c r="F975" s="214">
        <v>0</v>
      </c>
      <c r="G975" s="214">
        <v>0</v>
      </c>
      <c r="H975" s="214">
        <v>0</v>
      </c>
      <c r="I975" s="214">
        <v>0</v>
      </c>
      <c r="J975" s="214">
        <v>0</v>
      </c>
      <c r="K975" s="214">
        <v>0</v>
      </c>
      <c r="L975" s="214">
        <v>0</v>
      </c>
      <c r="M975" s="214">
        <v>0</v>
      </c>
      <c r="N975" s="214">
        <v>0</v>
      </c>
      <c r="O975" s="214">
        <v>166.66</v>
      </c>
      <c r="P975" s="214">
        <v>0</v>
      </c>
      <c r="Q975" s="214">
        <v>0</v>
      </c>
      <c r="R975" s="214">
        <v>0</v>
      </c>
      <c r="S975" s="214">
        <v>0</v>
      </c>
      <c r="T975" s="214">
        <v>0</v>
      </c>
      <c r="U975" s="214">
        <v>0</v>
      </c>
      <c r="V975" s="214">
        <v>0</v>
      </c>
      <c r="W975" s="214">
        <v>0</v>
      </c>
      <c r="X975" s="214">
        <v>0</v>
      </c>
      <c r="Y975" s="214">
        <v>0</v>
      </c>
      <c r="Z975" s="214">
        <v>0</v>
      </c>
      <c r="AA975" s="214">
        <v>0</v>
      </c>
      <c r="AB975" s="214">
        <v>0</v>
      </c>
      <c r="AC975" s="214">
        <v>0</v>
      </c>
      <c r="AD975" s="215"/>
      <c r="AE975" s="420">
        <v>0</v>
      </c>
      <c r="AF975" s="420">
        <v>0</v>
      </c>
      <c r="AG975" s="420">
        <v>0</v>
      </c>
      <c r="AH975" s="420"/>
      <c r="AI975" s="574">
        <f t="shared" si="23"/>
        <v>166.66</v>
      </c>
      <c r="AJ975" s="212"/>
    </row>
    <row r="976" spans="2:36" ht="14.4">
      <c r="B976" s="211"/>
      <c r="C976" s="213" t="s">
        <v>112</v>
      </c>
      <c r="D976" s="214">
        <v>7207.5</v>
      </c>
      <c r="E976" s="214">
        <v>0</v>
      </c>
      <c r="F976" s="214">
        <v>0</v>
      </c>
      <c r="G976" s="214">
        <v>0</v>
      </c>
      <c r="H976" s="214">
        <v>0</v>
      </c>
      <c r="I976" s="214">
        <v>0</v>
      </c>
      <c r="J976" s="214">
        <v>0</v>
      </c>
      <c r="K976" s="214">
        <v>0</v>
      </c>
      <c r="L976" s="214">
        <v>0</v>
      </c>
      <c r="M976" s="214">
        <v>0</v>
      </c>
      <c r="N976" s="214">
        <v>0</v>
      </c>
      <c r="O976" s="214">
        <v>0</v>
      </c>
      <c r="P976" s="214">
        <v>0</v>
      </c>
      <c r="Q976" s="214">
        <v>0</v>
      </c>
      <c r="R976" s="214">
        <v>0</v>
      </c>
      <c r="S976" s="214">
        <v>0</v>
      </c>
      <c r="T976" s="214">
        <v>0</v>
      </c>
      <c r="U976" s="214">
        <v>0</v>
      </c>
      <c r="V976" s="214">
        <v>0</v>
      </c>
      <c r="W976" s="214">
        <v>0</v>
      </c>
      <c r="X976" s="214">
        <v>0</v>
      </c>
      <c r="Y976" s="214">
        <v>0</v>
      </c>
      <c r="Z976" s="214">
        <v>0</v>
      </c>
      <c r="AA976" s="214">
        <v>0</v>
      </c>
      <c r="AB976" s="214">
        <v>0</v>
      </c>
      <c r="AC976" s="214">
        <v>0</v>
      </c>
      <c r="AD976" s="215"/>
      <c r="AE976" s="420">
        <v>0</v>
      </c>
      <c r="AF976" s="420">
        <v>0</v>
      </c>
      <c r="AG976" s="420">
        <v>0</v>
      </c>
      <c r="AH976" s="420"/>
      <c r="AI976" s="574">
        <f t="shared" si="23"/>
        <v>7207.5</v>
      </c>
      <c r="AJ976" s="212"/>
    </row>
    <row r="977" spans="2:36" ht="14.4">
      <c r="B977" s="211"/>
      <c r="C977" s="247" t="s">
        <v>113</v>
      </c>
      <c r="D977" s="214">
        <v>0</v>
      </c>
      <c r="E977" s="214">
        <v>0</v>
      </c>
      <c r="F977" s="214">
        <v>0</v>
      </c>
      <c r="G977" s="214">
        <v>0</v>
      </c>
      <c r="H977" s="214">
        <v>0</v>
      </c>
      <c r="I977" s="214">
        <v>0</v>
      </c>
      <c r="J977" s="214">
        <v>0</v>
      </c>
      <c r="K977" s="214">
        <v>0</v>
      </c>
      <c r="L977" s="214">
        <v>0</v>
      </c>
      <c r="M977" s="214">
        <v>0</v>
      </c>
      <c r="N977" s="214">
        <v>0</v>
      </c>
      <c r="O977" s="214">
        <v>0</v>
      </c>
      <c r="P977" s="214">
        <v>0</v>
      </c>
      <c r="Q977" s="214">
        <v>0</v>
      </c>
      <c r="R977" s="214">
        <v>9.24</v>
      </c>
      <c r="S977" s="214">
        <v>1.83</v>
      </c>
      <c r="T977" s="214">
        <v>0</v>
      </c>
      <c r="U977" s="214">
        <v>0</v>
      </c>
      <c r="V977" s="214">
        <v>27</v>
      </c>
      <c r="W977" s="214">
        <v>0</v>
      </c>
      <c r="X977" s="214">
        <v>0</v>
      </c>
      <c r="Y977" s="214">
        <v>0</v>
      </c>
      <c r="Z977" s="214">
        <v>0</v>
      </c>
      <c r="AA977" s="214">
        <v>0</v>
      </c>
      <c r="AB977" s="214">
        <v>0</v>
      </c>
      <c r="AC977" s="214">
        <v>0</v>
      </c>
      <c r="AD977" s="215"/>
      <c r="AE977" s="420">
        <v>0</v>
      </c>
      <c r="AF977" s="420">
        <v>0</v>
      </c>
      <c r="AG977" s="420">
        <v>0</v>
      </c>
      <c r="AH977" s="420"/>
      <c r="AI977" s="574">
        <f t="shared" si="23"/>
        <v>38.07</v>
      </c>
      <c r="AJ977" s="212"/>
    </row>
    <row r="978" spans="2:36" ht="14.4">
      <c r="B978" s="211"/>
      <c r="C978" s="247" t="s">
        <v>137</v>
      </c>
      <c r="D978" s="214">
        <v>0</v>
      </c>
      <c r="E978" s="214">
        <v>0</v>
      </c>
      <c r="F978" s="214">
        <v>0</v>
      </c>
      <c r="G978" s="214">
        <v>0</v>
      </c>
      <c r="H978" s="214">
        <v>0</v>
      </c>
      <c r="I978" s="214">
        <v>0</v>
      </c>
      <c r="J978" s="214">
        <v>0</v>
      </c>
      <c r="K978" s="214">
        <v>0</v>
      </c>
      <c r="L978" s="214">
        <v>0</v>
      </c>
      <c r="M978" s="214">
        <v>0</v>
      </c>
      <c r="N978" s="214">
        <v>0</v>
      </c>
      <c r="O978" s="214">
        <v>0</v>
      </c>
      <c r="P978" s="214">
        <v>0</v>
      </c>
      <c r="Q978" s="214">
        <v>0</v>
      </c>
      <c r="R978" s="214">
        <v>0</v>
      </c>
      <c r="S978" s="214">
        <v>0</v>
      </c>
      <c r="T978" s="214">
        <v>0</v>
      </c>
      <c r="U978" s="214">
        <v>0</v>
      </c>
      <c r="V978" s="214">
        <v>0</v>
      </c>
      <c r="W978" s="214">
        <v>0</v>
      </c>
      <c r="X978" s="214">
        <v>0</v>
      </c>
      <c r="Y978" s="214">
        <v>0</v>
      </c>
      <c r="Z978" s="214">
        <v>0</v>
      </c>
      <c r="AA978" s="214">
        <v>0</v>
      </c>
      <c r="AB978" s="214">
        <v>0</v>
      </c>
      <c r="AC978" s="214">
        <v>0</v>
      </c>
      <c r="AD978" s="215"/>
      <c r="AE978" s="420">
        <v>0</v>
      </c>
      <c r="AF978" s="420">
        <v>0</v>
      </c>
      <c r="AG978" s="420">
        <v>0</v>
      </c>
      <c r="AH978" s="420"/>
      <c r="AI978" s="574">
        <f t="shared" si="23"/>
        <v>0</v>
      </c>
      <c r="AJ978" s="212"/>
    </row>
    <row r="979" spans="2:36" ht="14.4">
      <c r="B979" s="211"/>
      <c r="C979" s="213" t="s">
        <v>140</v>
      </c>
      <c r="D979" s="214">
        <v>0</v>
      </c>
      <c r="E979" s="214">
        <v>0</v>
      </c>
      <c r="F979" s="214">
        <v>0</v>
      </c>
      <c r="G979" s="214">
        <v>50</v>
      </c>
      <c r="H979" s="214">
        <v>905</v>
      </c>
      <c r="I979" s="214">
        <v>0</v>
      </c>
      <c r="J979" s="214">
        <v>0</v>
      </c>
      <c r="K979" s="214">
        <v>0</v>
      </c>
      <c r="L979" s="214">
        <v>1897</v>
      </c>
      <c r="M979" s="214">
        <v>0</v>
      </c>
      <c r="N979" s="214">
        <v>0</v>
      </c>
      <c r="O979" s="214">
        <v>260</v>
      </c>
      <c r="P979" s="214">
        <v>0</v>
      </c>
      <c r="Q979" s="214">
        <v>0</v>
      </c>
      <c r="R979" s="214">
        <v>0</v>
      </c>
      <c r="S979" s="214">
        <v>0</v>
      </c>
      <c r="T979" s="214">
        <v>0</v>
      </c>
      <c r="U979" s="214">
        <v>0</v>
      </c>
      <c r="V979" s="214">
        <v>0</v>
      </c>
      <c r="W979" s="214">
        <v>0</v>
      </c>
      <c r="X979" s="214">
        <v>0</v>
      </c>
      <c r="Y979" s="214">
        <v>0</v>
      </c>
      <c r="Z979" s="214">
        <v>0</v>
      </c>
      <c r="AA979" s="214">
        <v>0</v>
      </c>
      <c r="AB979" s="214">
        <v>29</v>
      </c>
      <c r="AC979" s="214">
        <v>0</v>
      </c>
      <c r="AD979" s="215"/>
      <c r="AE979" s="420">
        <v>0</v>
      </c>
      <c r="AF979" s="420">
        <v>0</v>
      </c>
      <c r="AG979" s="420">
        <v>0</v>
      </c>
      <c r="AH979" s="420"/>
      <c r="AI979" s="574">
        <f t="shared" si="23"/>
        <v>3141</v>
      </c>
      <c r="AJ979" s="212"/>
    </row>
    <row r="980" spans="2:36" ht="14.4">
      <c r="B980" s="211"/>
      <c r="C980" s="213" t="s">
        <v>141</v>
      </c>
      <c r="D980" s="214">
        <v>0</v>
      </c>
      <c r="E980" s="214">
        <v>0</v>
      </c>
      <c r="F980" s="214">
        <v>0</v>
      </c>
      <c r="G980" s="214">
        <v>0</v>
      </c>
      <c r="H980" s="214">
        <v>0</v>
      </c>
      <c r="I980" s="214">
        <v>0</v>
      </c>
      <c r="J980" s="214">
        <v>0</v>
      </c>
      <c r="K980" s="214">
        <v>0</v>
      </c>
      <c r="L980" s="214">
        <v>0</v>
      </c>
      <c r="M980" s="214">
        <v>0</v>
      </c>
      <c r="N980" s="214">
        <v>0</v>
      </c>
      <c r="O980" s="214">
        <v>0</v>
      </c>
      <c r="P980" s="214">
        <v>0</v>
      </c>
      <c r="Q980" s="214">
        <v>0</v>
      </c>
      <c r="R980" s="214">
        <v>0</v>
      </c>
      <c r="S980" s="214">
        <v>0</v>
      </c>
      <c r="T980" s="214">
        <v>0</v>
      </c>
      <c r="U980" s="214">
        <v>0</v>
      </c>
      <c r="V980" s="214">
        <v>0</v>
      </c>
      <c r="W980" s="214">
        <v>0</v>
      </c>
      <c r="X980" s="214">
        <v>0</v>
      </c>
      <c r="Y980" s="214">
        <v>0</v>
      </c>
      <c r="Z980" s="214">
        <v>0</v>
      </c>
      <c r="AA980" s="214">
        <v>0</v>
      </c>
      <c r="AB980" s="214">
        <v>0</v>
      </c>
      <c r="AC980" s="214">
        <v>0</v>
      </c>
      <c r="AD980" s="215"/>
      <c r="AE980" s="420">
        <v>0</v>
      </c>
      <c r="AF980" s="420">
        <v>0</v>
      </c>
      <c r="AG980" s="420">
        <v>0</v>
      </c>
      <c r="AH980" s="420"/>
      <c r="AI980" s="574">
        <f t="shared" si="23"/>
        <v>0</v>
      </c>
      <c r="AJ980" s="212"/>
    </row>
    <row r="981" spans="2:36" ht="14.4">
      <c r="B981" s="211"/>
      <c r="C981" s="213" t="s">
        <v>193</v>
      </c>
      <c r="D981" s="214">
        <v>500</v>
      </c>
      <c r="E981" s="214">
        <v>500</v>
      </c>
      <c r="F981" s="214">
        <v>500</v>
      </c>
      <c r="G981" s="214">
        <v>0</v>
      </c>
      <c r="H981" s="214">
        <v>0</v>
      </c>
      <c r="I981" s="214">
        <v>0</v>
      </c>
      <c r="J981" s="214">
        <v>0</v>
      </c>
      <c r="K981" s="214">
        <v>0</v>
      </c>
      <c r="L981" s="214">
        <v>0</v>
      </c>
      <c r="M981" s="214">
        <v>0</v>
      </c>
      <c r="N981" s="214">
        <v>0</v>
      </c>
      <c r="O981" s="214">
        <v>0</v>
      </c>
      <c r="P981" s="214">
        <v>0</v>
      </c>
      <c r="Q981" s="214">
        <v>3400</v>
      </c>
      <c r="R981" s="214">
        <v>0</v>
      </c>
      <c r="S981" s="214">
        <v>0</v>
      </c>
      <c r="T981" s="214">
        <v>0</v>
      </c>
      <c r="U981" s="214">
        <v>0</v>
      </c>
      <c r="V981" s="214">
        <v>0</v>
      </c>
      <c r="W981" s="214">
        <v>0</v>
      </c>
      <c r="X981" s="214">
        <v>0</v>
      </c>
      <c r="Y981" s="214">
        <v>0</v>
      </c>
      <c r="Z981" s="214">
        <v>0</v>
      </c>
      <c r="AA981" s="214">
        <v>0</v>
      </c>
      <c r="AB981" s="214">
        <v>0</v>
      </c>
      <c r="AC981" s="214">
        <v>0</v>
      </c>
      <c r="AD981" s="215"/>
      <c r="AE981" s="420">
        <v>0</v>
      </c>
      <c r="AF981" s="420">
        <v>0</v>
      </c>
      <c r="AG981" s="420">
        <v>0</v>
      </c>
      <c r="AH981" s="420"/>
      <c r="AI981" s="574">
        <f t="shared" si="23"/>
        <v>4900</v>
      </c>
      <c r="AJ981" s="212"/>
    </row>
    <row r="982" spans="2:36" ht="14.4">
      <c r="B982" s="211"/>
      <c r="C982" s="213" t="s">
        <v>148</v>
      </c>
      <c r="D982" s="214">
        <v>0</v>
      </c>
      <c r="E982" s="214">
        <v>0</v>
      </c>
      <c r="F982" s="214">
        <v>0</v>
      </c>
      <c r="G982" s="214">
        <v>0</v>
      </c>
      <c r="H982" s="214">
        <v>0</v>
      </c>
      <c r="I982" s="214">
        <v>0</v>
      </c>
      <c r="J982" s="214">
        <v>0</v>
      </c>
      <c r="K982" s="214">
        <v>0</v>
      </c>
      <c r="L982" s="214">
        <v>0</v>
      </c>
      <c r="M982" s="214">
        <v>0</v>
      </c>
      <c r="N982" s="214">
        <v>0</v>
      </c>
      <c r="O982" s="214">
        <v>0</v>
      </c>
      <c r="P982" s="214">
        <v>0</v>
      </c>
      <c r="Q982" s="214">
        <v>0</v>
      </c>
      <c r="R982" s="214">
        <v>0</v>
      </c>
      <c r="S982" s="214">
        <v>0</v>
      </c>
      <c r="T982" s="214">
        <v>5880</v>
      </c>
      <c r="U982" s="214">
        <v>0</v>
      </c>
      <c r="V982" s="214">
        <v>0</v>
      </c>
      <c r="W982" s="214">
        <v>0</v>
      </c>
      <c r="X982" s="214">
        <v>0</v>
      </c>
      <c r="Y982" s="214">
        <v>0</v>
      </c>
      <c r="Z982" s="214">
        <v>0</v>
      </c>
      <c r="AA982" s="214">
        <v>0</v>
      </c>
      <c r="AB982" s="214">
        <v>0</v>
      </c>
      <c r="AC982" s="214">
        <v>0</v>
      </c>
      <c r="AD982" s="215"/>
      <c r="AE982" s="420">
        <v>0</v>
      </c>
      <c r="AF982" s="420">
        <v>0</v>
      </c>
      <c r="AG982" s="420">
        <v>0</v>
      </c>
      <c r="AH982" s="420"/>
      <c r="AI982" s="574">
        <f t="shared" si="23"/>
        <v>5880</v>
      </c>
      <c r="AJ982" s="212"/>
    </row>
    <row r="983" spans="2:36" ht="14.4">
      <c r="B983" s="211"/>
      <c r="C983" s="213" t="s">
        <v>186</v>
      </c>
      <c r="D983" s="214">
        <v>0</v>
      </c>
      <c r="E983" s="214">
        <v>0</v>
      </c>
      <c r="F983" s="214">
        <v>0</v>
      </c>
      <c r="G983" s="214">
        <v>0</v>
      </c>
      <c r="H983" s="214">
        <v>0</v>
      </c>
      <c r="I983" s="214">
        <v>0</v>
      </c>
      <c r="J983" s="214">
        <v>0</v>
      </c>
      <c r="K983" s="214">
        <v>0</v>
      </c>
      <c r="L983" s="214">
        <v>0</v>
      </c>
      <c r="M983" s="214">
        <v>0</v>
      </c>
      <c r="N983" s="214">
        <v>0</v>
      </c>
      <c r="O983" s="214">
        <v>0</v>
      </c>
      <c r="P983" s="214">
        <v>0</v>
      </c>
      <c r="Q983" s="214">
        <v>0</v>
      </c>
      <c r="R983" s="214">
        <v>0</v>
      </c>
      <c r="S983" s="214">
        <v>0</v>
      </c>
      <c r="T983" s="214">
        <v>0</v>
      </c>
      <c r="U983" s="214">
        <v>0</v>
      </c>
      <c r="V983" s="214">
        <v>0</v>
      </c>
      <c r="W983" s="214">
        <v>0</v>
      </c>
      <c r="X983" s="214">
        <v>0</v>
      </c>
      <c r="Y983" s="214">
        <v>0</v>
      </c>
      <c r="Z983" s="214">
        <v>0</v>
      </c>
      <c r="AA983" s="214">
        <v>0</v>
      </c>
      <c r="AB983" s="214">
        <v>0</v>
      </c>
      <c r="AC983" s="214">
        <v>0</v>
      </c>
      <c r="AD983" s="215"/>
      <c r="AE983" s="420">
        <v>0</v>
      </c>
      <c r="AF983" s="420">
        <v>0</v>
      </c>
      <c r="AG983" s="420">
        <v>0</v>
      </c>
      <c r="AH983" s="420"/>
      <c r="AI983" s="574">
        <f t="shared" si="23"/>
        <v>0</v>
      </c>
      <c r="AJ983" s="212"/>
    </row>
    <row r="984" spans="2:36" ht="14.4">
      <c r="B984" s="211"/>
      <c r="C984" s="213" t="s">
        <v>171</v>
      </c>
      <c r="D984" s="214">
        <v>0</v>
      </c>
      <c r="E984" s="214">
        <v>0</v>
      </c>
      <c r="F984" s="214">
        <v>0</v>
      </c>
      <c r="G984" s="214">
        <v>0</v>
      </c>
      <c r="H984" s="214">
        <v>0</v>
      </c>
      <c r="I984" s="214">
        <v>0</v>
      </c>
      <c r="J984" s="214">
        <v>0</v>
      </c>
      <c r="K984" s="214">
        <v>0</v>
      </c>
      <c r="L984" s="214">
        <v>0</v>
      </c>
      <c r="M984" s="214">
        <v>0</v>
      </c>
      <c r="N984" s="214">
        <v>0</v>
      </c>
      <c r="O984" s="214">
        <v>0</v>
      </c>
      <c r="P984" s="214">
        <v>0</v>
      </c>
      <c r="Q984" s="214">
        <v>0</v>
      </c>
      <c r="R984" s="214">
        <v>0</v>
      </c>
      <c r="S984" s="214">
        <v>0</v>
      </c>
      <c r="T984" s="214">
        <v>0</v>
      </c>
      <c r="U984" s="214">
        <v>0</v>
      </c>
      <c r="V984" s="214">
        <v>0</v>
      </c>
      <c r="W984" s="214">
        <v>0</v>
      </c>
      <c r="X984" s="214">
        <v>0</v>
      </c>
      <c r="Y984" s="214">
        <v>0</v>
      </c>
      <c r="Z984" s="214">
        <v>0</v>
      </c>
      <c r="AA984" s="214">
        <v>0</v>
      </c>
      <c r="AB984" s="214">
        <v>0</v>
      </c>
      <c r="AC984" s="214">
        <v>0</v>
      </c>
      <c r="AD984" s="215"/>
      <c r="AE984" s="420">
        <v>0</v>
      </c>
      <c r="AF984" s="420">
        <v>0</v>
      </c>
      <c r="AG984" s="420">
        <v>0</v>
      </c>
      <c r="AH984" s="420"/>
      <c r="AI984" s="574">
        <f t="shared" si="23"/>
        <v>0</v>
      </c>
      <c r="AJ984" s="212"/>
    </row>
    <row r="985" spans="2:36" ht="14.4">
      <c r="B985" s="211"/>
      <c r="C985" s="213" t="s">
        <v>180</v>
      </c>
      <c r="D985" s="214">
        <v>0</v>
      </c>
      <c r="E985" s="214">
        <v>0</v>
      </c>
      <c r="F985" s="214">
        <v>0</v>
      </c>
      <c r="G985" s="214">
        <v>0</v>
      </c>
      <c r="H985" s="214">
        <v>0</v>
      </c>
      <c r="I985" s="214">
        <v>0</v>
      </c>
      <c r="J985" s="214">
        <v>0</v>
      </c>
      <c r="K985" s="214">
        <v>0</v>
      </c>
      <c r="L985" s="214">
        <v>0</v>
      </c>
      <c r="M985" s="214">
        <v>0</v>
      </c>
      <c r="N985" s="214">
        <v>0</v>
      </c>
      <c r="O985" s="214">
        <v>0</v>
      </c>
      <c r="P985" s="214">
        <v>0</v>
      </c>
      <c r="Q985" s="214">
        <v>0</v>
      </c>
      <c r="R985" s="214">
        <v>0</v>
      </c>
      <c r="S985" s="214">
        <v>0</v>
      </c>
      <c r="T985" s="214">
        <v>0</v>
      </c>
      <c r="U985" s="214">
        <v>0</v>
      </c>
      <c r="V985" s="214">
        <v>0</v>
      </c>
      <c r="W985" s="214">
        <v>0</v>
      </c>
      <c r="X985" s="214">
        <v>0</v>
      </c>
      <c r="Y985" s="214">
        <v>0</v>
      </c>
      <c r="Z985" s="214">
        <v>0</v>
      </c>
      <c r="AA985" s="214">
        <v>0</v>
      </c>
      <c r="AB985" s="214">
        <v>0</v>
      </c>
      <c r="AC985" s="214">
        <v>0</v>
      </c>
      <c r="AD985" s="215"/>
      <c r="AE985" s="420">
        <v>0</v>
      </c>
      <c r="AF985" s="420">
        <v>0</v>
      </c>
      <c r="AG985" s="420">
        <v>0</v>
      </c>
      <c r="AH985" s="420"/>
      <c r="AI985" s="574">
        <f t="shared" si="23"/>
        <v>0</v>
      </c>
      <c r="AJ985" s="212"/>
    </row>
    <row r="986" spans="2:36" ht="14.4">
      <c r="B986" s="211"/>
      <c r="C986" s="213" t="s">
        <v>183</v>
      </c>
      <c r="D986" s="214">
        <v>0</v>
      </c>
      <c r="E986" s="214">
        <v>1640</v>
      </c>
      <c r="F986" s="214">
        <v>863</v>
      </c>
      <c r="G986" s="214">
        <v>1108</v>
      </c>
      <c r="H986" s="214">
        <v>14012</v>
      </c>
      <c r="I986" s="214">
        <v>0</v>
      </c>
      <c r="J986" s="214">
        <v>77</v>
      </c>
      <c r="K986" s="214">
        <v>0</v>
      </c>
      <c r="L986" s="214">
        <v>0</v>
      </c>
      <c r="M986" s="214">
        <v>97</v>
      </c>
      <c r="N986" s="214">
        <v>0</v>
      </c>
      <c r="O986" s="214">
        <v>172</v>
      </c>
      <c r="P986" s="214">
        <v>213</v>
      </c>
      <c r="Q986" s="214">
        <v>1926</v>
      </c>
      <c r="R986" s="214">
        <v>0</v>
      </c>
      <c r="S986" s="214">
        <v>0</v>
      </c>
      <c r="T986" s="214">
        <v>0</v>
      </c>
      <c r="U986" s="214">
        <v>0</v>
      </c>
      <c r="V986" s="214">
        <v>0</v>
      </c>
      <c r="W986" s="214">
        <v>0</v>
      </c>
      <c r="X986" s="214">
        <v>0</v>
      </c>
      <c r="Y986" s="214">
        <v>0</v>
      </c>
      <c r="Z986" s="214">
        <v>0</v>
      </c>
      <c r="AA986" s="214">
        <v>0</v>
      </c>
      <c r="AB986" s="214">
        <v>0</v>
      </c>
      <c r="AC986" s="214">
        <v>0</v>
      </c>
      <c r="AD986" s="215"/>
      <c r="AE986" s="420">
        <v>0</v>
      </c>
      <c r="AF986" s="420">
        <v>0</v>
      </c>
      <c r="AG986" s="420">
        <v>0</v>
      </c>
      <c r="AH986" s="420"/>
      <c r="AI986" s="574">
        <f t="shared" si="23"/>
        <v>20108</v>
      </c>
      <c r="AJ986" s="212"/>
    </row>
    <row r="987" spans="2:36" ht="14.4">
      <c r="B987" s="211"/>
      <c r="C987" s="213" t="s">
        <v>195</v>
      </c>
      <c r="D987" s="214">
        <v>14221.44</v>
      </c>
      <c r="E987" s="214">
        <v>0</v>
      </c>
      <c r="F987" s="214">
        <v>0</v>
      </c>
      <c r="G987" s="214">
        <v>0</v>
      </c>
      <c r="H987" s="214">
        <v>0</v>
      </c>
      <c r="I987" s="214">
        <v>0</v>
      </c>
      <c r="J987" s="214">
        <v>0</v>
      </c>
      <c r="K987" s="214">
        <v>0</v>
      </c>
      <c r="L987" s="214">
        <v>0</v>
      </c>
      <c r="M987" s="214">
        <v>0</v>
      </c>
      <c r="N987" s="214">
        <v>0</v>
      </c>
      <c r="O987" s="214">
        <v>0</v>
      </c>
      <c r="P987" s="214">
        <v>0</v>
      </c>
      <c r="Q987" s="214">
        <v>0</v>
      </c>
      <c r="R987" s="214">
        <v>0</v>
      </c>
      <c r="S987" s="214">
        <v>0</v>
      </c>
      <c r="T987" s="214">
        <v>0</v>
      </c>
      <c r="U987" s="214">
        <v>0</v>
      </c>
      <c r="V987" s="214">
        <v>0</v>
      </c>
      <c r="W987" s="214">
        <v>0</v>
      </c>
      <c r="X987" s="214">
        <v>0</v>
      </c>
      <c r="Y987" s="214">
        <v>0</v>
      </c>
      <c r="Z987" s="214">
        <v>0</v>
      </c>
      <c r="AA987" s="214">
        <v>0</v>
      </c>
      <c r="AB987" s="214">
        <v>0</v>
      </c>
      <c r="AC987" s="214">
        <v>0</v>
      </c>
      <c r="AD987" s="215"/>
      <c r="AE987" s="420">
        <v>0</v>
      </c>
      <c r="AF987" s="420">
        <v>0</v>
      </c>
      <c r="AG987" s="420">
        <v>0</v>
      </c>
      <c r="AH987" s="420"/>
      <c r="AI987" s="574">
        <f t="shared" si="23"/>
        <v>14221.44</v>
      </c>
      <c r="AJ987" s="212"/>
    </row>
    <row r="988" spans="2:36" ht="14.4">
      <c r="B988" s="211"/>
      <c r="C988" s="213" t="s">
        <v>189</v>
      </c>
      <c r="D988" s="214">
        <v>10898.01</v>
      </c>
      <c r="E988" s="214">
        <v>0</v>
      </c>
      <c r="F988" s="214">
        <v>0</v>
      </c>
      <c r="G988" s="214">
        <v>0</v>
      </c>
      <c r="H988" s="214">
        <v>0</v>
      </c>
      <c r="I988" s="214">
        <v>0</v>
      </c>
      <c r="J988" s="214">
        <v>0</v>
      </c>
      <c r="K988" s="214">
        <v>0</v>
      </c>
      <c r="L988" s="214">
        <v>0</v>
      </c>
      <c r="M988" s="214">
        <v>0</v>
      </c>
      <c r="N988" s="214">
        <v>0</v>
      </c>
      <c r="O988" s="214">
        <v>0</v>
      </c>
      <c r="P988" s="214">
        <v>0</v>
      </c>
      <c r="Q988" s="214">
        <v>0</v>
      </c>
      <c r="R988" s="214">
        <v>0</v>
      </c>
      <c r="S988" s="214">
        <v>0</v>
      </c>
      <c r="T988" s="214">
        <v>0</v>
      </c>
      <c r="U988" s="214">
        <v>0</v>
      </c>
      <c r="V988" s="214">
        <v>0</v>
      </c>
      <c r="W988" s="214">
        <v>0</v>
      </c>
      <c r="X988" s="214">
        <v>0</v>
      </c>
      <c r="Y988" s="214">
        <v>0</v>
      </c>
      <c r="Z988" s="214">
        <v>0</v>
      </c>
      <c r="AA988" s="214">
        <v>0</v>
      </c>
      <c r="AB988" s="214">
        <v>0</v>
      </c>
      <c r="AC988" s="214">
        <v>0</v>
      </c>
      <c r="AD988" s="215"/>
      <c r="AE988" s="420">
        <v>0</v>
      </c>
      <c r="AF988" s="420">
        <v>0</v>
      </c>
      <c r="AG988" s="420">
        <v>0</v>
      </c>
      <c r="AH988" s="420"/>
      <c r="AI988" s="574">
        <f t="shared" si="23"/>
        <v>10898.01</v>
      </c>
      <c r="AJ988" s="212"/>
    </row>
    <row r="989" spans="2:36" ht="14.4">
      <c r="B989" s="211"/>
      <c r="C989" s="213" t="s">
        <v>188</v>
      </c>
      <c r="D989" s="214">
        <v>13853.56</v>
      </c>
      <c r="E989" s="214">
        <v>0</v>
      </c>
      <c r="F989" s="214">
        <v>0</v>
      </c>
      <c r="G989" s="214">
        <v>0</v>
      </c>
      <c r="H989" s="214">
        <v>0</v>
      </c>
      <c r="I989" s="214">
        <v>0</v>
      </c>
      <c r="J989" s="214">
        <v>0</v>
      </c>
      <c r="K989" s="214">
        <v>0</v>
      </c>
      <c r="L989" s="214">
        <v>0</v>
      </c>
      <c r="M989" s="214">
        <v>0</v>
      </c>
      <c r="N989" s="214">
        <v>0</v>
      </c>
      <c r="O989" s="214">
        <v>0</v>
      </c>
      <c r="P989" s="214">
        <v>0</v>
      </c>
      <c r="Q989" s="214">
        <v>0</v>
      </c>
      <c r="R989" s="214">
        <v>0</v>
      </c>
      <c r="S989" s="214">
        <v>0</v>
      </c>
      <c r="T989" s="214">
        <v>0</v>
      </c>
      <c r="U989" s="214">
        <v>0</v>
      </c>
      <c r="V989" s="214">
        <v>0</v>
      </c>
      <c r="W989" s="214">
        <v>0</v>
      </c>
      <c r="X989" s="214">
        <v>0</v>
      </c>
      <c r="Y989" s="214">
        <v>0</v>
      </c>
      <c r="Z989" s="214">
        <v>0</v>
      </c>
      <c r="AA989" s="214">
        <v>0</v>
      </c>
      <c r="AB989" s="214">
        <v>0</v>
      </c>
      <c r="AC989" s="214">
        <v>0</v>
      </c>
      <c r="AD989" s="215"/>
      <c r="AE989" s="420">
        <v>0</v>
      </c>
      <c r="AF989" s="420">
        <v>0</v>
      </c>
      <c r="AG989" s="420">
        <v>0</v>
      </c>
      <c r="AH989" s="420"/>
      <c r="AI989" s="574">
        <f t="shared" si="23"/>
        <v>13853.56</v>
      </c>
      <c r="AJ989" s="212"/>
    </row>
    <row r="990" spans="2:36" ht="14.4">
      <c r="B990" s="211"/>
      <c r="C990" s="213" t="s">
        <v>196</v>
      </c>
      <c r="D990" s="214">
        <v>39957.35</v>
      </c>
      <c r="E990" s="214">
        <v>0</v>
      </c>
      <c r="F990" s="214">
        <v>0</v>
      </c>
      <c r="G990" s="214">
        <v>0</v>
      </c>
      <c r="H990" s="214">
        <v>0</v>
      </c>
      <c r="I990" s="214">
        <v>0</v>
      </c>
      <c r="J990" s="214">
        <v>0</v>
      </c>
      <c r="K990" s="214">
        <v>0</v>
      </c>
      <c r="L990" s="214">
        <v>0</v>
      </c>
      <c r="M990" s="214">
        <v>0</v>
      </c>
      <c r="N990" s="214">
        <v>0</v>
      </c>
      <c r="O990" s="214">
        <v>0</v>
      </c>
      <c r="P990" s="214">
        <v>0</v>
      </c>
      <c r="Q990" s="214">
        <v>0</v>
      </c>
      <c r="R990" s="214">
        <v>0</v>
      </c>
      <c r="S990" s="214">
        <v>0</v>
      </c>
      <c r="T990" s="214">
        <v>0</v>
      </c>
      <c r="U990" s="214">
        <v>0</v>
      </c>
      <c r="V990" s="214">
        <v>0</v>
      </c>
      <c r="W990" s="214">
        <v>0</v>
      </c>
      <c r="X990" s="214">
        <v>0</v>
      </c>
      <c r="Y990" s="214">
        <v>0</v>
      </c>
      <c r="Z990" s="214">
        <v>0</v>
      </c>
      <c r="AA990" s="214">
        <v>0</v>
      </c>
      <c r="AB990" s="214">
        <v>0</v>
      </c>
      <c r="AC990" s="214">
        <v>0</v>
      </c>
      <c r="AD990" s="215"/>
      <c r="AE990" s="420">
        <v>0</v>
      </c>
      <c r="AF990" s="420">
        <v>0</v>
      </c>
      <c r="AG990" s="420">
        <v>0</v>
      </c>
      <c r="AH990" s="420"/>
      <c r="AI990" s="574">
        <f t="shared" si="23"/>
        <v>39957.35</v>
      </c>
      <c r="AJ990" s="212"/>
    </row>
    <row r="991" spans="2:36" ht="14.4">
      <c r="B991" s="211"/>
      <c r="C991" s="213" t="s">
        <v>197</v>
      </c>
      <c r="D991" s="214">
        <v>82534.89</v>
      </c>
      <c r="E991" s="214">
        <v>0</v>
      </c>
      <c r="F991" s="214">
        <v>0</v>
      </c>
      <c r="G991" s="214">
        <v>0</v>
      </c>
      <c r="H991" s="214">
        <v>0</v>
      </c>
      <c r="I991" s="214">
        <v>0</v>
      </c>
      <c r="J991" s="214">
        <v>0</v>
      </c>
      <c r="K991" s="214">
        <v>0</v>
      </c>
      <c r="L991" s="214">
        <v>0</v>
      </c>
      <c r="M991" s="214">
        <v>0</v>
      </c>
      <c r="N991" s="214">
        <v>0</v>
      </c>
      <c r="O991" s="214">
        <v>0</v>
      </c>
      <c r="P991" s="214">
        <v>0</v>
      </c>
      <c r="Q991" s="214">
        <v>0</v>
      </c>
      <c r="R991" s="214">
        <v>0</v>
      </c>
      <c r="S991" s="214">
        <v>0</v>
      </c>
      <c r="T991" s="214">
        <v>0</v>
      </c>
      <c r="U991" s="214">
        <v>0</v>
      </c>
      <c r="V991" s="214">
        <v>0</v>
      </c>
      <c r="W991" s="214">
        <v>0</v>
      </c>
      <c r="X991" s="214">
        <v>0</v>
      </c>
      <c r="Y991" s="214">
        <v>0</v>
      </c>
      <c r="Z991" s="214">
        <v>0</v>
      </c>
      <c r="AA991" s="214">
        <v>0</v>
      </c>
      <c r="AB991" s="214">
        <v>0</v>
      </c>
      <c r="AC991" s="214">
        <v>0</v>
      </c>
      <c r="AD991" s="215"/>
      <c r="AE991" s="420">
        <v>0</v>
      </c>
      <c r="AF991" s="420">
        <v>0</v>
      </c>
      <c r="AG991" s="420">
        <v>0</v>
      </c>
      <c r="AH991" s="420"/>
      <c r="AI991" s="574">
        <f t="shared" si="23"/>
        <v>82534.89</v>
      </c>
      <c r="AJ991" s="212"/>
    </row>
    <row r="992" spans="2:36" ht="14.4">
      <c r="B992" s="211"/>
      <c r="C992" s="213" t="s">
        <v>198</v>
      </c>
      <c r="D992" s="214">
        <v>21286.6</v>
      </c>
      <c r="E992" s="214">
        <v>0</v>
      </c>
      <c r="F992" s="214">
        <v>0</v>
      </c>
      <c r="G992" s="214">
        <v>0</v>
      </c>
      <c r="H992" s="214">
        <v>0</v>
      </c>
      <c r="I992" s="214">
        <v>0</v>
      </c>
      <c r="J992" s="214">
        <v>0</v>
      </c>
      <c r="K992" s="214">
        <v>0</v>
      </c>
      <c r="L992" s="214">
        <v>0</v>
      </c>
      <c r="M992" s="214">
        <v>0</v>
      </c>
      <c r="N992" s="214">
        <v>0</v>
      </c>
      <c r="O992" s="214">
        <v>0</v>
      </c>
      <c r="P992" s="214">
        <v>0</v>
      </c>
      <c r="Q992" s="214">
        <v>0</v>
      </c>
      <c r="R992" s="214">
        <v>0</v>
      </c>
      <c r="S992" s="214">
        <v>0</v>
      </c>
      <c r="T992" s="214">
        <v>0</v>
      </c>
      <c r="U992" s="214">
        <v>0</v>
      </c>
      <c r="V992" s="214">
        <v>0</v>
      </c>
      <c r="W992" s="214">
        <v>0</v>
      </c>
      <c r="X992" s="214">
        <v>0</v>
      </c>
      <c r="Y992" s="214">
        <v>0</v>
      </c>
      <c r="Z992" s="214">
        <v>0</v>
      </c>
      <c r="AA992" s="214">
        <v>0</v>
      </c>
      <c r="AB992" s="214">
        <v>0</v>
      </c>
      <c r="AC992" s="214">
        <v>0</v>
      </c>
      <c r="AD992" s="215"/>
      <c r="AE992" s="420">
        <v>0</v>
      </c>
      <c r="AF992" s="420">
        <v>0</v>
      </c>
      <c r="AG992" s="420">
        <v>0</v>
      </c>
      <c r="AH992" s="420"/>
      <c r="AI992" s="574">
        <f t="shared" si="23"/>
        <v>21286.6</v>
      </c>
      <c r="AJ992" s="212"/>
    </row>
    <row r="993" spans="2:36" ht="14.4">
      <c r="B993" s="211"/>
      <c r="C993" s="213" t="s">
        <v>201</v>
      </c>
      <c r="D993" s="214">
        <v>13882.9</v>
      </c>
      <c r="E993" s="214">
        <v>0</v>
      </c>
      <c r="F993" s="214">
        <v>0</v>
      </c>
      <c r="G993" s="214">
        <v>0</v>
      </c>
      <c r="H993" s="214">
        <v>0</v>
      </c>
      <c r="I993" s="214">
        <v>0</v>
      </c>
      <c r="J993" s="214">
        <v>0</v>
      </c>
      <c r="K993" s="214">
        <v>0</v>
      </c>
      <c r="L993" s="214">
        <v>0</v>
      </c>
      <c r="M993" s="214">
        <v>0</v>
      </c>
      <c r="N993" s="214">
        <v>0</v>
      </c>
      <c r="O993" s="214">
        <v>0</v>
      </c>
      <c r="P993" s="214">
        <v>0</v>
      </c>
      <c r="Q993" s="214">
        <v>0</v>
      </c>
      <c r="R993" s="214">
        <v>0</v>
      </c>
      <c r="S993" s="214">
        <v>0</v>
      </c>
      <c r="T993" s="214">
        <v>0</v>
      </c>
      <c r="U993" s="214">
        <v>0</v>
      </c>
      <c r="V993" s="214">
        <v>0</v>
      </c>
      <c r="W993" s="214">
        <v>0</v>
      </c>
      <c r="X993" s="214">
        <v>0</v>
      </c>
      <c r="Y993" s="214">
        <v>0</v>
      </c>
      <c r="Z993" s="214">
        <v>0</v>
      </c>
      <c r="AA993" s="214">
        <v>0</v>
      </c>
      <c r="AB993" s="214">
        <v>0</v>
      </c>
      <c r="AC993" s="214">
        <v>0</v>
      </c>
      <c r="AD993" s="215"/>
      <c r="AE993" s="420">
        <v>0</v>
      </c>
      <c r="AF993" s="420">
        <v>0</v>
      </c>
      <c r="AG993" s="420">
        <v>0</v>
      </c>
      <c r="AH993" s="420"/>
      <c r="AI993" s="574">
        <f t="shared" si="23"/>
        <v>13882.9</v>
      </c>
      <c r="AJ993" s="212"/>
    </row>
    <row r="994" spans="2:36" ht="14.4">
      <c r="B994" s="211"/>
      <c r="C994" s="213" t="s">
        <v>202</v>
      </c>
      <c r="D994" s="214">
        <v>20439.990000000002</v>
      </c>
      <c r="E994" s="214">
        <v>0</v>
      </c>
      <c r="F994" s="214">
        <v>0</v>
      </c>
      <c r="G994" s="214">
        <v>0</v>
      </c>
      <c r="H994" s="214">
        <v>0</v>
      </c>
      <c r="I994" s="214">
        <v>0</v>
      </c>
      <c r="J994" s="214">
        <v>0</v>
      </c>
      <c r="K994" s="214">
        <v>0</v>
      </c>
      <c r="L994" s="214">
        <v>0</v>
      </c>
      <c r="M994" s="214">
        <v>0</v>
      </c>
      <c r="N994" s="214">
        <v>0</v>
      </c>
      <c r="O994" s="214">
        <v>0</v>
      </c>
      <c r="P994" s="214">
        <v>0</v>
      </c>
      <c r="Q994" s="214">
        <v>0</v>
      </c>
      <c r="R994" s="214">
        <v>0</v>
      </c>
      <c r="S994" s="214">
        <v>0</v>
      </c>
      <c r="T994" s="214">
        <v>0</v>
      </c>
      <c r="U994" s="214">
        <v>0</v>
      </c>
      <c r="V994" s="214">
        <v>0</v>
      </c>
      <c r="W994" s="214">
        <v>0</v>
      </c>
      <c r="X994" s="214">
        <v>0</v>
      </c>
      <c r="Y994" s="214">
        <v>0</v>
      </c>
      <c r="Z994" s="214">
        <v>0</v>
      </c>
      <c r="AA994" s="214">
        <v>0</v>
      </c>
      <c r="AB994" s="214">
        <v>0</v>
      </c>
      <c r="AC994" s="214">
        <v>0</v>
      </c>
      <c r="AD994" s="215"/>
      <c r="AE994" s="420">
        <v>0</v>
      </c>
      <c r="AF994" s="420">
        <v>0</v>
      </c>
      <c r="AG994" s="420">
        <v>0</v>
      </c>
      <c r="AH994" s="420"/>
      <c r="AI994" s="574">
        <f t="shared" si="23"/>
        <v>20439.990000000002</v>
      </c>
      <c r="AJ994" s="212"/>
    </row>
    <row r="995" spans="2:36" ht="14.4">
      <c r="B995" s="211"/>
      <c r="C995" s="213" t="s">
        <v>206</v>
      </c>
      <c r="D995" s="214">
        <v>14549.09</v>
      </c>
      <c r="E995" s="214">
        <v>0</v>
      </c>
      <c r="F995" s="214">
        <v>0</v>
      </c>
      <c r="G995" s="214">
        <v>0</v>
      </c>
      <c r="H995" s="214">
        <v>0</v>
      </c>
      <c r="I995" s="214">
        <v>0</v>
      </c>
      <c r="J995" s="214">
        <v>0</v>
      </c>
      <c r="K995" s="214">
        <v>0</v>
      </c>
      <c r="L995" s="214">
        <v>0</v>
      </c>
      <c r="M995" s="214">
        <v>0</v>
      </c>
      <c r="N995" s="214">
        <v>0</v>
      </c>
      <c r="O995" s="214">
        <v>0</v>
      </c>
      <c r="P995" s="214">
        <v>0</v>
      </c>
      <c r="Q995" s="214">
        <v>0</v>
      </c>
      <c r="R995" s="214">
        <v>0</v>
      </c>
      <c r="S995" s="214">
        <v>0</v>
      </c>
      <c r="T995" s="214">
        <v>0</v>
      </c>
      <c r="U995" s="214">
        <v>0</v>
      </c>
      <c r="V995" s="214">
        <v>0</v>
      </c>
      <c r="W995" s="214">
        <v>0</v>
      </c>
      <c r="X995" s="214">
        <v>0</v>
      </c>
      <c r="Y995" s="214">
        <v>0</v>
      </c>
      <c r="Z995" s="214">
        <v>0</v>
      </c>
      <c r="AA995" s="214">
        <v>0</v>
      </c>
      <c r="AB995" s="214">
        <v>0</v>
      </c>
      <c r="AC995" s="214">
        <v>0</v>
      </c>
      <c r="AD995" s="215"/>
      <c r="AE995" s="420">
        <v>0</v>
      </c>
      <c r="AF995" s="420">
        <v>0</v>
      </c>
      <c r="AG995" s="420">
        <v>0</v>
      </c>
      <c r="AH995" s="420"/>
      <c r="AI995" s="574">
        <f t="shared" si="23"/>
        <v>14549.09</v>
      </c>
      <c r="AJ995" s="212"/>
    </row>
    <row r="996" spans="2:36" ht="14.4">
      <c r="B996" s="211"/>
      <c r="C996" s="213" t="s">
        <v>207</v>
      </c>
      <c r="D996" s="214">
        <v>11400</v>
      </c>
      <c r="E996" s="214">
        <v>3881.25</v>
      </c>
      <c r="F996" s="214">
        <v>3450</v>
      </c>
      <c r="G996" s="214">
        <v>3975</v>
      </c>
      <c r="H996" s="214">
        <v>862.5</v>
      </c>
      <c r="I996" s="214">
        <v>1293.75</v>
      </c>
      <c r="J996" s="214">
        <v>0</v>
      </c>
      <c r="K996" s="214">
        <v>0</v>
      </c>
      <c r="L996" s="214">
        <v>862.5</v>
      </c>
      <c r="M996" s="214">
        <v>1293.75</v>
      </c>
      <c r="N996" s="214">
        <v>431.25</v>
      </c>
      <c r="O996" s="214">
        <v>862.5</v>
      </c>
      <c r="P996" s="214">
        <v>431.25</v>
      </c>
      <c r="Q996" s="214">
        <v>431.25</v>
      </c>
      <c r="R996" s="214">
        <v>1387.5</v>
      </c>
      <c r="S996" s="214">
        <v>862.5</v>
      </c>
      <c r="T996" s="214">
        <v>0</v>
      </c>
      <c r="U996" s="214">
        <v>0</v>
      </c>
      <c r="V996" s="214">
        <v>0</v>
      </c>
      <c r="W996" s="214">
        <v>0</v>
      </c>
      <c r="X996" s="214">
        <v>431.25</v>
      </c>
      <c r="Y996" s="214">
        <v>431.25</v>
      </c>
      <c r="Z996" s="214">
        <v>0</v>
      </c>
      <c r="AA996" s="214">
        <v>431.25</v>
      </c>
      <c r="AB996" s="214">
        <v>0</v>
      </c>
      <c r="AC996" s="214">
        <v>862.5</v>
      </c>
      <c r="AD996" s="215">
        <v>0</v>
      </c>
      <c r="AE996" s="420">
        <v>431.25</v>
      </c>
      <c r="AF996" s="420">
        <v>0</v>
      </c>
      <c r="AG996" s="420">
        <v>0</v>
      </c>
      <c r="AH996" s="420">
        <v>0</v>
      </c>
      <c r="AI996" s="574">
        <f t="shared" si="23"/>
        <v>34012.5</v>
      </c>
      <c r="AJ996" s="212"/>
    </row>
    <row r="997" spans="2:36" ht="14.4">
      <c r="B997" s="211"/>
      <c r="C997" s="213" t="s">
        <v>208</v>
      </c>
      <c r="D997" s="214">
        <v>20335.79</v>
      </c>
      <c r="E997" s="214">
        <v>0</v>
      </c>
      <c r="F997" s="214">
        <v>0</v>
      </c>
      <c r="G997" s="214">
        <v>0</v>
      </c>
      <c r="H997" s="214">
        <v>0</v>
      </c>
      <c r="I997" s="214">
        <v>0</v>
      </c>
      <c r="J997" s="214">
        <v>0</v>
      </c>
      <c r="K997" s="214">
        <v>0</v>
      </c>
      <c r="L997" s="214">
        <v>0</v>
      </c>
      <c r="M997" s="214">
        <v>0</v>
      </c>
      <c r="N997" s="214">
        <v>0</v>
      </c>
      <c r="O997" s="214">
        <v>0</v>
      </c>
      <c r="P997" s="214">
        <v>0</v>
      </c>
      <c r="Q997" s="214">
        <v>0</v>
      </c>
      <c r="R997" s="214">
        <v>0</v>
      </c>
      <c r="S997" s="214">
        <v>0</v>
      </c>
      <c r="T997" s="214">
        <v>0</v>
      </c>
      <c r="U997" s="214">
        <v>0</v>
      </c>
      <c r="V997" s="214">
        <v>0</v>
      </c>
      <c r="W997" s="214">
        <v>0</v>
      </c>
      <c r="X997" s="214">
        <v>0</v>
      </c>
      <c r="Y997" s="214">
        <v>0</v>
      </c>
      <c r="Z997" s="214">
        <v>0</v>
      </c>
      <c r="AA997" s="214">
        <v>0</v>
      </c>
      <c r="AB997" s="214">
        <v>0</v>
      </c>
      <c r="AC997" s="214">
        <v>0</v>
      </c>
      <c r="AD997" s="215"/>
      <c r="AE997" s="420">
        <v>0</v>
      </c>
      <c r="AF997" s="420">
        <v>0</v>
      </c>
      <c r="AG997" s="420">
        <v>0</v>
      </c>
      <c r="AH997" s="420"/>
      <c r="AI997" s="574">
        <f t="shared" si="23"/>
        <v>20335.79</v>
      </c>
      <c r="AJ997" s="212"/>
    </row>
    <row r="998" spans="2:36" ht="14.4">
      <c r="B998" s="211"/>
      <c r="C998" s="213" t="s">
        <v>236</v>
      </c>
      <c r="D998" s="214">
        <v>19385.650000000001</v>
      </c>
      <c r="E998" s="214">
        <v>0</v>
      </c>
      <c r="F998" s="214">
        <v>0</v>
      </c>
      <c r="G998" s="214">
        <v>0</v>
      </c>
      <c r="H998" s="214">
        <v>0</v>
      </c>
      <c r="I998" s="214">
        <v>0</v>
      </c>
      <c r="J998" s="214">
        <v>0</v>
      </c>
      <c r="K998" s="214">
        <v>0</v>
      </c>
      <c r="L998" s="214">
        <v>0</v>
      </c>
      <c r="M998" s="214">
        <v>0</v>
      </c>
      <c r="N998" s="214">
        <v>0</v>
      </c>
      <c r="O998" s="214">
        <v>0</v>
      </c>
      <c r="P998" s="214">
        <v>0</v>
      </c>
      <c r="Q998" s="214">
        <v>0</v>
      </c>
      <c r="R998" s="214">
        <v>0</v>
      </c>
      <c r="S998" s="214">
        <v>0</v>
      </c>
      <c r="T998" s="214">
        <v>0</v>
      </c>
      <c r="U998" s="214">
        <v>0</v>
      </c>
      <c r="V998" s="214">
        <v>0</v>
      </c>
      <c r="W998" s="214">
        <v>0</v>
      </c>
      <c r="X998" s="214">
        <v>0</v>
      </c>
      <c r="Y998" s="214">
        <v>0</v>
      </c>
      <c r="Z998" s="214">
        <v>0</v>
      </c>
      <c r="AA998" s="214">
        <v>0</v>
      </c>
      <c r="AB998" s="214">
        <v>0</v>
      </c>
      <c r="AC998" s="214">
        <v>0</v>
      </c>
      <c r="AD998" s="215"/>
      <c r="AE998" s="420">
        <v>0</v>
      </c>
      <c r="AF998" s="420">
        <v>0</v>
      </c>
      <c r="AG998" s="420">
        <v>0</v>
      </c>
      <c r="AH998" s="420"/>
      <c r="AI998" s="574">
        <f t="shared" si="23"/>
        <v>19385.650000000001</v>
      </c>
      <c r="AJ998" s="212"/>
    </row>
    <row r="999" spans="2:36" ht="14.4">
      <c r="B999" s="211"/>
      <c r="C999" s="240" t="s">
        <v>209</v>
      </c>
      <c r="D999" s="214">
        <v>500</v>
      </c>
      <c r="E999" s="214">
        <v>0</v>
      </c>
      <c r="F999" s="214">
        <v>0</v>
      </c>
      <c r="G999" s="214">
        <v>0</v>
      </c>
      <c r="H999" s="214">
        <v>0</v>
      </c>
      <c r="I999" s="214">
        <v>0</v>
      </c>
      <c r="J999" s="214">
        <v>0</v>
      </c>
      <c r="K999" s="214">
        <v>0</v>
      </c>
      <c r="L999" s="214">
        <v>0</v>
      </c>
      <c r="M999" s="214">
        <v>0</v>
      </c>
      <c r="N999" s="214">
        <v>0</v>
      </c>
      <c r="O999" s="214">
        <v>0</v>
      </c>
      <c r="P999" s="214">
        <v>0</v>
      </c>
      <c r="Q999" s="214">
        <v>0</v>
      </c>
      <c r="R999" s="214">
        <v>0</v>
      </c>
      <c r="S999" s="214">
        <v>0</v>
      </c>
      <c r="T999" s="214">
        <v>0</v>
      </c>
      <c r="U999" s="214">
        <v>0</v>
      </c>
      <c r="V999" s="214">
        <v>0</v>
      </c>
      <c r="W999" s="214">
        <v>0</v>
      </c>
      <c r="X999" s="214">
        <v>0</v>
      </c>
      <c r="Y999" s="214">
        <v>0</v>
      </c>
      <c r="Z999" s="214">
        <v>0</v>
      </c>
      <c r="AA999" s="214">
        <v>0</v>
      </c>
      <c r="AB999" s="214">
        <v>0</v>
      </c>
      <c r="AC999" s="214">
        <v>0</v>
      </c>
      <c r="AD999" s="215"/>
      <c r="AE999" s="420">
        <v>0</v>
      </c>
      <c r="AF999" s="420">
        <v>0</v>
      </c>
      <c r="AG999" s="420">
        <v>0</v>
      </c>
      <c r="AH999" s="420"/>
      <c r="AI999" s="574">
        <f t="shared" si="23"/>
        <v>500</v>
      </c>
      <c r="AJ999" s="212"/>
    </row>
    <row r="1000" spans="2:36" ht="14.4">
      <c r="B1000" s="211"/>
      <c r="C1000" s="240" t="s">
        <v>360</v>
      </c>
      <c r="D1000" s="214">
        <v>0</v>
      </c>
      <c r="E1000" s="214">
        <v>318750.67</v>
      </c>
      <c r="F1000" s="214">
        <v>177236.6</v>
      </c>
      <c r="G1000" s="214">
        <v>0</v>
      </c>
      <c r="H1000" s="214">
        <v>420723.38</v>
      </c>
      <c r="I1000" s="214">
        <v>0</v>
      </c>
      <c r="J1000" s="214">
        <v>0</v>
      </c>
      <c r="K1000" s="214">
        <v>0</v>
      </c>
      <c r="L1000" s="214">
        <v>0</v>
      </c>
      <c r="M1000" s="214">
        <v>82815.429999999993</v>
      </c>
      <c r="N1000" s="214">
        <v>37.92</v>
      </c>
      <c r="O1000" s="214">
        <v>233032.49</v>
      </c>
      <c r="P1000" s="214">
        <v>145597.32</v>
      </c>
      <c r="Q1000" s="214">
        <v>263509.51</v>
      </c>
      <c r="R1000" s="214">
        <v>154.47999999999999</v>
      </c>
      <c r="S1000" s="214">
        <v>98902.42</v>
      </c>
      <c r="T1000" s="214">
        <v>0</v>
      </c>
      <c r="U1000" s="214">
        <v>0</v>
      </c>
      <c r="V1000" s="214">
        <v>0</v>
      </c>
      <c r="W1000" s="214">
        <v>0</v>
      </c>
      <c r="X1000" s="214">
        <v>0</v>
      </c>
      <c r="Y1000" s="214"/>
      <c r="Z1000" s="214"/>
      <c r="AA1000" s="214"/>
      <c r="AB1000" s="214"/>
      <c r="AC1000" s="214"/>
      <c r="AD1000" s="241"/>
      <c r="AE1000" s="420">
        <v>270073.89</v>
      </c>
      <c r="AF1000" s="420"/>
      <c r="AG1000" s="420"/>
      <c r="AH1000" s="420"/>
      <c r="AI1000" s="574">
        <f t="shared" si="23"/>
        <v>2010834.1100000003</v>
      </c>
      <c r="AJ1000" s="212"/>
    </row>
    <row r="1001" spans="2:36" ht="14.4">
      <c r="B1001" s="211"/>
      <c r="C1001" s="240" t="s">
        <v>390</v>
      </c>
      <c r="D1001" s="214">
        <v>0</v>
      </c>
      <c r="E1001" s="214">
        <v>0</v>
      </c>
      <c r="F1001" s="214">
        <v>0</v>
      </c>
      <c r="G1001" s="214">
        <v>0</v>
      </c>
      <c r="H1001" s="214">
        <v>0</v>
      </c>
      <c r="I1001" s="214">
        <v>0</v>
      </c>
      <c r="J1001" s="214">
        <v>0</v>
      </c>
      <c r="K1001" s="214">
        <v>0</v>
      </c>
      <c r="L1001" s="214">
        <v>0</v>
      </c>
      <c r="M1001" s="214">
        <v>0</v>
      </c>
      <c r="N1001" s="214">
        <v>0</v>
      </c>
      <c r="O1001" s="214">
        <v>0</v>
      </c>
      <c r="P1001" s="214">
        <v>0</v>
      </c>
      <c r="Q1001" s="214">
        <v>0</v>
      </c>
      <c r="R1001" s="214">
        <v>0</v>
      </c>
      <c r="S1001" s="214">
        <v>0</v>
      </c>
      <c r="T1001" s="214">
        <v>0</v>
      </c>
      <c r="U1001" s="214">
        <v>0</v>
      </c>
      <c r="V1001" s="214">
        <v>0</v>
      </c>
      <c r="W1001" s="214">
        <v>0</v>
      </c>
      <c r="X1001" s="214">
        <v>0</v>
      </c>
      <c r="Y1001" s="214">
        <v>0</v>
      </c>
      <c r="Z1001" s="214">
        <v>0</v>
      </c>
      <c r="AA1001" s="214">
        <v>0</v>
      </c>
      <c r="AB1001" s="214">
        <v>0</v>
      </c>
      <c r="AC1001" s="214">
        <v>0</v>
      </c>
      <c r="AD1001" s="241"/>
      <c r="AE1001" s="420">
        <v>0</v>
      </c>
      <c r="AF1001" s="420">
        <v>0</v>
      </c>
      <c r="AG1001" s="420">
        <v>0</v>
      </c>
      <c r="AH1001" s="420"/>
      <c r="AI1001" s="574">
        <f t="shared" si="23"/>
        <v>0</v>
      </c>
      <c r="AJ1001" s="212"/>
    </row>
    <row r="1002" spans="2:36" ht="14.4">
      <c r="B1002" s="211"/>
      <c r="C1002" s="240" t="s">
        <v>392</v>
      </c>
      <c r="D1002" s="214">
        <v>0</v>
      </c>
      <c r="E1002" s="214">
        <v>113523.11</v>
      </c>
      <c r="F1002" s="214">
        <v>84811.02</v>
      </c>
      <c r="G1002" s="214">
        <v>0</v>
      </c>
      <c r="H1002" s="214">
        <v>139532.66999999998</v>
      </c>
      <c r="I1002" s="214">
        <v>0</v>
      </c>
      <c r="J1002" s="214">
        <v>0</v>
      </c>
      <c r="K1002" s="214">
        <v>0</v>
      </c>
      <c r="L1002" s="214">
        <v>0</v>
      </c>
      <c r="M1002" s="214">
        <v>30640.769999999997</v>
      </c>
      <c r="N1002" s="214">
        <v>77.67</v>
      </c>
      <c r="O1002" s="214">
        <v>66037.61</v>
      </c>
      <c r="P1002" s="214">
        <v>46283.199999999997</v>
      </c>
      <c r="Q1002" s="214">
        <v>70023.94</v>
      </c>
      <c r="R1002" s="214">
        <v>0</v>
      </c>
      <c r="S1002" s="214">
        <v>30049.370000000003</v>
      </c>
      <c r="T1002" s="214">
        <v>0</v>
      </c>
      <c r="U1002" s="214">
        <v>0</v>
      </c>
      <c r="V1002" s="214">
        <v>0</v>
      </c>
      <c r="W1002" s="214">
        <v>0</v>
      </c>
      <c r="X1002" s="214">
        <v>0</v>
      </c>
      <c r="Y1002" s="214">
        <v>0</v>
      </c>
      <c r="Z1002" s="214">
        <v>0</v>
      </c>
      <c r="AA1002" s="214">
        <v>0</v>
      </c>
      <c r="AB1002" s="214">
        <v>0</v>
      </c>
      <c r="AC1002" s="214">
        <v>0</v>
      </c>
      <c r="AD1002" s="241">
        <v>0</v>
      </c>
      <c r="AE1002" s="420">
        <v>82431.47</v>
      </c>
      <c r="AF1002" s="420">
        <v>0</v>
      </c>
      <c r="AG1002" s="420">
        <v>0</v>
      </c>
      <c r="AH1002" s="420">
        <v>0</v>
      </c>
      <c r="AI1002" s="574">
        <f t="shared" si="23"/>
        <v>663410.82999999996</v>
      </c>
      <c r="AJ1002" s="212"/>
    </row>
    <row r="1003" spans="2:36" ht="14.4">
      <c r="B1003" s="211"/>
      <c r="C1003" s="516" t="s">
        <v>400</v>
      </c>
      <c r="D1003" s="241">
        <v>145389.75</v>
      </c>
      <c r="E1003" s="241"/>
      <c r="F1003" s="241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1"/>
      <c r="Y1003" s="241"/>
      <c r="Z1003" s="241"/>
      <c r="AA1003" s="241"/>
      <c r="AB1003" s="241"/>
      <c r="AC1003" s="241"/>
      <c r="AD1003" s="241"/>
      <c r="AE1003" s="420"/>
      <c r="AF1003" s="420"/>
      <c r="AG1003" s="420"/>
      <c r="AH1003" s="420"/>
      <c r="AI1003" s="574">
        <f t="shared" si="23"/>
        <v>145389.75</v>
      </c>
      <c r="AJ1003" s="212"/>
    </row>
    <row r="1004" spans="2:36" ht="14.4">
      <c r="B1004" s="211"/>
      <c r="C1004" s="149" t="s">
        <v>239</v>
      </c>
      <c r="D1004" s="217">
        <f>SUM(D890:D1003)</f>
        <v>2613856.7600000002</v>
      </c>
      <c r="E1004" s="217">
        <f t="shared" ref="E1004:P1004" si="24">SUM(E890:E1002)</f>
        <v>959275.17999999982</v>
      </c>
      <c r="F1004" s="217">
        <f t="shared" si="24"/>
        <v>853706.59999999986</v>
      </c>
      <c r="G1004" s="217">
        <f t="shared" si="24"/>
        <v>491281.75</v>
      </c>
      <c r="H1004" s="217">
        <f t="shared" si="24"/>
        <v>1136298.1099999999</v>
      </c>
      <c r="I1004" s="217">
        <f>SUM(I890:I1002)</f>
        <v>67567.309999999983</v>
      </c>
      <c r="J1004" s="217">
        <f t="shared" si="24"/>
        <v>32443.969999999998</v>
      </c>
      <c r="K1004" s="217">
        <f t="shared" si="24"/>
        <v>22077.859999999997</v>
      </c>
      <c r="L1004" s="217">
        <f t="shared" si="24"/>
        <v>25741.58</v>
      </c>
      <c r="M1004" s="217">
        <f t="shared" si="24"/>
        <v>400438.92000000004</v>
      </c>
      <c r="N1004" s="217">
        <f t="shared" si="24"/>
        <v>50263.349999999991</v>
      </c>
      <c r="O1004" s="217">
        <f t="shared" si="24"/>
        <v>660397.02999999991</v>
      </c>
      <c r="P1004" s="217">
        <f t="shared" si="24"/>
        <v>477880.73000000004</v>
      </c>
      <c r="Q1004" s="217">
        <f>SUM(Q890:Q1002)</f>
        <v>978663.98000000021</v>
      </c>
      <c r="R1004" s="217">
        <f t="shared" ref="R1004:AH1004" si="25">SUM(R890:R1002)</f>
        <v>114273.95</v>
      </c>
      <c r="S1004" s="217">
        <f t="shared" si="25"/>
        <v>390769.64999999997</v>
      </c>
      <c r="T1004" s="217">
        <f t="shared" si="25"/>
        <v>31644.519999999997</v>
      </c>
      <c r="U1004" s="217">
        <f t="shared" si="25"/>
        <v>27717.779999999995</v>
      </c>
      <c r="V1004" s="217">
        <f t="shared" si="25"/>
        <v>29489.399999999998</v>
      </c>
      <c r="W1004" s="217">
        <f t="shared" si="25"/>
        <v>15397.939999999999</v>
      </c>
      <c r="X1004" s="217">
        <f t="shared" si="25"/>
        <v>19046.669999999998</v>
      </c>
      <c r="Y1004" s="217">
        <f t="shared" si="25"/>
        <v>15462.160000000002</v>
      </c>
      <c r="Z1004" s="217">
        <f t="shared" si="25"/>
        <v>7995.01</v>
      </c>
      <c r="AA1004" s="217">
        <f t="shared" si="25"/>
        <v>12099.51</v>
      </c>
      <c r="AB1004" s="217">
        <f t="shared" si="25"/>
        <v>41234</v>
      </c>
      <c r="AC1004" s="217">
        <f t="shared" si="25"/>
        <v>30976.68</v>
      </c>
      <c r="AD1004" s="217">
        <f t="shared" si="25"/>
        <v>0</v>
      </c>
      <c r="AE1004" s="217">
        <f t="shared" si="25"/>
        <v>747768.19000000006</v>
      </c>
      <c r="AF1004" s="217">
        <f t="shared" si="25"/>
        <v>10820.94</v>
      </c>
      <c r="AG1004" s="217">
        <f t="shared" si="25"/>
        <v>42489.39</v>
      </c>
      <c r="AH1004" s="217">
        <f t="shared" si="25"/>
        <v>0</v>
      </c>
      <c r="AI1004" s="575">
        <f>SUM(AI890:AI1003)</f>
        <v>10307078.92</v>
      </c>
      <c r="AJ1004" s="212"/>
    </row>
    <row r="1005" spans="2:36" ht="14.4">
      <c r="B1005" s="218"/>
      <c r="C1005" s="219"/>
      <c r="D1005" s="219"/>
      <c r="E1005" s="219"/>
      <c r="F1005" s="219"/>
      <c r="G1005" s="219"/>
      <c r="H1005" s="219"/>
      <c r="I1005" s="219"/>
      <c r="J1005" s="219"/>
      <c r="K1005" s="219"/>
      <c r="L1005" s="219"/>
      <c r="M1005" s="219"/>
      <c r="N1005" s="219"/>
      <c r="O1005" s="219"/>
      <c r="P1005" s="219"/>
      <c r="Q1005" s="219"/>
      <c r="R1005" s="219"/>
      <c r="S1005" s="219"/>
      <c r="T1005" s="219"/>
      <c r="U1005" s="219"/>
      <c r="V1005" s="219"/>
      <c r="W1005" s="219"/>
      <c r="X1005" s="219"/>
      <c r="Y1005" s="219"/>
      <c r="Z1005" s="219"/>
      <c r="AA1005" s="219"/>
      <c r="AB1005" s="219"/>
      <c r="AC1005" s="219"/>
      <c r="AD1005" s="219"/>
      <c r="AE1005" s="219"/>
      <c r="AF1005" s="219"/>
      <c r="AG1005" s="219"/>
      <c r="AH1005" s="219"/>
      <c r="AI1005" s="576"/>
      <c r="AJ1005" s="212"/>
    </row>
    <row r="1006" spans="2:36" ht="14.4">
      <c r="B1006" s="209"/>
      <c r="C1006" s="202"/>
      <c r="D1006" s="202"/>
      <c r="E1006" s="202"/>
      <c r="F1006" s="202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2"/>
      <c r="V1006" s="202"/>
      <c r="W1006" s="202"/>
      <c r="X1006" s="202"/>
      <c r="Y1006" s="202"/>
      <c r="Z1006" s="202"/>
      <c r="AA1006" s="202"/>
      <c r="AB1006" s="202"/>
      <c r="AC1006" s="202"/>
      <c r="AD1006" s="202"/>
      <c r="AE1006" s="202"/>
      <c r="AF1006" s="202"/>
      <c r="AG1006" s="202"/>
      <c r="AH1006" s="202"/>
      <c r="AI1006" s="577"/>
      <c r="AJ1006" s="209"/>
    </row>
    <row r="1007" spans="2:36" ht="14.4">
      <c r="B1007" s="220"/>
      <c r="C1007" s="221"/>
      <c r="D1007" s="221"/>
      <c r="E1007" s="221"/>
      <c r="F1007" s="221"/>
      <c r="G1007" s="221"/>
      <c r="H1007" s="221"/>
      <c r="I1007" s="221"/>
      <c r="J1007" s="221"/>
      <c r="K1007" s="221"/>
      <c r="L1007" s="221"/>
      <c r="M1007" s="221"/>
      <c r="N1007" s="221"/>
      <c r="O1007" s="221"/>
      <c r="P1007" s="221"/>
      <c r="Q1007" s="221"/>
      <c r="R1007" s="221"/>
      <c r="S1007" s="221"/>
      <c r="T1007" s="221"/>
      <c r="U1007" s="221"/>
      <c r="V1007" s="221"/>
      <c r="W1007" s="221"/>
      <c r="X1007" s="221"/>
      <c r="Y1007" s="221"/>
      <c r="Z1007" s="221"/>
      <c r="AA1007" s="221"/>
      <c r="AB1007" s="221"/>
      <c r="AC1007" s="221"/>
      <c r="AD1007" s="221"/>
      <c r="AE1007" s="221"/>
      <c r="AF1007" s="221"/>
      <c r="AG1007" s="221"/>
      <c r="AH1007" s="221"/>
      <c r="AI1007" s="578"/>
      <c r="AJ1007" s="222"/>
    </row>
    <row r="1011" spans="1:36">
      <c r="A1011" s="202"/>
    </row>
    <row r="1012" spans="1:36" ht="21">
      <c r="A1012" s="203"/>
      <c r="B1012" s="204"/>
      <c r="C1012" s="116" t="s">
        <v>272</v>
      </c>
      <c r="D1012" s="117"/>
      <c r="E1012" s="117"/>
      <c r="F1012" s="117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7"/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  <c r="AA1012" s="117"/>
      <c r="AB1012" s="117"/>
      <c r="AC1012" s="117"/>
      <c r="AD1012" s="117"/>
      <c r="AE1012" s="117"/>
      <c r="AF1012" s="117"/>
      <c r="AG1012" s="117"/>
      <c r="AH1012" s="117"/>
      <c r="AI1012" s="570"/>
      <c r="AJ1012" s="117"/>
    </row>
    <row r="1013" spans="1:36" ht="21">
      <c r="A1013" s="206"/>
      <c r="B1013" s="207"/>
      <c r="C1013" s="119"/>
      <c r="D1013" s="120"/>
      <c r="E1013" s="634"/>
      <c r="F1013" s="634"/>
      <c r="G1013" s="634"/>
      <c r="H1013" s="634"/>
      <c r="I1013" s="634"/>
      <c r="J1013" s="634"/>
      <c r="K1013" s="120"/>
      <c r="L1013" s="120"/>
      <c r="M1013" s="120"/>
      <c r="N1013" s="634" t="s">
        <v>397</v>
      </c>
      <c r="O1013" s="634"/>
      <c r="P1013" s="634"/>
      <c r="Q1013" s="634"/>
      <c r="R1013" s="634"/>
      <c r="S1013" s="634"/>
      <c r="T1013" s="634"/>
      <c r="U1013" s="634"/>
      <c r="V1013" s="634"/>
      <c r="W1013" s="634"/>
      <c r="X1013" s="634"/>
      <c r="Y1013" s="634"/>
      <c r="Z1013" s="634"/>
      <c r="AA1013" s="120"/>
      <c r="AB1013" s="120"/>
      <c r="AC1013" s="120"/>
      <c r="AD1013" s="120"/>
      <c r="AE1013" s="120"/>
      <c r="AF1013" s="120"/>
      <c r="AG1013" s="120"/>
      <c r="AH1013" s="120"/>
      <c r="AI1013" s="571"/>
      <c r="AJ1013" s="120"/>
    </row>
    <row r="1014" spans="1:36" ht="14.4">
      <c r="A1014" s="205"/>
    </row>
    <row r="1015" spans="1:36" ht="14.4">
      <c r="B1015" s="208"/>
      <c r="C1015" s="209"/>
      <c r="D1015" s="209"/>
      <c r="E1015" s="209"/>
      <c r="F1015" s="209"/>
      <c r="G1015" s="209"/>
      <c r="H1015" s="209"/>
      <c r="I1015" s="209"/>
      <c r="J1015" s="209"/>
      <c r="K1015" s="209"/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09"/>
      <c r="Z1015" s="209"/>
      <c r="AA1015" s="209"/>
      <c r="AB1015" s="209"/>
      <c r="AC1015" s="209"/>
      <c r="AD1015" s="209"/>
      <c r="AE1015" s="209"/>
      <c r="AF1015" s="209"/>
      <c r="AG1015" s="209"/>
      <c r="AH1015" s="209"/>
      <c r="AI1015" s="573"/>
      <c r="AJ1015" s="210"/>
    </row>
    <row r="1016" spans="1:36" ht="14.4">
      <c r="B1016" s="211"/>
      <c r="C1016" s="133" t="s">
        <v>264</v>
      </c>
      <c r="D1016" s="126" t="s">
        <v>184</v>
      </c>
      <c r="E1016" s="201" t="s">
        <v>36</v>
      </c>
      <c r="F1016" s="201" t="s">
        <v>9</v>
      </c>
      <c r="G1016" s="201" t="s">
        <v>25</v>
      </c>
      <c r="H1016" s="201" t="s">
        <v>160</v>
      </c>
      <c r="I1016" s="201" t="s">
        <v>139</v>
      </c>
      <c r="J1016" s="201" t="s">
        <v>37</v>
      </c>
      <c r="K1016" s="201" t="s">
        <v>133</v>
      </c>
      <c r="L1016" s="201" t="s">
        <v>123</v>
      </c>
      <c r="M1016" s="201" t="s">
        <v>145</v>
      </c>
      <c r="N1016" s="201" t="s">
        <v>124</v>
      </c>
      <c r="O1016" s="201" t="s">
        <v>169</v>
      </c>
      <c r="P1016" s="201" t="s">
        <v>243</v>
      </c>
      <c r="Q1016" s="201" t="s">
        <v>175</v>
      </c>
      <c r="R1016" s="201" t="s">
        <v>170</v>
      </c>
      <c r="S1016" s="201" t="s">
        <v>203</v>
      </c>
      <c r="T1016" s="201" t="s">
        <v>172</v>
      </c>
      <c r="U1016" s="201" t="s">
        <v>176</v>
      </c>
      <c r="V1016" s="201" t="s">
        <v>177</v>
      </c>
      <c r="W1016" s="201" t="s">
        <v>178</v>
      </c>
      <c r="X1016" s="201" t="s">
        <v>179</v>
      </c>
      <c r="Y1016" s="201" t="s">
        <v>181</v>
      </c>
      <c r="Z1016" s="201" t="s">
        <v>182</v>
      </c>
      <c r="AA1016" s="201" t="s">
        <v>187</v>
      </c>
      <c r="AB1016" s="201" t="s">
        <v>233</v>
      </c>
      <c r="AC1016" s="201" t="s">
        <v>240</v>
      </c>
      <c r="AD1016" s="201" t="s">
        <v>245</v>
      </c>
      <c r="AE1016" s="201" t="s">
        <v>357</v>
      </c>
      <c r="AF1016" s="201" t="s">
        <v>362</v>
      </c>
      <c r="AG1016" s="201" t="s">
        <v>361</v>
      </c>
      <c r="AH1016" s="201" t="s">
        <v>234</v>
      </c>
      <c r="AI1016" s="568" t="s">
        <v>239</v>
      </c>
      <c r="AJ1016" s="212"/>
    </row>
    <row r="1017" spans="1:36" ht="14.4">
      <c r="B1017" s="211"/>
      <c r="C1017" s="213" t="s">
        <v>40</v>
      </c>
      <c r="D1017" s="214">
        <v>1184810.3999999999</v>
      </c>
      <c r="E1017" s="214">
        <v>0</v>
      </c>
      <c r="F1017" s="214">
        <v>0</v>
      </c>
      <c r="G1017" s="214">
        <v>0</v>
      </c>
      <c r="H1017" s="214">
        <v>0</v>
      </c>
      <c r="I1017" s="214">
        <v>0</v>
      </c>
      <c r="J1017" s="214">
        <v>0</v>
      </c>
      <c r="K1017" s="214">
        <v>0</v>
      </c>
      <c r="L1017" s="214">
        <v>0</v>
      </c>
      <c r="M1017" s="214">
        <v>0</v>
      </c>
      <c r="N1017" s="214">
        <v>0</v>
      </c>
      <c r="O1017" s="214">
        <v>0</v>
      </c>
      <c r="P1017" s="214">
        <v>0</v>
      </c>
      <c r="Q1017" s="214">
        <v>0</v>
      </c>
      <c r="R1017" s="214">
        <v>0</v>
      </c>
      <c r="S1017" s="214">
        <v>0</v>
      </c>
      <c r="T1017" s="214">
        <v>0</v>
      </c>
      <c r="U1017" s="214">
        <v>0</v>
      </c>
      <c r="V1017" s="214">
        <v>0</v>
      </c>
      <c r="W1017" s="214">
        <v>0</v>
      </c>
      <c r="X1017" s="214">
        <v>0</v>
      </c>
      <c r="Y1017" s="214">
        <v>0</v>
      </c>
      <c r="Z1017" s="214">
        <v>0</v>
      </c>
      <c r="AA1017" s="214">
        <v>0</v>
      </c>
      <c r="AB1017" s="214">
        <v>0</v>
      </c>
      <c r="AC1017" s="214">
        <v>0</v>
      </c>
      <c r="AD1017" s="215"/>
      <c r="AE1017" s="420">
        <v>0</v>
      </c>
      <c r="AF1017" s="420">
        <v>0</v>
      </c>
      <c r="AG1017" s="420">
        <v>0</v>
      </c>
      <c r="AH1017" s="420"/>
      <c r="AI1017" s="574">
        <f>SUM(D1017:AH1017)</f>
        <v>1184810.3999999999</v>
      </c>
      <c r="AJ1017" s="212"/>
    </row>
    <row r="1018" spans="1:36" ht="14.4">
      <c r="B1018" s="211"/>
      <c r="C1018" s="213" t="s">
        <v>41</v>
      </c>
      <c r="D1018" s="214"/>
      <c r="E1018" s="214">
        <v>366497.25</v>
      </c>
      <c r="F1018" s="214">
        <v>354970.67</v>
      </c>
      <c r="G1018" s="214">
        <v>248712.66999999998</v>
      </c>
      <c r="H1018" s="214">
        <v>441099.77</v>
      </c>
      <c r="I1018" s="214">
        <v>36645.910000000003</v>
      </c>
      <c r="J1018" s="214">
        <v>20122.419999999998</v>
      </c>
      <c r="K1018" s="214">
        <v>15390.5</v>
      </c>
      <c r="L1018" s="214">
        <v>18081.86</v>
      </c>
      <c r="M1018" s="214">
        <v>208408.04</v>
      </c>
      <c r="N1018" s="214">
        <v>33498.559999999998</v>
      </c>
      <c r="O1018" s="214">
        <v>333055.33999999997</v>
      </c>
      <c r="P1018" s="214">
        <v>243267.19999999998</v>
      </c>
      <c r="Q1018" s="214">
        <v>453552.97</v>
      </c>
      <c r="R1018" s="214">
        <v>35266.910000000003</v>
      </c>
      <c r="S1018" s="214">
        <v>187903.08999999997</v>
      </c>
      <c r="T1018" s="214">
        <v>23414.34</v>
      </c>
      <c r="U1018" s="214">
        <v>18809.699999999997</v>
      </c>
      <c r="V1018" s="214">
        <v>23477.5</v>
      </c>
      <c r="W1018" s="214">
        <v>7507.4</v>
      </c>
      <c r="X1018" s="214">
        <v>11460.880000000001</v>
      </c>
      <c r="Y1018" s="214">
        <v>10839.02</v>
      </c>
      <c r="Z1018" s="214">
        <v>6886.1</v>
      </c>
      <c r="AA1018" s="214">
        <v>8900</v>
      </c>
      <c r="AB1018" s="214">
        <v>32484.949999999997</v>
      </c>
      <c r="AC1018" s="214">
        <v>20333.11</v>
      </c>
      <c r="AD1018" s="215"/>
      <c r="AE1018" s="420">
        <v>326394.56</v>
      </c>
      <c r="AF1018" s="420">
        <v>6398.34</v>
      </c>
      <c r="AG1018" s="420">
        <v>45406.65</v>
      </c>
      <c r="AH1018" s="420">
        <v>0</v>
      </c>
      <c r="AI1018" s="574">
        <f t="shared" ref="AI1018:AI1081" si="26">SUM(D1018:AH1018)</f>
        <v>3538785.71</v>
      </c>
      <c r="AJ1018" s="212"/>
    </row>
    <row r="1019" spans="1:36" ht="14.4">
      <c r="B1019" s="211"/>
      <c r="C1019" s="213" t="s">
        <v>26</v>
      </c>
      <c r="D1019" s="214">
        <v>11244</v>
      </c>
      <c r="E1019" s="214">
        <v>8346</v>
      </c>
      <c r="F1019" s="214">
        <v>7090</v>
      </c>
      <c r="G1019" s="214">
        <v>10650</v>
      </c>
      <c r="H1019" s="214">
        <v>12116</v>
      </c>
      <c r="I1019" s="214">
        <v>0</v>
      </c>
      <c r="J1019" s="214">
        <v>0</v>
      </c>
      <c r="K1019" s="214">
        <v>0</v>
      </c>
      <c r="L1019" s="214">
        <v>0</v>
      </c>
      <c r="M1019" s="214">
        <v>10000</v>
      </c>
      <c r="N1019" s="214">
        <v>0</v>
      </c>
      <c r="O1019" s="214">
        <v>3000</v>
      </c>
      <c r="P1019" s="214">
        <v>7505</v>
      </c>
      <c r="Q1019" s="214">
        <v>27561</v>
      </c>
      <c r="R1019" s="214">
        <v>4200</v>
      </c>
      <c r="S1019" s="214">
        <v>5925</v>
      </c>
      <c r="T1019" s="214">
        <v>0</v>
      </c>
      <c r="U1019" s="214">
        <v>0</v>
      </c>
      <c r="V1019" s="214">
        <v>0</v>
      </c>
      <c r="W1019" s="214">
        <v>0</v>
      </c>
      <c r="X1019" s="214">
        <v>0</v>
      </c>
      <c r="Y1019" s="214">
        <v>0</v>
      </c>
      <c r="Z1019" s="214">
        <v>0</v>
      </c>
      <c r="AA1019" s="214">
        <v>0</v>
      </c>
      <c r="AB1019" s="214">
        <v>0</v>
      </c>
      <c r="AC1019" s="214">
        <v>0</v>
      </c>
      <c r="AD1019" s="215"/>
      <c r="AE1019" s="420">
        <v>4420</v>
      </c>
      <c r="AF1019" s="420">
        <v>0</v>
      </c>
      <c r="AG1019" s="420">
        <v>0</v>
      </c>
      <c r="AH1019" s="420"/>
      <c r="AI1019" s="574">
        <f t="shared" si="26"/>
        <v>112057</v>
      </c>
      <c r="AJ1019" s="212"/>
    </row>
    <row r="1020" spans="1:36" ht="14.4">
      <c r="B1020" s="211"/>
      <c r="C1020" s="213" t="s">
        <v>27</v>
      </c>
      <c r="D1020" s="214">
        <v>0</v>
      </c>
      <c r="E1020" s="214">
        <v>490</v>
      </c>
      <c r="F1020" s="214">
        <v>0</v>
      </c>
      <c r="G1020" s="214">
        <v>0</v>
      </c>
      <c r="H1020" s="214">
        <v>3245</v>
      </c>
      <c r="I1020" s="214">
        <v>0</v>
      </c>
      <c r="J1020" s="214">
        <v>0</v>
      </c>
      <c r="K1020" s="214">
        <v>0</v>
      </c>
      <c r="L1020" s="214">
        <v>0</v>
      </c>
      <c r="M1020" s="214">
        <v>0</v>
      </c>
      <c r="N1020" s="214">
        <v>0</v>
      </c>
      <c r="O1020" s="214">
        <v>202</v>
      </c>
      <c r="P1020" s="214">
        <v>0</v>
      </c>
      <c r="Q1020" s="214">
        <v>0</v>
      </c>
      <c r="R1020" s="214">
        <v>0</v>
      </c>
      <c r="S1020" s="214">
        <v>0</v>
      </c>
      <c r="T1020" s="214">
        <v>0</v>
      </c>
      <c r="U1020" s="214">
        <v>0</v>
      </c>
      <c r="V1020" s="214">
        <v>0</v>
      </c>
      <c r="W1020" s="214">
        <v>0</v>
      </c>
      <c r="X1020" s="214">
        <v>0</v>
      </c>
      <c r="Y1020" s="214">
        <v>0</v>
      </c>
      <c r="Z1020" s="214">
        <v>0</v>
      </c>
      <c r="AA1020" s="214">
        <v>0</v>
      </c>
      <c r="AB1020" s="214">
        <v>0</v>
      </c>
      <c r="AC1020" s="214">
        <v>0</v>
      </c>
      <c r="AD1020" s="215"/>
      <c r="AE1020" s="420">
        <v>450</v>
      </c>
      <c r="AF1020" s="420">
        <v>0</v>
      </c>
      <c r="AG1020" s="420">
        <v>0</v>
      </c>
      <c r="AH1020" s="420"/>
      <c r="AI1020" s="574">
        <f t="shared" si="26"/>
        <v>4387</v>
      </c>
      <c r="AJ1020" s="212"/>
    </row>
    <row r="1021" spans="1:36" ht="14.4">
      <c r="B1021" s="211"/>
      <c r="C1021" s="213" t="s">
        <v>42</v>
      </c>
      <c r="D1021" s="214">
        <v>0</v>
      </c>
      <c r="E1021" s="214">
        <v>0</v>
      </c>
      <c r="F1021" s="214">
        <v>0</v>
      </c>
      <c r="G1021" s="214">
        <v>0</v>
      </c>
      <c r="H1021" s="214">
        <v>0</v>
      </c>
      <c r="I1021" s="214">
        <v>0</v>
      </c>
      <c r="J1021" s="214">
        <v>0</v>
      </c>
      <c r="K1021" s="214">
        <v>0</v>
      </c>
      <c r="L1021" s="214">
        <v>0</v>
      </c>
      <c r="M1021" s="214">
        <v>0</v>
      </c>
      <c r="N1021" s="214">
        <v>0</v>
      </c>
      <c r="O1021" s="214">
        <v>0</v>
      </c>
      <c r="P1021" s="214">
        <v>0</v>
      </c>
      <c r="Q1021" s="214">
        <v>0</v>
      </c>
      <c r="R1021" s="214">
        <v>0</v>
      </c>
      <c r="S1021" s="214">
        <v>0</v>
      </c>
      <c r="T1021" s="214">
        <v>0</v>
      </c>
      <c r="U1021" s="214">
        <v>0</v>
      </c>
      <c r="V1021" s="214">
        <v>0</v>
      </c>
      <c r="W1021" s="214">
        <v>0</v>
      </c>
      <c r="X1021" s="214">
        <v>0</v>
      </c>
      <c r="Y1021" s="214">
        <v>0</v>
      </c>
      <c r="Z1021" s="214">
        <v>0</v>
      </c>
      <c r="AA1021" s="214">
        <v>0</v>
      </c>
      <c r="AB1021" s="214">
        <v>0</v>
      </c>
      <c r="AC1021" s="214">
        <v>0</v>
      </c>
      <c r="AD1021" s="215"/>
      <c r="AE1021" s="420">
        <v>0</v>
      </c>
      <c r="AF1021" s="420">
        <v>0</v>
      </c>
      <c r="AG1021" s="420">
        <v>0</v>
      </c>
      <c r="AH1021" s="420"/>
      <c r="AI1021" s="574">
        <f t="shared" si="26"/>
        <v>0</v>
      </c>
      <c r="AJ1021" s="212"/>
    </row>
    <row r="1022" spans="1:36" ht="14.4">
      <c r="B1022" s="211"/>
      <c r="C1022" s="213" t="s">
        <v>43</v>
      </c>
      <c r="D1022" s="214">
        <v>0</v>
      </c>
      <c r="E1022" s="214">
        <v>100000</v>
      </c>
      <c r="F1022" s="214">
        <v>100000</v>
      </c>
      <c r="G1022" s="214">
        <v>100000</v>
      </c>
      <c r="H1022" s="214">
        <v>0</v>
      </c>
      <c r="I1022" s="214">
        <v>0</v>
      </c>
      <c r="J1022" s="214">
        <v>0</v>
      </c>
      <c r="K1022" s="214">
        <v>0</v>
      </c>
      <c r="L1022" s="214">
        <v>0</v>
      </c>
      <c r="M1022" s="214">
        <v>0</v>
      </c>
      <c r="N1022" s="214">
        <v>0</v>
      </c>
      <c r="O1022" s="214">
        <v>0</v>
      </c>
      <c r="P1022" s="214">
        <v>0</v>
      </c>
      <c r="Q1022" s="214">
        <v>0</v>
      </c>
      <c r="R1022" s="214">
        <v>0</v>
      </c>
      <c r="S1022" s="214">
        <v>0</v>
      </c>
      <c r="T1022" s="214">
        <v>0</v>
      </c>
      <c r="U1022" s="214">
        <v>0</v>
      </c>
      <c r="V1022" s="214">
        <v>0</v>
      </c>
      <c r="W1022" s="214">
        <v>0</v>
      </c>
      <c r="X1022" s="214">
        <v>0</v>
      </c>
      <c r="Y1022" s="214">
        <v>0</v>
      </c>
      <c r="Z1022" s="214">
        <v>0</v>
      </c>
      <c r="AA1022" s="214">
        <v>0</v>
      </c>
      <c r="AB1022" s="214">
        <v>0</v>
      </c>
      <c r="AC1022" s="214">
        <v>0</v>
      </c>
      <c r="AD1022" s="215"/>
      <c r="AE1022" s="420">
        <v>0</v>
      </c>
      <c r="AF1022" s="420">
        <v>0</v>
      </c>
      <c r="AG1022" s="420">
        <v>0</v>
      </c>
      <c r="AH1022" s="420"/>
      <c r="AI1022" s="574">
        <f t="shared" si="26"/>
        <v>300000</v>
      </c>
      <c r="AJ1022" s="212"/>
    </row>
    <row r="1023" spans="1:36" ht="14.4">
      <c r="B1023" s="211"/>
      <c r="C1023" s="213" t="s">
        <v>44</v>
      </c>
      <c r="D1023" s="214">
        <v>100000</v>
      </c>
      <c r="E1023" s="214">
        <v>0</v>
      </c>
      <c r="F1023" s="214">
        <v>0</v>
      </c>
      <c r="G1023" s="214">
        <v>0</v>
      </c>
      <c r="H1023" s="214">
        <v>0</v>
      </c>
      <c r="I1023" s="214">
        <v>0</v>
      </c>
      <c r="J1023" s="214">
        <v>0</v>
      </c>
      <c r="K1023" s="214">
        <v>0</v>
      </c>
      <c r="L1023" s="214">
        <v>0</v>
      </c>
      <c r="M1023" s="214">
        <v>0</v>
      </c>
      <c r="N1023" s="214">
        <v>0</v>
      </c>
      <c r="O1023" s="214">
        <v>0</v>
      </c>
      <c r="P1023" s="214">
        <v>0</v>
      </c>
      <c r="Q1023" s="214">
        <v>0</v>
      </c>
      <c r="R1023" s="214">
        <v>0</v>
      </c>
      <c r="S1023" s="214">
        <v>0</v>
      </c>
      <c r="T1023" s="214">
        <v>0</v>
      </c>
      <c r="U1023" s="214">
        <v>0</v>
      </c>
      <c r="V1023" s="214">
        <v>0</v>
      </c>
      <c r="W1023" s="214">
        <v>0</v>
      </c>
      <c r="X1023" s="214">
        <v>0</v>
      </c>
      <c r="Y1023" s="214">
        <v>0</v>
      </c>
      <c r="Z1023" s="214">
        <v>0</v>
      </c>
      <c r="AA1023" s="214">
        <v>0</v>
      </c>
      <c r="AB1023" s="214">
        <v>0</v>
      </c>
      <c r="AC1023" s="214">
        <v>0</v>
      </c>
      <c r="AD1023" s="215"/>
      <c r="AE1023" s="420">
        <v>0</v>
      </c>
      <c r="AF1023" s="420">
        <v>0</v>
      </c>
      <c r="AG1023" s="420">
        <v>0</v>
      </c>
      <c r="AH1023" s="420"/>
      <c r="AI1023" s="574">
        <f t="shared" si="26"/>
        <v>100000</v>
      </c>
      <c r="AJ1023" s="212"/>
    </row>
    <row r="1024" spans="1:36" ht="14.4">
      <c r="B1024" s="211"/>
      <c r="C1024" s="213" t="s">
        <v>45</v>
      </c>
      <c r="D1024" s="214">
        <v>43220</v>
      </c>
      <c r="E1024" s="214">
        <v>0</v>
      </c>
      <c r="F1024" s="214">
        <v>26200</v>
      </c>
      <c r="G1024" s="214">
        <v>0</v>
      </c>
      <c r="H1024" s="214">
        <v>35500</v>
      </c>
      <c r="I1024" s="214">
        <v>0</v>
      </c>
      <c r="J1024" s="214">
        <v>0</v>
      </c>
      <c r="K1024" s="214">
        <v>0</v>
      </c>
      <c r="L1024" s="214">
        <v>0</v>
      </c>
      <c r="M1024" s="214">
        <v>16000</v>
      </c>
      <c r="N1024" s="214">
        <v>13200</v>
      </c>
      <c r="O1024" s="214">
        <v>24025</v>
      </c>
      <c r="P1024" s="214">
        <v>20700</v>
      </c>
      <c r="Q1024" s="214">
        <v>108586</v>
      </c>
      <c r="R1024" s="214">
        <v>23420</v>
      </c>
      <c r="S1024" s="214">
        <v>50620</v>
      </c>
      <c r="T1024" s="214">
        <v>0</v>
      </c>
      <c r="U1024" s="214">
        <v>0</v>
      </c>
      <c r="V1024" s="214">
        <v>0</v>
      </c>
      <c r="W1024" s="214">
        <v>0</v>
      </c>
      <c r="X1024" s="214">
        <v>0</v>
      </c>
      <c r="Y1024" s="214">
        <v>0</v>
      </c>
      <c r="Z1024" s="214">
        <v>0</v>
      </c>
      <c r="AA1024" s="214">
        <v>0</v>
      </c>
      <c r="AB1024" s="214">
        <v>0</v>
      </c>
      <c r="AC1024" s="214">
        <v>0</v>
      </c>
      <c r="AD1024" s="215"/>
      <c r="AE1024" s="420">
        <v>44025</v>
      </c>
      <c r="AF1024" s="420">
        <v>0</v>
      </c>
      <c r="AG1024" s="420">
        <v>0</v>
      </c>
      <c r="AH1024" s="420"/>
      <c r="AI1024" s="574">
        <f t="shared" si="26"/>
        <v>405496</v>
      </c>
      <c r="AJ1024" s="212"/>
    </row>
    <row r="1025" spans="2:36" ht="14.4">
      <c r="B1025" s="211"/>
      <c r="C1025" s="213" t="s">
        <v>156</v>
      </c>
      <c r="D1025" s="214">
        <v>1000</v>
      </c>
      <c r="E1025" s="214">
        <v>80</v>
      </c>
      <c r="F1025" s="214">
        <v>40</v>
      </c>
      <c r="G1025" s="214">
        <v>0</v>
      </c>
      <c r="H1025" s="214">
        <v>0</v>
      </c>
      <c r="I1025" s="214">
        <v>0</v>
      </c>
      <c r="J1025" s="214">
        <v>0</v>
      </c>
      <c r="K1025" s="214">
        <v>0</v>
      </c>
      <c r="L1025" s="214">
        <v>0</v>
      </c>
      <c r="M1025" s="214">
        <v>0</v>
      </c>
      <c r="N1025" s="214">
        <v>0</v>
      </c>
      <c r="O1025" s="214">
        <v>0</v>
      </c>
      <c r="P1025" s="214">
        <v>0</v>
      </c>
      <c r="Q1025" s="214">
        <v>135</v>
      </c>
      <c r="R1025" s="214">
        <v>0</v>
      </c>
      <c r="S1025" s="214">
        <v>0</v>
      </c>
      <c r="T1025" s="214">
        <v>0</v>
      </c>
      <c r="U1025" s="214">
        <v>0</v>
      </c>
      <c r="V1025" s="214">
        <v>0</v>
      </c>
      <c r="W1025" s="214">
        <v>0</v>
      </c>
      <c r="X1025" s="214">
        <v>0</v>
      </c>
      <c r="Y1025" s="214">
        <v>0</v>
      </c>
      <c r="Z1025" s="214">
        <v>0</v>
      </c>
      <c r="AA1025" s="214">
        <v>0</v>
      </c>
      <c r="AB1025" s="214">
        <v>0</v>
      </c>
      <c r="AC1025" s="214">
        <v>0</v>
      </c>
      <c r="AD1025" s="215"/>
      <c r="AE1025" s="420">
        <v>180</v>
      </c>
      <c r="AF1025" s="420">
        <v>0</v>
      </c>
      <c r="AG1025" s="420">
        <v>0</v>
      </c>
      <c r="AH1025" s="420"/>
      <c r="AI1025" s="574">
        <f t="shared" si="26"/>
        <v>1435</v>
      </c>
      <c r="AJ1025" s="212"/>
    </row>
    <row r="1026" spans="2:36" ht="14.4">
      <c r="B1026" s="211"/>
      <c r="C1026" s="213" t="s">
        <v>46</v>
      </c>
      <c r="D1026" s="214">
        <v>12138.8</v>
      </c>
      <c r="E1026" s="214">
        <v>871.98</v>
      </c>
      <c r="F1026" s="214">
        <v>160</v>
      </c>
      <c r="G1026" s="214">
        <v>444.46</v>
      </c>
      <c r="H1026" s="214">
        <v>147.13</v>
      </c>
      <c r="I1026" s="214">
        <v>84.95</v>
      </c>
      <c r="J1026" s="214">
        <v>50.97</v>
      </c>
      <c r="K1026" s="214">
        <v>523.88</v>
      </c>
      <c r="L1026" s="214">
        <v>65.87</v>
      </c>
      <c r="M1026" s="214">
        <v>836.97</v>
      </c>
      <c r="N1026" s="214">
        <v>54.67</v>
      </c>
      <c r="O1026" s="214">
        <v>212.11</v>
      </c>
      <c r="P1026" s="214">
        <v>658.81</v>
      </c>
      <c r="Q1026" s="214">
        <v>348.43</v>
      </c>
      <c r="R1026" s="214">
        <v>65.87</v>
      </c>
      <c r="S1026" s="214">
        <v>711.1</v>
      </c>
      <c r="T1026" s="214">
        <v>0</v>
      </c>
      <c r="U1026" s="214">
        <v>168.67</v>
      </c>
      <c r="V1026" s="214">
        <v>0</v>
      </c>
      <c r="W1026" s="214">
        <v>65</v>
      </c>
      <c r="X1026" s="214">
        <v>168.67</v>
      </c>
      <c r="Y1026" s="214">
        <v>62.18</v>
      </c>
      <c r="Z1026" s="214">
        <v>57.87</v>
      </c>
      <c r="AA1026" s="214">
        <v>65.87</v>
      </c>
      <c r="AB1026" s="214">
        <v>68.33</v>
      </c>
      <c r="AC1026" s="214">
        <v>62.18</v>
      </c>
      <c r="AD1026" s="215"/>
      <c r="AE1026" s="420">
        <v>270.86</v>
      </c>
      <c r="AF1026" s="420">
        <v>0</v>
      </c>
      <c r="AG1026" s="420">
        <v>0</v>
      </c>
      <c r="AH1026" s="420"/>
      <c r="AI1026" s="574">
        <f t="shared" si="26"/>
        <v>18365.62999999999</v>
      </c>
      <c r="AJ1026" s="212"/>
    </row>
    <row r="1027" spans="2:36" ht="14.4">
      <c r="B1027" s="211"/>
      <c r="C1027" s="213" t="s">
        <v>47</v>
      </c>
      <c r="D1027" s="214">
        <v>0</v>
      </c>
      <c r="E1027" s="214">
        <v>0</v>
      </c>
      <c r="F1027" s="214">
        <v>0</v>
      </c>
      <c r="G1027" s="214">
        <v>0</v>
      </c>
      <c r="H1027" s="214">
        <v>0</v>
      </c>
      <c r="I1027" s="214">
        <v>0</v>
      </c>
      <c r="J1027" s="214">
        <v>0</v>
      </c>
      <c r="K1027" s="214">
        <v>0</v>
      </c>
      <c r="L1027" s="214">
        <v>0</v>
      </c>
      <c r="M1027" s="214">
        <v>0</v>
      </c>
      <c r="N1027" s="214">
        <v>0</v>
      </c>
      <c r="O1027" s="214">
        <v>0</v>
      </c>
      <c r="P1027" s="214">
        <v>0</v>
      </c>
      <c r="Q1027" s="214">
        <v>0</v>
      </c>
      <c r="R1027" s="214">
        <v>0</v>
      </c>
      <c r="S1027" s="214">
        <v>0</v>
      </c>
      <c r="T1027" s="214">
        <v>0</v>
      </c>
      <c r="U1027" s="214">
        <v>0</v>
      </c>
      <c r="V1027" s="214">
        <v>0</v>
      </c>
      <c r="W1027" s="214">
        <v>0</v>
      </c>
      <c r="X1027" s="214">
        <v>0</v>
      </c>
      <c r="Y1027" s="214">
        <v>0</v>
      </c>
      <c r="Z1027" s="214">
        <v>0</v>
      </c>
      <c r="AA1027" s="214">
        <v>0</v>
      </c>
      <c r="AB1027" s="214">
        <v>0</v>
      </c>
      <c r="AC1027" s="214">
        <v>0</v>
      </c>
      <c r="AD1027" s="215"/>
      <c r="AE1027" s="420">
        <v>0</v>
      </c>
      <c r="AF1027" s="420">
        <v>0</v>
      </c>
      <c r="AG1027" s="420">
        <v>0</v>
      </c>
      <c r="AH1027" s="420"/>
      <c r="AI1027" s="574">
        <f t="shared" si="26"/>
        <v>0</v>
      </c>
      <c r="AJ1027" s="212"/>
    </row>
    <row r="1028" spans="2:36" ht="14.4">
      <c r="B1028" s="211"/>
      <c r="C1028" s="213" t="s">
        <v>48</v>
      </c>
      <c r="D1028" s="214">
        <v>8555</v>
      </c>
      <c r="E1028" s="214">
        <v>500</v>
      </c>
      <c r="F1028" s="214">
        <v>500</v>
      </c>
      <c r="G1028" s="214">
        <v>0</v>
      </c>
      <c r="H1028" s="214">
        <v>0</v>
      </c>
      <c r="I1028" s="214">
        <v>0</v>
      </c>
      <c r="J1028" s="214">
        <v>0</v>
      </c>
      <c r="K1028" s="214">
        <v>0</v>
      </c>
      <c r="L1028" s="214">
        <v>0</v>
      </c>
      <c r="M1028" s="214">
        <v>0</v>
      </c>
      <c r="N1028" s="214">
        <v>0</v>
      </c>
      <c r="O1028" s="214">
        <v>0</v>
      </c>
      <c r="P1028" s="214">
        <v>0</v>
      </c>
      <c r="Q1028" s="214">
        <v>500</v>
      </c>
      <c r="R1028" s="214">
        <v>280</v>
      </c>
      <c r="S1028" s="214">
        <v>500</v>
      </c>
      <c r="T1028" s="214">
        <v>0</v>
      </c>
      <c r="U1028" s="214">
        <v>0</v>
      </c>
      <c r="V1028" s="214">
        <v>0</v>
      </c>
      <c r="W1028" s="214">
        <v>0</v>
      </c>
      <c r="X1028" s="214">
        <v>0</v>
      </c>
      <c r="Y1028" s="214">
        <v>0</v>
      </c>
      <c r="Z1028" s="214">
        <v>0</v>
      </c>
      <c r="AA1028" s="214">
        <v>0</v>
      </c>
      <c r="AB1028" s="214">
        <v>0</v>
      </c>
      <c r="AC1028" s="214">
        <v>0</v>
      </c>
      <c r="AD1028" s="215"/>
      <c r="AE1028" s="420">
        <v>500</v>
      </c>
      <c r="AF1028" s="420">
        <v>0</v>
      </c>
      <c r="AG1028" s="420">
        <v>0</v>
      </c>
      <c r="AH1028" s="420"/>
      <c r="AI1028" s="574">
        <f t="shared" si="26"/>
        <v>11335</v>
      </c>
      <c r="AJ1028" s="212"/>
    </row>
    <row r="1029" spans="2:36" ht="14.4">
      <c r="B1029" s="211"/>
      <c r="C1029" s="213" t="s">
        <v>49</v>
      </c>
      <c r="D1029" s="214">
        <v>31783</v>
      </c>
      <c r="E1029" s="214">
        <v>0</v>
      </c>
      <c r="F1029" s="214">
        <v>0</v>
      </c>
      <c r="G1029" s="214">
        <v>0</v>
      </c>
      <c r="H1029" s="214">
        <v>0</v>
      </c>
      <c r="I1029" s="214">
        <v>0</v>
      </c>
      <c r="J1029" s="214">
        <v>0</v>
      </c>
      <c r="K1029" s="214">
        <v>0</v>
      </c>
      <c r="L1029" s="214">
        <v>0</v>
      </c>
      <c r="M1029" s="214">
        <v>0</v>
      </c>
      <c r="N1029" s="214">
        <v>0</v>
      </c>
      <c r="O1029" s="214">
        <v>0</v>
      </c>
      <c r="P1029" s="214">
        <v>0</v>
      </c>
      <c r="Q1029" s="214">
        <v>0</v>
      </c>
      <c r="R1029" s="214">
        <v>0</v>
      </c>
      <c r="S1029" s="214">
        <v>0</v>
      </c>
      <c r="T1029" s="214">
        <v>0</v>
      </c>
      <c r="U1029" s="214">
        <v>0</v>
      </c>
      <c r="V1029" s="214">
        <v>0</v>
      </c>
      <c r="W1029" s="214">
        <v>0</v>
      </c>
      <c r="X1029" s="214">
        <v>0</v>
      </c>
      <c r="Y1029" s="214">
        <v>0</v>
      </c>
      <c r="Z1029" s="214">
        <v>0</v>
      </c>
      <c r="AA1029" s="214">
        <v>0</v>
      </c>
      <c r="AB1029" s="214">
        <v>0</v>
      </c>
      <c r="AC1029" s="214">
        <v>0</v>
      </c>
      <c r="AD1029" s="215"/>
      <c r="AE1029" s="420">
        <v>0</v>
      </c>
      <c r="AF1029" s="420">
        <v>0</v>
      </c>
      <c r="AG1029" s="420">
        <v>0</v>
      </c>
      <c r="AH1029" s="420"/>
      <c r="AI1029" s="574">
        <f t="shared" si="26"/>
        <v>31783</v>
      </c>
      <c r="AJ1029" s="212"/>
    </row>
    <row r="1030" spans="2:36" ht="14.4">
      <c r="B1030" s="211"/>
      <c r="C1030" s="213" t="s">
        <v>158</v>
      </c>
      <c r="D1030" s="214">
        <v>460</v>
      </c>
      <c r="E1030" s="214">
        <v>2500</v>
      </c>
      <c r="F1030" s="214">
        <v>1150</v>
      </c>
      <c r="G1030" s="214">
        <v>2650</v>
      </c>
      <c r="H1030" s="214">
        <v>0</v>
      </c>
      <c r="I1030" s="214">
        <v>0</v>
      </c>
      <c r="J1030" s="214">
        <v>0</v>
      </c>
      <c r="K1030" s="214">
        <v>0</v>
      </c>
      <c r="L1030" s="214">
        <v>0</v>
      </c>
      <c r="M1030" s="214">
        <v>0</v>
      </c>
      <c r="N1030" s="214">
        <v>0</v>
      </c>
      <c r="O1030" s="214">
        <v>0</v>
      </c>
      <c r="P1030" s="214">
        <v>0</v>
      </c>
      <c r="Q1030" s="214">
        <v>1150</v>
      </c>
      <c r="R1030" s="214">
        <v>0</v>
      </c>
      <c r="S1030" s="214">
        <v>0</v>
      </c>
      <c r="T1030" s="214">
        <v>0</v>
      </c>
      <c r="U1030" s="214">
        <v>0</v>
      </c>
      <c r="V1030" s="214">
        <v>0</v>
      </c>
      <c r="W1030" s="214">
        <v>0</v>
      </c>
      <c r="X1030" s="214">
        <v>0</v>
      </c>
      <c r="Y1030" s="214">
        <v>0</v>
      </c>
      <c r="Z1030" s="214">
        <v>0</v>
      </c>
      <c r="AA1030" s="214">
        <v>0</v>
      </c>
      <c r="AB1030" s="214">
        <v>0</v>
      </c>
      <c r="AC1030" s="214">
        <v>0</v>
      </c>
      <c r="AD1030" s="215"/>
      <c r="AE1030" s="420">
        <v>0</v>
      </c>
      <c r="AF1030" s="420">
        <v>0</v>
      </c>
      <c r="AG1030" s="420">
        <v>0</v>
      </c>
      <c r="AH1030" s="420"/>
      <c r="AI1030" s="574">
        <f t="shared" si="26"/>
        <v>7910</v>
      </c>
      <c r="AJ1030" s="212"/>
    </row>
    <row r="1031" spans="2:36" ht="14.4">
      <c r="B1031" s="211"/>
      <c r="C1031" s="213" t="s">
        <v>50</v>
      </c>
      <c r="D1031" s="214">
        <v>0</v>
      </c>
      <c r="E1031" s="214">
        <v>0</v>
      </c>
      <c r="F1031" s="214">
        <v>0</v>
      </c>
      <c r="G1031" s="214">
        <v>0</v>
      </c>
      <c r="H1031" s="214">
        <v>0</v>
      </c>
      <c r="I1031" s="214">
        <v>0</v>
      </c>
      <c r="J1031" s="214">
        <v>0</v>
      </c>
      <c r="K1031" s="214">
        <v>0</v>
      </c>
      <c r="L1031" s="214">
        <v>0</v>
      </c>
      <c r="M1031" s="214">
        <v>0</v>
      </c>
      <c r="N1031" s="214">
        <v>0</v>
      </c>
      <c r="O1031" s="214">
        <v>0</v>
      </c>
      <c r="P1031" s="214">
        <v>0</v>
      </c>
      <c r="Q1031" s="214">
        <v>0</v>
      </c>
      <c r="R1031" s="214">
        <v>0</v>
      </c>
      <c r="S1031" s="214">
        <v>0</v>
      </c>
      <c r="T1031" s="214">
        <v>0</v>
      </c>
      <c r="U1031" s="214">
        <v>0</v>
      </c>
      <c r="V1031" s="214">
        <v>0</v>
      </c>
      <c r="W1031" s="214">
        <v>0</v>
      </c>
      <c r="X1031" s="214">
        <v>0</v>
      </c>
      <c r="Y1031" s="214">
        <v>0</v>
      </c>
      <c r="Z1031" s="214">
        <v>0</v>
      </c>
      <c r="AA1031" s="214">
        <v>0</v>
      </c>
      <c r="AB1031" s="214">
        <v>0</v>
      </c>
      <c r="AC1031" s="214">
        <v>0</v>
      </c>
      <c r="AD1031" s="215"/>
      <c r="AE1031" s="420">
        <v>0</v>
      </c>
      <c r="AF1031" s="420">
        <v>0</v>
      </c>
      <c r="AG1031" s="420">
        <v>0</v>
      </c>
      <c r="AH1031" s="420"/>
      <c r="AI1031" s="574">
        <f t="shared" si="26"/>
        <v>0</v>
      </c>
      <c r="AJ1031" s="212"/>
    </row>
    <row r="1032" spans="2:36" ht="14.4">
      <c r="B1032" s="211"/>
      <c r="C1032" s="213" t="s">
        <v>51</v>
      </c>
      <c r="D1032" s="214">
        <v>0</v>
      </c>
      <c r="E1032" s="214">
        <v>0</v>
      </c>
      <c r="F1032" s="214">
        <v>0</v>
      </c>
      <c r="G1032" s="214">
        <v>0</v>
      </c>
      <c r="H1032" s="214">
        <v>0</v>
      </c>
      <c r="I1032" s="214">
        <v>0</v>
      </c>
      <c r="J1032" s="214">
        <v>0</v>
      </c>
      <c r="K1032" s="214">
        <v>0</v>
      </c>
      <c r="L1032" s="214">
        <v>0</v>
      </c>
      <c r="M1032" s="214">
        <v>0</v>
      </c>
      <c r="N1032" s="214">
        <v>0</v>
      </c>
      <c r="O1032" s="214">
        <v>0</v>
      </c>
      <c r="P1032" s="214">
        <v>0</v>
      </c>
      <c r="Q1032" s="214">
        <v>0</v>
      </c>
      <c r="R1032" s="214">
        <v>0</v>
      </c>
      <c r="S1032" s="214">
        <v>0</v>
      </c>
      <c r="T1032" s="214">
        <v>0</v>
      </c>
      <c r="U1032" s="214">
        <v>0</v>
      </c>
      <c r="V1032" s="214">
        <v>0</v>
      </c>
      <c r="W1032" s="214">
        <v>0</v>
      </c>
      <c r="X1032" s="214">
        <v>0</v>
      </c>
      <c r="Y1032" s="214">
        <v>0</v>
      </c>
      <c r="Z1032" s="214">
        <v>0</v>
      </c>
      <c r="AA1032" s="214">
        <v>0</v>
      </c>
      <c r="AB1032" s="214">
        <v>0</v>
      </c>
      <c r="AC1032" s="214">
        <v>0</v>
      </c>
      <c r="AD1032" s="215"/>
      <c r="AE1032" s="420">
        <v>0</v>
      </c>
      <c r="AF1032" s="420">
        <v>0</v>
      </c>
      <c r="AG1032" s="420">
        <v>0</v>
      </c>
      <c r="AH1032" s="420"/>
      <c r="AI1032" s="574">
        <f t="shared" si="26"/>
        <v>0</v>
      </c>
      <c r="AJ1032" s="212"/>
    </row>
    <row r="1033" spans="2:36" ht="14.4">
      <c r="B1033" s="211"/>
      <c r="C1033" s="213" t="s">
        <v>52</v>
      </c>
      <c r="D1033" s="214">
        <v>0</v>
      </c>
      <c r="E1033" s="214">
        <v>0</v>
      </c>
      <c r="F1033" s="214">
        <v>0</v>
      </c>
      <c r="G1033" s="214">
        <v>0</v>
      </c>
      <c r="H1033" s="214">
        <v>0</v>
      </c>
      <c r="I1033" s="214">
        <v>0</v>
      </c>
      <c r="J1033" s="214">
        <v>0</v>
      </c>
      <c r="K1033" s="214">
        <v>0</v>
      </c>
      <c r="L1033" s="214">
        <v>0</v>
      </c>
      <c r="M1033" s="214">
        <v>0</v>
      </c>
      <c r="N1033" s="214">
        <v>0</v>
      </c>
      <c r="O1033" s="214">
        <v>0</v>
      </c>
      <c r="P1033" s="214">
        <v>0</v>
      </c>
      <c r="Q1033" s="214">
        <v>0</v>
      </c>
      <c r="R1033" s="214">
        <v>0</v>
      </c>
      <c r="S1033" s="214">
        <v>0</v>
      </c>
      <c r="T1033" s="214">
        <v>0</v>
      </c>
      <c r="U1033" s="214">
        <v>0</v>
      </c>
      <c r="V1033" s="214">
        <v>0</v>
      </c>
      <c r="W1033" s="214">
        <v>0</v>
      </c>
      <c r="X1033" s="214">
        <v>0</v>
      </c>
      <c r="Y1033" s="214">
        <v>0</v>
      </c>
      <c r="Z1033" s="214">
        <v>0</v>
      </c>
      <c r="AA1033" s="214">
        <v>0</v>
      </c>
      <c r="AB1033" s="214">
        <v>0</v>
      </c>
      <c r="AC1033" s="214">
        <v>0</v>
      </c>
      <c r="AD1033" s="215"/>
      <c r="AE1033" s="420">
        <v>0</v>
      </c>
      <c r="AF1033" s="420">
        <v>0</v>
      </c>
      <c r="AG1033" s="420">
        <v>0</v>
      </c>
      <c r="AH1033" s="420"/>
      <c r="AI1033" s="574">
        <f t="shared" si="26"/>
        <v>0</v>
      </c>
      <c r="AJ1033" s="212"/>
    </row>
    <row r="1034" spans="2:36" ht="14.4">
      <c r="B1034" s="211"/>
      <c r="C1034" s="213" t="s">
        <v>174</v>
      </c>
      <c r="D1034" s="214">
        <v>1100</v>
      </c>
      <c r="E1034" s="214">
        <v>1866</v>
      </c>
      <c r="F1034" s="214">
        <v>1866</v>
      </c>
      <c r="G1034" s="214">
        <v>1866</v>
      </c>
      <c r="H1034" s="214">
        <v>1866</v>
      </c>
      <c r="I1034" s="214">
        <v>0</v>
      </c>
      <c r="J1034" s="214">
        <v>0</v>
      </c>
      <c r="K1034" s="214">
        <v>0</v>
      </c>
      <c r="L1034" s="214">
        <v>0</v>
      </c>
      <c r="M1034" s="214">
        <v>1868</v>
      </c>
      <c r="N1034" s="214">
        <v>0</v>
      </c>
      <c r="O1034" s="214">
        <v>1868</v>
      </c>
      <c r="P1034" s="214">
        <v>1866</v>
      </c>
      <c r="Q1034" s="214">
        <v>2193</v>
      </c>
      <c r="R1034" s="214">
        <v>1867</v>
      </c>
      <c r="S1034" s="214">
        <v>1866</v>
      </c>
      <c r="T1034" s="214">
        <v>0</v>
      </c>
      <c r="U1034" s="214">
        <v>0</v>
      </c>
      <c r="V1034" s="214">
        <v>0</v>
      </c>
      <c r="W1034" s="214">
        <v>0</v>
      </c>
      <c r="X1034" s="214">
        <v>0</v>
      </c>
      <c r="Y1034" s="214">
        <v>0</v>
      </c>
      <c r="Z1034" s="214">
        <v>0</v>
      </c>
      <c r="AA1034" s="214">
        <v>0</v>
      </c>
      <c r="AB1034" s="214">
        <v>0</v>
      </c>
      <c r="AC1034" s="214">
        <v>0</v>
      </c>
      <c r="AD1034" s="215"/>
      <c r="AE1034" s="420">
        <v>1866</v>
      </c>
      <c r="AF1034" s="420">
        <v>0</v>
      </c>
      <c r="AG1034" s="420">
        <v>0</v>
      </c>
      <c r="AH1034" s="420"/>
      <c r="AI1034" s="574">
        <f t="shared" si="26"/>
        <v>21958</v>
      </c>
      <c r="AJ1034" s="212"/>
    </row>
    <row r="1035" spans="2:36" ht="14.4">
      <c r="B1035" s="211"/>
      <c r="C1035" s="213" t="s">
        <v>53</v>
      </c>
      <c r="D1035" s="214">
        <v>48200</v>
      </c>
      <c r="E1035" s="214">
        <v>5000</v>
      </c>
      <c r="F1035" s="214">
        <v>400</v>
      </c>
      <c r="G1035" s="214">
        <v>0</v>
      </c>
      <c r="H1035" s="214">
        <v>0</v>
      </c>
      <c r="I1035" s="214">
        <v>0</v>
      </c>
      <c r="J1035" s="214">
        <v>0</v>
      </c>
      <c r="K1035" s="214">
        <v>0</v>
      </c>
      <c r="L1035" s="214">
        <v>0</v>
      </c>
      <c r="M1035" s="214">
        <v>0</v>
      </c>
      <c r="N1035" s="214">
        <v>0</v>
      </c>
      <c r="O1035" s="214">
        <v>230</v>
      </c>
      <c r="P1035" s="214">
        <v>0</v>
      </c>
      <c r="Q1035" s="214">
        <v>0</v>
      </c>
      <c r="R1035" s="214">
        <v>400</v>
      </c>
      <c r="S1035" s="214">
        <v>741.4</v>
      </c>
      <c r="T1035" s="214">
        <v>0</v>
      </c>
      <c r="U1035" s="214">
        <v>0</v>
      </c>
      <c r="V1035" s="214">
        <v>0</v>
      </c>
      <c r="W1035" s="214">
        <v>0</v>
      </c>
      <c r="X1035" s="214">
        <v>0</v>
      </c>
      <c r="Y1035" s="214">
        <v>0</v>
      </c>
      <c r="Z1035" s="214">
        <v>0</v>
      </c>
      <c r="AA1035" s="214">
        <v>0</v>
      </c>
      <c r="AB1035" s="214">
        <v>0</v>
      </c>
      <c r="AC1035" s="214">
        <v>0</v>
      </c>
      <c r="AD1035" s="215"/>
      <c r="AE1035" s="420">
        <v>0</v>
      </c>
      <c r="AF1035" s="420">
        <v>0</v>
      </c>
      <c r="AG1035" s="420">
        <v>0</v>
      </c>
      <c r="AH1035" s="420"/>
      <c r="AI1035" s="574">
        <f t="shared" si="26"/>
        <v>54971.4</v>
      </c>
      <c r="AJ1035" s="212"/>
    </row>
    <row r="1036" spans="2:36" ht="14.4">
      <c r="B1036" s="211"/>
      <c r="C1036" s="213" t="s">
        <v>191</v>
      </c>
      <c r="D1036" s="214">
        <v>112535.73</v>
      </c>
      <c r="E1036" s="214">
        <v>0</v>
      </c>
      <c r="F1036" s="214">
        <v>1911.4</v>
      </c>
      <c r="G1036" s="214">
        <v>0</v>
      </c>
      <c r="H1036" s="214">
        <v>0</v>
      </c>
      <c r="I1036" s="214">
        <v>0</v>
      </c>
      <c r="J1036" s="214">
        <v>0</v>
      </c>
      <c r="K1036" s="214">
        <v>0</v>
      </c>
      <c r="L1036" s="214">
        <v>0</v>
      </c>
      <c r="M1036" s="214">
        <v>0</v>
      </c>
      <c r="N1036" s="214">
        <v>0</v>
      </c>
      <c r="O1036" s="214">
        <v>0</v>
      </c>
      <c r="P1036" s="214">
        <v>0</v>
      </c>
      <c r="Q1036" s="214">
        <v>0</v>
      </c>
      <c r="R1036" s="214">
        <v>0</v>
      </c>
      <c r="S1036" s="214">
        <v>0</v>
      </c>
      <c r="T1036" s="214">
        <v>0</v>
      </c>
      <c r="U1036" s="214">
        <v>0</v>
      </c>
      <c r="V1036" s="214">
        <v>0</v>
      </c>
      <c r="W1036" s="214">
        <v>0</v>
      </c>
      <c r="X1036" s="214">
        <v>0</v>
      </c>
      <c r="Y1036" s="214">
        <v>0</v>
      </c>
      <c r="Z1036" s="214">
        <v>0</v>
      </c>
      <c r="AA1036" s="214">
        <v>0</v>
      </c>
      <c r="AB1036" s="214">
        <v>0</v>
      </c>
      <c r="AC1036" s="214">
        <v>0</v>
      </c>
      <c r="AD1036" s="215"/>
      <c r="AE1036" s="420">
        <v>0</v>
      </c>
      <c r="AF1036" s="420">
        <v>0</v>
      </c>
      <c r="AG1036" s="420">
        <v>0</v>
      </c>
      <c r="AH1036" s="420"/>
      <c r="AI1036" s="574">
        <f t="shared" si="26"/>
        <v>114447.12999999999</v>
      </c>
      <c r="AJ1036" s="212"/>
    </row>
    <row r="1037" spans="2:36" ht="14.4">
      <c r="B1037" s="211"/>
      <c r="C1037" s="213" t="s">
        <v>29</v>
      </c>
      <c r="D1037" s="214">
        <v>185</v>
      </c>
      <c r="E1037" s="214">
        <v>0</v>
      </c>
      <c r="F1037" s="214">
        <v>0</v>
      </c>
      <c r="G1037" s="214">
        <v>0</v>
      </c>
      <c r="H1037" s="214">
        <v>0</v>
      </c>
      <c r="I1037" s="214">
        <v>0</v>
      </c>
      <c r="J1037" s="214">
        <v>0</v>
      </c>
      <c r="K1037" s="214">
        <v>0</v>
      </c>
      <c r="L1037" s="214">
        <v>0</v>
      </c>
      <c r="M1037" s="214">
        <v>0</v>
      </c>
      <c r="N1037" s="214">
        <v>0</v>
      </c>
      <c r="O1037" s="214">
        <v>85</v>
      </c>
      <c r="P1037" s="214">
        <v>0</v>
      </c>
      <c r="Q1037" s="214">
        <v>0</v>
      </c>
      <c r="R1037" s="214">
        <v>0</v>
      </c>
      <c r="S1037" s="214">
        <v>0</v>
      </c>
      <c r="T1037" s="214">
        <v>0</v>
      </c>
      <c r="U1037" s="214">
        <v>0</v>
      </c>
      <c r="V1037" s="214">
        <v>0</v>
      </c>
      <c r="W1037" s="214">
        <v>0</v>
      </c>
      <c r="X1037" s="214">
        <v>0</v>
      </c>
      <c r="Y1037" s="214">
        <v>0</v>
      </c>
      <c r="Z1037" s="214">
        <v>0</v>
      </c>
      <c r="AA1037" s="214">
        <v>0</v>
      </c>
      <c r="AB1037" s="214">
        <v>0</v>
      </c>
      <c r="AC1037" s="214">
        <v>0</v>
      </c>
      <c r="AD1037" s="215"/>
      <c r="AE1037" s="420">
        <v>0</v>
      </c>
      <c r="AF1037" s="420">
        <v>0</v>
      </c>
      <c r="AG1037" s="420">
        <v>0</v>
      </c>
      <c r="AH1037" s="420"/>
      <c r="AI1037" s="574">
        <f t="shared" si="26"/>
        <v>270</v>
      </c>
      <c r="AJ1037" s="212"/>
    </row>
    <row r="1038" spans="2:36" ht="14.4">
      <c r="B1038" s="211"/>
      <c r="C1038" s="247" t="s">
        <v>54</v>
      </c>
      <c r="D1038" s="214">
        <v>0</v>
      </c>
      <c r="E1038" s="214">
        <v>0</v>
      </c>
      <c r="F1038" s="214">
        <v>0</v>
      </c>
      <c r="G1038" s="214">
        <v>0</v>
      </c>
      <c r="H1038" s="214">
        <v>0</v>
      </c>
      <c r="I1038" s="214">
        <v>0</v>
      </c>
      <c r="J1038" s="214">
        <v>0</v>
      </c>
      <c r="K1038" s="214">
        <v>0</v>
      </c>
      <c r="L1038" s="214">
        <v>0</v>
      </c>
      <c r="M1038" s="214">
        <v>0</v>
      </c>
      <c r="N1038" s="214">
        <v>0</v>
      </c>
      <c r="O1038" s="214">
        <v>0</v>
      </c>
      <c r="P1038" s="214">
        <v>0</v>
      </c>
      <c r="Q1038" s="214">
        <v>0</v>
      </c>
      <c r="R1038" s="214">
        <v>0</v>
      </c>
      <c r="S1038" s="214">
        <v>0</v>
      </c>
      <c r="T1038" s="214">
        <v>0</v>
      </c>
      <c r="U1038" s="214">
        <v>0</v>
      </c>
      <c r="V1038" s="214">
        <v>0</v>
      </c>
      <c r="W1038" s="214">
        <v>0</v>
      </c>
      <c r="X1038" s="214">
        <v>0</v>
      </c>
      <c r="Y1038" s="214">
        <v>0</v>
      </c>
      <c r="Z1038" s="214">
        <v>0</v>
      </c>
      <c r="AA1038" s="214">
        <v>0</v>
      </c>
      <c r="AB1038" s="214">
        <v>0</v>
      </c>
      <c r="AC1038" s="214">
        <v>0</v>
      </c>
      <c r="AD1038" s="215"/>
      <c r="AE1038" s="420">
        <v>0</v>
      </c>
      <c r="AF1038" s="420">
        <v>0</v>
      </c>
      <c r="AG1038" s="420">
        <v>0</v>
      </c>
      <c r="AH1038" s="420"/>
      <c r="AI1038" s="574">
        <f t="shared" si="26"/>
        <v>0</v>
      </c>
      <c r="AJ1038" s="212"/>
    </row>
    <row r="1039" spans="2:36" ht="14.4">
      <c r="B1039" s="211"/>
      <c r="C1039" s="213" t="s">
        <v>31</v>
      </c>
      <c r="D1039" s="214">
        <v>1540.41</v>
      </c>
      <c r="E1039" s="214">
        <v>559</v>
      </c>
      <c r="F1039" s="214">
        <v>70</v>
      </c>
      <c r="G1039" s="214">
        <v>0</v>
      </c>
      <c r="H1039" s="214">
        <v>513</v>
      </c>
      <c r="I1039" s="214">
        <v>0</v>
      </c>
      <c r="J1039" s="214">
        <v>0</v>
      </c>
      <c r="K1039" s="214">
        <v>0</v>
      </c>
      <c r="L1039" s="214">
        <v>0</v>
      </c>
      <c r="M1039" s="214">
        <v>175</v>
      </c>
      <c r="N1039" s="214">
        <v>0</v>
      </c>
      <c r="O1039" s="214">
        <v>304</v>
      </c>
      <c r="P1039" s="214">
        <v>210</v>
      </c>
      <c r="Q1039" s="214">
        <v>827</v>
      </c>
      <c r="R1039" s="214">
        <v>200</v>
      </c>
      <c r="S1039" s="214">
        <v>0</v>
      </c>
      <c r="T1039" s="214">
        <v>0</v>
      </c>
      <c r="U1039" s="214">
        <v>0</v>
      </c>
      <c r="V1039" s="214">
        <v>0</v>
      </c>
      <c r="W1039" s="214">
        <v>0</v>
      </c>
      <c r="X1039" s="214">
        <v>0</v>
      </c>
      <c r="Y1039" s="214">
        <v>0</v>
      </c>
      <c r="Z1039" s="214">
        <v>0</v>
      </c>
      <c r="AA1039" s="214">
        <v>0</v>
      </c>
      <c r="AB1039" s="214">
        <v>0</v>
      </c>
      <c r="AC1039" s="214">
        <v>0</v>
      </c>
      <c r="AD1039" s="215"/>
      <c r="AE1039" s="420">
        <v>0</v>
      </c>
      <c r="AF1039" s="420">
        <v>0</v>
      </c>
      <c r="AG1039" s="420">
        <v>0</v>
      </c>
      <c r="AH1039" s="420"/>
      <c r="AI1039" s="574">
        <f t="shared" si="26"/>
        <v>4398.41</v>
      </c>
      <c r="AJ1039" s="212"/>
    </row>
    <row r="1040" spans="2:36" ht="14.4">
      <c r="B1040" s="211"/>
      <c r="C1040" s="213" t="s">
        <v>55</v>
      </c>
      <c r="D1040" s="214">
        <v>165</v>
      </c>
      <c r="E1040" s="214">
        <v>75</v>
      </c>
      <c r="F1040" s="214">
        <v>0</v>
      </c>
      <c r="G1040" s="214">
        <v>0</v>
      </c>
      <c r="H1040" s="214">
        <v>0</v>
      </c>
      <c r="I1040" s="214">
        <v>0</v>
      </c>
      <c r="J1040" s="214">
        <v>0</v>
      </c>
      <c r="K1040" s="214">
        <v>0</v>
      </c>
      <c r="L1040" s="214">
        <v>0</v>
      </c>
      <c r="M1040" s="214">
        <v>0</v>
      </c>
      <c r="N1040" s="214">
        <v>0</v>
      </c>
      <c r="O1040" s="214">
        <v>0</v>
      </c>
      <c r="P1040" s="214">
        <v>0</v>
      </c>
      <c r="Q1040" s="214">
        <v>0</v>
      </c>
      <c r="R1040" s="214">
        <v>0</v>
      </c>
      <c r="S1040" s="214">
        <v>0</v>
      </c>
      <c r="T1040" s="214">
        <v>0</v>
      </c>
      <c r="U1040" s="214">
        <v>0</v>
      </c>
      <c r="V1040" s="214">
        <v>0</v>
      </c>
      <c r="W1040" s="214">
        <v>0</v>
      </c>
      <c r="X1040" s="214">
        <v>0</v>
      </c>
      <c r="Y1040" s="214">
        <v>0</v>
      </c>
      <c r="Z1040" s="214">
        <v>0</v>
      </c>
      <c r="AA1040" s="214">
        <v>0</v>
      </c>
      <c r="AB1040" s="214">
        <v>0</v>
      </c>
      <c r="AC1040" s="214">
        <v>0</v>
      </c>
      <c r="AD1040" s="215"/>
      <c r="AE1040" s="420">
        <v>0</v>
      </c>
      <c r="AF1040" s="420">
        <v>0</v>
      </c>
      <c r="AG1040" s="420">
        <v>0</v>
      </c>
      <c r="AH1040" s="420"/>
      <c r="AI1040" s="574">
        <f t="shared" si="26"/>
        <v>240</v>
      </c>
      <c r="AJ1040" s="212"/>
    </row>
    <row r="1041" spans="2:36" ht="14.4">
      <c r="B1041" s="211"/>
      <c r="C1041" s="213" t="s">
        <v>56</v>
      </c>
      <c r="D1041" s="214">
        <v>393.97</v>
      </c>
      <c r="E1041" s="214">
        <v>217.24</v>
      </c>
      <c r="F1041" s="214">
        <v>217.24</v>
      </c>
      <c r="G1041" s="214">
        <v>139.91</v>
      </c>
      <c r="H1041" s="214">
        <v>95.73</v>
      </c>
      <c r="I1041" s="214">
        <v>0</v>
      </c>
      <c r="J1041" s="214">
        <v>0</v>
      </c>
      <c r="K1041" s="214">
        <v>0</v>
      </c>
      <c r="L1041" s="214">
        <v>0</v>
      </c>
      <c r="M1041" s="214">
        <v>0</v>
      </c>
      <c r="N1041" s="214">
        <v>0</v>
      </c>
      <c r="O1041" s="214">
        <v>69.959999999999994</v>
      </c>
      <c r="P1041" s="214">
        <v>0</v>
      </c>
      <c r="Q1041" s="214">
        <v>209.87</v>
      </c>
      <c r="R1041" s="214">
        <v>0</v>
      </c>
      <c r="S1041" s="214">
        <v>0</v>
      </c>
      <c r="T1041" s="214">
        <v>0</v>
      </c>
      <c r="U1041" s="214">
        <v>0</v>
      </c>
      <c r="V1041" s="214">
        <v>0</v>
      </c>
      <c r="W1041" s="214">
        <v>0</v>
      </c>
      <c r="X1041" s="214">
        <v>0</v>
      </c>
      <c r="Y1041" s="214">
        <v>0</v>
      </c>
      <c r="Z1041" s="214">
        <v>0</v>
      </c>
      <c r="AA1041" s="214">
        <v>0</v>
      </c>
      <c r="AB1041" s="214">
        <v>0</v>
      </c>
      <c r="AC1041" s="214">
        <v>0</v>
      </c>
      <c r="AD1041" s="215"/>
      <c r="AE1041" s="420">
        <v>0</v>
      </c>
      <c r="AF1041" s="420">
        <v>0</v>
      </c>
      <c r="AG1041" s="420">
        <v>0</v>
      </c>
      <c r="AH1041" s="420"/>
      <c r="AI1041" s="574">
        <f t="shared" si="26"/>
        <v>1343.92</v>
      </c>
      <c r="AJ1041" s="212"/>
    </row>
    <row r="1042" spans="2:36" ht="14.4">
      <c r="B1042" s="211"/>
      <c r="C1042" s="213" t="s">
        <v>57</v>
      </c>
      <c r="D1042" s="214">
        <v>0</v>
      </c>
      <c r="E1042" s="214">
        <v>5205</v>
      </c>
      <c r="F1042" s="214">
        <v>0</v>
      </c>
      <c r="G1042" s="214">
        <v>0</v>
      </c>
      <c r="H1042" s="214">
        <v>0</v>
      </c>
      <c r="I1042" s="214">
        <v>0</v>
      </c>
      <c r="J1042" s="214">
        <v>0</v>
      </c>
      <c r="K1042" s="214">
        <v>0</v>
      </c>
      <c r="L1042" s="214">
        <v>0</v>
      </c>
      <c r="M1042" s="214">
        <v>0</v>
      </c>
      <c r="N1042" s="214">
        <v>0</v>
      </c>
      <c r="O1042" s="214">
        <v>0</v>
      </c>
      <c r="P1042" s="214">
        <v>0</v>
      </c>
      <c r="Q1042" s="214">
        <v>0</v>
      </c>
      <c r="R1042" s="214">
        <v>0</v>
      </c>
      <c r="S1042" s="214">
        <v>0</v>
      </c>
      <c r="T1042" s="214">
        <v>0</v>
      </c>
      <c r="U1042" s="214">
        <v>0</v>
      </c>
      <c r="V1042" s="214">
        <v>0</v>
      </c>
      <c r="W1042" s="214">
        <v>0</v>
      </c>
      <c r="X1042" s="214">
        <v>0</v>
      </c>
      <c r="Y1042" s="214">
        <v>0</v>
      </c>
      <c r="Z1042" s="214">
        <v>0</v>
      </c>
      <c r="AA1042" s="214">
        <v>0</v>
      </c>
      <c r="AB1042" s="214">
        <v>0</v>
      </c>
      <c r="AC1042" s="214">
        <v>0</v>
      </c>
      <c r="AD1042" s="215"/>
      <c r="AE1042" s="420">
        <v>0</v>
      </c>
      <c r="AF1042" s="420">
        <v>0</v>
      </c>
      <c r="AG1042" s="420">
        <v>0</v>
      </c>
      <c r="AH1042" s="420"/>
      <c r="AI1042" s="574">
        <f t="shared" si="26"/>
        <v>5205</v>
      </c>
      <c r="AJ1042" s="212"/>
    </row>
    <row r="1043" spans="2:36" ht="14.4">
      <c r="B1043" s="211"/>
      <c r="C1043" s="213" t="s">
        <v>58</v>
      </c>
      <c r="D1043" s="214">
        <v>0</v>
      </c>
      <c r="E1043" s="214">
        <v>0</v>
      </c>
      <c r="F1043" s="214">
        <v>135</v>
      </c>
      <c r="G1043" s="214">
        <v>0</v>
      </c>
      <c r="H1043" s="214">
        <v>0</v>
      </c>
      <c r="I1043" s="214">
        <v>0</v>
      </c>
      <c r="J1043" s="214">
        <v>0</v>
      </c>
      <c r="K1043" s="214">
        <v>0</v>
      </c>
      <c r="L1043" s="214">
        <v>0</v>
      </c>
      <c r="M1043" s="214">
        <v>700</v>
      </c>
      <c r="N1043" s="214">
        <v>0</v>
      </c>
      <c r="O1043" s="214">
        <v>1708</v>
      </c>
      <c r="P1043" s="214">
        <v>0</v>
      </c>
      <c r="Q1043" s="214">
        <v>210</v>
      </c>
      <c r="R1043" s="214">
        <v>11580</v>
      </c>
      <c r="S1043" s="214">
        <v>730</v>
      </c>
      <c r="T1043" s="214">
        <v>0</v>
      </c>
      <c r="U1043" s="214">
        <v>0</v>
      </c>
      <c r="V1043" s="214">
        <v>0</v>
      </c>
      <c r="W1043" s="214">
        <v>0</v>
      </c>
      <c r="X1043" s="214">
        <v>0</v>
      </c>
      <c r="Y1043" s="214">
        <v>0</v>
      </c>
      <c r="Z1043" s="214">
        <v>0</v>
      </c>
      <c r="AA1043" s="214">
        <v>0</v>
      </c>
      <c r="AB1043" s="214">
        <v>0</v>
      </c>
      <c r="AC1043" s="214">
        <v>0</v>
      </c>
      <c r="AD1043" s="215"/>
      <c r="AE1043" s="420">
        <v>0</v>
      </c>
      <c r="AF1043" s="420">
        <v>0</v>
      </c>
      <c r="AG1043" s="420">
        <v>0</v>
      </c>
      <c r="AH1043" s="420"/>
      <c r="AI1043" s="574">
        <f t="shared" si="26"/>
        <v>15063</v>
      </c>
      <c r="AJ1043" s="212"/>
    </row>
    <row r="1044" spans="2:36" ht="14.4">
      <c r="B1044" s="211"/>
      <c r="C1044" s="213" t="s">
        <v>59</v>
      </c>
      <c r="D1044" s="214">
        <v>0</v>
      </c>
      <c r="E1044" s="214">
        <v>0</v>
      </c>
      <c r="F1044" s="214">
        <v>0</v>
      </c>
      <c r="G1044" s="214">
        <v>0</v>
      </c>
      <c r="H1044" s="214">
        <v>0</v>
      </c>
      <c r="I1044" s="214">
        <v>0</v>
      </c>
      <c r="J1044" s="214">
        <v>0</v>
      </c>
      <c r="K1044" s="214">
        <v>0</v>
      </c>
      <c r="L1044" s="214">
        <v>0</v>
      </c>
      <c r="M1044" s="214">
        <v>0</v>
      </c>
      <c r="N1044" s="214">
        <v>0</v>
      </c>
      <c r="O1044" s="214">
        <v>0</v>
      </c>
      <c r="P1044" s="214">
        <v>0</v>
      </c>
      <c r="Q1044" s="214">
        <v>0</v>
      </c>
      <c r="R1044" s="214">
        <v>200</v>
      </c>
      <c r="S1044" s="214">
        <v>130</v>
      </c>
      <c r="T1044" s="214">
        <v>0</v>
      </c>
      <c r="U1044" s="214">
        <v>0</v>
      </c>
      <c r="V1044" s="214">
        <v>0</v>
      </c>
      <c r="W1044" s="214">
        <v>0</v>
      </c>
      <c r="X1044" s="214">
        <v>0</v>
      </c>
      <c r="Y1044" s="214">
        <v>0</v>
      </c>
      <c r="Z1044" s="214">
        <v>0</v>
      </c>
      <c r="AA1044" s="214">
        <v>0</v>
      </c>
      <c r="AB1044" s="214">
        <v>0</v>
      </c>
      <c r="AC1044" s="214">
        <v>0</v>
      </c>
      <c r="AD1044" s="215"/>
      <c r="AE1044" s="420">
        <v>0</v>
      </c>
      <c r="AF1044" s="420">
        <v>0</v>
      </c>
      <c r="AG1044" s="420">
        <v>0</v>
      </c>
      <c r="AH1044" s="420"/>
      <c r="AI1044" s="574">
        <f t="shared" si="26"/>
        <v>330</v>
      </c>
      <c r="AJ1044" s="212"/>
    </row>
    <row r="1045" spans="2:36" ht="14.4">
      <c r="B1045" s="211"/>
      <c r="C1045" s="213" t="s">
        <v>60</v>
      </c>
      <c r="D1045" s="214">
        <v>0</v>
      </c>
      <c r="E1045" s="214">
        <v>0</v>
      </c>
      <c r="F1045" s="214">
        <v>0</v>
      </c>
      <c r="G1045" s="214">
        <v>0</v>
      </c>
      <c r="H1045" s="214">
        <v>0</v>
      </c>
      <c r="I1045" s="214">
        <v>0</v>
      </c>
      <c r="J1045" s="214">
        <v>0</v>
      </c>
      <c r="K1045" s="214">
        <v>0</v>
      </c>
      <c r="L1045" s="214">
        <v>0</v>
      </c>
      <c r="M1045" s="214">
        <v>0</v>
      </c>
      <c r="N1045" s="214">
        <v>0</v>
      </c>
      <c r="O1045" s="214">
        <v>0</v>
      </c>
      <c r="P1045" s="214">
        <v>0</v>
      </c>
      <c r="Q1045" s="214">
        <v>0</v>
      </c>
      <c r="R1045" s="214">
        <v>0</v>
      </c>
      <c r="S1045" s="214">
        <v>0</v>
      </c>
      <c r="T1045" s="214">
        <v>0</v>
      </c>
      <c r="U1045" s="214">
        <v>0</v>
      </c>
      <c r="V1045" s="214">
        <v>0</v>
      </c>
      <c r="W1045" s="214">
        <v>0</v>
      </c>
      <c r="X1045" s="214">
        <v>0</v>
      </c>
      <c r="Y1045" s="214">
        <v>0</v>
      </c>
      <c r="Z1045" s="214">
        <v>0</v>
      </c>
      <c r="AA1045" s="214">
        <v>0</v>
      </c>
      <c r="AB1045" s="214">
        <v>0</v>
      </c>
      <c r="AC1045" s="214">
        <v>0</v>
      </c>
      <c r="AD1045" s="215"/>
      <c r="AE1045" s="420">
        <v>0</v>
      </c>
      <c r="AF1045" s="420">
        <v>0</v>
      </c>
      <c r="AG1045" s="420">
        <v>0</v>
      </c>
      <c r="AH1045" s="420"/>
      <c r="AI1045" s="574">
        <f t="shared" si="26"/>
        <v>0</v>
      </c>
      <c r="AJ1045" s="212"/>
    </row>
    <row r="1046" spans="2:36" ht="14.4">
      <c r="B1046" s="211"/>
      <c r="C1046" s="213" t="s">
        <v>61</v>
      </c>
      <c r="D1046" s="214">
        <v>1950</v>
      </c>
      <c r="E1046" s="214">
        <v>20</v>
      </c>
      <c r="F1046" s="214">
        <v>670</v>
      </c>
      <c r="G1046" s="214">
        <v>0</v>
      </c>
      <c r="H1046" s="214">
        <v>225</v>
      </c>
      <c r="I1046" s="214">
        <v>0</v>
      </c>
      <c r="J1046" s="214">
        <v>0</v>
      </c>
      <c r="K1046" s="214">
        <v>0</v>
      </c>
      <c r="L1046" s="214">
        <v>0</v>
      </c>
      <c r="M1046" s="214">
        <v>700</v>
      </c>
      <c r="N1046" s="214">
        <v>0</v>
      </c>
      <c r="O1046" s="214">
        <v>600</v>
      </c>
      <c r="P1046" s="214">
        <v>900</v>
      </c>
      <c r="Q1046" s="214">
        <v>1500</v>
      </c>
      <c r="R1046" s="214">
        <v>200</v>
      </c>
      <c r="S1046" s="214">
        <v>760</v>
      </c>
      <c r="T1046" s="214">
        <v>0</v>
      </c>
      <c r="U1046" s="214">
        <v>0</v>
      </c>
      <c r="V1046" s="214">
        <v>0</v>
      </c>
      <c r="W1046" s="214">
        <v>0</v>
      </c>
      <c r="X1046" s="214">
        <v>0</v>
      </c>
      <c r="Y1046" s="214">
        <v>0</v>
      </c>
      <c r="Z1046" s="214">
        <v>0</v>
      </c>
      <c r="AA1046" s="214">
        <v>0</v>
      </c>
      <c r="AB1046" s="214">
        <v>0</v>
      </c>
      <c r="AC1046" s="214">
        <v>0</v>
      </c>
      <c r="AD1046" s="215"/>
      <c r="AE1046" s="420">
        <v>5310</v>
      </c>
      <c r="AF1046" s="420">
        <v>0</v>
      </c>
      <c r="AG1046" s="420">
        <v>0</v>
      </c>
      <c r="AH1046" s="420"/>
      <c r="AI1046" s="574">
        <f t="shared" si="26"/>
        <v>12835</v>
      </c>
      <c r="AJ1046" s="212"/>
    </row>
    <row r="1047" spans="2:36" ht="14.4">
      <c r="B1047" s="211"/>
      <c r="C1047" s="213" t="s">
        <v>62</v>
      </c>
      <c r="D1047" s="214">
        <v>15000</v>
      </c>
      <c r="E1047" s="214">
        <v>4475</v>
      </c>
      <c r="F1047" s="214">
        <v>1602</v>
      </c>
      <c r="G1047" s="214">
        <v>0</v>
      </c>
      <c r="H1047" s="214">
        <v>3500</v>
      </c>
      <c r="I1047" s="214">
        <v>0</v>
      </c>
      <c r="J1047" s="214">
        <v>0</v>
      </c>
      <c r="K1047" s="214">
        <v>0</v>
      </c>
      <c r="L1047" s="214">
        <v>0</v>
      </c>
      <c r="M1047" s="214">
        <v>0</v>
      </c>
      <c r="N1047" s="214">
        <v>0</v>
      </c>
      <c r="O1047" s="214">
        <v>0</v>
      </c>
      <c r="P1047" s="214">
        <v>0</v>
      </c>
      <c r="Q1047" s="214">
        <v>345</v>
      </c>
      <c r="R1047" s="214">
        <v>0</v>
      </c>
      <c r="S1047" s="214">
        <v>280</v>
      </c>
      <c r="T1047" s="214">
        <v>0</v>
      </c>
      <c r="U1047" s="214">
        <v>0</v>
      </c>
      <c r="V1047" s="214">
        <v>0</v>
      </c>
      <c r="W1047" s="214">
        <v>0</v>
      </c>
      <c r="X1047" s="214">
        <v>0</v>
      </c>
      <c r="Y1047" s="214">
        <v>0</v>
      </c>
      <c r="Z1047" s="214">
        <v>0</v>
      </c>
      <c r="AA1047" s="214">
        <v>0</v>
      </c>
      <c r="AB1047" s="214">
        <v>0</v>
      </c>
      <c r="AC1047" s="214">
        <v>0</v>
      </c>
      <c r="AD1047" s="215"/>
      <c r="AE1047" s="420">
        <v>0</v>
      </c>
      <c r="AF1047" s="420">
        <v>0</v>
      </c>
      <c r="AG1047" s="420">
        <v>0</v>
      </c>
      <c r="AH1047" s="420"/>
      <c r="AI1047" s="574">
        <f t="shared" si="26"/>
        <v>25202</v>
      </c>
      <c r="AJ1047" s="212"/>
    </row>
    <row r="1048" spans="2:36" ht="14.4">
      <c r="B1048" s="211"/>
      <c r="C1048" s="213" t="s">
        <v>63</v>
      </c>
      <c r="D1048" s="214">
        <v>0</v>
      </c>
      <c r="E1048" s="214">
        <v>0</v>
      </c>
      <c r="F1048" s="214">
        <v>0</v>
      </c>
      <c r="G1048" s="214">
        <v>0</v>
      </c>
      <c r="H1048" s="214">
        <v>0</v>
      </c>
      <c r="I1048" s="214">
        <v>0</v>
      </c>
      <c r="J1048" s="214">
        <v>0</v>
      </c>
      <c r="K1048" s="214">
        <v>0</v>
      </c>
      <c r="L1048" s="214">
        <v>0</v>
      </c>
      <c r="M1048" s="214">
        <v>0</v>
      </c>
      <c r="N1048" s="214">
        <v>0</v>
      </c>
      <c r="O1048" s="214">
        <v>0</v>
      </c>
      <c r="P1048" s="214">
        <v>0</v>
      </c>
      <c r="Q1048" s="214">
        <v>0</v>
      </c>
      <c r="R1048" s="214">
        <v>0</v>
      </c>
      <c r="S1048" s="214">
        <v>0</v>
      </c>
      <c r="T1048" s="214">
        <v>0</v>
      </c>
      <c r="U1048" s="214">
        <v>0</v>
      </c>
      <c r="V1048" s="214">
        <v>0</v>
      </c>
      <c r="W1048" s="214">
        <v>0</v>
      </c>
      <c r="X1048" s="214">
        <v>0</v>
      </c>
      <c r="Y1048" s="214">
        <v>0</v>
      </c>
      <c r="Z1048" s="214">
        <v>0</v>
      </c>
      <c r="AA1048" s="214">
        <v>0</v>
      </c>
      <c r="AB1048" s="214">
        <v>0</v>
      </c>
      <c r="AC1048" s="214">
        <v>0</v>
      </c>
      <c r="AD1048" s="215"/>
      <c r="AE1048" s="420">
        <v>0</v>
      </c>
      <c r="AF1048" s="420">
        <v>0</v>
      </c>
      <c r="AG1048" s="420">
        <v>0</v>
      </c>
      <c r="AH1048" s="420"/>
      <c r="AI1048" s="574">
        <f t="shared" si="26"/>
        <v>0</v>
      </c>
      <c r="AJ1048" s="212"/>
    </row>
    <row r="1049" spans="2:36" ht="14.4">
      <c r="B1049" s="211"/>
      <c r="C1049" s="213" t="s">
        <v>64</v>
      </c>
      <c r="D1049" s="214">
        <v>0</v>
      </c>
      <c r="E1049" s="214">
        <v>21700</v>
      </c>
      <c r="F1049" s="214">
        <v>0</v>
      </c>
      <c r="G1049" s="214">
        <v>0</v>
      </c>
      <c r="H1049" s="214">
        <v>25100</v>
      </c>
      <c r="I1049" s="214">
        <v>0</v>
      </c>
      <c r="J1049" s="214">
        <v>0</v>
      </c>
      <c r="K1049" s="214">
        <v>0</v>
      </c>
      <c r="L1049" s="214">
        <v>0</v>
      </c>
      <c r="M1049" s="214">
        <v>0</v>
      </c>
      <c r="N1049" s="214">
        <v>0</v>
      </c>
      <c r="O1049" s="214">
        <v>0</v>
      </c>
      <c r="P1049" s="214">
        <v>7700</v>
      </c>
      <c r="Q1049" s="214">
        <v>20200</v>
      </c>
      <c r="R1049" s="214">
        <v>3940</v>
      </c>
      <c r="S1049" s="214">
        <v>8300</v>
      </c>
      <c r="T1049" s="214">
        <v>5000</v>
      </c>
      <c r="U1049" s="214">
        <v>0</v>
      </c>
      <c r="V1049" s="214">
        <v>0</v>
      </c>
      <c r="W1049" s="214">
        <v>0</v>
      </c>
      <c r="X1049" s="214">
        <v>0</v>
      </c>
      <c r="Y1049" s="214">
        <v>0</v>
      </c>
      <c r="Z1049" s="214">
        <v>0</v>
      </c>
      <c r="AA1049" s="214">
        <v>0</v>
      </c>
      <c r="AB1049" s="214">
        <v>0</v>
      </c>
      <c r="AC1049" s="214">
        <v>0</v>
      </c>
      <c r="AD1049" s="215"/>
      <c r="AE1049" s="420">
        <v>0</v>
      </c>
      <c r="AF1049" s="420">
        <v>0</v>
      </c>
      <c r="AG1049" s="420">
        <v>0</v>
      </c>
      <c r="AH1049" s="420"/>
      <c r="AI1049" s="574">
        <f t="shared" si="26"/>
        <v>91940</v>
      </c>
      <c r="AJ1049" s="212"/>
    </row>
    <row r="1050" spans="2:36" ht="14.4">
      <c r="B1050" s="211"/>
      <c r="C1050" s="213" t="s">
        <v>28</v>
      </c>
      <c r="D1050" s="214">
        <v>12350</v>
      </c>
      <c r="E1050" s="214">
        <v>0</v>
      </c>
      <c r="F1050" s="214">
        <v>0</v>
      </c>
      <c r="G1050" s="214">
        <v>0</v>
      </c>
      <c r="H1050" s="214">
        <v>0</v>
      </c>
      <c r="I1050" s="214">
        <v>0</v>
      </c>
      <c r="J1050" s="214">
        <v>0</v>
      </c>
      <c r="K1050" s="214">
        <v>0</v>
      </c>
      <c r="L1050" s="214">
        <v>0</v>
      </c>
      <c r="M1050" s="214">
        <v>0</v>
      </c>
      <c r="N1050" s="214">
        <v>0</v>
      </c>
      <c r="O1050" s="214">
        <v>0</v>
      </c>
      <c r="P1050" s="214">
        <v>0</v>
      </c>
      <c r="Q1050" s="214">
        <v>0</v>
      </c>
      <c r="R1050" s="214">
        <v>0</v>
      </c>
      <c r="S1050" s="214">
        <v>0</v>
      </c>
      <c r="T1050" s="214">
        <v>0</v>
      </c>
      <c r="U1050" s="214">
        <v>0</v>
      </c>
      <c r="V1050" s="214">
        <v>0</v>
      </c>
      <c r="W1050" s="214">
        <v>0</v>
      </c>
      <c r="X1050" s="214">
        <v>0</v>
      </c>
      <c r="Y1050" s="214">
        <v>0</v>
      </c>
      <c r="Z1050" s="214">
        <v>0</v>
      </c>
      <c r="AA1050" s="214">
        <v>0</v>
      </c>
      <c r="AB1050" s="214">
        <v>0</v>
      </c>
      <c r="AC1050" s="214">
        <v>0</v>
      </c>
      <c r="AD1050" s="215"/>
      <c r="AE1050" s="420">
        <v>0</v>
      </c>
      <c r="AF1050" s="420">
        <v>0</v>
      </c>
      <c r="AG1050" s="420">
        <v>0</v>
      </c>
      <c r="AH1050" s="420"/>
      <c r="AI1050" s="574">
        <f t="shared" si="26"/>
        <v>12350</v>
      </c>
      <c r="AJ1050" s="212"/>
    </row>
    <row r="1051" spans="2:36" ht="14.4">
      <c r="B1051" s="211"/>
      <c r="C1051" s="213" t="s">
        <v>157</v>
      </c>
      <c r="D1051" s="214">
        <v>0</v>
      </c>
      <c r="E1051" s="214">
        <v>823.33</v>
      </c>
      <c r="F1051" s="214">
        <v>0</v>
      </c>
      <c r="G1051" s="214">
        <v>0</v>
      </c>
      <c r="H1051" s="214">
        <v>42.67</v>
      </c>
      <c r="I1051" s="214">
        <v>0</v>
      </c>
      <c r="J1051" s="214">
        <v>0</v>
      </c>
      <c r="K1051" s="214">
        <v>0</v>
      </c>
      <c r="L1051" s="214">
        <v>0</v>
      </c>
      <c r="M1051" s="214">
        <v>0</v>
      </c>
      <c r="N1051" s="214">
        <v>0</v>
      </c>
      <c r="O1051" s="214">
        <v>0</v>
      </c>
      <c r="P1051" s="214">
        <v>0</v>
      </c>
      <c r="Q1051" s="214">
        <v>1143.57</v>
      </c>
      <c r="R1051" s="214">
        <v>0</v>
      </c>
      <c r="S1051" s="214">
        <v>0</v>
      </c>
      <c r="T1051" s="214">
        <v>0</v>
      </c>
      <c r="U1051" s="214">
        <v>0</v>
      </c>
      <c r="V1051" s="214">
        <v>0</v>
      </c>
      <c r="W1051" s="214">
        <v>0</v>
      </c>
      <c r="X1051" s="214">
        <v>0</v>
      </c>
      <c r="Y1051" s="214">
        <v>0</v>
      </c>
      <c r="Z1051" s="214">
        <v>0</v>
      </c>
      <c r="AA1051" s="214">
        <v>0</v>
      </c>
      <c r="AB1051" s="214">
        <v>0</v>
      </c>
      <c r="AC1051" s="214">
        <v>0</v>
      </c>
      <c r="AD1051" s="215"/>
      <c r="AE1051" s="420">
        <v>340</v>
      </c>
      <c r="AF1051" s="420">
        <v>0</v>
      </c>
      <c r="AG1051" s="420">
        <v>0</v>
      </c>
      <c r="AH1051" s="420"/>
      <c r="AI1051" s="574">
        <f t="shared" si="26"/>
        <v>2349.5699999999997</v>
      </c>
      <c r="AJ1051" s="212"/>
    </row>
    <row r="1052" spans="2:36" ht="14.4">
      <c r="B1052" s="211"/>
      <c r="C1052" s="213" t="s">
        <v>65</v>
      </c>
      <c r="D1052" s="214">
        <v>8000</v>
      </c>
      <c r="E1052" s="214">
        <v>0</v>
      </c>
      <c r="F1052" s="214">
        <v>0</v>
      </c>
      <c r="G1052" s="214">
        <v>0</v>
      </c>
      <c r="H1052" s="214">
        <v>0</v>
      </c>
      <c r="I1052" s="214">
        <v>0</v>
      </c>
      <c r="J1052" s="214">
        <v>0</v>
      </c>
      <c r="K1052" s="214">
        <v>0</v>
      </c>
      <c r="L1052" s="214">
        <v>0</v>
      </c>
      <c r="M1052" s="214">
        <v>0</v>
      </c>
      <c r="N1052" s="214">
        <v>0</v>
      </c>
      <c r="O1052" s="214">
        <v>0</v>
      </c>
      <c r="P1052" s="214">
        <v>0</v>
      </c>
      <c r="Q1052" s="214">
        <v>0</v>
      </c>
      <c r="R1052" s="214">
        <v>0</v>
      </c>
      <c r="S1052" s="214">
        <v>0</v>
      </c>
      <c r="T1052" s="214">
        <v>0</v>
      </c>
      <c r="U1052" s="214">
        <v>0</v>
      </c>
      <c r="V1052" s="214">
        <v>0</v>
      </c>
      <c r="W1052" s="214">
        <v>0</v>
      </c>
      <c r="X1052" s="214">
        <v>0</v>
      </c>
      <c r="Y1052" s="214">
        <v>0</v>
      </c>
      <c r="Z1052" s="214">
        <v>0</v>
      </c>
      <c r="AA1052" s="214">
        <v>0</v>
      </c>
      <c r="AB1052" s="214">
        <v>0</v>
      </c>
      <c r="AC1052" s="214">
        <v>0</v>
      </c>
      <c r="AD1052" s="215"/>
      <c r="AE1052" s="420">
        <v>0</v>
      </c>
      <c r="AF1052" s="420">
        <v>0</v>
      </c>
      <c r="AG1052" s="420">
        <v>0</v>
      </c>
      <c r="AH1052" s="420"/>
      <c r="AI1052" s="574">
        <f t="shared" si="26"/>
        <v>8000</v>
      </c>
      <c r="AJ1052" s="212"/>
    </row>
    <row r="1053" spans="2:36" ht="14.4">
      <c r="B1053" s="211"/>
      <c r="C1053" s="213" t="s">
        <v>66</v>
      </c>
      <c r="D1053" s="214">
        <v>0</v>
      </c>
      <c r="E1053" s="214">
        <v>0</v>
      </c>
      <c r="F1053" s="214">
        <v>0</v>
      </c>
      <c r="G1053" s="214">
        <v>0</v>
      </c>
      <c r="H1053" s="214">
        <v>0</v>
      </c>
      <c r="I1053" s="214">
        <v>0</v>
      </c>
      <c r="J1053" s="214">
        <v>0</v>
      </c>
      <c r="K1053" s="214">
        <v>0</v>
      </c>
      <c r="L1053" s="214">
        <v>0</v>
      </c>
      <c r="M1053" s="214">
        <v>0</v>
      </c>
      <c r="N1053" s="214">
        <v>0</v>
      </c>
      <c r="O1053" s="214">
        <v>0</v>
      </c>
      <c r="P1053" s="214">
        <v>0</v>
      </c>
      <c r="Q1053" s="214">
        <v>0</v>
      </c>
      <c r="R1053" s="214">
        <v>0</v>
      </c>
      <c r="S1053" s="214">
        <v>0</v>
      </c>
      <c r="T1053" s="214">
        <v>0</v>
      </c>
      <c r="U1053" s="214">
        <v>0</v>
      </c>
      <c r="V1053" s="214">
        <v>0</v>
      </c>
      <c r="W1053" s="214">
        <v>0</v>
      </c>
      <c r="X1053" s="214">
        <v>0</v>
      </c>
      <c r="Y1053" s="214">
        <v>0</v>
      </c>
      <c r="Z1053" s="214">
        <v>0</v>
      </c>
      <c r="AA1053" s="214">
        <v>0</v>
      </c>
      <c r="AB1053" s="214">
        <v>0</v>
      </c>
      <c r="AC1053" s="214">
        <v>0</v>
      </c>
      <c r="AD1053" s="215"/>
      <c r="AE1053" s="420">
        <v>0</v>
      </c>
      <c r="AF1053" s="420">
        <v>0</v>
      </c>
      <c r="AG1053" s="420">
        <v>0</v>
      </c>
      <c r="AH1053" s="420"/>
      <c r="AI1053" s="574">
        <f t="shared" si="26"/>
        <v>0</v>
      </c>
      <c r="AJ1053" s="212"/>
    </row>
    <row r="1054" spans="2:36" ht="14.4">
      <c r="B1054" s="211"/>
      <c r="C1054" s="213" t="s">
        <v>30</v>
      </c>
      <c r="D1054" s="214">
        <v>31034.48</v>
      </c>
      <c r="E1054" s="214">
        <v>17800.25</v>
      </c>
      <c r="F1054" s="214">
        <v>18877.75</v>
      </c>
      <c r="G1054" s="214">
        <v>9077.5</v>
      </c>
      <c r="H1054" s="214">
        <v>17500.25</v>
      </c>
      <c r="I1054" s="214">
        <v>0</v>
      </c>
      <c r="J1054" s="214">
        <v>4222.25</v>
      </c>
      <c r="K1054" s="214">
        <v>0</v>
      </c>
      <c r="L1054" s="214">
        <v>0</v>
      </c>
      <c r="M1054" s="214">
        <v>4222.25</v>
      </c>
      <c r="N1054" s="214">
        <v>3999.25</v>
      </c>
      <c r="O1054" s="214">
        <v>4555.25</v>
      </c>
      <c r="P1054" s="214">
        <v>7888.25</v>
      </c>
      <c r="Q1054" s="214">
        <v>17555.560000000001</v>
      </c>
      <c r="R1054" s="214">
        <v>3555.5</v>
      </c>
      <c r="S1054" s="214">
        <v>6900.25</v>
      </c>
      <c r="T1054" s="214">
        <v>0</v>
      </c>
      <c r="U1054" s="214">
        <v>3125.25</v>
      </c>
      <c r="V1054" s="214">
        <v>2888.25</v>
      </c>
      <c r="W1054" s="214">
        <v>2888.29</v>
      </c>
      <c r="X1054" s="214">
        <v>0</v>
      </c>
      <c r="Y1054" s="214">
        <v>3900.25</v>
      </c>
      <c r="Z1054" s="214">
        <v>4999.25</v>
      </c>
      <c r="AA1054" s="214">
        <v>0</v>
      </c>
      <c r="AB1054" s="214">
        <v>7333.35</v>
      </c>
      <c r="AC1054" s="214">
        <v>6900.25</v>
      </c>
      <c r="AD1054" s="215"/>
      <c r="AE1054" s="420">
        <v>6777.75</v>
      </c>
      <c r="AF1054" s="420">
        <v>3800.25</v>
      </c>
      <c r="AG1054" s="420">
        <v>4999.25</v>
      </c>
      <c r="AH1054" s="420"/>
      <c r="AI1054" s="574">
        <f t="shared" si="26"/>
        <v>194800.93000000002</v>
      </c>
      <c r="AJ1054" s="212"/>
    </row>
    <row r="1055" spans="2:36" ht="14.4">
      <c r="B1055" s="211"/>
      <c r="C1055" s="213" t="s">
        <v>67</v>
      </c>
      <c r="D1055" s="214">
        <v>0</v>
      </c>
      <c r="E1055" s="214">
        <v>0</v>
      </c>
      <c r="F1055" s="214">
        <v>0</v>
      </c>
      <c r="G1055" s="214">
        <v>0</v>
      </c>
      <c r="H1055" s="214">
        <v>0</v>
      </c>
      <c r="I1055" s="214">
        <v>0</v>
      </c>
      <c r="J1055" s="214">
        <v>0</v>
      </c>
      <c r="K1055" s="214">
        <v>0</v>
      </c>
      <c r="L1055" s="214">
        <v>0</v>
      </c>
      <c r="M1055" s="214">
        <v>0</v>
      </c>
      <c r="N1055" s="214">
        <v>0</v>
      </c>
      <c r="O1055" s="214">
        <v>0</v>
      </c>
      <c r="P1055" s="214">
        <v>0</v>
      </c>
      <c r="Q1055" s="214">
        <v>0</v>
      </c>
      <c r="R1055" s="214">
        <v>0</v>
      </c>
      <c r="S1055" s="214">
        <v>0</v>
      </c>
      <c r="T1055" s="214">
        <v>0</v>
      </c>
      <c r="U1055" s="214">
        <v>0</v>
      </c>
      <c r="V1055" s="214">
        <v>0</v>
      </c>
      <c r="W1055" s="214">
        <v>0</v>
      </c>
      <c r="X1055" s="214">
        <v>0</v>
      </c>
      <c r="Y1055" s="214">
        <v>0</v>
      </c>
      <c r="Z1055" s="214">
        <v>0</v>
      </c>
      <c r="AA1055" s="214">
        <v>0</v>
      </c>
      <c r="AB1055" s="214">
        <v>0</v>
      </c>
      <c r="AC1055" s="214">
        <v>0</v>
      </c>
      <c r="AD1055" s="215"/>
      <c r="AE1055" s="420">
        <v>0</v>
      </c>
      <c r="AF1055" s="420">
        <v>0</v>
      </c>
      <c r="AG1055" s="420">
        <v>0</v>
      </c>
      <c r="AH1055" s="420"/>
      <c r="AI1055" s="574">
        <f t="shared" si="26"/>
        <v>0</v>
      </c>
      <c r="AJ1055" s="212"/>
    </row>
    <row r="1056" spans="2:36" ht="14.4">
      <c r="B1056" s="211"/>
      <c r="C1056" s="213" t="s">
        <v>111</v>
      </c>
      <c r="D1056" s="214">
        <v>1550</v>
      </c>
      <c r="E1056" s="214">
        <v>450</v>
      </c>
      <c r="F1056" s="214">
        <v>550</v>
      </c>
      <c r="G1056" s="214">
        <v>350</v>
      </c>
      <c r="H1056" s="214">
        <v>750</v>
      </c>
      <c r="I1056" s="214">
        <v>0</v>
      </c>
      <c r="J1056" s="214">
        <v>350</v>
      </c>
      <c r="K1056" s="214">
        <v>350</v>
      </c>
      <c r="L1056" s="214">
        <v>350</v>
      </c>
      <c r="M1056" s="214">
        <v>450</v>
      </c>
      <c r="N1056" s="214">
        <v>350</v>
      </c>
      <c r="O1056" s="214">
        <v>550</v>
      </c>
      <c r="P1056" s="214">
        <v>450</v>
      </c>
      <c r="Q1056" s="214">
        <v>950</v>
      </c>
      <c r="R1056" s="214">
        <v>350</v>
      </c>
      <c r="S1056" s="214">
        <v>350</v>
      </c>
      <c r="T1056" s="214">
        <v>0</v>
      </c>
      <c r="U1056" s="214">
        <v>350</v>
      </c>
      <c r="V1056" s="214">
        <v>350</v>
      </c>
      <c r="W1056" s="214">
        <v>350</v>
      </c>
      <c r="X1056" s="214">
        <v>350</v>
      </c>
      <c r="Y1056" s="214">
        <v>350</v>
      </c>
      <c r="Z1056" s="214">
        <v>350</v>
      </c>
      <c r="AA1056" s="214">
        <v>350</v>
      </c>
      <c r="AB1056" s="214">
        <v>350</v>
      </c>
      <c r="AC1056" s="214">
        <v>350</v>
      </c>
      <c r="AD1056" s="215"/>
      <c r="AE1056" s="420">
        <v>350</v>
      </c>
      <c r="AF1056" s="420">
        <v>350</v>
      </c>
      <c r="AG1056" s="420">
        <v>350</v>
      </c>
      <c r="AH1056" s="420"/>
      <c r="AI1056" s="574">
        <f t="shared" si="26"/>
        <v>12350</v>
      </c>
      <c r="AJ1056" s="212"/>
    </row>
    <row r="1057" spans="2:36" ht="14.4">
      <c r="B1057" s="211"/>
      <c r="C1057" s="213" t="s">
        <v>68</v>
      </c>
      <c r="D1057" s="214">
        <v>0</v>
      </c>
      <c r="E1057" s="214">
        <v>3608</v>
      </c>
      <c r="F1057" s="214">
        <v>3608</v>
      </c>
      <c r="G1057" s="214">
        <v>3608</v>
      </c>
      <c r="H1057" s="214">
        <v>3608</v>
      </c>
      <c r="I1057" s="214">
        <v>0</v>
      </c>
      <c r="J1057" s="214">
        <v>0</v>
      </c>
      <c r="K1057" s="214">
        <v>0</v>
      </c>
      <c r="L1057" s="214">
        <v>0</v>
      </c>
      <c r="M1057" s="214">
        <v>3608</v>
      </c>
      <c r="N1057" s="214">
        <v>0</v>
      </c>
      <c r="O1057" s="214">
        <v>3608</v>
      </c>
      <c r="P1057" s="214">
        <v>3608</v>
      </c>
      <c r="Q1057" s="214">
        <v>3608</v>
      </c>
      <c r="R1057" s="214">
        <v>3608</v>
      </c>
      <c r="S1057" s="214">
        <v>3608</v>
      </c>
      <c r="T1057" s="214">
        <v>0</v>
      </c>
      <c r="U1057" s="214">
        <v>0</v>
      </c>
      <c r="V1057" s="214">
        <v>0</v>
      </c>
      <c r="W1057" s="214">
        <v>0</v>
      </c>
      <c r="X1057" s="214">
        <v>0</v>
      </c>
      <c r="Y1057" s="214">
        <v>0</v>
      </c>
      <c r="Z1057" s="214">
        <v>0</v>
      </c>
      <c r="AA1057" s="214">
        <v>0</v>
      </c>
      <c r="AB1057" s="214">
        <v>0</v>
      </c>
      <c r="AC1057" s="214">
        <v>0</v>
      </c>
      <c r="AD1057" s="215"/>
      <c r="AE1057" s="420">
        <v>3608</v>
      </c>
      <c r="AF1057" s="420">
        <v>0</v>
      </c>
      <c r="AG1057" s="420">
        <v>0</v>
      </c>
      <c r="AH1057" s="420"/>
      <c r="AI1057" s="574">
        <f t="shared" si="26"/>
        <v>39688</v>
      </c>
      <c r="AJ1057" s="212"/>
    </row>
    <row r="1058" spans="2:36" ht="14.4">
      <c r="B1058" s="211"/>
      <c r="C1058" s="213" t="s">
        <v>69</v>
      </c>
      <c r="D1058" s="214">
        <v>0</v>
      </c>
      <c r="E1058" s="214">
        <v>0</v>
      </c>
      <c r="F1058" s="214">
        <v>0</v>
      </c>
      <c r="G1058" s="214">
        <v>0</v>
      </c>
      <c r="H1058" s="214">
        <v>0</v>
      </c>
      <c r="I1058" s="214">
        <v>0</v>
      </c>
      <c r="J1058" s="214">
        <v>0</v>
      </c>
      <c r="K1058" s="214">
        <v>0</v>
      </c>
      <c r="L1058" s="214">
        <v>0</v>
      </c>
      <c r="M1058" s="214">
        <v>0</v>
      </c>
      <c r="N1058" s="214">
        <v>0</v>
      </c>
      <c r="O1058" s="214">
        <v>0</v>
      </c>
      <c r="P1058" s="214">
        <v>0</v>
      </c>
      <c r="Q1058" s="214">
        <v>0</v>
      </c>
      <c r="R1058" s="214">
        <v>0</v>
      </c>
      <c r="S1058" s="214">
        <v>0</v>
      </c>
      <c r="T1058" s="214">
        <v>0</v>
      </c>
      <c r="U1058" s="214">
        <v>0</v>
      </c>
      <c r="V1058" s="214">
        <v>0</v>
      </c>
      <c r="W1058" s="214">
        <v>0</v>
      </c>
      <c r="X1058" s="214">
        <v>0</v>
      </c>
      <c r="Y1058" s="214">
        <v>0</v>
      </c>
      <c r="Z1058" s="214">
        <v>0</v>
      </c>
      <c r="AA1058" s="214">
        <v>0</v>
      </c>
      <c r="AB1058" s="214">
        <v>0</v>
      </c>
      <c r="AC1058" s="214">
        <v>0</v>
      </c>
      <c r="AD1058" s="215"/>
      <c r="AE1058" s="420">
        <v>0</v>
      </c>
      <c r="AF1058" s="420">
        <v>0</v>
      </c>
      <c r="AG1058" s="420">
        <v>0</v>
      </c>
      <c r="AH1058" s="420"/>
      <c r="AI1058" s="574">
        <f t="shared" si="26"/>
        <v>0</v>
      </c>
      <c r="AJ1058" s="212"/>
    </row>
    <row r="1059" spans="2:36" ht="14.4">
      <c r="B1059" s="211"/>
      <c r="C1059" s="213" t="s">
        <v>70</v>
      </c>
      <c r="D1059" s="214">
        <v>2510</v>
      </c>
      <c r="E1059" s="214">
        <v>1800</v>
      </c>
      <c r="F1059" s="214">
        <v>1350</v>
      </c>
      <c r="G1059" s="214">
        <v>5400</v>
      </c>
      <c r="H1059" s="214">
        <v>0</v>
      </c>
      <c r="I1059" s="214">
        <v>2855</v>
      </c>
      <c r="J1059" s="214">
        <v>0</v>
      </c>
      <c r="K1059" s="214">
        <v>0</v>
      </c>
      <c r="L1059" s="214">
        <v>0</v>
      </c>
      <c r="M1059" s="214">
        <v>0</v>
      </c>
      <c r="N1059" s="214">
        <v>0</v>
      </c>
      <c r="O1059" s="214">
        <v>0</v>
      </c>
      <c r="P1059" s="214">
        <v>0</v>
      </c>
      <c r="Q1059" s="214">
        <v>0</v>
      </c>
      <c r="R1059" s="214">
        <v>0</v>
      </c>
      <c r="S1059" s="214">
        <v>0</v>
      </c>
      <c r="T1059" s="214">
        <v>0</v>
      </c>
      <c r="U1059" s="214">
        <v>0</v>
      </c>
      <c r="V1059" s="214">
        <v>0</v>
      </c>
      <c r="W1059" s="214">
        <v>0</v>
      </c>
      <c r="X1059" s="214">
        <v>0</v>
      </c>
      <c r="Y1059" s="214">
        <v>0</v>
      </c>
      <c r="Z1059" s="214">
        <v>0</v>
      </c>
      <c r="AA1059" s="214">
        <v>0</v>
      </c>
      <c r="AB1059" s="214">
        <v>0</v>
      </c>
      <c r="AC1059" s="214">
        <v>450</v>
      </c>
      <c r="AD1059" s="215"/>
      <c r="AE1059" s="420">
        <v>0</v>
      </c>
      <c r="AF1059" s="420">
        <v>0</v>
      </c>
      <c r="AG1059" s="420">
        <v>0</v>
      </c>
      <c r="AH1059" s="420"/>
      <c r="AI1059" s="574">
        <f t="shared" si="26"/>
        <v>14365</v>
      </c>
      <c r="AJ1059" s="212"/>
    </row>
    <row r="1060" spans="2:36" ht="14.4">
      <c r="B1060" s="211"/>
      <c r="C1060" s="213" t="s">
        <v>71</v>
      </c>
      <c r="D1060" s="214">
        <v>0</v>
      </c>
      <c r="E1060" s="214">
        <v>0</v>
      </c>
      <c r="F1060" s="214">
        <v>0</v>
      </c>
      <c r="G1060" s="214">
        <v>0</v>
      </c>
      <c r="H1060" s="214">
        <v>0</v>
      </c>
      <c r="I1060" s="214">
        <v>0</v>
      </c>
      <c r="J1060" s="214">
        <v>0</v>
      </c>
      <c r="K1060" s="214">
        <v>0</v>
      </c>
      <c r="L1060" s="214">
        <v>0</v>
      </c>
      <c r="M1060" s="214">
        <v>0</v>
      </c>
      <c r="N1060" s="214">
        <v>0</v>
      </c>
      <c r="O1060" s="214">
        <v>0</v>
      </c>
      <c r="P1060" s="214">
        <v>0</v>
      </c>
      <c r="Q1060" s="214">
        <v>0</v>
      </c>
      <c r="R1060" s="214">
        <v>0</v>
      </c>
      <c r="S1060" s="214">
        <v>0</v>
      </c>
      <c r="T1060" s="214">
        <v>0</v>
      </c>
      <c r="U1060" s="214">
        <v>0</v>
      </c>
      <c r="V1060" s="214">
        <v>0</v>
      </c>
      <c r="W1060" s="214">
        <v>0</v>
      </c>
      <c r="X1060" s="214">
        <v>0</v>
      </c>
      <c r="Y1060" s="214">
        <v>0</v>
      </c>
      <c r="Z1060" s="214">
        <v>0</v>
      </c>
      <c r="AA1060" s="214">
        <v>0</v>
      </c>
      <c r="AB1060" s="214">
        <v>0</v>
      </c>
      <c r="AC1060" s="214">
        <v>0</v>
      </c>
      <c r="AD1060" s="215"/>
      <c r="AE1060" s="420">
        <v>0</v>
      </c>
      <c r="AF1060" s="420">
        <v>0</v>
      </c>
      <c r="AG1060" s="420">
        <v>0</v>
      </c>
      <c r="AH1060" s="420"/>
      <c r="AI1060" s="574">
        <f t="shared" si="26"/>
        <v>0</v>
      </c>
      <c r="AJ1060" s="212"/>
    </row>
    <row r="1061" spans="2:36" ht="14.4">
      <c r="B1061" s="211"/>
      <c r="C1061" s="213" t="s">
        <v>159</v>
      </c>
      <c r="D1061" s="214">
        <v>22310</v>
      </c>
      <c r="E1061" s="214">
        <v>0</v>
      </c>
      <c r="F1061" s="214">
        <v>0</v>
      </c>
      <c r="G1061" s="214">
        <v>0</v>
      </c>
      <c r="H1061" s="214">
        <v>0</v>
      </c>
      <c r="I1061" s="214">
        <v>0</v>
      </c>
      <c r="J1061" s="214">
        <v>0</v>
      </c>
      <c r="K1061" s="214">
        <v>0</v>
      </c>
      <c r="L1061" s="214">
        <v>0</v>
      </c>
      <c r="M1061" s="214">
        <v>0</v>
      </c>
      <c r="N1061" s="214">
        <v>0</v>
      </c>
      <c r="O1061" s="214">
        <v>0</v>
      </c>
      <c r="P1061" s="214">
        <v>0</v>
      </c>
      <c r="Q1061" s="214">
        <v>0</v>
      </c>
      <c r="R1061" s="214">
        <v>590</v>
      </c>
      <c r="S1061" s="214">
        <v>0</v>
      </c>
      <c r="T1061" s="214">
        <v>0</v>
      </c>
      <c r="U1061" s="214">
        <v>0</v>
      </c>
      <c r="V1061" s="214">
        <v>0</v>
      </c>
      <c r="W1061" s="214">
        <v>0</v>
      </c>
      <c r="X1061" s="214">
        <v>0</v>
      </c>
      <c r="Y1061" s="214">
        <v>0</v>
      </c>
      <c r="Z1061" s="214">
        <v>0</v>
      </c>
      <c r="AA1061" s="214">
        <v>0</v>
      </c>
      <c r="AB1061" s="214">
        <v>0</v>
      </c>
      <c r="AC1061" s="214">
        <v>0</v>
      </c>
      <c r="AD1061" s="215"/>
      <c r="AE1061" s="420">
        <v>0</v>
      </c>
      <c r="AF1061" s="420">
        <v>0</v>
      </c>
      <c r="AG1061" s="420">
        <v>0</v>
      </c>
      <c r="AH1061" s="420"/>
      <c r="AI1061" s="574">
        <f t="shared" si="26"/>
        <v>22900</v>
      </c>
      <c r="AJ1061" s="212"/>
    </row>
    <row r="1062" spans="2:36" ht="14.4">
      <c r="B1062" s="211"/>
      <c r="C1062" s="213" t="s">
        <v>72</v>
      </c>
      <c r="D1062" s="214">
        <v>6000</v>
      </c>
      <c r="E1062" s="214">
        <v>0</v>
      </c>
      <c r="F1062" s="214">
        <v>0</v>
      </c>
      <c r="G1062" s="214">
        <v>0</v>
      </c>
      <c r="H1062" s="214">
        <v>0</v>
      </c>
      <c r="I1062" s="214">
        <v>0</v>
      </c>
      <c r="J1062" s="214">
        <v>0</v>
      </c>
      <c r="K1062" s="214">
        <v>0</v>
      </c>
      <c r="L1062" s="214">
        <v>0</v>
      </c>
      <c r="M1062" s="214">
        <v>0</v>
      </c>
      <c r="N1062" s="214">
        <v>0</v>
      </c>
      <c r="O1062" s="214">
        <v>0</v>
      </c>
      <c r="P1062" s="214">
        <v>0</v>
      </c>
      <c r="Q1062" s="214">
        <v>0</v>
      </c>
      <c r="R1062" s="214">
        <v>0</v>
      </c>
      <c r="S1062" s="214">
        <v>0</v>
      </c>
      <c r="T1062" s="214">
        <v>0</v>
      </c>
      <c r="U1062" s="214">
        <v>0</v>
      </c>
      <c r="V1062" s="214">
        <v>0</v>
      </c>
      <c r="W1062" s="214">
        <v>0</v>
      </c>
      <c r="X1062" s="214">
        <v>0</v>
      </c>
      <c r="Y1062" s="214">
        <v>0</v>
      </c>
      <c r="Z1062" s="214">
        <v>0</v>
      </c>
      <c r="AA1062" s="214">
        <v>0</v>
      </c>
      <c r="AB1062" s="214">
        <v>0</v>
      </c>
      <c r="AC1062" s="214">
        <v>0</v>
      </c>
      <c r="AD1062" s="215"/>
      <c r="AE1062" s="420">
        <v>0</v>
      </c>
      <c r="AF1062" s="420">
        <v>0</v>
      </c>
      <c r="AG1062" s="420">
        <v>0</v>
      </c>
      <c r="AH1062" s="420"/>
      <c r="AI1062" s="574">
        <f t="shared" si="26"/>
        <v>6000</v>
      </c>
      <c r="AJ1062" s="212"/>
    </row>
    <row r="1063" spans="2:36" ht="14.4">
      <c r="B1063" s="211"/>
      <c r="C1063" s="213" t="s">
        <v>73</v>
      </c>
      <c r="D1063" s="214">
        <v>0</v>
      </c>
      <c r="E1063" s="214">
        <v>0</v>
      </c>
      <c r="F1063" s="214">
        <v>0</v>
      </c>
      <c r="G1063" s="214">
        <v>0</v>
      </c>
      <c r="H1063" s="214">
        <v>0</v>
      </c>
      <c r="I1063" s="214">
        <v>0</v>
      </c>
      <c r="J1063" s="214">
        <v>0</v>
      </c>
      <c r="K1063" s="214">
        <v>0</v>
      </c>
      <c r="L1063" s="214">
        <v>0</v>
      </c>
      <c r="M1063" s="214">
        <v>0</v>
      </c>
      <c r="N1063" s="214">
        <v>0</v>
      </c>
      <c r="O1063" s="214">
        <v>0</v>
      </c>
      <c r="P1063" s="214">
        <v>0</v>
      </c>
      <c r="Q1063" s="214">
        <v>0</v>
      </c>
      <c r="R1063" s="214">
        <v>0</v>
      </c>
      <c r="S1063" s="214">
        <v>0</v>
      </c>
      <c r="T1063" s="214">
        <v>0</v>
      </c>
      <c r="U1063" s="214">
        <v>0</v>
      </c>
      <c r="V1063" s="214">
        <v>0</v>
      </c>
      <c r="W1063" s="214">
        <v>0</v>
      </c>
      <c r="X1063" s="214">
        <v>0</v>
      </c>
      <c r="Y1063" s="214">
        <v>0</v>
      </c>
      <c r="Z1063" s="214">
        <v>0</v>
      </c>
      <c r="AA1063" s="214">
        <v>0</v>
      </c>
      <c r="AB1063" s="214">
        <v>0</v>
      </c>
      <c r="AC1063" s="214">
        <v>0</v>
      </c>
      <c r="AD1063" s="215"/>
      <c r="AE1063" s="420">
        <v>0</v>
      </c>
      <c r="AF1063" s="420">
        <v>0</v>
      </c>
      <c r="AG1063" s="420">
        <v>0</v>
      </c>
      <c r="AH1063" s="420"/>
      <c r="AI1063" s="574">
        <f t="shared" si="26"/>
        <v>0</v>
      </c>
      <c r="AJ1063" s="212"/>
    </row>
    <row r="1064" spans="2:36" ht="14.4">
      <c r="B1064" s="211"/>
      <c r="C1064" s="213" t="s">
        <v>246</v>
      </c>
      <c r="D1064" s="214">
        <v>1750</v>
      </c>
      <c r="E1064" s="214">
        <v>0</v>
      </c>
      <c r="F1064" s="214">
        <v>0</v>
      </c>
      <c r="G1064" s="214">
        <v>0</v>
      </c>
      <c r="H1064" s="214">
        <v>0</v>
      </c>
      <c r="I1064" s="214">
        <v>0</v>
      </c>
      <c r="J1064" s="214">
        <v>0</v>
      </c>
      <c r="K1064" s="214">
        <v>0</v>
      </c>
      <c r="L1064" s="214">
        <v>0</v>
      </c>
      <c r="M1064" s="214">
        <v>0</v>
      </c>
      <c r="N1064" s="214">
        <v>0</v>
      </c>
      <c r="O1064" s="214">
        <v>0</v>
      </c>
      <c r="P1064" s="214">
        <v>0</v>
      </c>
      <c r="Q1064" s="214">
        <v>0</v>
      </c>
      <c r="R1064" s="214">
        <v>0</v>
      </c>
      <c r="S1064" s="214">
        <v>0</v>
      </c>
      <c r="T1064" s="214">
        <v>0</v>
      </c>
      <c r="U1064" s="214">
        <v>0</v>
      </c>
      <c r="V1064" s="214">
        <v>0</v>
      </c>
      <c r="W1064" s="214">
        <v>0</v>
      </c>
      <c r="X1064" s="214">
        <v>0</v>
      </c>
      <c r="Y1064" s="214">
        <v>0</v>
      </c>
      <c r="Z1064" s="214">
        <v>0</v>
      </c>
      <c r="AA1064" s="214">
        <v>0</v>
      </c>
      <c r="AB1064" s="214">
        <v>0</v>
      </c>
      <c r="AC1064" s="214">
        <v>0</v>
      </c>
      <c r="AD1064" s="215"/>
      <c r="AE1064" s="420">
        <v>0</v>
      </c>
      <c r="AF1064" s="420">
        <v>0</v>
      </c>
      <c r="AG1064" s="420">
        <v>0</v>
      </c>
      <c r="AH1064" s="420"/>
      <c r="AI1064" s="574">
        <f t="shared" si="26"/>
        <v>1750</v>
      </c>
      <c r="AJ1064" s="212"/>
    </row>
    <row r="1065" spans="2:36" ht="14.4">
      <c r="B1065" s="211"/>
      <c r="C1065" s="213" t="s">
        <v>75</v>
      </c>
      <c r="D1065" s="214">
        <v>0</v>
      </c>
      <c r="E1065" s="214">
        <v>0</v>
      </c>
      <c r="F1065" s="214">
        <v>0</v>
      </c>
      <c r="G1065" s="214">
        <v>0</v>
      </c>
      <c r="H1065" s="214">
        <v>0</v>
      </c>
      <c r="I1065" s="214">
        <v>0</v>
      </c>
      <c r="J1065" s="214">
        <v>0</v>
      </c>
      <c r="K1065" s="214">
        <v>0</v>
      </c>
      <c r="L1065" s="214">
        <v>0</v>
      </c>
      <c r="M1065" s="214">
        <v>0</v>
      </c>
      <c r="N1065" s="214">
        <v>0</v>
      </c>
      <c r="O1065" s="214">
        <v>0</v>
      </c>
      <c r="P1065" s="214">
        <v>0</v>
      </c>
      <c r="Q1065" s="214">
        <v>0</v>
      </c>
      <c r="R1065" s="214">
        <v>0</v>
      </c>
      <c r="S1065" s="214">
        <v>0</v>
      </c>
      <c r="T1065" s="214">
        <v>0</v>
      </c>
      <c r="U1065" s="214">
        <v>0</v>
      </c>
      <c r="V1065" s="214">
        <v>0</v>
      </c>
      <c r="W1065" s="214">
        <v>0</v>
      </c>
      <c r="X1065" s="214">
        <v>0</v>
      </c>
      <c r="Y1065" s="214">
        <v>0</v>
      </c>
      <c r="Z1065" s="214">
        <v>0</v>
      </c>
      <c r="AA1065" s="214">
        <v>0</v>
      </c>
      <c r="AB1065" s="214">
        <v>0</v>
      </c>
      <c r="AC1065" s="214">
        <v>0</v>
      </c>
      <c r="AD1065" s="215"/>
      <c r="AE1065" s="420">
        <v>0</v>
      </c>
      <c r="AF1065" s="420">
        <v>0</v>
      </c>
      <c r="AG1065" s="420">
        <v>0</v>
      </c>
      <c r="AH1065" s="420"/>
      <c r="AI1065" s="574">
        <f t="shared" si="26"/>
        <v>0</v>
      </c>
      <c r="AJ1065" s="212"/>
    </row>
    <row r="1066" spans="2:36" ht="14.4">
      <c r="B1066" s="211"/>
      <c r="C1066" s="213" t="s">
        <v>76</v>
      </c>
      <c r="D1066" s="214">
        <v>0</v>
      </c>
      <c r="E1066" s="214">
        <v>0</v>
      </c>
      <c r="F1066" s="214">
        <v>0</v>
      </c>
      <c r="G1066" s="214">
        <v>0</v>
      </c>
      <c r="H1066" s="214">
        <v>0</v>
      </c>
      <c r="I1066" s="214">
        <v>0</v>
      </c>
      <c r="J1066" s="214">
        <v>0</v>
      </c>
      <c r="K1066" s="214">
        <v>0</v>
      </c>
      <c r="L1066" s="214">
        <v>0</v>
      </c>
      <c r="M1066" s="214">
        <v>0</v>
      </c>
      <c r="N1066" s="214">
        <v>0</v>
      </c>
      <c r="O1066" s="214">
        <v>0</v>
      </c>
      <c r="P1066" s="214">
        <v>0</v>
      </c>
      <c r="Q1066" s="214">
        <v>0</v>
      </c>
      <c r="R1066" s="214">
        <v>0</v>
      </c>
      <c r="S1066" s="214">
        <v>0</v>
      </c>
      <c r="T1066" s="214">
        <v>0</v>
      </c>
      <c r="U1066" s="214">
        <v>0</v>
      </c>
      <c r="V1066" s="214">
        <v>0</v>
      </c>
      <c r="W1066" s="214">
        <v>0</v>
      </c>
      <c r="X1066" s="214">
        <v>0</v>
      </c>
      <c r="Y1066" s="214">
        <v>0</v>
      </c>
      <c r="Z1066" s="214">
        <v>0</v>
      </c>
      <c r="AA1066" s="214">
        <v>0</v>
      </c>
      <c r="AB1066" s="214">
        <v>0</v>
      </c>
      <c r="AC1066" s="214">
        <v>0</v>
      </c>
      <c r="AD1066" s="215"/>
      <c r="AE1066" s="420">
        <v>0</v>
      </c>
      <c r="AF1066" s="420">
        <v>0</v>
      </c>
      <c r="AG1066" s="420">
        <v>0</v>
      </c>
      <c r="AH1066" s="420"/>
      <c r="AI1066" s="574">
        <f t="shared" si="26"/>
        <v>0</v>
      </c>
      <c r="AJ1066" s="212"/>
    </row>
    <row r="1067" spans="2:36" ht="14.4">
      <c r="B1067" s="211"/>
      <c r="C1067" s="213" t="s">
        <v>77</v>
      </c>
      <c r="D1067" s="214">
        <v>0</v>
      </c>
      <c r="E1067" s="214">
        <v>0</v>
      </c>
      <c r="F1067" s="214">
        <v>0</v>
      </c>
      <c r="G1067" s="214">
        <v>0</v>
      </c>
      <c r="H1067" s="214">
        <v>0</v>
      </c>
      <c r="I1067" s="214">
        <v>0</v>
      </c>
      <c r="J1067" s="214">
        <v>0</v>
      </c>
      <c r="K1067" s="214">
        <v>0</v>
      </c>
      <c r="L1067" s="214">
        <v>0</v>
      </c>
      <c r="M1067" s="214">
        <v>0</v>
      </c>
      <c r="N1067" s="214">
        <v>0</v>
      </c>
      <c r="O1067" s="214">
        <v>0</v>
      </c>
      <c r="P1067" s="214">
        <v>0</v>
      </c>
      <c r="Q1067" s="214">
        <v>0</v>
      </c>
      <c r="R1067" s="214">
        <v>0</v>
      </c>
      <c r="S1067" s="214">
        <v>0</v>
      </c>
      <c r="T1067" s="214">
        <v>0</v>
      </c>
      <c r="U1067" s="214">
        <v>0</v>
      </c>
      <c r="V1067" s="214">
        <v>0</v>
      </c>
      <c r="W1067" s="214">
        <v>0</v>
      </c>
      <c r="X1067" s="214">
        <v>0</v>
      </c>
      <c r="Y1067" s="214">
        <v>0</v>
      </c>
      <c r="Z1067" s="214">
        <v>0</v>
      </c>
      <c r="AA1067" s="214">
        <v>0</v>
      </c>
      <c r="AB1067" s="214">
        <v>0</v>
      </c>
      <c r="AC1067" s="214">
        <v>0</v>
      </c>
      <c r="AD1067" s="215"/>
      <c r="AE1067" s="420">
        <v>0</v>
      </c>
      <c r="AF1067" s="420">
        <v>0</v>
      </c>
      <c r="AG1067" s="420">
        <v>0</v>
      </c>
      <c r="AH1067" s="420"/>
      <c r="AI1067" s="574">
        <f t="shared" si="26"/>
        <v>0</v>
      </c>
      <c r="AJ1067" s="212"/>
    </row>
    <row r="1068" spans="2:36" ht="14.4">
      <c r="B1068" s="211"/>
      <c r="C1068" s="213" t="s">
        <v>78</v>
      </c>
      <c r="D1068" s="214">
        <v>0</v>
      </c>
      <c r="E1068" s="214">
        <v>0</v>
      </c>
      <c r="F1068" s="214">
        <v>0</v>
      </c>
      <c r="G1068" s="214">
        <v>0</v>
      </c>
      <c r="H1068" s="214">
        <v>0</v>
      </c>
      <c r="I1068" s="214">
        <v>0</v>
      </c>
      <c r="J1068" s="214">
        <v>0</v>
      </c>
      <c r="K1068" s="214">
        <v>0</v>
      </c>
      <c r="L1068" s="214">
        <v>0</v>
      </c>
      <c r="M1068" s="214">
        <v>0</v>
      </c>
      <c r="N1068" s="214">
        <v>0</v>
      </c>
      <c r="O1068" s="214">
        <v>0</v>
      </c>
      <c r="P1068" s="214">
        <v>0</v>
      </c>
      <c r="Q1068" s="214">
        <v>0</v>
      </c>
      <c r="R1068" s="214">
        <v>0</v>
      </c>
      <c r="S1068" s="214">
        <v>0</v>
      </c>
      <c r="T1068" s="214">
        <v>0</v>
      </c>
      <c r="U1068" s="214">
        <v>0</v>
      </c>
      <c r="V1068" s="214">
        <v>0</v>
      </c>
      <c r="W1068" s="214">
        <v>0</v>
      </c>
      <c r="X1068" s="214">
        <v>0</v>
      </c>
      <c r="Y1068" s="214">
        <v>0</v>
      </c>
      <c r="Z1068" s="214">
        <v>0</v>
      </c>
      <c r="AA1068" s="214">
        <v>0</v>
      </c>
      <c r="AB1068" s="214">
        <v>0</v>
      </c>
      <c r="AC1068" s="214">
        <v>0</v>
      </c>
      <c r="AD1068" s="215"/>
      <c r="AE1068" s="420">
        <v>0</v>
      </c>
      <c r="AF1068" s="420">
        <v>0</v>
      </c>
      <c r="AG1068" s="420">
        <v>0</v>
      </c>
      <c r="AH1068" s="420"/>
      <c r="AI1068" s="574">
        <f t="shared" si="26"/>
        <v>0</v>
      </c>
      <c r="AJ1068" s="212"/>
    </row>
    <row r="1069" spans="2:36" ht="14.4">
      <c r="B1069" s="211"/>
      <c r="C1069" s="213" t="s">
        <v>79</v>
      </c>
      <c r="D1069" s="214">
        <v>0</v>
      </c>
      <c r="E1069" s="214">
        <v>0</v>
      </c>
      <c r="F1069" s="214">
        <v>0</v>
      </c>
      <c r="G1069" s="214">
        <v>0</v>
      </c>
      <c r="H1069" s="214">
        <v>0</v>
      </c>
      <c r="I1069" s="214">
        <v>0</v>
      </c>
      <c r="J1069" s="214">
        <v>0</v>
      </c>
      <c r="K1069" s="214">
        <v>0</v>
      </c>
      <c r="L1069" s="214">
        <v>0</v>
      </c>
      <c r="M1069" s="214">
        <v>0</v>
      </c>
      <c r="N1069" s="214">
        <v>0</v>
      </c>
      <c r="O1069" s="214">
        <v>0</v>
      </c>
      <c r="P1069" s="214">
        <v>0</v>
      </c>
      <c r="Q1069" s="214">
        <v>0</v>
      </c>
      <c r="R1069" s="214">
        <v>0</v>
      </c>
      <c r="S1069" s="214">
        <v>0</v>
      </c>
      <c r="T1069" s="214">
        <v>0</v>
      </c>
      <c r="U1069" s="214">
        <v>0</v>
      </c>
      <c r="V1069" s="214">
        <v>0</v>
      </c>
      <c r="W1069" s="214">
        <v>0</v>
      </c>
      <c r="X1069" s="214">
        <v>0</v>
      </c>
      <c r="Y1069" s="214">
        <v>0</v>
      </c>
      <c r="Z1069" s="214">
        <v>0</v>
      </c>
      <c r="AA1069" s="214">
        <v>0</v>
      </c>
      <c r="AB1069" s="214">
        <v>0</v>
      </c>
      <c r="AC1069" s="214">
        <v>0</v>
      </c>
      <c r="AD1069" s="215"/>
      <c r="AE1069" s="420">
        <v>0</v>
      </c>
      <c r="AF1069" s="420">
        <v>0</v>
      </c>
      <c r="AG1069" s="420">
        <v>0</v>
      </c>
      <c r="AH1069" s="420"/>
      <c r="AI1069" s="574">
        <f t="shared" si="26"/>
        <v>0</v>
      </c>
      <c r="AJ1069" s="212"/>
    </row>
    <row r="1070" spans="2:36" ht="14.4">
      <c r="B1070" s="211"/>
      <c r="C1070" s="213" t="s">
        <v>80</v>
      </c>
      <c r="D1070" s="214">
        <v>0</v>
      </c>
      <c r="E1070" s="214">
        <v>0</v>
      </c>
      <c r="F1070" s="214">
        <v>0</v>
      </c>
      <c r="G1070" s="214">
        <v>0</v>
      </c>
      <c r="H1070" s="214">
        <v>0</v>
      </c>
      <c r="I1070" s="214">
        <v>0</v>
      </c>
      <c r="J1070" s="214">
        <v>0</v>
      </c>
      <c r="K1070" s="214">
        <v>0</v>
      </c>
      <c r="L1070" s="214">
        <v>0</v>
      </c>
      <c r="M1070" s="214">
        <v>0</v>
      </c>
      <c r="N1070" s="214">
        <v>0</v>
      </c>
      <c r="O1070" s="214">
        <v>0</v>
      </c>
      <c r="P1070" s="214">
        <v>0</v>
      </c>
      <c r="Q1070" s="214">
        <v>0</v>
      </c>
      <c r="R1070" s="214">
        <v>0</v>
      </c>
      <c r="S1070" s="214">
        <v>0</v>
      </c>
      <c r="T1070" s="214">
        <v>0</v>
      </c>
      <c r="U1070" s="214">
        <v>0</v>
      </c>
      <c r="V1070" s="214">
        <v>0</v>
      </c>
      <c r="W1070" s="214">
        <v>0</v>
      </c>
      <c r="X1070" s="214">
        <v>0</v>
      </c>
      <c r="Y1070" s="214">
        <v>0</v>
      </c>
      <c r="Z1070" s="214">
        <v>0</v>
      </c>
      <c r="AA1070" s="214">
        <v>0</v>
      </c>
      <c r="AB1070" s="214">
        <v>0</v>
      </c>
      <c r="AC1070" s="214">
        <v>0</v>
      </c>
      <c r="AD1070" s="215"/>
      <c r="AE1070" s="420">
        <v>0</v>
      </c>
      <c r="AF1070" s="420">
        <v>0</v>
      </c>
      <c r="AG1070" s="420">
        <v>0</v>
      </c>
      <c r="AH1070" s="420"/>
      <c r="AI1070" s="574">
        <f t="shared" si="26"/>
        <v>0</v>
      </c>
      <c r="AJ1070" s="212"/>
    </row>
    <row r="1071" spans="2:36" ht="14.4">
      <c r="B1071" s="211"/>
      <c r="C1071" s="213" t="s">
        <v>81</v>
      </c>
      <c r="D1071" s="214">
        <v>0</v>
      </c>
      <c r="E1071" s="214">
        <v>0</v>
      </c>
      <c r="F1071" s="214">
        <v>0</v>
      </c>
      <c r="G1071" s="214">
        <v>0</v>
      </c>
      <c r="H1071" s="214">
        <v>0</v>
      </c>
      <c r="I1071" s="214">
        <v>0</v>
      </c>
      <c r="J1071" s="214">
        <v>0</v>
      </c>
      <c r="K1071" s="214">
        <v>0</v>
      </c>
      <c r="L1071" s="214">
        <v>0</v>
      </c>
      <c r="M1071" s="214">
        <v>0</v>
      </c>
      <c r="N1071" s="214">
        <v>0</v>
      </c>
      <c r="O1071" s="214">
        <v>0</v>
      </c>
      <c r="P1071" s="214">
        <v>0</v>
      </c>
      <c r="Q1071" s="214">
        <v>0</v>
      </c>
      <c r="R1071" s="214">
        <v>0</v>
      </c>
      <c r="S1071" s="214">
        <v>0</v>
      </c>
      <c r="T1071" s="214">
        <v>0</v>
      </c>
      <c r="U1071" s="214">
        <v>0</v>
      </c>
      <c r="V1071" s="214">
        <v>0</v>
      </c>
      <c r="W1071" s="214">
        <v>0</v>
      </c>
      <c r="X1071" s="214">
        <v>0</v>
      </c>
      <c r="Y1071" s="214">
        <v>0</v>
      </c>
      <c r="Z1071" s="214">
        <v>0</v>
      </c>
      <c r="AA1071" s="214">
        <v>0</v>
      </c>
      <c r="AB1071" s="214">
        <v>0</v>
      </c>
      <c r="AC1071" s="214">
        <v>0</v>
      </c>
      <c r="AD1071" s="215"/>
      <c r="AE1071" s="420">
        <v>0</v>
      </c>
      <c r="AF1071" s="420">
        <v>0</v>
      </c>
      <c r="AG1071" s="420">
        <v>0</v>
      </c>
      <c r="AH1071" s="420"/>
      <c r="AI1071" s="574">
        <f t="shared" si="26"/>
        <v>0</v>
      </c>
      <c r="AJ1071" s="212"/>
    </row>
    <row r="1072" spans="2:36" ht="14.4">
      <c r="B1072" s="211"/>
      <c r="C1072" s="213" t="s">
        <v>82</v>
      </c>
      <c r="D1072" s="214">
        <v>0</v>
      </c>
      <c r="E1072" s="214">
        <v>0</v>
      </c>
      <c r="F1072" s="214">
        <v>0</v>
      </c>
      <c r="G1072" s="214">
        <v>0</v>
      </c>
      <c r="H1072" s="214">
        <v>0</v>
      </c>
      <c r="I1072" s="214">
        <v>0</v>
      </c>
      <c r="J1072" s="214">
        <v>0</v>
      </c>
      <c r="K1072" s="214">
        <v>0</v>
      </c>
      <c r="L1072" s="214">
        <v>0</v>
      </c>
      <c r="M1072" s="214">
        <v>0</v>
      </c>
      <c r="N1072" s="214">
        <v>0</v>
      </c>
      <c r="O1072" s="214">
        <v>0</v>
      </c>
      <c r="P1072" s="214">
        <v>0</v>
      </c>
      <c r="Q1072" s="214">
        <v>0</v>
      </c>
      <c r="R1072" s="214">
        <v>0</v>
      </c>
      <c r="S1072" s="214">
        <v>0</v>
      </c>
      <c r="T1072" s="214">
        <v>0</v>
      </c>
      <c r="U1072" s="214">
        <v>0</v>
      </c>
      <c r="V1072" s="214">
        <v>0</v>
      </c>
      <c r="W1072" s="214">
        <v>0</v>
      </c>
      <c r="X1072" s="214">
        <v>0</v>
      </c>
      <c r="Y1072" s="214">
        <v>0</v>
      </c>
      <c r="Z1072" s="214">
        <v>0</v>
      </c>
      <c r="AA1072" s="214">
        <v>0</v>
      </c>
      <c r="AB1072" s="214">
        <v>0</v>
      </c>
      <c r="AC1072" s="214">
        <v>0</v>
      </c>
      <c r="AD1072" s="215"/>
      <c r="AE1072" s="420">
        <v>0</v>
      </c>
      <c r="AF1072" s="420">
        <v>0</v>
      </c>
      <c r="AG1072" s="420">
        <v>0</v>
      </c>
      <c r="AH1072" s="420"/>
      <c r="AI1072" s="574">
        <f t="shared" si="26"/>
        <v>0</v>
      </c>
      <c r="AJ1072" s="212"/>
    </row>
    <row r="1073" spans="2:36" ht="14.4">
      <c r="B1073" s="211"/>
      <c r="C1073" s="213" t="s">
        <v>83</v>
      </c>
      <c r="D1073" s="214">
        <v>0</v>
      </c>
      <c r="E1073" s="214">
        <v>0</v>
      </c>
      <c r="F1073" s="214">
        <v>0</v>
      </c>
      <c r="G1073" s="214">
        <v>0</v>
      </c>
      <c r="H1073" s="214">
        <v>0</v>
      </c>
      <c r="I1073" s="214">
        <v>0</v>
      </c>
      <c r="J1073" s="214">
        <v>0</v>
      </c>
      <c r="K1073" s="214">
        <v>0</v>
      </c>
      <c r="L1073" s="214">
        <v>0</v>
      </c>
      <c r="M1073" s="214">
        <v>0</v>
      </c>
      <c r="N1073" s="214">
        <v>0</v>
      </c>
      <c r="O1073" s="214">
        <v>0</v>
      </c>
      <c r="P1073" s="214">
        <v>0</v>
      </c>
      <c r="Q1073" s="214">
        <v>0</v>
      </c>
      <c r="R1073" s="214">
        <v>0</v>
      </c>
      <c r="S1073" s="214">
        <v>0</v>
      </c>
      <c r="T1073" s="214">
        <v>0</v>
      </c>
      <c r="U1073" s="214">
        <v>0</v>
      </c>
      <c r="V1073" s="214">
        <v>0</v>
      </c>
      <c r="W1073" s="214">
        <v>0</v>
      </c>
      <c r="X1073" s="214">
        <v>0</v>
      </c>
      <c r="Y1073" s="214">
        <v>0</v>
      </c>
      <c r="Z1073" s="214">
        <v>0</v>
      </c>
      <c r="AA1073" s="214">
        <v>0</v>
      </c>
      <c r="AB1073" s="214">
        <v>0</v>
      </c>
      <c r="AC1073" s="214">
        <v>0</v>
      </c>
      <c r="AD1073" s="215"/>
      <c r="AE1073" s="420">
        <v>0</v>
      </c>
      <c r="AF1073" s="420">
        <v>0</v>
      </c>
      <c r="AG1073" s="420">
        <v>0</v>
      </c>
      <c r="AH1073" s="420"/>
      <c r="AI1073" s="574">
        <f t="shared" si="26"/>
        <v>0</v>
      </c>
      <c r="AJ1073" s="212"/>
    </row>
    <row r="1074" spans="2:36" ht="14.4">
      <c r="B1074" s="211"/>
      <c r="C1074" s="213" t="s">
        <v>84</v>
      </c>
      <c r="D1074" s="214">
        <v>0</v>
      </c>
      <c r="E1074" s="214">
        <v>0</v>
      </c>
      <c r="F1074" s="214">
        <v>0</v>
      </c>
      <c r="G1074" s="214">
        <v>0</v>
      </c>
      <c r="H1074" s="214">
        <v>0</v>
      </c>
      <c r="I1074" s="214">
        <v>0</v>
      </c>
      <c r="J1074" s="214">
        <v>0</v>
      </c>
      <c r="K1074" s="214">
        <v>0</v>
      </c>
      <c r="L1074" s="214">
        <v>0</v>
      </c>
      <c r="M1074" s="214">
        <v>0</v>
      </c>
      <c r="N1074" s="214">
        <v>0</v>
      </c>
      <c r="O1074" s="214">
        <v>0</v>
      </c>
      <c r="P1074" s="214">
        <v>0</v>
      </c>
      <c r="Q1074" s="214">
        <v>0</v>
      </c>
      <c r="R1074" s="214">
        <v>0</v>
      </c>
      <c r="S1074" s="214">
        <v>0</v>
      </c>
      <c r="T1074" s="214">
        <v>0</v>
      </c>
      <c r="U1074" s="214">
        <v>0</v>
      </c>
      <c r="V1074" s="214">
        <v>0</v>
      </c>
      <c r="W1074" s="214">
        <v>0</v>
      </c>
      <c r="X1074" s="214">
        <v>0</v>
      </c>
      <c r="Y1074" s="214">
        <v>0</v>
      </c>
      <c r="Z1074" s="214">
        <v>0</v>
      </c>
      <c r="AA1074" s="214">
        <v>0</v>
      </c>
      <c r="AB1074" s="214">
        <v>0</v>
      </c>
      <c r="AC1074" s="214">
        <v>0</v>
      </c>
      <c r="AD1074" s="215"/>
      <c r="AE1074" s="420">
        <v>0</v>
      </c>
      <c r="AF1074" s="420">
        <v>0</v>
      </c>
      <c r="AG1074" s="420">
        <v>0</v>
      </c>
      <c r="AH1074" s="420"/>
      <c r="AI1074" s="574">
        <f t="shared" si="26"/>
        <v>0</v>
      </c>
      <c r="AJ1074" s="212"/>
    </row>
    <row r="1075" spans="2:36" ht="14.4">
      <c r="B1075" s="211"/>
      <c r="C1075" s="213" t="s">
        <v>85</v>
      </c>
      <c r="D1075" s="214">
        <v>0</v>
      </c>
      <c r="E1075" s="214">
        <v>0</v>
      </c>
      <c r="F1075" s="214">
        <v>200</v>
      </c>
      <c r="G1075" s="214">
        <v>0</v>
      </c>
      <c r="H1075" s="214">
        <v>200</v>
      </c>
      <c r="I1075" s="214">
        <v>18085</v>
      </c>
      <c r="J1075" s="214">
        <v>200</v>
      </c>
      <c r="K1075" s="214">
        <v>200</v>
      </c>
      <c r="L1075" s="214">
        <v>200</v>
      </c>
      <c r="M1075" s="214">
        <v>200</v>
      </c>
      <c r="N1075" s="214">
        <v>200</v>
      </c>
      <c r="O1075" s="214">
        <v>200</v>
      </c>
      <c r="P1075" s="214">
        <v>200</v>
      </c>
      <c r="Q1075" s="214">
        <v>200</v>
      </c>
      <c r="R1075" s="214">
        <v>0</v>
      </c>
      <c r="S1075" s="214">
        <v>0</v>
      </c>
      <c r="T1075" s="214">
        <v>0</v>
      </c>
      <c r="U1075" s="214">
        <v>200</v>
      </c>
      <c r="V1075" s="214">
        <v>200</v>
      </c>
      <c r="W1075" s="214">
        <v>200</v>
      </c>
      <c r="X1075" s="214">
        <v>6085</v>
      </c>
      <c r="Y1075" s="214">
        <v>200</v>
      </c>
      <c r="Z1075" s="214">
        <v>200</v>
      </c>
      <c r="AA1075" s="214">
        <v>200</v>
      </c>
      <c r="AB1075" s="214">
        <v>200</v>
      </c>
      <c r="AC1075" s="214">
        <v>200</v>
      </c>
      <c r="AD1075" s="215"/>
      <c r="AE1075" s="420">
        <v>200</v>
      </c>
      <c r="AF1075" s="420">
        <v>200</v>
      </c>
      <c r="AG1075" s="420">
        <v>200</v>
      </c>
      <c r="AH1075" s="420"/>
      <c r="AI1075" s="574">
        <f t="shared" si="26"/>
        <v>28370</v>
      </c>
      <c r="AJ1075" s="212"/>
    </row>
    <row r="1076" spans="2:36" ht="14.4">
      <c r="B1076" s="211"/>
      <c r="C1076" s="213" t="s">
        <v>86</v>
      </c>
      <c r="D1076" s="214">
        <v>0</v>
      </c>
      <c r="E1076" s="214">
        <v>0</v>
      </c>
      <c r="F1076" s="214">
        <v>0</v>
      </c>
      <c r="G1076" s="214">
        <v>0</v>
      </c>
      <c r="H1076" s="214">
        <v>0</v>
      </c>
      <c r="I1076" s="214">
        <v>0</v>
      </c>
      <c r="J1076" s="214">
        <v>0</v>
      </c>
      <c r="K1076" s="214">
        <v>0</v>
      </c>
      <c r="L1076" s="214">
        <v>0</v>
      </c>
      <c r="M1076" s="214">
        <v>0</v>
      </c>
      <c r="N1076" s="214">
        <v>0</v>
      </c>
      <c r="O1076" s="214">
        <v>0</v>
      </c>
      <c r="P1076" s="214">
        <v>0</v>
      </c>
      <c r="Q1076" s="214">
        <v>0</v>
      </c>
      <c r="R1076" s="214">
        <v>0</v>
      </c>
      <c r="S1076" s="214">
        <v>0</v>
      </c>
      <c r="T1076" s="214">
        <v>0</v>
      </c>
      <c r="U1076" s="214">
        <v>0</v>
      </c>
      <c r="V1076" s="214">
        <v>0</v>
      </c>
      <c r="W1076" s="214">
        <v>0</v>
      </c>
      <c r="X1076" s="214">
        <v>0</v>
      </c>
      <c r="Y1076" s="214">
        <v>0</v>
      </c>
      <c r="Z1076" s="214">
        <v>0</v>
      </c>
      <c r="AA1076" s="214">
        <v>0</v>
      </c>
      <c r="AB1076" s="214">
        <v>0</v>
      </c>
      <c r="AC1076" s="214">
        <v>0</v>
      </c>
      <c r="AD1076" s="215"/>
      <c r="AE1076" s="420">
        <v>0</v>
      </c>
      <c r="AF1076" s="420">
        <v>0</v>
      </c>
      <c r="AG1076" s="420">
        <v>0</v>
      </c>
      <c r="AH1076" s="420"/>
      <c r="AI1076" s="574">
        <f t="shared" si="26"/>
        <v>0</v>
      </c>
      <c r="AJ1076" s="212"/>
    </row>
    <row r="1077" spans="2:36" ht="14.4">
      <c r="B1077" s="211"/>
      <c r="C1077" s="213" t="s">
        <v>87</v>
      </c>
      <c r="D1077" s="214">
        <v>0</v>
      </c>
      <c r="E1077" s="214">
        <v>0</v>
      </c>
      <c r="F1077" s="214">
        <v>0</v>
      </c>
      <c r="G1077" s="214">
        <v>0</v>
      </c>
      <c r="H1077" s="214">
        <v>0</v>
      </c>
      <c r="I1077" s="214">
        <v>0</v>
      </c>
      <c r="J1077" s="214">
        <v>0</v>
      </c>
      <c r="K1077" s="214">
        <v>0</v>
      </c>
      <c r="L1077" s="214">
        <v>0</v>
      </c>
      <c r="M1077" s="214">
        <v>0</v>
      </c>
      <c r="N1077" s="214">
        <v>0</v>
      </c>
      <c r="O1077" s="214">
        <v>0</v>
      </c>
      <c r="P1077" s="214">
        <v>0</v>
      </c>
      <c r="Q1077" s="214">
        <v>0</v>
      </c>
      <c r="R1077" s="214">
        <v>0</v>
      </c>
      <c r="S1077" s="214">
        <v>0</v>
      </c>
      <c r="T1077" s="214">
        <v>0</v>
      </c>
      <c r="U1077" s="214">
        <v>0</v>
      </c>
      <c r="V1077" s="214">
        <v>0</v>
      </c>
      <c r="W1077" s="214">
        <v>0</v>
      </c>
      <c r="X1077" s="214">
        <v>0</v>
      </c>
      <c r="Y1077" s="214">
        <v>0</v>
      </c>
      <c r="Z1077" s="214">
        <v>0</v>
      </c>
      <c r="AA1077" s="214">
        <v>0</v>
      </c>
      <c r="AB1077" s="214">
        <v>0</v>
      </c>
      <c r="AC1077" s="214">
        <v>0</v>
      </c>
      <c r="AD1077" s="215"/>
      <c r="AE1077" s="420">
        <v>0</v>
      </c>
      <c r="AF1077" s="420">
        <v>0</v>
      </c>
      <c r="AG1077" s="420">
        <v>0</v>
      </c>
      <c r="AH1077" s="420"/>
      <c r="AI1077" s="574">
        <f t="shared" si="26"/>
        <v>0</v>
      </c>
      <c r="AJ1077" s="212"/>
    </row>
    <row r="1078" spans="2:36" ht="14.4">
      <c r="B1078" s="211"/>
      <c r="C1078" s="213" t="s">
        <v>88</v>
      </c>
      <c r="D1078" s="214">
        <v>0</v>
      </c>
      <c r="E1078" s="214">
        <v>0</v>
      </c>
      <c r="F1078" s="214">
        <v>0</v>
      </c>
      <c r="G1078" s="214">
        <v>0</v>
      </c>
      <c r="H1078" s="214">
        <v>0</v>
      </c>
      <c r="I1078" s="214">
        <v>0</v>
      </c>
      <c r="J1078" s="214">
        <v>0</v>
      </c>
      <c r="K1078" s="214">
        <v>0</v>
      </c>
      <c r="L1078" s="214">
        <v>0</v>
      </c>
      <c r="M1078" s="214">
        <v>0</v>
      </c>
      <c r="N1078" s="214">
        <v>0</v>
      </c>
      <c r="O1078" s="214">
        <v>0</v>
      </c>
      <c r="P1078" s="214">
        <v>0</v>
      </c>
      <c r="Q1078" s="214">
        <v>0</v>
      </c>
      <c r="R1078" s="214">
        <v>0</v>
      </c>
      <c r="S1078" s="214">
        <v>0</v>
      </c>
      <c r="T1078" s="214">
        <v>0</v>
      </c>
      <c r="U1078" s="214">
        <v>0</v>
      </c>
      <c r="V1078" s="214">
        <v>0</v>
      </c>
      <c r="W1078" s="214">
        <v>0</v>
      </c>
      <c r="X1078" s="214">
        <v>0</v>
      </c>
      <c r="Y1078" s="214">
        <v>0</v>
      </c>
      <c r="Z1078" s="214">
        <v>0</v>
      </c>
      <c r="AA1078" s="214">
        <v>0</v>
      </c>
      <c r="AB1078" s="214">
        <v>0</v>
      </c>
      <c r="AC1078" s="214">
        <v>0</v>
      </c>
      <c r="AD1078" s="215"/>
      <c r="AE1078" s="420">
        <v>0</v>
      </c>
      <c r="AF1078" s="420">
        <v>0</v>
      </c>
      <c r="AG1078" s="420">
        <v>0</v>
      </c>
      <c r="AH1078" s="420"/>
      <c r="AI1078" s="574">
        <f t="shared" si="26"/>
        <v>0</v>
      </c>
      <c r="AJ1078" s="212"/>
    </row>
    <row r="1079" spans="2:36" ht="14.4">
      <c r="B1079" s="211"/>
      <c r="C1079" s="213" t="s">
        <v>89</v>
      </c>
      <c r="D1079" s="214">
        <v>85921</v>
      </c>
      <c r="E1079" s="214">
        <v>0</v>
      </c>
      <c r="F1079" s="214">
        <v>0</v>
      </c>
      <c r="G1079" s="214">
        <v>0</v>
      </c>
      <c r="H1079" s="214">
        <v>0</v>
      </c>
      <c r="I1079" s="214">
        <v>0</v>
      </c>
      <c r="J1079" s="214">
        <v>0</v>
      </c>
      <c r="K1079" s="214">
        <v>0</v>
      </c>
      <c r="L1079" s="214">
        <v>0</v>
      </c>
      <c r="M1079" s="214">
        <v>0</v>
      </c>
      <c r="N1079" s="214">
        <v>0</v>
      </c>
      <c r="O1079" s="214">
        <v>0</v>
      </c>
      <c r="P1079" s="214">
        <v>0</v>
      </c>
      <c r="Q1079" s="214">
        <v>0</v>
      </c>
      <c r="R1079" s="214">
        <v>0</v>
      </c>
      <c r="S1079" s="214">
        <v>0</v>
      </c>
      <c r="T1079" s="214">
        <v>0</v>
      </c>
      <c r="U1079" s="214">
        <v>0</v>
      </c>
      <c r="V1079" s="214">
        <v>0</v>
      </c>
      <c r="W1079" s="214">
        <v>0</v>
      </c>
      <c r="X1079" s="214">
        <v>0</v>
      </c>
      <c r="Y1079" s="214">
        <v>0</v>
      </c>
      <c r="Z1079" s="214">
        <v>0</v>
      </c>
      <c r="AA1079" s="214">
        <v>0</v>
      </c>
      <c r="AB1079" s="214">
        <v>0</v>
      </c>
      <c r="AC1079" s="214">
        <v>0</v>
      </c>
      <c r="AD1079" s="215"/>
      <c r="AE1079" s="420">
        <v>0</v>
      </c>
      <c r="AF1079" s="420">
        <v>0</v>
      </c>
      <c r="AG1079" s="420">
        <v>0</v>
      </c>
      <c r="AH1079" s="420"/>
      <c r="AI1079" s="574">
        <f t="shared" si="26"/>
        <v>85921</v>
      </c>
      <c r="AJ1079" s="212"/>
    </row>
    <row r="1080" spans="2:36" ht="14.4">
      <c r="B1080" s="211"/>
      <c r="C1080" s="213" t="s">
        <v>33</v>
      </c>
      <c r="D1080" s="214">
        <v>9090</v>
      </c>
      <c r="E1080" s="214">
        <v>1825</v>
      </c>
      <c r="F1080" s="214">
        <v>0</v>
      </c>
      <c r="G1080" s="214">
        <v>1825</v>
      </c>
      <c r="H1080" s="214">
        <v>0</v>
      </c>
      <c r="I1080" s="214">
        <v>1921</v>
      </c>
      <c r="J1080" s="214">
        <v>0</v>
      </c>
      <c r="K1080" s="214">
        <v>0</v>
      </c>
      <c r="L1080" s="214">
        <v>0</v>
      </c>
      <c r="M1080" s="214">
        <v>0</v>
      </c>
      <c r="N1080" s="214">
        <v>0</v>
      </c>
      <c r="O1080" s="214">
        <v>0</v>
      </c>
      <c r="P1080" s="214">
        <v>0</v>
      </c>
      <c r="Q1080" s="214">
        <v>0</v>
      </c>
      <c r="R1080" s="214">
        <v>0</v>
      </c>
      <c r="S1080" s="214">
        <v>0</v>
      </c>
      <c r="T1080" s="214">
        <v>0</v>
      </c>
      <c r="U1080" s="214">
        <v>0</v>
      </c>
      <c r="V1080" s="214">
        <v>0</v>
      </c>
      <c r="W1080" s="214">
        <v>0</v>
      </c>
      <c r="X1080" s="214">
        <v>0</v>
      </c>
      <c r="Y1080" s="214">
        <v>0</v>
      </c>
      <c r="Z1080" s="214">
        <v>0</v>
      </c>
      <c r="AA1080" s="214">
        <v>0</v>
      </c>
      <c r="AB1080" s="214">
        <v>0</v>
      </c>
      <c r="AC1080" s="214">
        <v>0</v>
      </c>
      <c r="AD1080" s="215"/>
      <c r="AE1080" s="420">
        <v>0</v>
      </c>
      <c r="AF1080" s="420">
        <v>0</v>
      </c>
      <c r="AG1080" s="420">
        <v>0</v>
      </c>
      <c r="AH1080" s="420"/>
      <c r="AI1080" s="574">
        <f t="shared" si="26"/>
        <v>14661</v>
      </c>
      <c r="AJ1080" s="212"/>
    </row>
    <row r="1081" spans="2:36" ht="14.4">
      <c r="B1081" s="211"/>
      <c r="C1081" s="213" t="s">
        <v>90</v>
      </c>
      <c r="D1081" s="214">
        <v>0</v>
      </c>
      <c r="E1081" s="214">
        <v>0</v>
      </c>
      <c r="F1081" s="214">
        <v>0</v>
      </c>
      <c r="G1081" s="214">
        <v>0</v>
      </c>
      <c r="H1081" s="214">
        <v>0</v>
      </c>
      <c r="I1081" s="214">
        <v>0</v>
      </c>
      <c r="J1081" s="214">
        <v>0</v>
      </c>
      <c r="K1081" s="214">
        <v>0</v>
      </c>
      <c r="L1081" s="214">
        <v>0</v>
      </c>
      <c r="M1081" s="214">
        <v>0</v>
      </c>
      <c r="N1081" s="214">
        <v>0</v>
      </c>
      <c r="O1081" s="214">
        <v>0</v>
      </c>
      <c r="P1081" s="214">
        <v>0</v>
      </c>
      <c r="Q1081" s="214">
        <v>0</v>
      </c>
      <c r="R1081" s="214">
        <v>0</v>
      </c>
      <c r="S1081" s="214">
        <v>0</v>
      </c>
      <c r="T1081" s="214">
        <v>0</v>
      </c>
      <c r="U1081" s="214">
        <v>0</v>
      </c>
      <c r="V1081" s="214">
        <v>0</v>
      </c>
      <c r="W1081" s="214">
        <v>0</v>
      </c>
      <c r="X1081" s="214">
        <v>0</v>
      </c>
      <c r="Y1081" s="214">
        <v>0</v>
      </c>
      <c r="Z1081" s="214">
        <v>0</v>
      </c>
      <c r="AA1081" s="214">
        <v>0</v>
      </c>
      <c r="AB1081" s="214">
        <v>0</v>
      </c>
      <c r="AC1081" s="214">
        <v>0</v>
      </c>
      <c r="AD1081" s="215"/>
      <c r="AE1081" s="420">
        <v>0</v>
      </c>
      <c r="AF1081" s="420">
        <v>0</v>
      </c>
      <c r="AG1081" s="420">
        <v>0</v>
      </c>
      <c r="AH1081" s="420"/>
      <c r="AI1081" s="574">
        <f t="shared" si="26"/>
        <v>0</v>
      </c>
      <c r="AJ1081" s="212"/>
    </row>
    <row r="1082" spans="2:36" ht="14.4">
      <c r="B1082" s="211"/>
      <c r="C1082" s="213" t="s">
        <v>91</v>
      </c>
      <c r="D1082" s="214">
        <v>184472.5</v>
      </c>
      <c r="E1082" s="214">
        <v>0</v>
      </c>
      <c r="F1082" s="214">
        <v>0</v>
      </c>
      <c r="G1082" s="214">
        <v>0</v>
      </c>
      <c r="H1082" s="214">
        <v>0</v>
      </c>
      <c r="I1082" s="214">
        <v>0</v>
      </c>
      <c r="J1082" s="214">
        <v>0</v>
      </c>
      <c r="K1082" s="214">
        <v>0</v>
      </c>
      <c r="L1082" s="214">
        <v>0</v>
      </c>
      <c r="M1082" s="214">
        <v>0</v>
      </c>
      <c r="N1082" s="214">
        <v>0</v>
      </c>
      <c r="O1082" s="214">
        <v>0</v>
      </c>
      <c r="P1082" s="214">
        <v>0</v>
      </c>
      <c r="Q1082" s="214">
        <v>0</v>
      </c>
      <c r="R1082" s="214">
        <v>0</v>
      </c>
      <c r="S1082" s="214">
        <v>0</v>
      </c>
      <c r="T1082" s="214">
        <v>0</v>
      </c>
      <c r="U1082" s="214">
        <v>0</v>
      </c>
      <c r="V1082" s="214">
        <v>0</v>
      </c>
      <c r="W1082" s="214">
        <v>0</v>
      </c>
      <c r="X1082" s="214">
        <v>0</v>
      </c>
      <c r="Y1082" s="214">
        <v>0</v>
      </c>
      <c r="Z1082" s="214">
        <v>0</v>
      </c>
      <c r="AA1082" s="214">
        <v>0</v>
      </c>
      <c r="AB1082" s="214">
        <v>0</v>
      </c>
      <c r="AC1082" s="214">
        <v>0</v>
      </c>
      <c r="AD1082" s="215"/>
      <c r="AE1082" s="420">
        <v>0</v>
      </c>
      <c r="AF1082" s="420">
        <v>0</v>
      </c>
      <c r="AG1082" s="420">
        <v>0</v>
      </c>
      <c r="AH1082" s="420"/>
      <c r="AI1082" s="574">
        <f t="shared" ref="AI1082:AI1130" si="27">SUM(D1082:AH1082)</f>
        <v>184472.5</v>
      </c>
      <c r="AJ1082" s="212"/>
    </row>
    <row r="1083" spans="2:36" ht="14.4">
      <c r="B1083" s="211"/>
      <c r="C1083" s="213" t="s">
        <v>92</v>
      </c>
      <c r="D1083" s="214">
        <v>0</v>
      </c>
      <c r="E1083" s="214">
        <v>0</v>
      </c>
      <c r="F1083" s="214">
        <v>0</v>
      </c>
      <c r="G1083" s="214">
        <v>0</v>
      </c>
      <c r="H1083" s="214">
        <v>0</v>
      </c>
      <c r="I1083" s="214">
        <v>0</v>
      </c>
      <c r="J1083" s="214">
        <v>0</v>
      </c>
      <c r="K1083" s="214">
        <v>0</v>
      </c>
      <c r="L1083" s="214">
        <v>0</v>
      </c>
      <c r="M1083" s="214">
        <v>0</v>
      </c>
      <c r="N1083" s="214">
        <v>0</v>
      </c>
      <c r="O1083" s="214">
        <v>0</v>
      </c>
      <c r="P1083" s="214">
        <v>0</v>
      </c>
      <c r="Q1083" s="214">
        <v>0</v>
      </c>
      <c r="R1083" s="214">
        <v>0</v>
      </c>
      <c r="S1083" s="214">
        <v>0</v>
      </c>
      <c r="T1083" s="214">
        <v>0</v>
      </c>
      <c r="U1083" s="214">
        <v>0</v>
      </c>
      <c r="V1083" s="214">
        <v>0</v>
      </c>
      <c r="W1083" s="214">
        <v>0</v>
      </c>
      <c r="X1083" s="214">
        <v>0</v>
      </c>
      <c r="Y1083" s="214">
        <v>0</v>
      </c>
      <c r="Z1083" s="214">
        <v>0</v>
      </c>
      <c r="AA1083" s="214">
        <v>0</v>
      </c>
      <c r="AB1083" s="214">
        <v>0</v>
      </c>
      <c r="AC1083" s="214">
        <v>0</v>
      </c>
      <c r="AD1083" s="215"/>
      <c r="AE1083" s="420">
        <v>0</v>
      </c>
      <c r="AF1083" s="420">
        <v>0</v>
      </c>
      <c r="AG1083" s="420">
        <v>0</v>
      </c>
      <c r="AH1083" s="420"/>
      <c r="AI1083" s="574">
        <f t="shared" si="27"/>
        <v>0</v>
      </c>
      <c r="AJ1083" s="212"/>
    </row>
    <row r="1084" spans="2:36" ht="14.4">
      <c r="B1084" s="211"/>
      <c r="C1084" s="213" t="s">
        <v>93</v>
      </c>
      <c r="D1084" s="214">
        <v>0</v>
      </c>
      <c r="E1084" s="214">
        <v>0</v>
      </c>
      <c r="F1084" s="214">
        <v>0</v>
      </c>
      <c r="G1084" s="214">
        <v>0</v>
      </c>
      <c r="H1084" s="214">
        <v>0</v>
      </c>
      <c r="I1084" s="214">
        <v>0</v>
      </c>
      <c r="J1084" s="214">
        <v>0</v>
      </c>
      <c r="K1084" s="214">
        <v>0</v>
      </c>
      <c r="L1084" s="214">
        <v>0</v>
      </c>
      <c r="M1084" s="214">
        <v>0</v>
      </c>
      <c r="N1084" s="214">
        <v>0</v>
      </c>
      <c r="O1084" s="214">
        <v>0</v>
      </c>
      <c r="P1084" s="214">
        <v>0</v>
      </c>
      <c r="Q1084" s="214">
        <v>0</v>
      </c>
      <c r="R1084" s="214">
        <v>0</v>
      </c>
      <c r="S1084" s="214">
        <v>0</v>
      </c>
      <c r="T1084" s="214">
        <v>0</v>
      </c>
      <c r="U1084" s="214">
        <v>0</v>
      </c>
      <c r="V1084" s="214">
        <v>0</v>
      </c>
      <c r="W1084" s="214">
        <v>0</v>
      </c>
      <c r="X1084" s="214">
        <v>0</v>
      </c>
      <c r="Y1084" s="214">
        <v>0</v>
      </c>
      <c r="Z1084" s="214">
        <v>0</v>
      </c>
      <c r="AA1084" s="214">
        <v>0</v>
      </c>
      <c r="AB1084" s="214">
        <v>0</v>
      </c>
      <c r="AC1084" s="214">
        <v>0</v>
      </c>
      <c r="AD1084" s="215"/>
      <c r="AE1084" s="420">
        <v>0</v>
      </c>
      <c r="AF1084" s="420">
        <v>0</v>
      </c>
      <c r="AG1084" s="420">
        <v>0</v>
      </c>
      <c r="AH1084" s="420"/>
      <c r="AI1084" s="574">
        <f t="shared" si="27"/>
        <v>0</v>
      </c>
      <c r="AJ1084" s="212"/>
    </row>
    <row r="1085" spans="2:36" ht="14.4">
      <c r="B1085" s="211"/>
      <c r="C1085" s="213" t="s">
        <v>94</v>
      </c>
      <c r="D1085" s="214">
        <v>158835</v>
      </c>
      <c r="E1085" s="214">
        <v>7715</v>
      </c>
      <c r="F1085" s="214">
        <v>5950</v>
      </c>
      <c r="G1085" s="214">
        <v>6500</v>
      </c>
      <c r="H1085" s="214">
        <v>2500</v>
      </c>
      <c r="I1085" s="214">
        <v>1050</v>
      </c>
      <c r="J1085" s="214">
        <v>0</v>
      </c>
      <c r="K1085" s="214">
        <v>0</v>
      </c>
      <c r="L1085" s="214">
        <v>600</v>
      </c>
      <c r="M1085" s="214">
        <v>2000</v>
      </c>
      <c r="N1085" s="214">
        <v>0</v>
      </c>
      <c r="O1085" s="214">
        <v>60</v>
      </c>
      <c r="P1085" s="214">
        <v>3000</v>
      </c>
      <c r="Q1085" s="214">
        <v>4265</v>
      </c>
      <c r="R1085" s="214">
        <v>2200</v>
      </c>
      <c r="S1085" s="214">
        <v>520</v>
      </c>
      <c r="T1085" s="214">
        <v>0</v>
      </c>
      <c r="U1085" s="214">
        <v>0</v>
      </c>
      <c r="V1085" s="214">
        <v>0</v>
      </c>
      <c r="W1085" s="214">
        <v>0</v>
      </c>
      <c r="X1085" s="214">
        <v>400</v>
      </c>
      <c r="Y1085" s="214">
        <v>0</v>
      </c>
      <c r="Z1085" s="214">
        <v>0</v>
      </c>
      <c r="AA1085" s="214">
        <v>0</v>
      </c>
      <c r="AB1085" s="214">
        <v>0</v>
      </c>
      <c r="AC1085" s="214">
        <v>0</v>
      </c>
      <c r="AD1085" s="215"/>
      <c r="AE1085" s="420">
        <v>6000</v>
      </c>
      <c r="AF1085" s="420">
        <v>0</v>
      </c>
      <c r="AG1085" s="420">
        <v>0</v>
      </c>
      <c r="AH1085" s="420"/>
      <c r="AI1085" s="574">
        <f t="shared" si="27"/>
        <v>201595</v>
      </c>
      <c r="AJ1085" s="212"/>
    </row>
    <row r="1086" spans="2:36" ht="14.4">
      <c r="B1086" s="211"/>
      <c r="C1086" s="213" t="s">
        <v>95</v>
      </c>
      <c r="D1086" s="214">
        <v>0</v>
      </c>
      <c r="E1086" s="214">
        <v>0</v>
      </c>
      <c r="F1086" s="214">
        <v>0</v>
      </c>
      <c r="G1086" s="214">
        <v>0</v>
      </c>
      <c r="H1086" s="214">
        <v>0</v>
      </c>
      <c r="I1086" s="214">
        <v>0</v>
      </c>
      <c r="J1086" s="214">
        <v>0</v>
      </c>
      <c r="K1086" s="214">
        <v>0</v>
      </c>
      <c r="L1086" s="214">
        <v>0</v>
      </c>
      <c r="M1086" s="214">
        <v>0</v>
      </c>
      <c r="N1086" s="214">
        <v>0</v>
      </c>
      <c r="O1086" s="214">
        <v>0</v>
      </c>
      <c r="P1086" s="214">
        <v>0</v>
      </c>
      <c r="Q1086" s="214">
        <v>0</v>
      </c>
      <c r="R1086" s="214">
        <v>0</v>
      </c>
      <c r="S1086" s="214">
        <v>2650</v>
      </c>
      <c r="T1086" s="214">
        <v>0</v>
      </c>
      <c r="U1086" s="214">
        <v>0</v>
      </c>
      <c r="V1086" s="214">
        <v>0</v>
      </c>
      <c r="W1086" s="214">
        <v>0</v>
      </c>
      <c r="X1086" s="214">
        <v>0</v>
      </c>
      <c r="Y1086" s="214">
        <v>0</v>
      </c>
      <c r="Z1086" s="214">
        <v>0</v>
      </c>
      <c r="AA1086" s="214">
        <v>0</v>
      </c>
      <c r="AB1086" s="214">
        <v>0</v>
      </c>
      <c r="AC1086" s="214">
        <v>0</v>
      </c>
      <c r="AD1086" s="215"/>
      <c r="AE1086" s="420">
        <v>0</v>
      </c>
      <c r="AF1086" s="420">
        <v>0</v>
      </c>
      <c r="AG1086" s="420">
        <v>0</v>
      </c>
      <c r="AH1086" s="420"/>
      <c r="AI1086" s="574">
        <f t="shared" si="27"/>
        <v>2650</v>
      </c>
      <c r="AJ1086" s="212"/>
    </row>
    <row r="1087" spans="2:36" ht="14.4">
      <c r="B1087" s="211"/>
      <c r="C1087" s="213" t="s">
        <v>96</v>
      </c>
      <c r="D1087" s="214">
        <v>0</v>
      </c>
      <c r="E1087" s="214">
        <v>0</v>
      </c>
      <c r="F1087" s="214">
        <v>0</v>
      </c>
      <c r="G1087" s="214">
        <v>0</v>
      </c>
      <c r="H1087" s="214">
        <v>0</v>
      </c>
      <c r="I1087" s="214">
        <v>0</v>
      </c>
      <c r="J1087" s="214">
        <v>0</v>
      </c>
      <c r="K1087" s="214">
        <v>0</v>
      </c>
      <c r="L1087" s="214">
        <v>0</v>
      </c>
      <c r="M1087" s="214">
        <v>0</v>
      </c>
      <c r="N1087" s="214">
        <v>0</v>
      </c>
      <c r="O1087" s="214">
        <v>0</v>
      </c>
      <c r="P1087" s="214">
        <v>0</v>
      </c>
      <c r="Q1087" s="214">
        <v>0</v>
      </c>
      <c r="R1087" s="214">
        <v>0</v>
      </c>
      <c r="S1087" s="214">
        <v>0</v>
      </c>
      <c r="T1087" s="214">
        <v>0</v>
      </c>
      <c r="U1087" s="214">
        <v>0</v>
      </c>
      <c r="V1087" s="214">
        <v>0</v>
      </c>
      <c r="W1087" s="214">
        <v>0</v>
      </c>
      <c r="X1087" s="214">
        <v>0</v>
      </c>
      <c r="Y1087" s="214">
        <v>0</v>
      </c>
      <c r="Z1087" s="214">
        <v>0</v>
      </c>
      <c r="AA1087" s="214">
        <v>0</v>
      </c>
      <c r="AB1087" s="214">
        <v>0</v>
      </c>
      <c r="AC1087" s="214">
        <v>0</v>
      </c>
      <c r="AD1087" s="215"/>
      <c r="AE1087" s="420">
        <v>0</v>
      </c>
      <c r="AF1087" s="420">
        <v>0</v>
      </c>
      <c r="AG1087" s="420">
        <v>0</v>
      </c>
      <c r="AH1087" s="420"/>
      <c r="AI1087" s="574">
        <f t="shared" si="27"/>
        <v>0</v>
      </c>
      <c r="AJ1087" s="212"/>
    </row>
    <row r="1088" spans="2:36" ht="14.4">
      <c r="B1088" s="211"/>
      <c r="C1088" s="213" t="s">
        <v>97</v>
      </c>
      <c r="D1088" s="214">
        <v>2327.8200000000002</v>
      </c>
      <c r="E1088" s="214">
        <v>0</v>
      </c>
      <c r="F1088" s="214">
        <v>0</v>
      </c>
      <c r="G1088" s="214">
        <v>0</v>
      </c>
      <c r="H1088" s="214">
        <v>823.96</v>
      </c>
      <c r="I1088" s="214">
        <v>400.96</v>
      </c>
      <c r="J1088" s="214">
        <v>0</v>
      </c>
      <c r="K1088" s="214">
        <v>400.96</v>
      </c>
      <c r="L1088" s="214">
        <v>0</v>
      </c>
      <c r="M1088" s="214">
        <v>808.24</v>
      </c>
      <c r="N1088" s="214">
        <v>400.96</v>
      </c>
      <c r="O1088" s="214">
        <v>0</v>
      </c>
      <c r="P1088" s="214">
        <v>423</v>
      </c>
      <c r="Q1088" s="214">
        <v>1191.93</v>
      </c>
      <c r="R1088" s="214">
        <v>400.96</v>
      </c>
      <c r="S1088" s="214">
        <v>823.96</v>
      </c>
      <c r="T1088" s="214">
        <v>0</v>
      </c>
      <c r="U1088" s="214">
        <v>469.07</v>
      </c>
      <c r="V1088" s="214">
        <v>0</v>
      </c>
      <c r="W1088" s="214">
        <v>0</v>
      </c>
      <c r="X1088" s="214">
        <v>400.96</v>
      </c>
      <c r="Y1088" s="214">
        <v>200</v>
      </c>
      <c r="Z1088" s="214">
        <v>0</v>
      </c>
      <c r="AA1088" s="214">
        <v>400.96</v>
      </c>
      <c r="AB1088" s="214">
        <v>0</v>
      </c>
      <c r="AC1088" s="214">
        <v>609</v>
      </c>
      <c r="AD1088" s="215"/>
      <c r="AE1088" s="420">
        <v>400</v>
      </c>
      <c r="AF1088" s="420">
        <v>0</v>
      </c>
      <c r="AG1088" s="420">
        <v>0</v>
      </c>
      <c r="AH1088" s="420"/>
      <c r="AI1088" s="574">
        <f t="shared" si="27"/>
        <v>10482.74</v>
      </c>
      <c r="AJ1088" s="212"/>
    </row>
    <row r="1089" spans="2:36" ht="14.4">
      <c r="B1089" s="211"/>
      <c r="C1089" s="213" t="s">
        <v>192</v>
      </c>
      <c r="D1089" s="214">
        <v>2130</v>
      </c>
      <c r="E1089" s="214">
        <v>2130</v>
      </c>
      <c r="F1089" s="214">
        <v>2130</v>
      </c>
      <c r="G1089" s="214">
        <v>2130</v>
      </c>
      <c r="H1089" s="214">
        <v>2130</v>
      </c>
      <c r="I1089" s="214">
        <v>2130</v>
      </c>
      <c r="J1089" s="214">
        <v>2130</v>
      </c>
      <c r="K1089" s="214">
        <v>2130</v>
      </c>
      <c r="L1089" s="214">
        <v>2130</v>
      </c>
      <c r="M1089" s="214">
        <v>2130</v>
      </c>
      <c r="N1089" s="214">
        <v>2130</v>
      </c>
      <c r="O1089" s="214">
        <v>2130</v>
      </c>
      <c r="P1089" s="214">
        <v>2130</v>
      </c>
      <c r="Q1089" s="214">
        <v>2130</v>
      </c>
      <c r="R1089" s="214">
        <v>2130</v>
      </c>
      <c r="S1089" s="214">
        <v>2130</v>
      </c>
      <c r="T1089" s="214">
        <v>2130</v>
      </c>
      <c r="U1089" s="214">
        <v>2130</v>
      </c>
      <c r="V1089" s="214">
        <v>2130</v>
      </c>
      <c r="W1089" s="214">
        <v>2130</v>
      </c>
      <c r="X1089" s="214">
        <v>2130</v>
      </c>
      <c r="Y1089" s="214">
        <v>2130</v>
      </c>
      <c r="Z1089" s="214">
        <v>2130</v>
      </c>
      <c r="AA1089" s="214">
        <v>2130</v>
      </c>
      <c r="AB1089" s="214">
        <v>2130</v>
      </c>
      <c r="AC1089" s="214">
        <v>2130</v>
      </c>
      <c r="AD1089" s="215"/>
      <c r="AE1089" s="420">
        <v>2130</v>
      </c>
      <c r="AF1089" s="420">
        <v>2130</v>
      </c>
      <c r="AG1089" s="420">
        <v>2130</v>
      </c>
      <c r="AH1089" s="420"/>
      <c r="AI1089" s="574">
        <f t="shared" si="27"/>
        <v>61770</v>
      </c>
      <c r="AJ1089" s="212"/>
    </row>
    <row r="1090" spans="2:36" ht="14.4">
      <c r="B1090" s="211"/>
      <c r="C1090" s="213" t="s">
        <v>98</v>
      </c>
      <c r="D1090" s="214">
        <v>0</v>
      </c>
      <c r="E1090" s="214">
        <v>0</v>
      </c>
      <c r="F1090" s="214">
        <v>0</v>
      </c>
      <c r="G1090" s="214">
        <v>0</v>
      </c>
      <c r="H1090" s="214">
        <v>0</v>
      </c>
      <c r="I1090" s="214">
        <v>0</v>
      </c>
      <c r="J1090" s="214">
        <v>0</v>
      </c>
      <c r="K1090" s="214">
        <v>0</v>
      </c>
      <c r="L1090" s="214">
        <v>0</v>
      </c>
      <c r="M1090" s="214">
        <v>0</v>
      </c>
      <c r="N1090" s="214">
        <v>0</v>
      </c>
      <c r="O1090" s="214">
        <v>0</v>
      </c>
      <c r="P1090" s="214">
        <v>0</v>
      </c>
      <c r="Q1090" s="214">
        <v>0</v>
      </c>
      <c r="R1090" s="214">
        <v>0</v>
      </c>
      <c r="S1090" s="214">
        <v>0</v>
      </c>
      <c r="T1090" s="214">
        <v>0</v>
      </c>
      <c r="U1090" s="214">
        <v>0</v>
      </c>
      <c r="V1090" s="214">
        <v>0</v>
      </c>
      <c r="W1090" s="214">
        <v>0</v>
      </c>
      <c r="X1090" s="214">
        <v>0</v>
      </c>
      <c r="Y1090" s="214">
        <v>0</v>
      </c>
      <c r="Z1090" s="214">
        <v>0</v>
      </c>
      <c r="AA1090" s="214">
        <v>0</v>
      </c>
      <c r="AB1090" s="214">
        <v>0</v>
      </c>
      <c r="AC1090" s="214">
        <v>0</v>
      </c>
      <c r="AD1090" s="215"/>
      <c r="AE1090" s="420">
        <v>0</v>
      </c>
      <c r="AF1090" s="420">
        <v>0</v>
      </c>
      <c r="AG1090" s="420">
        <v>0</v>
      </c>
      <c r="AH1090" s="420"/>
      <c r="AI1090" s="574">
        <f t="shared" si="27"/>
        <v>0</v>
      </c>
      <c r="AJ1090" s="212"/>
    </row>
    <row r="1091" spans="2:36" ht="14.4">
      <c r="B1091" s="211"/>
      <c r="C1091" s="213" t="s">
        <v>99</v>
      </c>
      <c r="D1091" s="214">
        <v>6433.05</v>
      </c>
      <c r="E1091" s="214">
        <v>0</v>
      </c>
      <c r="F1091" s="214">
        <v>0</v>
      </c>
      <c r="G1091" s="214">
        <v>0</v>
      </c>
      <c r="H1091" s="214">
        <v>0</v>
      </c>
      <c r="I1091" s="214">
        <v>0</v>
      </c>
      <c r="J1091" s="214">
        <v>0</v>
      </c>
      <c r="K1091" s="214">
        <v>0</v>
      </c>
      <c r="L1091" s="214">
        <v>73.33</v>
      </c>
      <c r="M1091" s="214">
        <v>0</v>
      </c>
      <c r="N1091" s="214">
        <v>0</v>
      </c>
      <c r="O1091" s="214">
        <v>0</v>
      </c>
      <c r="P1091" s="214">
        <v>0</v>
      </c>
      <c r="Q1091" s="214">
        <v>0</v>
      </c>
      <c r="R1091" s="214">
        <v>0</v>
      </c>
      <c r="S1091" s="214">
        <v>0</v>
      </c>
      <c r="T1091" s="214">
        <v>0</v>
      </c>
      <c r="U1091" s="214">
        <v>0</v>
      </c>
      <c r="V1091" s="214">
        <v>0</v>
      </c>
      <c r="W1091" s="214">
        <v>0</v>
      </c>
      <c r="X1091" s="214">
        <v>0</v>
      </c>
      <c r="Y1091" s="214">
        <v>0</v>
      </c>
      <c r="Z1091" s="214">
        <v>0</v>
      </c>
      <c r="AA1091" s="214">
        <v>0</v>
      </c>
      <c r="AB1091" s="214">
        <v>0</v>
      </c>
      <c r="AC1091" s="214">
        <v>0</v>
      </c>
      <c r="AD1091" s="215"/>
      <c r="AE1091" s="420">
        <v>0</v>
      </c>
      <c r="AF1091" s="420">
        <v>0</v>
      </c>
      <c r="AG1091" s="420">
        <v>0</v>
      </c>
      <c r="AH1091" s="420"/>
      <c r="AI1091" s="574">
        <f t="shared" si="27"/>
        <v>6506.38</v>
      </c>
      <c r="AJ1091" s="212"/>
    </row>
    <row r="1092" spans="2:36" ht="14.4">
      <c r="B1092" s="211"/>
      <c r="C1092" s="213" t="s">
        <v>100</v>
      </c>
      <c r="D1092" s="214">
        <v>1509.37</v>
      </c>
      <c r="E1092" s="214">
        <v>103.08</v>
      </c>
      <c r="F1092" s="214">
        <v>0</v>
      </c>
      <c r="G1092" s="214">
        <v>0</v>
      </c>
      <c r="H1092" s="214">
        <v>0</v>
      </c>
      <c r="I1092" s="214">
        <v>0</v>
      </c>
      <c r="J1092" s="214">
        <v>0</v>
      </c>
      <c r="K1092" s="214">
        <v>0</v>
      </c>
      <c r="L1092" s="214">
        <v>0</v>
      </c>
      <c r="M1092" s="214">
        <v>0</v>
      </c>
      <c r="N1092" s="214">
        <v>0</v>
      </c>
      <c r="O1092" s="214">
        <v>56.16</v>
      </c>
      <c r="P1092" s="214">
        <v>0</v>
      </c>
      <c r="Q1092" s="214">
        <v>23.33</v>
      </c>
      <c r="R1092" s="214">
        <v>0</v>
      </c>
      <c r="S1092" s="214">
        <v>0</v>
      </c>
      <c r="T1092" s="214">
        <v>43.17</v>
      </c>
      <c r="U1092" s="214">
        <v>0</v>
      </c>
      <c r="V1092" s="214">
        <v>0</v>
      </c>
      <c r="W1092" s="214">
        <v>0</v>
      </c>
      <c r="X1092" s="214">
        <v>0</v>
      </c>
      <c r="Y1092" s="214">
        <v>0</v>
      </c>
      <c r="Z1092" s="214">
        <v>168.33</v>
      </c>
      <c r="AA1092" s="214">
        <v>176.5</v>
      </c>
      <c r="AB1092" s="214">
        <v>0</v>
      </c>
      <c r="AC1092" s="214">
        <v>0</v>
      </c>
      <c r="AD1092" s="215"/>
      <c r="AE1092" s="420">
        <v>143.34</v>
      </c>
      <c r="AF1092" s="420">
        <v>0</v>
      </c>
      <c r="AG1092" s="420">
        <v>0</v>
      </c>
      <c r="AH1092" s="420"/>
      <c r="AI1092" s="574">
        <f t="shared" si="27"/>
        <v>2223.2799999999997</v>
      </c>
      <c r="AJ1092" s="212"/>
    </row>
    <row r="1093" spans="2:36" ht="14.4">
      <c r="B1093" s="211"/>
      <c r="C1093" s="213" t="s">
        <v>101</v>
      </c>
      <c r="D1093" s="214">
        <v>112.5</v>
      </c>
      <c r="E1093" s="214">
        <v>1065.6600000000001</v>
      </c>
      <c r="F1093" s="214">
        <v>397.33</v>
      </c>
      <c r="G1093" s="214">
        <v>0</v>
      </c>
      <c r="H1093" s="214">
        <v>385.17</v>
      </c>
      <c r="I1093" s="214">
        <v>0</v>
      </c>
      <c r="J1093" s="214">
        <v>0</v>
      </c>
      <c r="K1093" s="214">
        <v>0</v>
      </c>
      <c r="L1093" s="214">
        <v>0</v>
      </c>
      <c r="M1093" s="214">
        <v>0</v>
      </c>
      <c r="N1093" s="214">
        <v>0</v>
      </c>
      <c r="O1093" s="214">
        <v>0</v>
      </c>
      <c r="P1093" s="214">
        <v>0</v>
      </c>
      <c r="Q1093" s="214">
        <v>1404.17</v>
      </c>
      <c r="R1093" s="214">
        <v>0</v>
      </c>
      <c r="S1093" s="214">
        <v>0</v>
      </c>
      <c r="T1093" s="214">
        <v>731.5</v>
      </c>
      <c r="U1093" s="214">
        <v>0</v>
      </c>
      <c r="V1093" s="214">
        <v>0</v>
      </c>
      <c r="W1093" s="214">
        <v>0</v>
      </c>
      <c r="X1093" s="214">
        <v>103.5</v>
      </c>
      <c r="Y1093" s="214">
        <v>0</v>
      </c>
      <c r="Z1093" s="214">
        <v>0</v>
      </c>
      <c r="AA1093" s="214">
        <v>0</v>
      </c>
      <c r="AB1093" s="214">
        <v>0</v>
      </c>
      <c r="AC1093" s="214">
        <v>0</v>
      </c>
      <c r="AD1093" s="215"/>
      <c r="AE1093" s="420">
        <v>0</v>
      </c>
      <c r="AF1093" s="420">
        <v>0</v>
      </c>
      <c r="AG1093" s="420">
        <v>0</v>
      </c>
      <c r="AH1093" s="420"/>
      <c r="AI1093" s="574">
        <f t="shared" si="27"/>
        <v>4199.83</v>
      </c>
      <c r="AJ1093" s="212"/>
    </row>
    <row r="1094" spans="2:36" ht="14.4">
      <c r="B1094" s="211"/>
      <c r="C1094" s="213" t="s">
        <v>102</v>
      </c>
      <c r="D1094" s="214">
        <v>23448.97</v>
      </c>
      <c r="E1094" s="214">
        <v>779.2</v>
      </c>
      <c r="F1094" s="214">
        <v>1619.36</v>
      </c>
      <c r="G1094" s="214">
        <v>366.62</v>
      </c>
      <c r="H1094" s="214">
        <v>1988.32</v>
      </c>
      <c r="I1094" s="214">
        <v>667.77</v>
      </c>
      <c r="J1094" s="214">
        <v>233.07</v>
      </c>
      <c r="K1094" s="214">
        <v>489.67</v>
      </c>
      <c r="L1094" s="214">
        <v>371.97</v>
      </c>
      <c r="M1094" s="214">
        <v>2113.11</v>
      </c>
      <c r="N1094" s="214">
        <v>622.67999999999995</v>
      </c>
      <c r="O1094" s="214">
        <v>2283.46</v>
      </c>
      <c r="P1094" s="214">
        <v>1806.84</v>
      </c>
      <c r="Q1094" s="214">
        <v>1601.73</v>
      </c>
      <c r="R1094" s="214">
        <v>0</v>
      </c>
      <c r="S1094" s="214">
        <v>478.72</v>
      </c>
      <c r="T1094" s="214">
        <v>75.33</v>
      </c>
      <c r="U1094" s="214">
        <v>52.07</v>
      </c>
      <c r="V1094" s="214">
        <v>157.72999999999999</v>
      </c>
      <c r="W1094" s="214">
        <v>0</v>
      </c>
      <c r="X1094" s="214">
        <v>0</v>
      </c>
      <c r="Y1094" s="214">
        <v>51.79</v>
      </c>
      <c r="Z1094" s="214">
        <v>37.67</v>
      </c>
      <c r="AA1094" s="214">
        <v>0</v>
      </c>
      <c r="AB1094" s="214">
        <v>457.9</v>
      </c>
      <c r="AC1094" s="214">
        <v>434.35</v>
      </c>
      <c r="AD1094" s="215"/>
      <c r="AE1094" s="420">
        <v>3789.58</v>
      </c>
      <c r="AF1094" s="420">
        <v>2029.56</v>
      </c>
      <c r="AG1094" s="420">
        <v>2465.08</v>
      </c>
      <c r="AH1094" s="420"/>
      <c r="AI1094" s="574">
        <f t="shared" si="27"/>
        <v>48422.55000000001</v>
      </c>
      <c r="AJ1094" s="212"/>
    </row>
    <row r="1095" spans="2:36" ht="14.4">
      <c r="B1095" s="211"/>
      <c r="C1095" s="213" t="s">
        <v>103</v>
      </c>
      <c r="D1095" s="214">
        <v>2905.47</v>
      </c>
      <c r="E1095" s="214">
        <v>45.13</v>
      </c>
      <c r="F1095" s="214">
        <v>52.97</v>
      </c>
      <c r="G1095" s="214">
        <v>31.78</v>
      </c>
      <c r="H1095" s="214">
        <v>164.43</v>
      </c>
      <c r="I1095" s="214">
        <v>0</v>
      </c>
      <c r="J1095" s="214">
        <v>0</v>
      </c>
      <c r="K1095" s="214">
        <v>0</v>
      </c>
      <c r="L1095" s="214">
        <v>0</v>
      </c>
      <c r="M1095" s="214">
        <v>0</v>
      </c>
      <c r="N1095" s="214">
        <v>0</v>
      </c>
      <c r="O1095" s="214">
        <v>116.21</v>
      </c>
      <c r="P1095" s="214">
        <v>45.21</v>
      </c>
      <c r="Q1095" s="214">
        <v>0</v>
      </c>
      <c r="R1095" s="214">
        <v>28.87</v>
      </c>
      <c r="S1095" s="214">
        <v>45.13</v>
      </c>
      <c r="T1095" s="214">
        <v>0</v>
      </c>
      <c r="U1095" s="214">
        <v>0</v>
      </c>
      <c r="V1095" s="214">
        <v>0</v>
      </c>
      <c r="W1095" s="214">
        <v>0</v>
      </c>
      <c r="X1095" s="214">
        <v>0</v>
      </c>
      <c r="Y1095" s="214">
        <v>0</v>
      </c>
      <c r="Z1095" s="214">
        <v>0</v>
      </c>
      <c r="AA1095" s="214">
        <v>0</v>
      </c>
      <c r="AB1095" s="214">
        <v>0</v>
      </c>
      <c r="AC1095" s="214">
        <v>0</v>
      </c>
      <c r="AD1095" s="215"/>
      <c r="AE1095" s="420">
        <v>1402.26</v>
      </c>
      <c r="AF1095" s="420">
        <v>0</v>
      </c>
      <c r="AG1095" s="420">
        <v>90.26</v>
      </c>
      <c r="AH1095" s="420"/>
      <c r="AI1095" s="574">
        <f t="shared" si="27"/>
        <v>4927.72</v>
      </c>
      <c r="AJ1095" s="212"/>
    </row>
    <row r="1096" spans="2:36" ht="14.4">
      <c r="B1096" s="211"/>
      <c r="C1096" s="213" t="s">
        <v>104</v>
      </c>
      <c r="D1096" s="214">
        <v>5278.23</v>
      </c>
      <c r="E1096" s="214">
        <v>394.98</v>
      </c>
      <c r="F1096" s="214">
        <v>333.17</v>
      </c>
      <c r="G1096" s="214">
        <v>672.9</v>
      </c>
      <c r="H1096" s="214">
        <v>888.82</v>
      </c>
      <c r="I1096" s="214">
        <v>107.34</v>
      </c>
      <c r="J1096" s="214">
        <v>147.91999999999999</v>
      </c>
      <c r="K1096" s="214">
        <v>0</v>
      </c>
      <c r="L1096" s="214">
        <v>0</v>
      </c>
      <c r="M1096" s="214">
        <v>818.9</v>
      </c>
      <c r="N1096" s="214">
        <v>107.34</v>
      </c>
      <c r="O1096" s="214">
        <v>440.23</v>
      </c>
      <c r="P1096" s="214">
        <v>884.8</v>
      </c>
      <c r="Q1096" s="214">
        <v>274.49</v>
      </c>
      <c r="R1096" s="214">
        <v>843.3</v>
      </c>
      <c r="S1096" s="214">
        <v>121.51</v>
      </c>
      <c r="T1096" s="214">
        <v>227.5</v>
      </c>
      <c r="U1096" s="214">
        <v>275.83</v>
      </c>
      <c r="V1096" s="214">
        <v>44.58</v>
      </c>
      <c r="W1096" s="214">
        <v>45.83</v>
      </c>
      <c r="X1096" s="214">
        <v>85.83</v>
      </c>
      <c r="Y1096" s="214">
        <v>52.92</v>
      </c>
      <c r="Z1096" s="214">
        <v>54.17</v>
      </c>
      <c r="AA1096" s="214">
        <v>54.17</v>
      </c>
      <c r="AB1096" s="214">
        <v>110.42</v>
      </c>
      <c r="AC1096" s="214">
        <v>244.38</v>
      </c>
      <c r="AD1096" s="215"/>
      <c r="AE1096" s="420">
        <v>593.25</v>
      </c>
      <c r="AF1096" s="420">
        <v>302.44</v>
      </c>
      <c r="AG1096" s="420">
        <v>318.27</v>
      </c>
      <c r="AH1096" s="420"/>
      <c r="AI1096" s="574">
        <f t="shared" si="27"/>
        <v>13723.519999999997</v>
      </c>
      <c r="AJ1096" s="212"/>
    </row>
    <row r="1097" spans="2:36" ht="14.4">
      <c r="B1097" s="211"/>
      <c r="C1097" s="213" t="s">
        <v>105</v>
      </c>
      <c r="D1097" s="214">
        <v>1080.49</v>
      </c>
      <c r="E1097" s="214">
        <v>9106.27</v>
      </c>
      <c r="F1097" s="214">
        <v>0</v>
      </c>
      <c r="G1097" s="214">
        <v>-0.05</v>
      </c>
      <c r="H1097" s="214">
        <v>0</v>
      </c>
      <c r="I1097" s="214">
        <v>87.25</v>
      </c>
      <c r="J1097" s="214">
        <v>-0.01</v>
      </c>
      <c r="K1097" s="214">
        <v>0</v>
      </c>
      <c r="L1097" s="214">
        <v>0</v>
      </c>
      <c r="M1097" s="214">
        <v>1500</v>
      </c>
      <c r="N1097" s="214">
        <v>0</v>
      </c>
      <c r="O1097" s="214">
        <v>700.98</v>
      </c>
      <c r="P1097" s="214">
        <v>56.25</v>
      </c>
      <c r="Q1097" s="214">
        <v>2915.77</v>
      </c>
      <c r="R1097" s="214">
        <v>851.16</v>
      </c>
      <c r="S1097" s="214">
        <v>1004.92</v>
      </c>
      <c r="T1097" s="214">
        <v>0</v>
      </c>
      <c r="U1097" s="214">
        <v>570.41999999999996</v>
      </c>
      <c r="V1097" s="214">
        <v>6</v>
      </c>
      <c r="W1097" s="214">
        <v>17.3</v>
      </c>
      <c r="X1097" s="214">
        <v>14.67</v>
      </c>
      <c r="Y1097" s="214">
        <v>918.67</v>
      </c>
      <c r="Z1097" s="214">
        <v>15</v>
      </c>
      <c r="AA1097" s="214">
        <v>12.5</v>
      </c>
      <c r="AB1097" s="214">
        <v>225.58</v>
      </c>
      <c r="AC1097" s="214">
        <v>59.33</v>
      </c>
      <c r="AD1097" s="215"/>
      <c r="AE1097" s="420">
        <v>1072.1199999999999</v>
      </c>
      <c r="AF1097" s="420">
        <v>340.14</v>
      </c>
      <c r="AG1097" s="420">
        <v>515.15</v>
      </c>
      <c r="AH1097" s="420"/>
      <c r="AI1097" s="574">
        <f t="shared" si="27"/>
        <v>21069.909999999996</v>
      </c>
      <c r="AJ1097" s="212"/>
    </row>
    <row r="1098" spans="2:36" ht="14.4">
      <c r="B1098" s="211"/>
      <c r="C1098" s="213" t="s">
        <v>106</v>
      </c>
      <c r="D1098" s="214">
        <v>0</v>
      </c>
      <c r="E1098" s="214">
        <v>0</v>
      </c>
      <c r="F1098" s="214">
        <v>0</v>
      </c>
      <c r="G1098" s="214">
        <v>0</v>
      </c>
      <c r="H1098" s="214">
        <v>0</v>
      </c>
      <c r="I1098" s="214">
        <v>0</v>
      </c>
      <c r="J1098" s="214">
        <v>0</v>
      </c>
      <c r="K1098" s="214">
        <v>0</v>
      </c>
      <c r="L1098" s="214">
        <v>0</v>
      </c>
      <c r="M1098" s="214">
        <v>0</v>
      </c>
      <c r="N1098" s="214">
        <v>0</v>
      </c>
      <c r="O1098" s="214">
        <v>0</v>
      </c>
      <c r="P1098" s="214">
        <v>0</v>
      </c>
      <c r="Q1098" s="214">
        <v>0</v>
      </c>
      <c r="R1098" s="214">
        <v>0</v>
      </c>
      <c r="S1098" s="214">
        <v>0</v>
      </c>
      <c r="T1098" s="214">
        <v>0</v>
      </c>
      <c r="U1098" s="214">
        <v>0</v>
      </c>
      <c r="V1098" s="214">
        <v>0</v>
      </c>
      <c r="W1098" s="214">
        <v>0</v>
      </c>
      <c r="X1098" s="214">
        <v>0</v>
      </c>
      <c r="Y1098" s="214">
        <v>0</v>
      </c>
      <c r="Z1098" s="214">
        <v>0</v>
      </c>
      <c r="AA1098" s="214">
        <v>0</v>
      </c>
      <c r="AB1098" s="214">
        <v>0</v>
      </c>
      <c r="AC1098" s="214">
        <v>0</v>
      </c>
      <c r="AD1098" s="215"/>
      <c r="AE1098" s="420">
        <v>0</v>
      </c>
      <c r="AF1098" s="420">
        <v>0</v>
      </c>
      <c r="AG1098" s="420">
        <v>0</v>
      </c>
      <c r="AH1098" s="420"/>
      <c r="AI1098" s="574">
        <f t="shared" si="27"/>
        <v>0</v>
      </c>
      <c r="AJ1098" s="212"/>
    </row>
    <row r="1099" spans="2:36" ht="14.4">
      <c r="B1099" s="211"/>
      <c r="C1099" s="213" t="s">
        <v>107</v>
      </c>
      <c r="D1099" s="214">
        <v>0</v>
      </c>
      <c r="E1099" s="214">
        <v>0</v>
      </c>
      <c r="F1099" s="214">
        <v>0</v>
      </c>
      <c r="G1099" s="214">
        <v>0</v>
      </c>
      <c r="H1099" s="214">
        <v>0</v>
      </c>
      <c r="I1099" s="214">
        <v>0</v>
      </c>
      <c r="J1099" s="214">
        <v>0</v>
      </c>
      <c r="K1099" s="214">
        <v>0</v>
      </c>
      <c r="L1099" s="214">
        <v>0</v>
      </c>
      <c r="M1099" s="214">
        <v>0</v>
      </c>
      <c r="N1099" s="214">
        <v>0</v>
      </c>
      <c r="O1099" s="214">
        <v>0</v>
      </c>
      <c r="P1099" s="214">
        <v>0</v>
      </c>
      <c r="Q1099" s="214">
        <v>0</v>
      </c>
      <c r="R1099" s="214">
        <v>0</v>
      </c>
      <c r="S1099" s="214">
        <v>0</v>
      </c>
      <c r="T1099" s="214">
        <v>0</v>
      </c>
      <c r="U1099" s="214">
        <v>0</v>
      </c>
      <c r="V1099" s="214">
        <v>0</v>
      </c>
      <c r="W1099" s="214">
        <v>0</v>
      </c>
      <c r="X1099" s="214">
        <v>0</v>
      </c>
      <c r="Y1099" s="214">
        <v>0</v>
      </c>
      <c r="Z1099" s="214">
        <v>0</v>
      </c>
      <c r="AA1099" s="214">
        <v>0</v>
      </c>
      <c r="AB1099" s="214">
        <v>0</v>
      </c>
      <c r="AC1099" s="214">
        <v>0</v>
      </c>
      <c r="AD1099" s="215"/>
      <c r="AE1099" s="420">
        <v>0</v>
      </c>
      <c r="AF1099" s="420">
        <v>0</v>
      </c>
      <c r="AG1099" s="420">
        <v>0</v>
      </c>
      <c r="AH1099" s="420"/>
      <c r="AI1099" s="574">
        <f t="shared" si="27"/>
        <v>0</v>
      </c>
      <c r="AJ1099" s="212"/>
    </row>
    <row r="1100" spans="2:36" ht="14.4">
      <c r="B1100" s="211"/>
      <c r="C1100" s="213" t="s">
        <v>108</v>
      </c>
      <c r="D1100" s="214"/>
      <c r="E1100" s="214">
        <v>21484.86</v>
      </c>
      <c r="F1100" s="214">
        <v>36862.569999999992</v>
      </c>
      <c r="G1100" s="214">
        <v>140</v>
      </c>
      <c r="H1100" s="214">
        <v>5799.44</v>
      </c>
      <c r="I1100" s="214"/>
      <c r="J1100" s="214"/>
      <c r="K1100" s="214"/>
      <c r="L1100" s="214"/>
      <c r="M1100" s="214">
        <v>150</v>
      </c>
      <c r="N1100" s="214"/>
      <c r="O1100" s="214">
        <v>2513.02</v>
      </c>
      <c r="P1100" s="214">
        <v>112</v>
      </c>
      <c r="Q1100" s="214">
        <v>34471.050000000003</v>
      </c>
      <c r="R1100" s="214">
        <v>3583.3</v>
      </c>
      <c r="S1100" s="214">
        <v>10640.97</v>
      </c>
      <c r="T1100" s="214"/>
      <c r="U1100" s="214"/>
      <c r="V1100" s="214"/>
      <c r="W1100" s="214"/>
      <c r="X1100" s="214"/>
      <c r="Y1100" s="214"/>
      <c r="Z1100" s="214"/>
      <c r="AA1100" s="214"/>
      <c r="AB1100" s="214"/>
      <c r="AC1100" s="214"/>
      <c r="AD1100" s="215"/>
      <c r="AE1100" s="420">
        <v>709.42</v>
      </c>
      <c r="AF1100" s="420"/>
      <c r="AG1100" s="420">
        <v>185</v>
      </c>
      <c r="AH1100" s="420"/>
      <c r="AI1100" s="574">
        <f t="shared" si="27"/>
        <v>116651.63</v>
      </c>
      <c r="AJ1100" s="212"/>
    </row>
    <row r="1101" spans="2:36" ht="14.4">
      <c r="B1101" s="211"/>
      <c r="C1101" s="247" t="s">
        <v>109</v>
      </c>
      <c r="D1101" s="214">
        <v>0</v>
      </c>
      <c r="E1101" s="214">
        <v>0</v>
      </c>
      <c r="F1101" s="214">
        <v>0</v>
      </c>
      <c r="G1101" s="214">
        <v>0</v>
      </c>
      <c r="H1101" s="214">
        <v>0</v>
      </c>
      <c r="I1101" s="214">
        <v>0</v>
      </c>
      <c r="J1101" s="214">
        <v>0</v>
      </c>
      <c r="K1101" s="214">
        <v>0</v>
      </c>
      <c r="L1101" s="214">
        <v>0</v>
      </c>
      <c r="M1101" s="214">
        <v>0</v>
      </c>
      <c r="N1101" s="214">
        <v>0</v>
      </c>
      <c r="O1101" s="214">
        <v>0</v>
      </c>
      <c r="P1101" s="214">
        <v>0</v>
      </c>
      <c r="Q1101" s="214">
        <v>0</v>
      </c>
      <c r="R1101" s="214">
        <v>0</v>
      </c>
      <c r="S1101" s="214">
        <v>0</v>
      </c>
      <c r="T1101" s="214">
        <v>0</v>
      </c>
      <c r="U1101" s="214">
        <v>0</v>
      </c>
      <c r="V1101" s="214">
        <v>0</v>
      </c>
      <c r="W1101" s="214">
        <v>0</v>
      </c>
      <c r="X1101" s="214">
        <v>0</v>
      </c>
      <c r="Y1101" s="214">
        <v>0</v>
      </c>
      <c r="Z1101" s="214">
        <v>0</v>
      </c>
      <c r="AA1101" s="214">
        <v>0</v>
      </c>
      <c r="AB1101" s="214">
        <v>0</v>
      </c>
      <c r="AC1101" s="214">
        <v>0</v>
      </c>
      <c r="AD1101" s="215"/>
      <c r="AE1101" s="420">
        <v>0</v>
      </c>
      <c r="AF1101" s="420">
        <v>0</v>
      </c>
      <c r="AG1101" s="420">
        <v>0</v>
      </c>
      <c r="AH1101" s="420"/>
      <c r="AI1101" s="574">
        <f t="shared" si="27"/>
        <v>0</v>
      </c>
      <c r="AJ1101" s="212"/>
    </row>
    <row r="1102" spans="2:36" ht="14.4">
      <c r="B1102" s="211"/>
      <c r="C1102" s="213" t="s">
        <v>110</v>
      </c>
      <c r="D1102" s="214">
        <v>0</v>
      </c>
      <c r="E1102" s="214">
        <v>0</v>
      </c>
      <c r="F1102" s="214">
        <v>0</v>
      </c>
      <c r="G1102" s="214">
        <v>0</v>
      </c>
      <c r="H1102" s="214">
        <v>0</v>
      </c>
      <c r="I1102" s="214">
        <v>0</v>
      </c>
      <c r="J1102" s="214">
        <v>0</v>
      </c>
      <c r="K1102" s="214">
        <v>0</v>
      </c>
      <c r="L1102" s="214">
        <v>0</v>
      </c>
      <c r="M1102" s="214">
        <v>0</v>
      </c>
      <c r="N1102" s="214">
        <v>0</v>
      </c>
      <c r="O1102" s="214">
        <v>166.66</v>
      </c>
      <c r="P1102" s="214">
        <v>0</v>
      </c>
      <c r="Q1102" s="214">
        <v>0</v>
      </c>
      <c r="R1102" s="214">
        <v>0</v>
      </c>
      <c r="S1102" s="214">
        <v>0</v>
      </c>
      <c r="T1102" s="214">
        <v>0</v>
      </c>
      <c r="U1102" s="214">
        <v>0</v>
      </c>
      <c r="V1102" s="214">
        <v>0</v>
      </c>
      <c r="W1102" s="214">
        <v>0</v>
      </c>
      <c r="X1102" s="214">
        <v>0</v>
      </c>
      <c r="Y1102" s="214">
        <v>0</v>
      </c>
      <c r="Z1102" s="214">
        <v>0</v>
      </c>
      <c r="AA1102" s="214">
        <v>0</v>
      </c>
      <c r="AB1102" s="214">
        <v>0</v>
      </c>
      <c r="AC1102" s="214">
        <v>0</v>
      </c>
      <c r="AD1102" s="215"/>
      <c r="AE1102" s="420">
        <v>0</v>
      </c>
      <c r="AF1102" s="420">
        <v>0</v>
      </c>
      <c r="AG1102" s="420">
        <v>0</v>
      </c>
      <c r="AH1102" s="420"/>
      <c r="AI1102" s="574">
        <f t="shared" si="27"/>
        <v>166.66</v>
      </c>
      <c r="AJ1102" s="212"/>
    </row>
    <row r="1103" spans="2:36" ht="14.4">
      <c r="B1103" s="211"/>
      <c r="C1103" s="213" t="s">
        <v>112</v>
      </c>
      <c r="D1103" s="214">
        <v>0</v>
      </c>
      <c r="E1103" s="214">
        <v>0</v>
      </c>
      <c r="F1103" s="214">
        <v>0</v>
      </c>
      <c r="G1103" s="214">
        <v>0</v>
      </c>
      <c r="H1103" s="214">
        <v>0</v>
      </c>
      <c r="I1103" s="214">
        <v>0</v>
      </c>
      <c r="J1103" s="214">
        <v>0</v>
      </c>
      <c r="K1103" s="214">
        <v>0</v>
      </c>
      <c r="L1103" s="214">
        <v>0</v>
      </c>
      <c r="M1103" s="214">
        <v>0</v>
      </c>
      <c r="N1103" s="214">
        <v>0</v>
      </c>
      <c r="O1103" s="214">
        <v>0</v>
      </c>
      <c r="P1103" s="214">
        <v>0</v>
      </c>
      <c r="Q1103" s="214">
        <v>0</v>
      </c>
      <c r="R1103" s="214">
        <v>0</v>
      </c>
      <c r="S1103" s="214">
        <v>0</v>
      </c>
      <c r="T1103" s="214">
        <v>0</v>
      </c>
      <c r="U1103" s="214">
        <v>0</v>
      </c>
      <c r="V1103" s="214">
        <v>0</v>
      </c>
      <c r="W1103" s="214">
        <v>0</v>
      </c>
      <c r="X1103" s="214">
        <v>0</v>
      </c>
      <c r="Y1103" s="214">
        <v>0</v>
      </c>
      <c r="Z1103" s="214">
        <v>0</v>
      </c>
      <c r="AA1103" s="214">
        <v>0</v>
      </c>
      <c r="AB1103" s="214">
        <v>0</v>
      </c>
      <c r="AC1103" s="214">
        <v>0</v>
      </c>
      <c r="AD1103" s="215"/>
      <c r="AE1103" s="420">
        <v>0</v>
      </c>
      <c r="AF1103" s="420">
        <v>0</v>
      </c>
      <c r="AG1103" s="420">
        <v>0</v>
      </c>
      <c r="AH1103" s="420"/>
      <c r="AI1103" s="574">
        <f t="shared" si="27"/>
        <v>0</v>
      </c>
      <c r="AJ1103" s="212"/>
    </row>
    <row r="1104" spans="2:36" ht="14.4">
      <c r="B1104" s="211"/>
      <c r="C1104" s="247" t="s">
        <v>113</v>
      </c>
      <c r="D1104" s="214">
        <v>0</v>
      </c>
      <c r="E1104" s="214">
        <v>0</v>
      </c>
      <c r="F1104" s="214">
        <v>0</v>
      </c>
      <c r="G1104" s="214">
        <v>0</v>
      </c>
      <c r="H1104" s="214">
        <v>0</v>
      </c>
      <c r="I1104" s="214">
        <v>0</v>
      </c>
      <c r="J1104" s="214">
        <v>0</v>
      </c>
      <c r="K1104" s="214">
        <v>0</v>
      </c>
      <c r="L1104" s="214">
        <v>0</v>
      </c>
      <c r="M1104" s="214">
        <v>3.5</v>
      </c>
      <c r="N1104" s="214">
        <v>0.01</v>
      </c>
      <c r="O1104" s="214">
        <v>0</v>
      </c>
      <c r="P1104" s="214">
        <v>19983.16</v>
      </c>
      <c r="Q1104" s="214">
        <v>0</v>
      </c>
      <c r="R1104" s="214">
        <v>13.34</v>
      </c>
      <c r="S1104" s="214">
        <v>0</v>
      </c>
      <c r="T1104" s="214">
        <v>0</v>
      </c>
      <c r="U1104" s="214">
        <v>0</v>
      </c>
      <c r="V1104" s="214">
        <v>0</v>
      </c>
      <c r="W1104" s="214">
        <v>0</v>
      </c>
      <c r="X1104" s="214">
        <v>0</v>
      </c>
      <c r="Y1104" s="214">
        <v>0</v>
      </c>
      <c r="Z1104" s="214">
        <v>0</v>
      </c>
      <c r="AA1104" s="214">
        <v>0</v>
      </c>
      <c r="AB1104" s="214">
        <v>0</v>
      </c>
      <c r="AC1104" s="214">
        <v>0</v>
      </c>
      <c r="AD1104" s="215"/>
      <c r="AE1104" s="420">
        <v>550.26999999999941</v>
      </c>
      <c r="AF1104" s="420">
        <v>0</v>
      </c>
      <c r="AG1104" s="420">
        <v>0</v>
      </c>
      <c r="AH1104" s="420"/>
      <c r="AI1104" s="574">
        <f t="shared" si="27"/>
        <v>20550.28</v>
      </c>
      <c r="AJ1104" s="212"/>
    </row>
    <row r="1105" spans="2:36" ht="14.4">
      <c r="B1105" s="211"/>
      <c r="C1105" s="247" t="s">
        <v>137</v>
      </c>
      <c r="D1105" s="214">
        <v>0</v>
      </c>
      <c r="E1105" s="214">
        <v>0</v>
      </c>
      <c r="F1105" s="214">
        <v>0</v>
      </c>
      <c r="G1105" s="214">
        <v>0</v>
      </c>
      <c r="H1105" s="214">
        <v>0</v>
      </c>
      <c r="I1105" s="214">
        <v>0</v>
      </c>
      <c r="J1105" s="214">
        <v>0</v>
      </c>
      <c r="K1105" s="214">
        <v>0</v>
      </c>
      <c r="L1105" s="214">
        <v>0</v>
      </c>
      <c r="M1105" s="214">
        <v>0</v>
      </c>
      <c r="N1105" s="214">
        <v>0</v>
      </c>
      <c r="O1105" s="214">
        <v>0</v>
      </c>
      <c r="P1105" s="214">
        <v>0</v>
      </c>
      <c r="Q1105" s="214">
        <v>0</v>
      </c>
      <c r="R1105" s="214">
        <v>0</v>
      </c>
      <c r="S1105" s="214">
        <v>0</v>
      </c>
      <c r="T1105" s="214">
        <v>0</v>
      </c>
      <c r="U1105" s="214">
        <v>0</v>
      </c>
      <c r="V1105" s="214">
        <v>0</v>
      </c>
      <c r="W1105" s="214">
        <v>0</v>
      </c>
      <c r="X1105" s="214">
        <v>0</v>
      </c>
      <c r="Y1105" s="214">
        <v>0</v>
      </c>
      <c r="Z1105" s="214">
        <v>0</v>
      </c>
      <c r="AA1105" s="214">
        <v>0</v>
      </c>
      <c r="AB1105" s="214">
        <v>0</v>
      </c>
      <c r="AC1105" s="214">
        <v>0</v>
      </c>
      <c r="AD1105" s="215"/>
      <c r="AE1105" s="420">
        <v>0</v>
      </c>
      <c r="AF1105" s="420">
        <v>0</v>
      </c>
      <c r="AG1105" s="420">
        <v>0</v>
      </c>
      <c r="AH1105" s="420"/>
      <c r="AI1105" s="574">
        <f t="shared" si="27"/>
        <v>0</v>
      </c>
      <c r="AJ1105" s="212"/>
    </row>
    <row r="1106" spans="2:36" ht="14.4">
      <c r="B1106" s="211"/>
      <c r="C1106" s="213" t="s">
        <v>140</v>
      </c>
      <c r="D1106" s="214">
        <v>0</v>
      </c>
      <c r="E1106" s="214">
        <v>0</v>
      </c>
      <c r="F1106" s="214">
        <v>0</v>
      </c>
      <c r="G1106" s="214">
        <v>0</v>
      </c>
      <c r="H1106" s="214">
        <v>2696.85</v>
      </c>
      <c r="I1106" s="214">
        <v>0</v>
      </c>
      <c r="J1106" s="214">
        <v>0</v>
      </c>
      <c r="K1106" s="214">
        <v>0</v>
      </c>
      <c r="L1106" s="214">
        <v>890</v>
      </c>
      <c r="M1106" s="214">
        <v>0</v>
      </c>
      <c r="N1106" s="214">
        <v>0</v>
      </c>
      <c r="O1106" s="214">
        <v>1022</v>
      </c>
      <c r="P1106" s="214">
        <v>0</v>
      </c>
      <c r="Q1106" s="214">
        <v>0</v>
      </c>
      <c r="R1106" s="214">
        <v>0</v>
      </c>
      <c r="S1106" s="214">
        <v>109</v>
      </c>
      <c r="T1106" s="214">
        <v>0</v>
      </c>
      <c r="U1106" s="214">
        <v>0</v>
      </c>
      <c r="V1106" s="214">
        <v>0</v>
      </c>
      <c r="W1106" s="214">
        <v>0</v>
      </c>
      <c r="X1106" s="214">
        <v>0</v>
      </c>
      <c r="Y1106" s="214">
        <v>0</v>
      </c>
      <c r="Z1106" s="214">
        <v>0</v>
      </c>
      <c r="AA1106" s="214">
        <v>0</v>
      </c>
      <c r="AB1106" s="214">
        <v>0</v>
      </c>
      <c r="AC1106" s="214">
        <v>0</v>
      </c>
      <c r="AD1106" s="215"/>
      <c r="AE1106" s="420">
        <v>0</v>
      </c>
      <c r="AF1106" s="420">
        <v>0</v>
      </c>
      <c r="AG1106" s="420">
        <v>0</v>
      </c>
      <c r="AH1106" s="420"/>
      <c r="AI1106" s="574">
        <f t="shared" si="27"/>
        <v>4717.8500000000004</v>
      </c>
      <c r="AJ1106" s="212"/>
    </row>
    <row r="1107" spans="2:36" ht="14.4">
      <c r="B1107" s="211"/>
      <c r="C1107" s="213" t="s">
        <v>141</v>
      </c>
      <c r="D1107" s="214">
        <v>0</v>
      </c>
      <c r="E1107" s="214">
        <v>0</v>
      </c>
      <c r="F1107" s="214">
        <v>0</v>
      </c>
      <c r="G1107" s="214">
        <v>0</v>
      </c>
      <c r="H1107" s="214">
        <v>0</v>
      </c>
      <c r="I1107" s="214">
        <v>0</v>
      </c>
      <c r="J1107" s="214">
        <v>0</v>
      </c>
      <c r="K1107" s="214">
        <v>0</v>
      </c>
      <c r="L1107" s="214">
        <v>0</v>
      </c>
      <c r="M1107" s="214">
        <v>0</v>
      </c>
      <c r="N1107" s="214">
        <v>0</v>
      </c>
      <c r="O1107" s="214">
        <v>0</v>
      </c>
      <c r="P1107" s="214">
        <v>0</v>
      </c>
      <c r="Q1107" s="214">
        <v>0</v>
      </c>
      <c r="R1107" s="214">
        <v>0</v>
      </c>
      <c r="S1107" s="214">
        <v>0</v>
      </c>
      <c r="T1107" s="214">
        <v>0</v>
      </c>
      <c r="U1107" s="214">
        <v>0</v>
      </c>
      <c r="V1107" s="214">
        <v>0</v>
      </c>
      <c r="W1107" s="214">
        <v>0</v>
      </c>
      <c r="X1107" s="214">
        <v>0</v>
      </c>
      <c r="Y1107" s="214">
        <v>0</v>
      </c>
      <c r="Z1107" s="214">
        <v>0</v>
      </c>
      <c r="AA1107" s="214">
        <v>0</v>
      </c>
      <c r="AB1107" s="214">
        <v>0</v>
      </c>
      <c r="AC1107" s="214">
        <v>0</v>
      </c>
      <c r="AD1107" s="215"/>
      <c r="AE1107" s="420">
        <v>0</v>
      </c>
      <c r="AF1107" s="420">
        <v>0</v>
      </c>
      <c r="AG1107" s="420">
        <v>0</v>
      </c>
      <c r="AH1107" s="420"/>
      <c r="AI1107" s="574">
        <f t="shared" si="27"/>
        <v>0</v>
      </c>
      <c r="AJ1107" s="212"/>
    </row>
    <row r="1108" spans="2:36" ht="14.4">
      <c r="B1108" s="211"/>
      <c r="C1108" s="213" t="s">
        <v>193</v>
      </c>
      <c r="D1108" s="214">
        <v>0</v>
      </c>
      <c r="E1108" s="214">
        <v>1800</v>
      </c>
      <c r="F1108" s="214">
        <v>920</v>
      </c>
      <c r="G1108" s="214">
        <v>0</v>
      </c>
      <c r="H1108" s="214">
        <v>0</v>
      </c>
      <c r="I1108" s="214">
        <v>0</v>
      </c>
      <c r="J1108" s="214">
        <v>0</v>
      </c>
      <c r="K1108" s="214">
        <v>0</v>
      </c>
      <c r="L1108" s="214">
        <v>0</v>
      </c>
      <c r="M1108" s="214">
        <v>0</v>
      </c>
      <c r="N1108" s="214">
        <v>0</v>
      </c>
      <c r="O1108" s="214">
        <v>0</v>
      </c>
      <c r="P1108" s="214">
        <v>0</v>
      </c>
      <c r="Q1108" s="214">
        <v>-6000</v>
      </c>
      <c r="R1108" s="214">
        <v>0</v>
      </c>
      <c r="S1108" s="214">
        <v>0</v>
      </c>
      <c r="T1108" s="214">
        <v>0</v>
      </c>
      <c r="U1108" s="214">
        <v>0</v>
      </c>
      <c r="V1108" s="214">
        <v>0</v>
      </c>
      <c r="W1108" s="214">
        <v>0</v>
      </c>
      <c r="X1108" s="214">
        <v>0</v>
      </c>
      <c r="Y1108" s="214">
        <v>0</v>
      </c>
      <c r="Z1108" s="214">
        <v>0</v>
      </c>
      <c r="AA1108" s="214">
        <v>0</v>
      </c>
      <c r="AB1108" s="214">
        <v>0</v>
      </c>
      <c r="AC1108" s="214">
        <v>0</v>
      </c>
      <c r="AD1108" s="215"/>
      <c r="AE1108" s="420">
        <v>0</v>
      </c>
      <c r="AF1108" s="420">
        <v>0</v>
      </c>
      <c r="AG1108" s="420">
        <v>0</v>
      </c>
      <c r="AH1108" s="420"/>
      <c r="AI1108" s="574">
        <f t="shared" si="27"/>
        <v>-3280</v>
      </c>
      <c r="AJ1108" s="212"/>
    </row>
    <row r="1109" spans="2:36" ht="14.4">
      <c r="B1109" s="211"/>
      <c r="C1109" s="213" t="s">
        <v>148</v>
      </c>
      <c r="D1109" s="214">
        <v>0</v>
      </c>
      <c r="E1109" s="214">
        <v>0</v>
      </c>
      <c r="F1109" s="214">
        <v>0</v>
      </c>
      <c r="G1109" s="214">
        <v>0</v>
      </c>
      <c r="H1109" s="214">
        <v>0</v>
      </c>
      <c r="I1109" s="214">
        <v>0</v>
      </c>
      <c r="J1109" s="214">
        <v>0</v>
      </c>
      <c r="K1109" s="214">
        <v>0</v>
      </c>
      <c r="L1109" s="214">
        <v>0</v>
      </c>
      <c r="M1109" s="214">
        <v>0</v>
      </c>
      <c r="N1109" s="214">
        <v>0</v>
      </c>
      <c r="O1109" s="214">
        <v>0</v>
      </c>
      <c r="P1109" s="214">
        <v>0</v>
      </c>
      <c r="Q1109" s="214">
        <v>0</v>
      </c>
      <c r="R1109" s="214">
        <v>0</v>
      </c>
      <c r="S1109" s="214">
        <v>0</v>
      </c>
      <c r="T1109" s="214">
        <v>5350</v>
      </c>
      <c r="U1109" s="214">
        <v>0</v>
      </c>
      <c r="V1109" s="214">
        <v>0</v>
      </c>
      <c r="W1109" s="214">
        <v>0</v>
      </c>
      <c r="X1109" s="214">
        <v>0</v>
      </c>
      <c r="Y1109" s="214">
        <v>0</v>
      </c>
      <c r="Z1109" s="214">
        <v>0</v>
      </c>
      <c r="AA1109" s="214">
        <v>0</v>
      </c>
      <c r="AB1109" s="214">
        <v>0</v>
      </c>
      <c r="AC1109" s="214">
        <v>0</v>
      </c>
      <c r="AD1109" s="215"/>
      <c r="AE1109" s="420">
        <v>0</v>
      </c>
      <c r="AF1109" s="420">
        <v>0</v>
      </c>
      <c r="AG1109" s="420">
        <v>0</v>
      </c>
      <c r="AH1109" s="420"/>
      <c r="AI1109" s="574">
        <f t="shared" si="27"/>
        <v>5350</v>
      </c>
      <c r="AJ1109" s="212"/>
    </row>
    <row r="1110" spans="2:36" ht="14.4">
      <c r="B1110" s="211"/>
      <c r="C1110" s="213" t="s">
        <v>186</v>
      </c>
      <c r="D1110" s="214">
        <v>0</v>
      </c>
      <c r="E1110" s="214">
        <v>0</v>
      </c>
      <c r="F1110" s="214">
        <v>0</v>
      </c>
      <c r="G1110" s="214">
        <v>0</v>
      </c>
      <c r="H1110" s="214">
        <v>0</v>
      </c>
      <c r="I1110" s="214">
        <v>0</v>
      </c>
      <c r="J1110" s="214">
        <v>0</v>
      </c>
      <c r="K1110" s="214">
        <v>0</v>
      </c>
      <c r="L1110" s="214">
        <v>0</v>
      </c>
      <c r="M1110" s="214">
        <v>0</v>
      </c>
      <c r="N1110" s="214">
        <v>0</v>
      </c>
      <c r="O1110" s="214">
        <v>0</v>
      </c>
      <c r="P1110" s="214">
        <v>0</v>
      </c>
      <c r="Q1110" s="214">
        <v>0</v>
      </c>
      <c r="R1110" s="214">
        <v>0</v>
      </c>
      <c r="S1110" s="214">
        <v>0</v>
      </c>
      <c r="T1110" s="214">
        <v>0</v>
      </c>
      <c r="U1110" s="214">
        <v>0</v>
      </c>
      <c r="V1110" s="214">
        <v>0</v>
      </c>
      <c r="W1110" s="214">
        <v>0</v>
      </c>
      <c r="X1110" s="214">
        <v>0</v>
      </c>
      <c r="Y1110" s="214">
        <v>0</v>
      </c>
      <c r="Z1110" s="214">
        <v>0</v>
      </c>
      <c r="AA1110" s="214">
        <v>0</v>
      </c>
      <c r="AB1110" s="214">
        <v>0</v>
      </c>
      <c r="AC1110" s="214">
        <v>0</v>
      </c>
      <c r="AD1110" s="215"/>
      <c r="AE1110" s="420">
        <v>0</v>
      </c>
      <c r="AF1110" s="420">
        <v>0</v>
      </c>
      <c r="AG1110" s="420">
        <v>0</v>
      </c>
      <c r="AH1110" s="420"/>
      <c r="AI1110" s="574">
        <f t="shared" si="27"/>
        <v>0</v>
      </c>
      <c r="AJ1110" s="212"/>
    </row>
    <row r="1111" spans="2:36" ht="14.4">
      <c r="B1111" s="211"/>
      <c r="C1111" s="213" t="s">
        <v>171</v>
      </c>
      <c r="D1111" s="214">
        <v>0</v>
      </c>
      <c r="E1111" s="214">
        <v>0</v>
      </c>
      <c r="F1111" s="214">
        <v>0</v>
      </c>
      <c r="G1111" s="214">
        <v>0</v>
      </c>
      <c r="H1111" s="214">
        <v>0</v>
      </c>
      <c r="I1111" s="214">
        <v>0</v>
      </c>
      <c r="J1111" s="214">
        <v>0</v>
      </c>
      <c r="K1111" s="214">
        <v>0</v>
      </c>
      <c r="L1111" s="214">
        <v>0</v>
      </c>
      <c r="M1111" s="214">
        <v>0</v>
      </c>
      <c r="N1111" s="214">
        <v>0</v>
      </c>
      <c r="O1111" s="214">
        <v>0</v>
      </c>
      <c r="P1111" s="214">
        <v>0</v>
      </c>
      <c r="Q1111" s="214">
        <v>0</v>
      </c>
      <c r="R1111" s="214">
        <v>0</v>
      </c>
      <c r="S1111" s="214">
        <v>0</v>
      </c>
      <c r="T1111" s="214">
        <v>0</v>
      </c>
      <c r="U1111" s="214">
        <v>0</v>
      </c>
      <c r="V1111" s="214">
        <v>0</v>
      </c>
      <c r="W1111" s="214">
        <v>0</v>
      </c>
      <c r="X1111" s="214">
        <v>0</v>
      </c>
      <c r="Y1111" s="214">
        <v>0</v>
      </c>
      <c r="Z1111" s="214">
        <v>0</v>
      </c>
      <c r="AA1111" s="214">
        <v>0</v>
      </c>
      <c r="AB1111" s="214">
        <v>0</v>
      </c>
      <c r="AC1111" s="214">
        <v>0</v>
      </c>
      <c r="AD1111" s="215"/>
      <c r="AE1111" s="420">
        <v>0</v>
      </c>
      <c r="AF1111" s="420">
        <v>0</v>
      </c>
      <c r="AG1111" s="420">
        <v>0</v>
      </c>
      <c r="AH1111" s="420"/>
      <c r="AI1111" s="574">
        <f t="shared" si="27"/>
        <v>0</v>
      </c>
      <c r="AJ1111" s="212"/>
    </row>
    <row r="1112" spans="2:36" ht="14.4">
      <c r="B1112" s="211"/>
      <c r="C1112" s="213" t="s">
        <v>180</v>
      </c>
      <c r="D1112" s="214">
        <v>0</v>
      </c>
      <c r="E1112" s="214">
        <v>0</v>
      </c>
      <c r="F1112" s="214">
        <v>0</v>
      </c>
      <c r="G1112" s="214">
        <v>0</v>
      </c>
      <c r="H1112" s="214">
        <v>0</v>
      </c>
      <c r="I1112" s="214">
        <v>0</v>
      </c>
      <c r="J1112" s="214">
        <v>0</v>
      </c>
      <c r="K1112" s="214">
        <v>0</v>
      </c>
      <c r="L1112" s="214">
        <v>0</v>
      </c>
      <c r="M1112" s="214">
        <v>0</v>
      </c>
      <c r="N1112" s="214">
        <v>0</v>
      </c>
      <c r="O1112" s="214">
        <v>0</v>
      </c>
      <c r="P1112" s="214">
        <v>0</v>
      </c>
      <c r="Q1112" s="214">
        <v>0</v>
      </c>
      <c r="R1112" s="214">
        <v>0</v>
      </c>
      <c r="S1112" s="214">
        <v>0</v>
      </c>
      <c r="T1112" s="214">
        <v>0</v>
      </c>
      <c r="U1112" s="214">
        <v>0</v>
      </c>
      <c r="V1112" s="214">
        <v>0</v>
      </c>
      <c r="W1112" s="214">
        <v>0</v>
      </c>
      <c r="X1112" s="214">
        <v>0</v>
      </c>
      <c r="Y1112" s="214">
        <v>0</v>
      </c>
      <c r="Z1112" s="214">
        <v>0</v>
      </c>
      <c r="AA1112" s="214">
        <v>0</v>
      </c>
      <c r="AB1112" s="214">
        <v>0</v>
      </c>
      <c r="AC1112" s="214">
        <v>0</v>
      </c>
      <c r="AD1112" s="215"/>
      <c r="AE1112" s="420">
        <v>0</v>
      </c>
      <c r="AF1112" s="420">
        <v>0</v>
      </c>
      <c r="AG1112" s="420">
        <v>0</v>
      </c>
      <c r="AH1112" s="420"/>
      <c r="AI1112" s="574">
        <f t="shared" si="27"/>
        <v>0</v>
      </c>
      <c r="AJ1112" s="212"/>
    </row>
    <row r="1113" spans="2:36" ht="14.4">
      <c r="B1113" s="211"/>
      <c r="C1113" s="213" t="s">
        <v>183</v>
      </c>
      <c r="D1113" s="214">
        <v>0</v>
      </c>
      <c r="E1113" s="214">
        <v>0</v>
      </c>
      <c r="F1113" s="214">
        <v>0</v>
      </c>
      <c r="G1113" s="214">
        <v>0</v>
      </c>
      <c r="H1113" s="214">
        <v>0</v>
      </c>
      <c r="I1113" s="214">
        <v>0</v>
      </c>
      <c r="J1113" s="214">
        <v>0</v>
      </c>
      <c r="K1113" s="214">
        <v>0</v>
      </c>
      <c r="L1113" s="214">
        <v>0</v>
      </c>
      <c r="M1113" s="214">
        <v>0</v>
      </c>
      <c r="N1113" s="214">
        <v>0</v>
      </c>
      <c r="O1113" s="214">
        <v>0</v>
      </c>
      <c r="P1113" s="214">
        <v>0</v>
      </c>
      <c r="Q1113" s="214">
        <v>0</v>
      </c>
      <c r="R1113" s="214">
        <v>0</v>
      </c>
      <c r="S1113" s="214">
        <v>0</v>
      </c>
      <c r="T1113" s="214">
        <v>0</v>
      </c>
      <c r="U1113" s="214">
        <v>0</v>
      </c>
      <c r="V1113" s="214">
        <v>0</v>
      </c>
      <c r="W1113" s="214">
        <v>0</v>
      </c>
      <c r="X1113" s="214">
        <v>0</v>
      </c>
      <c r="Y1113" s="214">
        <v>0</v>
      </c>
      <c r="Z1113" s="214">
        <v>0</v>
      </c>
      <c r="AA1113" s="214">
        <v>0</v>
      </c>
      <c r="AB1113" s="214">
        <v>0</v>
      </c>
      <c r="AC1113" s="214">
        <v>0</v>
      </c>
      <c r="AD1113" s="215"/>
      <c r="AE1113" s="420">
        <v>0</v>
      </c>
      <c r="AF1113" s="420">
        <v>0</v>
      </c>
      <c r="AG1113" s="420">
        <v>0</v>
      </c>
      <c r="AH1113" s="420"/>
      <c r="AI1113" s="574">
        <f t="shared" si="27"/>
        <v>0</v>
      </c>
      <c r="AJ1113" s="212"/>
    </row>
    <row r="1114" spans="2:36" ht="14.4">
      <c r="B1114" s="211"/>
      <c r="C1114" s="213" t="s">
        <v>195</v>
      </c>
      <c r="D1114" s="214">
        <v>13890.18</v>
      </c>
      <c r="E1114" s="214">
        <v>0</v>
      </c>
      <c r="F1114" s="214">
        <v>0</v>
      </c>
      <c r="G1114" s="214">
        <v>0</v>
      </c>
      <c r="H1114" s="214">
        <v>0</v>
      </c>
      <c r="I1114" s="214">
        <v>0</v>
      </c>
      <c r="J1114" s="214">
        <v>0</v>
      </c>
      <c r="K1114" s="214">
        <v>0</v>
      </c>
      <c r="L1114" s="214">
        <v>0</v>
      </c>
      <c r="M1114" s="214">
        <v>0</v>
      </c>
      <c r="N1114" s="214">
        <v>0</v>
      </c>
      <c r="O1114" s="214">
        <v>0</v>
      </c>
      <c r="P1114" s="214">
        <v>0</v>
      </c>
      <c r="Q1114" s="214">
        <v>0</v>
      </c>
      <c r="R1114" s="214">
        <v>0</v>
      </c>
      <c r="S1114" s="214">
        <v>0</v>
      </c>
      <c r="T1114" s="214">
        <v>0</v>
      </c>
      <c r="U1114" s="214">
        <v>0</v>
      </c>
      <c r="V1114" s="214">
        <v>0</v>
      </c>
      <c r="W1114" s="214">
        <v>0</v>
      </c>
      <c r="X1114" s="214">
        <v>0</v>
      </c>
      <c r="Y1114" s="214">
        <v>0</v>
      </c>
      <c r="Z1114" s="214">
        <v>0</v>
      </c>
      <c r="AA1114" s="214">
        <v>0</v>
      </c>
      <c r="AB1114" s="214">
        <v>0</v>
      </c>
      <c r="AC1114" s="214">
        <v>0</v>
      </c>
      <c r="AD1114" s="215"/>
      <c r="AE1114" s="420">
        <v>0</v>
      </c>
      <c r="AF1114" s="420">
        <v>0</v>
      </c>
      <c r="AG1114" s="420">
        <v>0</v>
      </c>
      <c r="AH1114" s="420"/>
      <c r="AI1114" s="574">
        <f t="shared" si="27"/>
        <v>13890.18</v>
      </c>
      <c r="AJ1114" s="212"/>
    </row>
    <row r="1115" spans="2:36" ht="14.4">
      <c r="B1115" s="211"/>
      <c r="C1115" s="213" t="s">
        <v>189</v>
      </c>
      <c r="D1115" s="214">
        <v>10583.22</v>
      </c>
      <c r="E1115" s="214">
        <v>0</v>
      </c>
      <c r="F1115" s="214">
        <v>0</v>
      </c>
      <c r="G1115" s="214">
        <v>0</v>
      </c>
      <c r="H1115" s="214">
        <v>0</v>
      </c>
      <c r="I1115" s="214">
        <v>0</v>
      </c>
      <c r="J1115" s="214">
        <v>0</v>
      </c>
      <c r="K1115" s="214">
        <v>0</v>
      </c>
      <c r="L1115" s="214">
        <v>0</v>
      </c>
      <c r="M1115" s="214">
        <v>0</v>
      </c>
      <c r="N1115" s="214">
        <v>0</v>
      </c>
      <c r="O1115" s="214">
        <v>0</v>
      </c>
      <c r="P1115" s="214">
        <v>0</v>
      </c>
      <c r="Q1115" s="214">
        <v>0</v>
      </c>
      <c r="R1115" s="214">
        <v>0</v>
      </c>
      <c r="S1115" s="214">
        <v>0</v>
      </c>
      <c r="T1115" s="214">
        <v>0</v>
      </c>
      <c r="U1115" s="214">
        <v>0</v>
      </c>
      <c r="V1115" s="214">
        <v>0</v>
      </c>
      <c r="W1115" s="214">
        <v>0</v>
      </c>
      <c r="X1115" s="214">
        <v>0</v>
      </c>
      <c r="Y1115" s="214">
        <v>0</v>
      </c>
      <c r="Z1115" s="214">
        <v>0</v>
      </c>
      <c r="AA1115" s="214">
        <v>0</v>
      </c>
      <c r="AB1115" s="214">
        <v>0</v>
      </c>
      <c r="AC1115" s="214">
        <v>0</v>
      </c>
      <c r="AD1115" s="215"/>
      <c r="AE1115" s="420">
        <v>0</v>
      </c>
      <c r="AF1115" s="420">
        <v>0</v>
      </c>
      <c r="AG1115" s="420">
        <v>0</v>
      </c>
      <c r="AH1115" s="420"/>
      <c r="AI1115" s="574">
        <f t="shared" si="27"/>
        <v>10583.22</v>
      </c>
      <c r="AJ1115" s="212"/>
    </row>
    <row r="1116" spans="2:36" ht="14.4">
      <c r="B1116" s="211"/>
      <c r="C1116" s="213" t="s">
        <v>188</v>
      </c>
      <c r="D1116" s="214">
        <v>13147</v>
      </c>
      <c r="E1116" s="214">
        <v>0</v>
      </c>
      <c r="F1116" s="214">
        <v>0</v>
      </c>
      <c r="G1116" s="214">
        <v>0</v>
      </c>
      <c r="H1116" s="214">
        <v>0</v>
      </c>
      <c r="I1116" s="214">
        <v>0</v>
      </c>
      <c r="J1116" s="214">
        <v>0</v>
      </c>
      <c r="K1116" s="214">
        <v>0</v>
      </c>
      <c r="L1116" s="214">
        <v>0</v>
      </c>
      <c r="M1116" s="214">
        <v>0</v>
      </c>
      <c r="N1116" s="214">
        <v>0</v>
      </c>
      <c r="O1116" s="214">
        <v>0</v>
      </c>
      <c r="P1116" s="214">
        <v>0</v>
      </c>
      <c r="Q1116" s="214">
        <v>0</v>
      </c>
      <c r="R1116" s="214">
        <v>0</v>
      </c>
      <c r="S1116" s="214">
        <v>0</v>
      </c>
      <c r="T1116" s="214">
        <v>0</v>
      </c>
      <c r="U1116" s="214">
        <v>0</v>
      </c>
      <c r="V1116" s="214">
        <v>0</v>
      </c>
      <c r="W1116" s="214">
        <v>0</v>
      </c>
      <c r="X1116" s="214">
        <v>0</v>
      </c>
      <c r="Y1116" s="214">
        <v>0</v>
      </c>
      <c r="Z1116" s="214">
        <v>0</v>
      </c>
      <c r="AA1116" s="214">
        <v>0</v>
      </c>
      <c r="AB1116" s="214">
        <v>0</v>
      </c>
      <c r="AC1116" s="214">
        <v>0</v>
      </c>
      <c r="AD1116" s="215"/>
      <c r="AE1116" s="420">
        <v>0</v>
      </c>
      <c r="AF1116" s="420">
        <v>0</v>
      </c>
      <c r="AG1116" s="420">
        <v>0</v>
      </c>
      <c r="AH1116" s="420"/>
      <c r="AI1116" s="574">
        <f t="shared" si="27"/>
        <v>13147</v>
      </c>
      <c r="AJ1116" s="212"/>
    </row>
    <row r="1117" spans="2:36" ht="14.4">
      <c r="B1117" s="211"/>
      <c r="C1117" s="213" t="s">
        <v>196</v>
      </c>
      <c r="D1117" s="214">
        <v>38899.43</v>
      </c>
      <c r="E1117" s="214">
        <v>0</v>
      </c>
      <c r="F1117" s="214">
        <v>0</v>
      </c>
      <c r="G1117" s="214">
        <v>0</v>
      </c>
      <c r="H1117" s="214">
        <v>0</v>
      </c>
      <c r="I1117" s="214">
        <v>0</v>
      </c>
      <c r="J1117" s="214">
        <v>0</v>
      </c>
      <c r="K1117" s="214">
        <v>0</v>
      </c>
      <c r="L1117" s="214">
        <v>0</v>
      </c>
      <c r="M1117" s="214">
        <v>0</v>
      </c>
      <c r="N1117" s="214">
        <v>0</v>
      </c>
      <c r="O1117" s="214">
        <v>0</v>
      </c>
      <c r="P1117" s="214">
        <v>0</v>
      </c>
      <c r="Q1117" s="214">
        <v>0</v>
      </c>
      <c r="R1117" s="214">
        <v>0</v>
      </c>
      <c r="S1117" s="214">
        <v>0</v>
      </c>
      <c r="T1117" s="214">
        <v>0</v>
      </c>
      <c r="U1117" s="214">
        <v>0</v>
      </c>
      <c r="V1117" s="214">
        <v>0</v>
      </c>
      <c r="W1117" s="214">
        <v>0</v>
      </c>
      <c r="X1117" s="214">
        <v>0</v>
      </c>
      <c r="Y1117" s="214">
        <v>0</v>
      </c>
      <c r="Z1117" s="214">
        <v>0</v>
      </c>
      <c r="AA1117" s="214">
        <v>0</v>
      </c>
      <c r="AB1117" s="214">
        <v>0</v>
      </c>
      <c r="AC1117" s="214">
        <v>0</v>
      </c>
      <c r="AD1117" s="215"/>
      <c r="AE1117" s="420">
        <v>0</v>
      </c>
      <c r="AF1117" s="420">
        <v>0</v>
      </c>
      <c r="AG1117" s="420">
        <v>0</v>
      </c>
      <c r="AH1117" s="420"/>
      <c r="AI1117" s="574">
        <f t="shared" si="27"/>
        <v>38899.43</v>
      </c>
      <c r="AJ1117" s="212"/>
    </row>
    <row r="1118" spans="2:36" ht="14.4">
      <c r="B1118" s="211"/>
      <c r="C1118" s="213" t="s">
        <v>197</v>
      </c>
      <c r="D1118" s="214">
        <v>75935.81</v>
      </c>
      <c r="E1118" s="214">
        <v>0</v>
      </c>
      <c r="F1118" s="214">
        <v>0</v>
      </c>
      <c r="G1118" s="214">
        <v>0</v>
      </c>
      <c r="H1118" s="214">
        <v>0</v>
      </c>
      <c r="I1118" s="214">
        <v>0</v>
      </c>
      <c r="J1118" s="214">
        <v>0</v>
      </c>
      <c r="K1118" s="214">
        <v>0</v>
      </c>
      <c r="L1118" s="214">
        <v>0</v>
      </c>
      <c r="M1118" s="214">
        <v>0</v>
      </c>
      <c r="N1118" s="214">
        <v>0</v>
      </c>
      <c r="O1118" s="214">
        <v>0</v>
      </c>
      <c r="P1118" s="214">
        <v>0</v>
      </c>
      <c r="Q1118" s="214">
        <v>0</v>
      </c>
      <c r="R1118" s="214">
        <v>0</v>
      </c>
      <c r="S1118" s="214">
        <v>0</v>
      </c>
      <c r="T1118" s="214">
        <v>0</v>
      </c>
      <c r="U1118" s="214">
        <v>0</v>
      </c>
      <c r="V1118" s="214">
        <v>0</v>
      </c>
      <c r="W1118" s="214">
        <v>0</v>
      </c>
      <c r="X1118" s="214">
        <v>0</v>
      </c>
      <c r="Y1118" s="214">
        <v>0</v>
      </c>
      <c r="Z1118" s="214">
        <v>0</v>
      </c>
      <c r="AA1118" s="214">
        <v>0</v>
      </c>
      <c r="AB1118" s="214">
        <v>0</v>
      </c>
      <c r="AC1118" s="214">
        <v>0</v>
      </c>
      <c r="AD1118" s="215"/>
      <c r="AE1118" s="420">
        <v>0</v>
      </c>
      <c r="AF1118" s="420">
        <v>0</v>
      </c>
      <c r="AG1118" s="420">
        <v>0</v>
      </c>
      <c r="AH1118" s="420"/>
      <c r="AI1118" s="574">
        <f t="shared" si="27"/>
        <v>75935.81</v>
      </c>
      <c r="AJ1118" s="212"/>
    </row>
    <row r="1119" spans="2:36" ht="14.4">
      <c r="B1119" s="211"/>
      <c r="C1119" s="213" t="s">
        <v>198</v>
      </c>
      <c r="D1119" s="214">
        <v>20500.68</v>
      </c>
      <c r="E1119" s="214">
        <v>0</v>
      </c>
      <c r="F1119" s="214">
        <v>0</v>
      </c>
      <c r="G1119" s="214">
        <v>0</v>
      </c>
      <c r="H1119" s="214">
        <v>0</v>
      </c>
      <c r="I1119" s="214">
        <v>0</v>
      </c>
      <c r="J1119" s="214">
        <v>0</v>
      </c>
      <c r="K1119" s="214">
        <v>0</v>
      </c>
      <c r="L1119" s="214">
        <v>0</v>
      </c>
      <c r="M1119" s="214">
        <v>0</v>
      </c>
      <c r="N1119" s="214">
        <v>0</v>
      </c>
      <c r="O1119" s="214">
        <v>0</v>
      </c>
      <c r="P1119" s="214">
        <v>0</v>
      </c>
      <c r="Q1119" s="214">
        <v>0</v>
      </c>
      <c r="R1119" s="214">
        <v>0</v>
      </c>
      <c r="S1119" s="214">
        <v>0</v>
      </c>
      <c r="T1119" s="214">
        <v>0</v>
      </c>
      <c r="U1119" s="214">
        <v>0</v>
      </c>
      <c r="V1119" s="214">
        <v>0</v>
      </c>
      <c r="W1119" s="214">
        <v>0</v>
      </c>
      <c r="X1119" s="214">
        <v>0</v>
      </c>
      <c r="Y1119" s="214">
        <v>0</v>
      </c>
      <c r="Z1119" s="214">
        <v>0</v>
      </c>
      <c r="AA1119" s="214">
        <v>0</v>
      </c>
      <c r="AB1119" s="214">
        <v>0</v>
      </c>
      <c r="AC1119" s="214">
        <v>0</v>
      </c>
      <c r="AD1119" s="215"/>
      <c r="AE1119" s="420">
        <v>0</v>
      </c>
      <c r="AF1119" s="420">
        <v>0</v>
      </c>
      <c r="AG1119" s="420">
        <v>0</v>
      </c>
      <c r="AH1119" s="420"/>
      <c r="AI1119" s="574">
        <f t="shared" si="27"/>
        <v>20500.68</v>
      </c>
      <c r="AJ1119" s="212"/>
    </row>
    <row r="1120" spans="2:36" ht="14.4">
      <c r="B1120" s="211"/>
      <c r="C1120" s="213" t="s">
        <v>201</v>
      </c>
      <c r="D1120" s="214">
        <v>13451.93</v>
      </c>
      <c r="E1120" s="214">
        <v>0</v>
      </c>
      <c r="F1120" s="214">
        <v>0</v>
      </c>
      <c r="G1120" s="214">
        <v>0</v>
      </c>
      <c r="H1120" s="214">
        <v>0</v>
      </c>
      <c r="I1120" s="214">
        <v>0</v>
      </c>
      <c r="J1120" s="214">
        <v>0</v>
      </c>
      <c r="K1120" s="214">
        <v>0</v>
      </c>
      <c r="L1120" s="214">
        <v>0</v>
      </c>
      <c r="M1120" s="214">
        <v>0</v>
      </c>
      <c r="N1120" s="214">
        <v>0</v>
      </c>
      <c r="O1120" s="214">
        <v>0</v>
      </c>
      <c r="P1120" s="214">
        <v>0</v>
      </c>
      <c r="Q1120" s="214">
        <v>0</v>
      </c>
      <c r="R1120" s="214">
        <v>0</v>
      </c>
      <c r="S1120" s="214">
        <v>0</v>
      </c>
      <c r="T1120" s="214">
        <v>0</v>
      </c>
      <c r="U1120" s="214">
        <v>0</v>
      </c>
      <c r="V1120" s="214">
        <v>0</v>
      </c>
      <c r="W1120" s="214">
        <v>0</v>
      </c>
      <c r="X1120" s="214">
        <v>0</v>
      </c>
      <c r="Y1120" s="214">
        <v>0</v>
      </c>
      <c r="Z1120" s="214">
        <v>0</v>
      </c>
      <c r="AA1120" s="214">
        <v>0</v>
      </c>
      <c r="AB1120" s="214">
        <v>0</v>
      </c>
      <c r="AC1120" s="214">
        <v>0</v>
      </c>
      <c r="AD1120" s="215"/>
      <c r="AE1120" s="420">
        <v>0</v>
      </c>
      <c r="AF1120" s="420">
        <v>0</v>
      </c>
      <c r="AG1120" s="420">
        <v>0</v>
      </c>
      <c r="AH1120" s="420"/>
      <c r="AI1120" s="574">
        <f t="shared" si="27"/>
        <v>13451.93</v>
      </c>
      <c r="AJ1120" s="212"/>
    </row>
    <row r="1121" spans="2:36" ht="14.4">
      <c r="B1121" s="211"/>
      <c r="C1121" s="213" t="s">
        <v>202</v>
      </c>
      <c r="D1121" s="214">
        <v>19795.14</v>
      </c>
      <c r="E1121" s="214">
        <v>0</v>
      </c>
      <c r="F1121" s="214">
        <v>0</v>
      </c>
      <c r="G1121" s="214">
        <v>0</v>
      </c>
      <c r="H1121" s="214">
        <v>0</v>
      </c>
      <c r="I1121" s="214">
        <v>0</v>
      </c>
      <c r="J1121" s="214">
        <v>0</v>
      </c>
      <c r="K1121" s="214">
        <v>0</v>
      </c>
      <c r="L1121" s="214">
        <v>0</v>
      </c>
      <c r="M1121" s="214">
        <v>0</v>
      </c>
      <c r="N1121" s="214">
        <v>0</v>
      </c>
      <c r="O1121" s="214">
        <v>0</v>
      </c>
      <c r="P1121" s="214">
        <v>0</v>
      </c>
      <c r="Q1121" s="214">
        <v>0</v>
      </c>
      <c r="R1121" s="214">
        <v>0</v>
      </c>
      <c r="S1121" s="214">
        <v>0</v>
      </c>
      <c r="T1121" s="214">
        <v>0</v>
      </c>
      <c r="U1121" s="214">
        <v>0</v>
      </c>
      <c r="V1121" s="214">
        <v>0</v>
      </c>
      <c r="W1121" s="214">
        <v>0</v>
      </c>
      <c r="X1121" s="214">
        <v>0</v>
      </c>
      <c r="Y1121" s="214">
        <v>0</v>
      </c>
      <c r="Z1121" s="214">
        <v>0</v>
      </c>
      <c r="AA1121" s="214">
        <v>0</v>
      </c>
      <c r="AB1121" s="214">
        <v>0</v>
      </c>
      <c r="AC1121" s="214">
        <v>0</v>
      </c>
      <c r="AD1121" s="215"/>
      <c r="AE1121" s="420">
        <v>0</v>
      </c>
      <c r="AF1121" s="420">
        <v>0</v>
      </c>
      <c r="AG1121" s="420">
        <v>0</v>
      </c>
      <c r="AH1121" s="420"/>
      <c r="AI1121" s="574">
        <f t="shared" si="27"/>
        <v>19795.14</v>
      </c>
      <c r="AJ1121" s="212"/>
    </row>
    <row r="1122" spans="2:36" ht="14.4">
      <c r="B1122" s="211"/>
      <c r="C1122" s="213" t="s">
        <v>206</v>
      </c>
      <c r="D1122" s="214">
        <v>14119.39</v>
      </c>
      <c r="E1122" s="214">
        <v>0</v>
      </c>
      <c r="F1122" s="214">
        <v>0</v>
      </c>
      <c r="G1122" s="214">
        <v>0</v>
      </c>
      <c r="H1122" s="214">
        <v>0</v>
      </c>
      <c r="I1122" s="214">
        <v>0</v>
      </c>
      <c r="J1122" s="214">
        <v>0</v>
      </c>
      <c r="K1122" s="214">
        <v>0</v>
      </c>
      <c r="L1122" s="214">
        <v>0</v>
      </c>
      <c r="M1122" s="214">
        <v>0</v>
      </c>
      <c r="N1122" s="214">
        <v>0</v>
      </c>
      <c r="O1122" s="214">
        <v>0</v>
      </c>
      <c r="P1122" s="214">
        <v>0</v>
      </c>
      <c r="Q1122" s="214">
        <v>0</v>
      </c>
      <c r="R1122" s="214">
        <v>0</v>
      </c>
      <c r="S1122" s="214">
        <v>0</v>
      </c>
      <c r="T1122" s="214">
        <v>0</v>
      </c>
      <c r="U1122" s="214">
        <v>0</v>
      </c>
      <c r="V1122" s="214">
        <v>0</v>
      </c>
      <c r="W1122" s="214">
        <v>0</v>
      </c>
      <c r="X1122" s="214">
        <v>0</v>
      </c>
      <c r="Y1122" s="214">
        <v>0</v>
      </c>
      <c r="Z1122" s="214">
        <v>0</v>
      </c>
      <c r="AA1122" s="214">
        <v>0</v>
      </c>
      <c r="AB1122" s="214">
        <v>0</v>
      </c>
      <c r="AC1122" s="214">
        <v>0</v>
      </c>
      <c r="AD1122" s="215"/>
      <c r="AE1122" s="420">
        <v>0</v>
      </c>
      <c r="AF1122" s="420">
        <v>0</v>
      </c>
      <c r="AG1122" s="420">
        <v>0</v>
      </c>
      <c r="AH1122" s="420"/>
      <c r="AI1122" s="574">
        <f t="shared" si="27"/>
        <v>14119.39</v>
      </c>
      <c r="AJ1122" s="212"/>
    </row>
    <row r="1123" spans="2:36" ht="14.4">
      <c r="B1123" s="211"/>
      <c r="C1123" s="213" t="s">
        <v>207</v>
      </c>
      <c r="D1123" s="214">
        <v>11400</v>
      </c>
      <c r="E1123" s="214">
        <v>3881.25</v>
      </c>
      <c r="F1123" s="214">
        <v>3450</v>
      </c>
      <c r="G1123" s="214">
        <v>3975</v>
      </c>
      <c r="H1123" s="214">
        <v>862.5</v>
      </c>
      <c r="I1123" s="214">
        <v>1293.75</v>
      </c>
      <c r="J1123" s="214"/>
      <c r="K1123" s="214"/>
      <c r="L1123" s="214">
        <v>862.5</v>
      </c>
      <c r="M1123" s="214">
        <v>1293.75</v>
      </c>
      <c r="N1123" s="214">
        <v>431.25</v>
      </c>
      <c r="O1123" s="214">
        <v>862.5</v>
      </c>
      <c r="P1123" s="214">
        <v>431.25</v>
      </c>
      <c r="Q1123" s="214">
        <v>431.25</v>
      </c>
      <c r="R1123" s="214">
        <v>1387.5</v>
      </c>
      <c r="S1123" s="214">
        <v>862.5</v>
      </c>
      <c r="T1123" s="214"/>
      <c r="U1123" s="214"/>
      <c r="V1123" s="214"/>
      <c r="W1123" s="214"/>
      <c r="X1123" s="214">
        <v>431.25</v>
      </c>
      <c r="Y1123" s="214">
        <v>431.25</v>
      </c>
      <c r="Z1123" s="214"/>
      <c r="AA1123" s="214">
        <v>431.25</v>
      </c>
      <c r="AB1123" s="214"/>
      <c r="AC1123" s="214">
        <v>862.5</v>
      </c>
      <c r="AD1123" s="215"/>
      <c r="AE1123" s="420">
        <v>431.25</v>
      </c>
      <c r="AF1123" s="420"/>
      <c r="AG1123" s="420"/>
      <c r="AH1123" s="420"/>
      <c r="AI1123" s="574">
        <f t="shared" si="27"/>
        <v>34012.5</v>
      </c>
      <c r="AJ1123" s="212"/>
    </row>
    <row r="1124" spans="2:36" ht="14.4">
      <c r="B1124" s="211"/>
      <c r="C1124" s="213" t="s">
        <v>208</v>
      </c>
      <c r="D1124" s="214">
        <v>20092.849999999999</v>
      </c>
      <c r="E1124" s="214">
        <v>0</v>
      </c>
      <c r="F1124" s="214">
        <v>0</v>
      </c>
      <c r="G1124" s="214">
        <v>0</v>
      </c>
      <c r="H1124" s="214">
        <v>0</v>
      </c>
      <c r="I1124" s="214">
        <v>0</v>
      </c>
      <c r="J1124" s="214">
        <v>0</v>
      </c>
      <c r="K1124" s="214">
        <v>0</v>
      </c>
      <c r="L1124" s="214">
        <v>0</v>
      </c>
      <c r="M1124" s="214">
        <v>0</v>
      </c>
      <c r="N1124" s="214">
        <v>0</v>
      </c>
      <c r="O1124" s="214">
        <v>0</v>
      </c>
      <c r="P1124" s="214">
        <v>0</v>
      </c>
      <c r="Q1124" s="214">
        <v>0</v>
      </c>
      <c r="R1124" s="214">
        <v>0</v>
      </c>
      <c r="S1124" s="214">
        <v>0</v>
      </c>
      <c r="T1124" s="214">
        <v>0</v>
      </c>
      <c r="U1124" s="214">
        <v>0</v>
      </c>
      <c r="V1124" s="214">
        <v>0</v>
      </c>
      <c r="W1124" s="214">
        <v>0</v>
      </c>
      <c r="X1124" s="214">
        <v>0</v>
      </c>
      <c r="Y1124" s="214">
        <v>0</v>
      </c>
      <c r="Z1124" s="214">
        <v>0</v>
      </c>
      <c r="AA1124" s="214">
        <v>0</v>
      </c>
      <c r="AB1124" s="214">
        <v>0</v>
      </c>
      <c r="AC1124" s="214">
        <v>0</v>
      </c>
      <c r="AD1124" s="215"/>
      <c r="AE1124" s="420">
        <v>0</v>
      </c>
      <c r="AF1124" s="420">
        <v>0</v>
      </c>
      <c r="AG1124" s="420">
        <v>0</v>
      </c>
      <c r="AH1124" s="420"/>
      <c r="AI1124" s="574">
        <f t="shared" si="27"/>
        <v>20092.849999999999</v>
      </c>
      <c r="AJ1124" s="212"/>
    </row>
    <row r="1125" spans="2:36" ht="14.4">
      <c r="B1125" s="211"/>
      <c r="C1125" s="213" t="s">
        <v>236</v>
      </c>
      <c r="D1125" s="214">
        <v>18941.97</v>
      </c>
      <c r="E1125" s="214">
        <v>0</v>
      </c>
      <c r="F1125" s="214">
        <v>0</v>
      </c>
      <c r="G1125" s="214">
        <v>0</v>
      </c>
      <c r="H1125" s="214">
        <v>0</v>
      </c>
      <c r="I1125" s="214">
        <v>0</v>
      </c>
      <c r="J1125" s="214">
        <v>0</v>
      </c>
      <c r="K1125" s="214">
        <v>0</v>
      </c>
      <c r="L1125" s="214">
        <v>0</v>
      </c>
      <c r="M1125" s="214">
        <v>0</v>
      </c>
      <c r="N1125" s="214">
        <v>0</v>
      </c>
      <c r="O1125" s="214">
        <v>0</v>
      </c>
      <c r="P1125" s="214">
        <v>0</v>
      </c>
      <c r="Q1125" s="214">
        <v>0</v>
      </c>
      <c r="R1125" s="214">
        <v>0</v>
      </c>
      <c r="S1125" s="214">
        <v>0</v>
      </c>
      <c r="T1125" s="214">
        <v>0</v>
      </c>
      <c r="U1125" s="214">
        <v>0</v>
      </c>
      <c r="V1125" s="214">
        <v>0</v>
      </c>
      <c r="W1125" s="214">
        <v>0</v>
      </c>
      <c r="X1125" s="214">
        <v>0</v>
      </c>
      <c r="Y1125" s="214">
        <v>0</v>
      </c>
      <c r="Z1125" s="214">
        <v>0</v>
      </c>
      <c r="AA1125" s="214">
        <v>0</v>
      </c>
      <c r="AB1125" s="214">
        <v>0</v>
      </c>
      <c r="AC1125" s="214">
        <v>0</v>
      </c>
      <c r="AD1125" s="215"/>
      <c r="AE1125" s="420">
        <v>0</v>
      </c>
      <c r="AF1125" s="420">
        <v>0</v>
      </c>
      <c r="AG1125" s="420">
        <v>0</v>
      </c>
      <c r="AH1125" s="420"/>
      <c r="AI1125" s="574">
        <f t="shared" si="27"/>
        <v>18941.97</v>
      </c>
      <c r="AJ1125" s="212"/>
    </row>
    <row r="1126" spans="2:36" ht="14.4">
      <c r="B1126" s="211"/>
      <c r="C1126" s="240" t="s">
        <v>209</v>
      </c>
      <c r="D1126" s="214">
        <v>0</v>
      </c>
      <c r="E1126" s="214">
        <v>0</v>
      </c>
      <c r="F1126" s="214">
        <v>0</v>
      </c>
      <c r="G1126" s="214">
        <v>0</v>
      </c>
      <c r="H1126" s="214">
        <v>0</v>
      </c>
      <c r="I1126" s="214">
        <v>0</v>
      </c>
      <c r="J1126" s="214">
        <v>0</v>
      </c>
      <c r="K1126" s="214">
        <v>0</v>
      </c>
      <c r="L1126" s="214">
        <v>0</v>
      </c>
      <c r="M1126" s="214">
        <v>0</v>
      </c>
      <c r="N1126" s="214">
        <v>0</v>
      </c>
      <c r="O1126" s="214">
        <v>0</v>
      </c>
      <c r="P1126" s="214">
        <v>0</v>
      </c>
      <c r="Q1126" s="214">
        <v>0</v>
      </c>
      <c r="R1126" s="214">
        <v>0</v>
      </c>
      <c r="S1126" s="214">
        <v>0</v>
      </c>
      <c r="T1126" s="214">
        <v>0</v>
      </c>
      <c r="U1126" s="214">
        <v>0</v>
      </c>
      <c r="V1126" s="214">
        <v>0</v>
      </c>
      <c r="W1126" s="214">
        <v>0</v>
      </c>
      <c r="X1126" s="214">
        <v>0</v>
      </c>
      <c r="Y1126" s="214">
        <v>0</v>
      </c>
      <c r="Z1126" s="214">
        <v>0</v>
      </c>
      <c r="AA1126" s="214">
        <v>0</v>
      </c>
      <c r="AB1126" s="214">
        <v>0</v>
      </c>
      <c r="AC1126" s="214">
        <v>0</v>
      </c>
      <c r="AD1126" s="215"/>
      <c r="AE1126" s="420">
        <v>0</v>
      </c>
      <c r="AF1126" s="420">
        <v>0</v>
      </c>
      <c r="AG1126" s="420">
        <v>0</v>
      </c>
      <c r="AH1126" s="420"/>
      <c r="AI1126" s="574">
        <f t="shared" si="27"/>
        <v>0</v>
      </c>
      <c r="AJ1126" s="212"/>
    </row>
    <row r="1127" spans="2:36" ht="14.4">
      <c r="B1127" s="211"/>
      <c r="C1127" s="240" t="s">
        <v>360</v>
      </c>
      <c r="D1127" s="214"/>
      <c r="E1127" s="214">
        <v>416728.62</v>
      </c>
      <c r="F1127" s="214">
        <v>208850.26</v>
      </c>
      <c r="G1127" s="214"/>
      <c r="H1127" s="214">
        <v>554109.56999999995</v>
      </c>
      <c r="I1127" s="214"/>
      <c r="J1127" s="214"/>
      <c r="K1127" s="214"/>
      <c r="L1127" s="214"/>
      <c r="M1127" s="214">
        <v>103880.57</v>
      </c>
      <c r="N1127" s="214">
        <v>231.95</v>
      </c>
      <c r="O1127" s="214">
        <v>264432.21999999997</v>
      </c>
      <c r="P1127" s="214">
        <v>181567</v>
      </c>
      <c r="Q1127" s="214">
        <v>293373.28999999998</v>
      </c>
      <c r="R1127" s="214">
        <v>53.98</v>
      </c>
      <c r="S1127" s="214">
        <v>123989.44</v>
      </c>
      <c r="T1127" s="214"/>
      <c r="U1127" s="214"/>
      <c r="V1127" s="214"/>
      <c r="W1127" s="214"/>
      <c r="X1127" s="214"/>
      <c r="Y1127" s="214"/>
      <c r="Z1127" s="214"/>
      <c r="AA1127" s="214"/>
      <c r="AB1127" s="214"/>
      <c r="AC1127" s="214"/>
      <c r="AD1127" s="241"/>
      <c r="AE1127" s="420">
        <v>338431.84</v>
      </c>
      <c r="AF1127" s="420"/>
      <c r="AG1127" s="420"/>
      <c r="AH1127" s="420"/>
      <c r="AI1127" s="574">
        <f t="shared" si="27"/>
        <v>2485648.7399999998</v>
      </c>
      <c r="AJ1127" s="212"/>
    </row>
    <row r="1128" spans="2:36" ht="14.4">
      <c r="B1128" s="211"/>
      <c r="C1128" s="240" t="s">
        <v>390</v>
      </c>
      <c r="D1128" s="214">
        <v>0</v>
      </c>
      <c r="E1128" s="214">
        <v>0</v>
      </c>
      <c r="F1128" s="214">
        <v>0</v>
      </c>
      <c r="G1128" s="214">
        <v>0</v>
      </c>
      <c r="H1128" s="214">
        <v>0</v>
      </c>
      <c r="I1128" s="214">
        <v>0</v>
      </c>
      <c r="J1128" s="214">
        <v>0</v>
      </c>
      <c r="K1128" s="214">
        <v>0</v>
      </c>
      <c r="L1128" s="214">
        <v>0</v>
      </c>
      <c r="M1128" s="214">
        <v>0</v>
      </c>
      <c r="N1128" s="214">
        <v>0</v>
      </c>
      <c r="O1128" s="214">
        <v>0</v>
      </c>
      <c r="P1128" s="214">
        <v>0</v>
      </c>
      <c r="Q1128" s="214">
        <v>0</v>
      </c>
      <c r="R1128" s="214">
        <v>0</v>
      </c>
      <c r="S1128" s="214">
        <v>0</v>
      </c>
      <c r="T1128" s="214">
        <v>0</v>
      </c>
      <c r="U1128" s="214">
        <v>0</v>
      </c>
      <c r="V1128" s="214">
        <v>0</v>
      </c>
      <c r="W1128" s="214">
        <v>0</v>
      </c>
      <c r="X1128" s="214">
        <v>0</v>
      </c>
      <c r="Y1128" s="214">
        <v>0</v>
      </c>
      <c r="Z1128" s="214">
        <v>0</v>
      </c>
      <c r="AA1128" s="214">
        <v>0</v>
      </c>
      <c r="AB1128" s="214">
        <v>0</v>
      </c>
      <c r="AC1128" s="214">
        <v>0</v>
      </c>
      <c r="AD1128" s="241"/>
      <c r="AE1128" s="420">
        <v>0</v>
      </c>
      <c r="AF1128" s="420">
        <v>0</v>
      </c>
      <c r="AG1128" s="420">
        <v>0</v>
      </c>
      <c r="AH1128" s="420"/>
      <c r="AI1128" s="574">
        <f t="shared" si="27"/>
        <v>0</v>
      </c>
      <c r="AJ1128" s="212"/>
    </row>
    <row r="1129" spans="2:36" ht="14.4">
      <c r="B1129" s="211"/>
      <c r="C1129" s="240" t="s">
        <v>392</v>
      </c>
      <c r="D1129" s="214">
        <v>0</v>
      </c>
      <c r="E1129" s="214">
        <v>164357.20000000001</v>
      </c>
      <c r="F1129" s="214">
        <v>108196.81</v>
      </c>
      <c r="G1129" s="214">
        <v>0</v>
      </c>
      <c r="H1129" s="214">
        <v>213602.81</v>
      </c>
      <c r="I1129" s="214">
        <v>0</v>
      </c>
      <c r="J1129" s="214">
        <v>0</v>
      </c>
      <c r="K1129" s="214">
        <v>0</v>
      </c>
      <c r="L1129" s="214">
        <v>0</v>
      </c>
      <c r="M1129" s="214">
        <v>38861.339999999997</v>
      </c>
      <c r="N1129" s="214">
        <v>159.43</v>
      </c>
      <c r="O1129" s="214">
        <v>94263.51999999999</v>
      </c>
      <c r="P1129" s="214">
        <v>80071.56</v>
      </c>
      <c r="Q1129" s="214">
        <v>95367.87</v>
      </c>
      <c r="R1129" s="214">
        <v>0</v>
      </c>
      <c r="S1129" s="214">
        <v>43205.54</v>
      </c>
      <c r="T1129" s="214">
        <v>0</v>
      </c>
      <c r="U1129" s="214">
        <v>0</v>
      </c>
      <c r="V1129" s="214">
        <v>0</v>
      </c>
      <c r="W1129" s="214">
        <v>0</v>
      </c>
      <c r="X1129" s="214">
        <v>0</v>
      </c>
      <c r="Y1129" s="214">
        <v>0</v>
      </c>
      <c r="Z1129" s="214">
        <v>0</v>
      </c>
      <c r="AA1129" s="214">
        <v>0</v>
      </c>
      <c r="AB1129" s="214">
        <v>0</v>
      </c>
      <c r="AC1129" s="214">
        <v>0</v>
      </c>
      <c r="AD1129" s="241">
        <v>0</v>
      </c>
      <c r="AE1129" s="420">
        <v>150502.84</v>
      </c>
      <c r="AF1129" s="420">
        <v>0</v>
      </c>
      <c r="AG1129" s="420">
        <v>0</v>
      </c>
      <c r="AH1129" s="420">
        <v>0</v>
      </c>
      <c r="AI1129" s="574">
        <f t="shared" si="27"/>
        <v>988588.92000000016</v>
      </c>
      <c r="AJ1129" s="212"/>
    </row>
    <row r="1130" spans="2:36" ht="14.4">
      <c r="B1130" s="211"/>
      <c r="C1130" s="516" t="s">
        <v>400</v>
      </c>
      <c r="D1130" s="241">
        <v>145389.75</v>
      </c>
      <c r="E1130" s="241"/>
      <c r="F1130" s="241"/>
      <c r="G1130" s="241"/>
      <c r="H1130" s="241"/>
      <c r="I1130" s="241"/>
      <c r="J1130" s="241"/>
      <c r="K1130" s="241"/>
      <c r="L1130" s="241"/>
      <c r="M1130" s="241"/>
      <c r="N1130" s="241"/>
      <c r="O1130" s="241"/>
      <c r="P1130" s="241"/>
      <c r="Q1130" s="241"/>
      <c r="R1130" s="241"/>
      <c r="S1130" s="241"/>
      <c r="T1130" s="241"/>
      <c r="U1130" s="241"/>
      <c r="V1130" s="241"/>
      <c r="W1130" s="241"/>
      <c r="X1130" s="241"/>
      <c r="Y1130" s="241"/>
      <c r="Z1130" s="241"/>
      <c r="AA1130" s="241"/>
      <c r="AB1130" s="241"/>
      <c r="AC1130" s="241"/>
      <c r="AD1130" s="241"/>
      <c r="AE1130" s="420"/>
      <c r="AF1130" s="420"/>
      <c r="AG1130" s="420"/>
      <c r="AH1130" s="420"/>
      <c r="AI1130" s="574">
        <f t="shared" si="27"/>
        <v>145389.75</v>
      </c>
      <c r="AJ1130" s="212"/>
    </row>
    <row r="1131" spans="2:36" ht="14.4">
      <c r="B1131" s="211"/>
      <c r="C1131" s="149" t="s">
        <v>239</v>
      </c>
      <c r="D1131" s="217">
        <f>SUM(D1017:D1130)</f>
        <v>2559477.5400000019</v>
      </c>
      <c r="E1131" s="217">
        <f t="shared" ref="E1131:AH1131" si="28">SUM(E1017:E1129)</f>
        <v>1174300.3</v>
      </c>
      <c r="F1131" s="217">
        <f t="shared" si="28"/>
        <v>890330.53</v>
      </c>
      <c r="G1131" s="217">
        <f t="shared" si="28"/>
        <v>398539.79000000004</v>
      </c>
      <c r="H1131" s="217">
        <f t="shared" si="28"/>
        <v>1331460.42</v>
      </c>
      <c r="I1131" s="217">
        <f t="shared" si="28"/>
        <v>65328.929999999993</v>
      </c>
      <c r="J1131" s="217">
        <f t="shared" si="28"/>
        <v>27456.62</v>
      </c>
      <c r="K1131" s="217">
        <f t="shared" si="28"/>
        <v>19485.009999999995</v>
      </c>
      <c r="L1131" s="217">
        <f t="shared" si="28"/>
        <v>23625.530000000002</v>
      </c>
      <c r="M1131" s="217">
        <f t="shared" si="28"/>
        <v>400727.66999999993</v>
      </c>
      <c r="N1131" s="217">
        <f t="shared" si="28"/>
        <v>55386.099999999991</v>
      </c>
      <c r="O1131" s="217">
        <f t="shared" si="28"/>
        <v>743319.61999999988</v>
      </c>
      <c r="P1131" s="217">
        <f t="shared" si="28"/>
        <v>585464.32999999996</v>
      </c>
      <c r="Q1131" s="217">
        <f t="shared" si="28"/>
        <v>1072225.2800000003</v>
      </c>
      <c r="R1131" s="217">
        <f t="shared" si="28"/>
        <v>101215.69</v>
      </c>
      <c r="S1131" s="217">
        <f t="shared" si="28"/>
        <v>455906.52999999991</v>
      </c>
      <c r="T1131" s="217">
        <f t="shared" si="28"/>
        <v>36971.839999999997</v>
      </c>
      <c r="U1131" s="217">
        <f t="shared" si="28"/>
        <v>26151.009999999995</v>
      </c>
      <c r="V1131" s="217">
        <f t="shared" si="28"/>
        <v>29254.06</v>
      </c>
      <c r="W1131" s="217">
        <f t="shared" si="28"/>
        <v>13203.819999999998</v>
      </c>
      <c r="X1131" s="217">
        <f t="shared" si="28"/>
        <v>21630.760000000002</v>
      </c>
      <c r="Y1131" s="217">
        <f t="shared" si="28"/>
        <v>19136.079999999998</v>
      </c>
      <c r="Z1131" s="217">
        <f t="shared" si="28"/>
        <v>14898.390000000001</v>
      </c>
      <c r="AA1131" s="217">
        <f t="shared" si="28"/>
        <v>12721.25</v>
      </c>
      <c r="AB1131" s="217">
        <f t="shared" si="28"/>
        <v>43360.53</v>
      </c>
      <c r="AC1131" s="217">
        <f t="shared" si="28"/>
        <v>32635.100000000002</v>
      </c>
      <c r="AD1131" s="217">
        <f t="shared" si="28"/>
        <v>0</v>
      </c>
      <c r="AE1131" s="217">
        <f t="shared" si="28"/>
        <v>900848.34</v>
      </c>
      <c r="AF1131" s="217">
        <f t="shared" si="28"/>
        <v>15550.73</v>
      </c>
      <c r="AG1131" s="217">
        <f t="shared" si="28"/>
        <v>56659.66</v>
      </c>
      <c r="AH1131" s="217">
        <f t="shared" si="28"/>
        <v>0</v>
      </c>
      <c r="AI1131" s="575">
        <f>SUM(AI1017:AI1130)</f>
        <v>11127271.459999995</v>
      </c>
      <c r="AJ1131" s="212"/>
    </row>
    <row r="1132" spans="2:36" ht="14.4">
      <c r="B1132" s="218"/>
      <c r="C1132" s="219"/>
      <c r="D1132" s="214">
        <f>IFERROR(_xlfn.XLOOKUP(C1132,[2]Sheet2!$A:$A,[2]Sheet2!$B:$B),0)</f>
        <v>0</v>
      </c>
      <c r="E1132" s="397">
        <f t="shared" ref="E1132:AD1132" si="29">E1131-E1017-E1018-E1022-E1023-E1024</f>
        <v>707803.05</v>
      </c>
      <c r="F1132" s="397">
        <f t="shared" si="29"/>
        <v>409159.8600000001</v>
      </c>
      <c r="G1132" s="397">
        <f t="shared" si="29"/>
        <v>49827.120000000054</v>
      </c>
      <c r="H1132" s="397">
        <f t="shared" si="29"/>
        <v>854860.64999999991</v>
      </c>
      <c r="I1132" s="395">
        <f t="shared" si="29"/>
        <v>28683.01999999999</v>
      </c>
      <c r="J1132" s="395">
        <f t="shared" si="29"/>
        <v>7334.2000000000007</v>
      </c>
      <c r="K1132" s="395">
        <f t="shared" si="29"/>
        <v>4094.5099999999948</v>
      </c>
      <c r="L1132" s="214">
        <f>IFERROR(_xlfn.XLOOKUP(C1132,[3]Sheet2!$A:$A,[3]Sheet2!$B:$B),0)</f>
        <v>0</v>
      </c>
      <c r="M1132" s="395">
        <f t="shared" si="29"/>
        <v>176319.62999999992</v>
      </c>
      <c r="N1132" s="395">
        <f t="shared" si="29"/>
        <v>8687.5399999999936</v>
      </c>
      <c r="O1132" s="395">
        <f t="shared" si="29"/>
        <v>386239.27999999991</v>
      </c>
      <c r="P1132" s="395">
        <f t="shared" si="29"/>
        <v>321497.13</v>
      </c>
      <c r="Q1132" s="395">
        <f t="shared" si="29"/>
        <v>510086.31000000029</v>
      </c>
      <c r="R1132" s="395">
        <f t="shared" si="29"/>
        <v>42528.78</v>
      </c>
      <c r="S1132" s="214">
        <f>IFERROR(_xlfn.XLOOKUP(C1132,[4]Sheet2!$A:$A,[4]Sheet2!$B:$B,),0)</f>
        <v>0</v>
      </c>
      <c r="T1132" s="395">
        <f t="shared" si="29"/>
        <v>13557.499999999996</v>
      </c>
      <c r="U1132" s="395">
        <f t="shared" si="29"/>
        <v>7341.3099999999977</v>
      </c>
      <c r="V1132" s="395">
        <f t="shared" si="29"/>
        <v>5776.5600000000013</v>
      </c>
      <c r="W1132" s="395">
        <f t="shared" si="29"/>
        <v>5696.4199999999983</v>
      </c>
      <c r="X1132" s="395">
        <f t="shared" si="29"/>
        <v>10169.880000000001</v>
      </c>
      <c r="Y1132" s="395">
        <f t="shared" si="29"/>
        <v>8297.0599999999977</v>
      </c>
      <c r="Z1132" s="395">
        <f t="shared" si="29"/>
        <v>8012.2900000000009</v>
      </c>
      <c r="AA1132" s="395">
        <f t="shared" si="29"/>
        <v>3821.25</v>
      </c>
      <c r="AB1132" s="395">
        <f t="shared" si="29"/>
        <v>10875.580000000002</v>
      </c>
      <c r="AC1132" s="395">
        <f t="shared" si="29"/>
        <v>12301.990000000002</v>
      </c>
      <c r="AD1132" s="395">
        <f t="shared" si="29"/>
        <v>0</v>
      </c>
      <c r="AE1132" s="395"/>
      <c r="AF1132" s="395"/>
      <c r="AG1132" s="395"/>
      <c r="AH1132" s="395"/>
      <c r="AI1132" s="576">
        <f>AI1131-AI1017-AI1018-AI1022-AI1023-AI1024</f>
        <v>5598179.349999995</v>
      </c>
      <c r="AJ1132" s="212"/>
    </row>
    <row r="1133" spans="2:36" ht="14.4">
      <c r="B1133" s="209"/>
      <c r="C1133" s="202"/>
      <c r="D1133" s="202"/>
      <c r="E1133" s="202"/>
      <c r="F1133" s="202"/>
      <c r="G1133" s="202"/>
      <c r="H1133" s="202"/>
      <c r="I1133" s="202"/>
      <c r="J1133" s="202"/>
      <c r="K1133" s="202"/>
      <c r="L1133" s="202"/>
      <c r="M1133" s="202"/>
      <c r="N1133" s="202"/>
      <c r="O1133" s="202"/>
      <c r="P1133" s="202"/>
      <c r="Q1133" s="202"/>
      <c r="R1133" s="202"/>
      <c r="S1133" s="202"/>
      <c r="T1133" s="202"/>
      <c r="U1133" s="202"/>
      <c r="V1133" s="202"/>
      <c r="W1133" s="202"/>
      <c r="X1133" s="202"/>
      <c r="Y1133" s="202"/>
      <c r="Z1133" s="202"/>
      <c r="AA1133" s="202"/>
      <c r="AB1133" s="202"/>
      <c r="AC1133" s="202"/>
      <c r="AD1133" s="202"/>
      <c r="AE1133" s="202"/>
      <c r="AF1133" s="202"/>
      <c r="AG1133" s="202"/>
      <c r="AH1133" s="202"/>
      <c r="AI1133" s="577"/>
      <c r="AJ1133" s="209"/>
    </row>
    <row r="1134" spans="2:36" ht="14.4">
      <c r="B1134" s="220"/>
      <c r="C1134" s="221"/>
      <c r="D1134" s="221"/>
      <c r="E1134" s="221"/>
      <c r="F1134" s="221"/>
      <c r="G1134" s="221"/>
      <c r="H1134" s="221"/>
      <c r="I1134" s="221"/>
      <c r="J1134" s="221"/>
      <c r="K1134" s="221"/>
      <c r="L1134" s="221"/>
      <c r="M1134" s="221"/>
      <c r="N1134" s="221"/>
      <c r="O1134" s="221"/>
      <c r="P1134" s="221"/>
      <c r="Q1134" s="221"/>
      <c r="R1134" s="221"/>
      <c r="S1134" s="221"/>
      <c r="T1134" s="221"/>
      <c r="U1134" s="221"/>
      <c r="V1134" s="221"/>
      <c r="W1134" s="221"/>
      <c r="X1134" s="221"/>
      <c r="Y1134" s="221"/>
      <c r="Z1134" s="221"/>
      <c r="AA1134" s="221"/>
      <c r="AB1134" s="221"/>
      <c r="AC1134" s="221"/>
      <c r="AD1134" s="221"/>
      <c r="AE1134" s="221"/>
      <c r="AF1134" s="221"/>
      <c r="AG1134" s="221"/>
      <c r="AH1134" s="221"/>
      <c r="AI1134" s="578"/>
      <c r="AJ1134" s="222"/>
    </row>
    <row r="1138" spans="1:36">
      <c r="A1138" s="202"/>
    </row>
    <row r="1139" spans="1:36" ht="21">
      <c r="A1139" s="203"/>
      <c r="B1139" s="204"/>
      <c r="C1139" s="116" t="s">
        <v>272</v>
      </c>
      <c r="D1139" s="117"/>
      <c r="E1139" s="117"/>
      <c r="F1139" s="117"/>
      <c r="G1139" s="117"/>
      <c r="H1139" s="117"/>
      <c r="I1139" s="117"/>
      <c r="J1139" s="117"/>
      <c r="K1139" s="117"/>
      <c r="L1139" s="117"/>
      <c r="M1139" s="117"/>
      <c r="N1139" s="117"/>
      <c r="O1139" s="117"/>
      <c r="P1139" s="117"/>
      <c r="Q1139" s="117"/>
      <c r="R1139" s="117"/>
      <c r="S1139" s="117"/>
      <c r="T1139" s="117"/>
      <c r="U1139" s="117"/>
      <c r="V1139" s="117"/>
      <c r="W1139" s="117"/>
      <c r="X1139" s="117"/>
      <c r="Y1139" s="117"/>
      <c r="Z1139" s="117"/>
      <c r="AA1139" s="117"/>
      <c r="AB1139" s="117"/>
      <c r="AC1139" s="117"/>
      <c r="AD1139" s="117"/>
      <c r="AE1139" s="117"/>
      <c r="AF1139" s="117"/>
      <c r="AG1139" s="117"/>
      <c r="AH1139" s="117"/>
      <c r="AI1139" s="570"/>
      <c r="AJ1139" s="117"/>
    </row>
    <row r="1140" spans="1:36" ht="21">
      <c r="A1140" s="206"/>
      <c r="B1140" s="207"/>
      <c r="C1140" s="119"/>
      <c r="D1140" s="120"/>
      <c r="E1140" s="634"/>
      <c r="F1140" s="634"/>
      <c r="G1140" s="634"/>
      <c r="H1140" s="634"/>
      <c r="I1140" s="634"/>
      <c r="J1140" s="634"/>
      <c r="K1140" s="120"/>
      <c r="L1140" s="120"/>
      <c r="M1140" s="120"/>
      <c r="N1140" s="634" t="s">
        <v>398</v>
      </c>
      <c r="O1140" s="634"/>
      <c r="P1140" s="634"/>
      <c r="Q1140" s="634"/>
      <c r="R1140" s="634"/>
      <c r="S1140" s="634"/>
      <c r="T1140" s="634"/>
      <c r="U1140" s="634"/>
      <c r="V1140" s="634"/>
      <c r="W1140" s="634"/>
      <c r="X1140" s="634"/>
      <c r="Y1140" s="634"/>
      <c r="Z1140" s="634"/>
      <c r="AA1140" s="120"/>
      <c r="AB1140" s="120"/>
      <c r="AC1140" s="120"/>
      <c r="AD1140" s="120"/>
      <c r="AE1140" s="120"/>
      <c r="AF1140" s="120"/>
      <c r="AG1140" s="120"/>
      <c r="AH1140" s="120"/>
      <c r="AI1140" s="571"/>
      <c r="AJ1140" s="120"/>
    </row>
    <row r="1141" spans="1:36" ht="14.4">
      <c r="A1141" s="205"/>
    </row>
    <row r="1142" spans="1:36" ht="14.4">
      <c r="B1142" s="208"/>
      <c r="C1142" s="209"/>
      <c r="D1142" s="209"/>
      <c r="E1142" s="209"/>
      <c r="F1142" s="209"/>
      <c r="G1142" s="209"/>
      <c r="H1142" s="209"/>
      <c r="I1142" s="209"/>
      <c r="J1142" s="209"/>
      <c r="K1142" s="209"/>
      <c r="L1142" s="209"/>
      <c r="M1142" s="209"/>
      <c r="N1142" s="209"/>
      <c r="O1142" s="209"/>
      <c r="P1142" s="209"/>
      <c r="Q1142" s="209"/>
      <c r="R1142" s="209"/>
      <c r="S1142" s="209"/>
      <c r="T1142" s="209"/>
      <c r="U1142" s="209"/>
      <c r="V1142" s="209"/>
      <c r="W1142" s="209"/>
      <c r="X1142" s="209"/>
      <c r="Y1142" s="209"/>
      <c r="Z1142" s="209"/>
      <c r="AA1142" s="209"/>
      <c r="AB1142" s="209"/>
      <c r="AC1142" s="209"/>
      <c r="AD1142" s="209"/>
      <c r="AE1142" s="209"/>
      <c r="AF1142" s="209"/>
      <c r="AG1142" s="209"/>
      <c r="AH1142" s="209"/>
      <c r="AI1142" s="573"/>
      <c r="AJ1142" s="210"/>
    </row>
    <row r="1143" spans="1:36" ht="14.4">
      <c r="B1143" s="211"/>
      <c r="C1143" s="133" t="s">
        <v>264</v>
      </c>
      <c r="D1143" s="126" t="s">
        <v>184</v>
      </c>
      <c r="E1143" s="201" t="s">
        <v>36</v>
      </c>
      <c r="F1143" s="201" t="s">
        <v>9</v>
      </c>
      <c r="G1143" s="201" t="s">
        <v>25</v>
      </c>
      <c r="H1143" s="201" t="s">
        <v>160</v>
      </c>
      <c r="I1143" s="201" t="s">
        <v>139</v>
      </c>
      <c r="J1143" s="201" t="s">
        <v>37</v>
      </c>
      <c r="K1143" s="201" t="s">
        <v>133</v>
      </c>
      <c r="L1143" s="201" t="s">
        <v>123</v>
      </c>
      <c r="M1143" s="201" t="s">
        <v>145</v>
      </c>
      <c r="N1143" s="201" t="s">
        <v>124</v>
      </c>
      <c r="O1143" s="201" t="s">
        <v>169</v>
      </c>
      <c r="P1143" s="201" t="s">
        <v>243</v>
      </c>
      <c r="Q1143" s="201" t="s">
        <v>175</v>
      </c>
      <c r="R1143" s="201" t="s">
        <v>170</v>
      </c>
      <c r="S1143" s="201" t="s">
        <v>203</v>
      </c>
      <c r="T1143" s="201" t="s">
        <v>172</v>
      </c>
      <c r="U1143" s="201" t="s">
        <v>176</v>
      </c>
      <c r="V1143" s="201" t="s">
        <v>177</v>
      </c>
      <c r="W1143" s="201" t="s">
        <v>178</v>
      </c>
      <c r="X1143" s="201" t="s">
        <v>179</v>
      </c>
      <c r="Y1143" s="201" t="s">
        <v>181</v>
      </c>
      <c r="Z1143" s="201" t="s">
        <v>182</v>
      </c>
      <c r="AA1143" s="201" t="s">
        <v>187</v>
      </c>
      <c r="AB1143" s="201" t="s">
        <v>233</v>
      </c>
      <c r="AC1143" s="201" t="s">
        <v>240</v>
      </c>
      <c r="AD1143" s="201" t="s">
        <v>245</v>
      </c>
      <c r="AE1143" s="201" t="s">
        <v>357</v>
      </c>
      <c r="AF1143" s="201" t="s">
        <v>362</v>
      </c>
      <c r="AG1143" s="201" t="s">
        <v>361</v>
      </c>
      <c r="AH1143" s="201" t="s">
        <v>234</v>
      </c>
      <c r="AI1143" s="568" t="s">
        <v>239</v>
      </c>
      <c r="AJ1143" s="212"/>
    </row>
    <row r="1144" spans="1:36" ht="14.4">
      <c r="B1144" s="211"/>
      <c r="C1144" s="213" t="s">
        <v>40</v>
      </c>
      <c r="D1144" s="214">
        <v>1313118.58</v>
      </c>
      <c r="E1144" s="214">
        <v>0</v>
      </c>
      <c r="F1144" s="214">
        <v>0</v>
      </c>
      <c r="G1144" s="214">
        <v>0</v>
      </c>
      <c r="H1144" s="214">
        <v>0</v>
      </c>
      <c r="I1144" s="214">
        <v>0</v>
      </c>
      <c r="J1144" s="214">
        <v>0</v>
      </c>
      <c r="K1144" s="214">
        <v>0</v>
      </c>
      <c r="L1144" s="214">
        <v>0</v>
      </c>
      <c r="M1144" s="214">
        <v>0</v>
      </c>
      <c r="N1144" s="214">
        <v>0</v>
      </c>
      <c r="O1144" s="214">
        <v>0</v>
      </c>
      <c r="P1144" s="214">
        <v>0</v>
      </c>
      <c r="Q1144" s="214">
        <v>0</v>
      </c>
      <c r="R1144" s="214">
        <v>0</v>
      </c>
      <c r="S1144" s="214">
        <v>0</v>
      </c>
      <c r="T1144" s="214">
        <v>0</v>
      </c>
      <c r="U1144" s="214">
        <v>0</v>
      </c>
      <c r="V1144" s="214">
        <v>0</v>
      </c>
      <c r="W1144" s="214">
        <v>0</v>
      </c>
      <c r="X1144" s="214">
        <v>0</v>
      </c>
      <c r="Y1144" s="214">
        <v>0</v>
      </c>
      <c r="Z1144" s="214">
        <v>0</v>
      </c>
      <c r="AA1144" s="214">
        <v>0</v>
      </c>
      <c r="AB1144" s="214">
        <v>0</v>
      </c>
      <c r="AC1144" s="214">
        <v>0</v>
      </c>
      <c r="AD1144" s="215"/>
      <c r="AE1144" s="420">
        <v>0</v>
      </c>
      <c r="AF1144" s="420">
        <v>0</v>
      </c>
      <c r="AG1144" s="420">
        <v>0</v>
      </c>
      <c r="AH1144" s="420"/>
      <c r="AI1144" s="574">
        <f>SUM(D1144:AH1144)</f>
        <v>1313118.58</v>
      </c>
      <c r="AJ1144" s="212"/>
    </row>
    <row r="1145" spans="1:36" ht="14.4">
      <c r="B1145" s="211"/>
      <c r="C1145" s="247" t="s">
        <v>41</v>
      </c>
      <c r="D1145" s="214">
        <v>0</v>
      </c>
      <c r="E1145" s="214">
        <v>370937.50999999995</v>
      </c>
      <c r="F1145" s="214">
        <v>359949.02</v>
      </c>
      <c r="G1145" s="214">
        <v>250960.3</v>
      </c>
      <c r="H1145" s="214">
        <v>415936.45999999996</v>
      </c>
      <c r="I1145" s="214">
        <v>41130.9</v>
      </c>
      <c r="J1145" s="214">
        <v>22652.78</v>
      </c>
      <c r="K1145" s="214">
        <v>16812.72</v>
      </c>
      <c r="L1145" s="214">
        <v>11173.6</v>
      </c>
      <c r="M1145" s="214">
        <v>200288.33000000002</v>
      </c>
      <c r="N1145" s="214">
        <v>34155.160000000003</v>
      </c>
      <c r="O1145" s="214">
        <v>323433.61</v>
      </c>
      <c r="P1145" s="214">
        <v>246162.788</v>
      </c>
      <c r="Q1145" s="214">
        <v>512614.7</v>
      </c>
      <c r="R1145" s="214">
        <v>56440.06</v>
      </c>
      <c r="S1145" s="214">
        <v>213754.41000000003</v>
      </c>
      <c r="T1145" s="214">
        <v>23174.34</v>
      </c>
      <c r="U1145" s="214">
        <v>23519.41</v>
      </c>
      <c r="V1145" s="214">
        <v>24857.86</v>
      </c>
      <c r="W1145" s="214">
        <v>7415.7699999999995</v>
      </c>
      <c r="X1145" s="214">
        <v>11427.13</v>
      </c>
      <c r="Y1145" s="214">
        <v>9928.85</v>
      </c>
      <c r="Z1145" s="214">
        <v>7136.1</v>
      </c>
      <c r="AA1145" s="214">
        <v>9768.2899999999991</v>
      </c>
      <c r="AB1145" s="214">
        <v>35650.159999999996</v>
      </c>
      <c r="AC1145" s="214">
        <v>23510.05</v>
      </c>
      <c r="AD1145" s="215"/>
      <c r="AE1145" s="420">
        <v>445792.12</v>
      </c>
      <c r="AF1145" s="420">
        <v>6702.7</v>
      </c>
      <c r="AG1145" s="420">
        <v>47292.46</v>
      </c>
      <c r="AH1145" s="420">
        <v>0</v>
      </c>
      <c r="AI1145" s="574">
        <f t="shared" ref="AI1145:AI1208" si="30">SUM(D1145:AH1145)</f>
        <v>3752577.5880000009</v>
      </c>
      <c r="AJ1145" s="212"/>
    </row>
    <row r="1146" spans="1:36" ht="14.4">
      <c r="B1146" s="211"/>
      <c r="C1146" s="213" t="s">
        <v>26</v>
      </c>
      <c r="D1146" s="214">
        <v>42424.75</v>
      </c>
      <c r="E1146" s="214">
        <v>7871</v>
      </c>
      <c r="F1146" s="214">
        <v>5660</v>
      </c>
      <c r="G1146" s="214">
        <v>6581</v>
      </c>
      <c r="H1146" s="214">
        <v>10860</v>
      </c>
      <c r="I1146" s="214">
        <v>0</v>
      </c>
      <c r="J1146" s="214">
        <v>0</v>
      </c>
      <c r="K1146" s="214">
        <v>0</v>
      </c>
      <c r="L1146" s="214">
        <v>0</v>
      </c>
      <c r="M1146" s="214">
        <v>20000</v>
      </c>
      <c r="N1146" s="214">
        <v>0</v>
      </c>
      <c r="O1146" s="214">
        <v>2500</v>
      </c>
      <c r="P1146" s="214">
        <v>8045</v>
      </c>
      <c r="Q1146" s="214">
        <v>0</v>
      </c>
      <c r="R1146" s="214">
        <v>4200</v>
      </c>
      <c r="S1146" s="214">
        <v>6800</v>
      </c>
      <c r="T1146" s="214">
        <v>0</v>
      </c>
      <c r="U1146" s="214">
        <v>0</v>
      </c>
      <c r="V1146" s="214">
        <v>0</v>
      </c>
      <c r="W1146" s="214">
        <v>0</v>
      </c>
      <c r="X1146" s="214">
        <v>0</v>
      </c>
      <c r="Y1146" s="214">
        <v>0</v>
      </c>
      <c r="Z1146" s="214">
        <v>0</v>
      </c>
      <c r="AA1146" s="214">
        <v>0</v>
      </c>
      <c r="AB1146" s="214">
        <v>0</v>
      </c>
      <c r="AC1146" s="214">
        <v>0</v>
      </c>
      <c r="AD1146" s="215"/>
      <c r="AE1146" s="420">
        <v>4000</v>
      </c>
      <c r="AF1146" s="420">
        <v>0</v>
      </c>
      <c r="AG1146" s="420">
        <v>0</v>
      </c>
      <c r="AH1146" s="420"/>
      <c r="AI1146" s="574">
        <f t="shared" si="30"/>
        <v>118941.75</v>
      </c>
      <c r="AJ1146" s="212"/>
    </row>
    <row r="1147" spans="1:36" ht="14.4">
      <c r="B1147" s="211"/>
      <c r="C1147" s="213" t="s">
        <v>27</v>
      </c>
      <c r="D1147" s="214">
        <v>0</v>
      </c>
      <c r="E1147" s="214">
        <v>500</v>
      </c>
      <c r="F1147" s="214">
        <v>0</v>
      </c>
      <c r="G1147" s="214">
        <v>236</v>
      </c>
      <c r="H1147" s="214">
        <v>1062</v>
      </c>
      <c r="I1147" s="214">
        <v>0</v>
      </c>
      <c r="J1147" s="214">
        <v>0</v>
      </c>
      <c r="K1147" s="214">
        <v>0</v>
      </c>
      <c r="L1147" s="214">
        <v>0</v>
      </c>
      <c r="M1147" s="214">
        <v>0</v>
      </c>
      <c r="N1147" s="214">
        <v>0</v>
      </c>
      <c r="O1147" s="214">
        <v>0</v>
      </c>
      <c r="P1147" s="214">
        <v>0</v>
      </c>
      <c r="Q1147" s="214">
        <v>0</v>
      </c>
      <c r="R1147" s="214">
        <v>560</v>
      </c>
      <c r="S1147" s="214">
        <v>0</v>
      </c>
      <c r="T1147" s="214">
        <v>0</v>
      </c>
      <c r="U1147" s="214">
        <v>0</v>
      </c>
      <c r="V1147" s="214">
        <v>0</v>
      </c>
      <c r="W1147" s="214">
        <v>0</v>
      </c>
      <c r="X1147" s="214">
        <v>0</v>
      </c>
      <c r="Y1147" s="214">
        <v>0</v>
      </c>
      <c r="Z1147" s="214">
        <v>0</v>
      </c>
      <c r="AA1147" s="214">
        <v>0</v>
      </c>
      <c r="AB1147" s="214">
        <v>0</v>
      </c>
      <c r="AC1147" s="214">
        <v>0</v>
      </c>
      <c r="AD1147" s="215"/>
      <c r="AE1147" s="420">
        <v>0</v>
      </c>
      <c r="AF1147" s="420">
        <v>0</v>
      </c>
      <c r="AG1147" s="420">
        <v>0</v>
      </c>
      <c r="AH1147" s="420"/>
      <c r="AI1147" s="574">
        <f t="shared" si="30"/>
        <v>2358</v>
      </c>
      <c r="AJ1147" s="212"/>
    </row>
    <row r="1148" spans="1:36" ht="14.4">
      <c r="B1148" s="211"/>
      <c r="C1148" s="213" t="s">
        <v>42</v>
      </c>
      <c r="D1148" s="214">
        <v>920</v>
      </c>
      <c r="E1148" s="214">
        <v>0</v>
      </c>
      <c r="F1148" s="214">
        <v>0</v>
      </c>
      <c r="G1148" s="214">
        <v>0</v>
      </c>
      <c r="H1148" s="214">
        <v>0</v>
      </c>
      <c r="I1148" s="214">
        <v>0</v>
      </c>
      <c r="J1148" s="214">
        <v>0</v>
      </c>
      <c r="K1148" s="214">
        <v>0</v>
      </c>
      <c r="L1148" s="214">
        <v>0</v>
      </c>
      <c r="M1148" s="214">
        <v>0</v>
      </c>
      <c r="N1148" s="214">
        <v>0</v>
      </c>
      <c r="O1148" s="214">
        <v>0</v>
      </c>
      <c r="P1148" s="214">
        <v>0</v>
      </c>
      <c r="Q1148" s="214">
        <v>0</v>
      </c>
      <c r="R1148" s="214">
        <v>0</v>
      </c>
      <c r="S1148" s="214">
        <v>0</v>
      </c>
      <c r="T1148" s="214">
        <v>0</v>
      </c>
      <c r="U1148" s="214">
        <v>0</v>
      </c>
      <c r="V1148" s="214">
        <v>0</v>
      </c>
      <c r="W1148" s="214">
        <v>0</v>
      </c>
      <c r="X1148" s="214">
        <v>0</v>
      </c>
      <c r="Y1148" s="214">
        <v>0</v>
      </c>
      <c r="Z1148" s="214">
        <v>0</v>
      </c>
      <c r="AA1148" s="214">
        <v>0</v>
      </c>
      <c r="AB1148" s="214">
        <v>0</v>
      </c>
      <c r="AC1148" s="214">
        <v>0</v>
      </c>
      <c r="AD1148" s="215"/>
      <c r="AE1148" s="420">
        <v>0</v>
      </c>
      <c r="AF1148" s="420">
        <v>0</v>
      </c>
      <c r="AG1148" s="420">
        <v>0</v>
      </c>
      <c r="AH1148" s="420"/>
      <c r="AI1148" s="574">
        <f t="shared" si="30"/>
        <v>920</v>
      </c>
      <c r="AJ1148" s="212"/>
    </row>
    <row r="1149" spans="1:36" ht="14.4">
      <c r="B1149" s="211"/>
      <c r="C1149" s="213" t="s">
        <v>43</v>
      </c>
      <c r="D1149" s="214">
        <v>0</v>
      </c>
      <c r="E1149" s="214">
        <v>100000</v>
      </c>
      <c r="F1149" s="214">
        <v>100000</v>
      </c>
      <c r="G1149" s="214">
        <v>100000</v>
      </c>
      <c r="H1149" s="214">
        <v>0</v>
      </c>
      <c r="I1149" s="214">
        <v>0</v>
      </c>
      <c r="J1149" s="214">
        <v>0</v>
      </c>
      <c r="K1149" s="214">
        <v>0</v>
      </c>
      <c r="L1149" s="214">
        <v>0</v>
      </c>
      <c r="M1149" s="214">
        <v>0</v>
      </c>
      <c r="N1149" s="214">
        <v>0</v>
      </c>
      <c r="O1149" s="214">
        <v>0</v>
      </c>
      <c r="P1149" s="214">
        <v>0</v>
      </c>
      <c r="Q1149" s="214">
        <v>0</v>
      </c>
      <c r="R1149" s="214">
        <v>0</v>
      </c>
      <c r="S1149" s="214">
        <v>0</v>
      </c>
      <c r="T1149" s="214">
        <v>0</v>
      </c>
      <c r="U1149" s="214">
        <v>0</v>
      </c>
      <c r="V1149" s="214">
        <v>0</v>
      </c>
      <c r="W1149" s="214">
        <v>0</v>
      </c>
      <c r="X1149" s="214">
        <v>0</v>
      </c>
      <c r="Y1149" s="214">
        <v>0</v>
      </c>
      <c r="Z1149" s="214">
        <v>0</v>
      </c>
      <c r="AA1149" s="214">
        <v>0</v>
      </c>
      <c r="AB1149" s="214">
        <v>0</v>
      </c>
      <c r="AC1149" s="214">
        <v>0</v>
      </c>
      <c r="AD1149" s="215"/>
      <c r="AE1149" s="420">
        <v>0</v>
      </c>
      <c r="AF1149" s="420">
        <v>0</v>
      </c>
      <c r="AG1149" s="420">
        <v>0</v>
      </c>
      <c r="AH1149" s="420"/>
      <c r="AI1149" s="574">
        <f t="shared" si="30"/>
        <v>300000</v>
      </c>
      <c r="AJ1149" s="212"/>
    </row>
    <row r="1150" spans="1:36" ht="14.4">
      <c r="B1150" s="211"/>
      <c r="C1150" s="213" t="s">
        <v>44</v>
      </c>
      <c r="D1150" s="214">
        <v>100000</v>
      </c>
      <c r="E1150" s="214">
        <v>0</v>
      </c>
      <c r="F1150" s="214">
        <v>0</v>
      </c>
      <c r="G1150" s="214">
        <v>0</v>
      </c>
      <c r="H1150" s="214">
        <v>0</v>
      </c>
      <c r="I1150" s="214">
        <v>0</v>
      </c>
      <c r="J1150" s="214">
        <v>0</v>
      </c>
      <c r="K1150" s="214">
        <v>0</v>
      </c>
      <c r="L1150" s="214">
        <v>0</v>
      </c>
      <c r="M1150" s="214">
        <v>0</v>
      </c>
      <c r="N1150" s="214">
        <v>0</v>
      </c>
      <c r="O1150" s="214">
        <v>0</v>
      </c>
      <c r="P1150" s="214">
        <v>0</v>
      </c>
      <c r="Q1150" s="214">
        <v>0</v>
      </c>
      <c r="R1150" s="214">
        <v>0</v>
      </c>
      <c r="S1150" s="214">
        <v>0</v>
      </c>
      <c r="T1150" s="214">
        <v>0</v>
      </c>
      <c r="U1150" s="214">
        <v>0</v>
      </c>
      <c r="V1150" s="214">
        <v>0</v>
      </c>
      <c r="W1150" s="214">
        <v>0</v>
      </c>
      <c r="X1150" s="214">
        <v>0</v>
      </c>
      <c r="Y1150" s="214">
        <v>0</v>
      </c>
      <c r="Z1150" s="214">
        <v>0</v>
      </c>
      <c r="AA1150" s="214">
        <v>0</v>
      </c>
      <c r="AB1150" s="214">
        <v>0</v>
      </c>
      <c r="AC1150" s="214">
        <v>0</v>
      </c>
      <c r="AD1150" s="215"/>
      <c r="AE1150" s="420">
        <v>0</v>
      </c>
      <c r="AF1150" s="420">
        <v>0</v>
      </c>
      <c r="AG1150" s="420">
        <v>0</v>
      </c>
      <c r="AH1150" s="420"/>
      <c r="AI1150" s="574">
        <f t="shared" si="30"/>
        <v>100000</v>
      </c>
      <c r="AJ1150" s="212"/>
    </row>
    <row r="1151" spans="1:36" ht="14.4">
      <c r="B1151" s="211"/>
      <c r="C1151" s="213" t="s">
        <v>45</v>
      </c>
      <c r="D1151" s="214">
        <v>41900</v>
      </c>
      <c r="E1151" s="214">
        <v>0</v>
      </c>
      <c r="F1151" s="214">
        <v>26200</v>
      </c>
      <c r="G1151" s="214">
        <v>3000</v>
      </c>
      <c r="H1151" s="214">
        <v>35500</v>
      </c>
      <c r="I1151" s="214">
        <v>0</v>
      </c>
      <c r="J1151" s="214">
        <v>0</v>
      </c>
      <c r="K1151" s="214">
        <v>0</v>
      </c>
      <c r="L1151" s="214">
        <v>0</v>
      </c>
      <c r="M1151" s="214">
        <v>16000</v>
      </c>
      <c r="N1151" s="214">
        <v>13200</v>
      </c>
      <c r="O1151" s="214">
        <v>20000</v>
      </c>
      <c r="P1151" s="214">
        <v>18700</v>
      </c>
      <c r="Q1151" s="214">
        <v>93886</v>
      </c>
      <c r="R1151" s="214">
        <v>23420</v>
      </c>
      <c r="S1151" s="214">
        <v>50620</v>
      </c>
      <c r="T1151" s="214">
        <v>0</v>
      </c>
      <c r="U1151" s="214">
        <v>0</v>
      </c>
      <c r="V1151" s="214">
        <v>0</v>
      </c>
      <c r="W1151" s="214">
        <v>0</v>
      </c>
      <c r="X1151" s="214">
        <v>0</v>
      </c>
      <c r="Y1151" s="214">
        <v>0</v>
      </c>
      <c r="Z1151" s="214">
        <v>0</v>
      </c>
      <c r="AA1151" s="214">
        <v>0</v>
      </c>
      <c r="AB1151" s="214">
        <v>0</v>
      </c>
      <c r="AC1151" s="214">
        <v>0</v>
      </c>
      <c r="AD1151" s="215"/>
      <c r="AE1151" s="420">
        <v>48050</v>
      </c>
      <c r="AF1151" s="420">
        <v>0</v>
      </c>
      <c r="AG1151" s="420">
        <v>0</v>
      </c>
      <c r="AH1151" s="420"/>
      <c r="AI1151" s="574">
        <f t="shared" si="30"/>
        <v>390476</v>
      </c>
      <c r="AJ1151" s="212"/>
    </row>
    <row r="1152" spans="1:36" ht="14.4">
      <c r="B1152" s="211"/>
      <c r="C1152" s="213" t="s">
        <v>156</v>
      </c>
      <c r="D1152" s="214">
        <v>1000</v>
      </c>
      <c r="E1152" s="214">
        <v>967.5</v>
      </c>
      <c r="F1152" s="214">
        <v>1610.25</v>
      </c>
      <c r="G1152" s="214">
        <v>785.5</v>
      </c>
      <c r="H1152" s="214">
        <v>1300.25</v>
      </c>
      <c r="I1152" s="214">
        <v>0</v>
      </c>
      <c r="J1152" s="214">
        <v>0</v>
      </c>
      <c r="K1152" s="214">
        <v>0</v>
      </c>
      <c r="L1152" s="214">
        <v>0</v>
      </c>
      <c r="M1152" s="214">
        <v>339.25</v>
      </c>
      <c r="N1152" s="214">
        <v>225.5</v>
      </c>
      <c r="O1152" s="214">
        <v>575</v>
      </c>
      <c r="P1152" s="214">
        <v>995.5</v>
      </c>
      <c r="Q1152" s="214">
        <v>733.25</v>
      </c>
      <c r="R1152" s="214">
        <v>350</v>
      </c>
      <c r="S1152" s="214">
        <v>515.5</v>
      </c>
      <c r="T1152" s="214">
        <v>0</v>
      </c>
      <c r="U1152" s="214">
        <v>0</v>
      </c>
      <c r="V1152" s="214">
        <v>0</v>
      </c>
      <c r="W1152" s="214">
        <v>0</v>
      </c>
      <c r="X1152" s="214">
        <v>0</v>
      </c>
      <c r="Y1152" s="214">
        <v>0</v>
      </c>
      <c r="Z1152" s="214">
        <v>0</v>
      </c>
      <c r="AA1152" s="214">
        <v>0</v>
      </c>
      <c r="AB1152" s="214">
        <v>0</v>
      </c>
      <c r="AC1152" s="214">
        <v>0</v>
      </c>
      <c r="AD1152" s="215"/>
      <c r="AE1152" s="420">
        <v>755.25</v>
      </c>
      <c r="AF1152" s="420">
        <v>0</v>
      </c>
      <c r="AG1152" s="420">
        <v>225.25</v>
      </c>
      <c r="AH1152" s="420"/>
      <c r="AI1152" s="574">
        <f t="shared" si="30"/>
        <v>10378</v>
      </c>
      <c r="AJ1152" s="212"/>
    </row>
    <row r="1153" spans="2:36" ht="14.4">
      <c r="B1153" s="211"/>
      <c r="C1153" s="213" t="s">
        <v>46</v>
      </c>
      <c r="D1153" s="214">
        <v>12580.61</v>
      </c>
      <c r="E1153" s="214">
        <v>721.98</v>
      </c>
      <c r="F1153" s="214">
        <v>395</v>
      </c>
      <c r="G1153" s="214">
        <v>644.46</v>
      </c>
      <c r="H1153" s="214">
        <v>147.13</v>
      </c>
      <c r="I1153" s="214">
        <v>84.95</v>
      </c>
      <c r="J1153" s="214">
        <v>50.97</v>
      </c>
      <c r="K1153" s="214">
        <v>523.88</v>
      </c>
      <c r="L1153" s="214">
        <v>65.88</v>
      </c>
      <c r="M1153" s="214">
        <v>836.97</v>
      </c>
      <c r="N1153" s="214">
        <v>54.67</v>
      </c>
      <c r="O1153" s="214">
        <v>262.11</v>
      </c>
      <c r="P1153" s="214">
        <v>593.80999999999995</v>
      </c>
      <c r="Q1153" s="214">
        <v>540.5</v>
      </c>
      <c r="R1153" s="214">
        <v>65.87</v>
      </c>
      <c r="S1153" s="214">
        <v>551.1</v>
      </c>
      <c r="T1153" s="214">
        <v>0</v>
      </c>
      <c r="U1153" s="214">
        <v>168.67</v>
      </c>
      <c r="V1153" s="214">
        <v>130.78</v>
      </c>
      <c r="W1153" s="214">
        <v>123.64</v>
      </c>
      <c r="X1153" s="214">
        <v>168.67</v>
      </c>
      <c r="Y1153" s="214">
        <v>62.18</v>
      </c>
      <c r="Z1153" s="214">
        <v>57.87</v>
      </c>
      <c r="AA1153" s="214">
        <v>65.87</v>
      </c>
      <c r="AB1153" s="214">
        <v>68.33</v>
      </c>
      <c r="AC1153" s="214">
        <v>62.18</v>
      </c>
      <c r="AD1153" s="215"/>
      <c r="AE1153" s="420">
        <v>270.86</v>
      </c>
      <c r="AF1153" s="420">
        <v>371</v>
      </c>
      <c r="AG1153" s="420">
        <v>130.78</v>
      </c>
      <c r="AH1153" s="420"/>
      <c r="AI1153" s="574">
        <f t="shared" si="30"/>
        <v>19800.71999999999</v>
      </c>
      <c r="AJ1153" s="212"/>
    </row>
    <row r="1154" spans="2:36" ht="14.4">
      <c r="B1154" s="211"/>
      <c r="C1154" s="213" t="s">
        <v>47</v>
      </c>
      <c r="D1154" s="214">
        <v>0</v>
      </c>
      <c r="E1154" s="214">
        <v>0</v>
      </c>
      <c r="F1154" s="214">
        <v>0</v>
      </c>
      <c r="G1154" s="214">
        <v>0</v>
      </c>
      <c r="H1154" s="214">
        <v>0</v>
      </c>
      <c r="I1154" s="214">
        <v>0</v>
      </c>
      <c r="J1154" s="214">
        <v>0</v>
      </c>
      <c r="K1154" s="214">
        <v>0</v>
      </c>
      <c r="L1154" s="214">
        <v>0</v>
      </c>
      <c r="M1154" s="214">
        <v>0</v>
      </c>
      <c r="N1154" s="214">
        <v>0</v>
      </c>
      <c r="O1154" s="214">
        <v>0</v>
      </c>
      <c r="P1154" s="214">
        <v>0</v>
      </c>
      <c r="Q1154" s="214">
        <v>0</v>
      </c>
      <c r="R1154" s="214">
        <v>0</v>
      </c>
      <c r="S1154" s="214">
        <v>0</v>
      </c>
      <c r="T1154" s="214">
        <v>0</v>
      </c>
      <c r="U1154" s="214">
        <v>0</v>
      </c>
      <c r="V1154" s="214">
        <v>0</v>
      </c>
      <c r="W1154" s="214">
        <v>0</v>
      </c>
      <c r="X1154" s="214">
        <v>0</v>
      </c>
      <c r="Y1154" s="214">
        <v>0</v>
      </c>
      <c r="Z1154" s="214">
        <v>0</v>
      </c>
      <c r="AA1154" s="214">
        <v>0</v>
      </c>
      <c r="AB1154" s="214">
        <v>0</v>
      </c>
      <c r="AC1154" s="214">
        <v>0</v>
      </c>
      <c r="AD1154" s="215"/>
      <c r="AE1154" s="420">
        <v>0</v>
      </c>
      <c r="AF1154" s="420">
        <v>0</v>
      </c>
      <c r="AG1154" s="420">
        <v>0</v>
      </c>
      <c r="AH1154" s="420"/>
      <c r="AI1154" s="574">
        <f t="shared" si="30"/>
        <v>0</v>
      </c>
      <c r="AJ1154" s="212"/>
    </row>
    <row r="1155" spans="2:36" ht="14.4">
      <c r="B1155" s="211"/>
      <c r="C1155" s="213" t="s">
        <v>48</v>
      </c>
      <c r="D1155" s="214">
        <v>31872</v>
      </c>
      <c r="E1155" s="214">
        <v>0</v>
      </c>
      <c r="F1155" s="214">
        <v>0</v>
      </c>
      <c r="G1155" s="214">
        <v>0</v>
      </c>
      <c r="H1155" s="214">
        <v>0</v>
      </c>
      <c r="I1155" s="214">
        <v>0</v>
      </c>
      <c r="J1155" s="214">
        <v>0</v>
      </c>
      <c r="K1155" s="214">
        <v>0</v>
      </c>
      <c r="L1155" s="214">
        <v>0</v>
      </c>
      <c r="M1155" s="214">
        <v>0</v>
      </c>
      <c r="N1155" s="214">
        <v>0</v>
      </c>
      <c r="O1155" s="214">
        <v>0</v>
      </c>
      <c r="P1155" s="214">
        <v>0</v>
      </c>
      <c r="Q1155" s="214">
        <v>0</v>
      </c>
      <c r="R1155" s="214">
        <v>0</v>
      </c>
      <c r="S1155" s="214">
        <v>0</v>
      </c>
      <c r="T1155" s="214">
        <v>0</v>
      </c>
      <c r="U1155" s="214">
        <v>0</v>
      </c>
      <c r="V1155" s="214">
        <v>0</v>
      </c>
      <c r="W1155" s="214">
        <v>0</v>
      </c>
      <c r="X1155" s="214">
        <v>0</v>
      </c>
      <c r="Y1155" s="214">
        <v>0</v>
      </c>
      <c r="Z1155" s="214">
        <v>0</v>
      </c>
      <c r="AA1155" s="214">
        <v>0</v>
      </c>
      <c r="AB1155" s="214">
        <v>0</v>
      </c>
      <c r="AC1155" s="214">
        <v>0</v>
      </c>
      <c r="AD1155" s="215"/>
      <c r="AE1155" s="420">
        <v>0</v>
      </c>
      <c r="AF1155" s="420">
        <v>0</v>
      </c>
      <c r="AG1155" s="420">
        <v>0</v>
      </c>
      <c r="AH1155" s="420"/>
      <c r="AI1155" s="574">
        <f t="shared" si="30"/>
        <v>31872</v>
      </c>
      <c r="AJ1155" s="212"/>
    </row>
    <row r="1156" spans="2:36" ht="14.4">
      <c r="B1156" s="211"/>
      <c r="C1156" s="213" t="s">
        <v>49</v>
      </c>
      <c r="D1156" s="214">
        <v>8707</v>
      </c>
      <c r="E1156" s="214">
        <v>0</v>
      </c>
      <c r="F1156" s="214">
        <v>0</v>
      </c>
      <c r="G1156" s="214">
        <v>0</v>
      </c>
      <c r="H1156" s="214">
        <v>0</v>
      </c>
      <c r="I1156" s="214">
        <v>0</v>
      </c>
      <c r="J1156" s="214">
        <v>0</v>
      </c>
      <c r="K1156" s="214">
        <v>0</v>
      </c>
      <c r="L1156" s="214">
        <v>0</v>
      </c>
      <c r="M1156" s="214">
        <v>0</v>
      </c>
      <c r="N1156" s="214">
        <v>0</v>
      </c>
      <c r="O1156" s="214">
        <v>0</v>
      </c>
      <c r="P1156" s="214">
        <v>0</v>
      </c>
      <c r="Q1156" s="214">
        <v>0</v>
      </c>
      <c r="R1156" s="214">
        <v>0</v>
      </c>
      <c r="S1156" s="214">
        <v>0</v>
      </c>
      <c r="T1156" s="214">
        <v>0</v>
      </c>
      <c r="U1156" s="214">
        <v>0</v>
      </c>
      <c r="V1156" s="214">
        <v>0</v>
      </c>
      <c r="W1156" s="214">
        <v>0</v>
      </c>
      <c r="X1156" s="214">
        <v>0</v>
      </c>
      <c r="Y1156" s="214">
        <v>0</v>
      </c>
      <c r="Z1156" s="214">
        <v>0</v>
      </c>
      <c r="AA1156" s="214">
        <v>0</v>
      </c>
      <c r="AB1156" s="214">
        <v>0</v>
      </c>
      <c r="AC1156" s="214">
        <v>0</v>
      </c>
      <c r="AD1156" s="215"/>
      <c r="AE1156" s="420">
        <v>0</v>
      </c>
      <c r="AF1156" s="420">
        <v>0</v>
      </c>
      <c r="AG1156" s="420">
        <v>0</v>
      </c>
      <c r="AH1156" s="420"/>
      <c r="AI1156" s="574">
        <f t="shared" si="30"/>
        <v>8707</v>
      </c>
      <c r="AJ1156" s="212"/>
    </row>
    <row r="1157" spans="2:36" ht="14.4">
      <c r="B1157" s="211"/>
      <c r="C1157" s="213" t="s">
        <v>158</v>
      </c>
      <c r="D1157" s="214">
        <v>420</v>
      </c>
      <c r="E1157" s="214">
        <v>2500</v>
      </c>
      <c r="F1157" s="214">
        <v>0</v>
      </c>
      <c r="G1157" s="214">
        <v>21675</v>
      </c>
      <c r="H1157" s="214">
        <v>0</v>
      </c>
      <c r="I1157" s="214">
        <v>0</v>
      </c>
      <c r="J1157" s="214">
        <v>0</v>
      </c>
      <c r="K1157" s="214">
        <v>0</v>
      </c>
      <c r="L1157" s="214">
        <v>0</v>
      </c>
      <c r="M1157" s="214">
        <v>0</v>
      </c>
      <c r="N1157" s="214">
        <v>0</v>
      </c>
      <c r="O1157" s="214">
        <v>0</v>
      </c>
      <c r="P1157" s="214">
        <v>0</v>
      </c>
      <c r="Q1157" s="214">
        <v>0</v>
      </c>
      <c r="R1157" s="214">
        <v>0</v>
      </c>
      <c r="S1157" s="214">
        <v>0</v>
      </c>
      <c r="T1157" s="214">
        <v>0</v>
      </c>
      <c r="U1157" s="214">
        <v>0</v>
      </c>
      <c r="V1157" s="214">
        <v>0</v>
      </c>
      <c r="W1157" s="214">
        <v>0</v>
      </c>
      <c r="X1157" s="214">
        <v>0</v>
      </c>
      <c r="Y1157" s="214">
        <v>0</v>
      </c>
      <c r="Z1157" s="214">
        <v>0</v>
      </c>
      <c r="AA1157" s="214">
        <v>0</v>
      </c>
      <c r="AB1157" s="214">
        <v>0</v>
      </c>
      <c r="AC1157" s="214">
        <v>0</v>
      </c>
      <c r="AD1157" s="215"/>
      <c r="AE1157" s="420">
        <v>0</v>
      </c>
      <c r="AF1157" s="420">
        <v>0</v>
      </c>
      <c r="AG1157" s="420">
        <v>0</v>
      </c>
      <c r="AH1157" s="420"/>
      <c r="AI1157" s="574">
        <f t="shared" si="30"/>
        <v>24595</v>
      </c>
      <c r="AJ1157" s="212"/>
    </row>
    <row r="1158" spans="2:36" ht="14.4">
      <c r="B1158" s="211"/>
      <c r="C1158" s="213" t="s">
        <v>50</v>
      </c>
      <c r="D1158" s="214">
        <v>4620</v>
      </c>
      <c r="E1158" s="214">
        <v>1540</v>
      </c>
      <c r="F1158" s="214">
        <v>1540</v>
      </c>
      <c r="G1158" s="214">
        <v>1540</v>
      </c>
      <c r="H1158" s="214">
        <v>5390</v>
      </c>
      <c r="I1158" s="214">
        <v>3080</v>
      </c>
      <c r="J1158" s="214">
        <v>1540</v>
      </c>
      <c r="K1158" s="214">
        <v>770</v>
      </c>
      <c r="L1158" s="214">
        <v>770</v>
      </c>
      <c r="M1158" s="214">
        <v>2310</v>
      </c>
      <c r="N1158" s="214">
        <v>0</v>
      </c>
      <c r="O1158" s="214">
        <v>1540</v>
      </c>
      <c r="P1158" s="214">
        <v>770</v>
      </c>
      <c r="Q1158" s="214">
        <v>0</v>
      </c>
      <c r="R1158" s="214">
        <v>0</v>
      </c>
      <c r="S1158" s="214">
        <v>770</v>
      </c>
      <c r="T1158" s="214">
        <v>0</v>
      </c>
      <c r="U1158" s="214">
        <v>770</v>
      </c>
      <c r="V1158" s="214">
        <v>770</v>
      </c>
      <c r="W1158" s="214">
        <v>770</v>
      </c>
      <c r="X1158" s="214">
        <v>0</v>
      </c>
      <c r="Y1158" s="214">
        <v>0</v>
      </c>
      <c r="Z1158" s="214">
        <v>770</v>
      </c>
      <c r="AA1158" s="214">
        <v>0</v>
      </c>
      <c r="AB1158" s="214">
        <v>770</v>
      </c>
      <c r="AC1158" s="214">
        <v>0</v>
      </c>
      <c r="AD1158" s="215"/>
      <c r="AE1158" s="420">
        <v>0</v>
      </c>
      <c r="AF1158" s="420">
        <v>770</v>
      </c>
      <c r="AG1158" s="420">
        <v>0</v>
      </c>
      <c r="AH1158" s="420"/>
      <c r="AI1158" s="574">
        <f t="shared" si="30"/>
        <v>30800</v>
      </c>
      <c r="AJ1158" s="212"/>
    </row>
    <row r="1159" spans="2:36" ht="14.4">
      <c r="B1159" s="211"/>
      <c r="C1159" s="213" t="s">
        <v>51</v>
      </c>
      <c r="D1159" s="214">
        <v>0</v>
      </c>
      <c r="E1159" s="214">
        <v>4500</v>
      </c>
      <c r="F1159" s="214">
        <v>6750</v>
      </c>
      <c r="G1159" s="214">
        <v>4500</v>
      </c>
      <c r="H1159" s="214">
        <v>6750</v>
      </c>
      <c r="I1159" s="214">
        <v>0</v>
      </c>
      <c r="J1159" s="214">
        <v>2250</v>
      </c>
      <c r="K1159" s="214">
        <v>0</v>
      </c>
      <c r="L1159" s="214">
        <v>0</v>
      </c>
      <c r="M1159" s="214">
        <v>4500</v>
      </c>
      <c r="N1159" s="214">
        <v>2250</v>
      </c>
      <c r="O1159" s="214">
        <v>4500</v>
      </c>
      <c r="P1159" s="214">
        <v>2250</v>
      </c>
      <c r="Q1159" s="214">
        <v>4500</v>
      </c>
      <c r="R1159" s="214">
        <v>0</v>
      </c>
      <c r="S1159" s="214">
        <v>2250</v>
      </c>
      <c r="T1159" s="214">
        <v>0</v>
      </c>
      <c r="U1159" s="214">
        <v>0</v>
      </c>
      <c r="V1159" s="214">
        <v>0</v>
      </c>
      <c r="W1159" s="214">
        <v>2250</v>
      </c>
      <c r="X1159" s="214">
        <v>0</v>
      </c>
      <c r="Y1159" s="214">
        <v>0</v>
      </c>
      <c r="Z1159" s="214">
        <v>0</v>
      </c>
      <c r="AA1159" s="214">
        <v>0</v>
      </c>
      <c r="AB1159" s="214">
        <v>0</v>
      </c>
      <c r="AC1159" s="214">
        <v>2250</v>
      </c>
      <c r="AD1159" s="215"/>
      <c r="AE1159" s="420">
        <v>4500</v>
      </c>
      <c r="AF1159" s="420">
        <v>2250</v>
      </c>
      <c r="AG1159" s="420">
        <v>2250</v>
      </c>
      <c r="AH1159" s="420"/>
      <c r="AI1159" s="574">
        <f t="shared" si="30"/>
        <v>58500</v>
      </c>
      <c r="AJ1159" s="212"/>
    </row>
    <row r="1160" spans="2:36" ht="14.4">
      <c r="B1160" s="211"/>
      <c r="C1160" s="213" t="s">
        <v>52</v>
      </c>
      <c r="D1160" s="214">
        <v>0</v>
      </c>
      <c r="E1160" s="214">
        <v>0</v>
      </c>
      <c r="F1160" s="214">
        <v>0</v>
      </c>
      <c r="G1160" s="214">
        <v>0</v>
      </c>
      <c r="H1160" s="214">
        <v>0</v>
      </c>
      <c r="I1160" s="214">
        <v>0</v>
      </c>
      <c r="J1160" s="214">
        <v>0</v>
      </c>
      <c r="K1160" s="214">
        <v>0</v>
      </c>
      <c r="L1160" s="214">
        <v>0</v>
      </c>
      <c r="M1160" s="214">
        <v>0</v>
      </c>
      <c r="N1160" s="214">
        <v>0</v>
      </c>
      <c r="O1160" s="214">
        <v>100</v>
      </c>
      <c r="P1160" s="214">
        <v>0</v>
      </c>
      <c r="Q1160" s="214">
        <v>0</v>
      </c>
      <c r="R1160" s="214">
        <v>0</v>
      </c>
      <c r="S1160" s="214">
        <v>0</v>
      </c>
      <c r="T1160" s="214">
        <v>0</v>
      </c>
      <c r="U1160" s="214">
        <v>0</v>
      </c>
      <c r="V1160" s="214">
        <v>0</v>
      </c>
      <c r="W1160" s="214">
        <v>0</v>
      </c>
      <c r="X1160" s="214">
        <v>0</v>
      </c>
      <c r="Y1160" s="214">
        <v>0</v>
      </c>
      <c r="Z1160" s="214">
        <v>0</v>
      </c>
      <c r="AA1160" s="214">
        <v>0</v>
      </c>
      <c r="AB1160" s="214">
        <v>0</v>
      </c>
      <c r="AC1160" s="214">
        <v>0</v>
      </c>
      <c r="AD1160" s="215"/>
      <c r="AE1160" s="420">
        <v>0</v>
      </c>
      <c r="AF1160" s="420">
        <v>0</v>
      </c>
      <c r="AG1160" s="420">
        <v>0</v>
      </c>
      <c r="AH1160" s="420"/>
      <c r="AI1160" s="574">
        <f t="shared" si="30"/>
        <v>100</v>
      </c>
      <c r="AJ1160" s="212"/>
    </row>
    <row r="1161" spans="2:36" ht="14.4">
      <c r="B1161" s="211"/>
      <c r="C1161" s="213" t="s">
        <v>174</v>
      </c>
      <c r="D1161" s="214">
        <v>1700</v>
      </c>
      <c r="E1161" s="214">
        <v>1382</v>
      </c>
      <c r="F1161" s="214">
        <v>1382</v>
      </c>
      <c r="G1161" s="214">
        <v>16652</v>
      </c>
      <c r="H1161" s="214">
        <v>1382</v>
      </c>
      <c r="I1161" s="214">
        <v>25000</v>
      </c>
      <c r="J1161" s="214">
        <v>0</v>
      </c>
      <c r="K1161" s="214">
        <v>0</v>
      </c>
      <c r="L1161" s="214">
        <v>0</v>
      </c>
      <c r="M1161" s="214">
        <v>1382</v>
      </c>
      <c r="N1161" s="214">
        <v>0</v>
      </c>
      <c r="O1161" s="214">
        <v>1382</v>
      </c>
      <c r="P1161" s="214">
        <v>1382</v>
      </c>
      <c r="Q1161" s="214">
        <v>1382</v>
      </c>
      <c r="R1161" s="214">
        <v>1382</v>
      </c>
      <c r="S1161" s="214">
        <v>1382</v>
      </c>
      <c r="T1161" s="214">
        <v>80</v>
      </c>
      <c r="U1161" s="214">
        <v>0</v>
      </c>
      <c r="V1161" s="214">
        <v>0</v>
      </c>
      <c r="W1161" s="214">
        <v>0</v>
      </c>
      <c r="X1161" s="214">
        <v>25000</v>
      </c>
      <c r="Y1161" s="214">
        <v>0</v>
      </c>
      <c r="Z1161" s="214">
        <v>0</v>
      </c>
      <c r="AA1161" s="214">
        <v>20000</v>
      </c>
      <c r="AB1161" s="214">
        <v>0</v>
      </c>
      <c r="AC1161" s="214">
        <v>25000</v>
      </c>
      <c r="AD1161" s="215"/>
      <c r="AE1161" s="420">
        <v>1382</v>
      </c>
      <c r="AF1161" s="420">
        <v>0</v>
      </c>
      <c r="AG1161" s="420">
        <v>0</v>
      </c>
      <c r="AH1161" s="420"/>
      <c r="AI1161" s="574">
        <f t="shared" si="30"/>
        <v>127252</v>
      </c>
      <c r="AJ1161" s="212"/>
    </row>
    <row r="1162" spans="2:36" ht="14.4">
      <c r="B1162" s="211"/>
      <c r="C1162" s="213" t="s">
        <v>53</v>
      </c>
      <c r="D1162" s="214">
        <v>3500</v>
      </c>
      <c r="E1162" s="214">
        <v>100</v>
      </c>
      <c r="F1162" s="214">
        <v>0</v>
      </c>
      <c r="G1162" s="214">
        <v>14620</v>
      </c>
      <c r="H1162" s="214">
        <v>0</v>
      </c>
      <c r="I1162" s="214">
        <v>0</v>
      </c>
      <c r="J1162" s="214">
        <v>0</v>
      </c>
      <c r="K1162" s="214">
        <v>0</v>
      </c>
      <c r="L1162" s="214">
        <v>0</v>
      </c>
      <c r="M1162" s="214">
        <v>0</v>
      </c>
      <c r="N1162" s="214">
        <v>0</v>
      </c>
      <c r="O1162" s="214">
        <v>40</v>
      </c>
      <c r="P1162" s="214">
        <v>0</v>
      </c>
      <c r="Q1162" s="214">
        <v>0</v>
      </c>
      <c r="R1162" s="214">
        <v>400</v>
      </c>
      <c r="S1162" s="214">
        <v>10425</v>
      </c>
      <c r="T1162" s="214">
        <v>0</v>
      </c>
      <c r="U1162" s="214">
        <v>0</v>
      </c>
      <c r="V1162" s="214">
        <v>0</v>
      </c>
      <c r="W1162" s="214">
        <v>0</v>
      </c>
      <c r="X1162" s="214">
        <v>0</v>
      </c>
      <c r="Y1162" s="214">
        <v>0</v>
      </c>
      <c r="Z1162" s="214">
        <v>0</v>
      </c>
      <c r="AA1162" s="214">
        <v>0</v>
      </c>
      <c r="AB1162" s="214">
        <v>0</v>
      </c>
      <c r="AC1162" s="214">
        <v>0</v>
      </c>
      <c r="AD1162" s="215"/>
      <c r="AE1162" s="420">
        <v>0</v>
      </c>
      <c r="AF1162" s="420">
        <v>0</v>
      </c>
      <c r="AG1162" s="420">
        <v>0</v>
      </c>
      <c r="AH1162" s="420"/>
      <c r="AI1162" s="574">
        <f t="shared" si="30"/>
        <v>29085</v>
      </c>
      <c r="AJ1162" s="212"/>
    </row>
    <row r="1163" spans="2:36" ht="14.4">
      <c r="B1163" s="211"/>
      <c r="C1163" s="213" t="s">
        <v>191</v>
      </c>
      <c r="D1163" s="214">
        <v>44384.25</v>
      </c>
      <c r="E1163" s="214">
        <v>0</v>
      </c>
      <c r="F1163" s="214">
        <v>807.74</v>
      </c>
      <c r="G1163" s="214">
        <v>0</v>
      </c>
      <c r="H1163" s="214">
        <v>0</v>
      </c>
      <c r="I1163" s="214">
        <v>0</v>
      </c>
      <c r="J1163" s="214">
        <v>0</v>
      </c>
      <c r="K1163" s="214">
        <v>0</v>
      </c>
      <c r="L1163" s="214">
        <v>0</v>
      </c>
      <c r="M1163" s="214">
        <v>0</v>
      </c>
      <c r="N1163" s="214">
        <v>0</v>
      </c>
      <c r="O1163" s="214">
        <v>0</v>
      </c>
      <c r="P1163" s="214">
        <v>0</v>
      </c>
      <c r="Q1163" s="214">
        <v>0</v>
      </c>
      <c r="R1163" s="214">
        <v>0</v>
      </c>
      <c r="S1163" s="214">
        <v>0</v>
      </c>
      <c r="T1163" s="214">
        <v>0</v>
      </c>
      <c r="U1163" s="214">
        <v>0</v>
      </c>
      <c r="V1163" s="214">
        <v>0</v>
      </c>
      <c r="W1163" s="214">
        <v>0</v>
      </c>
      <c r="X1163" s="214">
        <v>0</v>
      </c>
      <c r="Y1163" s="214">
        <v>0</v>
      </c>
      <c r="Z1163" s="214">
        <v>0</v>
      </c>
      <c r="AA1163" s="214">
        <v>0</v>
      </c>
      <c r="AB1163" s="214">
        <v>0</v>
      </c>
      <c r="AC1163" s="214">
        <v>0</v>
      </c>
      <c r="AD1163" s="215"/>
      <c r="AE1163" s="420">
        <v>0</v>
      </c>
      <c r="AF1163" s="420">
        <v>0</v>
      </c>
      <c r="AG1163" s="420">
        <v>0</v>
      </c>
      <c r="AH1163" s="420"/>
      <c r="AI1163" s="574">
        <f t="shared" si="30"/>
        <v>45191.99</v>
      </c>
      <c r="AJ1163" s="212"/>
    </row>
    <row r="1164" spans="2:36" ht="14.4">
      <c r="B1164" s="211"/>
      <c r="C1164" s="213" t="s">
        <v>29</v>
      </c>
      <c r="D1164" s="214">
        <v>55</v>
      </c>
      <c r="E1164" s="214">
        <v>85</v>
      </c>
      <c r="F1164" s="214">
        <v>85</v>
      </c>
      <c r="G1164" s="214">
        <v>145</v>
      </c>
      <c r="H1164" s="214">
        <v>0</v>
      </c>
      <c r="I1164" s="214">
        <v>0</v>
      </c>
      <c r="J1164" s="214">
        <v>0</v>
      </c>
      <c r="K1164" s="214">
        <v>0</v>
      </c>
      <c r="L1164" s="214">
        <v>0</v>
      </c>
      <c r="M1164" s="214">
        <v>0</v>
      </c>
      <c r="N1164" s="214">
        <v>0</v>
      </c>
      <c r="O1164" s="214">
        <v>0</v>
      </c>
      <c r="P1164" s="214">
        <v>0</v>
      </c>
      <c r="Q1164" s="214">
        <v>0</v>
      </c>
      <c r="R1164" s="214">
        <v>0</v>
      </c>
      <c r="S1164" s="214">
        <v>0</v>
      </c>
      <c r="T1164" s="214">
        <v>0</v>
      </c>
      <c r="U1164" s="214">
        <v>0</v>
      </c>
      <c r="V1164" s="214">
        <v>0</v>
      </c>
      <c r="W1164" s="214">
        <v>0</v>
      </c>
      <c r="X1164" s="214">
        <v>0</v>
      </c>
      <c r="Y1164" s="214">
        <v>0</v>
      </c>
      <c r="Z1164" s="214">
        <v>0</v>
      </c>
      <c r="AA1164" s="214">
        <v>0</v>
      </c>
      <c r="AB1164" s="214">
        <v>0</v>
      </c>
      <c r="AC1164" s="214">
        <v>0</v>
      </c>
      <c r="AD1164" s="215"/>
      <c r="AE1164" s="420">
        <v>0</v>
      </c>
      <c r="AF1164" s="420">
        <v>0</v>
      </c>
      <c r="AG1164" s="420">
        <v>0</v>
      </c>
      <c r="AH1164" s="420"/>
      <c r="AI1164" s="574">
        <f t="shared" si="30"/>
        <v>370</v>
      </c>
      <c r="AJ1164" s="212"/>
    </row>
    <row r="1165" spans="2:36" ht="14.4">
      <c r="B1165" s="211"/>
      <c r="C1165" s="247" t="s">
        <v>54</v>
      </c>
      <c r="D1165" s="214">
        <v>0</v>
      </c>
      <c r="E1165" s="214">
        <v>0</v>
      </c>
      <c r="F1165" s="214">
        <v>0</v>
      </c>
      <c r="G1165" s="214">
        <v>0</v>
      </c>
      <c r="H1165" s="214">
        <v>0</v>
      </c>
      <c r="I1165" s="214">
        <v>0</v>
      </c>
      <c r="J1165" s="214">
        <v>0</v>
      </c>
      <c r="K1165" s="214">
        <v>0</v>
      </c>
      <c r="L1165" s="214">
        <v>0</v>
      </c>
      <c r="M1165" s="214">
        <v>0</v>
      </c>
      <c r="N1165" s="214">
        <v>0</v>
      </c>
      <c r="O1165" s="214">
        <v>0</v>
      </c>
      <c r="P1165" s="214">
        <v>0</v>
      </c>
      <c r="Q1165" s="214">
        <v>0</v>
      </c>
      <c r="R1165" s="214">
        <v>0</v>
      </c>
      <c r="S1165" s="214">
        <v>0</v>
      </c>
      <c r="T1165" s="214">
        <v>0</v>
      </c>
      <c r="U1165" s="214">
        <v>0</v>
      </c>
      <c r="V1165" s="214">
        <v>0</v>
      </c>
      <c r="W1165" s="214">
        <v>0</v>
      </c>
      <c r="X1165" s="214">
        <v>0</v>
      </c>
      <c r="Y1165" s="214">
        <v>0</v>
      </c>
      <c r="Z1165" s="214">
        <v>0</v>
      </c>
      <c r="AA1165" s="214">
        <v>0</v>
      </c>
      <c r="AB1165" s="214">
        <v>0</v>
      </c>
      <c r="AC1165" s="214">
        <v>0</v>
      </c>
      <c r="AD1165" s="215"/>
      <c r="AE1165" s="420">
        <v>0</v>
      </c>
      <c r="AF1165" s="420">
        <v>0</v>
      </c>
      <c r="AG1165" s="420">
        <v>0</v>
      </c>
      <c r="AH1165" s="420"/>
      <c r="AI1165" s="574">
        <f t="shared" si="30"/>
        <v>0</v>
      </c>
      <c r="AJ1165" s="212"/>
    </row>
    <row r="1166" spans="2:36" ht="14.4">
      <c r="B1166" s="211"/>
      <c r="C1166" s="213" t="s">
        <v>31</v>
      </c>
      <c r="D1166" s="214">
        <v>638</v>
      </c>
      <c r="E1166" s="214">
        <v>155</v>
      </c>
      <c r="F1166" s="214">
        <v>260</v>
      </c>
      <c r="G1166" s="214">
        <v>1418</v>
      </c>
      <c r="H1166" s="214">
        <v>240</v>
      </c>
      <c r="I1166" s="214">
        <v>0</v>
      </c>
      <c r="J1166" s="214">
        <v>0</v>
      </c>
      <c r="K1166" s="214">
        <v>0</v>
      </c>
      <c r="L1166" s="214">
        <v>0</v>
      </c>
      <c r="M1166" s="214">
        <v>0</v>
      </c>
      <c r="N1166" s="214">
        <v>0</v>
      </c>
      <c r="O1166" s="214">
        <v>484</v>
      </c>
      <c r="P1166" s="214">
        <v>285</v>
      </c>
      <c r="Q1166" s="214">
        <v>0</v>
      </c>
      <c r="R1166" s="214">
        <v>440</v>
      </c>
      <c r="S1166" s="214">
        <v>135</v>
      </c>
      <c r="T1166" s="214">
        <v>0</v>
      </c>
      <c r="U1166" s="214">
        <v>0</v>
      </c>
      <c r="V1166" s="214">
        <v>0</v>
      </c>
      <c r="W1166" s="214">
        <v>0</v>
      </c>
      <c r="X1166" s="214">
        <v>0</v>
      </c>
      <c r="Y1166" s="214">
        <v>0</v>
      </c>
      <c r="Z1166" s="214">
        <v>0</v>
      </c>
      <c r="AA1166" s="214">
        <v>0</v>
      </c>
      <c r="AB1166" s="214">
        <v>0</v>
      </c>
      <c r="AC1166" s="214">
        <v>0</v>
      </c>
      <c r="AD1166" s="215"/>
      <c r="AE1166" s="420">
        <v>285</v>
      </c>
      <c r="AF1166" s="420">
        <v>0</v>
      </c>
      <c r="AG1166" s="420">
        <v>0</v>
      </c>
      <c r="AH1166" s="420"/>
      <c r="AI1166" s="574">
        <f t="shared" si="30"/>
        <v>4340</v>
      </c>
      <c r="AJ1166" s="212"/>
    </row>
    <row r="1167" spans="2:36" ht="14.4">
      <c r="B1167" s="211"/>
      <c r="C1167" s="213" t="s">
        <v>55</v>
      </c>
      <c r="D1167" s="214">
        <v>100</v>
      </c>
      <c r="E1167" s="214">
        <v>75</v>
      </c>
      <c r="F1167" s="214">
        <v>0</v>
      </c>
      <c r="G1167" s="214">
        <v>0</v>
      </c>
      <c r="H1167" s="214">
        <v>0</v>
      </c>
      <c r="I1167" s="214">
        <v>0</v>
      </c>
      <c r="J1167" s="214">
        <v>0</v>
      </c>
      <c r="K1167" s="214">
        <v>0</v>
      </c>
      <c r="L1167" s="214">
        <v>0</v>
      </c>
      <c r="M1167" s="214">
        <v>0</v>
      </c>
      <c r="N1167" s="214">
        <v>0</v>
      </c>
      <c r="O1167" s="214">
        <v>0</v>
      </c>
      <c r="P1167" s="214">
        <v>120</v>
      </c>
      <c r="Q1167" s="214">
        <v>0</v>
      </c>
      <c r="R1167" s="214">
        <v>0</v>
      </c>
      <c r="S1167" s="214">
        <v>0</v>
      </c>
      <c r="T1167" s="214">
        <v>0</v>
      </c>
      <c r="U1167" s="214">
        <v>0</v>
      </c>
      <c r="V1167" s="214">
        <v>0</v>
      </c>
      <c r="W1167" s="214">
        <v>0</v>
      </c>
      <c r="X1167" s="214">
        <v>0</v>
      </c>
      <c r="Y1167" s="214">
        <v>0</v>
      </c>
      <c r="Z1167" s="214">
        <v>0</v>
      </c>
      <c r="AA1167" s="214">
        <v>0</v>
      </c>
      <c r="AB1167" s="214">
        <v>0</v>
      </c>
      <c r="AC1167" s="214">
        <v>0</v>
      </c>
      <c r="AD1167" s="215"/>
      <c r="AE1167" s="420">
        <v>0</v>
      </c>
      <c r="AF1167" s="420">
        <v>0</v>
      </c>
      <c r="AG1167" s="420">
        <v>0</v>
      </c>
      <c r="AH1167" s="420"/>
      <c r="AI1167" s="574">
        <f t="shared" si="30"/>
        <v>295</v>
      </c>
      <c r="AJ1167" s="212"/>
    </row>
    <row r="1168" spans="2:36" ht="14.4">
      <c r="B1168" s="211"/>
      <c r="C1168" s="213" t="s">
        <v>56</v>
      </c>
      <c r="D1168" s="214">
        <v>393.97</v>
      </c>
      <c r="E1168" s="214">
        <v>217.24</v>
      </c>
      <c r="F1168" s="214">
        <v>217.24</v>
      </c>
      <c r="G1168" s="214">
        <v>139.91</v>
      </c>
      <c r="H1168" s="214">
        <v>95.73</v>
      </c>
      <c r="I1168" s="214">
        <v>0</v>
      </c>
      <c r="J1168" s="214">
        <v>0</v>
      </c>
      <c r="K1168" s="214">
        <v>0</v>
      </c>
      <c r="L1168" s="214">
        <v>0</v>
      </c>
      <c r="M1168" s="214">
        <v>0</v>
      </c>
      <c r="N1168" s="214">
        <v>0</v>
      </c>
      <c r="O1168" s="214">
        <v>69.959999999999994</v>
      </c>
      <c r="P1168" s="214">
        <v>0</v>
      </c>
      <c r="Q1168" s="214">
        <v>209.87</v>
      </c>
      <c r="R1168" s="214">
        <v>0</v>
      </c>
      <c r="S1168" s="214">
        <v>0</v>
      </c>
      <c r="T1168" s="214">
        <v>0</v>
      </c>
      <c r="U1168" s="214">
        <v>0</v>
      </c>
      <c r="V1168" s="214">
        <v>0</v>
      </c>
      <c r="W1168" s="214">
        <v>0</v>
      </c>
      <c r="X1168" s="214">
        <v>0</v>
      </c>
      <c r="Y1168" s="214">
        <v>0</v>
      </c>
      <c r="Z1168" s="214">
        <v>0</v>
      </c>
      <c r="AA1168" s="214">
        <v>0</v>
      </c>
      <c r="AB1168" s="214">
        <v>0</v>
      </c>
      <c r="AC1168" s="214">
        <v>0</v>
      </c>
      <c r="AD1168" s="215"/>
      <c r="AE1168" s="420">
        <v>0</v>
      </c>
      <c r="AF1168" s="420">
        <v>0</v>
      </c>
      <c r="AG1168" s="420">
        <v>0</v>
      </c>
      <c r="AH1168" s="420"/>
      <c r="AI1168" s="574">
        <f t="shared" si="30"/>
        <v>1343.92</v>
      </c>
      <c r="AJ1168" s="212"/>
    </row>
    <row r="1169" spans="2:36" ht="14.4">
      <c r="B1169" s="211"/>
      <c r="C1169" s="213" t="s">
        <v>57</v>
      </c>
      <c r="D1169" s="214">
        <v>4050</v>
      </c>
      <c r="E1169" s="214">
        <v>2575</v>
      </c>
      <c r="F1169" s="214">
        <v>1200</v>
      </c>
      <c r="G1169" s="214">
        <v>5000</v>
      </c>
      <c r="H1169" s="214">
        <v>1500</v>
      </c>
      <c r="I1169" s="214">
        <v>0</v>
      </c>
      <c r="J1169" s="214">
        <v>0</v>
      </c>
      <c r="K1169" s="214">
        <v>0</v>
      </c>
      <c r="L1169" s="214">
        <v>0</v>
      </c>
      <c r="M1169" s="214">
        <v>0</v>
      </c>
      <c r="N1169" s="214">
        <v>0</v>
      </c>
      <c r="O1169" s="214">
        <v>150</v>
      </c>
      <c r="P1169" s="214">
        <v>600</v>
      </c>
      <c r="Q1169" s="214">
        <v>1200</v>
      </c>
      <c r="R1169" s="214">
        <v>0</v>
      </c>
      <c r="S1169" s="214">
        <v>2250</v>
      </c>
      <c r="T1169" s="214">
        <v>0</v>
      </c>
      <c r="U1169" s="214">
        <v>0</v>
      </c>
      <c r="V1169" s="214">
        <v>0</v>
      </c>
      <c r="W1169" s="214">
        <v>0</v>
      </c>
      <c r="X1169" s="214">
        <v>0</v>
      </c>
      <c r="Y1169" s="214">
        <v>0</v>
      </c>
      <c r="Z1169" s="214">
        <v>0</v>
      </c>
      <c r="AA1169" s="214">
        <v>0</v>
      </c>
      <c r="AB1169" s="214">
        <v>0</v>
      </c>
      <c r="AC1169" s="214">
        <v>0</v>
      </c>
      <c r="AD1169" s="215"/>
      <c r="AE1169" s="420">
        <v>0</v>
      </c>
      <c r="AF1169" s="420">
        <v>0</v>
      </c>
      <c r="AG1169" s="420">
        <v>0</v>
      </c>
      <c r="AH1169" s="420"/>
      <c r="AI1169" s="574">
        <f t="shared" si="30"/>
        <v>18525</v>
      </c>
      <c r="AJ1169" s="212"/>
    </row>
    <row r="1170" spans="2:36" ht="14.4">
      <c r="B1170" s="211"/>
      <c r="C1170" s="213" t="s">
        <v>58</v>
      </c>
      <c r="D1170" s="214">
        <v>5410</v>
      </c>
      <c r="E1170" s="214">
        <v>5195</v>
      </c>
      <c r="F1170" s="214">
        <v>6720</v>
      </c>
      <c r="G1170" s="214">
        <v>0</v>
      </c>
      <c r="H1170" s="214">
        <v>0</v>
      </c>
      <c r="I1170" s="214">
        <v>0</v>
      </c>
      <c r="J1170" s="214">
        <v>0</v>
      </c>
      <c r="K1170" s="214">
        <v>0</v>
      </c>
      <c r="L1170" s="214">
        <v>0</v>
      </c>
      <c r="M1170" s="214">
        <v>0</v>
      </c>
      <c r="N1170" s="214">
        <v>0</v>
      </c>
      <c r="O1170" s="214">
        <v>6288</v>
      </c>
      <c r="P1170" s="214">
        <v>115</v>
      </c>
      <c r="Q1170" s="214">
        <v>0</v>
      </c>
      <c r="R1170" s="214">
        <v>0</v>
      </c>
      <c r="S1170" s="214">
        <v>0</v>
      </c>
      <c r="T1170" s="214">
        <v>0</v>
      </c>
      <c r="U1170" s="214">
        <v>0</v>
      </c>
      <c r="V1170" s="214">
        <v>0</v>
      </c>
      <c r="W1170" s="214">
        <v>0</v>
      </c>
      <c r="X1170" s="214">
        <v>0</v>
      </c>
      <c r="Y1170" s="214">
        <v>0</v>
      </c>
      <c r="Z1170" s="214">
        <v>0</v>
      </c>
      <c r="AA1170" s="214">
        <v>0</v>
      </c>
      <c r="AB1170" s="214">
        <v>0</v>
      </c>
      <c r="AC1170" s="214">
        <v>0</v>
      </c>
      <c r="AD1170" s="215"/>
      <c r="AE1170" s="420">
        <v>0</v>
      </c>
      <c r="AF1170" s="420">
        <v>0</v>
      </c>
      <c r="AG1170" s="420">
        <v>0</v>
      </c>
      <c r="AH1170" s="420"/>
      <c r="AI1170" s="574">
        <f t="shared" si="30"/>
        <v>23728</v>
      </c>
      <c r="AJ1170" s="212"/>
    </row>
    <row r="1171" spans="2:36" ht="14.4">
      <c r="B1171" s="211"/>
      <c r="C1171" s="213" t="s">
        <v>59</v>
      </c>
      <c r="D1171" s="214">
        <v>510</v>
      </c>
      <c r="E1171" s="214">
        <v>0</v>
      </c>
      <c r="F1171" s="214">
        <v>0</v>
      </c>
      <c r="G1171" s="214">
        <v>100</v>
      </c>
      <c r="H1171" s="214">
        <v>0</v>
      </c>
      <c r="I1171" s="214">
        <v>0</v>
      </c>
      <c r="J1171" s="214">
        <v>0</v>
      </c>
      <c r="K1171" s="214">
        <v>0</v>
      </c>
      <c r="L1171" s="214">
        <v>0</v>
      </c>
      <c r="M1171" s="214">
        <v>0</v>
      </c>
      <c r="N1171" s="214">
        <v>0</v>
      </c>
      <c r="O1171" s="214">
        <v>0</v>
      </c>
      <c r="P1171" s="214">
        <v>0</v>
      </c>
      <c r="Q1171" s="214">
        <v>0</v>
      </c>
      <c r="R1171" s="214">
        <v>0</v>
      </c>
      <c r="S1171" s="214">
        <v>0</v>
      </c>
      <c r="T1171" s="214">
        <v>0</v>
      </c>
      <c r="U1171" s="214">
        <v>0</v>
      </c>
      <c r="V1171" s="214">
        <v>0</v>
      </c>
      <c r="W1171" s="214">
        <v>0</v>
      </c>
      <c r="X1171" s="214">
        <v>0</v>
      </c>
      <c r="Y1171" s="214">
        <v>0</v>
      </c>
      <c r="Z1171" s="214">
        <v>0</v>
      </c>
      <c r="AA1171" s="214">
        <v>0</v>
      </c>
      <c r="AB1171" s="214">
        <v>0</v>
      </c>
      <c r="AC1171" s="214">
        <v>0</v>
      </c>
      <c r="AD1171" s="215"/>
      <c r="AE1171" s="420">
        <v>0</v>
      </c>
      <c r="AF1171" s="420">
        <v>0</v>
      </c>
      <c r="AG1171" s="420">
        <v>0</v>
      </c>
      <c r="AH1171" s="420"/>
      <c r="AI1171" s="574">
        <f t="shared" si="30"/>
        <v>610</v>
      </c>
      <c r="AJ1171" s="212"/>
    </row>
    <row r="1172" spans="2:36" ht="14.4">
      <c r="B1172" s="211"/>
      <c r="C1172" s="213" t="s">
        <v>60</v>
      </c>
      <c r="D1172" s="214">
        <v>0</v>
      </c>
      <c r="E1172" s="214">
        <v>0</v>
      </c>
      <c r="F1172" s="214">
        <v>0</v>
      </c>
      <c r="G1172" s="214">
        <v>0</v>
      </c>
      <c r="H1172" s="214">
        <v>0</v>
      </c>
      <c r="I1172" s="214">
        <v>0</v>
      </c>
      <c r="J1172" s="214">
        <v>0</v>
      </c>
      <c r="K1172" s="214">
        <v>0</v>
      </c>
      <c r="L1172" s="214">
        <v>0</v>
      </c>
      <c r="M1172" s="214">
        <v>0</v>
      </c>
      <c r="N1172" s="214">
        <v>0</v>
      </c>
      <c r="O1172" s="214">
        <v>0</v>
      </c>
      <c r="P1172" s="214">
        <v>0</v>
      </c>
      <c r="Q1172" s="214">
        <v>0</v>
      </c>
      <c r="R1172" s="214">
        <v>0</v>
      </c>
      <c r="S1172" s="214">
        <v>0</v>
      </c>
      <c r="T1172" s="214">
        <v>0</v>
      </c>
      <c r="U1172" s="214">
        <v>0</v>
      </c>
      <c r="V1172" s="214">
        <v>0</v>
      </c>
      <c r="W1172" s="214">
        <v>0</v>
      </c>
      <c r="X1172" s="214">
        <v>0</v>
      </c>
      <c r="Y1172" s="214">
        <v>0</v>
      </c>
      <c r="Z1172" s="214">
        <v>0</v>
      </c>
      <c r="AA1172" s="214">
        <v>0</v>
      </c>
      <c r="AB1172" s="214">
        <v>0</v>
      </c>
      <c r="AC1172" s="214">
        <v>0</v>
      </c>
      <c r="AD1172" s="215"/>
      <c r="AE1172" s="420">
        <v>0</v>
      </c>
      <c r="AF1172" s="420">
        <v>0</v>
      </c>
      <c r="AG1172" s="420">
        <v>0</v>
      </c>
      <c r="AH1172" s="420"/>
      <c r="AI1172" s="574">
        <f t="shared" si="30"/>
        <v>0</v>
      </c>
      <c r="AJ1172" s="212"/>
    </row>
    <row r="1173" spans="2:36" ht="14.4">
      <c r="B1173" s="211"/>
      <c r="C1173" s="213" t="s">
        <v>61</v>
      </c>
      <c r="D1173" s="214">
        <v>1950</v>
      </c>
      <c r="E1173" s="214">
        <v>2200</v>
      </c>
      <c r="F1173" s="214">
        <v>200</v>
      </c>
      <c r="G1173" s="214">
        <v>575</v>
      </c>
      <c r="H1173" s="214">
        <v>225</v>
      </c>
      <c r="I1173" s="214">
        <v>0</v>
      </c>
      <c r="J1173" s="214">
        <v>0</v>
      </c>
      <c r="K1173" s="214">
        <v>0</v>
      </c>
      <c r="L1173" s="214">
        <v>0</v>
      </c>
      <c r="M1173" s="214">
        <v>2000</v>
      </c>
      <c r="N1173" s="214">
        <v>0</v>
      </c>
      <c r="O1173" s="214">
        <v>960</v>
      </c>
      <c r="P1173" s="214">
        <v>3000</v>
      </c>
      <c r="Q1173" s="214">
        <v>1500</v>
      </c>
      <c r="R1173" s="214">
        <v>0</v>
      </c>
      <c r="S1173" s="214">
        <v>0</v>
      </c>
      <c r="T1173" s="214">
        <v>0</v>
      </c>
      <c r="U1173" s="214">
        <v>0</v>
      </c>
      <c r="V1173" s="214">
        <v>0</v>
      </c>
      <c r="W1173" s="214">
        <v>0</v>
      </c>
      <c r="X1173" s="214">
        <v>0</v>
      </c>
      <c r="Y1173" s="214">
        <v>0</v>
      </c>
      <c r="Z1173" s="214">
        <v>0</v>
      </c>
      <c r="AA1173" s="214">
        <v>0</v>
      </c>
      <c r="AB1173" s="214">
        <v>0</v>
      </c>
      <c r="AC1173" s="214">
        <v>0</v>
      </c>
      <c r="AD1173" s="215"/>
      <c r="AE1173" s="420">
        <v>2100</v>
      </c>
      <c r="AF1173" s="420">
        <v>0</v>
      </c>
      <c r="AG1173" s="420">
        <v>0</v>
      </c>
      <c r="AH1173" s="420"/>
      <c r="AI1173" s="574">
        <f t="shared" si="30"/>
        <v>14710</v>
      </c>
      <c r="AJ1173" s="212"/>
    </row>
    <row r="1174" spans="2:36" ht="14.4">
      <c r="B1174" s="211"/>
      <c r="C1174" s="213" t="s">
        <v>62</v>
      </c>
      <c r="D1174" s="214">
        <v>57575</v>
      </c>
      <c r="E1174" s="214">
        <v>4510</v>
      </c>
      <c r="F1174" s="214">
        <v>0</v>
      </c>
      <c r="G1174" s="214">
        <v>75000</v>
      </c>
      <c r="H1174" s="214">
        <v>1000</v>
      </c>
      <c r="I1174" s="214">
        <v>0</v>
      </c>
      <c r="J1174" s="214">
        <v>0</v>
      </c>
      <c r="K1174" s="214">
        <v>0</v>
      </c>
      <c r="L1174" s="214">
        <v>0</v>
      </c>
      <c r="M1174" s="214">
        <v>0</v>
      </c>
      <c r="N1174" s="214">
        <v>0</v>
      </c>
      <c r="O1174" s="214">
        <v>0</v>
      </c>
      <c r="P1174" s="214">
        <v>5000</v>
      </c>
      <c r="Q1174" s="214">
        <v>1100</v>
      </c>
      <c r="R1174" s="214">
        <v>0</v>
      </c>
      <c r="S1174" s="214">
        <v>0</v>
      </c>
      <c r="T1174" s="214">
        <v>0</v>
      </c>
      <c r="U1174" s="214">
        <v>0</v>
      </c>
      <c r="V1174" s="214">
        <v>0</v>
      </c>
      <c r="W1174" s="214">
        <v>0</v>
      </c>
      <c r="X1174" s="214">
        <v>0</v>
      </c>
      <c r="Y1174" s="214">
        <v>0</v>
      </c>
      <c r="Z1174" s="214">
        <v>0</v>
      </c>
      <c r="AA1174" s="214">
        <v>0</v>
      </c>
      <c r="AB1174" s="214">
        <v>0</v>
      </c>
      <c r="AC1174" s="214">
        <v>0</v>
      </c>
      <c r="AD1174" s="215"/>
      <c r="AE1174" s="420">
        <v>0</v>
      </c>
      <c r="AF1174" s="420">
        <v>0</v>
      </c>
      <c r="AG1174" s="420">
        <v>0</v>
      </c>
      <c r="AH1174" s="420"/>
      <c r="AI1174" s="574">
        <f t="shared" si="30"/>
        <v>144185</v>
      </c>
      <c r="AJ1174" s="212"/>
    </row>
    <row r="1175" spans="2:36" ht="14.4">
      <c r="B1175" s="211"/>
      <c r="C1175" s="213" t="s">
        <v>63</v>
      </c>
      <c r="D1175" s="214">
        <v>0</v>
      </c>
      <c r="E1175" s="214">
        <v>219.48</v>
      </c>
      <c r="F1175" s="214">
        <v>0</v>
      </c>
      <c r="G1175" s="214">
        <v>0</v>
      </c>
      <c r="H1175" s="214">
        <v>0</v>
      </c>
      <c r="I1175" s="214">
        <v>0</v>
      </c>
      <c r="J1175" s="214">
        <v>0</v>
      </c>
      <c r="K1175" s="214">
        <v>0</v>
      </c>
      <c r="L1175" s="214">
        <v>0</v>
      </c>
      <c r="M1175" s="214">
        <v>0</v>
      </c>
      <c r="N1175" s="214">
        <v>0</v>
      </c>
      <c r="O1175" s="214">
        <v>0</v>
      </c>
      <c r="P1175" s="214">
        <v>0</v>
      </c>
      <c r="Q1175" s="214">
        <v>0</v>
      </c>
      <c r="R1175" s="214">
        <v>0</v>
      </c>
      <c r="S1175" s="214">
        <v>0</v>
      </c>
      <c r="T1175" s="214">
        <v>0</v>
      </c>
      <c r="U1175" s="214">
        <v>0</v>
      </c>
      <c r="V1175" s="214">
        <v>0</v>
      </c>
      <c r="W1175" s="214">
        <v>0</v>
      </c>
      <c r="X1175" s="214">
        <v>0</v>
      </c>
      <c r="Y1175" s="214">
        <v>0</v>
      </c>
      <c r="Z1175" s="214">
        <v>0</v>
      </c>
      <c r="AA1175" s="214">
        <v>0</v>
      </c>
      <c r="AB1175" s="214">
        <v>0</v>
      </c>
      <c r="AC1175" s="214">
        <v>0</v>
      </c>
      <c r="AD1175" s="215"/>
      <c r="AE1175" s="420">
        <v>0</v>
      </c>
      <c r="AF1175" s="420">
        <v>0</v>
      </c>
      <c r="AG1175" s="420">
        <v>0</v>
      </c>
      <c r="AH1175" s="420"/>
      <c r="AI1175" s="574">
        <f t="shared" si="30"/>
        <v>219.48</v>
      </c>
      <c r="AJ1175" s="212"/>
    </row>
    <row r="1176" spans="2:36" ht="14.4">
      <c r="B1176" s="211"/>
      <c r="C1176" s="213" t="s">
        <v>64</v>
      </c>
      <c r="D1176" s="214">
        <v>5000</v>
      </c>
      <c r="E1176" s="214">
        <v>10000</v>
      </c>
      <c r="F1176" s="214">
        <v>10000</v>
      </c>
      <c r="G1176" s="214">
        <v>0</v>
      </c>
      <c r="H1176" s="214">
        <v>0</v>
      </c>
      <c r="I1176" s="214">
        <v>0</v>
      </c>
      <c r="J1176" s="214">
        <v>400</v>
      </c>
      <c r="K1176" s="214">
        <v>400</v>
      </c>
      <c r="L1176" s="214">
        <v>0</v>
      </c>
      <c r="M1176" s="214">
        <v>1500</v>
      </c>
      <c r="N1176" s="214">
        <v>450</v>
      </c>
      <c r="O1176" s="214">
        <v>0</v>
      </c>
      <c r="P1176" s="214">
        <v>7900</v>
      </c>
      <c r="Q1176" s="214">
        <v>10000</v>
      </c>
      <c r="R1176" s="214">
        <v>3000</v>
      </c>
      <c r="S1176" s="214">
        <v>10650</v>
      </c>
      <c r="T1176" s="214">
        <v>0</v>
      </c>
      <c r="U1176" s="214">
        <v>400</v>
      </c>
      <c r="V1176" s="214">
        <v>200</v>
      </c>
      <c r="W1176" s="214">
        <v>0</v>
      </c>
      <c r="X1176" s="214">
        <v>300</v>
      </c>
      <c r="Y1176" s="214">
        <v>200</v>
      </c>
      <c r="Z1176" s="214">
        <v>200</v>
      </c>
      <c r="AA1176" s="214">
        <v>0</v>
      </c>
      <c r="AB1176" s="214">
        <v>200</v>
      </c>
      <c r="AC1176" s="214">
        <v>0</v>
      </c>
      <c r="AD1176" s="215"/>
      <c r="AE1176" s="420">
        <v>0</v>
      </c>
      <c r="AF1176" s="420">
        <v>0</v>
      </c>
      <c r="AG1176" s="420">
        <v>0</v>
      </c>
      <c r="AH1176" s="420"/>
      <c r="AI1176" s="574">
        <f t="shared" si="30"/>
        <v>60800</v>
      </c>
      <c r="AJ1176" s="212"/>
    </row>
    <row r="1177" spans="2:36" ht="14.4">
      <c r="B1177" s="211"/>
      <c r="C1177" s="213" t="s">
        <v>28</v>
      </c>
      <c r="D1177" s="214">
        <v>7730</v>
      </c>
      <c r="E1177" s="214">
        <v>0</v>
      </c>
      <c r="F1177" s="214">
        <v>0</v>
      </c>
      <c r="G1177" s="214">
        <v>7500</v>
      </c>
      <c r="H1177" s="214">
        <v>0</v>
      </c>
      <c r="I1177" s="214">
        <v>0</v>
      </c>
      <c r="J1177" s="214">
        <v>0</v>
      </c>
      <c r="K1177" s="214">
        <v>0</v>
      </c>
      <c r="L1177" s="214">
        <v>0</v>
      </c>
      <c r="M1177" s="214">
        <v>0</v>
      </c>
      <c r="N1177" s="214">
        <v>0</v>
      </c>
      <c r="O1177" s="214">
        <v>0</v>
      </c>
      <c r="P1177" s="214">
        <v>0</v>
      </c>
      <c r="Q1177" s="214">
        <v>0</v>
      </c>
      <c r="R1177" s="214">
        <v>0</v>
      </c>
      <c r="S1177" s="214">
        <v>0</v>
      </c>
      <c r="T1177" s="214">
        <v>0</v>
      </c>
      <c r="U1177" s="214">
        <v>0</v>
      </c>
      <c r="V1177" s="214">
        <v>0</v>
      </c>
      <c r="W1177" s="214">
        <v>0</v>
      </c>
      <c r="X1177" s="214">
        <v>0</v>
      </c>
      <c r="Y1177" s="214">
        <v>0</v>
      </c>
      <c r="Z1177" s="214">
        <v>0</v>
      </c>
      <c r="AA1177" s="214">
        <v>0</v>
      </c>
      <c r="AB1177" s="214">
        <v>0</v>
      </c>
      <c r="AC1177" s="214">
        <v>0</v>
      </c>
      <c r="AD1177" s="215"/>
      <c r="AE1177" s="420">
        <v>0</v>
      </c>
      <c r="AF1177" s="420">
        <v>0</v>
      </c>
      <c r="AG1177" s="420">
        <v>0</v>
      </c>
      <c r="AH1177" s="420"/>
      <c r="AI1177" s="574">
        <f t="shared" si="30"/>
        <v>15230</v>
      </c>
      <c r="AJ1177" s="212"/>
    </row>
    <row r="1178" spans="2:36" ht="14.4">
      <c r="B1178" s="211"/>
      <c r="C1178" s="213" t="s">
        <v>157</v>
      </c>
      <c r="D1178" s="214">
        <v>0</v>
      </c>
      <c r="E1178" s="214">
        <v>505.43</v>
      </c>
      <c r="F1178" s="214">
        <v>207.64</v>
      </c>
      <c r="G1178" s="214">
        <v>594.59</v>
      </c>
      <c r="H1178" s="214">
        <v>0</v>
      </c>
      <c r="I1178" s="214">
        <v>0</v>
      </c>
      <c r="J1178" s="214">
        <v>0</v>
      </c>
      <c r="K1178" s="214">
        <v>0</v>
      </c>
      <c r="L1178" s="214">
        <v>0</v>
      </c>
      <c r="M1178" s="214">
        <v>0</v>
      </c>
      <c r="N1178" s="214">
        <v>0</v>
      </c>
      <c r="O1178" s="214">
        <v>0</v>
      </c>
      <c r="P1178" s="214">
        <v>278.43</v>
      </c>
      <c r="Q1178" s="214">
        <v>1686.29</v>
      </c>
      <c r="R1178" s="214">
        <v>715.89</v>
      </c>
      <c r="S1178" s="214">
        <v>0</v>
      </c>
      <c r="T1178" s="214">
        <v>0</v>
      </c>
      <c r="U1178" s="214">
        <v>0</v>
      </c>
      <c r="V1178" s="214">
        <v>0</v>
      </c>
      <c r="W1178" s="214">
        <v>0</v>
      </c>
      <c r="X1178" s="214">
        <v>0</v>
      </c>
      <c r="Y1178" s="214">
        <v>0</v>
      </c>
      <c r="Z1178" s="214">
        <v>0</v>
      </c>
      <c r="AA1178" s="214">
        <v>0</v>
      </c>
      <c r="AB1178" s="214">
        <v>0</v>
      </c>
      <c r="AC1178" s="214">
        <v>0</v>
      </c>
      <c r="AD1178" s="215"/>
      <c r="AE1178" s="420">
        <v>0</v>
      </c>
      <c r="AF1178" s="420">
        <v>0</v>
      </c>
      <c r="AG1178" s="420">
        <v>0</v>
      </c>
      <c r="AH1178" s="420"/>
      <c r="AI1178" s="574">
        <f t="shared" si="30"/>
        <v>3988.27</v>
      </c>
      <c r="AJ1178" s="212"/>
    </row>
    <row r="1179" spans="2:36" ht="14.4">
      <c r="B1179" s="211"/>
      <c r="C1179" s="213" t="s">
        <v>65</v>
      </c>
      <c r="D1179" s="214">
        <v>18000</v>
      </c>
      <c r="E1179" s="214">
        <v>0</v>
      </c>
      <c r="F1179" s="214">
        <v>0</v>
      </c>
      <c r="G1179" s="214">
        <v>0</v>
      </c>
      <c r="H1179" s="214">
        <v>0</v>
      </c>
      <c r="I1179" s="214">
        <v>0</v>
      </c>
      <c r="J1179" s="214">
        <v>0</v>
      </c>
      <c r="K1179" s="214">
        <v>0</v>
      </c>
      <c r="L1179" s="214">
        <v>0</v>
      </c>
      <c r="M1179" s="214">
        <v>0</v>
      </c>
      <c r="N1179" s="214">
        <v>0</v>
      </c>
      <c r="O1179" s="214">
        <v>0</v>
      </c>
      <c r="P1179" s="214">
        <v>0</v>
      </c>
      <c r="Q1179" s="214">
        <v>0</v>
      </c>
      <c r="R1179" s="214">
        <v>0</v>
      </c>
      <c r="S1179" s="214">
        <v>0</v>
      </c>
      <c r="T1179" s="214">
        <v>0</v>
      </c>
      <c r="U1179" s="214">
        <v>0</v>
      </c>
      <c r="V1179" s="214">
        <v>0</v>
      </c>
      <c r="W1179" s="214">
        <v>0</v>
      </c>
      <c r="X1179" s="214">
        <v>0</v>
      </c>
      <c r="Y1179" s="214">
        <v>0</v>
      </c>
      <c r="Z1179" s="214">
        <v>0</v>
      </c>
      <c r="AA1179" s="214">
        <v>0</v>
      </c>
      <c r="AB1179" s="214">
        <v>0</v>
      </c>
      <c r="AC1179" s="214">
        <v>0</v>
      </c>
      <c r="AD1179" s="215"/>
      <c r="AE1179" s="420">
        <v>0</v>
      </c>
      <c r="AF1179" s="420">
        <v>0</v>
      </c>
      <c r="AG1179" s="420">
        <v>0</v>
      </c>
      <c r="AH1179" s="420"/>
      <c r="AI1179" s="574">
        <f t="shared" si="30"/>
        <v>18000</v>
      </c>
      <c r="AJ1179" s="212"/>
    </row>
    <row r="1180" spans="2:36" ht="14.4">
      <c r="B1180" s="211"/>
      <c r="C1180" s="213" t="s">
        <v>66</v>
      </c>
      <c r="D1180" s="214">
        <v>0</v>
      </c>
      <c r="E1180" s="214">
        <v>0</v>
      </c>
      <c r="F1180" s="214">
        <v>0</v>
      </c>
      <c r="G1180" s="214">
        <v>0</v>
      </c>
      <c r="H1180" s="214">
        <v>0</v>
      </c>
      <c r="I1180" s="214">
        <v>0</v>
      </c>
      <c r="J1180" s="214">
        <v>0</v>
      </c>
      <c r="K1180" s="214">
        <v>0</v>
      </c>
      <c r="L1180" s="214">
        <v>0</v>
      </c>
      <c r="M1180" s="214">
        <v>0</v>
      </c>
      <c r="N1180" s="214">
        <v>0</v>
      </c>
      <c r="O1180" s="214">
        <v>0</v>
      </c>
      <c r="P1180" s="214">
        <v>0</v>
      </c>
      <c r="Q1180" s="214">
        <v>0</v>
      </c>
      <c r="R1180" s="214">
        <v>0</v>
      </c>
      <c r="S1180" s="214">
        <v>0</v>
      </c>
      <c r="T1180" s="214">
        <v>0</v>
      </c>
      <c r="U1180" s="214">
        <v>0</v>
      </c>
      <c r="V1180" s="214">
        <v>0</v>
      </c>
      <c r="W1180" s="214">
        <v>0</v>
      </c>
      <c r="X1180" s="214">
        <v>0</v>
      </c>
      <c r="Y1180" s="214">
        <v>0</v>
      </c>
      <c r="Z1180" s="214">
        <v>0</v>
      </c>
      <c r="AA1180" s="214">
        <v>0</v>
      </c>
      <c r="AB1180" s="214">
        <v>0</v>
      </c>
      <c r="AC1180" s="214">
        <v>0</v>
      </c>
      <c r="AD1180" s="215"/>
      <c r="AE1180" s="420">
        <v>0</v>
      </c>
      <c r="AF1180" s="420">
        <v>0</v>
      </c>
      <c r="AG1180" s="420">
        <v>0</v>
      </c>
      <c r="AH1180" s="420"/>
      <c r="AI1180" s="574">
        <f t="shared" si="30"/>
        <v>0</v>
      </c>
      <c r="AJ1180" s="212"/>
    </row>
    <row r="1181" spans="2:36" ht="14.4">
      <c r="B1181" s="211"/>
      <c r="C1181" s="213" t="s">
        <v>30</v>
      </c>
      <c r="D1181" s="214">
        <v>12095.26</v>
      </c>
      <c r="E1181" s="214">
        <v>7888.25</v>
      </c>
      <c r="F1181" s="214">
        <v>8800.25</v>
      </c>
      <c r="G1181" s="214">
        <v>4500.25</v>
      </c>
      <c r="H1181" s="214">
        <v>7800</v>
      </c>
      <c r="I1181" s="214">
        <v>0</v>
      </c>
      <c r="J1181" s="214">
        <v>1300</v>
      </c>
      <c r="K1181" s="214">
        <v>0</v>
      </c>
      <c r="L1181" s="214">
        <v>0</v>
      </c>
      <c r="M1181" s="214">
        <v>2252.25</v>
      </c>
      <c r="N1181" s="214">
        <v>1500.67</v>
      </c>
      <c r="O1181" s="214">
        <v>2666.6</v>
      </c>
      <c r="P1181" s="214">
        <v>3699.69</v>
      </c>
      <c r="Q1181" s="214">
        <v>8900.25</v>
      </c>
      <c r="R1181" s="214">
        <v>1400.25</v>
      </c>
      <c r="S1181" s="214">
        <v>3222.25</v>
      </c>
      <c r="T1181" s="214">
        <v>0</v>
      </c>
      <c r="U1181" s="214">
        <v>1300</v>
      </c>
      <c r="V1181" s="214">
        <v>1600</v>
      </c>
      <c r="W1181" s="214">
        <v>1700</v>
      </c>
      <c r="X1181" s="214">
        <v>0</v>
      </c>
      <c r="Y1181" s="214">
        <v>3222.25</v>
      </c>
      <c r="Z1181" s="214">
        <v>1300</v>
      </c>
      <c r="AA1181" s="214">
        <v>0</v>
      </c>
      <c r="AB1181" s="214">
        <v>4999.25</v>
      </c>
      <c r="AC1181" s="214">
        <v>6888.9</v>
      </c>
      <c r="AD1181" s="215"/>
      <c r="AE1181" s="420">
        <v>7900.25</v>
      </c>
      <c r="AF1181" s="420">
        <v>2223.25</v>
      </c>
      <c r="AG1181" s="420">
        <v>4666.25</v>
      </c>
      <c r="AH1181" s="420"/>
      <c r="AI1181" s="574">
        <f t="shared" si="30"/>
        <v>101826.12</v>
      </c>
      <c r="AJ1181" s="212"/>
    </row>
    <row r="1182" spans="2:36" ht="14.4">
      <c r="B1182" s="211"/>
      <c r="C1182" s="213" t="s">
        <v>67</v>
      </c>
      <c r="D1182" s="214">
        <v>3100</v>
      </c>
      <c r="E1182" s="214">
        <v>16830</v>
      </c>
      <c r="F1182" s="214">
        <v>15180</v>
      </c>
      <c r="G1182" s="214">
        <v>9240</v>
      </c>
      <c r="H1182" s="214">
        <v>11022</v>
      </c>
      <c r="I1182" s="214">
        <v>3300</v>
      </c>
      <c r="J1182" s="214">
        <v>1980</v>
      </c>
      <c r="K1182" s="214">
        <v>3300</v>
      </c>
      <c r="L1182" s="214">
        <v>3696</v>
      </c>
      <c r="M1182" s="214">
        <v>11880</v>
      </c>
      <c r="N1182" s="214">
        <v>4950</v>
      </c>
      <c r="O1182" s="214">
        <v>12540</v>
      </c>
      <c r="P1182" s="214">
        <v>8250</v>
      </c>
      <c r="Q1182" s="214">
        <v>6930</v>
      </c>
      <c r="R1182" s="214">
        <v>3300</v>
      </c>
      <c r="S1182" s="214">
        <v>10560</v>
      </c>
      <c r="T1182" s="214">
        <v>0</v>
      </c>
      <c r="U1182" s="214">
        <v>3300</v>
      </c>
      <c r="V1182" s="214">
        <v>0</v>
      </c>
      <c r="W1182" s="214">
        <v>1320</v>
      </c>
      <c r="X1182" s="214">
        <v>1650</v>
      </c>
      <c r="Y1182" s="214">
        <v>2640</v>
      </c>
      <c r="Z1182" s="214">
        <v>1320</v>
      </c>
      <c r="AA1182" s="214">
        <v>1650</v>
      </c>
      <c r="AB1182" s="214">
        <v>0</v>
      </c>
      <c r="AC1182" s="214">
        <v>990</v>
      </c>
      <c r="AD1182" s="215"/>
      <c r="AE1182" s="420">
        <v>9900</v>
      </c>
      <c r="AF1182" s="420">
        <v>3300</v>
      </c>
      <c r="AG1182" s="420">
        <v>3300</v>
      </c>
      <c r="AH1182" s="420"/>
      <c r="AI1182" s="574">
        <f t="shared" si="30"/>
        <v>155428</v>
      </c>
      <c r="AJ1182" s="212"/>
    </row>
    <row r="1183" spans="2:36" ht="14.4">
      <c r="B1183" s="211"/>
      <c r="C1183" s="213" t="s">
        <v>111</v>
      </c>
      <c r="D1183" s="214">
        <v>0</v>
      </c>
      <c r="E1183" s="214">
        <v>200</v>
      </c>
      <c r="F1183" s="214">
        <v>300</v>
      </c>
      <c r="G1183" s="214">
        <v>0</v>
      </c>
      <c r="H1183" s="214">
        <v>300</v>
      </c>
      <c r="I1183" s="214">
        <v>0</v>
      </c>
      <c r="J1183" s="214">
        <v>0</v>
      </c>
      <c r="K1183" s="214">
        <v>0</v>
      </c>
      <c r="L1183" s="214">
        <v>0</v>
      </c>
      <c r="M1183" s="214">
        <v>0</v>
      </c>
      <c r="N1183" s="214">
        <v>0</v>
      </c>
      <c r="O1183" s="214">
        <v>600</v>
      </c>
      <c r="P1183" s="214">
        <v>0</v>
      </c>
      <c r="Q1183" s="214">
        <v>2620</v>
      </c>
      <c r="R1183" s="214">
        <v>0</v>
      </c>
      <c r="S1183" s="214">
        <v>300</v>
      </c>
      <c r="T1183" s="214">
        <v>0</v>
      </c>
      <c r="U1183" s="214">
        <v>0</v>
      </c>
      <c r="V1183" s="214">
        <v>0</v>
      </c>
      <c r="W1183" s="214">
        <v>0</v>
      </c>
      <c r="X1183" s="214">
        <v>0</v>
      </c>
      <c r="Y1183" s="214">
        <v>0</v>
      </c>
      <c r="Z1183" s="214">
        <v>0</v>
      </c>
      <c r="AA1183" s="214">
        <v>0</v>
      </c>
      <c r="AB1183" s="214">
        <v>0</v>
      </c>
      <c r="AC1183" s="214">
        <v>0</v>
      </c>
      <c r="AD1183" s="215"/>
      <c r="AE1183" s="420">
        <v>200</v>
      </c>
      <c r="AF1183" s="420">
        <v>0</v>
      </c>
      <c r="AG1183" s="420">
        <v>0</v>
      </c>
      <c r="AH1183" s="420"/>
      <c r="AI1183" s="574">
        <f t="shared" si="30"/>
        <v>4520</v>
      </c>
      <c r="AJ1183" s="212"/>
    </row>
    <row r="1184" spans="2:36" ht="14.4">
      <c r="B1184" s="211"/>
      <c r="C1184" s="213" t="s">
        <v>68</v>
      </c>
      <c r="D1184" s="214">
        <v>0</v>
      </c>
      <c r="E1184" s="214">
        <v>0</v>
      </c>
      <c r="F1184" s="214">
        <v>0</v>
      </c>
      <c r="G1184" s="214">
        <v>0</v>
      </c>
      <c r="H1184" s="214">
        <v>0</v>
      </c>
      <c r="I1184" s="214">
        <v>0</v>
      </c>
      <c r="J1184" s="214">
        <v>0</v>
      </c>
      <c r="K1184" s="214">
        <v>0</v>
      </c>
      <c r="L1184" s="214">
        <v>0</v>
      </c>
      <c r="M1184" s="214">
        <v>0</v>
      </c>
      <c r="N1184" s="214">
        <v>0</v>
      </c>
      <c r="O1184" s="214">
        <v>0</v>
      </c>
      <c r="P1184" s="214">
        <v>0</v>
      </c>
      <c r="Q1184" s="214">
        <v>0</v>
      </c>
      <c r="R1184" s="214">
        <v>0</v>
      </c>
      <c r="S1184" s="214">
        <v>0</v>
      </c>
      <c r="T1184" s="214">
        <v>0</v>
      </c>
      <c r="U1184" s="214">
        <v>0</v>
      </c>
      <c r="V1184" s="214">
        <v>0</v>
      </c>
      <c r="W1184" s="214">
        <v>0</v>
      </c>
      <c r="X1184" s="214">
        <v>0</v>
      </c>
      <c r="Y1184" s="214">
        <v>0</v>
      </c>
      <c r="Z1184" s="214">
        <v>0</v>
      </c>
      <c r="AA1184" s="214">
        <v>0</v>
      </c>
      <c r="AB1184" s="214">
        <v>0</v>
      </c>
      <c r="AC1184" s="214">
        <v>0</v>
      </c>
      <c r="AD1184" s="215"/>
      <c r="AE1184" s="420">
        <v>0</v>
      </c>
      <c r="AF1184" s="420">
        <v>0</v>
      </c>
      <c r="AG1184" s="420">
        <v>0</v>
      </c>
      <c r="AH1184" s="420"/>
      <c r="AI1184" s="574">
        <f t="shared" si="30"/>
        <v>0</v>
      </c>
      <c r="AJ1184" s="212"/>
    </row>
    <row r="1185" spans="2:36" ht="14.4">
      <c r="B1185" s="211"/>
      <c r="C1185" s="213" t="s">
        <v>69</v>
      </c>
      <c r="D1185" s="214">
        <v>0</v>
      </c>
      <c r="E1185" s="214">
        <v>0</v>
      </c>
      <c r="F1185" s="214">
        <v>0</v>
      </c>
      <c r="G1185" s="214">
        <v>0</v>
      </c>
      <c r="H1185" s="214">
        <v>0</v>
      </c>
      <c r="I1185" s="214">
        <v>0</v>
      </c>
      <c r="J1185" s="214">
        <v>0</v>
      </c>
      <c r="K1185" s="214">
        <v>0</v>
      </c>
      <c r="L1185" s="214">
        <v>0</v>
      </c>
      <c r="M1185" s="214">
        <v>0</v>
      </c>
      <c r="N1185" s="214">
        <v>0</v>
      </c>
      <c r="O1185" s="214">
        <v>0</v>
      </c>
      <c r="P1185" s="214">
        <v>0</v>
      </c>
      <c r="Q1185" s="214">
        <v>0</v>
      </c>
      <c r="R1185" s="214">
        <v>0</v>
      </c>
      <c r="S1185" s="214">
        <v>0</v>
      </c>
      <c r="T1185" s="214">
        <v>0</v>
      </c>
      <c r="U1185" s="214">
        <v>0</v>
      </c>
      <c r="V1185" s="214">
        <v>0</v>
      </c>
      <c r="W1185" s="214">
        <v>0</v>
      </c>
      <c r="X1185" s="214">
        <v>0</v>
      </c>
      <c r="Y1185" s="214">
        <v>0</v>
      </c>
      <c r="Z1185" s="214">
        <v>0</v>
      </c>
      <c r="AA1185" s="214">
        <v>0</v>
      </c>
      <c r="AB1185" s="214">
        <v>0</v>
      </c>
      <c r="AC1185" s="214">
        <v>0</v>
      </c>
      <c r="AD1185" s="215"/>
      <c r="AE1185" s="420">
        <v>0</v>
      </c>
      <c r="AF1185" s="420">
        <v>0</v>
      </c>
      <c r="AG1185" s="420">
        <v>0</v>
      </c>
      <c r="AH1185" s="420"/>
      <c r="AI1185" s="574">
        <f t="shared" si="30"/>
        <v>0</v>
      </c>
      <c r="AJ1185" s="212"/>
    </row>
    <row r="1186" spans="2:36" ht="14.4">
      <c r="B1186" s="211"/>
      <c r="C1186" s="213" t="s">
        <v>70</v>
      </c>
      <c r="D1186" s="214">
        <v>2080</v>
      </c>
      <c r="E1186" s="214">
        <v>0</v>
      </c>
      <c r="F1186" s="214">
        <v>0</v>
      </c>
      <c r="G1186" s="214">
        <v>4090</v>
      </c>
      <c r="H1186" s="214">
        <v>0</v>
      </c>
      <c r="I1186" s="214">
        <v>440</v>
      </c>
      <c r="J1186" s="214">
        <v>0</v>
      </c>
      <c r="K1186" s="214">
        <v>0</v>
      </c>
      <c r="L1186" s="214">
        <v>0</v>
      </c>
      <c r="M1186" s="214">
        <v>0</v>
      </c>
      <c r="N1186" s="214">
        <v>0</v>
      </c>
      <c r="O1186" s="214">
        <v>0</v>
      </c>
      <c r="P1186" s="214">
        <v>0</v>
      </c>
      <c r="Q1186" s="214">
        <v>0</v>
      </c>
      <c r="R1186" s="214">
        <v>0</v>
      </c>
      <c r="S1186" s="214">
        <v>0</v>
      </c>
      <c r="T1186" s="214">
        <v>0</v>
      </c>
      <c r="U1186" s="214">
        <v>0</v>
      </c>
      <c r="V1186" s="214">
        <v>0</v>
      </c>
      <c r="W1186" s="214">
        <v>0</v>
      </c>
      <c r="X1186" s="214">
        <v>0</v>
      </c>
      <c r="Y1186" s="214">
        <v>0</v>
      </c>
      <c r="Z1186" s="214">
        <v>0</v>
      </c>
      <c r="AA1186" s="214">
        <v>0</v>
      </c>
      <c r="AB1186" s="214">
        <v>450</v>
      </c>
      <c r="AC1186" s="214">
        <v>0</v>
      </c>
      <c r="AD1186" s="215"/>
      <c r="AE1186" s="420">
        <v>0</v>
      </c>
      <c r="AF1186" s="420">
        <v>0</v>
      </c>
      <c r="AG1186" s="420">
        <v>0</v>
      </c>
      <c r="AH1186" s="420"/>
      <c r="AI1186" s="574">
        <f t="shared" si="30"/>
        <v>7060</v>
      </c>
      <c r="AJ1186" s="212"/>
    </row>
    <row r="1187" spans="2:36" ht="14.4">
      <c r="B1187" s="211"/>
      <c r="C1187" s="213" t="s">
        <v>71</v>
      </c>
      <c r="D1187" s="214">
        <v>0</v>
      </c>
      <c r="E1187" s="214">
        <v>0</v>
      </c>
      <c r="F1187" s="214">
        <v>0</v>
      </c>
      <c r="G1187" s="214">
        <v>0</v>
      </c>
      <c r="H1187" s="214">
        <v>0</v>
      </c>
      <c r="I1187" s="214">
        <v>0</v>
      </c>
      <c r="J1187" s="214">
        <v>0</v>
      </c>
      <c r="K1187" s="214">
        <v>0</v>
      </c>
      <c r="L1187" s="214">
        <v>0</v>
      </c>
      <c r="M1187" s="214">
        <v>0</v>
      </c>
      <c r="N1187" s="214">
        <v>0</v>
      </c>
      <c r="O1187" s="214">
        <v>0</v>
      </c>
      <c r="P1187" s="214">
        <v>0</v>
      </c>
      <c r="Q1187" s="214">
        <v>0</v>
      </c>
      <c r="R1187" s="214">
        <v>0</v>
      </c>
      <c r="S1187" s="214">
        <v>0</v>
      </c>
      <c r="T1187" s="214">
        <v>0</v>
      </c>
      <c r="U1187" s="214">
        <v>0</v>
      </c>
      <c r="V1187" s="214">
        <v>0</v>
      </c>
      <c r="W1187" s="214">
        <v>0</v>
      </c>
      <c r="X1187" s="214">
        <v>0</v>
      </c>
      <c r="Y1187" s="214">
        <v>0</v>
      </c>
      <c r="Z1187" s="214">
        <v>0</v>
      </c>
      <c r="AA1187" s="214">
        <v>0</v>
      </c>
      <c r="AB1187" s="214">
        <v>0</v>
      </c>
      <c r="AC1187" s="214">
        <v>0</v>
      </c>
      <c r="AD1187" s="215"/>
      <c r="AE1187" s="420">
        <v>0</v>
      </c>
      <c r="AF1187" s="420">
        <v>0</v>
      </c>
      <c r="AG1187" s="420">
        <v>0</v>
      </c>
      <c r="AH1187" s="420"/>
      <c r="AI1187" s="574">
        <f t="shared" si="30"/>
        <v>0</v>
      </c>
      <c r="AJ1187" s="212"/>
    </row>
    <row r="1188" spans="2:36" ht="14.4">
      <c r="B1188" s="211"/>
      <c r="C1188" s="213" t="s">
        <v>159</v>
      </c>
      <c r="D1188" s="214">
        <v>20840</v>
      </c>
      <c r="E1188" s="214">
        <v>0</v>
      </c>
      <c r="F1188" s="214">
        <v>0</v>
      </c>
      <c r="G1188" s="214">
        <v>0</v>
      </c>
      <c r="H1188" s="214">
        <v>0</v>
      </c>
      <c r="I1188" s="214">
        <v>0</v>
      </c>
      <c r="J1188" s="214">
        <v>0</v>
      </c>
      <c r="K1188" s="214">
        <v>0</v>
      </c>
      <c r="L1188" s="214">
        <v>0</v>
      </c>
      <c r="M1188" s="214">
        <v>0</v>
      </c>
      <c r="N1188" s="214">
        <v>0</v>
      </c>
      <c r="O1188" s="214">
        <v>0</v>
      </c>
      <c r="P1188" s="214">
        <v>0</v>
      </c>
      <c r="Q1188" s="214">
        <v>0</v>
      </c>
      <c r="R1188" s="214">
        <v>0</v>
      </c>
      <c r="S1188" s="214">
        <v>0</v>
      </c>
      <c r="T1188" s="214">
        <v>0</v>
      </c>
      <c r="U1188" s="214">
        <v>0</v>
      </c>
      <c r="V1188" s="214">
        <v>0</v>
      </c>
      <c r="W1188" s="214">
        <v>0</v>
      </c>
      <c r="X1188" s="214">
        <v>0</v>
      </c>
      <c r="Y1188" s="214">
        <v>0</v>
      </c>
      <c r="Z1188" s="214">
        <v>0</v>
      </c>
      <c r="AA1188" s="214">
        <v>0</v>
      </c>
      <c r="AB1188" s="214">
        <v>0</v>
      </c>
      <c r="AC1188" s="214">
        <v>0</v>
      </c>
      <c r="AD1188" s="215"/>
      <c r="AE1188" s="420">
        <v>0</v>
      </c>
      <c r="AF1188" s="420">
        <v>0</v>
      </c>
      <c r="AG1188" s="420">
        <v>0</v>
      </c>
      <c r="AH1188" s="420"/>
      <c r="AI1188" s="574">
        <f t="shared" si="30"/>
        <v>20840</v>
      </c>
      <c r="AJ1188" s="212"/>
    </row>
    <row r="1189" spans="2:36" ht="14.4">
      <c r="B1189" s="211"/>
      <c r="C1189" s="213" t="s">
        <v>72</v>
      </c>
      <c r="D1189" s="214">
        <v>6000</v>
      </c>
      <c r="E1189" s="214">
        <v>0</v>
      </c>
      <c r="F1189" s="214">
        <v>0</v>
      </c>
      <c r="G1189" s="214">
        <v>0</v>
      </c>
      <c r="H1189" s="214">
        <v>0</v>
      </c>
      <c r="I1189" s="214">
        <v>0</v>
      </c>
      <c r="J1189" s="214">
        <v>0</v>
      </c>
      <c r="K1189" s="214">
        <v>0</v>
      </c>
      <c r="L1189" s="214">
        <v>0</v>
      </c>
      <c r="M1189" s="214">
        <v>0</v>
      </c>
      <c r="N1189" s="214">
        <v>0</v>
      </c>
      <c r="O1189" s="214">
        <v>0</v>
      </c>
      <c r="P1189" s="214">
        <v>0</v>
      </c>
      <c r="Q1189" s="214">
        <v>0</v>
      </c>
      <c r="R1189" s="214">
        <v>0</v>
      </c>
      <c r="S1189" s="214">
        <v>0</v>
      </c>
      <c r="T1189" s="214">
        <v>0</v>
      </c>
      <c r="U1189" s="214">
        <v>0</v>
      </c>
      <c r="V1189" s="214">
        <v>0</v>
      </c>
      <c r="W1189" s="214">
        <v>0</v>
      </c>
      <c r="X1189" s="214">
        <v>0</v>
      </c>
      <c r="Y1189" s="214">
        <v>0</v>
      </c>
      <c r="Z1189" s="214">
        <v>0</v>
      </c>
      <c r="AA1189" s="214">
        <v>0</v>
      </c>
      <c r="AB1189" s="214">
        <v>0</v>
      </c>
      <c r="AC1189" s="214">
        <v>0</v>
      </c>
      <c r="AD1189" s="215"/>
      <c r="AE1189" s="420">
        <v>0</v>
      </c>
      <c r="AF1189" s="420">
        <v>0</v>
      </c>
      <c r="AG1189" s="420">
        <v>0</v>
      </c>
      <c r="AH1189" s="420"/>
      <c r="AI1189" s="574">
        <f t="shared" si="30"/>
        <v>6000</v>
      </c>
      <c r="AJ1189" s="212"/>
    </row>
    <row r="1190" spans="2:36" ht="14.4">
      <c r="B1190" s="211"/>
      <c r="C1190" s="213" t="s">
        <v>73</v>
      </c>
      <c r="D1190" s="214">
        <v>0</v>
      </c>
      <c r="E1190" s="214">
        <v>0</v>
      </c>
      <c r="F1190" s="214">
        <v>0</v>
      </c>
      <c r="G1190" s="214">
        <v>0</v>
      </c>
      <c r="H1190" s="214">
        <v>0</v>
      </c>
      <c r="I1190" s="214">
        <v>0</v>
      </c>
      <c r="J1190" s="214">
        <v>0</v>
      </c>
      <c r="K1190" s="214">
        <v>0</v>
      </c>
      <c r="L1190" s="214">
        <v>0</v>
      </c>
      <c r="M1190" s="214">
        <v>0</v>
      </c>
      <c r="N1190" s="214">
        <v>0</v>
      </c>
      <c r="O1190" s="214">
        <v>0</v>
      </c>
      <c r="P1190" s="214">
        <v>0</v>
      </c>
      <c r="Q1190" s="214">
        <v>0</v>
      </c>
      <c r="R1190" s="214">
        <v>0</v>
      </c>
      <c r="S1190" s="214">
        <v>0</v>
      </c>
      <c r="T1190" s="214">
        <v>0</v>
      </c>
      <c r="U1190" s="214">
        <v>0</v>
      </c>
      <c r="V1190" s="214">
        <v>0</v>
      </c>
      <c r="W1190" s="214">
        <v>0</v>
      </c>
      <c r="X1190" s="214">
        <v>0</v>
      </c>
      <c r="Y1190" s="214">
        <v>0</v>
      </c>
      <c r="Z1190" s="214">
        <v>0</v>
      </c>
      <c r="AA1190" s="214">
        <v>0</v>
      </c>
      <c r="AB1190" s="214">
        <v>0</v>
      </c>
      <c r="AC1190" s="214">
        <v>0</v>
      </c>
      <c r="AD1190" s="215"/>
      <c r="AE1190" s="420">
        <v>0</v>
      </c>
      <c r="AF1190" s="420">
        <v>0</v>
      </c>
      <c r="AG1190" s="420">
        <v>0</v>
      </c>
      <c r="AH1190" s="420"/>
      <c r="AI1190" s="574">
        <f t="shared" si="30"/>
        <v>0</v>
      </c>
      <c r="AJ1190" s="212"/>
    </row>
    <row r="1191" spans="2:36" ht="14.4">
      <c r="B1191" s="211"/>
      <c r="C1191" s="213" t="s">
        <v>246</v>
      </c>
      <c r="D1191" s="214">
        <v>1000</v>
      </c>
      <c r="E1191" s="214">
        <v>0</v>
      </c>
      <c r="F1191" s="214">
        <v>0</v>
      </c>
      <c r="G1191" s="214">
        <v>0</v>
      </c>
      <c r="H1191" s="214">
        <v>0</v>
      </c>
      <c r="I1191" s="214">
        <v>0</v>
      </c>
      <c r="J1191" s="214">
        <v>0</v>
      </c>
      <c r="K1191" s="214">
        <v>0</v>
      </c>
      <c r="L1191" s="214">
        <v>0</v>
      </c>
      <c r="M1191" s="214">
        <v>0</v>
      </c>
      <c r="N1191" s="214">
        <v>0</v>
      </c>
      <c r="O1191" s="214">
        <v>0</v>
      </c>
      <c r="P1191" s="214">
        <v>0</v>
      </c>
      <c r="Q1191" s="214">
        <v>0</v>
      </c>
      <c r="R1191" s="214">
        <v>0</v>
      </c>
      <c r="S1191" s="214">
        <v>0</v>
      </c>
      <c r="T1191" s="214">
        <v>0</v>
      </c>
      <c r="U1191" s="214">
        <v>0</v>
      </c>
      <c r="V1191" s="214">
        <v>0</v>
      </c>
      <c r="W1191" s="214">
        <v>0</v>
      </c>
      <c r="X1191" s="214">
        <v>0</v>
      </c>
      <c r="Y1191" s="214">
        <v>0</v>
      </c>
      <c r="Z1191" s="214">
        <v>0</v>
      </c>
      <c r="AA1191" s="214">
        <v>0</v>
      </c>
      <c r="AB1191" s="214">
        <v>0</v>
      </c>
      <c r="AC1191" s="214">
        <v>0</v>
      </c>
      <c r="AD1191" s="215"/>
      <c r="AE1191" s="420">
        <v>0</v>
      </c>
      <c r="AF1191" s="420">
        <v>0</v>
      </c>
      <c r="AG1191" s="420">
        <v>0</v>
      </c>
      <c r="AH1191" s="420"/>
      <c r="AI1191" s="574">
        <f t="shared" si="30"/>
        <v>1000</v>
      </c>
      <c r="AJ1191" s="212"/>
    </row>
    <row r="1192" spans="2:36" ht="14.4">
      <c r="B1192" s="211"/>
      <c r="C1192" s="213" t="s">
        <v>75</v>
      </c>
      <c r="D1192" s="214">
        <v>0</v>
      </c>
      <c r="E1192" s="214">
        <v>0</v>
      </c>
      <c r="F1192" s="214">
        <v>0</v>
      </c>
      <c r="G1192" s="214">
        <v>0</v>
      </c>
      <c r="H1192" s="214">
        <v>0</v>
      </c>
      <c r="I1192" s="214">
        <v>0</v>
      </c>
      <c r="J1192" s="214">
        <v>0</v>
      </c>
      <c r="K1192" s="214">
        <v>0</v>
      </c>
      <c r="L1192" s="214">
        <v>0</v>
      </c>
      <c r="M1192" s="214">
        <v>0</v>
      </c>
      <c r="N1192" s="214">
        <v>0</v>
      </c>
      <c r="O1192" s="214">
        <v>0</v>
      </c>
      <c r="P1192" s="214">
        <v>0</v>
      </c>
      <c r="Q1192" s="214">
        <v>0</v>
      </c>
      <c r="R1192" s="214">
        <v>0</v>
      </c>
      <c r="S1192" s="214">
        <v>0</v>
      </c>
      <c r="T1192" s="214">
        <v>0</v>
      </c>
      <c r="U1192" s="214">
        <v>0</v>
      </c>
      <c r="V1192" s="214">
        <v>0</v>
      </c>
      <c r="W1192" s="214">
        <v>0</v>
      </c>
      <c r="X1192" s="214">
        <v>0</v>
      </c>
      <c r="Y1192" s="214">
        <v>0</v>
      </c>
      <c r="Z1192" s="214">
        <v>0</v>
      </c>
      <c r="AA1192" s="214">
        <v>0</v>
      </c>
      <c r="AB1192" s="214">
        <v>0</v>
      </c>
      <c r="AC1192" s="214">
        <v>0</v>
      </c>
      <c r="AD1192" s="215"/>
      <c r="AE1192" s="420">
        <v>0</v>
      </c>
      <c r="AF1192" s="420">
        <v>0</v>
      </c>
      <c r="AG1192" s="420">
        <v>0</v>
      </c>
      <c r="AH1192" s="420"/>
      <c r="AI1192" s="574">
        <f t="shared" si="30"/>
        <v>0</v>
      </c>
      <c r="AJ1192" s="212"/>
    </row>
    <row r="1193" spans="2:36" ht="14.4">
      <c r="B1193" s="211"/>
      <c r="C1193" s="213" t="s">
        <v>76</v>
      </c>
      <c r="D1193" s="214">
        <v>0</v>
      </c>
      <c r="E1193" s="214">
        <v>0</v>
      </c>
      <c r="F1193" s="214">
        <v>0</v>
      </c>
      <c r="G1193" s="214">
        <v>0</v>
      </c>
      <c r="H1193" s="214">
        <v>0</v>
      </c>
      <c r="I1193" s="214">
        <v>0</v>
      </c>
      <c r="J1193" s="214">
        <v>0</v>
      </c>
      <c r="K1193" s="214">
        <v>0</v>
      </c>
      <c r="L1193" s="214">
        <v>0</v>
      </c>
      <c r="M1193" s="214">
        <v>0</v>
      </c>
      <c r="N1193" s="214">
        <v>0</v>
      </c>
      <c r="O1193" s="214">
        <v>0</v>
      </c>
      <c r="P1193" s="214">
        <v>0</v>
      </c>
      <c r="Q1193" s="214">
        <v>0</v>
      </c>
      <c r="R1193" s="214">
        <v>0</v>
      </c>
      <c r="S1193" s="214">
        <v>0</v>
      </c>
      <c r="T1193" s="214">
        <v>0</v>
      </c>
      <c r="U1193" s="214">
        <v>0</v>
      </c>
      <c r="V1193" s="214">
        <v>0</v>
      </c>
      <c r="W1193" s="214">
        <v>0</v>
      </c>
      <c r="X1193" s="214">
        <v>0</v>
      </c>
      <c r="Y1193" s="214">
        <v>0</v>
      </c>
      <c r="Z1193" s="214">
        <v>0</v>
      </c>
      <c r="AA1193" s="214">
        <v>0</v>
      </c>
      <c r="AB1193" s="214">
        <v>0</v>
      </c>
      <c r="AC1193" s="214">
        <v>0</v>
      </c>
      <c r="AD1193" s="215"/>
      <c r="AE1193" s="420">
        <v>0</v>
      </c>
      <c r="AF1193" s="420">
        <v>0</v>
      </c>
      <c r="AG1193" s="420">
        <v>0</v>
      </c>
      <c r="AH1193" s="420"/>
      <c r="AI1193" s="574">
        <f t="shared" si="30"/>
        <v>0</v>
      </c>
      <c r="AJ1193" s="212"/>
    </row>
    <row r="1194" spans="2:36" ht="14.4">
      <c r="B1194" s="211"/>
      <c r="C1194" s="213" t="s">
        <v>77</v>
      </c>
      <c r="D1194" s="214">
        <v>0</v>
      </c>
      <c r="E1194" s="214">
        <v>0</v>
      </c>
      <c r="F1194" s="214">
        <v>0</v>
      </c>
      <c r="G1194" s="214">
        <v>0</v>
      </c>
      <c r="H1194" s="214">
        <v>0</v>
      </c>
      <c r="I1194" s="214">
        <v>0</v>
      </c>
      <c r="J1194" s="214">
        <v>0</v>
      </c>
      <c r="K1194" s="214">
        <v>0</v>
      </c>
      <c r="L1194" s="214">
        <v>0</v>
      </c>
      <c r="M1194" s="214">
        <v>0</v>
      </c>
      <c r="N1194" s="214">
        <v>0</v>
      </c>
      <c r="O1194" s="214">
        <v>0</v>
      </c>
      <c r="P1194" s="214">
        <v>0</v>
      </c>
      <c r="Q1194" s="214">
        <v>0</v>
      </c>
      <c r="R1194" s="214">
        <v>0</v>
      </c>
      <c r="S1194" s="214">
        <v>0</v>
      </c>
      <c r="T1194" s="214">
        <v>0</v>
      </c>
      <c r="U1194" s="214">
        <v>0</v>
      </c>
      <c r="V1194" s="214">
        <v>0</v>
      </c>
      <c r="W1194" s="214">
        <v>0</v>
      </c>
      <c r="X1194" s="214">
        <v>0</v>
      </c>
      <c r="Y1194" s="214">
        <v>0</v>
      </c>
      <c r="Z1194" s="214">
        <v>0</v>
      </c>
      <c r="AA1194" s="214">
        <v>0</v>
      </c>
      <c r="AB1194" s="214">
        <v>0</v>
      </c>
      <c r="AC1194" s="214">
        <v>0</v>
      </c>
      <c r="AD1194" s="215"/>
      <c r="AE1194" s="420">
        <v>0</v>
      </c>
      <c r="AF1194" s="420">
        <v>0</v>
      </c>
      <c r="AG1194" s="420">
        <v>0</v>
      </c>
      <c r="AH1194" s="420"/>
      <c r="AI1194" s="574">
        <f t="shared" si="30"/>
        <v>0</v>
      </c>
      <c r="AJ1194" s="212"/>
    </row>
    <row r="1195" spans="2:36" ht="14.4">
      <c r="B1195" s="211"/>
      <c r="C1195" s="213" t="s">
        <v>78</v>
      </c>
      <c r="D1195" s="214">
        <v>0</v>
      </c>
      <c r="E1195" s="214">
        <v>0</v>
      </c>
      <c r="F1195" s="214">
        <v>0</v>
      </c>
      <c r="G1195" s="214">
        <v>0</v>
      </c>
      <c r="H1195" s="214">
        <v>0</v>
      </c>
      <c r="I1195" s="214">
        <v>0</v>
      </c>
      <c r="J1195" s="214">
        <v>0</v>
      </c>
      <c r="K1195" s="214">
        <v>0</v>
      </c>
      <c r="L1195" s="214">
        <v>0</v>
      </c>
      <c r="M1195" s="214">
        <v>0</v>
      </c>
      <c r="N1195" s="214">
        <v>0</v>
      </c>
      <c r="O1195" s="214">
        <v>0</v>
      </c>
      <c r="P1195" s="214">
        <v>0</v>
      </c>
      <c r="Q1195" s="214">
        <v>0</v>
      </c>
      <c r="R1195" s="214">
        <v>0</v>
      </c>
      <c r="S1195" s="214">
        <v>0</v>
      </c>
      <c r="T1195" s="214">
        <v>0</v>
      </c>
      <c r="U1195" s="214">
        <v>0</v>
      </c>
      <c r="V1195" s="214">
        <v>0</v>
      </c>
      <c r="W1195" s="214">
        <v>0</v>
      </c>
      <c r="X1195" s="214">
        <v>0</v>
      </c>
      <c r="Y1195" s="214">
        <v>0</v>
      </c>
      <c r="Z1195" s="214">
        <v>0</v>
      </c>
      <c r="AA1195" s="214">
        <v>0</v>
      </c>
      <c r="AB1195" s="214">
        <v>0</v>
      </c>
      <c r="AC1195" s="214">
        <v>0</v>
      </c>
      <c r="AD1195" s="215"/>
      <c r="AE1195" s="420">
        <v>0</v>
      </c>
      <c r="AF1195" s="420">
        <v>0</v>
      </c>
      <c r="AG1195" s="420">
        <v>0</v>
      </c>
      <c r="AH1195" s="420"/>
      <c r="AI1195" s="574">
        <f t="shared" si="30"/>
        <v>0</v>
      </c>
      <c r="AJ1195" s="212"/>
    </row>
    <row r="1196" spans="2:36" ht="14.4">
      <c r="B1196" s="211"/>
      <c r="C1196" s="213" t="s">
        <v>79</v>
      </c>
      <c r="D1196" s="214">
        <v>0</v>
      </c>
      <c r="E1196" s="214">
        <v>0</v>
      </c>
      <c r="F1196" s="214">
        <v>0</v>
      </c>
      <c r="G1196" s="214">
        <v>0</v>
      </c>
      <c r="H1196" s="214">
        <v>0</v>
      </c>
      <c r="I1196" s="214">
        <v>0</v>
      </c>
      <c r="J1196" s="214">
        <v>0</v>
      </c>
      <c r="K1196" s="214">
        <v>0</v>
      </c>
      <c r="L1196" s="214">
        <v>0</v>
      </c>
      <c r="M1196" s="214">
        <v>0</v>
      </c>
      <c r="N1196" s="214">
        <v>0</v>
      </c>
      <c r="O1196" s="214">
        <v>0</v>
      </c>
      <c r="P1196" s="214">
        <v>0</v>
      </c>
      <c r="Q1196" s="214">
        <v>0</v>
      </c>
      <c r="R1196" s="214">
        <v>0</v>
      </c>
      <c r="S1196" s="214">
        <v>0</v>
      </c>
      <c r="T1196" s="214">
        <v>0</v>
      </c>
      <c r="U1196" s="214">
        <v>0</v>
      </c>
      <c r="V1196" s="214">
        <v>0</v>
      </c>
      <c r="W1196" s="214">
        <v>0</v>
      </c>
      <c r="X1196" s="214">
        <v>0</v>
      </c>
      <c r="Y1196" s="214">
        <v>0</v>
      </c>
      <c r="Z1196" s="214">
        <v>0</v>
      </c>
      <c r="AA1196" s="214">
        <v>0</v>
      </c>
      <c r="AB1196" s="214">
        <v>0</v>
      </c>
      <c r="AC1196" s="214">
        <v>0</v>
      </c>
      <c r="AD1196" s="215"/>
      <c r="AE1196" s="420">
        <v>0</v>
      </c>
      <c r="AF1196" s="420">
        <v>0</v>
      </c>
      <c r="AG1196" s="420">
        <v>0</v>
      </c>
      <c r="AH1196" s="420"/>
      <c r="AI1196" s="574">
        <f t="shared" si="30"/>
        <v>0</v>
      </c>
      <c r="AJ1196" s="212"/>
    </row>
    <row r="1197" spans="2:36" ht="14.4">
      <c r="B1197" s="211"/>
      <c r="C1197" s="213" t="s">
        <v>80</v>
      </c>
      <c r="D1197" s="214">
        <v>0</v>
      </c>
      <c r="E1197" s="214">
        <v>0</v>
      </c>
      <c r="F1197" s="214">
        <v>0</v>
      </c>
      <c r="G1197" s="214">
        <v>0</v>
      </c>
      <c r="H1197" s="214">
        <v>0</v>
      </c>
      <c r="I1197" s="214">
        <v>0</v>
      </c>
      <c r="J1197" s="214">
        <v>0</v>
      </c>
      <c r="K1197" s="214">
        <v>0</v>
      </c>
      <c r="L1197" s="214">
        <v>0</v>
      </c>
      <c r="M1197" s="214">
        <v>0</v>
      </c>
      <c r="N1197" s="214">
        <v>0</v>
      </c>
      <c r="O1197" s="214">
        <v>0</v>
      </c>
      <c r="P1197" s="214">
        <v>0</v>
      </c>
      <c r="Q1197" s="214">
        <v>0</v>
      </c>
      <c r="R1197" s="214">
        <v>0</v>
      </c>
      <c r="S1197" s="214">
        <v>0</v>
      </c>
      <c r="T1197" s="214">
        <v>0</v>
      </c>
      <c r="U1197" s="214">
        <v>0</v>
      </c>
      <c r="V1197" s="214">
        <v>0</v>
      </c>
      <c r="W1197" s="214">
        <v>0</v>
      </c>
      <c r="X1197" s="214">
        <v>0</v>
      </c>
      <c r="Y1197" s="214">
        <v>0</v>
      </c>
      <c r="Z1197" s="214">
        <v>0</v>
      </c>
      <c r="AA1197" s="214">
        <v>0</v>
      </c>
      <c r="AB1197" s="214">
        <v>0</v>
      </c>
      <c r="AC1197" s="214">
        <v>0</v>
      </c>
      <c r="AD1197" s="215"/>
      <c r="AE1197" s="420">
        <v>0</v>
      </c>
      <c r="AF1197" s="420">
        <v>0</v>
      </c>
      <c r="AG1197" s="420">
        <v>0</v>
      </c>
      <c r="AH1197" s="420"/>
      <c r="AI1197" s="574">
        <f t="shared" si="30"/>
        <v>0</v>
      </c>
      <c r="AJ1197" s="212"/>
    </row>
    <row r="1198" spans="2:36" ht="14.4">
      <c r="B1198" s="211"/>
      <c r="C1198" s="213" t="s">
        <v>81</v>
      </c>
      <c r="D1198" s="214">
        <v>0</v>
      </c>
      <c r="E1198" s="214">
        <v>0</v>
      </c>
      <c r="F1198" s="214">
        <v>0</v>
      </c>
      <c r="G1198" s="214">
        <v>0</v>
      </c>
      <c r="H1198" s="214">
        <v>0</v>
      </c>
      <c r="I1198" s="214">
        <v>0</v>
      </c>
      <c r="J1198" s="214">
        <v>0</v>
      </c>
      <c r="K1198" s="214">
        <v>0</v>
      </c>
      <c r="L1198" s="214">
        <v>0</v>
      </c>
      <c r="M1198" s="214">
        <v>0</v>
      </c>
      <c r="N1198" s="214">
        <v>0</v>
      </c>
      <c r="O1198" s="214">
        <v>0</v>
      </c>
      <c r="P1198" s="214">
        <v>0</v>
      </c>
      <c r="Q1198" s="214">
        <v>0</v>
      </c>
      <c r="R1198" s="214">
        <v>0</v>
      </c>
      <c r="S1198" s="214">
        <v>0</v>
      </c>
      <c r="T1198" s="214">
        <v>0</v>
      </c>
      <c r="U1198" s="214">
        <v>0</v>
      </c>
      <c r="V1198" s="214">
        <v>0</v>
      </c>
      <c r="W1198" s="214">
        <v>0</v>
      </c>
      <c r="X1198" s="214">
        <v>0</v>
      </c>
      <c r="Y1198" s="214">
        <v>0</v>
      </c>
      <c r="Z1198" s="214">
        <v>0</v>
      </c>
      <c r="AA1198" s="214">
        <v>0</v>
      </c>
      <c r="AB1198" s="214">
        <v>0</v>
      </c>
      <c r="AC1198" s="214">
        <v>0</v>
      </c>
      <c r="AD1198" s="215"/>
      <c r="AE1198" s="420">
        <v>0</v>
      </c>
      <c r="AF1198" s="420">
        <v>0</v>
      </c>
      <c r="AG1198" s="420">
        <v>0</v>
      </c>
      <c r="AH1198" s="420"/>
      <c r="AI1198" s="574">
        <f t="shared" si="30"/>
        <v>0</v>
      </c>
      <c r="AJ1198" s="212"/>
    </row>
    <row r="1199" spans="2:36" ht="14.4">
      <c r="B1199" s="211"/>
      <c r="C1199" s="213" t="s">
        <v>82</v>
      </c>
      <c r="D1199" s="214">
        <v>0</v>
      </c>
      <c r="E1199" s="214">
        <v>0</v>
      </c>
      <c r="F1199" s="214">
        <v>0</v>
      </c>
      <c r="G1199" s="214">
        <v>0</v>
      </c>
      <c r="H1199" s="214">
        <v>0</v>
      </c>
      <c r="I1199" s="214">
        <v>0</v>
      </c>
      <c r="J1199" s="214">
        <v>0</v>
      </c>
      <c r="K1199" s="214">
        <v>0</v>
      </c>
      <c r="L1199" s="214">
        <v>0</v>
      </c>
      <c r="M1199" s="214">
        <v>0</v>
      </c>
      <c r="N1199" s="214">
        <v>0</v>
      </c>
      <c r="O1199" s="214">
        <v>0</v>
      </c>
      <c r="P1199" s="214">
        <v>0</v>
      </c>
      <c r="Q1199" s="214">
        <v>0</v>
      </c>
      <c r="R1199" s="214">
        <v>0</v>
      </c>
      <c r="S1199" s="214">
        <v>0</v>
      </c>
      <c r="T1199" s="214">
        <v>0</v>
      </c>
      <c r="U1199" s="214">
        <v>0</v>
      </c>
      <c r="V1199" s="214">
        <v>0</v>
      </c>
      <c r="W1199" s="214">
        <v>0</v>
      </c>
      <c r="X1199" s="214">
        <v>0</v>
      </c>
      <c r="Y1199" s="214">
        <v>0</v>
      </c>
      <c r="Z1199" s="214">
        <v>0</v>
      </c>
      <c r="AA1199" s="214">
        <v>0</v>
      </c>
      <c r="AB1199" s="214">
        <v>0</v>
      </c>
      <c r="AC1199" s="214">
        <v>0</v>
      </c>
      <c r="AD1199" s="215"/>
      <c r="AE1199" s="420">
        <v>0</v>
      </c>
      <c r="AF1199" s="420">
        <v>0</v>
      </c>
      <c r="AG1199" s="420">
        <v>0</v>
      </c>
      <c r="AH1199" s="420"/>
      <c r="AI1199" s="574">
        <f t="shared" si="30"/>
        <v>0</v>
      </c>
      <c r="AJ1199" s="212"/>
    </row>
    <row r="1200" spans="2:36" ht="14.4">
      <c r="B1200" s="211"/>
      <c r="C1200" s="213" t="s">
        <v>83</v>
      </c>
      <c r="D1200" s="214">
        <v>0</v>
      </c>
      <c r="E1200" s="214">
        <v>0</v>
      </c>
      <c r="F1200" s="214">
        <v>0</v>
      </c>
      <c r="G1200" s="214">
        <v>0</v>
      </c>
      <c r="H1200" s="214">
        <v>0</v>
      </c>
      <c r="I1200" s="214">
        <v>0</v>
      </c>
      <c r="J1200" s="214">
        <v>0</v>
      </c>
      <c r="K1200" s="214">
        <v>0</v>
      </c>
      <c r="L1200" s="214">
        <v>0</v>
      </c>
      <c r="M1200" s="214">
        <v>0</v>
      </c>
      <c r="N1200" s="214">
        <v>0</v>
      </c>
      <c r="O1200" s="214">
        <v>0</v>
      </c>
      <c r="P1200" s="214">
        <v>0</v>
      </c>
      <c r="Q1200" s="214">
        <v>0</v>
      </c>
      <c r="R1200" s="214">
        <v>0</v>
      </c>
      <c r="S1200" s="214">
        <v>0</v>
      </c>
      <c r="T1200" s="214">
        <v>0</v>
      </c>
      <c r="U1200" s="214">
        <v>0</v>
      </c>
      <c r="V1200" s="214">
        <v>0</v>
      </c>
      <c r="W1200" s="214">
        <v>0</v>
      </c>
      <c r="X1200" s="214">
        <v>0</v>
      </c>
      <c r="Y1200" s="214">
        <v>0</v>
      </c>
      <c r="Z1200" s="214">
        <v>0</v>
      </c>
      <c r="AA1200" s="214">
        <v>0</v>
      </c>
      <c r="AB1200" s="214">
        <v>0</v>
      </c>
      <c r="AC1200" s="214">
        <v>0</v>
      </c>
      <c r="AD1200" s="215"/>
      <c r="AE1200" s="420">
        <v>0</v>
      </c>
      <c r="AF1200" s="420">
        <v>0</v>
      </c>
      <c r="AG1200" s="420">
        <v>0</v>
      </c>
      <c r="AH1200" s="420"/>
      <c r="AI1200" s="574">
        <f t="shared" si="30"/>
        <v>0</v>
      </c>
      <c r="AJ1200" s="212"/>
    </row>
    <row r="1201" spans="2:36" ht="14.4">
      <c r="B1201" s="211"/>
      <c r="C1201" s="213" t="s">
        <v>84</v>
      </c>
      <c r="D1201" s="214">
        <v>0</v>
      </c>
      <c r="E1201" s="214">
        <v>0</v>
      </c>
      <c r="F1201" s="214">
        <v>0</v>
      </c>
      <c r="G1201" s="214">
        <v>0</v>
      </c>
      <c r="H1201" s="214">
        <v>0</v>
      </c>
      <c r="I1201" s="214">
        <v>0</v>
      </c>
      <c r="J1201" s="214">
        <v>0</v>
      </c>
      <c r="K1201" s="214">
        <v>0</v>
      </c>
      <c r="L1201" s="214">
        <v>0</v>
      </c>
      <c r="M1201" s="214">
        <v>0</v>
      </c>
      <c r="N1201" s="214">
        <v>0</v>
      </c>
      <c r="O1201" s="214">
        <v>0</v>
      </c>
      <c r="P1201" s="214">
        <v>0</v>
      </c>
      <c r="Q1201" s="214">
        <v>0</v>
      </c>
      <c r="R1201" s="214">
        <v>0</v>
      </c>
      <c r="S1201" s="214">
        <v>0</v>
      </c>
      <c r="T1201" s="214">
        <v>0</v>
      </c>
      <c r="U1201" s="214">
        <v>0</v>
      </c>
      <c r="V1201" s="214">
        <v>0</v>
      </c>
      <c r="W1201" s="214">
        <v>0</v>
      </c>
      <c r="X1201" s="214">
        <v>0</v>
      </c>
      <c r="Y1201" s="214">
        <v>0</v>
      </c>
      <c r="Z1201" s="214">
        <v>0</v>
      </c>
      <c r="AA1201" s="214">
        <v>0</v>
      </c>
      <c r="AB1201" s="214">
        <v>0</v>
      </c>
      <c r="AC1201" s="214">
        <v>0</v>
      </c>
      <c r="AD1201" s="215"/>
      <c r="AE1201" s="420">
        <v>0</v>
      </c>
      <c r="AF1201" s="420">
        <v>0</v>
      </c>
      <c r="AG1201" s="420">
        <v>0</v>
      </c>
      <c r="AH1201" s="420"/>
      <c r="AI1201" s="574">
        <f t="shared" si="30"/>
        <v>0</v>
      </c>
      <c r="AJ1201" s="212"/>
    </row>
    <row r="1202" spans="2:36" ht="14.4">
      <c r="B1202" s="211"/>
      <c r="C1202" s="213" t="s">
        <v>85</v>
      </c>
      <c r="D1202" s="214">
        <v>0</v>
      </c>
      <c r="E1202" s="214">
        <v>200</v>
      </c>
      <c r="F1202" s="214">
        <v>200</v>
      </c>
      <c r="G1202" s="214">
        <v>10184</v>
      </c>
      <c r="H1202" s="214">
        <v>200</v>
      </c>
      <c r="I1202" s="214">
        <v>23085</v>
      </c>
      <c r="J1202" s="214">
        <v>200</v>
      </c>
      <c r="K1202" s="214">
        <v>200</v>
      </c>
      <c r="L1202" s="214">
        <v>200</v>
      </c>
      <c r="M1202" s="214">
        <v>200</v>
      </c>
      <c r="N1202" s="214">
        <v>200</v>
      </c>
      <c r="O1202" s="214">
        <v>200</v>
      </c>
      <c r="P1202" s="214">
        <v>200</v>
      </c>
      <c r="Q1202" s="214">
        <v>200</v>
      </c>
      <c r="R1202" s="214">
        <v>0</v>
      </c>
      <c r="S1202" s="214">
        <v>200</v>
      </c>
      <c r="T1202" s="214">
        <v>0</v>
      </c>
      <c r="U1202" s="214">
        <v>200</v>
      </c>
      <c r="V1202" s="214">
        <v>200</v>
      </c>
      <c r="W1202" s="214">
        <v>200</v>
      </c>
      <c r="X1202" s="214">
        <v>8085</v>
      </c>
      <c r="Y1202" s="214">
        <v>200</v>
      </c>
      <c r="Z1202" s="214">
        <v>200</v>
      </c>
      <c r="AA1202" s="214">
        <v>200</v>
      </c>
      <c r="AB1202" s="214">
        <v>0</v>
      </c>
      <c r="AC1202" s="214">
        <v>200</v>
      </c>
      <c r="AD1202" s="215"/>
      <c r="AE1202" s="420">
        <v>200</v>
      </c>
      <c r="AF1202" s="420">
        <v>776.75</v>
      </c>
      <c r="AG1202" s="420">
        <v>200</v>
      </c>
      <c r="AH1202" s="420"/>
      <c r="AI1202" s="574">
        <f t="shared" si="30"/>
        <v>46330.75</v>
      </c>
      <c r="AJ1202" s="212"/>
    </row>
    <row r="1203" spans="2:36" ht="14.4">
      <c r="B1203" s="211"/>
      <c r="C1203" s="213" t="s">
        <v>86</v>
      </c>
      <c r="D1203" s="214">
        <v>0</v>
      </c>
      <c r="E1203" s="214">
        <v>0</v>
      </c>
      <c r="F1203" s="214">
        <v>0</v>
      </c>
      <c r="G1203" s="214">
        <v>0</v>
      </c>
      <c r="H1203" s="214">
        <v>0</v>
      </c>
      <c r="I1203" s="214">
        <v>0</v>
      </c>
      <c r="J1203" s="214">
        <v>0</v>
      </c>
      <c r="K1203" s="214">
        <v>0</v>
      </c>
      <c r="L1203" s="214">
        <v>0</v>
      </c>
      <c r="M1203" s="214">
        <v>0</v>
      </c>
      <c r="N1203" s="214">
        <v>0</v>
      </c>
      <c r="O1203" s="214">
        <v>0</v>
      </c>
      <c r="P1203" s="214">
        <v>0</v>
      </c>
      <c r="Q1203" s="214">
        <v>0</v>
      </c>
      <c r="R1203" s="214">
        <v>0</v>
      </c>
      <c r="S1203" s="214">
        <v>0</v>
      </c>
      <c r="T1203" s="214">
        <v>0</v>
      </c>
      <c r="U1203" s="214">
        <v>0</v>
      </c>
      <c r="V1203" s="214">
        <v>0</v>
      </c>
      <c r="W1203" s="214">
        <v>0</v>
      </c>
      <c r="X1203" s="214">
        <v>0</v>
      </c>
      <c r="Y1203" s="214">
        <v>0</v>
      </c>
      <c r="Z1203" s="214">
        <v>0</v>
      </c>
      <c r="AA1203" s="214">
        <v>0</v>
      </c>
      <c r="AB1203" s="214">
        <v>0</v>
      </c>
      <c r="AC1203" s="214">
        <v>0</v>
      </c>
      <c r="AD1203" s="215"/>
      <c r="AE1203" s="420">
        <v>0</v>
      </c>
      <c r="AF1203" s="420">
        <v>0</v>
      </c>
      <c r="AG1203" s="420">
        <v>0</v>
      </c>
      <c r="AH1203" s="420"/>
      <c r="AI1203" s="574">
        <f t="shared" si="30"/>
        <v>0</v>
      </c>
      <c r="AJ1203" s="212"/>
    </row>
    <row r="1204" spans="2:36" ht="14.4">
      <c r="B1204" s="211"/>
      <c r="C1204" s="213" t="s">
        <v>87</v>
      </c>
      <c r="D1204" s="214">
        <v>0</v>
      </c>
      <c r="E1204" s="214">
        <v>0</v>
      </c>
      <c r="F1204" s="214">
        <v>0</v>
      </c>
      <c r="G1204" s="214">
        <v>0</v>
      </c>
      <c r="H1204" s="214">
        <v>0</v>
      </c>
      <c r="I1204" s="214">
        <v>1200</v>
      </c>
      <c r="J1204" s="214">
        <v>0</v>
      </c>
      <c r="K1204" s="214">
        <v>0</v>
      </c>
      <c r="L1204" s="214">
        <v>0</v>
      </c>
      <c r="M1204" s="214">
        <v>0</v>
      </c>
      <c r="N1204" s="214">
        <v>0</v>
      </c>
      <c r="O1204" s="214">
        <v>0</v>
      </c>
      <c r="P1204" s="214">
        <v>0</v>
      </c>
      <c r="Q1204" s="214">
        <v>0</v>
      </c>
      <c r="R1204" s="214">
        <v>0</v>
      </c>
      <c r="S1204" s="214">
        <v>0</v>
      </c>
      <c r="T1204" s="214">
        <v>0</v>
      </c>
      <c r="U1204" s="214">
        <v>0</v>
      </c>
      <c r="V1204" s="214">
        <v>0</v>
      </c>
      <c r="W1204" s="214">
        <v>0</v>
      </c>
      <c r="X1204" s="214">
        <v>0</v>
      </c>
      <c r="Y1204" s="214">
        <v>0</v>
      </c>
      <c r="Z1204" s="214">
        <v>0</v>
      </c>
      <c r="AA1204" s="214">
        <v>0</v>
      </c>
      <c r="AB1204" s="214">
        <v>0</v>
      </c>
      <c r="AC1204" s="214">
        <v>0</v>
      </c>
      <c r="AD1204" s="215"/>
      <c r="AE1204" s="420">
        <v>0</v>
      </c>
      <c r="AF1204" s="420">
        <v>0</v>
      </c>
      <c r="AG1204" s="420">
        <v>0</v>
      </c>
      <c r="AH1204" s="420"/>
      <c r="AI1204" s="574">
        <f t="shared" si="30"/>
        <v>1200</v>
      </c>
      <c r="AJ1204" s="212"/>
    </row>
    <row r="1205" spans="2:36" ht="14.4">
      <c r="B1205" s="211"/>
      <c r="C1205" s="213" t="s">
        <v>88</v>
      </c>
      <c r="D1205" s="214">
        <v>0</v>
      </c>
      <c r="E1205" s="214">
        <v>0</v>
      </c>
      <c r="F1205" s="214">
        <v>0</v>
      </c>
      <c r="G1205" s="214">
        <v>0</v>
      </c>
      <c r="H1205" s="214">
        <v>0</v>
      </c>
      <c r="I1205" s="214">
        <v>0</v>
      </c>
      <c r="J1205" s="214">
        <v>0</v>
      </c>
      <c r="K1205" s="214">
        <v>0</v>
      </c>
      <c r="L1205" s="214">
        <v>0</v>
      </c>
      <c r="M1205" s="214">
        <v>0</v>
      </c>
      <c r="N1205" s="214">
        <v>0</v>
      </c>
      <c r="O1205" s="214">
        <v>0</v>
      </c>
      <c r="P1205" s="214">
        <v>0</v>
      </c>
      <c r="Q1205" s="214">
        <v>0</v>
      </c>
      <c r="R1205" s="214">
        <v>0</v>
      </c>
      <c r="S1205" s="214">
        <v>0</v>
      </c>
      <c r="T1205" s="214">
        <v>0</v>
      </c>
      <c r="U1205" s="214">
        <v>0</v>
      </c>
      <c r="V1205" s="214">
        <v>0</v>
      </c>
      <c r="W1205" s="214">
        <v>0</v>
      </c>
      <c r="X1205" s="214">
        <v>0</v>
      </c>
      <c r="Y1205" s="214">
        <v>0</v>
      </c>
      <c r="Z1205" s="214">
        <v>0</v>
      </c>
      <c r="AA1205" s="214">
        <v>0</v>
      </c>
      <c r="AB1205" s="214">
        <v>0</v>
      </c>
      <c r="AC1205" s="214">
        <v>0</v>
      </c>
      <c r="AD1205" s="215"/>
      <c r="AE1205" s="420">
        <v>0</v>
      </c>
      <c r="AF1205" s="420">
        <v>0</v>
      </c>
      <c r="AG1205" s="420">
        <v>0</v>
      </c>
      <c r="AH1205" s="420"/>
      <c r="AI1205" s="574">
        <f t="shared" si="30"/>
        <v>0</v>
      </c>
      <c r="AJ1205" s="212"/>
    </row>
    <row r="1206" spans="2:36" ht="14.4">
      <c r="B1206" s="211"/>
      <c r="C1206" s="213" t="s">
        <v>89</v>
      </c>
      <c r="D1206" s="214">
        <v>100</v>
      </c>
      <c r="E1206" s="214">
        <v>0</v>
      </c>
      <c r="F1206" s="214">
        <v>0</v>
      </c>
      <c r="G1206" s="214">
        <v>0</v>
      </c>
      <c r="H1206" s="214">
        <v>0</v>
      </c>
      <c r="I1206" s="214">
        <v>0</v>
      </c>
      <c r="J1206" s="214">
        <v>0</v>
      </c>
      <c r="K1206" s="214">
        <v>0</v>
      </c>
      <c r="L1206" s="214">
        <v>0</v>
      </c>
      <c r="M1206" s="214">
        <v>0</v>
      </c>
      <c r="N1206" s="214">
        <v>0</v>
      </c>
      <c r="O1206" s="214">
        <v>0</v>
      </c>
      <c r="P1206" s="214">
        <v>0</v>
      </c>
      <c r="Q1206" s="214">
        <v>0</v>
      </c>
      <c r="R1206" s="214">
        <v>0</v>
      </c>
      <c r="S1206" s="214">
        <v>0</v>
      </c>
      <c r="T1206" s="214">
        <v>0</v>
      </c>
      <c r="U1206" s="214">
        <v>0</v>
      </c>
      <c r="V1206" s="214">
        <v>0</v>
      </c>
      <c r="W1206" s="214">
        <v>0</v>
      </c>
      <c r="X1206" s="214">
        <v>0</v>
      </c>
      <c r="Y1206" s="214">
        <v>0</v>
      </c>
      <c r="Z1206" s="214">
        <v>0</v>
      </c>
      <c r="AA1206" s="214">
        <v>0</v>
      </c>
      <c r="AB1206" s="214">
        <v>0</v>
      </c>
      <c r="AC1206" s="214">
        <v>0</v>
      </c>
      <c r="AD1206" s="215"/>
      <c r="AE1206" s="420">
        <v>0</v>
      </c>
      <c r="AF1206" s="420">
        <v>0</v>
      </c>
      <c r="AG1206" s="420">
        <v>0</v>
      </c>
      <c r="AH1206" s="420"/>
      <c r="AI1206" s="574">
        <f t="shared" si="30"/>
        <v>100</v>
      </c>
      <c r="AJ1206" s="212"/>
    </row>
    <row r="1207" spans="2:36" ht="14.4">
      <c r="B1207" s="211"/>
      <c r="C1207" s="213" t="s">
        <v>33</v>
      </c>
      <c r="D1207" s="214">
        <v>950</v>
      </c>
      <c r="E1207" s="214">
        <v>1335.76</v>
      </c>
      <c r="F1207" s="214">
        <v>1335.76</v>
      </c>
      <c r="G1207" s="214">
        <v>1335.76</v>
      </c>
      <c r="H1207" s="214">
        <v>2335.7600000000002</v>
      </c>
      <c r="I1207" s="214">
        <v>1000</v>
      </c>
      <c r="J1207" s="214">
        <v>1075.76</v>
      </c>
      <c r="K1207" s="214">
        <v>1075.76</v>
      </c>
      <c r="L1207" s="214">
        <v>1075.76</v>
      </c>
      <c r="M1207" s="214">
        <v>260</v>
      </c>
      <c r="N1207" s="214">
        <v>1075.76</v>
      </c>
      <c r="O1207" s="214">
        <v>260</v>
      </c>
      <c r="P1207" s="214">
        <v>1335.76</v>
      </c>
      <c r="Q1207" s="214">
        <v>1325.76</v>
      </c>
      <c r="R1207" s="214">
        <v>1335.76</v>
      </c>
      <c r="S1207" s="214">
        <v>1335.76</v>
      </c>
      <c r="T1207" s="214">
        <v>0</v>
      </c>
      <c r="U1207" s="214">
        <v>0</v>
      </c>
      <c r="V1207" s="214">
        <v>0</v>
      </c>
      <c r="W1207" s="214">
        <v>0</v>
      </c>
      <c r="X1207" s="214">
        <v>0</v>
      </c>
      <c r="Y1207" s="214">
        <v>1075.76</v>
      </c>
      <c r="Z1207" s="214">
        <v>1075.76</v>
      </c>
      <c r="AA1207" s="214">
        <v>1075.76</v>
      </c>
      <c r="AB1207" s="214">
        <v>1075.76</v>
      </c>
      <c r="AC1207" s="214">
        <v>1075.76</v>
      </c>
      <c r="AD1207" s="215"/>
      <c r="AE1207" s="420">
        <v>1335.76</v>
      </c>
      <c r="AF1207" s="420">
        <v>1075.76</v>
      </c>
      <c r="AG1207" s="420">
        <v>1075.76</v>
      </c>
      <c r="AH1207" s="420"/>
      <c r="AI1207" s="574">
        <f t="shared" si="30"/>
        <v>27315.199999999986</v>
      </c>
      <c r="AJ1207" s="212"/>
    </row>
    <row r="1208" spans="2:36" ht="14.4">
      <c r="B1208" s="211"/>
      <c r="C1208" s="213" t="s">
        <v>90</v>
      </c>
      <c r="D1208" s="214">
        <v>0</v>
      </c>
      <c r="E1208" s="214">
        <v>0</v>
      </c>
      <c r="F1208" s="214">
        <v>0</v>
      </c>
      <c r="G1208" s="214">
        <v>0</v>
      </c>
      <c r="H1208" s="214">
        <v>0</v>
      </c>
      <c r="I1208" s="214">
        <v>0</v>
      </c>
      <c r="J1208" s="214">
        <v>0</v>
      </c>
      <c r="K1208" s="214">
        <v>0</v>
      </c>
      <c r="L1208" s="214">
        <v>0</v>
      </c>
      <c r="M1208" s="214">
        <v>0</v>
      </c>
      <c r="N1208" s="214">
        <v>0</v>
      </c>
      <c r="O1208" s="214">
        <v>0</v>
      </c>
      <c r="P1208" s="214">
        <v>0</v>
      </c>
      <c r="Q1208" s="214">
        <v>0</v>
      </c>
      <c r="R1208" s="214">
        <v>0</v>
      </c>
      <c r="S1208" s="214">
        <v>0</v>
      </c>
      <c r="T1208" s="214">
        <v>0</v>
      </c>
      <c r="U1208" s="214">
        <v>0</v>
      </c>
      <c r="V1208" s="214">
        <v>0</v>
      </c>
      <c r="W1208" s="214">
        <v>0</v>
      </c>
      <c r="X1208" s="214">
        <v>0</v>
      </c>
      <c r="Y1208" s="214">
        <v>0</v>
      </c>
      <c r="Z1208" s="214">
        <v>0</v>
      </c>
      <c r="AA1208" s="214">
        <v>0</v>
      </c>
      <c r="AB1208" s="214">
        <v>0</v>
      </c>
      <c r="AC1208" s="214">
        <v>0</v>
      </c>
      <c r="AD1208" s="215"/>
      <c r="AE1208" s="420">
        <v>0</v>
      </c>
      <c r="AF1208" s="420">
        <v>0</v>
      </c>
      <c r="AG1208" s="420">
        <v>0</v>
      </c>
      <c r="AH1208" s="420"/>
      <c r="AI1208" s="574">
        <f t="shared" si="30"/>
        <v>0</v>
      </c>
      <c r="AJ1208" s="212"/>
    </row>
    <row r="1209" spans="2:36" ht="14.4">
      <c r="B1209" s="211"/>
      <c r="C1209" s="213" t="s">
        <v>91</v>
      </c>
      <c r="D1209" s="214">
        <v>0</v>
      </c>
      <c r="E1209" s="214">
        <v>0</v>
      </c>
      <c r="F1209" s="214">
        <v>0</v>
      </c>
      <c r="G1209" s="214">
        <v>0</v>
      </c>
      <c r="H1209" s="214">
        <v>0</v>
      </c>
      <c r="I1209" s="214">
        <v>0</v>
      </c>
      <c r="J1209" s="214">
        <v>0</v>
      </c>
      <c r="K1209" s="214">
        <v>0</v>
      </c>
      <c r="L1209" s="214">
        <v>0</v>
      </c>
      <c r="M1209" s="214">
        <v>0</v>
      </c>
      <c r="N1209" s="214">
        <v>0</v>
      </c>
      <c r="O1209" s="214">
        <v>0</v>
      </c>
      <c r="P1209" s="214">
        <v>0</v>
      </c>
      <c r="Q1209" s="214">
        <v>0</v>
      </c>
      <c r="R1209" s="214">
        <v>0</v>
      </c>
      <c r="S1209" s="214">
        <v>0</v>
      </c>
      <c r="T1209" s="214">
        <v>0</v>
      </c>
      <c r="U1209" s="214">
        <v>0</v>
      </c>
      <c r="V1209" s="214">
        <v>0</v>
      </c>
      <c r="W1209" s="214">
        <v>0</v>
      </c>
      <c r="X1209" s="214">
        <v>0</v>
      </c>
      <c r="Y1209" s="214">
        <v>0</v>
      </c>
      <c r="Z1209" s="214">
        <v>0</v>
      </c>
      <c r="AA1209" s="214">
        <v>0</v>
      </c>
      <c r="AB1209" s="214">
        <v>0</v>
      </c>
      <c r="AC1209" s="214">
        <v>0</v>
      </c>
      <c r="AD1209" s="215"/>
      <c r="AE1209" s="420">
        <v>0</v>
      </c>
      <c r="AF1209" s="420">
        <v>0</v>
      </c>
      <c r="AG1209" s="420">
        <v>0</v>
      </c>
      <c r="AH1209" s="420"/>
      <c r="AI1209" s="574">
        <f t="shared" ref="AI1209:AI1255" si="31">SUM(D1209:AH1209)</f>
        <v>0</v>
      </c>
      <c r="AJ1209" s="212"/>
    </row>
    <row r="1210" spans="2:36" ht="14.4">
      <c r="B1210" s="211"/>
      <c r="C1210" s="213" t="s">
        <v>92</v>
      </c>
      <c r="D1210" s="214">
        <v>0</v>
      </c>
      <c r="E1210" s="214">
        <v>0</v>
      </c>
      <c r="F1210" s="214">
        <v>0</v>
      </c>
      <c r="G1210" s="214">
        <v>0</v>
      </c>
      <c r="H1210" s="214">
        <v>0</v>
      </c>
      <c r="I1210" s="214">
        <v>0</v>
      </c>
      <c r="J1210" s="214">
        <v>0</v>
      </c>
      <c r="K1210" s="214">
        <v>0</v>
      </c>
      <c r="L1210" s="214">
        <v>0</v>
      </c>
      <c r="M1210" s="214">
        <v>0</v>
      </c>
      <c r="N1210" s="214">
        <v>0</v>
      </c>
      <c r="O1210" s="214">
        <v>0</v>
      </c>
      <c r="P1210" s="214">
        <v>0</v>
      </c>
      <c r="Q1210" s="214">
        <v>0</v>
      </c>
      <c r="R1210" s="214">
        <v>0</v>
      </c>
      <c r="S1210" s="214">
        <v>0</v>
      </c>
      <c r="T1210" s="214">
        <v>0</v>
      </c>
      <c r="U1210" s="214">
        <v>0</v>
      </c>
      <c r="V1210" s="214">
        <v>0</v>
      </c>
      <c r="W1210" s="214">
        <v>0</v>
      </c>
      <c r="X1210" s="214">
        <v>0</v>
      </c>
      <c r="Y1210" s="214">
        <v>0</v>
      </c>
      <c r="Z1210" s="214">
        <v>0</v>
      </c>
      <c r="AA1210" s="214">
        <v>0</v>
      </c>
      <c r="AB1210" s="214">
        <v>0</v>
      </c>
      <c r="AC1210" s="214">
        <v>0</v>
      </c>
      <c r="AD1210" s="215"/>
      <c r="AE1210" s="420">
        <v>0</v>
      </c>
      <c r="AF1210" s="420">
        <v>0</v>
      </c>
      <c r="AG1210" s="420">
        <v>0</v>
      </c>
      <c r="AH1210" s="420"/>
      <c r="AI1210" s="574">
        <f t="shared" si="31"/>
        <v>0</v>
      </c>
      <c r="AJ1210" s="212"/>
    </row>
    <row r="1211" spans="2:36" ht="14.4">
      <c r="B1211" s="211"/>
      <c r="C1211" s="213" t="s">
        <v>93</v>
      </c>
      <c r="D1211" s="214">
        <v>0</v>
      </c>
      <c r="E1211" s="214">
        <v>0</v>
      </c>
      <c r="F1211" s="214">
        <v>0</v>
      </c>
      <c r="G1211" s="214">
        <v>0</v>
      </c>
      <c r="H1211" s="214">
        <v>0</v>
      </c>
      <c r="I1211" s="214">
        <v>0</v>
      </c>
      <c r="J1211" s="214">
        <v>0</v>
      </c>
      <c r="K1211" s="214">
        <v>0</v>
      </c>
      <c r="L1211" s="214">
        <v>0</v>
      </c>
      <c r="M1211" s="214">
        <v>0</v>
      </c>
      <c r="N1211" s="214">
        <v>0</v>
      </c>
      <c r="O1211" s="214">
        <v>0</v>
      </c>
      <c r="P1211" s="214">
        <v>0</v>
      </c>
      <c r="Q1211" s="214">
        <v>0</v>
      </c>
      <c r="R1211" s="214">
        <v>0</v>
      </c>
      <c r="S1211" s="214">
        <v>0</v>
      </c>
      <c r="T1211" s="214">
        <v>0</v>
      </c>
      <c r="U1211" s="214">
        <v>0</v>
      </c>
      <c r="V1211" s="214">
        <v>0</v>
      </c>
      <c r="W1211" s="214">
        <v>0</v>
      </c>
      <c r="X1211" s="214">
        <v>0</v>
      </c>
      <c r="Y1211" s="214">
        <v>0</v>
      </c>
      <c r="Z1211" s="214">
        <v>0</v>
      </c>
      <c r="AA1211" s="214">
        <v>0</v>
      </c>
      <c r="AB1211" s="214">
        <v>0</v>
      </c>
      <c r="AC1211" s="214">
        <v>0</v>
      </c>
      <c r="AD1211" s="215"/>
      <c r="AE1211" s="420">
        <v>0</v>
      </c>
      <c r="AF1211" s="420">
        <v>0</v>
      </c>
      <c r="AG1211" s="420">
        <v>0</v>
      </c>
      <c r="AH1211" s="420"/>
      <c r="AI1211" s="574">
        <f t="shared" si="31"/>
        <v>0</v>
      </c>
      <c r="AJ1211" s="212"/>
    </row>
    <row r="1212" spans="2:36" ht="14.4">
      <c r="B1212" s="211"/>
      <c r="C1212" s="213" t="s">
        <v>94</v>
      </c>
      <c r="D1212" s="214">
        <v>158650</v>
      </c>
      <c r="E1212" s="214">
        <v>7035</v>
      </c>
      <c r="F1212" s="214">
        <v>5500</v>
      </c>
      <c r="G1212" s="214">
        <v>19465</v>
      </c>
      <c r="H1212" s="214">
        <v>2500</v>
      </c>
      <c r="I1212" s="214">
        <v>750</v>
      </c>
      <c r="J1212" s="214">
        <v>0</v>
      </c>
      <c r="K1212" s="214">
        <v>0</v>
      </c>
      <c r="L1212" s="214">
        <v>0</v>
      </c>
      <c r="M1212" s="214">
        <v>2000</v>
      </c>
      <c r="N1212" s="214">
        <v>600</v>
      </c>
      <c r="O1212" s="214">
        <v>0</v>
      </c>
      <c r="P1212" s="214">
        <v>3000</v>
      </c>
      <c r="Q1212" s="214">
        <v>4150</v>
      </c>
      <c r="R1212" s="214">
        <v>2200</v>
      </c>
      <c r="S1212" s="214">
        <v>883</v>
      </c>
      <c r="T1212" s="214">
        <v>0</v>
      </c>
      <c r="U1212" s="214">
        <v>0</v>
      </c>
      <c r="V1212" s="214">
        <v>0</v>
      </c>
      <c r="W1212" s="214">
        <v>0</v>
      </c>
      <c r="X1212" s="214">
        <v>450</v>
      </c>
      <c r="Y1212" s="214">
        <v>0</v>
      </c>
      <c r="Z1212" s="214">
        <v>0</v>
      </c>
      <c r="AA1212" s="214">
        <v>0</v>
      </c>
      <c r="AB1212" s="214">
        <v>0</v>
      </c>
      <c r="AC1212" s="214">
        <v>0</v>
      </c>
      <c r="AD1212" s="215"/>
      <c r="AE1212" s="420">
        <v>3000</v>
      </c>
      <c r="AF1212" s="420">
        <v>0</v>
      </c>
      <c r="AG1212" s="420">
        <v>0</v>
      </c>
      <c r="AH1212" s="420"/>
      <c r="AI1212" s="574">
        <f t="shared" si="31"/>
        <v>210183</v>
      </c>
      <c r="AJ1212" s="212"/>
    </row>
    <row r="1213" spans="2:36" ht="14.4">
      <c r="B1213" s="211"/>
      <c r="C1213" s="213" t="s">
        <v>95</v>
      </c>
      <c r="D1213" s="214">
        <v>0</v>
      </c>
      <c r="E1213" s="214">
        <v>0</v>
      </c>
      <c r="F1213" s="214">
        <v>0</v>
      </c>
      <c r="G1213" s="214">
        <v>1150</v>
      </c>
      <c r="H1213" s="214">
        <v>0</v>
      </c>
      <c r="I1213" s="214">
        <v>0</v>
      </c>
      <c r="J1213" s="214">
        <v>0</v>
      </c>
      <c r="K1213" s="214">
        <v>0</v>
      </c>
      <c r="L1213" s="214">
        <v>0</v>
      </c>
      <c r="M1213" s="214">
        <v>0</v>
      </c>
      <c r="N1213" s="214">
        <v>0</v>
      </c>
      <c r="O1213" s="214">
        <v>0</v>
      </c>
      <c r="P1213" s="214">
        <v>500</v>
      </c>
      <c r="Q1213" s="214">
        <v>0</v>
      </c>
      <c r="R1213" s="214">
        <v>0</v>
      </c>
      <c r="S1213" s="214">
        <v>0</v>
      </c>
      <c r="T1213" s="214">
        <v>0</v>
      </c>
      <c r="U1213" s="214">
        <v>0</v>
      </c>
      <c r="V1213" s="214">
        <v>0</v>
      </c>
      <c r="W1213" s="214">
        <v>0</v>
      </c>
      <c r="X1213" s="214">
        <v>0</v>
      </c>
      <c r="Y1213" s="214">
        <v>0</v>
      </c>
      <c r="Z1213" s="214">
        <v>0</v>
      </c>
      <c r="AA1213" s="214">
        <v>0</v>
      </c>
      <c r="AB1213" s="214">
        <v>0</v>
      </c>
      <c r="AC1213" s="214">
        <v>0</v>
      </c>
      <c r="AD1213" s="215"/>
      <c r="AE1213" s="420">
        <v>0</v>
      </c>
      <c r="AF1213" s="420">
        <v>0</v>
      </c>
      <c r="AG1213" s="420">
        <v>0</v>
      </c>
      <c r="AH1213" s="420"/>
      <c r="AI1213" s="574">
        <f t="shared" si="31"/>
        <v>1650</v>
      </c>
      <c r="AJ1213" s="212"/>
    </row>
    <row r="1214" spans="2:36" ht="14.4">
      <c r="B1214" s="211"/>
      <c r="C1214" s="213" t="s">
        <v>96</v>
      </c>
      <c r="D1214" s="214">
        <v>0</v>
      </c>
      <c r="E1214" s="214">
        <v>0</v>
      </c>
      <c r="F1214" s="214">
        <v>0</v>
      </c>
      <c r="G1214" s="214">
        <v>0</v>
      </c>
      <c r="H1214" s="214">
        <v>0</v>
      </c>
      <c r="I1214" s="214">
        <v>0</v>
      </c>
      <c r="J1214" s="214">
        <v>0</v>
      </c>
      <c r="K1214" s="214">
        <v>0</v>
      </c>
      <c r="L1214" s="214">
        <v>0</v>
      </c>
      <c r="M1214" s="214">
        <v>0</v>
      </c>
      <c r="N1214" s="214">
        <v>0</v>
      </c>
      <c r="O1214" s="214">
        <v>0</v>
      </c>
      <c r="P1214" s="214">
        <v>0</v>
      </c>
      <c r="Q1214" s="214">
        <v>0</v>
      </c>
      <c r="R1214" s="214">
        <v>0</v>
      </c>
      <c r="S1214" s="214">
        <v>0</v>
      </c>
      <c r="T1214" s="214">
        <v>0</v>
      </c>
      <c r="U1214" s="214">
        <v>0</v>
      </c>
      <c r="V1214" s="214">
        <v>0</v>
      </c>
      <c r="W1214" s="214">
        <v>0</v>
      </c>
      <c r="X1214" s="214">
        <v>0</v>
      </c>
      <c r="Y1214" s="214">
        <v>0</v>
      </c>
      <c r="Z1214" s="214">
        <v>0</v>
      </c>
      <c r="AA1214" s="214">
        <v>0</v>
      </c>
      <c r="AB1214" s="214">
        <v>0</v>
      </c>
      <c r="AC1214" s="214">
        <v>0</v>
      </c>
      <c r="AD1214" s="215"/>
      <c r="AE1214" s="420">
        <v>0</v>
      </c>
      <c r="AF1214" s="420">
        <v>0</v>
      </c>
      <c r="AG1214" s="420">
        <v>0</v>
      </c>
      <c r="AH1214" s="420"/>
      <c r="AI1214" s="574">
        <f t="shared" si="31"/>
        <v>0</v>
      </c>
      <c r="AJ1214" s="212"/>
    </row>
    <row r="1215" spans="2:36" ht="14.4">
      <c r="B1215" s="211"/>
      <c r="C1215" s="213" t="s">
        <v>97</v>
      </c>
      <c r="D1215" s="214">
        <v>2327.8200000000002</v>
      </c>
      <c r="E1215" s="214">
        <v>0</v>
      </c>
      <c r="F1215" s="214">
        <v>70</v>
      </c>
      <c r="G1215" s="214">
        <v>101</v>
      </c>
      <c r="H1215" s="214">
        <v>823.96</v>
      </c>
      <c r="I1215" s="214">
        <v>400.96</v>
      </c>
      <c r="J1215" s="214">
        <v>474</v>
      </c>
      <c r="K1215" s="214">
        <v>400.96</v>
      </c>
      <c r="L1215" s="214">
        <v>0</v>
      </c>
      <c r="M1215" s="214">
        <v>808.24</v>
      </c>
      <c r="N1215" s="214">
        <v>400.96</v>
      </c>
      <c r="O1215" s="214">
        <v>0</v>
      </c>
      <c r="P1215" s="214">
        <v>423</v>
      </c>
      <c r="Q1215" s="214">
        <v>1181.93</v>
      </c>
      <c r="R1215" s="214">
        <v>400.96</v>
      </c>
      <c r="S1215" s="214">
        <v>1209.96</v>
      </c>
      <c r="T1215" s="214">
        <v>0</v>
      </c>
      <c r="U1215" s="214">
        <v>400.96</v>
      </c>
      <c r="V1215" s="214">
        <v>617.24</v>
      </c>
      <c r="W1215" s="214">
        <v>616.62</v>
      </c>
      <c r="X1215" s="214">
        <v>1017.58</v>
      </c>
      <c r="Y1215" s="214">
        <v>816.62</v>
      </c>
      <c r="Z1215" s="214">
        <v>617.24</v>
      </c>
      <c r="AA1215" s="214">
        <v>400.96</v>
      </c>
      <c r="AB1215" s="214">
        <v>0</v>
      </c>
      <c r="AC1215" s="214">
        <v>797</v>
      </c>
      <c r="AD1215" s="215"/>
      <c r="AE1215" s="420">
        <v>826</v>
      </c>
      <c r="AF1215" s="420">
        <v>0</v>
      </c>
      <c r="AG1215" s="420">
        <v>697.27</v>
      </c>
      <c r="AH1215" s="420"/>
      <c r="AI1215" s="574">
        <f t="shared" si="31"/>
        <v>15831.24</v>
      </c>
      <c r="AJ1215" s="212"/>
    </row>
    <row r="1216" spans="2:36" ht="14.4">
      <c r="B1216" s="211"/>
      <c r="C1216" s="213" t="s">
        <v>192</v>
      </c>
      <c r="D1216" s="214">
        <v>2565</v>
      </c>
      <c r="E1216" s="214">
        <v>1065</v>
      </c>
      <c r="F1216" s="214">
        <v>1065</v>
      </c>
      <c r="G1216" s="214">
        <v>1065</v>
      </c>
      <c r="H1216" s="214">
        <v>1065</v>
      </c>
      <c r="I1216" s="214">
        <v>1065</v>
      </c>
      <c r="J1216" s="214">
        <v>1065</v>
      </c>
      <c r="K1216" s="214">
        <v>1065</v>
      </c>
      <c r="L1216" s="214">
        <v>1065</v>
      </c>
      <c r="M1216" s="214">
        <v>1065</v>
      </c>
      <c r="N1216" s="214">
        <v>1065</v>
      </c>
      <c r="O1216" s="214">
        <v>1065</v>
      </c>
      <c r="P1216" s="214">
        <v>1065</v>
      </c>
      <c r="Q1216" s="214">
        <v>1065</v>
      </c>
      <c r="R1216" s="214">
        <v>1065</v>
      </c>
      <c r="S1216" s="214">
        <v>1065</v>
      </c>
      <c r="T1216" s="214">
        <v>1065</v>
      </c>
      <c r="U1216" s="214">
        <v>1065</v>
      </c>
      <c r="V1216" s="214">
        <v>1065</v>
      </c>
      <c r="W1216" s="214">
        <v>1065</v>
      </c>
      <c r="X1216" s="214">
        <v>1065</v>
      </c>
      <c r="Y1216" s="214">
        <v>1065</v>
      </c>
      <c r="Z1216" s="214">
        <v>1065</v>
      </c>
      <c r="AA1216" s="214">
        <v>1065</v>
      </c>
      <c r="AB1216" s="214">
        <v>1065</v>
      </c>
      <c r="AC1216" s="214">
        <v>1065</v>
      </c>
      <c r="AD1216" s="215"/>
      <c r="AE1216" s="420">
        <v>1065</v>
      </c>
      <c r="AF1216" s="420">
        <v>1065</v>
      </c>
      <c r="AG1216" s="420">
        <v>1065</v>
      </c>
      <c r="AH1216" s="420"/>
      <c r="AI1216" s="574">
        <f t="shared" si="31"/>
        <v>32385</v>
      </c>
      <c r="AJ1216" s="212"/>
    </row>
    <row r="1217" spans="2:36" ht="14.4">
      <c r="B1217" s="211"/>
      <c r="C1217" s="213" t="s">
        <v>98</v>
      </c>
      <c r="D1217" s="214">
        <v>0</v>
      </c>
      <c r="E1217" s="214">
        <v>0</v>
      </c>
      <c r="F1217" s="214">
        <v>0</v>
      </c>
      <c r="G1217" s="214">
        <v>0</v>
      </c>
      <c r="H1217" s="214">
        <v>0</v>
      </c>
      <c r="I1217" s="214">
        <v>0</v>
      </c>
      <c r="J1217" s="214">
        <v>0</v>
      </c>
      <c r="K1217" s="214">
        <v>0</v>
      </c>
      <c r="L1217" s="214">
        <v>0</v>
      </c>
      <c r="M1217" s="214">
        <v>0</v>
      </c>
      <c r="N1217" s="214">
        <v>0</v>
      </c>
      <c r="O1217" s="214">
        <v>0</v>
      </c>
      <c r="P1217" s="214">
        <v>0</v>
      </c>
      <c r="Q1217" s="214">
        <v>0</v>
      </c>
      <c r="R1217" s="214">
        <v>0</v>
      </c>
      <c r="S1217" s="214">
        <v>0</v>
      </c>
      <c r="T1217" s="214">
        <v>0</v>
      </c>
      <c r="U1217" s="214">
        <v>0</v>
      </c>
      <c r="V1217" s="214">
        <v>0</v>
      </c>
      <c r="W1217" s="214">
        <v>0</v>
      </c>
      <c r="X1217" s="214">
        <v>0</v>
      </c>
      <c r="Y1217" s="214">
        <v>0</v>
      </c>
      <c r="Z1217" s="214">
        <v>0</v>
      </c>
      <c r="AA1217" s="214">
        <v>0</v>
      </c>
      <c r="AB1217" s="214">
        <v>0</v>
      </c>
      <c r="AC1217" s="214">
        <v>0</v>
      </c>
      <c r="AD1217" s="215"/>
      <c r="AE1217" s="420">
        <v>0</v>
      </c>
      <c r="AF1217" s="420">
        <v>0</v>
      </c>
      <c r="AG1217" s="420">
        <v>0</v>
      </c>
      <c r="AH1217" s="420"/>
      <c r="AI1217" s="574">
        <f t="shared" si="31"/>
        <v>0</v>
      </c>
      <c r="AJ1217" s="212"/>
    </row>
    <row r="1218" spans="2:36" ht="14.4">
      <c r="B1218" s="211"/>
      <c r="C1218" s="213" t="s">
        <v>99</v>
      </c>
      <c r="D1218" s="214">
        <v>6433.05</v>
      </c>
      <c r="E1218" s="214">
        <v>0</v>
      </c>
      <c r="F1218" s="214">
        <v>0</v>
      </c>
      <c r="G1218" s="214">
        <v>0</v>
      </c>
      <c r="H1218" s="214">
        <v>0</v>
      </c>
      <c r="I1218" s="214">
        <v>0</v>
      </c>
      <c r="J1218" s="214">
        <v>0</v>
      </c>
      <c r="K1218" s="214">
        <v>0</v>
      </c>
      <c r="L1218" s="214">
        <v>73.33</v>
      </c>
      <c r="M1218" s="214">
        <v>0</v>
      </c>
      <c r="N1218" s="214">
        <v>0</v>
      </c>
      <c r="O1218" s="214">
        <v>0</v>
      </c>
      <c r="P1218" s="214">
        <v>0</v>
      </c>
      <c r="Q1218" s="214">
        <v>0</v>
      </c>
      <c r="R1218" s="214">
        <v>0</v>
      </c>
      <c r="S1218" s="214">
        <v>0</v>
      </c>
      <c r="T1218" s="214">
        <v>0</v>
      </c>
      <c r="U1218" s="214">
        <v>0</v>
      </c>
      <c r="V1218" s="214">
        <v>0</v>
      </c>
      <c r="W1218" s="214">
        <v>0</v>
      </c>
      <c r="X1218" s="214">
        <v>0</v>
      </c>
      <c r="Y1218" s="214">
        <v>0</v>
      </c>
      <c r="Z1218" s="214">
        <v>0</v>
      </c>
      <c r="AA1218" s="214">
        <v>0</v>
      </c>
      <c r="AB1218" s="214">
        <v>0</v>
      </c>
      <c r="AC1218" s="214">
        <v>0</v>
      </c>
      <c r="AD1218" s="215"/>
      <c r="AE1218" s="420">
        <v>0</v>
      </c>
      <c r="AF1218" s="420">
        <v>0</v>
      </c>
      <c r="AG1218" s="420">
        <v>0</v>
      </c>
      <c r="AH1218" s="420"/>
      <c r="AI1218" s="574">
        <f t="shared" si="31"/>
        <v>6506.38</v>
      </c>
      <c r="AJ1218" s="212"/>
    </row>
    <row r="1219" spans="2:36" ht="14.4">
      <c r="B1219" s="211"/>
      <c r="C1219" s="213" t="s">
        <v>100</v>
      </c>
      <c r="D1219" s="214">
        <v>1509.37</v>
      </c>
      <c r="E1219" s="214">
        <v>103.08</v>
      </c>
      <c r="F1219" s="214">
        <v>0</v>
      </c>
      <c r="G1219" s="214">
        <v>0</v>
      </c>
      <c r="H1219" s="214">
        <v>0</v>
      </c>
      <c r="I1219" s="214">
        <v>0</v>
      </c>
      <c r="J1219" s="214">
        <v>0</v>
      </c>
      <c r="K1219" s="214">
        <v>0</v>
      </c>
      <c r="L1219" s="214">
        <v>0</v>
      </c>
      <c r="M1219" s="214">
        <v>0</v>
      </c>
      <c r="N1219" s="214">
        <v>0</v>
      </c>
      <c r="O1219" s="214">
        <v>56.16</v>
      </c>
      <c r="P1219" s="214">
        <v>0</v>
      </c>
      <c r="Q1219" s="214">
        <v>23.33</v>
      </c>
      <c r="R1219" s="214">
        <v>0</v>
      </c>
      <c r="S1219" s="214">
        <v>0</v>
      </c>
      <c r="T1219" s="214">
        <v>43.17</v>
      </c>
      <c r="U1219" s="214">
        <v>0</v>
      </c>
      <c r="V1219" s="214">
        <v>0</v>
      </c>
      <c r="W1219" s="214">
        <v>0</v>
      </c>
      <c r="X1219" s="214">
        <v>0</v>
      </c>
      <c r="Y1219" s="214">
        <v>0</v>
      </c>
      <c r="Z1219" s="214">
        <v>168.33</v>
      </c>
      <c r="AA1219" s="214">
        <v>176.5</v>
      </c>
      <c r="AB1219" s="214">
        <v>0</v>
      </c>
      <c r="AC1219" s="214">
        <v>0</v>
      </c>
      <c r="AD1219" s="215"/>
      <c r="AE1219" s="420">
        <v>143.34</v>
      </c>
      <c r="AF1219" s="420">
        <v>0</v>
      </c>
      <c r="AG1219" s="420">
        <v>0</v>
      </c>
      <c r="AH1219" s="420"/>
      <c r="AI1219" s="574">
        <f t="shared" si="31"/>
        <v>2223.2799999999997</v>
      </c>
      <c r="AJ1219" s="212"/>
    </row>
    <row r="1220" spans="2:36" ht="14.4">
      <c r="B1220" s="211"/>
      <c r="C1220" s="213" t="s">
        <v>101</v>
      </c>
      <c r="D1220" s="214">
        <v>112.5</v>
      </c>
      <c r="E1220" s="214">
        <v>1065.6600000000001</v>
      </c>
      <c r="F1220" s="214">
        <v>397.33</v>
      </c>
      <c r="G1220" s="214">
        <v>0</v>
      </c>
      <c r="H1220" s="214">
        <v>385.17</v>
      </c>
      <c r="I1220" s="214">
        <v>0</v>
      </c>
      <c r="J1220" s="214">
        <v>0</v>
      </c>
      <c r="K1220" s="214">
        <v>0</v>
      </c>
      <c r="L1220" s="214">
        <v>0</v>
      </c>
      <c r="M1220" s="214">
        <v>0</v>
      </c>
      <c r="N1220" s="214">
        <v>0</v>
      </c>
      <c r="O1220" s="214">
        <v>0</v>
      </c>
      <c r="P1220" s="214">
        <v>0</v>
      </c>
      <c r="Q1220" s="214">
        <v>1404.17</v>
      </c>
      <c r="R1220" s="214">
        <v>0</v>
      </c>
      <c r="S1220" s="214">
        <v>0</v>
      </c>
      <c r="T1220" s="214">
        <v>731.5</v>
      </c>
      <c r="U1220" s="214">
        <v>0</v>
      </c>
      <c r="V1220" s="214">
        <v>0</v>
      </c>
      <c r="W1220" s="214">
        <v>0</v>
      </c>
      <c r="X1220" s="214">
        <v>103.5</v>
      </c>
      <c r="Y1220" s="214">
        <v>0</v>
      </c>
      <c r="Z1220" s="214">
        <v>0</v>
      </c>
      <c r="AA1220" s="214">
        <v>0</v>
      </c>
      <c r="AB1220" s="214">
        <v>0</v>
      </c>
      <c r="AC1220" s="214">
        <v>0</v>
      </c>
      <c r="AD1220" s="215"/>
      <c r="AE1220" s="420">
        <v>0</v>
      </c>
      <c r="AF1220" s="420">
        <v>0</v>
      </c>
      <c r="AG1220" s="420">
        <v>0</v>
      </c>
      <c r="AH1220" s="420"/>
      <c r="AI1220" s="574">
        <f t="shared" si="31"/>
        <v>4199.83</v>
      </c>
      <c r="AJ1220" s="212"/>
    </row>
    <row r="1221" spans="2:36" ht="14.4">
      <c r="B1221" s="211"/>
      <c r="C1221" s="213" t="s">
        <v>102</v>
      </c>
      <c r="D1221" s="214">
        <v>24102.63</v>
      </c>
      <c r="E1221" s="214">
        <v>1185.6400000000001</v>
      </c>
      <c r="F1221" s="214">
        <v>1573.23</v>
      </c>
      <c r="G1221" s="214">
        <v>2559.5100000000002</v>
      </c>
      <c r="H1221" s="214">
        <v>2013.41</v>
      </c>
      <c r="I1221" s="214">
        <v>665.7</v>
      </c>
      <c r="J1221" s="214">
        <v>409.62</v>
      </c>
      <c r="K1221" s="214">
        <v>489.67</v>
      </c>
      <c r="L1221" s="214">
        <v>371.97</v>
      </c>
      <c r="M1221" s="214">
        <v>2141.98</v>
      </c>
      <c r="N1221" s="214">
        <v>622.67999999999995</v>
      </c>
      <c r="O1221" s="214">
        <v>2260.04</v>
      </c>
      <c r="P1221" s="214">
        <v>1833.5</v>
      </c>
      <c r="Q1221" s="214">
        <v>1680.63</v>
      </c>
      <c r="R1221" s="214">
        <v>0</v>
      </c>
      <c r="S1221" s="214">
        <v>528.5</v>
      </c>
      <c r="T1221" s="214">
        <v>75.33</v>
      </c>
      <c r="U1221" s="214">
        <v>134.47999999999999</v>
      </c>
      <c r="V1221" s="214">
        <v>160.04</v>
      </c>
      <c r="W1221" s="214">
        <v>0</v>
      </c>
      <c r="X1221" s="214">
        <v>0</v>
      </c>
      <c r="Y1221" s="214">
        <v>73.05</v>
      </c>
      <c r="Z1221" s="214">
        <v>37.67</v>
      </c>
      <c r="AA1221" s="214">
        <v>0</v>
      </c>
      <c r="AB1221" s="214">
        <v>457.9</v>
      </c>
      <c r="AC1221" s="214">
        <v>434.35</v>
      </c>
      <c r="AD1221" s="215"/>
      <c r="AE1221" s="420">
        <v>3878.32</v>
      </c>
      <c r="AF1221" s="420">
        <v>2029.56</v>
      </c>
      <c r="AG1221" s="420">
        <v>2465.08</v>
      </c>
      <c r="AH1221" s="420"/>
      <c r="AI1221" s="574">
        <f t="shared" si="31"/>
        <v>52184.490000000013</v>
      </c>
      <c r="AJ1221" s="212"/>
    </row>
    <row r="1222" spans="2:36" ht="14.4">
      <c r="B1222" s="211"/>
      <c r="C1222" s="213" t="s">
        <v>103</v>
      </c>
      <c r="D1222" s="214">
        <v>2905.47</v>
      </c>
      <c r="E1222" s="214">
        <v>45.13</v>
      </c>
      <c r="F1222" s="214">
        <v>52.97</v>
      </c>
      <c r="G1222" s="214">
        <v>31.78</v>
      </c>
      <c r="H1222" s="214">
        <v>164.43</v>
      </c>
      <c r="I1222" s="214">
        <v>0</v>
      </c>
      <c r="J1222" s="214">
        <v>0</v>
      </c>
      <c r="K1222" s="214">
        <v>0</v>
      </c>
      <c r="L1222" s="214">
        <v>0</v>
      </c>
      <c r="M1222" s="214">
        <v>0</v>
      </c>
      <c r="N1222" s="214">
        <v>0</v>
      </c>
      <c r="O1222" s="214">
        <v>104.5</v>
      </c>
      <c r="P1222" s="214">
        <v>45.21</v>
      </c>
      <c r="Q1222" s="214">
        <v>0</v>
      </c>
      <c r="R1222" s="214">
        <v>28.87</v>
      </c>
      <c r="S1222" s="214">
        <v>45.13</v>
      </c>
      <c r="T1222" s="214">
        <v>0</v>
      </c>
      <c r="U1222" s="214">
        <v>0</v>
      </c>
      <c r="V1222" s="214">
        <v>0</v>
      </c>
      <c r="W1222" s="214">
        <v>0</v>
      </c>
      <c r="X1222" s="214">
        <v>0</v>
      </c>
      <c r="Y1222" s="214">
        <v>0</v>
      </c>
      <c r="Z1222" s="214">
        <v>0</v>
      </c>
      <c r="AA1222" s="214">
        <v>0</v>
      </c>
      <c r="AB1222" s="214">
        <v>0</v>
      </c>
      <c r="AC1222" s="214">
        <v>0</v>
      </c>
      <c r="AD1222" s="215"/>
      <c r="AE1222" s="420">
        <v>1402.26</v>
      </c>
      <c r="AF1222" s="420">
        <v>0</v>
      </c>
      <c r="AG1222" s="420">
        <v>90.26</v>
      </c>
      <c r="AH1222" s="420"/>
      <c r="AI1222" s="574">
        <f t="shared" si="31"/>
        <v>4916.01</v>
      </c>
      <c r="AJ1222" s="212"/>
    </row>
    <row r="1223" spans="2:36" ht="14.4">
      <c r="B1223" s="211"/>
      <c r="C1223" s="213" t="s">
        <v>104</v>
      </c>
      <c r="D1223" s="214">
        <v>5450.33</v>
      </c>
      <c r="E1223" s="214">
        <v>683.34</v>
      </c>
      <c r="F1223" s="214">
        <v>345.22</v>
      </c>
      <c r="G1223" s="214">
        <v>1621.08</v>
      </c>
      <c r="H1223" s="214">
        <v>888.82</v>
      </c>
      <c r="I1223" s="214">
        <v>107.34</v>
      </c>
      <c r="J1223" s="214">
        <v>147.91999999999999</v>
      </c>
      <c r="K1223" s="214">
        <v>0</v>
      </c>
      <c r="L1223" s="214">
        <v>0</v>
      </c>
      <c r="M1223" s="214">
        <v>842.58</v>
      </c>
      <c r="N1223" s="214">
        <v>107.34</v>
      </c>
      <c r="O1223" s="214">
        <v>774.14</v>
      </c>
      <c r="P1223" s="214">
        <v>884.8</v>
      </c>
      <c r="Q1223" s="214">
        <v>274.49</v>
      </c>
      <c r="R1223" s="214">
        <v>818.09</v>
      </c>
      <c r="S1223" s="214">
        <v>121.51</v>
      </c>
      <c r="T1223" s="214">
        <v>227.5</v>
      </c>
      <c r="U1223" s="214">
        <v>275.83</v>
      </c>
      <c r="V1223" s="214">
        <v>44.58</v>
      </c>
      <c r="W1223" s="214">
        <v>45.83</v>
      </c>
      <c r="X1223" s="214">
        <v>85.83</v>
      </c>
      <c r="Y1223" s="214">
        <v>52.92</v>
      </c>
      <c r="Z1223" s="214">
        <v>54.17</v>
      </c>
      <c r="AA1223" s="214">
        <v>54.17</v>
      </c>
      <c r="AB1223" s="214">
        <v>110.42</v>
      </c>
      <c r="AC1223" s="214">
        <v>244.38</v>
      </c>
      <c r="AD1223" s="215"/>
      <c r="AE1223" s="420">
        <v>593.25</v>
      </c>
      <c r="AF1223" s="420">
        <v>302.44</v>
      </c>
      <c r="AG1223" s="420">
        <v>318.27</v>
      </c>
      <c r="AH1223" s="420"/>
      <c r="AI1223" s="574">
        <f t="shared" si="31"/>
        <v>15476.59</v>
      </c>
      <c r="AJ1223" s="212"/>
    </row>
    <row r="1224" spans="2:36" ht="14.4">
      <c r="B1224" s="211"/>
      <c r="C1224" s="213" t="s">
        <v>105</v>
      </c>
      <c r="D1224" s="214">
        <v>1247.57</v>
      </c>
      <c r="E1224" s="214">
        <v>9106.27</v>
      </c>
      <c r="F1224" s="214">
        <v>0</v>
      </c>
      <c r="G1224" s="214">
        <v>3891.36</v>
      </c>
      <c r="H1224" s="214">
        <v>0</v>
      </c>
      <c r="I1224" s="214">
        <v>87.25</v>
      </c>
      <c r="J1224" s="214">
        <v>35.630000000000003</v>
      </c>
      <c r="K1224" s="214">
        <v>0</v>
      </c>
      <c r="L1224" s="214">
        <v>0</v>
      </c>
      <c r="M1224" s="214">
        <v>1500</v>
      </c>
      <c r="N1224" s="214">
        <v>0</v>
      </c>
      <c r="O1224" s="214">
        <v>724.73</v>
      </c>
      <c r="P1224" s="214">
        <v>56.25</v>
      </c>
      <c r="Q1224" s="214">
        <v>2754.1</v>
      </c>
      <c r="R1224" s="214">
        <v>851.16</v>
      </c>
      <c r="S1224" s="214">
        <v>1004.92</v>
      </c>
      <c r="T1224" s="214">
        <v>0</v>
      </c>
      <c r="U1224" s="214">
        <v>570.41999999999996</v>
      </c>
      <c r="V1224" s="214">
        <v>6</v>
      </c>
      <c r="W1224" s="214">
        <v>17.3</v>
      </c>
      <c r="X1224" s="214">
        <v>14.67</v>
      </c>
      <c r="Y1224" s="214">
        <v>918.67</v>
      </c>
      <c r="Z1224" s="214">
        <v>15</v>
      </c>
      <c r="AA1224" s="214">
        <v>12.5</v>
      </c>
      <c r="AB1224" s="214">
        <v>225.58</v>
      </c>
      <c r="AC1224" s="214">
        <v>59.33</v>
      </c>
      <c r="AD1224" s="215"/>
      <c r="AE1224" s="420">
        <v>1072.1199999999999</v>
      </c>
      <c r="AF1224" s="420">
        <v>375.78</v>
      </c>
      <c r="AG1224" s="420">
        <v>515.15</v>
      </c>
      <c r="AH1224" s="420"/>
      <c r="AI1224" s="574">
        <f t="shared" si="31"/>
        <v>25061.759999999995</v>
      </c>
      <c r="AJ1224" s="212"/>
    </row>
    <row r="1225" spans="2:36" ht="14.4">
      <c r="B1225" s="211"/>
      <c r="C1225" s="213" t="s">
        <v>106</v>
      </c>
      <c r="D1225" s="214">
        <v>0</v>
      </c>
      <c r="E1225" s="214">
        <v>0</v>
      </c>
      <c r="F1225" s="214">
        <v>0</v>
      </c>
      <c r="G1225" s="214">
        <v>0</v>
      </c>
      <c r="H1225" s="214">
        <v>0</v>
      </c>
      <c r="I1225" s="214">
        <v>0</v>
      </c>
      <c r="J1225" s="214">
        <v>0</v>
      </c>
      <c r="K1225" s="214">
        <v>0</v>
      </c>
      <c r="L1225" s="214">
        <v>0</v>
      </c>
      <c r="M1225" s="214">
        <v>0</v>
      </c>
      <c r="N1225" s="214">
        <v>0</v>
      </c>
      <c r="O1225" s="214">
        <v>0</v>
      </c>
      <c r="P1225" s="214">
        <v>0</v>
      </c>
      <c r="Q1225" s="214">
        <v>0</v>
      </c>
      <c r="R1225" s="214">
        <v>0</v>
      </c>
      <c r="S1225" s="214">
        <v>0</v>
      </c>
      <c r="T1225" s="214">
        <v>0</v>
      </c>
      <c r="U1225" s="214">
        <v>0</v>
      </c>
      <c r="V1225" s="214">
        <v>0</v>
      </c>
      <c r="W1225" s="214">
        <v>0</v>
      </c>
      <c r="X1225" s="214">
        <v>0</v>
      </c>
      <c r="Y1225" s="214">
        <v>0</v>
      </c>
      <c r="Z1225" s="214">
        <v>0</v>
      </c>
      <c r="AA1225" s="214">
        <v>0</v>
      </c>
      <c r="AB1225" s="214">
        <v>0</v>
      </c>
      <c r="AC1225" s="214">
        <v>0</v>
      </c>
      <c r="AD1225" s="215"/>
      <c r="AE1225" s="420">
        <v>0</v>
      </c>
      <c r="AF1225" s="420">
        <v>0</v>
      </c>
      <c r="AG1225" s="420">
        <v>0</v>
      </c>
      <c r="AH1225" s="420"/>
      <c r="AI1225" s="574">
        <f t="shared" si="31"/>
        <v>0</v>
      </c>
      <c r="AJ1225" s="212"/>
    </row>
    <row r="1226" spans="2:36" ht="14.4">
      <c r="B1226" s="211"/>
      <c r="C1226" s="213" t="s">
        <v>107</v>
      </c>
      <c r="D1226" s="214">
        <v>0</v>
      </c>
      <c r="E1226" s="214">
        <v>0</v>
      </c>
      <c r="F1226" s="214">
        <v>18659</v>
      </c>
      <c r="G1226" s="214">
        <v>0</v>
      </c>
      <c r="H1226" s="214">
        <v>0</v>
      </c>
      <c r="I1226" s="214">
        <v>0</v>
      </c>
      <c r="J1226" s="214">
        <v>0</v>
      </c>
      <c r="K1226" s="214">
        <v>0</v>
      </c>
      <c r="L1226" s="214">
        <v>0</v>
      </c>
      <c r="M1226" s="214">
        <v>0</v>
      </c>
      <c r="N1226" s="214">
        <v>0</v>
      </c>
      <c r="O1226" s="214">
        <v>0</v>
      </c>
      <c r="P1226" s="214">
        <v>0</v>
      </c>
      <c r="Q1226" s="214">
        <v>0</v>
      </c>
      <c r="R1226" s="214">
        <v>0</v>
      </c>
      <c r="S1226" s="214">
        <v>0</v>
      </c>
      <c r="T1226" s="214">
        <v>0</v>
      </c>
      <c r="U1226" s="214">
        <v>0</v>
      </c>
      <c r="V1226" s="214">
        <v>0</v>
      </c>
      <c r="W1226" s="214">
        <v>0</v>
      </c>
      <c r="X1226" s="214">
        <v>0</v>
      </c>
      <c r="Y1226" s="214">
        <v>0</v>
      </c>
      <c r="Z1226" s="214">
        <v>0</v>
      </c>
      <c r="AA1226" s="214">
        <v>0</v>
      </c>
      <c r="AB1226" s="214">
        <v>0</v>
      </c>
      <c r="AC1226" s="214">
        <v>0</v>
      </c>
      <c r="AD1226" s="215"/>
      <c r="AE1226" s="420">
        <v>0</v>
      </c>
      <c r="AF1226" s="420">
        <v>0</v>
      </c>
      <c r="AG1226" s="420">
        <v>0</v>
      </c>
      <c r="AH1226" s="420"/>
      <c r="AI1226" s="574">
        <f t="shared" si="31"/>
        <v>18659</v>
      </c>
      <c r="AJ1226" s="212"/>
    </row>
    <row r="1227" spans="2:36" ht="14.4">
      <c r="B1227" s="211"/>
      <c r="C1227" s="213" t="s">
        <v>108</v>
      </c>
      <c r="D1227" s="214"/>
      <c r="E1227" s="214">
        <v>23348.05</v>
      </c>
      <c r="F1227" s="214">
        <v>37249.58</v>
      </c>
      <c r="G1227" s="214">
        <v>19744.689999999999</v>
      </c>
      <c r="H1227" s="214">
        <v>4882.3099999999995</v>
      </c>
      <c r="I1227" s="214"/>
      <c r="J1227" s="214"/>
      <c r="K1227" s="214"/>
      <c r="L1227" s="214"/>
      <c r="M1227" s="214">
        <v>229</v>
      </c>
      <c r="N1227" s="214"/>
      <c r="O1227" s="214">
        <v>2699.52</v>
      </c>
      <c r="P1227" s="214">
        <v>412.33</v>
      </c>
      <c r="Q1227" s="214">
        <v>34755.020000000004</v>
      </c>
      <c r="R1227" s="214">
        <v>897.74</v>
      </c>
      <c r="S1227" s="214">
        <v>3215</v>
      </c>
      <c r="T1227" s="214"/>
      <c r="U1227" s="214"/>
      <c r="V1227" s="214"/>
      <c r="W1227" s="214"/>
      <c r="X1227" s="214"/>
      <c r="Y1227" s="214"/>
      <c r="Z1227" s="214"/>
      <c r="AA1227" s="214"/>
      <c r="AB1227" s="214"/>
      <c r="AC1227" s="214"/>
      <c r="AD1227" s="215"/>
      <c r="AE1227" s="420">
        <v>713</v>
      </c>
      <c r="AF1227" s="420"/>
      <c r="AG1227" s="420">
        <v>135</v>
      </c>
      <c r="AH1227" s="420"/>
      <c r="AI1227" s="574">
        <f t="shared" si="31"/>
        <v>128281.24000000002</v>
      </c>
      <c r="AJ1227" s="212"/>
    </row>
    <row r="1228" spans="2:36" ht="14.4">
      <c r="B1228" s="211"/>
      <c r="C1228" s="247" t="s">
        <v>109</v>
      </c>
      <c r="D1228" s="214">
        <v>0</v>
      </c>
      <c r="E1228" s="214">
        <v>0</v>
      </c>
      <c r="F1228" s="214">
        <v>0</v>
      </c>
      <c r="G1228" s="214">
        <v>0</v>
      </c>
      <c r="H1228" s="214">
        <v>0</v>
      </c>
      <c r="I1228" s="214">
        <v>0</v>
      </c>
      <c r="J1228" s="214">
        <v>0</v>
      </c>
      <c r="K1228" s="214">
        <v>0</v>
      </c>
      <c r="L1228" s="214">
        <v>0</v>
      </c>
      <c r="M1228" s="214">
        <v>0</v>
      </c>
      <c r="N1228" s="214">
        <v>0</v>
      </c>
      <c r="O1228" s="214">
        <v>0</v>
      </c>
      <c r="P1228" s="214">
        <v>0</v>
      </c>
      <c r="Q1228" s="214">
        <v>0</v>
      </c>
      <c r="R1228" s="214">
        <v>0</v>
      </c>
      <c r="S1228" s="214">
        <v>0</v>
      </c>
      <c r="T1228" s="214">
        <v>0</v>
      </c>
      <c r="U1228" s="214">
        <v>0</v>
      </c>
      <c r="V1228" s="214">
        <v>0</v>
      </c>
      <c r="W1228" s="214">
        <v>0</v>
      </c>
      <c r="X1228" s="214">
        <v>0</v>
      </c>
      <c r="Y1228" s="214">
        <v>0</v>
      </c>
      <c r="Z1228" s="214">
        <v>0</v>
      </c>
      <c r="AA1228" s="214">
        <v>0</v>
      </c>
      <c r="AB1228" s="214">
        <v>0</v>
      </c>
      <c r="AC1228" s="214">
        <v>0</v>
      </c>
      <c r="AD1228" s="215"/>
      <c r="AE1228" s="420">
        <v>0</v>
      </c>
      <c r="AF1228" s="420">
        <v>0</v>
      </c>
      <c r="AG1228" s="420">
        <v>0</v>
      </c>
      <c r="AH1228" s="420"/>
      <c r="AI1228" s="574">
        <f t="shared" si="31"/>
        <v>0</v>
      </c>
      <c r="AJ1228" s="212"/>
    </row>
    <row r="1229" spans="2:36" ht="14.4">
      <c r="B1229" s="211"/>
      <c r="C1229" s="213" t="s">
        <v>110</v>
      </c>
      <c r="D1229" s="214">
        <v>0</v>
      </c>
      <c r="E1229" s="214">
        <v>0</v>
      </c>
      <c r="F1229" s="214">
        <v>0</v>
      </c>
      <c r="G1229" s="214">
        <v>0</v>
      </c>
      <c r="H1229" s="214">
        <v>0</v>
      </c>
      <c r="I1229" s="214">
        <v>0</v>
      </c>
      <c r="J1229" s="214">
        <v>0</v>
      </c>
      <c r="K1229" s="214">
        <v>0</v>
      </c>
      <c r="L1229" s="214">
        <v>0</v>
      </c>
      <c r="M1229" s="214">
        <v>0</v>
      </c>
      <c r="N1229" s="214">
        <v>0</v>
      </c>
      <c r="O1229" s="214">
        <v>166.66</v>
      </c>
      <c r="P1229" s="214">
        <v>0</v>
      </c>
      <c r="Q1229" s="214">
        <v>0</v>
      </c>
      <c r="R1229" s="214">
        <v>0</v>
      </c>
      <c r="S1229" s="214">
        <v>0</v>
      </c>
      <c r="T1229" s="214">
        <v>0</v>
      </c>
      <c r="U1229" s="214">
        <v>0</v>
      </c>
      <c r="V1229" s="214">
        <v>0</v>
      </c>
      <c r="W1229" s="214">
        <v>0</v>
      </c>
      <c r="X1229" s="214">
        <v>0</v>
      </c>
      <c r="Y1229" s="214">
        <v>0</v>
      </c>
      <c r="Z1229" s="214">
        <v>0</v>
      </c>
      <c r="AA1229" s="214">
        <v>0</v>
      </c>
      <c r="AB1229" s="214">
        <v>0</v>
      </c>
      <c r="AC1229" s="214">
        <v>0</v>
      </c>
      <c r="AD1229" s="215"/>
      <c r="AE1229" s="420">
        <v>0</v>
      </c>
      <c r="AF1229" s="420">
        <v>0</v>
      </c>
      <c r="AG1229" s="420">
        <v>0</v>
      </c>
      <c r="AH1229" s="420"/>
      <c r="AI1229" s="574">
        <f t="shared" si="31"/>
        <v>166.66</v>
      </c>
      <c r="AJ1229" s="212"/>
    </row>
    <row r="1230" spans="2:36" ht="14.4">
      <c r="B1230" s="211"/>
      <c r="C1230" s="213" t="s">
        <v>112</v>
      </c>
      <c r="D1230" s="214">
        <v>0</v>
      </c>
      <c r="E1230" s="214">
        <v>0</v>
      </c>
      <c r="F1230" s="214">
        <v>0</v>
      </c>
      <c r="G1230" s="214">
        <v>0</v>
      </c>
      <c r="H1230" s="214">
        <v>0</v>
      </c>
      <c r="I1230" s="214">
        <v>0</v>
      </c>
      <c r="J1230" s="214">
        <v>0</v>
      </c>
      <c r="K1230" s="214">
        <v>0</v>
      </c>
      <c r="L1230" s="214">
        <v>0</v>
      </c>
      <c r="M1230" s="214">
        <v>0</v>
      </c>
      <c r="N1230" s="214">
        <v>0</v>
      </c>
      <c r="O1230" s="214">
        <v>0</v>
      </c>
      <c r="P1230" s="214">
        <v>0</v>
      </c>
      <c r="Q1230" s="214">
        <v>0</v>
      </c>
      <c r="R1230" s="214">
        <v>0</v>
      </c>
      <c r="S1230" s="214">
        <v>0</v>
      </c>
      <c r="T1230" s="214">
        <v>0</v>
      </c>
      <c r="U1230" s="214">
        <v>0</v>
      </c>
      <c r="V1230" s="214">
        <v>0</v>
      </c>
      <c r="W1230" s="214">
        <v>0</v>
      </c>
      <c r="X1230" s="214">
        <v>0</v>
      </c>
      <c r="Y1230" s="214">
        <v>0</v>
      </c>
      <c r="Z1230" s="214">
        <v>0</v>
      </c>
      <c r="AA1230" s="214">
        <v>0</v>
      </c>
      <c r="AB1230" s="214">
        <v>0</v>
      </c>
      <c r="AC1230" s="214">
        <v>0</v>
      </c>
      <c r="AD1230" s="215"/>
      <c r="AE1230" s="420">
        <v>0</v>
      </c>
      <c r="AF1230" s="420">
        <v>0</v>
      </c>
      <c r="AG1230" s="420">
        <v>0</v>
      </c>
      <c r="AH1230" s="420"/>
      <c r="AI1230" s="574">
        <f t="shared" si="31"/>
        <v>0</v>
      </c>
      <c r="AJ1230" s="212"/>
    </row>
    <row r="1231" spans="2:36" ht="14.4">
      <c r="B1231" s="211"/>
      <c r="C1231" s="247" t="s">
        <v>113</v>
      </c>
      <c r="D1231" s="214">
        <v>0</v>
      </c>
      <c r="E1231" s="214">
        <v>0</v>
      </c>
      <c r="F1231" s="214">
        <v>0</v>
      </c>
      <c r="G1231" s="214">
        <v>37561.54</v>
      </c>
      <c r="H1231" s="214">
        <v>0</v>
      </c>
      <c r="I1231" s="214">
        <v>0</v>
      </c>
      <c r="J1231" s="214">
        <v>0</v>
      </c>
      <c r="K1231" s="214">
        <v>0</v>
      </c>
      <c r="L1231" s="214">
        <v>0</v>
      </c>
      <c r="M1231" s="214">
        <v>0</v>
      </c>
      <c r="N1231" s="214">
        <v>0</v>
      </c>
      <c r="O1231" s="214">
        <v>0</v>
      </c>
      <c r="P1231" s="214">
        <v>0</v>
      </c>
      <c r="Q1231" s="214">
        <v>0</v>
      </c>
      <c r="R1231" s="214">
        <v>13.81</v>
      </c>
      <c r="S1231" s="214">
        <v>2428.29</v>
      </c>
      <c r="T1231" s="214">
        <v>0</v>
      </c>
      <c r="U1231" s="214">
        <v>0</v>
      </c>
      <c r="V1231" s="214">
        <v>0</v>
      </c>
      <c r="W1231" s="214">
        <v>0.16</v>
      </c>
      <c r="X1231" s="214">
        <v>0</v>
      </c>
      <c r="Y1231" s="214">
        <v>0</v>
      </c>
      <c r="Z1231" s="214">
        <v>15.61</v>
      </c>
      <c r="AA1231" s="214">
        <v>0</v>
      </c>
      <c r="AB1231" s="214">
        <v>6363.18</v>
      </c>
      <c r="AC1231" s="214">
        <v>0</v>
      </c>
      <c r="AD1231" s="215"/>
      <c r="AE1231" s="420">
        <v>0</v>
      </c>
      <c r="AF1231" s="420">
        <v>0.44</v>
      </c>
      <c r="AG1231" s="420">
        <v>0</v>
      </c>
      <c r="AH1231" s="420"/>
      <c r="AI1231" s="574">
        <f t="shared" si="31"/>
        <v>46383.030000000006</v>
      </c>
      <c r="AJ1231" s="212"/>
    </row>
    <row r="1232" spans="2:36" ht="14.4">
      <c r="B1232" s="211"/>
      <c r="C1232" s="247" t="s">
        <v>137</v>
      </c>
      <c r="D1232" s="214">
        <v>0</v>
      </c>
      <c r="E1232" s="214">
        <v>0</v>
      </c>
      <c r="F1232" s="214">
        <v>0</v>
      </c>
      <c r="G1232" s="214">
        <v>0</v>
      </c>
      <c r="H1232" s="214">
        <v>0</v>
      </c>
      <c r="I1232" s="214">
        <v>0</v>
      </c>
      <c r="J1232" s="214">
        <v>0</v>
      </c>
      <c r="K1232" s="214">
        <v>0</v>
      </c>
      <c r="L1232" s="214">
        <v>0</v>
      </c>
      <c r="M1232" s="214">
        <v>0</v>
      </c>
      <c r="N1232" s="214">
        <v>0</v>
      </c>
      <c r="O1232" s="214">
        <v>0</v>
      </c>
      <c r="P1232" s="214">
        <v>0</v>
      </c>
      <c r="Q1232" s="214">
        <v>0</v>
      </c>
      <c r="R1232" s="214">
        <v>0</v>
      </c>
      <c r="S1232" s="214">
        <v>0</v>
      </c>
      <c r="T1232" s="214">
        <v>0</v>
      </c>
      <c r="U1232" s="214">
        <v>0</v>
      </c>
      <c r="V1232" s="214">
        <v>0</v>
      </c>
      <c r="W1232" s="214">
        <v>0</v>
      </c>
      <c r="X1232" s="214">
        <v>0</v>
      </c>
      <c r="Y1232" s="214">
        <v>0</v>
      </c>
      <c r="Z1232" s="214">
        <v>0</v>
      </c>
      <c r="AA1232" s="214">
        <v>0</v>
      </c>
      <c r="AB1232" s="214">
        <v>0</v>
      </c>
      <c r="AC1232" s="214">
        <v>0</v>
      </c>
      <c r="AD1232" s="215"/>
      <c r="AE1232" s="420">
        <v>0</v>
      </c>
      <c r="AF1232" s="420">
        <v>0</v>
      </c>
      <c r="AG1232" s="420">
        <v>0</v>
      </c>
      <c r="AH1232" s="420"/>
      <c r="AI1232" s="574">
        <f t="shared" si="31"/>
        <v>0</v>
      </c>
      <c r="AJ1232" s="212"/>
    </row>
    <row r="1233" spans="2:36" ht="14.4">
      <c r="B1233" s="211"/>
      <c r="C1233" s="213" t="s">
        <v>140</v>
      </c>
      <c r="D1233" s="214">
        <v>0</v>
      </c>
      <c r="E1233" s="214">
        <v>0</v>
      </c>
      <c r="F1233" s="214">
        <v>0</v>
      </c>
      <c r="G1233" s="214">
        <v>56</v>
      </c>
      <c r="H1233" s="214">
        <v>2607</v>
      </c>
      <c r="I1233" s="214">
        <v>0</v>
      </c>
      <c r="J1233" s="214">
        <v>0</v>
      </c>
      <c r="K1233" s="214">
        <v>0</v>
      </c>
      <c r="L1233" s="214">
        <v>1414</v>
      </c>
      <c r="M1233" s="214">
        <v>0</v>
      </c>
      <c r="N1233" s="214">
        <v>0</v>
      </c>
      <c r="O1233" s="214">
        <v>1014</v>
      </c>
      <c r="P1233" s="214">
        <v>0</v>
      </c>
      <c r="Q1233" s="214">
        <v>2832</v>
      </c>
      <c r="R1233" s="214">
        <v>0</v>
      </c>
      <c r="S1233" s="214">
        <v>250</v>
      </c>
      <c r="T1233" s="214">
        <v>0</v>
      </c>
      <c r="U1233" s="214">
        <v>0</v>
      </c>
      <c r="V1233" s="214">
        <v>0</v>
      </c>
      <c r="W1233" s="214">
        <v>0</v>
      </c>
      <c r="X1233" s="214">
        <v>0</v>
      </c>
      <c r="Y1233" s="214">
        <v>0</v>
      </c>
      <c r="Z1233" s="214">
        <v>0</v>
      </c>
      <c r="AA1233" s="214">
        <v>0</v>
      </c>
      <c r="AB1233" s="214">
        <v>700</v>
      </c>
      <c r="AC1233" s="214">
        <v>0</v>
      </c>
      <c r="AD1233" s="215"/>
      <c r="AE1233" s="420">
        <v>0</v>
      </c>
      <c r="AF1233" s="420">
        <v>0</v>
      </c>
      <c r="AG1233" s="420">
        <v>0</v>
      </c>
      <c r="AH1233" s="420"/>
      <c r="AI1233" s="574">
        <f t="shared" si="31"/>
        <v>8873</v>
      </c>
      <c r="AJ1233" s="212"/>
    </row>
    <row r="1234" spans="2:36" ht="14.4">
      <c r="B1234" s="211"/>
      <c r="C1234" s="213" t="s">
        <v>141</v>
      </c>
      <c r="D1234" s="214">
        <v>0</v>
      </c>
      <c r="E1234" s="214">
        <v>0</v>
      </c>
      <c r="F1234" s="214">
        <v>0</v>
      </c>
      <c r="G1234" s="214">
        <v>0</v>
      </c>
      <c r="H1234" s="214">
        <v>0</v>
      </c>
      <c r="I1234" s="214">
        <v>0</v>
      </c>
      <c r="J1234" s="214">
        <v>0</v>
      </c>
      <c r="K1234" s="214">
        <v>0</v>
      </c>
      <c r="L1234" s="214">
        <v>0</v>
      </c>
      <c r="M1234" s="214">
        <v>0</v>
      </c>
      <c r="N1234" s="214">
        <v>0</v>
      </c>
      <c r="O1234" s="214">
        <v>0</v>
      </c>
      <c r="P1234" s="214">
        <v>0</v>
      </c>
      <c r="Q1234" s="214">
        <v>0</v>
      </c>
      <c r="R1234" s="214">
        <v>0</v>
      </c>
      <c r="S1234" s="214">
        <v>0</v>
      </c>
      <c r="T1234" s="214">
        <v>0</v>
      </c>
      <c r="U1234" s="214">
        <v>0</v>
      </c>
      <c r="V1234" s="214">
        <v>0</v>
      </c>
      <c r="W1234" s="214">
        <v>0</v>
      </c>
      <c r="X1234" s="214">
        <v>0</v>
      </c>
      <c r="Y1234" s="214">
        <v>0</v>
      </c>
      <c r="Z1234" s="214">
        <v>0</v>
      </c>
      <c r="AA1234" s="214">
        <v>0</v>
      </c>
      <c r="AB1234" s="214">
        <v>0</v>
      </c>
      <c r="AC1234" s="214">
        <v>0</v>
      </c>
      <c r="AD1234" s="215"/>
      <c r="AE1234" s="420">
        <v>0</v>
      </c>
      <c r="AF1234" s="420">
        <v>0</v>
      </c>
      <c r="AG1234" s="420">
        <v>0</v>
      </c>
      <c r="AH1234" s="420"/>
      <c r="AI1234" s="574">
        <f t="shared" si="31"/>
        <v>0</v>
      </c>
      <c r="AJ1234" s="212"/>
    </row>
    <row r="1235" spans="2:36" ht="14.4">
      <c r="B1235" s="211"/>
      <c r="C1235" s="213" t="s">
        <v>193</v>
      </c>
      <c r="D1235" s="214">
        <v>500</v>
      </c>
      <c r="E1235" s="214">
        <v>6360</v>
      </c>
      <c r="F1235" s="214">
        <v>0</v>
      </c>
      <c r="G1235" s="214">
        <v>0</v>
      </c>
      <c r="H1235" s="214">
        <v>0</v>
      </c>
      <c r="I1235" s="214">
        <v>0</v>
      </c>
      <c r="J1235" s="214">
        <v>0</v>
      </c>
      <c r="K1235" s="214">
        <v>0</v>
      </c>
      <c r="L1235" s="214">
        <v>0</v>
      </c>
      <c r="M1235" s="214">
        <v>0</v>
      </c>
      <c r="N1235" s="214">
        <v>0</v>
      </c>
      <c r="O1235" s="214">
        <v>0</v>
      </c>
      <c r="P1235" s="214">
        <v>4000</v>
      </c>
      <c r="Q1235" s="214">
        <v>0</v>
      </c>
      <c r="R1235" s="214">
        <v>0</v>
      </c>
      <c r="S1235" s="214">
        <v>0</v>
      </c>
      <c r="T1235" s="214">
        <v>0</v>
      </c>
      <c r="U1235" s="214">
        <v>0</v>
      </c>
      <c r="V1235" s="214">
        <v>0</v>
      </c>
      <c r="W1235" s="214">
        <v>0</v>
      </c>
      <c r="X1235" s="214">
        <v>0</v>
      </c>
      <c r="Y1235" s="214">
        <v>0</v>
      </c>
      <c r="Z1235" s="214">
        <v>0</v>
      </c>
      <c r="AA1235" s="214">
        <v>0</v>
      </c>
      <c r="AB1235" s="214">
        <v>0</v>
      </c>
      <c r="AC1235" s="214">
        <v>0</v>
      </c>
      <c r="AD1235" s="215"/>
      <c r="AE1235" s="420">
        <v>0</v>
      </c>
      <c r="AF1235" s="420">
        <v>0</v>
      </c>
      <c r="AG1235" s="420">
        <v>0</v>
      </c>
      <c r="AH1235" s="420"/>
      <c r="AI1235" s="574">
        <f t="shared" si="31"/>
        <v>10860</v>
      </c>
      <c r="AJ1235" s="212"/>
    </row>
    <row r="1236" spans="2:36" ht="14.4">
      <c r="B1236" s="211"/>
      <c r="C1236" s="213" t="s">
        <v>148</v>
      </c>
      <c r="D1236" s="214">
        <v>0</v>
      </c>
      <c r="E1236" s="214">
        <v>0</v>
      </c>
      <c r="F1236" s="214">
        <v>0</v>
      </c>
      <c r="G1236" s="214">
        <v>0</v>
      </c>
      <c r="H1236" s="214">
        <v>0</v>
      </c>
      <c r="I1236" s="214">
        <v>0</v>
      </c>
      <c r="J1236" s="214">
        <v>0</v>
      </c>
      <c r="K1236" s="214">
        <v>0</v>
      </c>
      <c r="L1236" s="214">
        <v>0</v>
      </c>
      <c r="M1236" s="214">
        <v>0</v>
      </c>
      <c r="N1236" s="214">
        <v>0</v>
      </c>
      <c r="O1236" s="214">
        <v>0</v>
      </c>
      <c r="P1236" s="214">
        <v>0</v>
      </c>
      <c r="Q1236" s="214">
        <v>0</v>
      </c>
      <c r="R1236" s="214">
        <v>0</v>
      </c>
      <c r="S1236" s="214">
        <v>0</v>
      </c>
      <c r="T1236" s="214">
        <v>6710</v>
      </c>
      <c r="U1236" s="214">
        <v>0</v>
      </c>
      <c r="V1236" s="214">
        <v>0</v>
      </c>
      <c r="W1236" s="214">
        <v>0</v>
      </c>
      <c r="X1236" s="214">
        <v>0</v>
      </c>
      <c r="Y1236" s="214">
        <v>0</v>
      </c>
      <c r="Z1236" s="214">
        <v>0</v>
      </c>
      <c r="AA1236" s="214">
        <v>0</v>
      </c>
      <c r="AB1236" s="214">
        <v>0</v>
      </c>
      <c r="AC1236" s="214">
        <v>0</v>
      </c>
      <c r="AD1236" s="215"/>
      <c r="AE1236" s="420">
        <v>0</v>
      </c>
      <c r="AF1236" s="420">
        <v>0</v>
      </c>
      <c r="AG1236" s="420">
        <v>0</v>
      </c>
      <c r="AH1236" s="420"/>
      <c r="AI1236" s="574">
        <f t="shared" si="31"/>
        <v>6710</v>
      </c>
      <c r="AJ1236" s="212"/>
    </row>
    <row r="1237" spans="2:36" ht="14.4">
      <c r="B1237" s="211"/>
      <c r="C1237" s="213" t="s">
        <v>186</v>
      </c>
      <c r="D1237" s="214">
        <v>0</v>
      </c>
      <c r="E1237" s="214">
        <v>0</v>
      </c>
      <c r="F1237" s="214">
        <v>0</v>
      </c>
      <c r="G1237" s="214">
        <v>0</v>
      </c>
      <c r="H1237" s="214">
        <v>0</v>
      </c>
      <c r="I1237" s="214">
        <v>0</v>
      </c>
      <c r="J1237" s="214">
        <v>0</v>
      </c>
      <c r="K1237" s="214">
        <v>0</v>
      </c>
      <c r="L1237" s="214">
        <v>0</v>
      </c>
      <c r="M1237" s="214">
        <v>0</v>
      </c>
      <c r="N1237" s="214">
        <v>0</v>
      </c>
      <c r="O1237" s="214">
        <v>0</v>
      </c>
      <c r="P1237" s="214">
        <v>0</v>
      </c>
      <c r="Q1237" s="214">
        <v>0</v>
      </c>
      <c r="R1237" s="214">
        <v>0</v>
      </c>
      <c r="S1237" s="214">
        <v>0</v>
      </c>
      <c r="T1237" s="214">
        <v>0</v>
      </c>
      <c r="U1237" s="214">
        <v>0</v>
      </c>
      <c r="V1237" s="214">
        <v>0</v>
      </c>
      <c r="W1237" s="214">
        <v>0</v>
      </c>
      <c r="X1237" s="214">
        <v>0</v>
      </c>
      <c r="Y1237" s="214">
        <v>0</v>
      </c>
      <c r="Z1237" s="214">
        <v>0</v>
      </c>
      <c r="AA1237" s="214">
        <v>0</v>
      </c>
      <c r="AB1237" s="214">
        <v>0</v>
      </c>
      <c r="AC1237" s="214">
        <v>0</v>
      </c>
      <c r="AD1237" s="215"/>
      <c r="AE1237" s="420">
        <v>0</v>
      </c>
      <c r="AF1237" s="420">
        <v>0</v>
      </c>
      <c r="AG1237" s="420">
        <v>0</v>
      </c>
      <c r="AH1237" s="420"/>
      <c r="AI1237" s="574">
        <f t="shared" si="31"/>
        <v>0</v>
      </c>
      <c r="AJ1237" s="212"/>
    </row>
    <row r="1238" spans="2:36" ht="14.4">
      <c r="B1238" s="211"/>
      <c r="C1238" s="213" t="s">
        <v>171</v>
      </c>
      <c r="D1238" s="214">
        <v>0</v>
      </c>
      <c r="E1238" s="214">
        <v>0</v>
      </c>
      <c r="F1238" s="214">
        <v>0</v>
      </c>
      <c r="G1238" s="214">
        <v>0</v>
      </c>
      <c r="H1238" s="214">
        <v>0</v>
      </c>
      <c r="I1238" s="214">
        <v>0</v>
      </c>
      <c r="J1238" s="214">
        <v>0</v>
      </c>
      <c r="K1238" s="214">
        <v>0</v>
      </c>
      <c r="L1238" s="214">
        <v>0</v>
      </c>
      <c r="M1238" s="214">
        <v>0</v>
      </c>
      <c r="N1238" s="214">
        <v>0</v>
      </c>
      <c r="O1238" s="214">
        <v>0</v>
      </c>
      <c r="P1238" s="214">
        <v>0</v>
      </c>
      <c r="Q1238" s="214">
        <v>0</v>
      </c>
      <c r="R1238" s="214">
        <v>0</v>
      </c>
      <c r="S1238" s="214">
        <v>0</v>
      </c>
      <c r="T1238" s="214">
        <v>0</v>
      </c>
      <c r="U1238" s="214">
        <v>0</v>
      </c>
      <c r="V1238" s="214">
        <v>0</v>
      </c>
      <c r="W1238" s="214">
        <v>0</v>
      </c>
      <c r="X1238" s="214">
        <v>0</v>
      </c>
      <c r="Y1238" s="214">
        <v>0</v>
      </c>
      <c r="Z1238" s="214">
        <v>0</v>
      </c>
      <c r="AA1238" s="214">
        <v>0</v>
      </c>
      <c r="AB1238" s="214">
        <v>0</v>
      </c>
      <c r="AC1238" s="214">
        <v>0</v>
      </c>
      <c r="AD1238" s="215"/>
      <c r="AE1238" s="420">
        <v>0</v>
      </c>
      <c r="AF1238" s="420">
        <v>0</v>
      </c>
      <c r="AG1238" s="420">
        <v>0</v>
      </c>
      <c r="AH1238" s="420"/>
      <c r="AI1238" s="574">
        <f t="shared" si="31"/>
        <v>0</v>
      </c>
      <c r="AJ1238" s="212"/>
    </row>
    <row r="1239" spans="2:36" ht="14.4">
      <c r="B1239" s="211"/>
      <c r="C1239" s="213" t="s">
        <v>180</v>
      </c>
      <c r="D1239" s="214">
        <v>0</v>
      </c>
      <c r="E1239" s="214">
        <v>0</v>
      </c>
      <c r="F1239" s="214">
        <v>0</v>
      </c>
      <c r="G1239" s="214">
        <v>0</v>
      </c>
      <c r="H1239" s="214">
        <v>0</v>
      </c>
      <c r="I1239" s="214">
        <v>0</v>
      </c>
      <c r="J1239" s="214">
        <v>0</v>
      </c>
      <c r="K1239" s="214">
        <v>0</v>
      </c>
      <c r="L1239" s="214">
        <v>0</v>
      </c>
      <c r="M1239" s="214">
        <v>0</v>
      </c>
      <c r="N1239" s="214">
        <v>0</v>
      </c>
      <c r="O1239" s="214">
        <v>0</v>
      </c>
      <c r="P1239" s="214">
        <v>0</v>
      </c>
      <c r="Q1239" s="214">
        <v>0</v>
      </c>
      <c r="R1239" s="214">
        <v>0</v>
      </c>
      <c r="S1239" s="214">
        <v>0</v>
      </c>
      <c r="T1239" s="214">
        <v>0</v>
      </c>
      <c r="U1239" s="214">
        <v>0</v>
      </c>
      <c r="V1239" s="214">
        <v>0</v>
      </c>
      <c r="W1239" s="214">
        <v>0</v>
      </c>
      <c r="X1239" s="214">
        <v>0</v>
      </c>
      <c r="Y1239" s="214">
        <v>0</v>
      </c>
      <c r="Z1239" s="214">
        <v>0</v>
      </c>
      <c r="AA1239" s="214">
        <v>0</v>
      </c>
      <c r="AB1239" s="214">
        <v>0</v>
      </c>
      <c r="AC1239" s="214">
        <v>0</v>
      </c>
      <c r="AD1239" s="215"/>
      <c r="AE1239" s="420">
        <v>0</v>
      </c>
      <c r="AF1239" s="420">
        <v>0</v>
      </c>
      <c r="AG1239" s="420">
        <v>0</v>
      </c>
      <c r="AH1239" s="420"/>
      <c r="AI1239" s="574">
        <f t="shared" si="31"/>
        <v>0</v>
      </c>
      <c r="AJ1239" s="212"/>
    </row>
    <row r="1240" spans="2:36" ht="14.4">
      <c r="B1240" s="211"/>
      <c r="C1240" s="213" t="s">
        <v>183</v>
      </c>
      <c r="D1240" s="214">
        <v>0</v>
      </c>
      <c r="E1240" s="214">
        <v>0</v>
      </c>
      <c r="F1240" s="214">
        <v>0</v>
      </c>
      <c r="G1240" s="214">
        <v>0</v>
      </c>
      <c r="H1240" s="214">
        <v>0</v>
      </c>
      <c r="I1240" s="214">
        <v>0</v>
      </c>
      <c r="J1240" s="214">
        <v>0</v>
      </c>
      <c r="K1240" s="214">
        <v>0</v>
      </c>
      <c r="L1240" s="214">
        <v>0</v>
      </c>
      <c r="M1240" s="214">
        <v>0</v>
      </c>
      <c r="N1240" s="214">
        <v>0</v>
      </c>
      <c r="O1240" s="214">
        <v>0</v>
      </c>
      <c r="P1240" s="214">
        <v>0</v>
      </c>
      <c r="Q1240" s="214">
        <v>0</v>
      </c>
      <c r="R1240" s="214">
        <v>0</v>
      </c>
      <c r="S1240" s="214">
        <v>0</v>
      </c>
      <c r="T1240" s="214">
        <v>0</v>
      </c>
      <c r="U1240" s="214">
        <v>0</v>
      </c>
      <c r="V1240" s="214">
        <v>0</v>
      </c>
      <c r="W1240" s="214">
        <v>0</v>
      </c>
      <c r="X1240" s="214">
        <v>0</v>
      </c>
      <c r="Y1240" s="214">
        <v>0</v>
      </c>
      <c r="Z1240" s="214">
        <v>0</v>
      </c>
      <c r="AA1240" s="214">
        <v>0</v>
      </c>
      <c r="AB1240" s="214">
        <v>0</v>
      </c>
      <c r="AC1240" s="214">
        <v>0</v>
      </c>
      <c r="AD1240" s="215"/>
      <c r="AE1240" s="420">
        <v>0</v>
      </c>
      <c r="AF1240" s="420">
        <v>0</v>
      </c>
      <c r="AG1240" s="420">
        <v>0</v>
      </c>
      <c r="AH1240" s="420"/>
      <c r="AI1240" s="574">
        <f t="shared" si="31"/>
        <v>0</v>
      </c>
      <c r="AJ1240" s="212"/>
    </row>
    <row r="1241" spans="2:36" ht="14.4">
      <c r="B1241" s="211"/>
      <c r="C1241" s="213" t="s">
        <v>195</v>
      </c>
      <c r="D1241" s="214">
        <v>13553.66</v>
      </c>
      <c r="E1241" s="214">
        <v>0</v>
      </c>
      <c r="F1241" s="214">
        <v>0</v>
      </c>
      <c r="G1241" s="214">
        <v>0</v>
      </c>
      <c r="H1241" s="214">
        <v>0</v>
      </c>
      <c r="I1241" s="214">
        <v>0</v>
      </c>
      <c r="J1241" s="214">
        <v>0</v>
      </c>
      <c r="K1241" s="214">
        <v>0</v>
      </c>
      <c r="L1241" s="214">
        <v>0</v>
      </c>
      <c r="M1241" s="214">
        <v>0</v>
      </c>
      <c r="N1241" s="214">
        <v>0</v>
      </c>
      <c r="O1241" s="214">
        <v>0</v>
      </c>
      <c r="P1241" s="214">
        <v>0</v>
      </c>
      <c r="Q1241" s="214">
        <v>0</v>
      </c>
      <c r="R1241" s="214">
        <v>0</v>
      </c>
      <c r="S1241" s="214">
        <v>0</v>
      </c>
      <c r="T1241" s="214">
        <v>0</v>
      </c>
      <c r="U1241" s="214">
        <v>0</v>
      </c>
      <c r="V1241" s="214">
        <v>0</v>
      </c>
      <c r="W1241" s="214">
        <v>0</v>
      </c>
      <c r="X1241" s="214">
        <v>0</v>
      </c>
      <c r="Y1241" s="214">
        <v>0</v>
      </c>
      <c r="Z1241" s="214">
        <v>0</v>
      </c>
      <c r="AA1241" s="214">
        <v>0</v>
      </c>
      <c r="AB1241" s="214">
        <v>0</v>
      </c>
      <c r="AC1241" s="214">
        <v>0</v>
      </c>
      <c r="AD1241" s="215"/>
      <c r="AE1241" s="420">
        <v>0</v>
      </c>
      <c r="AF1241" s="420">
        <v>0</v>
      </c>
      <c r="AG1241" s="420">
        <v>0</v>
      </c>
      <c r="AH1241" s="420"/>
      <c r="AI1241" s="574">
        <f t="shared" si="31"/>
        <v>13553.66</v>
      </c>
      <c r="AJ1241" s="212"/>
    </row>
    <row r="1242" spans="2:36" ht="14.4">
      <c r="B1242" s="211"/>
      <c r="C1242" s="213" t="s">
        <v>189</v>
      </c>
      <c r="D1242" s="214">
        <v>10263.68</v>
      </c>
      <c r="E1242" s="214">
        <v>0</v>
      </c>
      <c r="F1242" s="214">
        <v>0</v>
      </c>
      <c r="G1242" s="214">
        <v>0</v>
      </c>
      <c r="H1242" s="214">
        <v>0</v>
      </c>
      <c r="I1242" s="214">
        <v>0</v>
      </c>
      <c r="J1242" s="214">
        <v>0</v>
      </c>
      <c r="K1242" s="214">
        <v>0</v>
      </c>
      <c r="L1242" s="214">
        <v>0</v>
      </c>
      <c r="M1242" s="214">
        <v>0</v>
      </c>
      <c r="N1242" s="214">
        <v>0</v>
      </c>
      <c r="O1242" s="214">
        <v>0</v>
      </c>
      <c r="P1242" s="214">
        <v>0</v>
      </c>
      <c r="Q1242" s="214">
        <v>0</v>
      </c>
      <c r="R1242" s="214">
        <v>0</v>
      </c>
      <c r="S1242" s="214">
        <v>0</v>
      </c>
      <c r="T1242" s="214">
        <v>0</v>
      </c>
      <c r="U1242" s="214">
        <v>0</v>
      </c>
      <c r="V1242" s="214">
        <v>0</v>
      </c>
      <c r="W1242" s="214">
        <v>0</v>
      </c>
      <c r="X1242" s="214">
        <v>0</v>
      </c>
      <c r="Y1242" s="214">
        <v>0</v>
      </c>
      <c r="Z1242" s="214">
        <v>0</v>
      </c>
      <c r="AA1242" s="214">
        <v>0</v>
      </c>
      <c r="AB1242" s="214">
        <v>0</v>
      </c>
      <c r="AC1242" s="214">
        <v>0</v>
      </c>
      <c r="AD1242" s="215"/>
      <c r="AE1242" s="420">
        <v>0</v>
      </c>
      <c r="AF1242" s="420">
        <v>0</v>
      </c>
      <c r="AG1242" s="420">
        <v>0</v>
      </c>
      <c r="AH1242" s="420"/>
      <c r="AI1242" s="574">
        <f t="shared" si="31"/>
        <v>10263.68</v>
      </c>
      <c r="AJ1242" s="212"/>
    </row>
    <row r="1243" spans="2:36" ht="14.4">
      <c r="B1243" s="211"/>
      <c r="C1243" s="213" t="s">
        <v>188</v>
      </c>
      <c r="D1243" s="214">
        <v>12428.04</v>
      </c>
      <c r="E1243" s="214">
        <v>0</v>
      </c>
      <c r="F1243" s="214">
        <v>0</v>
      </c>
      <c r="G1243" s="214">
        <v>0</v>
      </c>
      <c r="H1243" s="214">
        <v>0</v>
      </c>
      <c r="I1243" s="214">
        <v>0</v>
      </c>
      <c r="J1243" s="214">
        <v>0</v>
      </c>
      <c r="K1243" s="214">
        <v>0</v>
      </c>
      <c r="L1243" s="214">
        <v>0</v>
      </c>
      <c r="M1243" s="214">
        <v>0</v>
      </c>
      <c r="N1243" s="214">
        <v>0</v>
      </c>
      <c r="O1243" s="214">
        <v>0</v>
      </c>
      <c r="P1243" s="214">
        <v>0</v>
      </c>
      <c r="Q1243" s="214">
        <v>0</v>
      </c>
      <c r="R1243" s="214">
        <v>0</v>
      </c>
      <c r="S1243" s="214">
        <v>0</v>
      </c>
      <c r="T1243" s="214">
        <v>0</v>
      </c>
      <c r="U1243" s="214">
        <v>0</v>
      </c>
      <c r="V1243" s="214">
        <v>0</v>
      </c>
      <c r="W1243" s="214">
        <v>0</v>
      </c>
      <c r="X1243" s="214">
        <v>0</v>
      </c>
      <c r="Y1243" s="214">
        <v>0</v>
      </c>
      <c r="Z1243" s="214">
        <v>0</v>
      </c>
      <c r="AA1243" s="214">
        <v>0</v>
      </c>
      <c r="AB1243" s="214">
        <v>0</v>
      </c>
      <c r="AC1243" s="214">
        <v>0</v>
      </c>
      <c r="AD1243" s="215"/>
      <c r="AE1243" s="420">
        <v>0</v>
      </c>
      <c r="AF1243" s="420">
        <v>0</v>
      </c>
      <c r="AG1243" s="420">
        <v>0</v>
      </c>
      <c r="AH1243" s="420"/>
      <c r="AI1243" s="574">
        <f t="shared" si="31"/>
        <v>12428.04</v>
      </c>
      <c r="AJ1243" s="212"/>
    </row>
    <row r="1244" spans="2:36" ht="14.4">
      <c r="B1244" s="211"/>
      <c r="C1244" s="213" t="s">
        <v>196</v>
      </c>
      <c r="D1244" s="214">
        <v>38465.22</v>
      </c>
      <c r="E1244" s="214">
        <v>0</v>
      </c>
      <c r="F1244" s="214">
        <v>0</v>
      </c>
      <c r="G1244" s="214">
        <v>0</v>
      </c>
      <c r="H1244" s="214">
        <v>0</v>
      </c>
      <c r="I1244" s="214">
        <v>0</v>
      </c>
      <c r="J1244" s="214">
        <v>0</v>
      </c>
      <c r="K1244" s="214">
        <v>0</v>
      </c>
      <c r="L1244" s="214">
        <v>0</v>
      </c>
      <c r="M1244" s="214">
        <v>0</v>
      </c>
      <c r="N1244" s="214">
        <v>0</v>
      </c>
      <c r="O1244" s="214">
        <v>0</v>
      </c>
      <c r="P1244" s="214">
        <v>0</v>
      </c>
      <c r="Q1244" s="214">
        <v>0</v>
      </c>
      <c r="R1244" s="214">
        <v>0</v>
      </c>
      <c r="S1244" s="214">
        <v>0</v>
      </c>
      <c r="T1244" s="214">
        <v>0</v>
      </c>
      <c r="U1244" s="214">
        <v>0</v>
      </c>
      <c r="V1244" s="214">
        <v>0</v>
      </c>
      <c r="W1244" s="214">
        <v>0</v>
      </c>
      <c r="X1244" s="214">
        <v>0</v>
      </c>
      <c r="Y1244" s="214">
        <v>0</v>
      </c>
      <c r="Z1244" s="214">
        <v>0</v>
      </c>
      <c r="AA1244" s="214">
        <v>0</v>
      </c>
      <c r="AB1244" s="214">
        <v>0</v>
      </c>
      <c r="AC1244" s="214">
        <v>0</v>
      </c>
      <c r="AD1244" s="215"/>
      <c r="AE1244" s="420">
        <v>0</v>
      </c>
      <c r="AF1244" s="420">
        <v>0</v>
      </c>
      <c r="AG1244" s="420">
        <v>0</v>
      </c>
      <c r="AH1244" s="420"/>
      <c r="AI1244" s="574">
        <f t="shared" si="31"/>
        <v>38465.22</v>
      </c>
      <c r="AJ1244" s="212"/>
    </row>
    <row r="1245" spans="2:36" ht="14.4">
      <c r="B1245" s="211"/>
      <c r="C1245" s="213" t="s">
        <v>197</v>
      </c>
      <c r="D1245" s="214">
        <v>0</v>
      </c>
      <c r="E1245" s="214">
        <v>0</v>
      </c>
      <c r="F1245" s="214">
        <v>0</v>
      </c>
      <c r="G1245" s="214">
        <v>0</v>
      </c>
      <c r="H1245" s="214">
        <v>0</v>
      </c>
      <c r="I1245" s="214">
        <v>0</v>
      </c>
      <c r="J1245" s="214">
        <v>0</v>
      </c>
      <c r="K1245" s="214">
        <v>0</v>
      </c>
      <c r="L1245" s="214">
        <v>0</v>
      </c>
      <c r="M1245" s="214">
        <v>0</v>
      </c>
      <c r="N1245" s="214">
        <v>0</v>
      </c>
      <c r="O1245" s="214">
        <v>0</v>
      </c>
      <c r="P1245" s="214">
        <v>0</v>
      </c>
      <c r="Q1245" s="214">
        <v>0</v>
      </c>
      <c r="R1245" s="214">
        <v>0</v>
      </c>
      <c r="S1245" s="214">
        <v>0</v>
      </c>
      <c r="T1245" s="214">
        <v>0</v>
      </c>
      <c r="U1245" s="214">
        <v>0</v>
      </c>
      <c r="V1245" s="214">
        <v>0</v>
      </c>
      <c r="W1245" s="214">
        <v>0</v>
      </c>
      <c r="X1245" s="214">
        <v>0</v>
      </c>
      <c r="Y1245" s="214">
        <v>0</v>
      </c>
      <c r="Z1245" s="214">
        <v>0</v>
      </c>
      <c r="AA1245" s="214">
        <v>0</v>
      </c>
      <c r="AB1245" s="214">
        <v>0</v>
      </c>
      <c r="AC1245" s="214">
        <v>0</v>
      </c>
      <c r="AD1245" s="215"/>
      <c r="AE1245" s="420">
        <v>0</v>
      </c>
      <c r="AF1245" s="420">
        <v>0</v>
      </c>
      <c r="AG1245" s="420">
        <v>0</v>
      </c>
      <c r="AH1245" s="420"/>
      <c r="AI1245" s="574">
        <f t="shared" si="31"/>
        <v>0</v>
      </c>
      <c r="AJ1245" s="212"/>
    </row>
    <row r="1246" spans="2:36" ht="14.4">
      <c r="B1246" s="211"/>
      <c r="C1246" s="213" t="s">
        <v>198</v>
      </c>
      <c r="D1246" s="214">
        <v>19703.32</v>
      </c>
      <c r="E1246" s="214">
        <v>0</v>
      </c>
      <c r="F1246" s="214">
        <v>0</v>
      </c>
      <c r="G1246" s="214">
        <v>0</v>
      </c>
      <c r="H1246" s="214">
        <v>0</v>
      </c>
      <c r="I1246" s="214">
        <v>0</v>
      </c>
      <c r="J1246" s="214">
        <v>0</v>
      </c>
      <c r="K1246" s="214">
        <v>0</v>
      </c>
      <c r="L1246" s="214">
        <v>0</v>
      </c>
      <c r="M1246" s="214">
        <v>0</v>
      </c>
      <c r="N1246" s="214">
        <v>0</v>
      </c>
      <c r="O1246" s="214">
        <v>0</v>
      </c>
      <c r="P1246" s="214">
        <v>0</v>
      </c>
      <c r="Q1246" s="214">
        <v>0</v>
      </c>
      <c r="R1246" s="214">
        <v>0</v>
      </c>
      <c r="S1246" s="214">
        <v>0</v>
      </c>
      <c r="T1246" s="214">
        <v>0</v>
      </c>
      <c r="U1246" s="214">
        <v>0</v>
      </c>
      <c r="V1246" s="214">
        <v>0</v>
      </c>
      <c r="W1246" s="214">
        <v>0</v>
      </c>
      <c r="X1246" s="214">
        <v>0</v>
      </c>
      <c r="Y1246" s="214">
        <v>0</v>
      </c>
      <c r="Z1246" s="214">
        <v>0</v>
      </c>
      <c r="AA1246" s="214">
        <v>0</v>
      </c>
      <c r="AB1246" s="214">
        <v>0</v>
      </c>
      <c r="AC1246" s="214">
        <v>0</v>
      </c>
      <c r="AD1246" s="215"/>
      <c r="AE1246" s="420">
        <v>0</v>
      </c>
      <c r="AF1246" s="420">
        <v>0</v>
      </c>
      <c r="AG1246" s="420">
        <v>0</v>
      </c>
      <c r="AH1246" s="420"/>
      <c r="AI1246" s="574">
        <f t="shared" si="31"/>
        <v>19703.32</v>
      </c>
      <c r="AJ1246" s="212"/>
    </row>
    <row r="1247" spans="2:36" ht="14.4">
      <c r="B1247" s="211"/>
      <c r="C1247" s="213" t="s">
        <v>201</v>
      </c>
      <c r="D1247" s="214">
        <v>13013.79</v>
      </c>
      <c r="E1247" s="214">
        <v>0</v>
      </c>
      <c r="F1247" s="214">
        <v>0</v>
      </c>
      <c r="G1247" s="214">
        <v>0</v>
      </c>
      <c r="H1247" s="214">
        <v>0</v>
      </c>
      <c r="I1247" s="214">
        <v>0</v>
      </c>
      <c r="J1247" s="214">
        <v>0</v>
      </c>
      <c r="K1247" s="214">
        <v>0</v>
      </c>
      <c r="L1247" s="214">
        <v>0</v>
      </c>
      <c r="M1247" s="214">
        <v>0</v>
      </c>
      <c r="N1247" s="214">
        <v>0</v>
      </c>
      <c r="O1247" s="214">
        <v>0</v>
      </c>
      <c r="P1247" s="214">
        <v>0</v>
      </c>
      <c r="Q1247" s="214">
        <v>0</v>
      </c>
      <c r="R1247" s="214">
        <v>0</v>
      </c>
      <c r="S1247" s="214">
        <v>0</v>
      </c>
      <c r="T1247" s="214">
        <v>0</v>
      </c>
      <c r="U1247" s="214">
        <v>0</v>
      </c>
      <c r="V1247" s="214">
        <v>0</v>
      </c>
      <c r="W1247" s="214">
        <v>0</v>
      </c>
      <c r="X1247" s="214">
        <v>0</v>
      </c>
      <c r="Y1247" s="214">
        <v>0</v>
      </c>
      <c r="Z1247" s="214">
        <v>0</v>
      </c>
      <c r="AA1247" s="214">
        <v>0</v>
      </c>
      <c r="AB1247" s="214">
        <v>0</v>
      </c>
      <c r="AC1247" s="214">
        <v>0</v>
      </c>
      <c r="AD1247" s="215"/>
      <c r="AE1247" s="420">
        <v>0</v>
      </c>
      <c r="AF1247" s="420">
        <v>0</v>
      </c>
      <c r="AG1247" s="420">
        <v>0</v>
      </c>
      <c r="AH1247" s="420"/>
      <c r="AI1247" s="574">
        <f t="shared" si="31"/>
        <v>13013.79</v>
      </c>
      <c r="AJ1247" s="212"/>
    </row>
    <row r="1248" spans="2:36" ht="14.4">
      <c r="B1248" s="211"/>
      <c r="C1248" s="213" t="s">
        <v>202</v>
      </c>
      <c r="D1248" s="214">
        <v>19139.599999999999</v>
      </c>
      <c r="E1248" s="214">
        <v>0</v>
      </c>
      <c r="F1248" s="214">
        <v>0</v>
      </c>
      <c r="G1248" s="214">
        <v>0</v>
      </c>
      <c r="H1248" s="214">
        <v>0</v>
      </c>
      <c r="I1248" s="214">
        <v>0</v>
      </c>
      <c r="J1248" s="214">
        <v>0</v>
      </c>
      <c r="K1248" s="214">
        <v>0</v>
      </c>
      <c r="L1248" s="214">
        <v>0</v>
      </c>
      <c r="M1248" s="214">
        <v>0</v>
      </c>
      <c r="N1248" s="214">
        <v>0</v>
      </c>
      <c r="O1248" s="214">
        <v>0</v>
      </c>
      <c r="P1248" s="214">
        <v>0</v>
      </c>
      <c r="Q1248" s="214">
        <v>0</v>
      </c>
      <c r="R1248" s="214">
        <v>0</v>
      </c>
      <c r="S1248" s="214">
        <v>0</v>
      </c>
      <c r="T1248" s="214">
        <v>0</v>
      </c>
      <c r="U1248" s="214">
        <v>0</v>
      </c>
      <c r="V1248" s="214">
        <v>0</v>
      </c>
      <c r="W1248" s="214">
        <v>0</v>
      </c>
      <c r="X1248" s="214">
        <v>0</v>
      </c>
      <c r="Y1248" s="214">
        <v>0</v>
      </c>
      <c r="Z1248" s="214">
        <v>0</v>
      </c>
      <c r="AA1248" s="214">
        <v>0</v>
      </c>
      <c r="AB1248" s="214">
        <v>0</v>
      </c>
      <c r="AC1248" s="214">
        <v>0</v>
      </c>
      <c r="AD1248" s="215"/>
      <c r="AE1248" s="420">
        <v>0</v>
      </c>
      <c r="AF1248" s="420">
        <v>0</v>
      </c>
      <c r="AG1248" s="420">
        <v>0</v>
      </c>
      <c r="AH1248" s="420"/>
      <c r="AI1248" s="574">
        <f t="shared" si="31"/>
        <v>19139.599999999999</v>
      </c>
      <c r="AJ1248" s="212"/>
    </row>
    <row r="1249" spans="2:36" ht="14.4">
      <c r="B1249" s="211"/>
      <c r="C1249" s="213" t="s">
        <v>206</v>
      </c>
      <c r="D1249" s="214">
        <v>13682.43</v>
      </c>
      <c r="E1249" s="214">
        <v>0</v>
      </c>
      <c r="F1249" s="214">
        <v>0</v>
      </c>
      <c r="G1249" s="214">
        <v>0</v>
      </c>
      <c r="H1249" s="214">
        <v>0</v>
      </c>
      <c r="I1249" s="214">
        <v>0</v>
      </c>
      <c r="J1249" s="214">
        <v>0</v>
      </c>
      <c r="K1249" s="214">
        <v>0</v>
      </c>
      <c r="L1249" s="214">
        <v>0</v>
      </c>
      <c r="M1249" s="214">
        <v>0</v>
      </c>
      <c r="N1249" s="214">
        <v>0</v>
      </c>
      <c r="O1249" s="214">
        <v>0</v>
      </c>
      <c r="P1249" s="214">
        <v>0</v>
      </c>
      <c r="Q1249" s="214">
        <v>0</v>
      </c>
      <c r="R1249" s="214">
        <v>0</v>
      </c>
      <c r="S1249" s="214">
        <v>0</v>
      </c>
      <c r="T1249" s="214">
        <v>0</v>
      </c>
      <c r="U1249" s="214">
        <v>0</v>
      </c>
      <c r="V1249" s="214">
        <v>0</v>
      </c>
      <c r="W1249" s="214">
        <v>0</v>
      </c>
      <c r="X1249" s="214">
        <v>0</v>
      </c>
      <c r="Y1249" s="214">
        <v>0</v>
      </c>
      <c r="Z1249" s="214">
        <v>0</v>
      </c>
      <c r="AA1249" s="214">
        <v>0</v>
      </c>
      <c r="AB1249" s="214">
        <v>0</v>
      </c>
      <c r="AC1249" s="214">
        <v>0</v>
      </c>
      <c r="AD1249" s="215"/>
      <c r="AE1249" s="420">
        <v>0</v>
      </c>
      <c r="AF1249" s="420">
        <v>0</v>
      </c>
      <c r="AG1249" s="420">
        <v>0</v>
      </c>
      <c r="AH1249" s="420"/>
      <c r="AI1249" s="574">
        <f t="shared" si="31"/>
        <v>13682.43</v>
      </c>
      <c r="AJ1249" s="212"/>
    </row>
    <row r="1250" spans="2:36" ht="14.4">
      <c r="B1250" s="211"/>
      <c r="C1250" s="213" t="s">
        <v>207</v>
      </c>
      <c r="D1250" s="214">
        <v>11400</v>
      </c>
      <c r="E1250" s="214">
        <v>3881.25</v>
      </c>
      <c r="F1250" s="214">
        <v>3450</v>
      </c>
      <c r="G1250" s="214">
        <v>3543.75</v>
      </c>
      <c r="H1250" s="214">
        <v>862.5</v>
      </c>
      <c r="I1250" s="214">
        <v>1293.75</v>
      </c>
      <c r="J1250" s="214"/>
      <c r="K1250" s="214"/>
      <c r="L1250" s="214">
        <v>431.25</v>
      </c>
      <c r="M1250" s="214">
        <v>1293.75</v>
      </c>
      <c r="N1250" s="214">
        <v>431.25</v>
      </c>
      <c r="O1250" s="214">
        <v>862.5</v>
      </c>
      <c r="P1250" s="214">
        <v>431.25</v>
      </c>
      <c r="Q1250" s="214">
        <v>431.25</v>
      </c>
      <c r="R1250" s="214">
        <v>1387.5</v>
      </c>
      <c r="S1250" s="214">
        <v>1293.75</v>
      </c>
      <c r="T1250" s="214"/>
      <c r="U1250" s="214"/>
      <c r="V1250" s="214"/>
      <c r="W1250" s="214"/>
      <c r="X1250" s="214">
        <v>431.25</v>
      </c>
      <c r="Y1250" s="214">
        <v>431.25</v>
      </c>
      <c r="Z1250" s="214"/>
      <c r="AA1250" s="214">
        <v>431.25</v>
      </c>
      <c r="AB1250" s="214"/>
      <c r="AC1250" s="214">
        <v>862.5</v>
      </c>
      <c r="AD1250" s="215"/>
      <c r="AE1250" s="420">
        <v>431.25</v>
      </c>
      <c r="AF1250" s="420"/>
      <c r="AG1250" s="420"/>
      <c r="AH1250" s="420"/>
      <c r="AI1250" s="574">
        <f t="shared" si="31"/>
        <v>33581.25</v>
      </c>
      <c r="AJ1250" s="212"/>
    </row>
    <row r="1251" spans="2:36" ht="14.4">
      <c r="B1251" s="211"/>
      <c r="C1251" s="213" t="s">
        <v>208</v>
      </c>
      <c r="D1251" s="214">
        <v>19845.650000000001</v>
      </c>
      <c r="E1251" s="214">
        <v>0</v>
      </c>
      <c r="F1251" s="214">
        <v>0</v>
      </c>
      <c r="G1251" s="214">
        <v>0</v>
      </c>
      <c r="H1251" s="214">
        <v>0</v>
      </c>
      <c r="I1251" s="214">
        <v>0</v>
      </c>
      <c r="J1251" s="214">
        <v>0</v>
      </c>
      <c r="K1251" s="214">
        <v>0</v>
      </c>
      <c r="L1251" s="214">
        <v>0</v>
      </c>
      <c r="M1251" s="214">
        <v>0</v>
      </c>
      <c r="N1251" s="214">
        <v>0</v>
      </c>
      <c r="O1251" s="214">
        <v>0</v>
      </c>
      <c r="P1251" s="214">
        <v>0</v>
      </c>
      <c r="Q1251" s="214">
        <v>0</v>
      </c>
      <c r="R1251" s="214">
        <v>0</v>
      </c>
      <c r="S1251" s="214">
        <v>0</v>
      </c>
      <c r="T1251" s="214">
        <v>0</v>
      </c>
      <c r="U1251" s="214">
        <v>0</v>
      </c>
      <c r="V1251" s="214">
        <v>0</v>
      </c>
      <c r="W1251" s="214">
        <v>0</v>
      </c>
      <c r="X1251" s="214">
        <v>0</v>
      </c>
      <c r="Y1251" s="214">
        <v>0</v>
      </c>
      <c r="Z1251" s="214">
        <v>0</v>
      </c>
      <c r="AA1251" s="214">
        <v>0</v>
      </c>
      <c r="AB1251" s="214">
        <v>0</v>
      </c>
      <c r="AC1251" s="214">
        <v>0</v>
      </c>
      <c r="AD1251" s="215"/>
      <c r="AE1251" s="420">
        <v>0</v>
      </c>
      <c r="AF1251" s="420">
        <v>0</v>
      </c>
      <c r="AG1251" s="420">
        <v>0</v>
      </c>
      <c r="AH1251" s="420"/>
      <c r="AI1251" s="574">
        <f t="shared" si="31"/>
        <v>19845.650000000001</v>
      </c>
      <c r="AJ1251" s="212"/>
    </row>
    <row r="1252" spans="2:36" ht="14.4">
      <c r="B1252" s="211"/>
      <c r="C1252" s="213" t="s">
        <v>236</v>
      </c>
      <c r="D1252" s="214">
        <v>18489.740000000002</v>
      </c>
      <c r="E1252" s="214">
        <v>0</v>
      </c>
      <c r="F1252" s="214">
        <v>0</v>
      </c>
      <c r="G1252" s="214">
        <v>0</v>
      </c>
      <c r="H1252" s="214">
        <v>0</v>
      </c>
      <c r="I1252" s="214">
        <v>0</v>
      </c>
      <c r="J1252" s="214">
        <v>0</v>
      </c>
      <c r="K1252" s="214">
        <v>0</v>
      </c>
      <c r="L1252" s="214">
        <v>0</v>
      </c>
      <c r="M1252" s="214">
        <v>0</v>
      </c>
      <c r="N1252" s="214">
        <v>0</v>
      </c>
      <c r="O1252" s="214">
        <v>0</v>
      </c>
      <c r="P1252" s="214">
        <v>0</v>
      </c>
      <c r="Q1252" s="214">
        <v>0</v>
      </c>
      <c r="R1252" s="214">
        <v>0</v>
      </c>
      <c r="S1252" s="214">
        <v>0</v>
      </c>
      <c r="T1252" s="214">
        <v>0</v>
      </c>
      <c r="U1252" s="214">
        <v>0</v>
      </c>
      <c r="V1252" s="214">
        <v>0</v>
      </c>
      <c r="W1252" s="214">
        <v>0</v>
      </c>
      <c r="X1252" s="214">
        <v>0</v>
      </c>
      <c r="Y1252" s="214">
        <v>0</v>
      </c>
      <c r="Z1252" s="214">
        <v>0</v>
      </c>
      <c r="AA1252" s="214">
        <v>0</v>
      </c>
      <c r="AB1252" s="214">
        <v>0</v>
      </c>
      <c r="AC1252" s="214">
        <v>0</v>
      </c>
      <c r="AD1252" s="215"/>
      <c r="AE1252" s="420">
        <v>0</v>
      </c>
      <c r="AF1252" s="420">
        <v>0</v>
      </c>
      <c r="AG1252" s="420">
        <v>0</v>
      </c>
      <c r="AH1252" s="420"/>
      <c r="AI1252" s="574">
        <f t="shared" si="31"/>
        <v>18489.740000000002</v>
      </c>
      <c r="AJ1252" s="212"/>
    </row>
    <row r="1253" spans="2:36" ht="14.4">
      <c r="B1253" s="211"/>
      <c r="C1253" s="240" t="s">
        <v>209</v>
      </c>
      <c r="D1253" s="214">
        <v>0</v>
      </c>
      <c r="E1253" s="214">
        <v>0</v>
      </c>
      <c r="F1253" s="214">
        <v>0</v>
      </c>
      <c r="G1253" s="214">
        <v>0</v>
      </c>
      <c r="H1253" s="214">
        <v>0</v>
      </c>
      <c r="I1253" s="214">
        <v>0</v>
      </c>
      <c r="J1253" s="214">
        <v>0</v>
      </c>
      <c r="K1253" s="214">
        <v>0</v>
      </c>
      <c r="L1253" s="214">
        <v>0</v>
      </c>
      <c r="M1253" s="214">
        <v>0</v>
      </c>
      <c r="N1253" s="214">
        <v>0</v>
      </c>
      <c r="O1253" s="214">
        <v>0</v>
      </c>
      <c r="P1253" s="214">
        <v>0</v>
      </c>
      <c r="Q1253" s="214">
        <v>0</v>
      </c>
      <c r="R1253" s="214">
        <v>0</v>
      </c>
      <c r="S1253" s="214">
        <v>0</v>
      </c>
      <c r="T1253" s="214">
        <v>0</v>
      </c>
      <c r="U1253" s="214">
        <v>0</v>
      </c>
      <c r="V1253" s="214">
        <v>0</v>
      </c>
      <c r="W1253" s="214">
        <v>0</v>
      </c>
      <c r="X1253" s="214">
        <v>0</v>
      </c>
      <c r="Y1253" s="214">
        <v>0</v>
      </c>
      <c r="Z1253" s="214">
        <v>0</v>
      </c>
      <c r="AA1253" s="214">
        <v>0</v>
      </c>
      <c r="AB1253" s="214">
        <v>0</v>
      </c>
      <c r="AC1253" s="214">
        <v>0</v>
      </c>
      <c r="AD1253" s="215"/>
      <c r="AE1253" s="420">
        <v>0</v>
      </c>
      <c r="AF1253" s="420">
        <v>0</v>
      </c>
      <c r="AG1253" s="420">
        <v>0</v>
      </c>
      <c r="AH1253" s="420"/>
      <c r="AI1253" s="574">
        <f t="shared" si="31"/>
        <v>0</v>
      </c>
      <c r="AJ1253" s="212"/>
    </row>
    <row r="1254" spans="2:36" ht="14.4">
      <c r="B1254" s="211"/>
      <c r="C1254" s="240" t="s">
        <v>360</v>
      </c>
      <c r="D1254" s="214"/>
      <c r="E1254" s="214">
        <v>370162.41</v>
      </c>
      <c r="F1254" s="214">
        <v>211409.81</v>
      </c>
      <c r="G1254" s="214"/>
      <c r="H1254" s="214">
        <v>487006.42</v>
      </c>
      <c r="I1254" s="214"/>
      <c r="J1254" s="214"/>
      <c r="K1254" s="214"/>
      <c r="L1254" s="214"/>
      <c r="M1254" s="214">
        <v>85492.23</v>
      </c>
      <c r="N1254" s="214">
        <v>82.58</v>
      </c>
      <c r="O1254" s="214">
        <v>210904.59</v>
      </c>
      <c r="P1254" s="214">
        <v>180983.7</v>
      </c>
      <c r="Q1254" s="214">
        <v>298588.46000000002</v>
      </c>
      <c r="R1254" s="214"/>
      <c r="S1254" s="214">
        <v>96897.24</v>
      </c>
      <c r="T1254" s="214"/>
      <c r="U1254" s="214"/>
      <c r="V1254" s="214"/>
      <c r="W1254" s="214"/>
      <c r="X1254" s="214"/>
      <c r="Y1254" s="214"/>
      <c r="Z1254" s="214"/>
      <c r="AA1254" s="214"/>
      <c r="AB1254" s="214"/>
      <c r="AC1254" s="214"/>
      <c r="AD1254" s="215"/>
      <c r="AE1254" s="420">
        <v>355391.64</v>
      </c>
      <c r="AF1254" s="420"/>
      <c r="AG1254" s="420"/>
      <c r="AH1254" s="420"/>
      <c r="AI1254" s="574">
        <f t="shared" si="31"/>
        <v>2296919.08</v>
      </c>
      <c r="AJ1254" s="212"/>
    </row>
    <row r="1255" spans="2:36" ht="14.4">
      <c r="B1255" s="211"/>
      <c r="C1255" s="240" t="s">
        <v>390</v>
      </c>
      <c r="D1255" s="214">
        <v>0</v>
      </c>
      <c r="E1255" s="214">
        <v>0</v>
      </c>
      <c r="F1255" s="214">
        <v>0</v>
      </c>
      <c r="G1255" s="214">
        <v>0</v>
      </c>
      <c r="H1255" s="214">
        <v>0</v>
      </c>
      <c r="I1255" s="214">
        <v>0</v>
      </c>
      <c r="J1255" s="214">
        <v>0</v>
      </c>
      <c r="K1255" s="214">
        <v>0</v>
      </c>
      <c r="L1255" s="214">
        <v>0</v>
      </c>
      <c r="M1255" s="214">
        <v>0</v>
      </c>
      <c r="N1255" s="214">
        <v>0</v>
      </c>
      <c r="O1255" s="214">
        <v>0</v>
      </c>
      <c r="P1255" s="214">
        <v>0</v>
      </c>
      <c r="Q1255" s="214">
        <v>0</v>
      </c>
      <c r="R1255" s="214">
        <v>0</v>
      </c>
      <c r="S1255" s="214">
        <v>0</v>
      </c>
      <c r="T1255" s="214">
        <v>0</v>
      </c>
      <c r="U1255" s="214">
        <v>0</v>
      </c>
      <c r="V1255" s="214">
        <v>0</v>
      </c>
      <c r="W1255" s="214">
        <v>0</v>
      </c>
      <c r="X1255" s="214">
        <v>0</v>
      </c>
      <c r="Y1255" s="214">
        <v>0</v>
      </c>
      <c r="Z1255" s="214">
        <v>0</v>
      </c>
      <c r="AA1255" s="214">
        <v>0</v>
      </c>
      <c r="AB1255" s="214">
        <v>0</v>
      </c>
      <c r="AC1255" s="214">
        <v>0</v>
      </c>
      <c r="AD1255" s="241"/>
      <c r="AE1255" s="420">
        <v>0</v>
      </c>
      <c r="AF1255" s="420">
        <v>0</v>
      </c>
      <c r="AG1255" s="420">
        <v>0</v>
      </c>
      <c r="AH1255" s="420"/>
      <c r="AI1255" s="574">
        <f t="shared" si="31"/>
        <v>0</v>
      </c>
      <c r="AJ1255" s="212"/>
    </row>
    <row r="1256" spans="2:36" ht="14.4">
      <c r="B1256" s="211"/>
      <c r="C1256" s="240" t="s">
        <v>392</v>
      </c>
      <c r="D1256" s="214">
        <v>0</v>
      </c>
      <c r="E1256" s="214">
        <v>138156.89000000001</v>
      </c>
      <c r="F1256" s="214">
        <v>98112.92</v>
      </c>
      <c r="G1256" s="214">
        <v>0</v>
      </c>
      <c r="H1256" s="214">
        <v>172949.99</v>
      </c>
      <c r="I1256" s="214">
        <v>0</v>
      </c>
      <c r="J1256" s="214">
        <v>0</v>
      </c>
      <c r="K1256" s="214">
        <v>0</v>
      </c>
      <c r="L1256" s="214">
        <v>0</v>
      </c>
      <c r="M1256" s="214">
        <v>37009.35</v>
      </c>
      <c r="N1256" s="214">
        <v>140.63999999999999</v>
      </c>
      <c r="O1256" s="214">
        <v>74820.66</v>
      </c>
      <c r="P1256" s="214">
        <v>68223.489999999991</v>
      </c>
      <c r="Q1256" s="214">
        <v>99134.7</v>
      </c>
      <c r="R1256" s="214">
        <v>0</v>
      </c>
      <c r="S1256" s="214">
        <v>36951.24</v>
      </c>
      <c r="T1256" s="214">
        <v>0</v>
      </c>
      <c r="U1256" s="214">
        <v>0</v>
      </c>
      <c r="V1256" s="214">
        <v>0</v>
      </c>
      <c r="W1256" s="214">
        <v>0</v>
      </c>
      <c r="X1256" s="214">
        <v>0</v>
      </c>
      <c r="Y1256" s="214">
        <v>0</v>
      </c>
      <c r="Z1256" s="214">
        <v>0</v>
      </c>
      <c r="AA1256" s="214">
        <v>0</v>
      </c>
      <c r="AB1256" s="214">
        <v>0</v>
      </c>
      <c r="AC1256" s="214">
        <v>0</v>
      </c>
      <c r="AD1256" s="241">
        <v>0</v>
      </c>
      <c r="AE1256" s="420">
        <v>125825.71</v>
      </c>
      <c r="AF1256" s="420">
        <v>0</v>
      </c>
      <c r="AG1256" s="420">
        <v>0</v>
      </c>
      <c r="AH1256" s="420">
        <v>0</v>
      </c>
      <c r="AI1256" s="574">
        <f>SUM(D1256:AH1256)</f>
        <v>851325.58999999985</v>
      </c>
      <c r="AJ1256" s="212"/>
    </row>
    <row r="1257" spans="2:36" ht="14.4">
      <c r="B1257" s="211"/>
      <c r="C1257" s="516" t="s">
        <v>400</v>
      </c>
      <c r="D1257" s="241">
        <v>145389.75</v>
      </c>
      <c r="E1257" s="241"/>
      <c r="F1257" s="241"/>
      <c r="G1257" s="241"/>
      <c r="H1257" s="241"/>
      <c r="I1257" s="241"/>
      <c r="J1257" s="241"/>
      <c r="K1257" s="241"/>
      <c r="L1257" s="241"/>
      <c r="M1257" s="241"/>
      <c r="N1257" s="241"/>
      <c r="O1257" s="241"/>
      <c r="P1257" s="241"/>
      <c r="Q1257" s="241"/>
      <c r="R1257" s="241"/>
      <c r="S1257" s="241"/>
      <c r="T1257" s="241"/>
      <c r="U1257" s="241"/>
      <c r="V1257" s="241"/>
      <c r="W1257" s="241"/>
      <c r="X1257" s="241"/>
      <c r="Y1257" s="241"/>
      <c r="Z1257" s="241"/>
      <c r="AA1257" s="241"/>
      <c r="AB1257" s="241"/>
      <c r="AC1257" s="241"/>
      <c r="AD1257" s="241"/>
      <c r="AE1257" s="420"/>
      <c r="AF1257" s="420"/>
      <c r="AG1257" s="420"/>
      <c r="AH1257" s="420"/>
      <c r="AI1257" s="574">
        <f>SUM(D1257:AH1257)</f>
        <v>145389.75</v>
      </c>
      <c r="AJ1257" s="212"/>
    </row>
    <row r="1258" spans="2:36" ht="14.4">
      <c r="B1258" s="211"/>
      <c r="C1258" s="149" t="s">
        <v>239</v>
      </c>
      <c r="D1258" s="217">
        <f>SUM(D1144:D1257)</f>
        <v>2295903.0400000005</v>
      </c>
      <c r="E1258" s="217">
        <f t="shared" ref="E1258:AH1258" si="32">SUM(E1144:E1256)</f>
        <v>1105408.8700000001</v>
      </c>
      <c r="F1258" s="217">
        <f t="shared" si="32"/>
        <v>926884.95999999985</v>
      </c>
      <c r="G1258" s="217">
        <f t="shared" si="32"/>
        <v>631807.48</v>
      </c>
      <c r="H1258" s="217">
        <f t="shared" si="32"/>
        <v>1179195.3399999999</v>
      </c>
      <c r="I1258" s="217">
        <f t="shared" si="32"/>
        <v>102690.85</v>
      </c>
      <c r="J1258" s="217">
        <f t="shared" si="32"/>
        <v>33581.679999999993</v>
      </c>
      <c r="K1258" s="217">
        <f t="shared" si="32"/>
        <v>25037.989999999998</v>
      </c>
      <c r="L1258" s="217">
        <f t="shared" si="32"/>
        <v>20336.79</v>
      </c>
      <c r="M1258" s="217">
        <f t="shared" si="32"/>
        <v>396130.93</v>
      </c>
      <c r="N1258" s="217">
        <f t="shared" si="32"/>
        <v>61512.21</v>
      </c>
      <c r="O1258" s="217">
        <f t="shared" si="32"/>
        <v>674003.77999999991</v>
      </c>
      <c r="P1258" s="217">
        <f t="shared" si="32"/>
        <v>571541.50800000003</v>
      </c>
      <c r="Q1258" s="217">
        <f t="shared" si="32"/>
        <v>1097603.7</v>
      </c>
      <c r="R1258" s="217">
        <f t="shared" si="32"/>
        <v>104672.95999999999</v>
      </c>
      <c r="S1258" s="217">
        <f t="shared" si="32"/>
        <v>461614.56</v>
      </c>
      <c r="T1258" s="217">
        <f t="shared" si="32"/>
        <v>32106.84</v>
      </c>
      <c r="U1258" s="217">
        <f t="shared" si="32"/>
        <v>32104.769999999997</v>
      </c>
      <c r="V1258" s="217">
        <f t="shared" si="32"/>
        <v>29651.500000000004</v>
      </c>
      <c r="W1258" s="217">
        <f t="shared" si="32"/>
        <v>15524.32</v>
      </c>
      <c r="X1258" s="217">
        <f t="shared" si="32"/>
        <v>49798.630000000005</v>
      </c>
      <c r="Y1258" s="217">
        <f t="shared" si="32"/>
        <v>20686.549999999996</v>
      </c>
      <c r="Z1258" s="217">
        <f t="shared" si="32"/>
        <v>14032.750000000002</v>
      </c>
      <c r="AA1258" s="217">
        <f t="shared" si="32"/>
        <v>34900.299999999996</v>
      </c>
      <c r="AB1258" s="217">
        <f t="shared" si="32"/>
        <v>52135.58</v>
      </c>
      <c r="AC1258" s="217">
        <f t="shared" si="32"/>
        <v>63439.45</v>
      </c>
      <c r="AD1258" s="217">
        <f t="shared" si="32"/>
        <v>0</v>
      </c>
      <c r="AE1258" s="217">
        <f t="shared" si="32"/>
        <v>1021013.1299999999</v>
      </c>
      <c r="AF1258" s="217">
        <f t="shared" si="32"/>
        <v>21242.679999999997</v>
      </c>
      <c r="AG1258" s="217">
        <f t="shared" si="32"/>
        <v>64426.53</v>
      </c>
      <c r="AH1258" s="217">
        <f t="shared" si="32"/>
        <v>0</v>
      </c>
      <c r="AI1258" s="575">
        <f>SUM(AI1144:AI1257)</f>
        <v>11138989.678000003</v>
      </c>
      <c r="AJ1258" s="212"/>
    </row>
    <row r="1259" spans="2:36" ht="14.4">
      <c r="B1259" s="218"/>
      <c r="C1259" s="219"/>
      <c r="D1259" s="219"/>
      <c r="E1259" s="219"/>
      <c r="F1259" s="219"/>
      <c r="G1259" s="219"/>
      <c r="H1259" s="219"/>
      <c r="I1259" s="219"/>
      <c r="J1259" s="219"/>
      <c r="K1259" s="219"/>
      <c r="L1259" s="219"/>
      <c r="M1259" s="219"/>
      <c r="N1259" s="219"/>
      <c r="O1259" s="219"/>
      <c r="P1259" s="219"/>
      <c r="Q1259" s="219"/>
      <c r="R1259" s="219"/>
      <c r="S1259" s="219"/>
      <c r="T1259" s="219"/>
      <c r="U1259" s="219"/>
      <c r="V1259" s="219"/>
      <c r="W1259" s="219"/>
      <c r="X1259" s="219"/>
      <c r="Y1259" s="219"/>
      <c r="Z1259" s="219"/>
      <c r="AA1259" s="219"/>
      <c r="AB1259" s="219"/>
      <c r="AC1259" s="219"/>
      <c r="AD1259" s="219"/>
      <c r="AE1259" s="219"/>
      <c r="AF1259" s="219"/>
      <c r="AG1259" s="219"/>
      <c r="AH1259" s="219"/>
      <c r="AI1259" s="576"/>
      <c r="AJ1259" s="212"/>
    </row>
    <row r="1260" spans="2:36" ht="14.4">
      <c r="B1260" s="209"/>
      <c r="C1260" s="202"/>
      <c r="D1260" s="202"/>
      <c r="E1260" s="202"/>
      <c r="F1260" s="202"/>
      <c r="G1260" s="202"/>
      <c r="H1260" s="202"/>
      <c r="I1260" s="202"/>
      <c r="J1260" s="202"/>
      <c r="K1260" s="202"/>
      <c r="L1260" s="202"/>
      <c r="M1260" s="202"/>
      <c r="N1260" s="202"/>
      <c r="O1260" s="202"/>
      <c r="P1260" s="202"/>
      <c r="Q1260" s="202"/>
      <c r="R1260" s="202"/>
      <c r="S1260" s="202"/>
      <c r="T1260" s="202"/>
      <c r="U1260" s="202"/>
      <c r="V1260" s="202"/>
      <c r="W1260" s="202"/>
      <c r="X1260" s="202"/>
      <c r="Y1260" s="202"/>
      <c r="Z1260" s="202"/>
      <c r="AA1260" s="202"/>
      <c r="AB1260" s="202"/>
      <c r="AC1260" s="202"/>
      <c r="AD1260" s="202"/>
      <c r="AE1260" s="202"/>
      <c r="AF1260" s="202"/>
      <c r="AG1260" s="202"/>
      <c r="AH1260" s="202"/>
      <c r="AI1260" s="577"/>
      <c r="AJ1260" s="209"/>
    </row>
    <row r="1261" spans="2:36" ht="14.4">
      <c r="B1261" s="220"/>
      <c r="C1261" s="221"/>
      <c r="D1261" s="221"/>
      <c r="E1261" s="221"/>
      <c r="F1261" s="221"/>
      <c r="G1261" s="221"/>
      <c r="H1261" s="221"/>
      <c r="I1261" s="221"/>
      <c r="J1261" s="221"/>
      <c r="K1261" s="221"/>
      <c r="L1261" s="221"/>
      <c r="M1261" s="221"/>
      <c r="N1261" s="221"/>
      <c r="O1261" s="221"/>
      <c r="P1261" s="221"/>
      <c r="Q1261" s="221"/>
      <c r="R1261" s="221"/>
      <c r="S1261" s="221"/>
      <c r="T1261" s="221"/>
      <c r="U1261" s="221"/>
      <c r="V1261" s="221"/>
      <c r="W1261" s="221"/>
      <c r="X1261" s="221"/>
      <c r="Y1261" s="221"/>
      <c r="Z1261" s="221"/>
      <c r="AA1261" s="221"/>
      <c r="AB1261" s="221"/>
      <c r="AC1261" s="221"/>
      <c r="AD1261" s="221"/>
      <c r="AE1261" s="221"/>
      <c r="AF1261" s="221"/>
      <c r="AG1261" s="221"/>
      <c r="AH1261" s="221"/>
      <c r="AI1261" s="578"/>
      <c r="AJ1261" s="222"/>
    </row>
    <row r="1265" spans="1:36">
      <c r="A1265" s="202"/>
    </row>
    <row r="1266" spans="1:36" ht="21">
      <c r="A1266" s="203"/>
      <c r="B1266" s="204"/>
      <c r="C1266" s="116" t="s">
        <v>272</v>
      </c>
      <c r="D1266" s="117"/>
      <c r="E1266" s="117"/>
      <c r="F1266" s="117"/>
      <c r="G1266" s="117"/>
      <c r="H1266" s="117"/>
      <c r="I1266" s="117"/>
      <c r="J1266" s="117"/>
      <c r="K1266" s="117"/>
      <c r="L1266" s="117"/>
      <c r="M1266" s="117"/>
      <c r="N1266" s="117"/>
      <c r="O1266" s="117"/>
      <c r="P1266" s="117"/>
      <c r="Q1266" s="117"/>
      <c r="R1266" s="117"/>
      <c r="S1266" s="117"/>
      <c r="T1266" s="117"/>
      <c r="U1266" s="117"/>
      <c r="V1266" s="117"/>
      <c r="W1266" s="117"/>
      <c r="X1266" s="117"/>
      <c r="Y1266" s="117"/>
      <c r="Z1266" s="117"/>
      <c r="AA1266" s="117"/>
      <c r="AB1266" s="117"/>
      <c r="AC1266" s="117"/>
      <c r="AD1266" s="117"/>
      <c r="AE1266" s="117"/>
      <c r="AF1266" s="117"/>
      <c r="AG1266" s="117"/>
      <c r="AH1266" s="117"/>
      <c r="AI1266" s="570"/>
      <c r="AJ1266" s="117"/>
    </row>
    <row r="1267" spans="1:36" ht="21">
      <c r="A1267" s="206"/>
      <c r="B1267" s="207"/>
      <c r="C1267" s="119"/>
      <c r="D1267" s="120"/>
      <c r="E1267" s="634"/>
      <c r="F1267" s="634"/>
      <c r="G1267" s="634"/>
      <c r="H1267" s="634"/>
      <c r="I1267" s="634"/>
      <c r="J1267" s="634"/>
      <c r="K1267" s="120"/>
      <c r="L1267" s="120"/>
      <c r="M1267" s="120"/>
      <c r="N1267" s="634" t="s">
        <v>399</v>
      </c>
      <c r="O1267" s="634"/>
      <c r="P1267" s="634"/>
      <c r="Q1267" s="634"/>
      <c r="R1267" s="634"/>
      <c r="S1267" s="634"/>
      <c r="T1267" s="634"/>
      <c r="U1267" s="634"/>
      <c r="V1267" s="634"/>
      <c r="W1267" s="634"/>
      <c r="X1267" s="634"/>
      <c r="Y1267" s="634"/>
      <c r="Z1267" s="634"/>
      <c r="AA1267" s="120"/>
      <c r="AB1267" s="120"/>
      <c r="AC1267" s="120"/>
      <c r="AD1267" s="120"/>
      <c r="AE1267" s="120"/>
      <c r="AF1267" s="120"/>
      <c r="AG1267" s="120"/>
      <c r="AH1267" s="120"/>
      <c r="AI1267" s="571"/>
      <c r="AJ1267" s="120"/>
    </row>
    <row r="1268" spans="1:36" ht="14.4">
      <c r="A1268" s="205"/>
    </row>
    <row r="1269" spans="1:36" ht="14.4">
      <c r="B1269" s="208"/>
      <c r="C1269" s="209"/>
      <c r="D1269" s="209"/>
      <c r="E1269" s="209"/>
      <c r="F1269" s="209"/>
      <c r="G1269" s="209"/>
      <c r="H1269" s="209"/>
      <c r="I1269" s="209"/>
      <c r="J1269" s="209"/>
      <c r="K1269" s="209"/>
      <c r="L1269" s="209"/>
      <c r="M1269" s="209"/>
      <c r="N1269" s="209"/>
      <c r="O1269" s="209"/>
      <c r="P1269" s="209"/>
      <c r="Q1269" s="209"/>
      <c r="R1269" s="209"/>
      <c r="S1269" s="209"/>
      <c r="T1269" s="209"/>
      <c r="U1269" s="209"/>
      <c r="V1269" s="209"/>
      <c r="W1269" s="209"/>
      <c r="X1269" s="209"/>
      <c r="Y1269" s="209"/>
      <c r="Z1269" s="209"/>
      <c r="AA1269" s="209"/>
      <c r="AB1269" s="209"/>
      <c r="AC1269" s="209"/>
      <c r="AD1269" s="209"/>
      <c r="AE1269" s="209"/>
      <c r="AF1269" s="209"/>
      <c r="AG1269" s="209"/>
      <c r="AH1269" s="209"/>
      <c r="AI1269" s="573"/>
      <c r="AJ1269" s="210"/>
    </row>
    <row r="1270" spans="1:36" ht="14.4">
      <c r="B1270" s="211"/>
      <c r="C1270" s="133" t="s">
        <v>264</v>
      </c>
      <c r="D1270" s="126" t="s">
        <v>184</v>
      </c>
      <c r="E1270" s="201" t="s">
        <v>36</v>
      </c>
      <c r="F1270" s="201" t="s">
        <v>9</v>
      </c>
      <c r="G1270" s="201" t="s">
        <v>25</v>
      </c>
      <c r="H1270" s="201" t="s">
        <v>160</v>
      </c>
      <c r="I1270" s="201" t="s">
        <v>139</v>
      </c>
      <c r="J1270" s="201" t="s">
        <v>37</v>
      </c>
      <c r="K1270" s="201" t="s">
        <v>133</v>
      </c>
      <c r="L1270" s="201" t="s">
        <v>123</v>
      </c>
      <c r="M1270" s="201" t="s">
        <v>145</v>
      </c>
      <c r="N1270" s="201" t="s">
        <v>124</v>
      </c>
      <c r="O1270" s="201" t="s">
        <v>169</v>
      </c>
      <c r="P1270" s="201" t="s">
        <v>243</v>
      </c>
      <c r="Q1270" s="201" t="s">
        <v>175</v>
      </c>
      <c r="R1270" s="201" t="s">
        <v>170</v>
      </c>
      <c r="S1270" s="201" t="s">
        <v>203</v>
      </c>
      <c r="T1270" s="201" t="s">
        <v>172</v>
      </c>
      <c r="U1270" s="201" t="s">
        <v>176</v>
      </c>
      <c r="V1270" s="201" t="s">
        <v>177</v>
      </c>
      <c r="W1270" s="201" t="s">
        <v>178</v>
      </c>
      <c r="X1270" s="201" t="s">
        <v>179</v>
      </c>
      <c r="Y1270" s="201" t="s">
        <v>181</v>
      </c>
      <c r="Z1270" s="201" t="s">
        <v>182</v>
      </c>
      <c r="AA1270" s="201" t="s">
        <v>187</v>
      </c>
      <c r="AB1270" s="201" t="s">
        <v>233</v>
      </c>
      <c r="AC1270" s="201" t="s">
        <v>240</v>
      </c>
      <c r="AD1270" s="201" t="s">
        <v>245</v>
      </c>
      <c r="AE1270" s="201" t="s">
        <v>357</v>
      </c>
      <c r="AF1270" s="201" t="s">
        <v>362</v>
      </c>
      <c r="AG1270" s="201" t="s">
        <v>361</v>
      </c>
      <c r="AH1270" s="201" t="s">
        <v>234</v>
      </c>
      <c r="AI1270" s="568" t="s">
        <v>239</v>
      </c>
      <c r="AJ1270" s="212"/>
    </row>
    <row r="1271" spans="1:36" ht="14.4">
      <c r="B1271" s="211"/>
      <c r="C1271" s="213" t="s">
        <v>40</v>
      </c>
      <c r="D1271" s="417">
        <v>1305040.6399999999</v>
      </c>
      <c r="E1271" s="214">
        <v>0</v>
      </c>
      <c r="F1271" s="214">
        <v>0</v>
      </c>
      <c r="G1271" s="214">
        <v>0</v>
      </c>
      <c r="H1271" s="214">
        <v>0</v>
      </c>
      <c r="I1271" s="214" t="s">
        <v>401</v>
      </c>
      <c r="J1271" s="214">
        <v>0</v>
      </c>
      <c r="K1271" s="214">
        <v>0</v>
      </c>
      <c r="L1271" s="214">
        <v>0</v>
      </c>
      <c r="M1271" s="214">
        <v>0</v>
      </c>
      <c r="N1271" s="214">
        <v>0</v>
      </c>
      <c r="O1271" s="214">
        <v>0</v>
      </c>
      <c r="P1271" s="214">
        <v>0</v>
      </c>
      <c r="Q1271" s="214">
        <v>0</v>
      </c>
      <c r="R1271" s="214">
        <v>0</v>
      </c>
      <c r="S1271" s="214">
        <v>0</v>
      </c>
      <c r="T1271" s="214">
        <v>0</v>
      </c>
      <c r="U1271" s="214">
        <v>0</v>
      </c>
      <c r="V1271" s="214">
        <v>0</v>
      </c>
      <c r="W1271" s="214">
        <v>0</v>
      </c>
      <c r="X1271" s="214">
        <v>0</v>
      </c>
      <c r="Y1271" s="214">
        <v>0</v>
      </c>
      <c r="Z1271" s="214">
        <v>0</v>
      </c>
      <c r="AA1271" s="214">
        <v>0</v>
      </c>
      <c r="AB1271" s="214">
        <v>0</v>
      </c>
      <c r="AC1271" s="214">
        <v>0</v>
      </c>
      <c r="AD1271" s="215"/>
      <c r="AE1271" s="420">
        <v>0</v>
      </c>
      <c r="AF1271" s="420">
        <v>0</v>
      </c>
      <c r="AG1271" s="420">
        <v>0</v>
      </c>
      <c r="AH1271" s="420"/>
      <c r="AI1271" s="574">
        <f>SUM(D1271:AH1271)</f>
        <v>1305040.6399999999</v>
      </c>
      <c r="AJ1271" s="212"/>
    </row>
    <row r="1272" spans="1:36" ht="14.4">
      <c r="B1272" s="211"/>
      <c r="C1272" s="213" t="s">
        <v>41</v>
      </c>
      <c r="D1272" s="417">
        <v>0</v>
      </c>
      <c r="E1272" s="214">
        <v>386501.24</v>
      </c>
      <c r="F1272" s="214">
        <v>389446.5</v>
      </c>
      <c r="G1272" s="214">
        <v>242757.21</v>
      </c>
      <c r="H1272" s="214">
        <v>439149.08999999997</v>
      </c>
      <c r="I1272" s="214">
        <v>44025.24</v>
      </c>
      <c r="J1272" s="214">
        <v>23089.91</v>
      </c>
      <c r="K1272" s="214">
        <v>17969.650000000001</v>
      </c>
      <c r="L1272" s="214">
        <v>15475.33</v>
      </c>
      <c r="M1272" s="214">
        <v>228166.5</v>
      </c>
      <c r="N1272" s="214">
        <v>23979.3</v>
      </c>
      <c r="O1272" s="214">
        <v>309768.21000000002</v>
      </c>
      <c r="P1272" s="214">
        <v>262643.20000000001</v>
      </c>
      <c r="Q1272" s="214">
        <v>540061.31000000006</v>
      </c>
      <c r="R1272" s="214">
        <v>42680.450000000004</v>
      </c>
      <c r="S1272" s="214">
        <v>237152.18</v>
      </c>
      <c r="T1272" s="214">
        <v>24511.03</v>
      </c>
      <c r="U1272" s="214">
        <v>23346.2</v>
      </c>
      <c r="V1272" s="214">
        <v>25788.699999999997</v>
      </c>
      <c r="W1272" s="214">
        <v>9037.15</v>
      </c>
      <c r="X1272" s="214">
        <v>11044.2</v>
      </c>
      <c r="Y1272" s="214">
        <v>10868.730000000001</v>
      </c>
      <c r="Z1272" s="214">
        <v>7825.3</v>
      </c>
      <c r="AA1272" s="214">
        <v>10330.76</v>
      </c>
      <c r="AB1272" s="214">
        <v>20045.32</v>
      </c>
      <c r="AC1272" s="214">
        <v>28295.15</v>
      </c>
      <c r="AD1272" s="215"/>
      <c r="AE1272" s="420">
        <f>387176.21+12180</f>
        <v>399356.21</v>
      </c>
      <c r="AF1272" s="420">
        <v>6914.5499999999993</v>
      </c>
      <c r="AG1272" s="420">
        <v>45927.11</v>
      </c>
      <c r="AH1272" s="420">
        <v>0</v>
      </c>
      <c r="AI1272" s="574">
        <f t="shared" ref="AI1272:AI1335" si="33">SUM(D1272:AH1272)</f>
        <v>3826155.73</v>
      </c>
      <c r="AJ1272" s="212"/>
    </row>
    <row r="1273" spans="1:36" ht="14.4">
      <c r="B1273" s="211"/>
      <c r="C1273" s="213" t="s">
        <v>26</v>
      </c>
      <c r="D1273" s="417">
        <v>16611</v>
      </c>
      <c r="E1273" s="214">
        <v>5587</v>
      </c>
      <c r="F1273" s="214">
        <v>3880</v>
      </c>
      <c r="G1273" s="214">
        <v>5235</v>
      </c>
      <c r="H1273" s="214">
        <v>8362</v>
      </c>
      <c r="I1273" s="214">
        <v>0</v>
      </c>
      <c r="J1273" s="214">
        <v>0</v>
      </c>
      <c r="K1273" s="214">
        <v>0</v>
      </c>
      <c r="L1273" s="214">
        <v>0</v>
      </c>
      <c r="M1273" s="214">
        <v>20000</v>
      </c>
      <c r="N1273" s="214">
        <v>0</v>
      </c>
      <c r="O1273" s="214">
        <v>1000</v>
      </c>
      <c r="P1273" s="214">
        <v>7100</v>
      </c>
      <c r="Q1273" s="214">
        <v>6130</v>
      </c>
      <c r="R1273" s="214">
        <v>4200</v>
      </c>
      <c r="S1273" s="214">
        <v>7011</v>
      </c>
      <c r="T1273" s="214">
        <v>0</v>
      </c>
      <c r="U1273" s="214">
        <v>0</v>
      </c>
      <c r="V1273" s="214">
        <v>0</v>
      </c>
      <c r="W1273" s="214">
        <v>0</v>
      </c>
      <c r="X1273" s="214">
        <v>0</v>
      </c>
      <c r="Y1273" s="214">
        <v>0</v>
      </c>
      <c r="Z1273" s="214">
        <v>0</v>
      </c>
      <c r="AA1273" s="214">
        <v>0</v>
      </c>
      <c r="AB1273" s="214">
        <v>0</v>
      </c>
      <c r="AC1273" s="214">
        <v>0</v>
      </c>
      <c r="AD1273" s="215"/>
      <c r="AE1273" s="420">
        <v>2202</v>
      </c>
      <c r="AF1273" s="420">
        <v>0</v>
      </c>
      <c r="AG1273" s="420">
        <v>0</v>
      </c>
      <c r="AH1273" s="420"/>
      <c r="AI1273" s="574">
        <f t="shared" si="33"/>
        <v>87318</v>
      </c>
      <c r="AJ1273" s="212"/>
    </row>
    <row r="1274" spans="1:36" ht="14.4">
      <c r="B1274" s="211"/>
      <c r="C1274" s="213" t="s">
        <v>27</v>
      </c>
      <c r="D1274" s="417">
        <v>0</v>
      </c>
      <c r="E1274" s="214">
        <v>842</v>
      </c>
      <c r="F1274" s="214">
        <v>0</v>
      </c>
      <c r="G1274" s="214">
        <v>137</v>
      </c>
      <c r="H1274" s="214">
        <v>0</v>
      </c>
      <c r="I1274" s="214">
        <v>0</v>
      </c>
      <c r="J1274" s="214">
        <v>0</v>
      </c>
      <c r="K1274" s="214">
        <v>0</v>
      </c>
      <c r="L1274" s="214">
        <v>0</v>
      </c>
      <c r="M1274" s="214">
        <v>0</v>
      </c>
      <c r="N1274" s="214">
        <v>0</v>
      </c>
      <c r="O1274" s="214">
        <v>0</v>
      </c>
      <c r="P1274" s="214">
        <v>0</v>
      </c>
      <c r="Q1274" s="214">
        <v>0</v>
      </c>
      <c r="R1274" s="214">
        <v>0</v>
      </c>
      <c r="S1274" s="214">
        <v>0</v>
      </c>
      <c r="T1274" s="214">
        <v>0</v>
      </c>
      <c r="U1274" s="214">
        <v>0</v>
      </c>
      <c r="V1274" s="214">
        <v>0</v>
      </c>
      <c r="W1274" s="214">
        <v>0</v>
      </c>
      <c r="X1274" s="214">
        <v>0</v>
      </c>
      <c r="Y1274" s="214">
        <v>0</v>
      </c>
      <c r="Z1274" s="214">
        <v>0</v>
      </c>
      <c r="AA1274" s="214">
        <v>0</v>
      </c>
      <c r="AB1274" s="214">
        <v>0</v>
      </c>
      <c r="AC1274" s="214">
        <v>0</v>
      </c>
      <c r="AD1274" s="215"/>
      <c r="AE1274" s="420">
        <v>0</v>
      </c>
      <c r="AF1274" s="420">
        <v>0</v>
      </c>
      <c r="AG1274" s="420">
        <v>0</v>
      </c>
      <c r="AH1274" s="420"/>
      <c r="AI1274" s="574">
        <f t="shared" si="33"/>
        <v>979</v>
      </c>
      <c r="AJ1274" s="212"/>
    </row>
    <row r="1275" spans="1:36" ht="14.4">
      <c r="B1275" s="211"/>
      <c r="C1275" s="213" t="s">
        <v>42</v>
      </c>
      <c r="D1275" s="417">
        <v>600</v>
      </c>
      <c r="E1275" s="214">
        <v>400</v>
      </c>
      <c r="F1275" s="214">
        <v>600</v>
      </c>
      <c r="G1275" s="214">
        <v>400</v>
      </c>
      <c r="H1275" s="214">
        <v>400</v>
      </c>
      <c r="I1275" s="214">
        <v>0</v>
      </c>
      <c r="J1275" s="214">
        <v>0</v>
      </c>
      <c r="K1275" s="214">
        <v>0</v>
      </c>
      <c r="L1275" s="214">
        <v>0</v>
      </c>
      <c r="M1275" s="214">
        <v>0</v>
      </c>
      <c r="N1275" s="214">
        <v>0</v>
      </c>
      <c r="O1275" s="214">
        <v>0</v>
      </c>
      <c r="P1275" s="214">
        <v>0</v>
      </c>
      <c r="Q1275" s="214">
        <v>0</v>
      </c>
      <c r="R1275" s="214">
        <v>0</v>
      </c>
      <c r="S1275" s="214">
        <v>400</v>
      </c>
      <c r="T1275" s="214">
        <v>0</v>
      </c>
      <c r="U1275" s="214">
        <v>0</v>
      </c>
      <c r="V1275" s="214">
        <v>0</v>
      </c>
      <c r="W1275" s="214">
        <v>0</v>
      </c>
      <c r="X1275" s="214">
        <v>0</v>
      </c>
      <c r="Y1275" s="214">
        <v>0</v>
      </c>
      <c r="Z1275" s="214">
        <v>0</v>
      </c>
      <c r="AA1275" s="214">
        <v>0</v>
      </c>
      <c r="AB1275" s="214">
        <v>0</v>
      </c>
      <c r="AC1275" s="214">
        <v>0</v>
      </c>
      <c r="AD1275" s="215"/>
      <c r="AE1275" s="420">
        <v>100</v>
      </c>
      <c r="AF1275" s="420">
        <v>0</v>
      </c>
      <c r="AG1275" s="420">
        <v>0</v>
      </c>
      <c r="AH1275" s="420"/>
      <c r="AI1275" s="574">
        <f t="shared" si="33"/>
        <v>2900</v>
      </c>
      <c r="AJ1275" s="212"/>
    </row>
    <row r="1276" spans="1:36" ht="14.4">
      <c r="B1276" s="211"/>
      <c r="C1276" s="213" t="s">
        <v>43</v>
      </c>
      <c r="D1276" s="417">
        <v>0</v>
      </c>
      <c r="E1276" s="214">
        <v>170000</v>
      </c>
      <c r="F1276" s="214">
        <v>170000</v>
      </c>
      <c r="G1276" s="214">
        <v>170000</v>
      </c>
      <c r="H1276" s="214">
        <v>0</v>
      </c>
      <c r="I1276" s="214">
        <v>0</v>
      </c>
      <c r="J1276" s="214">
        <v>0</v>
      </c>
      <c r="K1276" s="214">
        <v>0</v>
      </c>
      <c r="L1276" s="214">
        <v>0</v>
      </c>
      <c r="M1276" s="214">
        <v>0</v>
      </c>
      <c r="N1276" s="214">
        <v>0</v>
      </c>
      <c r="O1276" s="214">
        <v>0</v>
      </c>
      <c r="P1276" s="214">
        <v>0</v>
      </c>
      <c r="Q1276" s="214">
        <v>0</v>
      </c>
      <c r="R1276" s="214">
        <v>0</v>
      </c>
      <c r="S1276" s="214">
        <v>0</v>
      </c>
      <c r="T1276" s="214">
        <v>0</v>
      </c>
      <c r="U1276" s="214">
        <v>0</v>
      </c>
      <c r="V1276" s="214">
        <v>0</v>
      </c>
      <c r="W1276" s="214">
        <v>0</v>
      </c>
      <c r="X1276" s="214">
        <v>0</v>
      </c>
      <c r="Y1276" s="214">
        <v>0</v>
      </c>
      <c r="Z1276" s="214">
        <v>0</v>
      </c>
      <c r="AA1276" s="214">
        <v>0</v>
      </c>
      <c r="AB1276" s="214">
        <v>0</v>
      </c>
      <c r="AC1276" s="214">
        <v>0</v>
      </c>
      <c r="AD1276" s="215"/>
      <c r="AE1276" s="420">
        <v>0</v>
      </c>
      <c r="AF1276" s="420">
        <v>0</v>
      </c>
      <c r="AG1276" s="420">
        <v>0</v>
      </c>
      <c r="AH1276" s="420"/>
      <c r="AI1276" s="574">
        <f t="shared" si="33"/>
        <v>510000</v>
      </c>
      <c r="AJ1276" s="212"/>
    </row>
    <row r="1277" spans="1:36" ht="14.4">
      <c r="B1277" s="211"/>
      <c r="C1277" s="213" t="s">
        <v>44</v>
      </c>
      <c r="D1277" s="417">
        <v>50000</v>
      </c>
      <c r="E1277" s="214">
        <v>0</v>
      </c>
      <c r="F1277" s="214">
        <v>0</v>
      </c>
      <c r="G1277" s="214">
        <v>0</v>
      </c>
      <c r="H1277" s="214">
        <v>0</v>
      </c>
      <c r="I1277" s="214">
        <v>0</v>
      </c>
      <c r="J1277" s="214">
        <v>0</v>
      </c>
      <c r="K1277" s="214">
        <v>0</v>
      </c>
      <c r="L1277" s="214">
        <v>0</v>
      </c>
      <c r="M1277" s="214">
        <v>0</v>
      </c>
      <c r="N1277" s="214">
        <v>0</v>
      </c>
      <c r="O1277" s="214">
        <v>0</v>
      </c>
      <c r="P1277" s="214">
        <v>0</v>
      </c>
      <c r="Q1277" s="214">
        <v>0</v>
      </c>
      <c r="R1277" s="214">
        <v>0</v>
      </c>
      <c r="S1277" s="214">
        <v>0</v>
      </c>
      <c r="T1277" s="214">
        <v>0</v>
      </c>
      <c r="U1277" s="214">
        <v>0</v>
      </c>
      <c r="V1277" s="214">
        <v>0</v>
      </c>
      <c r="W1277" s="214">
        <v>0</v>
      </c>
      <c r="X1277" s="214">
        <v>0</v>
      </c>
      <c r="Y1277" s="214">
        <v>0</v>
      </c>
      <c r="Z1277" s="214">
        <v>0</v>
      </c>
      <c r="AA1277" s="214">
        <v>0</v>
      </c>
      <c r="AB1277" s="214">
        <v>0</v>
      </c>
      <c r="AC1277" s="214">
        <v>0</v>
      </c>
      <c r="AD1277" s="215"/>
      <c r="AE1277" s="420">
        <v>0</v>
      </c>
      <c r="AF1277" s="420">
        <v>0</v>
      </c>
      <c r="AG1277" s="420">
        <v>0</v>
      </c>
      <c r="AH1277" s="420"/>
      <c r="AI1277" s="574">
        <f t="shared" si="33"/>
        <v>50000</v>
      </c>
      <c r="AJ1277" s="212"/>
    </row>
    <row r="1278" spans="1:36" ht="14.4">
      <c r="B1278" s="211"/>
      <c r="C1278" s="213" t="s">
        <v>45</v>
      </c>
      <c r="D1278" s="417">
        <f>56530-13200</f>
        <v>43330</v>
      </c>
      <c r="E1278" s="214">
        <v>0</v>
      </c>
      <c r="F1278" s="214">
        <v>27200</v>
      </c>
      <c r="G1278" s="214">
        <v>0</v>
      </c>
      <c r="H1278" s="214">
        <v>35500</v>
      </c>
      <c r="I1278" s="214">
        <v>0</v>
      </c>
      <c r="J1278" s="214">
        <v>0</v>
      </c>
      <c r="K1278" s="214">
        <v>0</v>
      </c>
      <c r="L1278" s="214">
        <v>0</v>
      </c>
      <c r="M1278" s="214">
        <v>16000</v>
      </c>
      <c r="N1278" s="214">
        <v>13200</v>
      </c>
      <c r="O1278" s="214">
        <v>20000</v>
      </c>
      <c r="P1278" s="214">
        <v>22700</v>
      </c>
      <c r="Q1278" s="214">
        <v>101586</v>
      </c>
      <c r="R1278" s="214">
        <v>23420</v>
      </c>
      <c r="S1278" s="214">
        <v>56950</v>
      </c>
      <c r="T1278" s="214">
        <v>0</v>
      </c>
      <c r="U1278" s="214">
        <v>0</v>
      </c>
      <c r="V1278" s="214">
        <v>0</v>
      </c>
      <c r="W1278" s="214">
        <v>0</v>
      </c>
      <c r="X1278" s="214">
        <v>0</v>
      </c>
      <c r="Y1278" s="214">
        <v>0</v>
      </c>
      <c r="Z1278" s="214">
        <v>0</v>
      </c>
      <c r="AA1278" s="214">
        <v>0</v>
      </c>
      <c r="AB1278" s="214">
        <v>0</v>
      </c>
      <c r="AC1278" s="214">
        <v>0</v>
      </c>
      <c r="AD1278" s="215"/>
      <c r="AE1278" s="420">
        <v>48050</v>
      </c>
      <c r="AF1278" s="420">
        <v>0</v>
      </c>
      <c r="AG1278" s="420">
        <v>0</v>
      </c>
      <c r="AH1278" s="420"/>
      <c r="AI1278" s="574">
        <f t="shared" si="33"/>
        <v>407936</v>
      </c>
      <c r="AJ1278" s="212"/>
    </row>
    <row r="1279" spans="1:36" ht="14.4">
      <c r="B1279" s="211"/>
      <c r="C1279" s="213" t="s">
        <v>156</v>
      </c>
      <c r="D1279" s="417">
        <v>1650</v>
      </c>
      <c r="E1279" s="214">
        <v>0</v>
      </c>
      <c r="F1279" s="214">
        <v>0</v>
      </c>
      <c r="G1279" s="214">
        <v>25</v>
      </c>
      <c r="H1279" s="214">
        <v>0</v>
      </c>
      <c r="I1279" s="214">
        <v>0</v>
      </c>
      <c r="J1279" s="214">
        <v>0</v>
      </c>
      <c r="K1279" s="214">
        <v>0</v>
      </c>
      <c r="L1279" s="214">
        <v>0</v>
      </c>
      <c r="M1279" s="214">
        <v>0</v>
      </c>
      <c r="N1279" s="214">
        <v>0</v>
      </c>
      <c r="O1279" s="214">
        <v>0</v>
      </c>
      <c r="P1279" s="214">
        <v>0</v>
      </c>
      <c r="Q1279" s="214">
        <v>0</v>
      </c>
      <c r="R1279" s="214">
        <v>0</v>
      </c>
      <c r="S1279" s="214">
        <v>0</v>
      </c>
      <c r="T1279" s="214">
        <v>0</v>
      </c>
      <c r="U1279" s="214">
        <v>0</v>
      </c>
      <c r="V1279" s="214">
        <v>0</v>
      </c>
      <c r="W1279" s="214">
        <v>0</v>
      </c>
      <c r="X1279" s="214">
        <v>0</v>
      </c>
      <c r="Y1279" s="214">
        <v>0</v>
      </c>
      <c r="Z1279" s="214">
        <v>0</v>
      </c>
      <c r="AA1279" s="214">
        <v>0</v>
      </c>
      <c r="AB1279" s="214">
        <v>0</v>
      </c>
      <c r="AC1279" s="214">
        <v>0</v>
      </c>
      <c r="AD1279" s="215"/>
      <c r="AE1279" s="420">
        <v>0</v>
      </c>
      <c r="AF1279" s="420">
        <v>0</v>
      </c>
      <c r="AG1279" s="420">
        <v>0</v>
      </c>
      <c r="AH1279" s="420"/>
      <c r="AI1279" s="574">
        <f t="shared" si="33"/>
        <v>1675</v>
      </c>
      <c r="AJ1279" s="212"/>
    </row>
    <row r="1280" spans="1:36" ht="14.4">
      <c r="B1280" s="211"/>
      <c r="C1280" s="213" t="s">
        <v>46</v>
      </c>
      <c r="D1280" s="417">
        <v>12579.97</v>
      </c>
      <c r="E1280" s="214">
        <v>1071.98</v>
      </c>
      <c r="F1280" s="214">
        <v>670</v>
      </c>
      <c r="G1280" s="214">
        <v>444.46</v>
      </c>
      <c r="H1280" s="214">
        <v>198.1</v>
      </c>
      <c r="I1280" s="214">
        <v>84.95</v>
      </c>
      <c r="J1280" s="214">
        <v>0</v>
      </c>
      <c r="K1280" s="214">
        <v>523.88</v>
      </c>
      <c r="L1280" s="214">
        <v>65.87</v>
      </c>
      <c r="M1280" s="214">
        <v>836.97</v>
      </c>
      <c r="N1280" s="214">
        <v>164.67</v>
      </c>
      <c r="O1280" s="214">
        <v>1732.11</v>
      </c>
      <c r="P1280" s="214">
        <v>658.81</v>
      </c>
      <c r="Q1280" s="214">
        <v>540.5</v>
      </c>
      <c r="R1280" s="214">
        <v>65.87</v>
      </c>
      <c r="S1280" s="214">
        <v>616.1</v>
      </c>
      <c r="T1280" s="214">
        <v>0</v>
      </c>
      <c r="U1280" s="214">
        <v>168.67</v>
      </c>
      <c r="V1280" s="214">
        <v>130.13999999999999</v>
      </c>
      <c r="W1280" s="214">
        <v>123</v>
      </c>
      <c r="X1280" s="214">
        <v>168.67</v>
      </c>
      <c r="Y1280" s="214">
        <v>62.18</v>
      </c>
      <c r="Z1280" s="214">
        <v>57.87</v>
      </c>
      <c r="AA1280" s="214">
        <v>65.87</v>
      </c>
      <c r="AB1280" s="214">
        <v>68.33</v>
      </c>
      <c r="AC1280" s="214">
        <v>62.18</v>
      </c>
      <c r="AD1280" s="215"/>
      <c r="AE1280" s="420">
        <v>795.86</v>
      </c>
      <c r="AF1280" s="420">
        <v>185.5</v>
      </c>
      <c r="AG1280" s="420">
        <v>123</v>
      </c>
      <c r="AH1280" s="420"/>
      <c r="AI1280" s="574">
        <f t="shared" si="33"/>
        <v>22265.509999999995</v>
      </c>
      <c r="AJ1280" s="212"/>
    </row>
    <row r="1281" spans="2:36" ht="14.4">
      <c r="B1281" s="211"/>
      <c r="C1281" s="213" t="s">
        <v>47</v>
      </c>
      <c r="D1281" s="417">
        <v>0</v>
      </c>
      <c r="E1281" s="214">
        <v>0</v>
      </c>
      <c r="F1281" s="214">
        <v>0</v>
      </c>
      <c r="G1281" s="214">
        <v>0</v>
      </c>
      <c r="H1281" s="214">
        <v>0</v>
      </c>
      <c r="I1281" s="214">
        <v>0</v>
      </c>
      <c r="J1281" s="214">
        <v>0</v>
      </c>
      <c r="K1281" s="214">
        <v>0</v>
      </c>
      <c r="L1281" s="214">
        <v>0</v>
      </c>
      <c r="M1281" s="214">
        <v>0</v>
      </c>
      <c r="N1281" s="214">
        <v>0</v>
      </c>
      <c r="O1281" s="214">
        <v>0</v>
      </c>
      <c r="P1281" s="214">
        <v>0</v>
      </c>
      <c r="Q1281" s="214">
        <v>0</v>
      </c>
      <c r="R1281" s="214">
        <v>0</v>
      </c>
      <c r="S1281" s="214">
        <v>0</v>
      </c>
      <c r="T1281" s="214">
        <v>0</v>
      </c>
      <c r="U1281" s="214">
        <v>0</v>
      </c>
      <c r="V1281" s="214">
        <v>0</v>
      </c>
      <c r="W1281" s="214">
        <v>0</v>
      </c>
      <c r="X1281" s="214">
        <v>100</v>
      </c>
      <c r="Y1281" s="214">
        <v>0</v>
      </c>
      <c r="Z1281" s="214">
        <v>0</v>
      </c>
      <c r="AA1281" s="214">
        <v>0</v>
      </c>
      <c r="AB1281" s="214">
        <v>0</v>
      </c>
      <c r="AC1281" s="214">
        <v>0</v>
      </c>
      <c r="AD1281" s="215"/>
      <c r="AE1281" s="420">
        <v>0</v>
      </c>
      <c r="AF1281" s="420">
        <v>0</v>
      </c>
      <c r="AG1281" s="420">
        <v>0</v>
      </c>
      <c r="AH1281" s="420"/>
      <c r="AI1281" s="574">
        <f t="shared" si="33"/>
        <v>100</v>
      </c>
      <c r="AJ1281" s="212"/>
    </row>
    <row r="1282" spans="2:36" ht="14.4">
      <c r="B1282" s="211"/>
      <c r="C1282" s="213" t="s">
        <v>48</v>
      </c>
      <c r="D1282" s="417">
        <v>1900</v>
      </c>
      <c r="E1282" s="214">
        <v>1150</v>
      </c>
      <c r="F1282" s="214">
        <v>900</v>
      </c>
      <c r="G1282" s="214">
        <v>250</v>
      </c>
      <c r="H1282" s="214">
        <v>750</v>
      </c>
      <c r="I1282" s="214">
        <v>0</v>
      </c>
      <c r="J1282" s="214">
        <v>0</v>
      </c>
      <c r="K1282" s="214">
        <v>0</v>
      </c>
      <c r="L1282" s="214">
        <v>0</v>
      </c>
      <c r="M1282" s="214">
        <v>750</v>
      </c>
      <c r="N1282" s="214">
        <v>0</v>
      </c>
      <c r="O1282" s="214">
        <v>750</v>
      </c>
      <c r="P1282" s="214">
        <v>750</v>
      </c>
      <c r="Q1282" s="214">
        <v>650</v>
      </c>
      <c r="R1282" s="214">
        <v>0</v>
      </c>
      <c r="S1282" s="214">
        <v>0</v>
      </c>
      <c r="T1282" s="214">
        <v>0</v>
      </c>
      <c r="U1282" s="214">
        <v>0</v>
      </c>
      <c r="V1282" s="214">
        <v>0</v>
      </c>
      <c r="W1282" s="214">
        <v>0</v>
      </c>
      <c r="X1282" s="214">
        <v>0</v>
      </c>
      <c r="Y1282" s="214">
        <v>0</v>
      </c>
      <c r="Z1282" s="214">
        <v>0</v>
      </c>
      <c r="AA1282" s="214">
        <v>0</v>
      </c>
      <c r="AB1282" s="214">
        <v>0</v>
      </c>
      <c r="AC1282" s="214">
        <v>0</v>
      </c>
      <c r="AD1282" s="215"/>
      <c r="AE1282" s="420">
        <v>0</v>
      </c>
      <c r="AF1282" s="420">
        <v>0</v>
      </c>
      <c r="AG1282" s="420">
        <v>0</v>
      </c>
      <c r="AH1282" s="420"/>
      <c r="AI1282" s="574">
        <f t="shared" si="33"/>
        <v>7850</v>
      </c>
      <c r="AJ1282" s="212"/>
    </row>
    <row r="1283" spans="2:36" ht="14.4">
      <c r="B1283" s="211"/>
      <c r="C1283" s="213" t="s">
        <v>49</v>
      </c>
      <c r="D1283" s="417">
        <v>10290</v>
      </c>
      <c r="E1283" s="214">
        <v>0</v>
      </c>
      <c r="F1283" s="214">
        <v>0</v>
      </c>
      <c r="G1283" s="214">
        <v>0</v>
      </c>
      <c r="H1283" s="214">
        <v>0</v>
      </c>
      <c r="I1283" s="214">
        <v>0</v>
      </c>
      <c r="J1283" s="214">
        <v>0</v>
      </c>
      <c r="K1283" s="214">
        <v>0</v>
      </c>
      <c r="L1283" s="214">
        <v>0</v>
      </c>
      <c r="M1283" s="214">
        <v>0</v>
      </c>
      <c r="N1283" s="214">
        <v>0</v>
      </c>
      <c r="O1283" s="214">
        <v>0</v>
      </c>
      <c r="P1283" s="214">
        <v>0</v>
      </c>
      <c r="Q1283" s="214">
        <v>0</v>
      </c>
      <c r="R1283" s="214">
        <v>0</v>
      </c>
      <c r="S1283" s="214">
        <v>0</v>
      </c>
      <c r="T1283" s="214">
        <v>0</v>
      </c>
      <c r="U1283" s="214">
        <v>0</v>
      </c>
      <c r="V1283" s="214">
        <v>0</v>
      </c>
      <c r="W1283" s="214">
        <v>0</v>
      </c>
      <c r="X1283" s="214">
        <v>0</v>
      </c>
      <c r="Y1283" s="214">
        <v>0</v>
      </c>
      <c r="Z1283" s="214">
        <v>0</v>
      </c>
      <c r="AA1283" s="214">
        <v>0</v>
      </c>
      <c r="AB1283" s="214">
        <v>0</v>
      </c>
      <c r="AC1283" s="214">
        <v>0</v>
      </c>
      <c r="AD1283" s="215"/>
      <c r="AE1283" s="420">
        <v>0</v>
      </c>
      <c r="AF1283" s="420">
        <v>0</v>
      </c>
      <c r="AG1283" s="420">
        <v>0</v>
      </c>
      <c r="AH1283" s="420"/>
      <c r="AI1283" s="574">
        <f t="shared" si="33"/>
        <v>10290</v>
      </c>
      <c r="AJ1283" s="212"/>
    </row>
    <row r="1284" spans="2:36" ht="14.4">
      <c r="B1284" s="211"/>
      <c r="C1284" s="213" t="s">
        <v>158</v>
      </c>
      <c r="D1284" s="417">
        <v>17956</v>
      </c>
      <c r="E1284" s="214">
        <v>7410</v>
      </c>
      <c r="F1284" s="214">
        <v>4910</v>
      </c>
      <c r="G1284" s="214">
        <v>1850</v>
      </c>
      <c r="H1284" s="214">
        <v>0</v>
      </c>
      <c r="I1284" s="214">
        <v>0</v>
      </c>
      <c r="J1284" s="214">
        <v>0</v>
      </c>
      <c r="K1284" s="214">
        <v>0</v>
      </c>
      <c r="L1284" s="214">
        <v>0</v>
      </c>
      <c r="M1284" s="214">
        <v>0</v>
      </c>
      <c r="N1284" s="214">
        <v>0</v>
      </c>
      <c r="O1284" s="214">
        <v>0</v>
      </c>
      <c r="P1284" s="214">
        <v>0</v>
      </c>
      <c r="Q1284" s="214">
        <v>0</v>
      </c>
      <c r="R1284" s="214">
        <v>0</v>
      </c>
      <c r="S1284" s="214">
        <v>4910</v>
      </c>
      <c r="T1284" s="214">
        <v>0</v>
      </c>
      <c r="U1284" s="214">
        <v>0</v>
      </c>
      <c r="V1284" s="214">
        <v>0</v>
      </c>
      <c r="W1284" s="214">
        <v>0</v>
      </c>
      <c r="X1284" s="214">
        <v>0</v>
      </c>
      <c r="Y1284" s="214">
        <v>0</v>
      </c>
      <c r="Z1284" s="214">
        <v>0</v>
      </c>
      <c r="AA1284" s="214">
        <v>0</v>
      </c>
      <c r="AB1284" s="214">
        <v>0</v>
      </c>
      <c r="AC1284" s="214">
        <v>0</v>
      </c>
      <c r="AD1284" s="215"/>
      <c r="AE1284" s="420">
        <v>0</v>
      </c>
      <c r="AF1284" s="420">
        <v>0</v>
      </c>
      <c r="AG1284" s="420">
        <v>0</v>
      </c>
      <c r="AH1284" s="420"/>
      <c r="AI1284" s="574">
        <f t="shared" si="33"/>
        <v>37036</v>
      </c>
      <c r="AJ1284" s="212"/>
    </row>
    <row r="1285" spans="2:36" ht="14.4">
      <c r="B1285" s="211"/>
      <c r="C1285" s="213" t="s">
        <v>50</v>
      </c>
      <c r="D1285" s="417">
        <v>0</v>
      </c>
      <c r="E1285" s="214">
        <v>0</v>
      </c>
      <c r="F1285" s="214">
        <v>0</v>
      </c>
      <c r="G1285" s="214">
        <v>0</v>
      </c>
      <c r="H1285" s="214">
        <v>0</v>
      </c>
      <c r="I1285" s="214">
        <v>0</v>
      </c>
      <c r="J1285" s="214">
        <v>0</v>
      </c>
      <c r="K1285" s="214">
        <v>0</v>
      </c>
      <c r="L1285" s="214">
        <v>0</v>
      </c>
      <c r="M1285" s="214">
        <v>0</v>
      </c>
      <c r="N1285" s="214">
        <v>0</v>
      </c>
      <c r="O1285" s="214">
        <v>0</v>
      </c>
      <c r="P1285" s="214">
        <v>0</v>
      </c>
      <c r="Q1285" s="214">
        <v>0</v>
      </c>
      <c r="R1285" s="214">
        <v>0</v>
      </c>
      <c r="S1285" s="214">
        <v>0</v>
      </c>
      <c r="T1285" s="214">
        <v>0</v>
      </c>
      <c r="U1285" s="214">
        <v>0</v>
      </c>
      <c r="V1285" s="214">
        <v>0</v>
      </c>
      <c r="W1285" s="214">
        <v>0</v>
      </c>
      <c r="X1285" s="214">
        <v>0</v>
      </c>
      <c r="Y1285" s="214">
        <v>0</v>
      </c>
      <c r="Z1285" s="214">
        <v>0</v>
      </c>
      <c r="AA1285" s="214">
        <v>0</v>
      </c>
      <c r="AB1285" s="214">
        <v>0</v>
      </c>
      <c r="AC1285" s="214">
        <v>0</v>
      </c>
      <c r="AD1285" s="215"/>
      <c r="AE1285" s="420">
        <v>0</v>
      </c>
      <c r="AF1285" s="420">
        <v>0</v>
      </c>
      <c r="AG1285" s="420">
        <v>0</v>
      </c>
      <c r="AH1285" s="420"/>
      <c r="AI1285" s="574">
        <f t="shared" si="33"/>
        <v>0</v>
      </c>
      <c r="AJ1285" s="212"/>
    </row>
    <row r="1286" spans="2:36" ht="14.4">
      <c r="B1286" s="211"/>
      <c r="C1286" s="213" t="s">
        <v>51</v>
      </c>
      <c r="D1286" s="417">
        <v>0</v>
      </c>
      <c r="E1286" s="214">
        <v>0</v>
      </c>
      <c r="F1286" s="214">
        <v>0</v>
      </c>
      <c r="G1286" s="214">
        <v>0</v>
      </c>
      <c r="H1286" s="214">
        <v>0</v>
      </c>
      <c r="I1286" s="214">
        <v>0</v>
      </c>
      <c r="J1286" s="214">
        <v>0</v>
      </c>
      <c r="K1286" s="214">
        <v>0</v>
      </c>
      <c r="L1286" s="214">
        <v>0</v>
      </c>
      <c r="M1286" s="214">
        <v>0</v>
      </c>
      <c r="N1286" s="214">
        <v>0</v>
      </c>
      <c r="O1286" s="214">
        <v>0</v>
      </c>
      <c r="P1286" s="214">
        <v>0</v>
      </c>
      <c r="Q1286" s="214">
        <v>0</v>
      </c>
      <c r="R1286" s="214">
        <v>0</v>
      </c>
      <c r="S1286" s="214">
        <v>0</v>
      </c>
      <c r="T1286" s="214">
        <v>0</v>
      </c>
      <c r="U1286" s="214">
        <v>0</v>
      </c>
      <c r="V1286" s="214">
        <v>0</v>
      </c>
      <c r="W1286" s="214">
        <v>0</v>
      </c>
      <c r="X1286" s="214">
        <v>0</v>
      </c>
      <c r="Y1286" s="214">
        <v>0</v>
      </c>
      <c r="Z1286" s="214">
        <v>0</v>
      </c>
      <c r="AA1286" s="214">
        <v>0</v>
      </c>
      <c r="AB1286" s="214">
        <v>0</v>
      </c>
      <c r="AC1286" s="214">
        <v>0</v>
      </c>
      <c r="AD1286" s="215"/>
      <c r="AE1286" s="420">
        <v>130</v>
      </c>
      <c r="AF1286" s="420">
        <v>0</v>
      </c>
      <c r="AG1286" s="420">
        <v>0</v>
      </c>
      <c r="AH1286" s="420"/>
      <c r="AI1286" s="574">
        <f t="shared" si="33"/>
        <v>130</v>
      </c>
      <c r="AJ1286" s="212"/>
    </row>
    <row r="1287" spans="2:36" ht="14.4">
      <c r="B1287" s="211"/>
      <c r="C1287" s="213" t="s">
        <v>52</v>
      </c>
      <c r="D1287" s="417">
        <v>0</v>
      </c>
      <c r="E1287" s="214">
        <v>0</v>
      </c>
      <c r="F1287" s="214">
        <v>0</v>
      </c>
      <c r="G1287" s="214">
        <v>0</v>
      </c>
      <c r="H1287" s="214">
        <v>0</v>
      </c>
      <c r="I1287" s="214">
        <v>0</v>
      </c>
      <c r="J1287" s="214">
        <v>0</v>
      </c>
      <c r="K1287" s="214">
        <v>0</v>
      </c>
      <c r="L1287" s="214">
        <v>0</v>
      </c>
      <c r="M1287" s="214">
        <v>0</v>
      </c>
      <c r="N1287" s="214">
        <v>0</v>
      </c>
      <c r="O1287" s="214">
        <v>0</v>
      </c>
      <c r="P1287" s="214">
        <v>0</v>
      </c>
      <c r="Q1287" s="214">
        <v>0</v>
      </c>
      <c r="R1287" s="214">
        <v>0</v>
      </c>
      <c r="S1287" s="214">
        <v>0</v>
      </c>
      <c r="T1287" s="214">
        <v>0</v>
      </c>
      <c r="U1287" s="214">
        <v>0</v>
      </c>
      <c r="V1287" s="214">
        <v>0</v>
      </c>
      <c r="W1287" s="214">
        <v>0</v>
      </c>
      <c r="X1287" s="214">
        <v>0</v>
      </c>
      <c r="Y1287" s="214">
        <v>0</v>
      </c>
      <c r="Z1287" s="214">
        <v>0</v>
      </c>
      <c r="AA1287" s="214">
        <v>0</v>
      </c>
      <c r="AB1287" s="214">
        <v>0</v>
      </c>
      <c r="AC1287" s="214">
        <v>0</v>
      </c>
      <c r="AD1287" s="215"/>
      <c r="AE1287" s="420">
        <v>0</v>
      </c>
      <c r="AF1287" s="420">
        <v>0</v>
      </c>
      <c r="AG1287" s="420">
        <v>0</v>
      </c>
      <c r="AH1287" s="420"/>
      <c r="AI1287" s="574">
        <f t="shared" si="33"/>
        <v>0</v>
      </c>
      <c r="AJ1287" s="212"/>
    </row>
    <row r="1288" spans="2:36" ht="14.4">
      <c r="B1288" s="211"/>
      <c r="C1288" s="213" t="s">
        <v>174</v>
      </c>
      <c r="D1288" s="417">
        <v>250</v>
      </c>
      <c r="E1288" s="214">
        <v>2906</v>
      </c>
      <c r="F1288" s="214">
        <v>2906</v>
      </c>
      <c r="G1288" s="214">
        <v>17806</v>
      </c>
      <c r="H1288" s="214">
        <v>2906</v>
      </c>
      <c r="I1288" s="214">
        <f>1206-700</f>
        <v>506</v>
      </c>
      <c r="J1288" s="214">
        <v>506</v>
      </c>
      <c r="K1288" s="214">
        <v>506</v>
      </c>
      <c r="L1288" s="214">
        <v>506</v>
      </c>
      <c r="M1288" s="214">
        <v>2906</v>
      </c>
      <c r="N1288" s="214">
        <v>1206</v>
      </c>
      <c r="O1288" s="214">
        <f>2206+700</f>
        <v>2906</v>
      </c>
      <c r="P1288" s="214">
        <v>2906</v>
      </c>
      <c r="Q1288" s="214">
        <v>2906</v>
      </c>
      <c r="R1288" s="214">
        <v>2906</v>
      </c>
      <c r="S1288" s="214">
        <v>2906</v>
      </c>
      <c r="T1288" s="214">
        <v>0</v>
      </c>
      <c r="U1288" s="214">
        <v>506</v>
      </c>
      <c r="V1288" s="214">
        <v>506</v>
      </c>
      <c r="W1288" s="214">
        <v>506</v>
      </c>
      <c r="X1288" s="214">
        <v>506</v>
      </c>
      <c r="Y1288" s="214">
        <v>506</v>
      </c>
      <c r="Z1288" s="214">
        <v>506</v>
      </c>
      <c r="AA1288" s="214">
        <v>506</v>
      </c>
      <c r="AB1288" s="214">
        <v>506</v>
      </c>
      <c r="AC1288" s="214">
        <v>506</v>
      </c>
      <c r="AD1288" s="215"/>
      <c r="AE1288" s="420">
        <v>2906</v>
      </c>
      <c r="AF1288" s="420">
        <v>506</v>
      </c>
      <c r="AG1288" s="420">
        <v>506</v>
      </c>
      <c r="AH1288" s="420"/>
      <c r="AI1288" s="574">
        <f t="shared" si="33"/>
        <v>55912</v>
      </c>
      <c r="AJ1288" s="212"/>
    </row>
    <row r="1289" spans="2:36" ht="14.4">
      <c r="B1289" s="211"/>
      <c r="C1289" s="213" t="s">
        <v>53</v>
      </c>
      <c r="D1289" s="417">
        <v>5270</v>
      </c>
      <c r="E1289" s="214">
        <v>0</v>
      </c>
      <c r="F1289" s="214">
        <v>0</v>
      </c>
      <c r="G1289" s="214">
        <v>2800</v>
      </c>
      <c r="H1289" s="214">
        <v>0</v>
      </c>
      <c r="I1289" s="214">
        <v>0</v>
      </c>
      <c r="J1289" s="214">
        <v>0</v>
      </c>
      <c r="K1289" s="214">
        <v>0</v>
      </c>
      <c r="L1289" s="214">
        <v>0</v>
      </c>
      <c r="M1289" s="214">
        <v>0</v>
      </c>
      <c r="N1289" s="214">
        <v>0</v>
      </c>
      <c r="O1289" s="214">
        <v>0</v>
      </c>
      <c r="P1289" s="214">
        <v>0</v>
      </c>
      <c r="Q1289" s="214">
        <v>0</v>
      </c>
      <c r="R1289" s="214">
        <v>400</v>
      </c>
      <c r="S1289" s="214">
        <v>8619.7999999999993</v>
      </c>
      <c r="T1289" s="214">
        <v>0</v>
      </c>
      <c r="U1289" s="214">
        <v>0</v>
      </c>
      <c r="V1289" s="214">
        <v>0</v>
      </c>
      <c r="W1289" s="214">
        <v>0</v>
      </c>
      <c r="X1289" s="214">
        <v>0</v>
      </c>
      <c r="Y1289" s="214">
        <v>0</v>
      </c>
      <c r="Z1289" s="214">
        <v>0</v>
      </c>
      <c r="AA1289" s="214">
        <v>0</v>
      </c>
      <c r="AB1289" s="214">
        <v>0</v>
      </c>
      <c r="AC1289" s="214">
        <v>0</v>
      </c>
      <c r="AD1289" s="215"/>
      <c r="AE1289" s="420">
        <v>0</v>
      </c>
      <c r="AF1289" s="420">
        <v>0</v>
      </c>
      <c r="AG1289" s="420">
        <v>0</v>
      </c>
      <c r="AH1289" s="420"/>
      <c r="AI1289" s="574">
        <f t="shared" si="33"/>
        <v>17089.8</v>
      </c>
      <c r="AJ1289" s="212"/>
    </row>
    <row r="1290" spans="2:36" ht="14.4">
      <c r="B1290" s="211"/>
      <c r="C1290" s="213" t="s">
        <v>191</v>
      </c>
      <c r="D1290" s="417">
        <v>51427.37</v>
      </c>
      <c r="E1290" s="214">
        <v>0</v>
      </c>
      <c r="F1290" s="214">
        <v>986.79</v>
      </c>
      <c r="G1290" s="214">
        <v>0</v>
      </c>
      <c r="H1290" s="214">
        <v>0</v>
      </c>
      <c r="I1290" s="214">
        <v>0</v>
      </c>
      <c r="J1290" s="214">
        <v>0</v>
      </c>
      <c r="K1290" s="214">
        <v>0</v>
      </c>
      <c r="L1290" s="214">
        <v>0</v>
      </c>
      <c r="M1290" s="214">
        <v>0</v>
      </c>
      <c r="N1290" s="214">
        <v>0</v>
      </c>
      <c r="O1290" s="214">
        <v>0</v>
      </c>
      <c r="P1290" s="214">
        <v>0</v>
      </c>
      <c r="Q1290" s="214">
        <v>0</v>
      </c>
      <c r="R1290" s="214">
        <v>0</v>
      </c>
      <c r="S1290" s="214">
        <v>0</v>
      </c>
      <c r="T1290" s="214">
        <v>0</v>
      </c>
      <c r="U1290" s="214">
        <v>0</v>
      </c>
      <c r="V1290" s="214">
        <v>0</v>
      </c>
      <c r="W1290" s="214">
        <v>0</v>
      </c>
      <c r="X1290" s="214">
        <v>0</v>
      </c>
      <c r="Y1290" s="214">
        <v>0</v>
      </c>
      <c r="Z1290" s="214">
        <v>0</v>
      </c>
      <c r="AA1290" s="214">
        <v>0</v>
      </c>
      <c r="AB1290" s="214">
        <v>0</v>
      </c>
      <c r="AC1290" s="214">
        <v>0</v>
      </c>
      <c r="AD1290" s="215"/>
      <c r="AE1290" s="420">
        <v>0</v>
      </c>
      <c r="AF1290" s="420">
        <v>0</v>
      </c>
      <c r="AG1290" s="420">
        <v>0</v>
      </c>
      <c r="AH1290" s="420"/>
      <c r="AI1290" s="574">
        <f t="shared" si="33"/>
        <v>52414.16</v>
      </c>
      <c r="AJ1290" s="212"/>
    </row>
    <row r="1291" spans="2:36" ht="14.4">
      <c r="B1291" s="211"/>
      <c r="C1291" s="213" t="s">
        <v>29</v>
      </c>
      <c r="D1291" s="417">
        <v>0</v>
      </c>
      <c r="E1291" s="214">
        <v>0</v>
      </c>
      <c r="F1291" s="214">
        <v>0</v>
      </c>
      <c r="G1291" s="214">
        <v>0</v>
      </c>
      <c r="H1291" s="214">
        <v>0</v>
      </c>
      <c r="I1291" s="214">
        <v>0</v>
      </c>
      <c r="J1291" s="214">
        <v>0</v>
      </c>
      <c r="K1291" s="214">
        <v>0</v>
      </c>
      <c r="L1291" s="214">
        <v>0</v>
      </c>
      <c r="M1291" s="214">
        <v>0</v>
      </c>
      <c r="N1291" s="214">
        <v>0</v>
      </c>
      <c r="O1291" s="214">
        <v>85</v>
      </c>
      <c r="P1291" s="214">
        <v>0</v>
      </c>
      <c r="Q1291" s="214">
        <v>0</v>
      </c>
      <c r="R1291" s="214">
        <v>0</v>
      </c>
      <c r="S1291" s="214">
        <v>100</v>
      </c>
      <c r="T1291" s="214">
        <v>0</v>
      </c>
      <c r="U1291" s="214">
        <v>0</v>
      </c>
      <c r="V1291" s="214">
        <v>0</v>
      </c>
      <c r="W1291" s="214">
        <v>0</v>
      </c>
      <c r="X1291" s="214">
        <v>0</v>
      </c>
      <c r="Y1291" s="214">
        <v>0</v>
      </c>
      <c r="Z1291" s="214">
        <v>0</v>
      </c>
      <c r="AA1291" s="214">
        <v>0</v>
      </c>
      <c r="AB1291" s="214">
        <v>0</v>
      </c>
      <c r="AC1291" s="214">
        <v>0</v>
      </c>
      <c r="AD1291" s="215"/>
      <c r="AE1291" s="420">
        <v>344</v>
      </c>
      <c r="AF1291" s="420">
        <v>0</v>
      </c>
      <c r="AG1291" s="420">
        <v>0</v>
      </c>
      <c r="AH1291" s="420"/>
      <c r="AI1291" s="574">
        <f t="shared" si="33"/>
        <v>529</v>
      </c>
      <c r="AJ1291" s="212"/>
    </row>
    <row r="1292" spans="2:36" ht="14.4">
      <c r="B1292" s="211"/>
      <c r="C1292" s="247" t="s">
        <v>54</v>
      </c>
      <c r="D1292" s="417">
        <v>0</v>
      </c>
      <c r="E1292" s="214">
        <v>0</v>
      </c>
      <c r="F1292" s="214">
        <v>0</v>
      </c>
      <c r="G1292" s="214">
        <v>0</v>
      </c>
      <c r="H1292" s="214">
        <v>0</v>
      </c>
      <c r="I1292" s="214">
        <v>0</v>
      </c>
      <c r="J1292" s="214">
        <v>0</v>
      </c>
      <c r="K1292" s="214">
        <v>0</v>
      </c>
      <c r="L1292" s="214">
        <v>0</v>
      </c>
      <c r="M1292" s="214">
        <v>0</v>
      </c>
      <c r="N1292" s="214">
        <v>0</v>
      </c>
      <c r="O1292" s="214">
        <v>0</v>
      </c>
      <c r="P1292" s="214">
        <v>0</v>
      </c>
      <c r="Q1292" s="214">
        <v>0</v>
      </c>
      <c r="R1292" s="214">
        <v>0</v>
      </c>
      <c r="S1292" s="214">
        <v>0</v>
      </c>
      <c r="T1292" s="214">
        <v>0</v>
      </c>
      <c r="U1292" s="214">
        <v>0</v>
      </c>
      <c r="V1292" s="214">
        <v>0</v>
      </c>
      <c r="W1292" s="214">
        <v>0</v>
      </c>
      <c r="X1292" s="214">
        <v>0</v>
      </c>
      <c r="Y1292" s="214">
        <v>0</v>
      </c>
      <c r="Z1292" s="214">
        <v>0</v>
      </c>
      <c r="AA1292" s="214">
        <v>0</v>
      </c>
      <c r="AB1292" s="214">
        <v>0</v>
      </c>
      <c r="AC1292" s="214">
        <v>0</v>
      </c>
      <c r="AD1292" s="215"/>
      <c r="AE1292" s="420">
        <v>0</v>
      </c>
      <c r="AF1292" s="420">
        <v>0</v>
      </c>
      <c r="AG1292" s="420">
        <v>0</v>
      </c>
      <c r="AH1292" s="420"/>
      <c r="AI1292" s="574">
        <f t="shared" si="33"/>
        <v>0</v>
      </c>
      <c r="AJ1292" s="212"/>
    </row>
    <row r="1293" spans="2:36" ht="14.4">
      <c r="B1293" s="211"/>
      <c r="C1293" s="213" t="s">
        <v>31</v>
      </c>
      <c r="D1293" s="417">
        <v>625</v>
      </c>
      <c r="E1293" s="214">
        <v>383.81</v>
      </c>
      <c r="F1293" s="214">
        <v>337</v>
      </c>
      <c r="G1293" s="214">
        <v>282.5</v>
      </c>
      <c r="H1293" s="214">
        <v>0</v>
      </c>
      <c r="I1293" s="214">
        <v>0</v>
      </c>
      <c r="J1293" s="214">
        <v>0</v>
      </c>
      <c r="K1293" s="214">
        <v>0</v>
      </c>
      <c r="L1293" s="214">
        <v>0</v>
      </c>
      <c r="M1293" s="214">
        <v>730</v>
      </c>
      <c r="N1293" s="214">
        <v>0</v>
      </c>
      <c r="O1293" s="214">
        <v>289</v>
      </c>
      <c r="P1293" s="214">
        <v>280</v>
      </c>
      <c r="Q1293" s="214">
        <v>750</v>
      </c>
      <c r="R1293" s="214">
        <v>300</v>
      </c>
      <c r="S1293" s="214">
        <v>118</v>
      </c>
      <c r="T1293" s="214">
        <v>0</v>
      </c>
      <c r="U1293" s="214">
        <v>0</v>
      </c>
      <c r="V1293" s="214">
        <v>0</v>
      </c>
      <c r="W1293" s="214">
        <v>0</v>
      </c>
      <c r="X1293" s="214">
        <v>0</v>
      </c>
      <c r="Y1293" s="214">
        <v>0</v>
      </c>
      <c r="Z1293" s="214">
        <v>0</v>
      </c>
      <c r="AA1293" s="214">
        <v>0</v>
      </c>
      <c r="AB1293" s="214">
        <v>0</v>
      </c>
      <c r="AC1293" s="214">
        <v>0</v>
      </c>
      <c r="AD1293" s="215"/>
      <c r="AE1293" s="420">
        <v>0</v>
      </c>
      <c r="AF1293" s="420">
        <v>0</v>
      </c>
      <c r="AG1293" s="420">
        <v>0</v>
      </c>
      <c r="AH1293" s="420"/>
      <c r="AI1293" s="574">
        <f t="shared" si="33"/>
        <v>4095.31</v>
      </c>
      <c r="AJ1293" s="212"/>
    </row>
    <row r="1294" spans="2:36" ht="14.4">
      <c r="B1294" s="211"/>
      <c r="C1294" s="213" t="s">
        <v>55</v>
      </c>
      <c r="D1294" s="417">
        <v>0</v>
      </c>
      <c r="E1294" s="214">
        <v>75</v>
      </c>
      <c r="F1294" s="214">
        <v>0</v>
      </c>
      <c r="G1294" s="214">
        <v>80</v>
      </c>
      <c r="H1294" s="214">
        <v>0</v>
      </c>
      <c r="I1294" s="214">
        <v>0</v>
      </c>
      <c r="J1294" s="214">
        <v>0</v>
      </c>
      <c r="K1294" s="214">
        <v>0</v>
      </c>
      <c r="L1294" s="214">
        <v>0</v>
      </c>
      <c r="M1294" s="214">
        <v>0</v>
      </c>
      <c r="N1294" s="214">
        <v>0</v>
      </c>
      <c r="O1294" s="214">
        <v>0</v>
      </c>
      <c r="P1294" s="214">
        <v>120</v>
      </c>
      <c r="Q1294" s="214">
        <v>0</v>
      </c>
      <c r="R1294" s="214">
        <v>0</v>
      </c>
      <c r="S1294" s="214">
        <v>0</v>
      </c>
      <c r="T1294" s="214">
        <v>0</v>
      </c>
      <c r="U1294" s="214">
        <v>0</v>
      </c>
      <c r="V1294" s="214">
        <v>0</v>
      </c>
      <c r="W1294" s="214">
        <v>0</v>
      </c>
      <c r="X1294" s="214">
        <v>0</v>
      </c>
      <c r="Y1294" s="214">
        <v>0</v>
      </c>
      <c r="Z1294" s="214">
        <v>0</v>
      </c>
      <c r="AA1294" s="214">
        <v>0</v>
      </c>
      <c r="AB1294" s="214">
        <v>0</v>
      </c>
      <c r="AC1294" s="214">
        <v>0</v>
      </c>
      <c r="AD1294" s="215"/>
      <c r="AE1294" s="420">
        <v>0</v>
      </c>
      <c r="AF1294" s="420">
        <v>0</v>
      </c>
      <c r="AG1294" s="420">
        <v>0</v>
      </c>
      <c r="AH1294" s="420"/>
      <c r="AI1294" s="574">
        <f t="shared" si="33"/>
        <v>275</v>
      </c>
      <c r="AJ1294" s="212"/>
    </row>
    <row r="1295" spans="2:36" ht="14.4">
      <c r="B1295" s="211"/>
      <c r="C1295" s="213" t="s">
        <v>56</v>
      </c>
      <c r="D1295" s="417">
        <v>393.97</v>
      </c>
      <c r="E1295" s="214">
        <v>217.24</v>
      </c>
      <c r="F1295" s="214">
        <v>217.24</v>
      </c>
      <c r="G1295" s="214">
        <v>139.91</v>
      </c>
      <c r="H1295" s="214">
        <v>95.73</v>
      </c>
      <c r="I1295" s="214">
        <v>0</v>
      </c>
      <c r="J1295" s="214">
        <v>0</v>
      </c>
      <c r="K1295" s="214">
        <v>0</v>
      </c>
      <c r="L1295" s="214">
        <v>0</v>
      </c>
      <c r="M1295" s="214">
        <v>0</v>
      </c>
      <c r="N1295" s="214">
        <v>0</v>
      </c>
      <c r="O1295" s="214">
        <v>69.959999999999994</v>
      </c>
      <c r="P1295" s="214">
        <v>0</v>
      </c>
      <c r="Q1295" s="214">
        <v>209.87</v>
      </c>
      <c r="R1295" s="214">
        <v>0</v>
      </c>
      <c r="S1295" s="214">
        <v>0</v>
      </c>
      <c r="T1295" s="214">
        <v>0</v>
      </c>
      <c r="U1295" s="214">
        <v>0</v>
      </c>
      <c r="V1295" s="214">
        <v>0</v>
      </c>
      <c r="W1295" s="214">
        <v>0</v>
      </c>
      <c r="X1295" s="214">
        <v>0</v>
      </c>
      <c r="Y1295" s="214">
        <v>0</v>
      </c>
      <c r="Z1295" s="214">
        <v>0</v>
      </c>
      <c r="AA1295" s="214">
        <v>0</v>
      </c>
      <c r="AB1295" s="214">
        <v>0</v>
      </c>
      <c r="AC1295" s="214">
        <v>0</v>
      </c>
      <c r="AD1295" s="215"/>
      <c r="AE1295" s="420">
        <v>0</v>
      </c>
      <c r="AF1295" s="420">
        <v>0</v>
      </c>
      <c r="AG1295" s="420">
        <v>0</v>
      </c>
      <c r="AH1295" s="420"/>
      <c r="AI1295" s="574">
        <f t="shared" si="33"/>
        <v>1343.92</v>
      </c>
      <c r="AJ1295" s="212"/>
    </row>
    <row r="1296" spans="2:36" ht="14.4">
      <c r="B1296" s="211"/>
      <c r="C1296" s="213" t="s">
        <v>57</v>
      </c>
      <c r="D1296" s="417">
        <v>2100</v>
      </c>
      <c r="E1296" s="214">
        <v>300</v>
      </c>
      <c r="F1296" s="214">
        <v>600</v>
      </c>
      <c r="G1296" s="214">
        <v>0</v>
      </c>
      <c r="H1296" s="214">
        <v>300</v>
      </c>
      <c r="I1296" s="214">
        <v>0</v>
      </c>
      <c r="J1296" s="214">
        <v>0</v>
      </c>
      <c r="K1296" s="214">
        <v>0</v>
      </c>
      <c r="L1296" s="214">
        <v>0</v>
      </c>
      <c r="M1296" s="214">
        <v>0</v>
      </c>
      <c r="N1296" s="214">
        <v>0</v>
      </c>
      <c r="O1296" s="214">
        <v>150</v>
      </c>
      <c r="P1296" s="214">
        <v>300</v>
      </c>
      <c r="Q1296" s="214">
        <v>600</v>
      </c>
      <c r="R1296" s="214">
        <v>0</v>
      </c>
      <c r="S1296" s="214">
        <v>150</v>
      </c>
      <c r="T1296" s="214">
        <v>0</v>
      </c>
      <c r="U1296" s="214">
        <v>0</v>
      </c>
      <c r="V1296" s="214">
        <v>0</v>
      </c>
      <c r="W1296" s="214">
        <v>0</v>
      </c>
      <c r="X1296" s="214">
        <v>0</v>
      </c>
      <c r="Y1296" s="214">
        <v>0</v>
      </c>
      <c r="Z1296" s="214">
        <v>0</v>
      </c>
      <c r="AA1296" s="214">
        <v>0</v>
      </c>
      <c r="AB1296" s="214">
        <v>0</v>
      </c>
      <c r="AC1296" s="214">
        <v>0</v>
      </c>
      <c r="AD1296" s="215"/>
      <c r="AE1296" s="420">
        <v>0</v>
      </c>
      <c r="AF1296" s="420">
        <v>0</v>
      </c>
      <c r="AG1296" s="420">
        <v>0</v>
      </c>
      <c r="AH1296" s="420"/>
      <c r="AI1296" s="574">
        <f t="shared" si="33"/>
        <v>4500</v>
      </c>
      <c r="AJ1296" s="212"/>
    </row>
    <row r="1297" spans="2:36" ht="14.4">
      <c r="B1297" s="211"/>
      <c r="C1297" s="213" t="s">
        <v>58</v>
      </c>
      <c r="D1297" s="417">
        <v>0</v>
      </c>
      <c r="E1297" s="214">
        <v>0</v>
      </c>
      <c r="F1297" s="214">
        <v>350</v>
      </c>
      <c r="G1297" s="214">
        <v>0</v>
      </c>
      <c r="H1297" s="214">
        <v>0</v>
      </c>
      <c r="I1297" s="214">
        <v>0</v>
      </c>
      <c r="J1297" s="214">
        <v>0</v>
      </c>
      <c r="K1297" s="214">
        <v>0</v>
      </c>
      <c r="L1297" s="214">
        <v>0</v>
      </c>
      <c r="M1297" s="214">
        <v>0</v>
      </c>
      <c r="N1297" s="214">
        <v>0</v>
      </c>
      <c r="O1297" s="214">
        <v>0</v>
      </c>
      <c r="P1297" s="214">
        <v>0</v>
      </c>
      <c r="Q1297" s="214">
        <v>10160</v>
      </c>
      <c r="R1297" s="214">
        <v>985</v>
      </c>
      <c r="S1297" s="214">
        <v>0</v>
      </c>
      <c r="T1297" s="214">
        <v>0</v>
      </c>
      <c r="U1297" s="214">
        <v>0</v>
      </c>
      <c r="V1297" s="214">
        <v>0</v>
      </c>
      <c r="W1297" s="214">
        <v>0</v>
      </c>
      <c r="X1297" s="214">
        <v>0</v>
      </c>
      <c r="Y1297" s="214">
        <v>0</v>
      </c>
      <c r="Z1297" s="214">
        <v>0</v>
      </c>
      <c r="AA1297" s="214">
        <v>0</v>
      </c>
      <c r="AB1297" s="214">
        <v>0</v>
      </c>
      <c r="AC1297" s="214">
        <v>0</v>
      </c>
      <c r="AD1297" s="215"/>
      <c r="AE1297" s="420">
        <v>0</v>
      </c>
      <c r="AF1297" s="420">
        <v>0</v>
      </c>
      <c r="AG1297" s="420">
        <v>0</v>
      </c>
      <c r="AH1297" s="420"/>
      <c r="AI1297" s="574">
        <f t="shared" si="33"/>
        <v>11495</v>
      </c>
      <c r="AJ1297" s="212"/>
    </row>
    <row r="1298" spans="2:36" ht="14.4">
      <c r="B1298" s="211"/>
      <c r="C1298" s="213" t="s">
        <v>59</v>
      </c>
      <c r="D1298" s="417">
        <v>350</v>
      </c>
      <c r="E1298" s="214">
        <v>0</v>
      </c>
      <c r="F1298" s="214">
        <v>0</v>
      </c>
      <c r="G1298" s="214">
        <v>600</v>
      </c>
      <c r="H1298" s="214">
        <v>0</v>
      </c>
      <c r="I1298" s="214">
        <v>0</v>
      </c>
      <c r="J1298" s="214">
        <v>0</v>
      </c>
      <c r="K1298" s="214">
        <v>0</v>
      </c>
      <c r="L1298" s="214">
        <v>0</v>
      </c>
      <c r="M1298" s="214">
        <v>0</v>
      </c>
      <c r="N1298" s="214">
        <v>0</v>
      </c>
      <c r="O1298" s="214">
        <v>0</v>
      </c>
      <c r="P1298" s="214">
        <v>3710</v>
      </c>
      <c r="Q1298" s="214">
        <v>0</v>
      </c>
      <c r="R1298" s="214">
        <v>0</v>
      </c>
      <c r="S1298" s="214">
        <v>0</v>
      </c>
      <c r="T1298" s="214">
        <v>0</v>
      </c>
      <c r="U1298" s="214">
        <v>0</v>
      </c>
      <c r="V1298" s="214">
        <v>0</v>
      </c>
      <c r="W1298" s="214">
        <v>0</v>
      </c>
      <c r="X1298" s="214">
        <v>0</v>
      </c>
      <c r="Y1298" s="214">
        <v>0</v>
      </c>
      <c r="Z1298" s="214">
        <v>0</v>
      </c>
      <c r="AA1298" s="214">
        <v>0</v>
      </c>
      <c r="AB1298" s="214">
        <v>0</v>
      </c>
      <c r="AC1298" s="214">
        <v>0</v>
      </c>
      <c r="AD1298" s="215"/>
      <c r="AE1298" s="420">
        <v>0</v>
      </c>
      <c r="AF1298" s="420">
        <v>0</v>
      </c>
      <c r="AG1298" s="420">
        <v>0</v>
      </c>
      <c r="AH1298" s="420"/>
      <c r="AI1298" s="574">
        <f t="shared" si="33"/>
        <v>4660</v>
      </c>
      <c r="AJ1298" s="212"/>
    </row>
    <row r="1299" spans="2:36" ht="14.4">
      <c r="B1299" s="211"/>
      <c r="C1299" s="213" t="s">
        <v>60</v>
      </c>
      <c r="D1299" s="417">
        <v>0</v>
      </c>
      <c r="E1299" s="214">
        <v>0</v>
      </c>
      <c r="F1299" s="214">
        <v>0</v>
      </c>
      <c r="G1299" s="214">
        <v>0</v>
      </c>
      <c r="H1299" s="214">
        <v>0</v>
      </c>
      <c r="I1299" s="214">
        <v>0</v>
      </c>
      <c r="J1299" s="214">
        <v>0</v>
      </c>
      <c r="K1299" s="214">
        <v>0</v>
      </c>
      <c r="L1299" s="214">
        <v>0</v>
      </c>
      <c r="M1299" s="214">
        <v>0</v>
      </c>
      <c r="N1299" s="214">
        <v>0</v>
      </c>
      <c r="O1299" s="214">
        <v>0</v>
      </c>
      <c r="P1299" s="214">
        <v>0</v>
      </c>
      <c r="Q1299" s="214">
        <v>0</v>
      </c>
      <c r="R1299" s="214">
        <v>0</v>
      </c>
      <c r="S1299" s="214">
        <v>0</v>
      </c>
      <c r="T1299" s="214">
        <v>0</v>
      </c>
      <c r="U1299" s="214">
        <v>0</v>
      </c>
      <c r="V1299" s="214">
        <v>0</v>
      </c>
      <c r="W1299" s="214">
        <v>0</v>
      </c>
      <c r="X1299" s="214">
        <v>0</v>
      </c>
      <c r="Y1299" s="214">
        <v>0</v>
      </c>
      <c r="Z1299" s="214">
        <v>0</v>
      </c>
      <c r="AA1299" s="214">
        <v>0</v>
      </c>
      <c r="AB1299" s="214">
        <v>0</v>
      </c>
      <c r="AC1299" s="214">
        <v>0</v>
      </c>
      <c r="AD1299" s="215"/>
      <c r="AE1299" s="420">
        <v>0</v>
      </c>
      <c r="AF1299" s="420">
        <v>0</v>
      </c>
      <c r="AG1299" s="420">
        <v>0</v>
      </c>
      <c r="AH1299" s="420"/>
      <c r="AI1299" s="574">
        <f t="shared" si="33"/>
        <v>0</v>
      </c>
      <c r="AJ1299" s="212"/>
    </row>
    <row r="1300" spans="2:36" ht="14.4">
      <c r="B1300" s="211"/>
      <c r="C1300" s="213" t="s">
        <v>61</v>
      </c>
      <c r="D1300" s="417">
        <v>2020</v>
      </c>
      <c r="E1300" s="214">
        <v>1200</v>
      </c>
      <c r="F1300" s="214">
        <v>350</v>
      </c>
      <c r="G1300" s="214">
        <v>0</v>
      </c>
      <c r="H1300" s="214">
        <v>225</v>
      </c>
      <c r="I1300" s="214">
        <v>0</v>
      </c>
      <c r="J1300" s="214">
        <v>0</v>
      </c>
      <c r="K1300" s="214">
        <v>0</v>
      </c>
      <c r="L1300" s="214">
        <v>0</v>
      </c>
      <c r="M1300" s="214">
        <v>0</v>
      </c>
      <c r="N1300" s="214">
        <v>0</v>
      </c>
      <c r="O1300" s="214">
        <v>0</v>
      </c>
      <c r="P1300" s="214">
        <v>0</v>
      </c>
      <c r="Q1300" s="214">
        <v>1700</v>
      </c>
      <c r="R1300" s="214">
        <v>13100</v>
      </c>
      <c r="S1300" s="214">
        <v>0</v>
      </c>
      <c r="T1300" s="214">
        <v>0</v>
      </c>
      <c r="U1300" s="214">
        <v>0</v>
      </c>
      <c r="V1300" s="214">
        <v>0</v>
      </c>
      <c r="W1300" s="214">
        <v>0</v>
      </c>
      <c r="X1300" s="214">
        <v>0</v>
      </c>
      <c r="Y1300" s="214">
        <v>0</v>
      </c>
      <c r="Z1300" s="214">
        <v>0</v>
      </c>
      <c r="AA1300" s="214">
        <v>0</v>
      </c>
      <c r="AB1300" s="214">
        <v>0</v>
      </c>
      <c r="AC1300" s="214">
        <v>0</v>
      </c>
      <c r="AD1300" s="215"/>
      <c r="AE1300" s="420">
        <v>1500</v>
      </c>
      <c r="AF1300" s="420">
        <v>0</v>
      </c>
      <c r="AG1300" s="420">
        <v>0</v>
      </c>
      <c r="AH1300" s="420"/>
      <c r="AI1300" s="574">
        <f t="shared" si="33"/>
        <v>20095</v>
      </c>
      <c r="AJ1300" s="212"/>
    </row>
    <row r="1301" spans="2:36" ht="14.4">
      <c r="B1301" s="211"/>
      <c r="C1301" s="213" t="s">
        <v>62</v>
      </c>
      <c r="D1301" s="417">
        <v>20150</v>
      </c>
      <c r="E1301" s="214">
        <v>5225</v>
      </c>
      <c r="F1301" s="214">
        <v>0</v>
      </c>
      <c r="G1301" s="214">
        <v>10000</v>
      </c>
      <c r="H1301" s="214">
        <v>0</v>
      </c>
      <c r="I1301" s="214">
        <v>0</v>
      </c>
      <c r="J1301" s="214">
        <v>0</v>
      </c>
      <c r="K1301" s="214">
        <v>0</v>
      </c>
      <c r="L1301" s="214">
        <v>0</v>
      </c>
      <c r="M1301" s="214">
        <v>0</v>
      </c>
      <c r="N1301" s="214">
        <v>0</v>
      </c>
      <c r="O1301" s="214">
        <v>0</v>
      </c>
      <c r="P1301" s="214">
        <v>1200</v>
      </c>
      <c r="Q1301" s="214">
        <v>0</v>
      </c>
      <c r="R1301" s="214">
        <v>0</v>
      </c>
      <c r="S1301" s="214">
        <v>0</v>
      </c>
      <c r="T1301" s="214">
        <v>0</v>
      </c>
      <c r="U1301" s="214">
        <v>0</v>
      </c>
      <c r="V1301" s="214">
        <v>0</v>
      </c>
      <c r="W1301" s="214">
        <v>0</v>
      </c>
      <c r="X1301" s="214">
        <v>0</v>
      </c>
      <c r="Y1301" s="214">
        <v>0</v>
      </c>
      <c r="Z1301" s="214">
        <v>0</v>
      </c>
      <c r="AA1301" s="214">
        <v>0</v>
      </c>
      <c r="AB1301" s="214">
        <v>0</v>
      </c>
      <c r="AC1301" s="214">
        <v>0</v>
      </c>
      <c r="AD1301" s="215"/>
      <c r="AE1301" s="420">
        <v>0</v>
      </c>
      <c r="AF1301" s="420">
        <v>0</v>
      </c>
      <c r="AG1301" s="420">
        <v>0</v>
      </c>
      <c r="AH1301" s="420"/>
      <c r="AI1301" s="574">
        <f t="shared" si="33"/>
        <v>36575</v>
      </c>
      <c r="AJ1301" s="212"/>
    </row>
    <row r="1302" spans="2:36" ht="14.4">
      <c r="B1302" s="211"/>
      <c r="C1302" s="213" t="s">
        <v>63</v>
      </c>
      <c r="D1302" s="417">
        <v>0</v>
      </c>
      <c r="E1302" s="214">
        <v>0</v>
      </c>
      <c r="F1302" s="214">
        <v>0</v>
      </c>
      <c r="G1302" s="214">
        <v>0</v>
      </c>
      <c r="H1302" s="214">
        <v>0</v>
      </c>
      <c r="I1302" s="214">
        <v>0</v>
      </c>
      <c r="J1302" s="214">
        <v>0</v>
      </c>
      <c r="K1302" s="214">
        <v>0</v>
      </c>
      <c r="L1302" s="214">
        <v>0</v>
      </c>
      <c r="M1302" s="214">
        <v>0</v>
      </c>
      <c r="N1302" s="214">
        <v>0</v>
      </c>
      <c r="O1302" s="214">
        <v>0</v>
      </c>
      <c r="P1302" s="214">
        <v>0</v>
      </c>
      <c r="Q1302" s="214">
        <v>0</v>
      </c>
      <c r="R1302" s="214">
        <v>0</v>
      </c>
      <c r="S1302" s="214">
        <v>0</v>
      </c>
      <c r="T1302" s="214">
        <v>0</v>
      </c>
      <c r="U1302" s="214">
        <v>0</v>
      </c>
      <c r="V1302" s="214">
        <v>0</v>
      </c>
      <c r="W1302" s="214">
        <v>0</v>
      </c>
      <c r="X1302" s="214">
        <v>0</v>
      </c>
      <c r="Y1302" s="214">
        <v>0</v>
      </c>
      <c r="Z1302" s="214">
        <v>0</v>
      </c>
      <c r="AA1302" s="214">
        <v>0</v>
      </c>
      <c r="AB1302" s="214">
        <v>0</v>
      </c>
      <c r="AC1302" s="214">
        <v>0</v>
      </c>
      <c r="AD1302" s="215"/>
      <c r="AE1302" s="420">
        <v>0</v>
      </c>
      <c r="AF1302" s="420">
        <v>0</v>
      </c>
      <c r="AG1302" s="420">
        <v>0</v>
      </c>
      <c r="AH1302" s="420"/>
      <c r="AI1302" s="574">
        <f t="shared" si="33"/>
        <v>0</v>
      </c>
      <c r="AJ1302" s="212"/>
    </row>
    <row r="1303" spans="2:36" ht="14.4">
      <c r="B1303" s="211"/>
      <c r="C1303" s="247" t="s">
        <v>64</v>
      </c>
      <c r="D1303" s="417">
        <v>5000</v>
      </c>
      <c r="E1303" s="214">
        <v>0</v>
      </c>
      <c r="F1303" s="214">
        <v>0</v>
      </c>
      <c r="G1303" s="214">
        <v>0</v>
      </c>
      <c r="H1303" s="214">
        <v>0</v>
      </c>
      <c r="I1303" s="214">
        <v>0</v>
      </c>
      <c r="J1303" s="214">
        <v>0</v>
      </c>
      <c r="K1303" s="214">
        <v>0</v>
      </c>
      <c r="L1303" s="214">
        <v>0</v>
      </c>
      <c r="M1303" s="214">
        <v>0</v>
      </c>
      <c r="N1303" s="214">
        <v>0</v>
      </c>
      <c r="O1303" s="214">
        <v>0</v>
      </c>
      <c r="P1303" s="214">
        <v>0</v>
      </c>
      <c r="Q1303" s="214">
        <v>0</v>
      </c>
      <c r="R1303" s="214">
        <v>0</v>
      </c>
      <c r="S1303" s="214">
        <v>0</v>
      </c>
      <c r="T1303" s="214">
        <v>4500</v>
      </c>
      <c r="U1303" s="214">
        <v>0</v>
      </c>
      <c r="V1303" s="214">
        <v>0</v>
      </c>
      <c r="W1303" s="214">
        <v>300</v>
      </c>
      <c r="X1303" s="214">
        <v>0</v>
      </c>
      <c r="Y1303" s="214">
        <v>0</v>
      </c>
      <c r="Z1303" s="214">
        <v>0</v>
      </c>
      <c r="AA1303" s="214">
        <v>200</v>
      </c>
      <c r="AB1303" s="214">
        <v>0</v>
      </c>
      <c r="AC1303" s="214">
        <v>400</v>
      </c>
      <c r="AD1303" s="215"/>
      <c r="AE1303" s="420">
        <v>0</v>
      </c>
      <c r="AF1303" s="420">
        <v>0</v>
      </c>
      <c r="AG1303" s="420">
        <v>0</v>
      </c>
      <c r="AH1303" s="420"/>
      <c r="AI1303" s="574">
        <f t="shared" si="33"/>
        <v>10400</v>
      </c>
      <c r="AJ1303" s="212"/>
    </row>
    <row r="1304" spans="2:36" ht="14.4">
      <c r="B1304" s="211"/>
      <c r="C1304" s="213" t="s">
        <v>28</v>
      </c>
      <c r="D1304" s="417">
        <v>5130</v>
      </c>
      <c r="E1304" s="214">
        <v>0</v>
      </c>
      <c r="F1304" s="214">
        <v>0</v>
      </c>
      <c r="G1304" s="214">
        <v>0</v>
      </c>
      <c r="H1304" s="214">
        <v>0</v>
      </c>
      <c r="I1304" s="214">
        <v>0</v>
      </c>
      <c r="J1304" s="214">
        <v>0</v>
      </c>
      <c r="K1304" s="214">
        <v>0</v>
      </c>
      <c r="L1304" s="214">
        <v>0</v>
      </c>
      <c r="M1304" s="214">
        <v>0</v>
      </c>
      <c r="N1304" s="214">
        <v>0</v>
      </c>
      <c r="O1304" s="214">
        <v>0</v>
      </c>
      <c r="P1304" s="214">
        <v>0</v>
      </c>
      <c r="Q1304" s="214">
        <v>0</v>
      </c>
      <c r="R1304" s="214">
        <v>0</v>
      </c>
      <c r="S1304" s="214">
        <v>0</v>
      </c>
      <c r="T1304" s="214">
        <v>0</v>
      </c>
      <c r="U1304" s="214">
        <v>0</v>
      </c>
      <c r="V1304" s="214">
        <v>0</v>
      </c>
      <c r="W1304" s="214">
        <v>0</v>
      </c>
      <c r="X1304" s="214">
        <v>0</v>
      </c>
      <c r="Y1304" s="214">
        <v>0</v>
      </c>
      <c r="Z1304" s="214">
        <v>0</v>
      </c>
      <c r="AA1304" s="214">
        <v>0</v>
      </c>
      <c r="AB1304" s="214">
        <v>0</v>
      </c>
      <c r="AC1304" s="214">
        <v>0</v>
      </c>
      <c r="AD1304" s="215"/>
      <c r="AE1304" s="420">
        <v>0</v>
      </c>
      <c r="AF1304" s="420">
        <v>0</v>
      </c>
      <c r="AG1304" s="420">
        <v>0</v>
      </c>
      <c r="AH1304" s="420"/>
      <c r="AI1304" s="574">
        <f t="shared" si="33"/>
        <v>5130</v>
      </c>
      <c r="AJ1304" s="212"/>
    </row>
    <row r="1305" spans="2:36" ht="14.4">
      <c r="B1305" s="211"/>
      <c r="C1305" s="213" t="s">
        <v>157</v>
      </c>
      <c r="D1305" s="417">
        <v>0</v>
      </c>
      <c r="E1305" s="214">
        <v>0</v>
      </c>
      <c r="F1305" s="214">
        <v>1446.34</v>
      </c>
      <c r="G1305" s="214">
        <v>1535.63</v>
      </c>
      <c r="H1305" s="214">
        <v>0</v>
      </c>
      <c r="I1305" s="214">
        <v>0</v>
      </c>
      <c r="J1305" s="214">
        <v>0</v>
      </c>
      <c r="K1305" s="214">
        <v>0</v>
      </c>
      <c r="L1305" s="214">
        <v>0</v>
      </c>
      <c r="M1305" s="214">
        <v>0</v>
      </c>
      <c r="N1305" s="214">
        <v>0</v>
      </c>
      <c r="O1305" s="214">
        <v>0</v>
      </c>
      <c r="P1305" s="214">
        <v>124.91</v>
      </c>
      <c r="Q1305" s="214">
        <v>744.31</v>
      </c>
      <c r="R1305" s="214">
        <v>0</v>
      </c>
      <c r="S1305" s="214">
        <v>0</v>
      </c>
      <c r="T1305" s="214">
        <v>0</v>
      </c>
      <c r="U1305" s="214">
        <v>0</v>
      </c>
      <c r="V1305" s="214">
        <v>0</v>
      </c>
      <c r="W1305" s="214">
        <v>0</v>
      </c>
      <c r="X1305" s="214">
        <v>0</v>
      </c>
      <c r="Y1305" s="214">
        <v>0</v>
      </c>
      <c r="Z1305" s="214">
        <v>0</v>
      </c>
      <c r="AA1305" s="214">
        <v>0</v>
      </c>
      <c r="AB1305" s="214">
        <v>0</v>
      </c>
      <c r="AC1305" s="214">
        <v>0</v>
      </c>
      <c r="AD1305" s="215"/>
      <c r="AE1305" s="420">
        <v>0</v>
      </c>
      <c r="AF1305" s="420">
        <v>0</v>
      </c>
      <c r="AG1305" s="420">
        <v>0</v>
      </c>
      <c r="AH1305" s="420"/>
      <c r="AI1305" s="574">
        <f t="shared" si="33"/>
        <v>3851.19</v>
      </c>
      <c r="AJ1305" s="212"/>
    </row>
    <row r="1306" spans="2:36" ht="14.4">
      <c r="B1306" s="211"/>
      <c r="C1306" s="213" t="s">
        <v>65</v>
      </c>
      <c r="D1306" s="417">
        <v>58000</v>
      </c>
      <c r="E1306" s="214">
        <v>0</v>
      </c>
      <c r="F1306" s="214">
        <v>0</v>
      </c>
      <c r="G1306" s="214">
        <v>0</v>
      </c>
      <c r="H1306" s="214">
        <v>0</v>
      </c>
      <c r="I1306" s="214">
        <v>0</v>
      </c>
      <c r="J1306" s="214">
        <v>0</v>
      </c>
      <c r="K1306" s="214">
        <v>0</v>
      </c>
      <c r="L1306" s="214">
        <v>0</v>
      </c>
      <c r="M1306" s="214">
        <v>0</v>
      </c>
      <c r="N1306" s="214">
        <v>0</v>
      </c>
      <c r="O1306" s="214">
        <v>0</v>
      </c>
      <c r="P1306" s="214">
        <v>0</v>
      </c>
      <c r="Q1306" s="214">
        <v>0</v>
      </c>
      <c r="R1306" s="214">
        <v>0</v>
      </c>
      <c r="S1306" s="214">
        <v>0</v>
      </c>
      <c r="T1306" s="214">
        <v>0</v>
      </c>
      <c r="U1306" s="214">
        <v>0</v>
      </c>
      <c r="V1306" s="214">
        <v>0</v>
      </c>
      <c r="W1306" s="214">
        <v>0</v>
      </c>
      <c r="X1306" s="214">
        <v>0</v>
      </c>
      <c r="Y1306" s="214">
        <v>0</v>
      </c>
      <c r="Z1306" s="214">
        <v>0</v>
      </c>
      <c r="AA1306" s="214">
        <v>0</v>
      </c>
      <c r="AB1306" s="214">
        <v>0</v>
      </c>
      <c r="AC1306" s="214">
        <v>0</v>
      </c>
      <c r="AD1306" s="215"/>
      <c r="AE1306" s="420">
        <v>0</v>
      </c>
      <c r="AF1306" s="420">
        <v>0</v>
      </c>
      <c r="AG1306" s="420">
        <v>0</v>
      </c>
      <c r="AH1306" s="420"/>
      <c r="AI1306" s="574">
        <f t="shared" si="33"/>
        <v>58000</v>
      </c>
      <c r="AJ1306" s="212"/>
    </row>
    <row r="1307" spans="2:36" ht="14.4">
      <c r="B1307" s="211"/>
      <c r="C1307" s="213" t="s">
        <v>66</v>
      </c>
      <c r="D1307" s="417">
        <v>0</v>
      </c>
      <c r="E1307" s="214">
        <v>0</v>
      </c>
      <c r="F1307" s="214">
        <v>0</v>
      </c>
      <c r="G1307" s="214">
        <v>0</v>
      </c>
      <c r="H1307" s="214">
        <v>0</v>
      </c>
      <c r="I1307" s="214">
        <v>0</v>
      </c>
      <c r="J1307" s="214">
        <v>0</v>
      </c>
      <c r="K1307" s="214">
        <v>0</v>
      </c>
      <c r="L1307" s="214">
        <v>0</v>
      </c>
      <c r="M1307" s="214">
        <v>0</v>
      </c>
      <c r="N1307" s="214">
        <v>0</v>
      </c>
      <c r="O1307" s="214">
        <v>0</v>
      </c>
      <c r="P1307" s="214">
        <v>0</v>
      </c>
      <c r="Q1307" s="214">
        <v>0</v>
      </c>
      <c r="R1307" s="214">
        <v>0</v>
      </c>
      <c r="S1307" s="214">
        <v>0</v>
      </c>
      <c r="T1307" s="214">
        <v>0</v>
      </c>
      <c r="U1307" s="214">
        <v>0</v>
      </c>
      <c r="V1307" s="214">
        <v>0</v>
      </c>
      <c r="W1307" s="214">
        <v>0</v>
      </c>
      <c r="X1307" s="214">
        <v>0</v>
      </c>
      <c r="Y1307" s="214">
        <v>0</v>
      </c>
      <c r="Z1307" s="214">
        <v>0</v>
      </c>
      <c r="AA1307" s="214">
        <v>0</v>
      </c>
      <c r="AB1307" s="214">
        <v>0</v>
      </c>
      <c r="AC1307" s="214">
        <v>0</v>
      </c>
      <c r="AD1307" s="215"/>
      <c r="AE1307" s="420">
        <v>0</v>
      </c>
      <c r="AF1307" s="420">
        <v>0</v>
      </c>
      <c r="AG1307" s="420">
        <v>0</v>
      </c>
      <c r="AH1307" s="420"/>
      <c r="AI1307" s="574">
        <f t="shared" si="33"/>
        <v>0</v>
      </c>
      <c r="AJ1307" s="212"/>
    </row>
    <row r="1308" spans="2:36" ht="14.4">
      <c r="B1308" s="211"/>
      <c r="C1308" s="213" t="s">
        <v>30</v>
      </c>
      <c r="D1308" s="417">
        <v>8031.16</v>
      </c>
      <c r="E1308" s="214">
        <v>9888.25</v>
      </c>
      <c r="F1308" s="214">
        <v>13252.25</v>
      </c>
      <c r="G1308" s="214">
        <v>7888.25</v>
      </c>
      <c r="H1308" s="214">
        <v>12222.25</v>
      </c>
      <c r="I1308" s="214">
        <v>0</v>
      </c>
      <c r="J1308" s="214">
        <v>4555.25</v>
      </c>
      <c r="K1308" s="214">
        <v>0</v>
      </c>
      <c r="L1308" s="214">
        <v>0</v>
      </c>
      <c r="M1308" s="214">
        <v>7888.25</v>
      </c>
      <c r="N1308" s="214">
        <v>1300.25</v>
      </c>
      <c r="O1308" s="214">
        <v>6500.5</v>
      </c>
      <c r="P1308" s="214">
        <v>5555.25</v>
      </c>
      <c r="Q1308" s="214">
        <v>14222.26</v>
      </c>
      <c r="R1308" s="214">
        <v>2200</v>
      </c>
      <c r="S1308" s="214">
        <v>4500.25</v>
      </c>
      <c r="T1308" s="214">
        <v>0</v>
      </c>
      <c r="U1308" s="214">
        <v>2600.25</v>
      </c>
      <c r="V1308" s="214">
        <v>2200</v>
      </c>
      <c r="W1308" s="214">
        <v>2500</v>
      </c>
      <c r="X1308" s="214">
        <v>0</v>
      </c>
      <c r="Y1308" s="214">
        <v>6888.5</v>
      </c>
      <c r="Z1308" s="214">
        <v>7888.25</v>
      </c>
      <c r="AA1308" s="214">
        <v>0</v>
      </c>
      <c r="AB1308" s="214">
        <v>8777.25</v>
      </c>
      <c r="AC1308" s="214">
        <v>8888.25</v>
      </c>
      <c r="AD1308" s="215"/>
      <c r="AE1308" s="420">
        <v>9997.25</v>
      </c>
      <c r="AF1308" s="420">
        <v>1900.25</v>
      </c>
      <c r="AG1308" s="420">
        <v>900.5</v>
      </c>
      <c r="AH1308" s="420"/>
      <c r="AI1308" s="574">
        <f t="shared" si="33"/>
        <v>150544.66999999998</v>
      </c>
      <c r="AJ1308" s="212"/>
    </row>
    <row r="1309" spans="2:36" ht="14.4">
      <c r="B1309" s="211"/>
      <c r="C1309" s="213" t="s">
        <v>67</v>
      </c>
      <c r="D1309" s="417">
        <v>0</v>
      </c>
      <c r="E1309" s="214">
        <v>0</v>
      </c>
      <c r="F1309" s="214">
        <v>0</v>
      </c>
      <c r="G1309" s="214">
        <v>0</v>
      </c>
      <c r="H1309" s="214">
        <v>0</v>
      </c>
      <c r="I1309" s="214">
        <v>0</v>
      </c>
      <c r="J1309" s="214">
        <v>0</v>
      </c>
      <c r="K1309" s="214">
        <v>0</v>
      </c>
      <c r="L1309" s="214">
        <v>0</v>
      </c>
      <c r="M1309" s="214">
        <v>0</v>
      </c>
      <c r="N1309" s="214">
        <v>0</v>
      </c>
      <c r="O1309" s="214">
        <v>0</v>
      </c>
      <c r="P1309" s="214">
        <v>0</v>
      </c>
      <c r="Q1309" s="214">
        <v>0</v>
      </c>
      <c r="R1309" s="214">
        <v>0</v>
      </c>
      <c r="S1309" s="214">
        <v>0</v>
      </c>
      <c r="T1309" s="214">
        <v>0</v>
      </c>
      <c r="U1309" s="214">
        <v>0</v>
      </c>
      <c r="V1309" s="214">
        <v>0</v>
      </c>
      <c r="W1309" s="214">
        <v>0</v>
      </c>
      <c r="X1309" s="214">
        <v>0</v>
      </c>
      <c r="Y1309" s="214">
        <v>0</v>
      </c>
      <c r="Z1309" s="214">
        <v>0</v>
      </c>
      <c r="AA1309" s="214">
        <v>0</v>
      </c>
      <c r="AB1309" s="214">
        <v>0</v>
      </c>
      <c r="AC1309" s="214">
        <v>0</v>
      </c>
      <c r="AD1309" s="215"/>
      <c r="AE1309" s="420">
        <v>0</v>
      </c>
      <c r="AF1309" s="420">
        <v>0</v>
      </c>
      <c r="AG1309" s="420">
        <v>0</v>
      </c>
      <c r="AH1309" s="420"/>
      <c r="AI1309" s="574">
        <f t="shared" si="33"/>
        <v>0</v>
      </c>
      <c r="AJ1309" s="212"/>
    </row>
    <row r="1310" spans="2:36" ht="14.4">
      <c r="B1310" s="211"/>
      <c r="C1310" s="213" t="s">
        <v>111</v>
      </c>
      <c r="D1310" s="417">
        <v>2445</v>
      </c>
      <c r="E1310" s="214">
        <v>0</v>
      </c>
      <c r="F1310" s="214">
        <v>900</v>
      </c>
      <c r="G1310" s="214">
        <v>0</v>
      </c>
      <c r="H1310" s="214">
        <v>800</v>
      </c>
      <c r="I1310" s="214">
        <v>0</v>
      </c>
      <c r="J1310" s="214">
        <v>0</v>
      </c>
      <c r="K1310" s="214">
        <v>0</v>
      </c>
      <c r="L1310" s="214">
        <v>0</v>
      </c>
      <c r="M1310" s="214">
        <v>0</v>
      </c>
      <c r="N1310" s="214">
        <v>0</v>
      </c>
      <c r="O1310" s="214">
        <v>0</v>
      </c>
      <c r="P1310" s="214">
        <v>0</v>
      </c>
      <c r="Q1310" s="214">
        <v>1000</v>
      </c>
      <c r="R1310" s="214">
        <v>0</v>
      </c>
      <c r="S1310" s="214">
        <v>0</v>
      </c>
      <c r="T1310" s="214">
        <v>0</v>
      </c>
      <c r="U1310" s="214">
        <v>0</v>
      </c>
      <c r="V1310" s="214">
        <v>0</v>
      </c>
      <c r="W1310" s="214">
        <v>0</v>
      </c>
      <c r="X1310" s="214">
        <v>0</v>
      </c>
      <c r="Y1310" s="214">
        <v>0</v>
      </c>
      <c r="Z1310" s="214">
        <v>0</v>
      </c>
      <c r="AA1310" s="214">
        <v>0</v>
      </c>
      <c r="AB1310" s="214">
        <v>0</v>
      </c>
      <c r="AC1310" s="214">
        <v>0</v>
      </c>
      <c r="AD1310" s="215"/>
      <c r="AE1310" s="420">
        <f>12480.15-12180</f>
        <v>300.14999999999964</v>
      </c>
      <c r="AF1310" s="420">
        <v>0</v>
      </c>
      <c r="AG1310" s="420">
        <v>0</v>
      </c>
      <c r="AH1310" s="420"/>
      <c r="AI1310" s="574">
        <f t="shared" si="33"/>
        <v>5445.15</v>
      </c>
      <c r="AJ1310" s="212"/>
    </row>
    <row r="1311" spans="2:36" ht="14.4">
      <c r="B1311" s="211"/>
      <c r="C1311" s="213" t="s">
        <v>68</v>
      </c>
      <c r="D1311" s="417">
        <v>0</v>
      </c>
      <c r="E1311" s="214">
        <v>0</v>
      </c>
      <c r="F1311" s="214">
        <v>0</v>
      </c>
      <c r="G1311" s="214">
        <v>0</v>
      </c>
      <c r="H1311" s="214">
        <v>0</v>
      </c>
      <c r="I1311" s="214">
        <v>0</v>
      </c>
      <c r="J1311" s="214">
        <v>0</v>
      </c>
      <c r="K1311" s="214">
        <v>0</v>
      </c>
      <c r="L1311" s="214">
        <v>0</v>
      </c>
      <c r="M1311" s="214">
        <v>0</v>
      </c>
      <c r="N1311" s="214">
        <v>0</v>
      </c>
      <c r="O1311" s="214">
        <v>0</v>
      </c>
      <c r="P1311" s="214">
        <v>0</v>
      </c>
      <c r="Q1311" s="214">
        <v>0</v>
      </c>
      <c r="R1311" s="214">
        <v>0</v>
      </c>
      <c r="S1311" s="214">
        <v>0</v>
      </c>
      <c r="T1311" s="214">
        <v>0</v>
      </c>
      <c r="U1311" s="214">
        <v>0</v>
      </c>
      <c r="V1311" s="214">
        <v>0</v>
      </c>
      <c r="W1311" s="214">
        <v>0</v>
      </c>
      <c r="X1311" s="214">
        <v>0</v>
      </c>
      <c r="Y1311" s="214">
        <v>0</v>
      </c>
      <c r="Z1311" s="214">
        <v>0</v>
      </c>
      <c r="AA1311" s="214">
        <v>0</v>
      </c>
      <c r="AB1311" s="214">
        <v>0</v>
      </c>
      <c r="AC1311" s="214">
        <v>0</v>
      </c>
      <c r="AD1311" s="215"/>
      <c r="AE1311" s="420">
        <v>0</v>
      </c>
      <c r="AF1311" s="420">
        <v>0</v>
      </c>
      <c r="AG1311" s="420">
        <v>0</v>
      </c>
      <c r="AH1311" s="420"/>
      <c r="AI1311" s="574">
        <f t="shared" si="33"/>
        <v>0</v>
      </c>
      <c r="AJ1311" s="212"/>
    </row>
    <row r="1312" spans="2:36" ht="14.4">
      <c r="B1312" s="211"/>
      <c r="C1312" s="213" t="s">
        <v>69</v>
      </c>
      <c r="D1312" s="417">
        <v>0</v>
      </c>
      <c r="E1312" s="214">
        <v>700</v>
      </c>
      <c r="F1312" s="214">
        <v>700</v>
      </c>
      <c r="G1312" s="214">
        <v>700</v>
      </c>
      <c r="H1312" s="214">
        <v>0</v>
      </c>
      <c r="I1312" s="214">
        <v>0</v>
      </c>
      <c r="J1312" s="214">
        <v>0</v>
      </c>
      <c r="K1312" s="214">
        <v>0</v>
      </c>
      <c r="L1312" s="214">
        <v>0</v>
      </c>
      <c r="M1312" s="214">
        <v>0</v>
      </c>
      <c r="N1312" s="214">
        <v>0</v>
      </c>
      <c r="O1312" s="214">
        <v>0</v>
      </c>
      <c r="P1312" s="214">
        <v>0</v>
      </c>
      <c r="Q1312" s="214">
        <v>700</v>
      </c>
      <c r="R1312" s="214">
        <v>0</v>
      </c>
      <c r="S1312" s="214">
        <v>0</v>
      </c>
      <c r="T1312" s="214">
        <v>0</v>
      </c>
      <c r="U1312" s="214">
        <v>0</v>
      </c>
      <c r="V1312" s="214">
        <v>0</v>
      </c>
      <c r="W1312" s="214">
        <v>0</v>
      </c>
      <c r="X1312" s="214">
        <v>0</v>
      </c>
      <c r="Y1312" s="214">
        <v>0</v>
      </c>
      <c r="Z1312" s="214">
        <v>0</v>
      </c>
      <c r="AA1312" s="214">
        <v>0</v>
      </c>
      <c r="AB1312" s="214">
        <v>0</v>
      </c>
      <c r="AC1312" s="214">
        <v>0</v>
      </c>
      <c r="AD1312" s="215"/>
      <c r="AE1312" s="420">
        <v>700</v>
      </c>
      <c r="AF1312" s="420">
        <v>0</v>
      </c>
      <c r="AG1312" s="420">
        <v>0</v>
      </c>
      <c r="AH1312" s="420"/>
      <c r="AI1312" s="574">
        <f t="shared" si="33"/>
        <v>3500</v>
      </c>
      <c r="AJ1312" s="212"/>
    </row>
    <row r="1313" spans="2:36" ht="14.4">
      <c r="B1313" s="211"/>
      <c r="C1313" s="213" t="s">
        <v>70</v>
      </c>
      <c r="D1313" s="417">
        <v>610</v>
      </c>
      <c r="E1313" s="214">
        <v>0</v>
      </c>
      <c r="F1313" s="214">
        <v>0</v>
      </c>
      <c r="G1313" s="214">
        <v>0</v>
      </c>
      <c r="H1313" s="214">
        <v>0</v>
      </c>
      <c r="I1313" s="214">
        <v>605</v>
      </c>
      <c r="J1313" s="214">
        <v>0</v>
      </c>
      <c r="K1313" s="214">
        <v>0</v>
      </c>
      <c r="L1313" s="214">
        <v>0</v>
      </c>
      <c r="M1313" s="214">
        <v>0</v>
      </c>
      <c r="N1313" s="214">
        <v>0</v>
      </c>
      <c r="O1313" s="214">
        <v>1270</v>
      </c>
      <c r="P1313" s="214">
        <v>0</v>
      </c>
      <c r="Q1313" s="214">
        <v>0</v>
      </c>
      <c r="R1313" s="214">
        <v>0</v>
      </c>
      <c r="S1313" s="214">
        <v>0</v>
      </c>
      <c r="T1313" s="214">
        <v>0</v>
      </c>
      <c r="U1313" s="214">
        <v>0</v>
      </c>
      <c r="V1313" s="214">
        <v>0</v>
      </c>
      <c r="W1313" s="214">
        <v>0</v>
      </c>
      <c r="X1313" s="214">
        <v>0</v>
      </c>
      <c r="Y1313" s="214">
        <v>0</v>
      </c>
      <c r="Z1313" s="214">
        <v>0</v>
      </c>
      <c r="AA1313" s="214">
        <v>0</v>
      </c>
      <c r="AB1313" s="214">
        <v>1020</v>
      </c>
      <c r="AC1313" s="214">
        <v>0</v>
      </c>
      <c r="AD1313" s="215"/>
      <c r="AE1313" s="420">
        <v>0</v>
      </c>
      <c r="AF1313" s="420">
        <v>0</v>
      </c>
      <c r="AG1313" s="420">
        <v>0</v>
      </c>
      <c r="AH1313" s="420"/>
      <c r="AI1313" s="574">
        <f t="shared" si="33"/>
        <v>3505</v>
      </c>
      <c r="AJ1313" s="212"/>
    </row>
    <row r="1314" spans="2:36" ht="14.4">
      <c r="B1314" s="211"/>
      <c r="C1314" s="213" t="s">
        <v>71</v>
      </c>
      <c r="D1314" s="417">
        <v>0</v>
      </c>
      <c r="E1314" s="214">
        <v>0</v>
      </c>
      <c r="F1314" s="214">
        <v>0</v>
      </c>
      <c r="G1314" s="214">
        <v>0</v>
      </c>
      <c r="H1314" s="214">
        <v>0</v>
      </c>
      <c r="I1314" s="214">
        <v>0</v>
      </c>
      <c r="J1314" s="214">
        <v>0</v>
      </c>
      <c r="K1314" s="214">
        <v>0</v>
      </c>
      <c r="L1314" s="214">
        <v>0</v>
      </c>
      <c r="M1314" s="214">
        <v>0</v>
      </c>
      <c r="N1314" s="214">
        <v>0</v>
      </c>
      <c r="O1314" s="214">
        <v>0</v>
      </c>
      <c r="P1314" s="214">
        <v>0</v>
      </c>
      <c r="Q1314" s="214">
        <v>0</v>
      </c>
      <c r="R1314" s="214">
        <v>0</v>
      </c>
      <c r="S1314" s="214">
        <v>0</v>
      </c>
      <c r="T1314" s="214">
        <v>0</v>
      </c>
      <c r="U1314" s="214">
        <v>0</v>
      </c>
      <c r="V1314" s="214">
        <v>0</v>
      </c>
      <c r="W1314" s="214">
        <v>0</v>
      </c>
      <c r="X1314" s="214">
        <v>0</v>
      </c>
      <c r="Y1314" s="214">
        <v>0</v>
      </c>
      <c r="Z1314" s="214">
        <v>0</v>
      </c>
      <c r="AA1314" s="214">
        <v>0</v>
      </c>
      <c r="AB1314" s="214">
        <v>0</v>
      </c>
      <c r="AC1314" s="214">
        <v>0</v>
      </c>
      <c r="AD1314" s="215"/>
      <c r="AE1314" s="420">
        <v>0</v>
      </c>
      <c r="AF1314" s="420">
        <v>0</v>
      </c>
      <c r="AG1314" s="420">
        <v>0</v>
      </c>
      <c r="AH1314" s="420"/>
      <c r="AI1314" s="574">
        <f t="shared" si="33"/>
        <v>0</v>
      </c>
      <c r="AJ1314" s="212"/>
    </row>
    <row r="1315" spans="2:36" ht="14.4">
      <c r="B1315" s="211"/>
      <c r="C1315" s="213" t="s">
        <v>159</v>
      </c>
      <c r="D1315" s="417">
        <v>18085</v>
      </c>
      <c r="E1315" s="214">
        <v>0</v>
      </c>
      <c r="F1315" s="214">
        <v>0</v>
      </c>
      <c r="G1315" s="214">
        <v>0</v>
      </c>
      <c r="H1315" s="214">
        <v>0</v>
      </c>
      <c r="I1315" s="214">
        <v>0</v>
      </c>
      <c r="J1315" s="214">
        <v>0</v>
      </c>
      <c r="K1315" s="214">
        <v>0</v>
      </c>
      <c r="L1315" s="214">
        <v>0</v>
      </c>
      <c r="M1315" s="214">
        <v>0</v>
      </c>
      <c r="N1315" s="214">
        <v>0</v>
      </c>
      <c r="O1315" s="214">
        <v>0</v>
      </c>
      <c r="P1315" s="214">
        <v>0</v>
      </c>
      <c r="Q1315" s="214">
        <v>0</v>
      </c>
      <c r="R1315" s="214">
        <v>400</v>
      </c>
      <c r="S1315" s="214">
        <v>0</v>
      </c>
      <c r="T1315" s="214">
        <v>0</v>
      </c>
      <c r="U1315" s="214">
        <v>0</v>
      </c>
      <c r="V1315" s="214">
        <v>0</v>
      </c>
      <c r="W1315" s="214">
        <v>0</v>
      </c>
      <c r="X1315" s="214">
        <v>0</v>
      </c>
      <c r="Y1315" s="214">
        <v>0</v>
      </c>
      <c r="Z1315" s="214">
        <v>0</v>
      </c>
      <c r="AA1315" s="214">
        <v>0</v>
      </c>
      <c r="AB1315" s="214">
        <v>0</v>
      </c>
      <c r="AC1315" s="214">
        <v>0</v>
      </c>
      <c r="AD1315" s="215"/>
      <c r="AE1315" s="420">
        <v>0</v>
      </c>
      <c r="AF1315" s="420">
        <v>0</v>
      </c>
      <c r="AG1315" s="420">
        <v>0</v>
      </c>
      <c r="AH1315" s="420"/>
      <c r="AI1315" s="574">
        <f t="shared" si="33"/>
        <v>18485</v>
      </c>
      <c r="AJ1315" s="212"/>
    </row>
    <row r="1316" spans="2:36" ht="14.4">
      <c r="B1316" s="211"/>
      <c r="C1316" s="213" t="s">
        <v>72</v>
      </c>
      <c r="D1316" s="417">
        <v>7050</v>
      </c>
      <c r="E1316" s="214">
        <v>0</v>
      </c>
      <c r="F1316" s="214">
        <v>0</v>
      </c>
      <c r="G1316" s="214">
        <v>0</v>
      </c>
      <c r="H1316" s="214">
        <v>0</v>
      </c>
      <c r="I1316" s="214">
        <v>0</v>
      </c>
      <c r="J1316" s="214">
        <v>0</v>
      </c>
      <c r="K1316" s="214">
        <v>0</v>
      </c>
      <c r="L1316" s="214">
        <v>0</v>
      </c>
      <c r="M1316" s="214">
        <v>0</v>
      </c>
      <c r="N1316" s="214">
        <v>0</v>
      </c>
      <c r="O1316" s="214">
        <v>0</v>
      </c>
      <c r="P1316" s="214">
        <v>0</v>
      </c>
      <c r="Q1316" s="214">
        <v>0</v>
      </c>
      <c r="R1316" s="214">
        <v>0</v>
      </c>
      <c r="S1316" s="214">
        <v>0</v>
      </c>
      <c r="T1316" s="214">
        <v>0</v>
      </c>
      <c r="U1316" s="214">
        <v>0</v>
      </c>
      <c r="V1316" s="214">
        <v>0</v>
      </c>
      <c r="W1316" s="214">
        <v>0</v>
      </c>
      <c r="X1316" s="214">
        <v>0</v>
      </c>
      <c r="Y1316" s="214">
        <v>0</v>
      </c>
      <c r="Z1316" s="214">
        <v>0</v>
      </c>
      <c r="AA1316" s="214">
        <v>0</v>
      </c>
      <c r="AB1316" s="214">
        <v>0</v>
      </c>
      <c r="AC1316" s="214">
        <v>0</v>
      </c>
      <c r="AD1316" s="215"/>
      <c r="AE1316" s="420">
        <v>0</v>
      </c>
      <c r="AF1316" s="420">
        <v>0</v>
      </c>
      <c r="AG1316" s="420">
        <v>0</v>
      </c>
      <c r="AH1316" s="420"/>
      <c r="AI1316" s="574">
        <f t="shared" si="33"/>
        <v>7050</v>
      </c>
      <c r="AJ1316" s="212"/>
    </row>
    <row r="1317" spans="2:36" ht="14.4">
      <c r="B1317" s="211"/>
      <c r="C1317" s="213" t="s">
        <v>73</v>
      </c>
      <c r="D1317" s="417">
        <v>0</v>
      </c>
      <c r="E1317" s="214">
        <v>0</v>
      </c>
      <c r="F1317" s="214">
        <v>0</v>
      </c>
      <c r="G1317" s="214">
        <v>0</v>
      </c>
      <c r="H1317" s="214">
        <v>0</v>
      </c>
      <c r="I1317" s="214">
        <v>0</v>
      </c>
      <c r="J1317" s="214">
        <v>0</v>
      </c>
      <c r="K1317" s="214">
        <v>0</v>
      </c>
      <c r="L1317" s="214">
        <v>0</v>
      </c>
      <c r="M1317" s="214">
        <v>0</v>
      </c>
      <c r="N1317" s="214">
        <v>0</v>
      </c>
      <c r="O1317" s="214">
        <v>0</v>
      </c>
      <c r="P1317" s="214">
        <v>0</v>
      </c>
      <c r="Q1317" s="214">
        <v>0</v>
      </c>
      <c r="R1317" s="214">
        <v>0</v>
      </c>
      <c r="S1317" s="214">
        <v>0</v>
      </c>
      <c r="T1317" s="214">
        <v>0</v>
      </c>
      <c r="U1317" s="214">
        <v>0</v>
      </c>
      <c r="V1317" s="214">
        <v>0</v>
      </c>
      <c r="W1317" s="214">
        <v>0</v>
      </c>
      <c r="X1317" s="214">
        <v>0</v>
      </c>
      <c r="Y1317" s="214">
        <v>0</v>
      </c>
      <c r="Z1317" s="214">
        <v>0</v>
      </c>
      <c r="AA1317" s="214">
        <v>0</v>
      </c>
      <c r="AB1317" s="214">
        <v>0</v>
      </c>
      <c r="AC1317" s="214">
        <v>0</v>
      </c>
      <c r="AD1317" s="215"/>
      <c r="AE1317" s="420">
        <v>0</v>
      </c>
      <c r="AF1317" s="420">
        <v>0</v>
      </c>
      <c r="AG1317" s="420">
        <v>0</v>
      </c>
      <c r="AH1317" s="420"/>
      <c r="AI1317" s="574">
        <f t="shared" si="33"/>
        <v>0</v>
      </c>
      <c r="AJ1317" s="212"/>
    </row>
    <row r="1318" spans="2:36" ht="14.4">
      <c r="B1318" s="211"/>
      <c r="C1318" s="213" t="s">
        <v>246</v>
      </c>
      <c r="D1318" s="417">
        <v>6255</v>
      </c>
      <c r="E1318" s="214">
        <v>0</v>
      </c>
      <c r="F1318" s="214">
        <v>0</v>
      </c>
      <c r="G1318" s="214">
        <v>0</v>
      </c>
      <c r="H1318" s="214">
        <v>0</v>
      </c>
      <c r="I1318" s="214">
        <v>0</v>
      </c>
      <c r="J1318" s="214">
        <v>0</v>
      </c>
      <c r="K1318" s="214">
        <v>0</v>
      </c>
      <c r="L1318" s="214">
        <v>0</v>
      </c>
      <c r="M1318" s="214">
        <v>0</v>
      </c>
      <c r="N1318" s="214">
        <v>0</v>
      </c>
      <c r="O1318" s="214">
        <v>0</v>
      </c>
      <c r="P1318" s="214">
        <v>0</v>
      </c>
      <c r="Q1318" s="214">
        <v>0</v>
      </c>
      <c r="R1318" s="214">
        <v>0</v>
      </c>
      <c r="S1318" s="214">
        <v>0</v>
      </c>
      <c r="T1318" s="214">
        <v>0</v>
      </c>
      <c r="U1318" s="214">
        <v>0</v>
      </c>
      <c r="V1318" s="214">
        <v>0</v>
      </c>
      <c r="W1318" s="214">
        <v>0</v>
      </c>
      <c r="X1318" s="214">
        <v>0</v>
      </c>
      <c r="Y1318" s="214">
        <v>0</v>
      </c>
      <c r="Z1318" s="214">
        <v>0</v>
      </c>
      <c r="AA1318" s="214">
        <v>0</v>
      </c>
      <c r="AB1318" s="214">
        <v>0</v>
      </c>
      <c r="AC1318" s="214">
        <v>0</v>
      </c>
      <c r="AD1318" s="215"/>
      <c r="AE1318" s="420">
        <v>0</v>
      </c>
      <c r="AF1318" s="420">
        <v>0</v>
      </c>
      <c r="AG1318" s="420">
        <v>0</v>
      </c>
      <c r="AH1318" s="420"/>
      <c r="AI1318" s="574">
        <f t="shared" si="33"/>
        <v>6255</v>
      </c>
      <c r="AJ1318" s="212"/>
    </row>
    <row r="1319" spans="2:36" ht="14.4">
      <c r="B1319" s="211"/>
      <c r="C1319" s="213" t="s">
        <v>75</v>
      </c>
      <c r="D1319" s="417">
        <v>0</v>
      </c>
      <c r="E1319" s="214">
        <v>0</v>
      </c>
      <c r="F1319" s="214">
        <v>0</v>
      </c>
      <c r="G1319" s="214">
        <v>0</v>
      </c>
      <c r="H1319" s="214">
        <v>0</v>
      </c>
      <c r="I1319" s="214">
        <v>0</v>
      </c>
      <c r="J1319" s="214">
        <v>0</v>
      </c>
      <c r="K1319" s="214">
        <v>0</v>
      </c>
      <c r="L1319" s="214">
        <v>0</v>
      </c>
      <c r="M1319" s="214">
        <v>0</v>
      </c>
      <c r="N1319" s="214">
        <v>0</v>
      </c>
      <c r="O1319" s="214">
        <v>0</v>
      </c>
      <c r="P1319" s="214">
        <v>0</v>
      </c>
      <c r="Q1319" s="214">
        <v>0</v>
      </c>
      <c r="R1319" s="214">
        <v>0</v>
      </c>
      <c r="S1319" s="214">
        <v>0</v>
      </c>
      <c r="T1319" s="214">
        <v>0</v>
      </c>
      <c r="U1319" s="214">
        <v>0</v>
      </c>
      <c r="V1319" s="214">
        <v>0</v>
      </c>
      <c r="W1319" s="214">
        <v>0</v>
      </c>
      <c r="X1319" s="214">
        <v>0</v>
      </c>
      <c r="Y1319" s="214">
        <v>0</v>
      </c>
      <c r="Z1319" s="214">
        <v>0</v>
      </c>
      <c r="AA1319" s="214">
        <v>0</v>
      </c>
      <c r="AB1319" s="214">
        <v>0</v>
      </c>
      <c r="AC1319" s="214">
        <v>0</v>
      </c>
      <c r="AD1319" s="215"/>
      <c r="AE1319" s="420">
        <v>0</v>
      </c>
      <c r="AF1319" s="420">
        <v>0</v>
      </c>
      <c r="AG1319" s="420">
        <v>0</v>
      </c>
      <c r="AH1319" s="420"/>
      <c r="AI1319" s="574">
        <f t="shared" si="33"/>
        <v>0</v>
      </c>
      <c r="AJ1319" s="212"/>
    </row>
    <row r="1320" spans="2:36" ht="14.4">
      <c r="B1320" s="211"/>
      <c r="C1320" s="213" t="s">
        <v>76</v>
      </c>
      <c r="D1320" s="417">
        <v>0</v>
      </c>
      <c r="E1320" s="214">
        <v>0</v>
      </c>
      <c r="F1320" s="214">
        <v>0</v>
      </c>
      <c r="G1320" s="214">
        <v>0</v>
      </c>
      <c r="H1320" s="214">
        <v>0</v>
      </c>
      <c r="I1320" s="214">
        <v>0</v>
      </c>
      <c r="J1320" s="214">
        <v>0</v>
      </c>
      <c r="K1320" s="214">
        <v>0</v>
      </c>
      <c r="L1320" s="214">
        <v>0</v>
      </c>
      <c r="M1320" s="214">
        <v>0</v>
      </c>
      <c r="N1320" s="214">
        <v>0</v>
      </c>
      <c r="O1320" s="214">
        <v>0</v>
      </c>
      <c r="P1320" s="214">
        <v>0</v>
      </c>
      <c r="Q1320" s="214">
        <v>0</v>
      </c>
      <c r="R1320" s="214">
        <v>0</v>
      </c>
      <c r="S1320" s="214">
        <v>0</v>
      </c>
      <c r="T1320" s="214">
        <v>0</v>
      </c>
      <c r="U1320" s="214">
        <v>0</v>
      </c>
      <c r="V1320" s="214">
        <v>0</v>
      </c>
      <c r="W1320" s="214">
        <v>0</v>
      </c>
      <c r="X1320" s="214">
        <v>0</v>
      </c>
      <c r="Y1320" s="214">
        <v>0</v>
      </c>
      <c r="Z1320" s="214">
        <v>0</v>
      </c>
      <c r="AA1320" s="214">
        <v>0</v>
      </c>
      <c r="AB1320" s="214">
        <v>0</v>
      </c>
      <c r="AC1320" s="214">
        <v>0</v>
      </c>
      <c r="AD1320" s="215"/>
      <c r="AE1320" s="420">
        <v>0</v>
      </c>
      <c r="AF1320" s="420">
        <v>0</v>
      </c>
      <c r="AG1320" s="420">
        <v>0</v>
      </c>
      <c r="AH1320" s="420"/>
      <c r="AI1320" s="574">
        <f t="shared" si="33"/>
        <v>0</v>
      </c>
      <c r="AJ1320" s="212"/>
    </row>
    <row r="1321" spans="2:36" ht="14.4">
      <c r="B1321" s="211"/>
      <c r="C1321" s="213" t="s">
        <v>77</v>
      </c>
      <c r="D1321" s="417">
        <v>0</v>
      </c>
      <c r="E1321" s="214">
        <v>0</v>
      </c>
      <c r="F1321" s="214">
        <v>0</v>
      </c>
      <c r="G1321" s="214">
        <v>0</v>
      </c>
      <c r="H1321" s="214">
        <v>0</v>
      </c>
      <c r="I1321" s="214">
        <v>0</v>
      </c>
      <c r="J1321" s="214">
        <v>0</v>
      </c>
      <c r="K1321" s="214">
        <v>0</v>
      </c>
      <c r="L1321" s="214">
        <v>0</v>
      </c>
      <c r="M1321" s="214">
        <v>0</v>
      </c>
      <c r="N1321" s="214">
        <v>0</v>
      </c>
      <c r="O1321" s="214">
        <v>0</v>
      </c>
      <c r="P1321" s="214">
        <v>0</v>
      </c>
      <c r="Q1321" s="214">
        <v>0</v>
      </c>
      <c r="R1321" s="214">
        <v>0</v>
      </c>
      <c r="S1321" s="214">
        <v>0</v>
      </c>
      <c r="T1321" s="214">
        <v>0</v>
      </c>
      <c r="U1321" s="214">
        <v>0</v>
      </c>
      <c r="V1321" s="214">
        <v>0</v>
      </c>
      <c r="W1321" s="214">
        <v>0</v>
      </c>
      <c r="X1321" s="214">
        <v>0</v>
      </c>
      <c r="Y1321" s="214">
        <v>0</v>
      </c>
      <c r="Z1321" s="214">
        <v>0</v>
      </c>
      <c r="AA1321" s="214">
        <v>0</v>
      </c>
      <c r="AB1321" s="214">
        <v>0</v>
      </c>
      <c r="AC1321" s="214">
        <v>0</v>
      </c>
      <c r="AD1321" s="215"/>
      <c r="AE1321" s="420">
        <v>0</v>
      </c>
      <c r="AF1321" s="420">
        <v>0</v>
      </c>
      <c r="AG1321" s="420">
        <v>0</v>
      </c>
      <c r="AH1321" s="420"/>
      <c r="AI1321" s="574">
        <f t="shared" si="33"/>
        <v>0</v>
      </c>
      <c r="AJ1321" s="212"/>
    </row>
    <row r="1322" spans="2:36" ht="14.4">
      <c r="B1322" s="211"/>
      <c r="C1322" s="213" t="s">
        <v>78</v>
      </c>
      <c r="D1322" s="417">
        <v>0</v>
      </c>
      <c r="E1322" s="214">
        <v>0</v>
      </c>
      <c r="F1322" s="214">
        <v>0</v>
      </c>
      <c r="G1322" s="214">
        <v>0</v>
      </c>
      <c r="H1322" s="214">
        <v>0</v>
      </c>
      <c r="I1322" s="214">
        <v>0</v>
      </c>
      <c r="J1322" s="214">
        <v>0</v>
      </c>
      <c r="K1322" s="214">
        <v>0</v>
      </c>
      <c r="L1322" s="214">
        <v>0</v>
      </c>
      <c r="M1322" s="214">
        <v>0</v>
      </c>
      <c r="N1322" s="214">
        <v>0</v>
      </c>
      <c r="O1322" s="214">
        <v>0</v>
      </c>
      <c r="P1322" s="214">
        <v>0</v>
      </c>
      <c r="Q1322" s="214">
        <v>0</v>
      </c>
      <c r="R1322" s="214">
        <v>0</v>
      </c>
      <c r="S1322" s="214">
        <v>0</v>
      </c>
      <c r="T1322" s="214">
        <v>0</v>
      </c>
      <c r="U1322" s="214">
        <v>0</v>
      </c>
      <c r="V1322" s="214">
        <v>0</v>
      </c>
      <c r="W1322" s="214">
        <v>0</v>
      </c>
      <c r="X1322" s="214">
        <v>0</v>
      </c>
      <c r="Y1322" s="214">
        <v>0</v>
      </c>
      <c r="Z1322" s="214">
        <v>0</v>
      </c>
      <c r="AA1322" s="214">
        <v>0</v>
      </c>
      <c r="AB1322" s="214">
        <v>0</v>
      </c>
      <c r="AC1322" s="214">
        <v>0</v>
      </c>
      <c r="AD1322" s="215"/>
      <c r="AE1322" s="420">
        <v>0</v>
      </c>
      <c r="AF1322" s="420">
        <v>0</v>
      </c>
      <c r="AG1322" s="420">
        <v>0</v>
      </c>
      <c r="AH1322" s="420"/>
      <c r="AI1322" s="574">
        <f t="shared" si="33"/>
        <v>0</v>
      </c>
      <c r="AJ1322" s="212"/>
    </row>
    <row r="1323" spans="2:36" ht="14.4">
      <c r="B1323" s="211"/>
      <c r="C1323" s="213" t="s">
        <v>79</v>
      </c>
      <c r="D1323" s="417">
        <v>0</v>
      </c>
      <c r="E1323" s="214">
        <v>0</v>
      </c>
      <c r="F1323" s="214">
        <v>0</v>
      </c>
      <c r="G1323" s="214">
        <v>0</v>
      </c>
      <c r="H1323" s="214">
        <v>0</v>
      </c>
      <c r="I1323" s="214">
        <v>0</v>
      </c>
      <c r="J1323" s="214">
        <v>0</v>
      </c>
      <c r="K1323" s="214">
        <v>0</v>
      </c>
      <c r="L1323" s="214">
        <v>0</v>
      </c>
      <c r="M1323" s="214">
        <v>0</v>
      </c>
      <c r="N1323" s="214">
        <v>0</v>
      </c>
      <c r="O1323" s="214">
        <v>0</v>
      </c>
      <c r="P1323" s="214">
        <v>0</v>
      </c>
      <c r="Q1323" s="214">
        <v>0</v>
      </c>
      <c r="R1323" s="214">
        <v>0</v>
      </c>
      <c r="S1323" s="214">
        <v>0</v>
      </c>
      <c r="T1323" s="214">
        <v>0</v>
      </c>
      <c r="U1323" s="214">
        <v>0</v>
      </c>
      <c r="V1323" s="214">
        <v>0</v>
      </c>
      <c r="W1323" s="214">
        <v>0</v>
      </c>
      <c r="X1323" s="214">
        <v>0</v>
      </c>
      <c r="Y1323" s="214">
        <v>0</v>
      </c>
      <c r="Z1323" s="214">
        <v>0</v>
      </c>
      <c r="AA1323" s="214">
        <v>0</v>
      </c>
      <c r="AB1323" s="214">
        <v>0</v>
      </c>
      <c r="AC1323" s="214">
        <v>0</v>
      </c>
      <c r="AD1323" s="215"/>
      <c r="AE1323" s="420">
        <v>0</v>
      </c>
      <c r="AF1323" s="420">
        <v>0</v>
      </c>
      <c r="AG1323" s="420">
        <v>0</v>
      </c>
      <c r="AH1323" s="420"/>
      <c r="AI1323" s="574">
        <f t="shared" si="33"/>
        <v>0</v>
      </c>
      <c r="AJ1323" s="212"/>
    </row>
    <row r="1324" spans="2:36" ht="14.4">
      <c r="B1324" s="211"/>
      <c r="C1324" s="213" t="s">
        <v>80</v>
      </c>
      <c r="D1324" s="417">
        <v>0</v>
      </c>
      <c r="E1324" s="214">
        <v>0</v>
      </c>
      <c r="F1324" s="214">
        <v>0</v>
      </c>
      <c r="G1324" s="214">
        <v>0</v>
      </c>
      <c r="H1324" s="214">
        <v>0</v>
      </c>
      <c r="I1324" s="214">
        <v>0</v>
      </c>
      <c r="J1324" s="214">
        <v>0</v>
      </c>
      <c r="K1324" s="214">
        <v>0</v>
      </c>
      <c r="L1324" s="214">
        <v>0</v>
      </c>
      <c r="M1324" s="214">
        <v>0</v>
      </c>
      <c r="N1324" s="214">
        <v>0</v>
      </c>
      <c r="O1324" s="214">
        <v>0</v>
      </c>
      <c r="P1324" s="214">
        <v>0</v>
      </c>
      <c r="Q1324" s="214">
        <v>0</v>
      </c>
      <c r="R1324" s="214">
        <v>0</v>
      </c>
      <c r="S1324" s="214">
        <v>0</v>
      </c>
      <c r="T1324" s="214">
        <v>0</v>
      </c>
      <c r="U1324" s="214">
        <v>0</v>
      </c>
      <c r="V1324" s="214">
        <v>0</v>
      </c>
      <c r="W1324" s="214">
        <v>0</v>
      </c>
      <c r="X1324" s="214">
        <v>0</v>
      </c>
      <c r="Y1324" s="214">
        <v>0</v>
      </c>
      <c r="Z1324" s="214">
        <v>0</v>
      </c>
      <c r="AA1324" s="214">
        <v>0</v>
      </c>
      <c r="AB1324" s="214">
        <v>0</v>
      </c>
      <c r="AC1324" s="214">
        <v>0</v>
      </c>
      <c r="AD1324" s="215"/>
      <c r="AE1324" s="420">
        <v>0</v>
      </c>
      <c r="AF1324" s="420">
        <v>0</v>
      </c>
      <c r="AG1324" s="420">
        <v>0</v>
      </c>
      <c r="AH1324" s="420"/>
      <c r="AI1324" s="574">
        <f t="shared" si="33"/>
        <v>0</v>
      </c>
      <c r="AJ1324" s="212"/>
    </row>
    <row r="1325" spans="2:36" ht="14.4">
      <c r="B1325" s="211"/>
      <c r="C1325" s="213" t="s">
        <v>81</v>
      </c>
      <c r="D1325" s="417">
        <v>0</v>
      </c>
      <c r="E1325" s="214">
        <v>0</v>
      </c>
      <c r="F1325" s="214">
        <v>0</v>
      </c>
      <c r="G1325" s="214">
        <v>0</v>
      </c>
      <c r="H1325" s="214">
        <v>0</v>
      </c>
      <c r="I1325" s="214">
        <v>0</v>
      </c>
      <c r="J1325" s="214">
        <v>0</v>
      </c>
      <c r="K1325" s="214">
        <v>0</v>
      </c>
      <c r="L1325" s="214">
        <v>0</v>
      </c>
      <c r="M1325" s="214">
        <v>0</v>
      </c>
      <c r="N1325" s="214">
        <v>0</v>
      </c>
      <c r="O1325" s="214">
        <v>0</v>
      </c>
      <c r="P1325" s="214">
        <v>0</v>
      </c>
      <c r="Q1325" s="214">
        <v>0</v>
      </c>
      <c r="R1325" s="214">
        <v>0</v>
      </c>
      <c r="S1325" s="214">
        <v>0</v>
      </c>
      <c r="T1325" s="214">
        <v>0</v>
      </c>
      <c r="U1325" s="214">
        <v>0</v>
      </c>
      <c r="V1325" s="214">
        <v>0</v>
      </c>
      <c r="W1325" s="214">
        <v>0</v>
      </c>
      <c r="X1325" s="214">
        <v>0</v>
      </c>
      <c r="Y1325" s="214">
        <v>0</v>
      </c>
      <c r="Z1325" s="214">
        <v>0</v>
      </c>
      <c r="AA1325" s="214">
        <v>0</v>
      </c>
      <c r="AB1325" s="214">
        <v>0</v>
      </c>
      <c r="AC1325" s="214">
        <v>0</v>
      </c>
      <c r="AD1325" s="215"/>
      <c r="AE1325" s="420">
        <v>0</v>
      </c>
      <c r="AF1325" s="420">
        <v>0</v>
      </c>
      <c r="AG1325" s="420">
        <v>0</v>
      </c>
      <c r="AH1325" s="420"/>
      <c r="AI1325" s="574">
        <f t="shared" si="33"/>
        <v>0</v>
      </c>
      <c r="AJ1325" s="212"/>
    </row>
    <row r="1326" spans="2:36" ht="14.4">
      <c r="B1326" s="211"/>
      <c r="C1326" s="213" t="s">
        <v>82</v>
      </c>
      <c r="D1326" s="417">
        <v>0</v>
      </c>
      <c r="E1326" s="214">
        <v>0</v>
      </c>
      <c r="F1326" s="214">
        <v>0</v>
      </c>
      <c r="G1326" s="214">
        <v>0</v>
      </c>
      <c r="H1326" s="214">
        <v>0</v>
      </c>
      <c r="I1326" s="214">
        <v>0</v>
      </c>
      <c r="J1326" s="214">
        <v>0</v>
      </c>
      <c r="K1326" s="214">
        <v>0</v>
      </c>
      <c r="L1326" s="214">
        <v>0</v>
      </c>
      <c r="M1326" s="214">
        <v>0</v>
      </c>
      <c r="N1326" s="214">
        <v>0</v>
      </c>
      <c r="O1326" s="214">
        <v>0</v>
      </c>
      <c r="P1326" s="214">
        <v>0</v>
      </c>
      <c r="Q1326" s="214">
        <v>0</v>
      </c>
      <c r="R1326" s="214">
        <v>0</v>
      </c>
      <c r="S1326" s="214">
        <v>0</v>
      </c>
      <c r="T1326" s="214">
        <v>0</v>
      </c>
      <c r="U1326" s="214">
        <v>0</v>
      </c>
      <c r="V1326" s="214">
        <v>0</v>
      </c>
      <c r="W1326" s="214">
        <v>0</v>
      </c>
      <c r="X1326" s="214">
        <v>0</v>
      </c>
      <c r="Y1326" s="214">
        <v>0</v>
      </c>
      <c r="Z1326" s="214">
        <v>0</v>
      </c>
      <c r="AA1326" s="214">
        <v>0</v>
      </c>
      <c r="AB1326" s="214">
        <v>0</v>
      </c>
      <c r="AC1326" s="214">
        <v>0</v>
      </c>
      <c r="AD1326" s="215"/>
      <c r="AE1326" s="420">
        <v>0</v>
      </c>
      <c r="AF1326" s="420">
        <v>0</v>
      </c>
      <c r="AG1326" s="420">
        <v>0</v>
      </c>
      <c r="AH1326" s="420"/>
      <c r="AI1326" s="574">
        <f t="shared" si="33"/>
        <v>0</v>
      </c>
      <c r="AJ1326" s="212"/>
    </row>
    <row r="1327" spans="2:36" ht="14.4">
      <c r="B1327" s="211"/>
      <c r="C1327" s="213" t="s">
        <v>83</v>
      </c>
      <c r="D1327" s="417">
        <v>0</v>
      </c>
      <c r="E1327" s="214">
        <v>0</v>
      </c>
      <c r="F1327" s="214">
        <v>0</v>
      </c>
      <c r="G1327" s="214">
        <v>0</v>
      </c>
      <c r="H1327" s="214">
        <v>0</v>
      </c>
      <c r="I1327" s="214">
        <v>0</v>
      </c>
      <c r="J1327" s="214">
        <v>0</v>
      </c>
      <c r="K1327" s="214">
        <v>0</v>
      </c>
      <c r="L1327" s="214">
        <v>0</v>
      </c>
      <c r="M1327" s="214">
        <v>0</v>
      </c>
      <c r="N1327" s="214">
        <v>0</v>
      </c>
      <c r="O1327" s="214">
        <v>0</v>
      </c>
      <c r="P1327" s="214">
        <v>0</v>
      </c>
      <c r="Q1327" s="214">
        <v>0</v>
      </c>
      <c r="R1327" s="214">
        <v>0</v>
      </c>
      <c r="S1327" s="214">
        <v>0</v>
      </c>
      <c r="T1327" s="214">
        <v>0</v>
      </c>
      <c r="U1327" s="214">
        <v>0</v>
      </c>
      <c r="V1327" s="214">
        <v>0</v>
      </c>
      <c r="W1327" s="214">
        <v>0</v>
      </c>
      <c r="X1327" s="214">
        <v>0</v>
      </c>
      <c r="Y1327" s="214">
        <v>0</v>
      </c>
      <c r="Z1327" s="214">
        <v>0</v>
      </c>
      <c r="AA1327" s="214">
        <v>0</v>
      </c>
      <c r="AB1327" s="214">
        <v>0</v>
      </c>
      <c r="AC1327" s="214">
        <v>0</v>
      </c>
      <c r="AD1327" s="215"/>
      <c r="AE1327" s="420">
        <v>0</v>
      </c>
      <c r="AF1327" s="420">
        <v>0</v>
      </c>
      <c r="AG1327" s="420">
        <v>0</v>
      </c>
      <c r="AH1327" s="420"/>
      <c r="AI1327" s="574">
        <f t="shared" si="33"/>
        <v>0</v>
      </c>
      <c r="AJ1327" s="212"/>
    </row>
    <row r="1328" spans="2:36" ht="14.4">
      <c r="B1328" s="211"/>
      <c r="C1328" s="213" t="s">
        <v>84</v>
      </c>
      <c r="D1328" s="417">
        <v>0</v>
      </c>
      <c r="E1328" s="214">
        <v>0</v>
      </c>
      <c r="F1328" s="214">
        <v>0</v>
      </c>
      <c r="G1328" s="214">
        <v>0</v>
      </c>
      <c r="H1328" s="214">
        <v>0</v>
      </c>
      <c r="I1328" s="214">
        <v>0</v>
      </c>
      <c r="J1328" s="214">
        <v>0</v>
      </c>
      <c r="K1328" s="214">
        <v>0</v>
      </c>
      <c r="L1328" s="214">
        <v>0</v>
      </c>
      <c r="M1328" s="214">
        <v>0</v>
      </c>
      <c r="N1328" s="214">
        <v>0</v>
      </c>
      <c r="O1328" s="214">
        <v>0</v>
      </c>
      <c r="P1328" s="214">
        <v>0</v>
      </c>
      <c r="Q1328" s="214">
        <v>0</v>
      </c>
      <c r="R1328" s="214">
        <v>0</v>
      </c>
      <c r="S1328" s="214">
        <v>0</v>
      </c>
      <c r="T1328" s="214">
        <v>0</v>
      </c>
      <c r="U1328" s="214">
        <v>0</v>
      </c>
      <c r="V1328" s="214">
        <v>0</v>
      </c>
      <c r="W1328" s="214">
        <v>0</v>
      </c>
      <c r="X1328" s="214">
        <v>0</v>
      </c>
      <c r="Y1328" s="214">
        <v>0</v>
      </c>
      <c r="Z1328" s="214">
        <v>0</v>
      </c>
      <c r="AA1328" s="214">
        <v>0</v>
      </c>
      <c r="AB1328" s="214">
        <v>0</v>
      </c>
      <c r="AC1328" s="214">
        <v>0</v>
      </c>
      <c r="AD1328" s="215"/>
      <c r="AE1328" s="420">
        <v>0</v>
      </c>
      <c r="AF1328" s="420">
        <v>0</v>
      </c>
      <c r="AG1328" s="420">
        <v>0</v>
      </c>
      <c r="AH1328" s="420"/>
      <c r="AI1328" s="574">
        <f t="shared" si="33"/>
        <v>0</v>
      </c>
      <c r="AJ1328" s="212"/>
    </row>
    <row r="1329" spans="2:36" ht="14.4">
      <c r="B1329" s="211"/>
      <c r="C1329" s="213" t="s">
        <v>85</v>
      </c>
      <c r="D1329" s="417">
        <v>0</v>
      </c>
      <c r="E1329" s="214">
        <v>200</v>
      </c>
      <c r="F1329" s="214">
        <v>200</v>
      </c>
      <c r="G1329" s="214">
        <v>0</v>
      </c>
      <c r="H1329" s="214">
        <v>0</v>
      </c>
      <c r="I1329" s="214">
        <v>26085</v>
      </c>
      <c r="J1329" s="214">
        <v>200</v>
      </c>
      <c r="K1329" s="214">
        <v>200</v>
      </c>
      <c r="L1329" s="214">
        <v>200</v>
      </c>
      <c r="M1329" s="214">
        <v>200</v>
      </c>
      <c r="N1329" s="214">
        <v>200</v>
      </c>
      <c r="O1329" s="214">
        <v>6983</v>
      </c>
      <c r="P1329" s="214">
        <v>200</v>
      </c>
      <c r="Q1329" s="214">
        <v>200</v>
      </c>
      <c r="R1329" s="214">
        <v>0</v>
      </c>
      <c r="S1329" s="214">
        <v>7061</v>
      </c>
      <c r="T1329" s="214">
        <v>0</v>
      </c>
      <c r="U1329" s="214">
        <v>200</v>
      </c>
      <c r="V1329" s="214">
        <v>200</v>
      </c>
      <c r="W1329" s="214">
        <v>200</v>
      </c>
      <c r="X1329" s="214">
        <v>5085</v>
      </c>
      <c r="Y1329" s="214">
        <v>200</v>
      </c>
      <c r="Z1329" s="214">
        <v>200</v>
      </c>
      <c r="AA1329" s="214">
        <v>8585</v>
      </c>
      <c r="AB1329" s="214">
        <v>1370</v>
      </c>
      <c r="AC1329" s="214">
        <v>1150</v>
      </c>
      <c r="AD1329" s="215"/>
      <c r="AE1329" s="420">
        <v>3095</v>
      </c>
      <c r="AF1329" s="420">
        <v>200</v>
      </c>
      <c r="AG1329" s="420">
        <v>200</v>
      </c>
      <c r="AH1329" s="420"/>
      <c r="AI1329" s="574">
        <f t="shared" si="33"/>
        <v>62614</v>
      </c>
      <c r="AJ1329" s="212"/>
    </row>
    <row r="1330" spans="2:36" ht="14.4">
      <c r="B1330" s="211"/>
      <c r="C1330" s="213" t="s">
        <v>86</v>
      </c>
      <c r="D1330" s="417">
        <v>0</v>
      </c>
      <c r="E1330" s="214">
        <v>0</v>
      </c>
      <c r="F1330" s="214">
        <v>0</v>
      </c>
      <c r="G1330" s="214">
        <v>0</v>
      </c>
      <c r="H1330" s="214">
        <v>0</v>
      </c>
      <c r="I1330" s="214">
        <v>0</v>
      </c>
      <c r="J1330" s="214">
        <v>0</v>
      </c>
      <c r="K1330" s="214">
        <v>0</v>
      </c>
      <c r="L1330" s="214">
        <v>0</v>
      </c>
      <c r="M1330" s="214">
        <v>0</v>
      </c>
      <c r="N1330" s="214">
        <v>0</v>
      </c>
      <c r="O1330" s="214">
        <v>0</v>
      </c>
      <c r="P1330" s="214">
        <v>0</v>
      </c>
      <c r="Q1330" s="214">
        <v>0</v>
      </c>
      <c r="R1330" s="214">
        <v>0</v>
      </c>
      <c r="S1330" s="214">
        <v>0</v>
      </c>
      <c r="T1330" s="214">
        <v>0</v>
      </c>
      <c r="U1330" s="214">
        <v>0</v>
      </c>
      <c r="V1330" s="214">
        <v>0</v>
      </c>
      <c r="W1330" s="214">
        <v>0</v>
      </c>
      <c r="X1330" s="214">
        <v>0</v>
      </c>
      <c r="Y1330" s="214">
        <v>0</v>
      </c>
      <c r="Z1330" s="214">
        <v>0</v>
      </c>
      <c r="AA1330" s="214">
        <v>0</v>
      </c>
      <c r="AB1330" s="214">
        <v>0</v>
      </c>
      <c r="AC1330" s="214">
        <v>0</v>
      </c>
      <c r="AD1330" s="215"/>
      <c r="AE1330" s="420">
        <v>0</v>
      </c>
      <c r="AF1330" s="420">
        <v>0</v>
      </c>
      <c r="AG1330" s="420">
        <v>0</v>
      </c>
      <c r="AH1330" s="420"/>
      <c r="AI1330" s="574">
        <f t="shared" si="33"/>
        <v>0</v>
      </c>
      <c r="AJ1330" s="212"/>
    </row>
    <row r="1331" spans="2:36" ht="14.4">
      <c r="B1331" s="211"/>
      <c r="C1331" s="213" t="s">
        <v>87</v>
      </c>
      <c r="D1331" s="417">
        <v>0</v>
      </c>
      <c r="E1331" s="214">
        <v>0</v>
      </c>
      <c r="F1331" s="214">
        <v>0</v>
      </c>
      <c r="G1331" s="214">
        <v>0</v>
      </c>
      <c r="H1331" s="214">
        <v>0</v>
      </c>
      <c r="I1331" s="214">
        <v>0</v>
      </c>
      <c r="J1331" s="214">
        <v>0</v>
      </c>
      <c r="K1331" s="214">
        <v>0</v>
      </c>
      <c r="L1331" s="214">
        <v>0</v>
      </c>
      <c r="M1331" s="214">
        <v>0</v>
      </c>
      <c r="N1331" s="214">
        <v>0</v>
      </c>
      <c r="O1331" s="214">
        <v>0</v>
      </c>
      <c r="P1331" s="214">
        <v>0</v>
      </c>
      <c r="Q1331" s="214">
        <v>0</v>
      </c>
      <c r="R1331" s="214">
        <v>0</v>
      </c>
      <c r="S1331" s="214">
        <v>1050</v>
      </c>
      <c r="T1331" s="214">
        <v>0</v>
      </c>
      <c r="U1331" s="214">
        <v>0</v>
      </c>
      <c r="V1331" s="214">
        <v>0</v>
      </c>
      <c r="W1331" s="214">
        <v>0</v>
      </c>
      <c r="X1331" s="214">
        <v>0</v>
      </c>
      <c r="Y1331" s="214">
        <v>0</v>
      </c>
      <c r="Z1331" s="214">
        <v>0</v>
      </c>
      <c r="AA1331" s="214">
        <v>0</v>
      </c>
      <c r="AB1331" s="214">
        <v>0</v>
      </c>
      <c r="AC1331" s="214">
        <v>0</v>
      </c>
      <c r="AD1331" s="215"/>
      <c r="AE1331" s="420">
        <v>0</v>
      </c>
      <c r="AF1331" s="420">
        <v>0</v>
      </c>
      <c r="AG1331" s="420">
        <v>0</v>
      </c>
      <c r="AH1331" s="420"/>
      <c r="AI1331" s="574">
        <f t="shared" si="33"/>
        <v>1050</v>
      </c>
      <c r="AJ1331" s="212"/>
    </row>
    <row r="1332" spans="2:36" ht="14.4">
      <c r="B1332" s="211"/>
      <c r="C1332" s="213" t="s">
        <v>88</v>
      </c>
      <c r="D1332" s="417">
        <v>0</v>
      </c>
      <c r="E1332" s="214">
        <v>0</v>
      </c>
      <c r="F1332" s="214">
        <v>0</v>
      </c>
      <c r="G1332" s="214">
        <v>0</v>
      </c>
      <c r="H1332" s="214">
        <v>0</v>
      </c>
      <c r="I1332" s="214">
        <v>0</v>
      </c>
      <c r="J1332" s="214">
        <v>0</v>
      </c>
      <c r="K1332" s="214">
        <v>0</v>
      </c>
      <c r="L1332" s="214">
        <v>0</v>
      </c>
      <c r="M1332" s="214">
        <v>0</v>
      </c>
      <c r="N1332" s="214">
        <v>0</v>
      </c>
      <c r="O1332" s="214">
        <v>0</v>
      </c>
      <c r="P1332" s="214">
        <v>0</v>
      </c>
      <c r="Q1332" s="214">
        <v>0</v>
      </c>
      <c r="R1332" s="214">
        <v>0</v>
      </c>
      <c r="S1332" s="214">
        <v>0</v>
      </c>
      <c r="T1332" s="214">
        <v>0</v>
      </c>
      <c r="U1332" s="214">
        <v>0</v>
      </c>
      <c r="V1332" s="214">
        <v>0</v>
      </c>
      <c r="W1332" s="214">
        <v>0</v>
      </c>
      <c r="X1332" s="214">
        <v>0</v>
      </c>
      <c r="Y1332" s="214">
        <v>0</v>
      </c>
      <c r="Z1332" s="214">
        <v>0</v>
      </c>
      <c r="AA1332" s="214">
        <v>0</v>
      </c>
      <c r="AB1332" s="214">
        <v>0</v>
      </c>
      <c r="AC1332" s="214">
        <v>0</v>
      </c>
      <c r="AD1332" s="215"/>
      <c r="AE1332" s="420">
        <v>0</v>
      </c>
      <c r="AF1332" s="420">
        <v>0</v>
      </c>
      <c r="AG1332" s="420">
        <v>0</v>
      </c>
      <c r="AH1332" s="420"/>
      <c r="AI1332" s="574">
        <f t="shared" si="33"/>
        <v>0</v>
      </c>
      <c r="AJ1332" s="212"/>
    </row>
    <row r="1333" spans="2:36" ht="14.4">
      <c r="B1333" s="211"/>
      <c r="C1333" s="213" t="s">
        <v>89</v>
      </c>
      <c r="D1333" s="417">
        <v>0</v>
      </c>
      <c r="E1333" s="214">
        <v>0</v>
      </c>
      <c r="F1333" s="214">
        <v>0</v>
      </c>
      <c r="G1333" s="214">
        <v>0</v>
      </c>
      <c r="H1333" s="214">
        <v>0</v>
      </c>
      <c r="I1333" s="214">
        <v>0</v>
      </c>
      <c r="J1333" s="214">
        <v>0</v>
      </c>
      <c r="K1333" s="214">
        <v>0</v>
      </c>
      <c r="L1333" s="214">
        <v>0</v>
      </c>
      <c r="M1333" s="214">
        <v>0</v>
      </c>
      <c r="N1333" s="214">
        <v>0</v>
      </c>
      <c r="O1333" s="214">
        <v>0</v>
      </c>
      <c r="P1333" s="214">
        <v>0</v>
      </c>
      <c r="Q1333" s="214">
        <v>0</v>
      </c>
      <c r="R1333" s="214">
        <v>0</v>
      </c>
      <c r="S1333" s="214">
        <v>0</v>
      </c>
      <c r="T1333" s="214">
        <v>0</v>
      </c>
      <c r="U1333" s="214">
        <v>0</v>
      </c>
      <c r="V1333" s="214">
        <v>0</v>
      </c>
      <c r="W1333" s="214">
        <v>0</v>
      </c>
      <c r="X1333" s="214">
        <v>0</v>
      </c>
      <c r="Y1333" s="214">
        <v>0</v>
      </c>
      <c r="Z1333" s="214">
        <v>0</v>
      </c>
      <c r="AA1333" s="214">
        <v>0</v>
      </c>
      <c r="AB1333" s="214">
        <v>0</v>
      </c>
      <c r="AC1333" s="214">
        <v>0</v>
      </c>
      <c r="AD1333" s="215"/>
      <c r="AE1333" s="420">
        <v>0</v>
      </c>
      <c r="AF1333" s="420">
        <v>0</v>
      </c>
      <c r="AG1333" s="420">
        <v>0</v>
      </c>
      <c r="AH1333" s="420"/>
      <c r="AI1333" s="574">
        <f t="shared" si="33"/>
        <v>0</v>
      </c>
      <c r="AJ1333" s="212"/>
    </row>
    <row r="1334" spans="2:36" ht="14.4">
      <c r="B1334" s="211"/>
      <c r="C1334" s="213" t="s">
        <v>33</v>
      </c>
      <c r="D1334" s="417">
        <v>367.25</v>
      </c>
      <c r="E1334" s="214">
        <v>6219.07</v>
      </c>
      <c r="F1334" s="214">
        <v>3252.82</v>
      </c>
      <c r="G1334" s="214">
        <v>1105.82</v>
      </c>
      <c r="H1334" s="214">
        <v>1105.82</v>
      </c>
      <c r="I1334" s="214">
        <v>1105.82</v>
      </c>
      <c r="J1334" s="214">
        <v>2207.5700000000002</v>
      </c>
      <c r="K1334" s="214">
        <v>2207.5700000000002</v>
      </c>
      <c r="L1334" s="214">
        <v>2207.5700000000002</v>
      </c>
      <c r="M1334" s="214">
        <v>1105.82</v>
      </c>
      <c r="N1334" s="214">
        <v>1105.82</v>
      </c>
      <c r="O1334" s="214">
        <v>1105.82</v>
      </c>
      <c r="P1334" s="214">
        <v>1105.82</v>
      </c>
      <c r="Q1334" s="214">
        <v>1105.82</v>
      </c>
      <c r="R1334" s="214">
        <v>1105.82</v>
      </c>
      <c r="S1334" s="214">
        <v>1105.82</v>
      </c>
      <c r="T1334" s="214">
        <v>367.25</v>
      </c>
      <c r="U1334" s="214">
        <v>2207.5700000000002</v>
      </c>
      <c r="V1334" s="214">
        <v>2207.5700000000002</v>
      </c>
      <c r="W1334" s="214">
        <v>367.25</v>
      </c>
      <c r="X1334" s="214">
        <v>2574.8200000000002</v>
      </c>
      <c r="Y1334" s="214">
        <v>2207.5700000000002</v>
      </c>
      <c r="Z1334" s="214">
        <v>1105.82</v>
      </c>
      <c r="AA1334" s="214">
        <v>2207.5700000000002</v>
      </c>
      <c r="AB1334" s="214">
        <v>2207.5700000000002</v>
      </c>
      <c r="AC1334" s="214">
        <v>2574.8200000000002</v>
      </c>
      <c r="AD1334" s="215"/>
      <c r="AE1334" s="420">
        <v>1105.82</v>
      </c>
      <c r="AF1334" s="420">
        <v>367.25</v>
      </c>
      <c r="AG1334" s="420">
        <v>2207.5700000000002</v>
      </c>
      <c r="AH1334" s="420"/>
      <c r="AI1334" s="574">
        <f t="shared" si="33"/>
        <v>49228.499999999993</v>
      </c>
      <c r="AJ1334" s="212"/>
    </row>
    <row r="1335" spans="2:36" ht="14.4">
      <c r="B1335" s="211"/>
      <c r="C1335" s="213" t="s">
        <v>90</v>
      </c>
      <c r="D1335" s="417">
        <v>0</v>
      </c>
      <c r="E1335" s="214">
        <v>0</v>
      </c>
      <c r="F1335" s="214">
        <v>0</v>
      </c>
      <c r="G1335" s="214">
        <v>0</v>
      </c>
      <c r="H1335" s="214">
        <v>0</v>
      </c>
      <c r="I1335" s="214">
        <v>0</v>
      </c>
      <c r="J1335" s="214">
        <v>0</v>
      </c>
      <c r="K1335" s="214">
        <v>0</v>
      </c>
      <c r="L1335" s="214">
        <v>0</v>
      </c>
      <c r="M1335" s="214">
        <v>0</v>
      </c>
      <c r="N1335" s="214">
        <v>0</v>
      </c>
      <c r="O1335" s="214">
        <v>0</v>
      </c>
      <c r="P1335" s="214">
        <v>0</v>
      </c>
      <c r="Q1335" s="214">
        <v>0</v>
      </c>
      <c r="R1335" s="214">
        <v>0</v>
      </c>
      <c r="S1335" s="214">
        <v>0</v>
      </c>
      <c r="T1335" s="214">
        <v>0</v>
      </c>
      <c r="U1335" s="214">
        <v>0</v>
      </c>
      <c r="V1335" s="214">
        <v>0</v>
      </c>
      <c r="W1335" s="214">
        <v>0</v>
      </c>
      <c r="X1335" s="214">
        <v>0</v>
      </c>
      <c r="Y1335" s="214">
        <v>0</v>
      </c>
      <c r="Z1335" s="214">
        <v>0</v>
      </c>
      <c r="AA1335" s="214">
        <v>0</v>
      </c>
      <c r="AB1335" s="214">
        <v>0</v>
      </c>
      <c r="AC1335" s="214">
        <v>0</v>
      </c>
      <c r="AD1335" s="215"/>
      <c r="AE1335" s="420">
        <v>0</v>
      </c>
      <c r="AF1335" s="420">
        <v>0</v>
      </c>
      <c r="AG1335" s="420">
        <v>0</v>
      </c>
      <c r="AH1335" s="420"/>
      <c r="AI1335" s="574">
        <f t="shared" si="33"/>
        <v>0</v>
      </c>
      <c r="AJ1335" s="212"/>
    </row>
    <row r="1336" spans="2:36" ht="14.4">
      <c r="B1336" s="211"/>
      <c r="C1336" s="213" t="s">
        <v>91</v>
      </c>
      <c r="D1336" s="417">
        <v>0</v>
      </c>
      <c r="E1336" s="214">
        <v>0</v>
      </c>
      <c r="F1336" s="214">
        <v>0</v>
      </c>
      <c r="G1336" s="214">
        <v>0</v>
      </c>
      <c r="H1336" s="214">
        <v>0</v>
      </c>
      <c r="I1336" s="214">
        <v>0</v>
      </c>
      <c r="J1336" s="214">
        <v>0</v>
      </c>
      <c r="K1336" s="214">
        <v>0</v>
      </c>
      <c r="L1336" s="214">
        <v>0</v>
      </c>
      <c r="M1336" s="214">
        <v>0</v>
      </c>
      <c r="N1336" s="214">
        <v>0</v>
      </c>
      <c r="O1336" s="214">
        <v>0</v>
      </c>
      <c r="P1336" s="214">
        <v>0</v>
      </c>
      <c r="Q1336" s="214">
        <v>0</v>
      </c>
      <c r="R1336" s="214">
        <v>0</v>
      </c>
      <c r="S1336" s="214">
        <v>0</v>
      </c>
      <c r="T1336" s="214">
        <v>0</v>
      </c>
      <c r="U1336" s="214">
        <v>0</v>
      </c>
      <c r="V1336" s="214">
        <v>0</v>
      </c>
      <c r="W1336" s="214">
        <v>0</v>
      </c>
      <c r="X1336" s="214">
        <v>0</v>
      </c>
      <c r="Y1336" s="214">
        <v>0</v>
      </c>
      <c r="Z1336" s="214">
        <v>0</v>
      </c>
      <c r="AA1336" s="214">
        <v>0</v>
      </c>
      <c r="AB1336" s="214">
        <v>0</v>
      </c>
      <c r="AC1336" s="214">
        <v>0</v>
      </c>
      <c r="AD1336" s="215"/>
      <c r="AE1336" s="420">
        <v>0</v>
      </c>
      <c r="AF1336" s="420">
        <v>0</v>
      </c>
      <c r="AG1336" s="420">
        <v>0</v>
      </c>
      <c r="AH1336" s="420"/>
      <c r="AI1336" s="574">
        <f t="shared" ref="AI1336:AI1384" si="34">SUM(D1336:AH1336)</f>
        <v>0</v>
      </c>
      <c r="AJ1336" s="212"/>
    </row>
    <row r="1337" spans="2:36" ht="14.4">
      <c r="B1337" s="211"/>
      <c r="C1337" s="213" t="s">
        <v>92</v>
      </c>
      <c r="D1337" s="417">
        <v>0</v>
      </c>
      <c r="E1337" s="214">
        <v>0</v>
      </c>
      <c r="F1337" s="214">
        <v>0</v>
      </c>
      <c r="G1337" s="214">
        <v>0</v>
      </c>
      <c r="H1337" s="214">
        <v>0</v>
      </c>
      <c r="I1337" s="214">
        <v>0</v>
      </c>
      <c r="J1337" s="214">
        <v>0</v>
      </c>
      <c r="K1337" s="214">
        <v>0</v>
      </c>
      <c r="L1337" s="214">
        <v>0</v>
      </c>
      <c r="M1337" s="214">
        <v>0</v>
      </c>
      <c r="N1337" s="214">
        <v>0</v>
      </c>
      <c r="O1337" s="214">
        <v>0</v>
      </c>
      <c r="P1337" s="214">
        <v>0</v>
      </c>
      <c r="Q1337" s="214">
        <v>0</v>
      </c>
      <c r="R1337" s="214">
        <v>0</v>
      </c>
      <c r="S1337" s="214">
        <v>0</v>
      </c>
      <c r="T1337" s="214">
        <v>0</v>
      </c>
      <c r="U1337" s="214">
        <v>0</v>
      </c>
      <c r="V1337" s="214">
        <v>0</v>
      </c>
      <c r="W1337" s="214">
        <v>0</v>
      </c>
      <c r="X1337" s="214">
        <v>0</v>
      </c>
      <c r="Y1337" s="214">
        <v>0</v>
      </c>
      <c r="Z1337" s="214">
        <v>0</v>
      </c>
      <c r="AA1337" s="214">
        <v>0</v>
      </c>
      <c r="AB1337" s="214">
        <v>0</v>
      </c>
      <c r="AC1337" s="214">
        <v>0</v>
      </c>
      <c r="AD1337" s="215"/>
      <c r="AE1337" s="420">
        <v>0</v>
      </c>
      <c r="AF1337" s="420">
        <v>0</v>
      </c>
      <c r="AG1337" s="420">
        <v>0</v>
      </c>
      <c r="AH1337" s="420"/>
      <c r="AI1337" s="574">
        <f t="shared" si="34"/>
        <v>0</v>
      </c>
      <c r="AJ1337" s="212"/>
    </row>
    <row r="1338" spans="2:36" ht="14.4">
      <c r="B1338" s="211"/>
      <c r="C1338" s="213" t="s">
        <v>93</v>
      </c>
      <c r="D1338" s="417">
        <v>0</v>
      </c>
      <c r="E1338" s="214">
        <v>0</v>
      </c>
      <c r="F1338" s="214">
        <v>0</v>
      </c>
      <c r="G1338" s="214">
        <v>0</v>
      </c>
      <c r="H1338" s="214">
        <v>0</v>
      </c>
      <c r="I1338" s="214">
        <v>0</v>
      </c>
      <c r="J1338" s="214">
        <v>0</v>
      </c>
      <c r="K1338" s="214">
        <v>0</v>
      </c>
      <c r="L1338" s="214">
        <v>0</v>
      </c>
      <c r="M1338" s="214">
        <v>0</v>
      </c>
      <c r="N1338" s="214">
        <v>0</v>
      </c>
      <c r="O1338" s="214">
        <v>0</v>
      </c>
      <c r="P1338" s="214">
        <v>0</v>
      </c>
      <c r="Q1338" s="214">
        <v>0</v>
      </c>
      <c r="R1338" s="214">
        <v>0</v>
      </c>
      <c r="S1338" s="214">
        <v>0</v>
      </c>
      <c r="T1338" s="214">
        <v>0</v>
      </c>
      <c r="U1338" s="214">
        <v>0</v>
      </c>
      <c r="V1338" s="214">
        <v>0</v>
      </c>
      <c r="W1338" s="214">
        <v>0</v>
      </c>
      <c r="X1338" s="214">
        <v>0</v>
      </c>
      <c r="Y1338" s="214">
        <v>0</v>
      </c>
      <c r="Z1338" s="214">
        <v>0</v>
      </c>
      <c r="AA1338" s="214">
        <v>0</v>
      </c>
      <c r="AB1338" s="214">
        <v>0</v>
      </c>
      <c r="AC1338" s="214">
        <v>0</v>
      </c>
      <c r="AD1338" s="215"/>
      <c r="AE1338" s="420">
        <v>0</v>
      </c>
      <c r="AF1338" s="420">
        <v>0</v>
      </c>
      <c r="AG1338" s="420">
        <v>0</v>
      </c>
      <c r="AH1338" s="420"/>
      <c r="AI1338" s="574">
        <f t="shared" si="34"/>
        <v>0</v>
      </c>
      <c r="AJ1338" s="212"/>
    </row>
    <row r="1339" spans="2:36" ht="14.4">
      <c r="B1339" s="211"/>
      <c r="C1339" s="213" t="s">
        <v>94</v>
      </c>
      <c r="D1339" s="417">
        <v>225280</v>
      </c>
      <c r="E1339" s="214">
        <v>7520</v>
      </c>
      <c r="F1339" s="214">
        <v>5500</v>
      </c>
      <c r="G1339" s="214">
        <v>6600</v>
      </c>
      <c r="H1339" s="214">
        <v>4500</v>
      </c>
      <c r="I1339" s="214">
        <v>900</v>
      </c>
      <c r="J1339" s="214">
        <v>0</v>
      </c>
      <c r="K1339" s="214">
        <v>0</v>
      </c>
      <c r="L1339" s="214">
        <v>0</v>
      </c>
      <c r="M1339" s="214">
        <v>2000</v>
      </c>
      <c r="N1339" s="214">
        <v>0</v>
      </c>
      <c r="O1339" s="214">
        <v>0</v>
      </c>
      <c r="P1339" s="214">
        <v>3544</v>
      </c>
      <c r="Q1339" s="214">
        <v>5980</v>
      </c>
      <c r="R1339" s="214">
        <v>2200</v>
      </c>
      <c r="S1339" s="214">
        <v>100</v>
      </c>
      <c r="T1339" s="214">
        <v>0</v>
      </c>
      <c r="U1339" s="214">
        <v>0</v>
      </c>
      <c r="V1339" s="214">
        <v>0</v>
      </c>
      <c r="W1339" s="214">
        <v>0</v>
      </c>
      <c r="X1339" s="214">
        <v>400</v>
      </c>
      <c r="Y1339" s="214">
        <v>0</v>
      </c>
      <c r="Z1339" s="214">
        <v>0</v>
      </c>
      <c r="AA1339" s="214">
        <v>0</v>
      </c>
      <c r="AB1339" s="214">
        <v>0</v>
      </c>
      <c r="AC1339" s="214">
        <v>0</v>
      </c>
      <c r="AD1339" s="215"/>
      <c r="AE1339" s="420">
        <v>3000</v>
      </c>
      <c r="AF1339" s="420">
        <v>0</v>
      </c>
      <c r="AG1339" s="420">
        <v>0</v>
      </c>
      <c r="AH1339" s="420"/>
      <c r="AI1339" s="574">
        <f t="shared" si="34"/>
        <v>267524</v>
      </c>
      <c r="AJ1339" s="212"/>
    </row>
    <row r="1340" spans="2:36" ht="14.4">
      <c r="B1340" s="211"/>
      <c r="C1340" s="213" t="s">
        <v>95</v>
      </c>
      <c r="D1340" s="417">
        <v>970</v>
      </c>
      <c r="E1340" s="214">
        <v>0</v>
      </c>
      <c r="F1340" s="214">
        <v>0</v>
      </c>
      <c r="G1340" s="214">
        <v>0</v>
      </c>
      <c r="H1340" s="214">
        <v>0</v>
      </c>
      <c r="I1340" s="214">
        <v>0</v>
      </c>
      <c r="J1340" s="214">
        <v>0</v>
      </c>
      <c r="K1340" s="214">
        <v>0</v>
      </c>
      <c r="L1340" s="214">
        <v>0</v>
      </c>
      <c r="M1340" s="214">
        <v>0</v>
      </c>
      <c r="N1340" s="214">
        <v>0</v>
      </c>
      <c r="O1340" s="214">
        <v>0</v>
      </c>
      <c r="P1340" s="214">
        <v>0</v>
      </c>
      <c r="Q1340" s="214">
        <v>0</v>
      </c>
      <c r="R1340" s="214">
        <v>0</v>
      </c>
      <c r="S1340" s="214">
        <v>0</v>
      </c>
      <c r="T1340" s="214">
        <v>0</v>
      </c>
      <c r="U1340" s="214">
        <v>0</v>
      </c>
      <c r="V1340" s="214">
        <v>0</v>
      </c>
      <c r="W1340" s="214">
        <v>0</v>
      </c>
      <c r="X1340" s="214">
        <v>0</v>
      </c>
      <c r="Y1340" s="214">
        <v>0</v>
      </c>
      <c r="Z1340" s="214">
        <v>0</v>
      </c>
      <c r="AA1340" s="214">
        <v>0</v>
      </c>
      <c r="AB1340" s="214">
        <v>0</v>
      </c>
      <c r="AC1340" s="214">
        <v>0</v>
      </c>
      <c r="AD1340" s="215"/>
      <c r="AE1340" s="420">
        <v>0</v>
      </c>
      <c r="AF1340" s="420">
        <v>0</v>
      </c>
      <c r="AG1340" s="420">
        <v>0</v>
      </c>
      <c r="AH1340" s="420"/>
      <c r="AI1340" s="574">
        <f t="shared" si="34"/>
        <v>970</v>
      </c>
      <c r="AJ1340" s="212"/>
    </row>
    <row r="1341" spans="2:36" ht="14.4">
      <c r="B1341" s="211"/>
      <c r="C1341" s="213" t="s">
        <v>96</v>
      </c>
      <c r="D1341" s="417">
        <v>0</v>
      </c>
      <c r="E1341" s="214">
        <v>0</v>
      </c>
      <c r="F1341" s="214">
        <v>0</v>
      </c>
      <c r="G1341" s="214">
        <v>0</v>
      </c>
      <c r="H1341" s="214">
        <v>0</v>
      </c>
      <c r="I1341" s="214">
        <v>0</v>
      </c>
      <c r="J1341" s="214">
        <v>0</v>
      </c>
      <c r="K1341" s="214">
        <v>0</v>
      </c>
      <c r="L1341" s="214">
        <v>0</v>
      </c>
      <c r="M1341" s="214">
        <v>0</v>
      </c>
      <c r="N1341" s="214">
        <v>0</v>
      </c>
      <c r="O1341" s="214">
        <v>0</v>
      </c>
      <c r="P1341" s="214">
        <v>0</v>
      </c>
      <c r="Q1341" s="214">
        <v>0</v>
      </c>
      <c r="R1341" s="214">
        <v>0</v>
      </c>
      <c r="S1341" s="214">
        <v>0</v>
      </c>
      <c r="T1341" s="214">
        <v>0</v>
      </c>
      <c r="U1341" s="214">
        <v>0</v>
      </c>
      <c r="V1341" s="214">
        <v>0</v>
      </c>
      <c r="W1341" s="214">
        <v>0</v>
      </c>
      <c r="X1341" s="214">
        <v>0</v>
      </c>
      <c r="Y1341" s="214">
        <v>0</v>
      </c>
      <c r="Z1341" s="214">
        <v>0</v>
      </c>
      <c r="AA1341" s="214">
        <v>0</v>
      </c>
      <c r="AB1341" s="214">
        <v>0</v>
      </c>
      <c r="AC1341" s="214">
        <v>0</v>
      </c>
      <c r="AD1341" s="215"/>
      <c r="AE1341" s="420">
        <v>0</v>
      </c>
      <c r="AF1341" s="420">
        <v>0</v>
      </c>
      <c r="AG1341" s="420">
        <v>0</v>
      </c>
      <c r="AH1341" s="420"/>
      <c r="AI1341" s="574">
        <f t="shared" si="34"/>
        <v>0</v>
      </c>
      <c r="AJ1341" s="212"/>
    </row>
    <row r="1342" spans="2:36" ht="14.4">
      <c r="B1342" s="211"/>
      <c r="C1342" s="213" t="s">
        <v>97</v>
      </c>
      <c r="D1342" s="417">
        <v>20886.48</v>
      </c>
      <c r="E1342" s="214">
        <v>0</v>
      </c>
      <c r="F1342" s="214">
        <v>12289.55</v>
      </c>
      <c r="G1342" s="214">
        <v>12633.39</v>
      </c>
      <c r="H1342" s="214">
        <v>823.96</v>
      </c>
      <c r="I1342" s="214">
        <v>709.96</v>
      </c>
      <c r="J1342" s="214">
        <v>800</v>
      </c>
      <c r="K1342" s="214">
        <v>400.96</v>
      </c>
      <c r="L1342" s="214">
        <v>0</v>
      </c>
      <c r="M1342" s="214">
        <v>808.24</v>
      </c>
      <c r="N1342" s="214">
        <v>400.96</v>
      </c>
      <c r="O1342" s="214">
        <v>7623.18</v>
      </c>
      <c r="P1342" s="214">
        <v>423</v>
      </c>
      <c r="Q1342" s="214">
        <v>801.93</v>
      </c>
      <c r="R1342" s="214">
        <v>400.96</v>
      </c>
      <c r="S1342" s="214">
        <v>823.96</v>
      </c>
      <c r="T1342" s="214">
        <v>0</v>
      </c>
      <c r="U1342" s="214">
        <v>407.28</v>
      </c>
      <c r="V1342" s="214">
        <v>469</v>
      </c>
      <c r="W1342" s="214">
        <v>309</v>
      </c>
      <c r="X1342" s="214">
        <v>709.96</v>
      </c>
      <c r="Y1342" s="214">
        <v>200</v>
      </c>
      <c r="Z1342" s="214">
        <v>309</v>
      </c>
      <c r="AA1342" s="214">
        <v>400.96</v>
      </c>
      <c r="AB1342" s="214">
        <v>0</v>
      </c>
      <c r="AC1342" s="214">
        <v>400</v>
      </c>
      <c r="AD1342" s="215"/>
      <c r="AE1342" s="420">
        <v>400</v>
      </c>
      <c r="AF1342" s="420">
        <v>0</v>
      </c>
      <c r="AG1342" s="420">
        <v>309</v>
      </c>
      <c r="AH1342" s="420"/>
      <c r="AI1342" s="574">
        <f t="shared" si="34"/>
        <v>63740.729999999989</v>
      </c>
      <c r="AJ1342" s="212"/>
    </row>
    <row r="1343" spans="2:36" ht="14.4">
      <c r="B1343" s="211"/>
      <c r="C1343" s="213" t="s">
        <v>192</v>
      </c>
      <c r="D1343" s="417">
        <v>1065</v>
      </c>
      <c r="E1343" s="214">
        <v>1065</v>
      </c>
      <c r="F1343" s="214">
        <v>1065</v>
      </c>
      <c r="G1343" s="214">
        <v>1065</v>
      </c>
      <c r="H1343" s="214">
        <v>1065</v>
      </c>
      <c r="I1343" s="214">
        <v>1065</v>
      </c>
      <c r="J1343" s="214">
        <v>1065</v>
      </c>
      <c r="K1343" s="214">
        <v>1065</v>
      </c>
      <c r="L1343" s="214">
        <v>1065</v>
      </c>
      <c r="M1343" s="214">
        <v>1065</v>
      </c>
      <c r="N1343" s="214">
        <v>1065</v>
      </c>
      <c r="O1343" s="214">
        <v>1065</v>
      </c>
      <c r="P1343" s="214">
        <v>1065</v>
      </c>
      <c r="Q1343" s="214">
        <v>1065</v>
      </c>
      <c r="R1343" s="214">
        <v>1065</v>
      </c>
      <c r="S1343" s="214">
        <v>1065</v>
      </c>
      <c r="T1343" s="214">
        <v>1065</v>
      </c>
      <c r="U1343" s="214">
        <v>1065</v>
      </c>
      <c r="V1343" s="214">
        <v>1065</v>
      </c>
      <c r="W1343" s="214">
        <v>1065</v>
      </c>
      <c r="X1343" s="214">
        <v>1065</v>
      </c>
      <c r="Y1343" s="214">
        <v>1065</v>
      </c>
      <c r="Z1343" s="214">
        <v>1065</v>
      </c>
      <c r="AA1343" s="214">
        <v>1065</v>
      </c>
      <c r="AB1343" s="214">
        <v>1065</v>
      </c>
      <c r="AC1343" s="214">
        <v>1065</v>
      </c>
      <c r="AD1343" s="215"/>
      <c r="AE1343" s="420">
        <v>1065</v>
      </c>
      <c r="AF1343" s="420">
        <v>1065</v>
      </c>
      <c r="AG1343" s="420">
        <v>1065</v>
      </c>
      <c r="AH1343" s="420"/>
      <c r="AI1343" s="574">
        <f t="shared" si="34"/>
        <v>30885</v>
      </c>
      <c r="AJ1343" s="212"/>
    </row>
    <row r="1344" spans="2:36" ht="14.4">
      <c r="B1344" s="211"/>
      <c r="C1344" s="213" t="s">
        <v>98</v>
      </c>
      <c r="D1344" s="417">
        <v>0</v>
      </c>
      <c r="E1344" s="214">
        <v>0</v>
      </c>
      <c r="F1344" s="214">
        <v>0</v>
      </c>
      <c r="G1344" s="214">
        <v>0</v>
      </c>
      <c r="H1344" s="214">
        <v>0</v>
      </c>
      <c r="I1344" s="214">
        <v>0</v>
      </c>
      <c r="J1344" s="214">
        <v>0</v>
      </c>
      <c r="K1344" s="214">
        <v>0</v>
      </c>
      <c r="L1344" s="214">
        <v>0</v>
      </c>
      <c r="M1344" s="214">
        <v>0</v>
      </c>
      <c r="N1344" s="214">
        <v>0</v>
      </c>
      <c r="O1344" s="214">
        <v>0</v>
      </c>
      <c r="P1344" s="214">
        <v>0</v>
      </c>
      <c r="Q1344" s="214">
        <v>0</v>
      </c>
      <c r="R1344" s="214">
        <v>0</v>
      </c>
      <c r="S1344" s="214">
        <v>0</v>
      </c>
      <c r="T1344" s="214">
        <v>0</v>
      </c>
      <c r="U1344" s="214">
        <v>0</v>
      </c>
      <c r="V1344" s="214">
        <v>0</v>
      </c>
      <c r="W1344" s="214">
        <v>0</v>
      </c>
      <c r="X1344" s="214">
        <v>0</v>
      </c>
      <c r="Y1344" s="214">
        <v>0</v>
      </c>
      <c r="Z1344" s="214">
        <v>0</v>
      </c>
      <c r="AA1344" s="214">
        <v>0</v>
      </c>
      <c r="AB1344" s="214">
        <v>0</v>
      </c>
      <c r="AC1344" s="214">
        <v>0</v>
      </c>
      <c r="AD1344" s="215"/>
      <c r="AE1344" s="420">
        <v>0</v>
      </c>
      <c r="AF1344" s="420">
        <v>0</v>
      </c>
      <c r="AG1344" s="420">
        <v>0</v>
      </c>
      <c r="AH1344" s="420"/>
      <c r="AI1344" s="574">
        <f t="shared" si="34"/>
        <v>0</v>
      </c>
      <c r="AJ1344" s="212"/>
    </row>
    <row r="1345" spans="2:36" ht="14.4">
      <c r="B1345" s="211"/>
      <c r="C1345" s="213" t="s">
        <v>99</v>
      </c>
      <c r="D1345" s="417">
        <v>6433.05</v>
      </c>
      <c r="E1345" s="214">
        <v>0</v>
      </c>
      <c r="F1345" s="214">
        <v>0</v>
      </c>
      <c r="G1345" s="214">
        <v>0</v>
      </c>
      <c r="H1345" s="214">
        <v>0</v>
      </c>
      <c r="I1345" s="214">
        <v>0</v>
      </c>
      <c r="J1345" s="214">
        <v>0</v>
      </c>
      <c r="K1345" s="214">
        <v>0</v>
      </c>
      <c r="L1345" s="214">
        <v>73.33</v>
      </c>
      <c r="M1345" s="214">
        <v>0</v>
      </c>
      <c r="N1345" s="214">
        <v>0</v>
      </c>
      <c r="O1345" s="214">
        <v>0</v>
      </c>
      <c r="P1345" s="214">
        <v>0</v>
      </c>
      <c r="Q1345" s="214">
        <v>0</v>
      </c>
      <c r="R1345" s="214">
        <v>0</v>
      </c>
      <c r="S1345" s="214">
        <v>0</v>
      </c>
      <c r="T1345" s="214">
        <v>0</v>
      </c>
      <c r="U1345" s="214">
        <v>0</v>
      </c>
      <c r="V1345" s="214">
        <v>0</v>
      </c>
      <c r="W1345" s="214">
        <v>0</v>
      </c>
      <c r="X1345" s="214">
        <v>0</v>
      </c>
      <c r="Y1345" s="214">
        <v>0</v>
      </c>
      <c r="Z1345" s="214">
        <v>0</v>
      </c>
      <c r="AA1345" s="214">
        <v>0</v>
      </c>
      <c r="AB1345" s="214">
        <v>0</v>
      </c>
      <c r="AC1345" s="214">
        <v>0</v>
      </c>
      <c r="AD1345" s="215"/>
      <c r="AE1345" s="420">
        <v>0</v>
      </c>
      <c r="AF1345" s="420">
        <v>0</v>
      </c>
      <c r="AG1345" s="420">
        <v>0</v>
      </c>
      <c r="AH1345" s="420"/>
      <c r="AI1345" s="574">
        <f t="shared" si="34"/>
        <v>6506.38</v>
      </c>
      <c r="AJ1345" s="212"/>
    </row>
    <row r="1346" spans="2:36" ht="14.4">
      <c r="B1346" s="211"/>
      <c r="C1346" s="213" t="s">
        <v>100</v>
      </c>
      <c r="D1346" s="417">
        <v>1482.97</v>
      </c>
      <c r="E1346" s="214">
        <v>103.08</v>
      </c>
      <c r="F1346" s="214">
        <v>0</v>
      </c>
      <c r="G1346" s="214">
        <v>0</v>
      </c>
      <c r="H1346" s="214">
        <v>0</v>
      </c>
      <c r="I1346" s="214">
        <v>0</v>
      </c>
      <c r="J1346" s="214">
        <v>0</v>
      </c>
      <c r="K1346" s="214">
        <v>0</v>
      </c>
      <c r="L1346" s="214">
        <v>0</v>
      </c>
      <c r="M1346" s="214">
        <v>0</v>
      </c>
      <c r="N1346" s="214">
        <v>0</v>
      </c>
      <c r="O1346" s="214">
        <v>56.16</v>
      </c>
      <c r="P1346" s="214">
        <v>0</v>
      </c>
      <c r="Q1346" s="214">
        <v>23.33</v>
      </c>
      <c r="R1346" s="214">
        <v>0</v>
      </c>
      <c r="S1346" s="214">
        <v>0</v>
      </c>
      <c r="T1346" s="214">
        <v>8.7100000000000009</v>
      </c>
      <c r="U1346" s="214">
        <v>0</v>
      </c>
      <c r="V1346" s="214">
        <v>0</v>
      </c>
      <c r="W1346" s="214">
        <v>0</v>
      </c>
      <c r="X1346" s="214">
        <v>0</v>
      </c>
      <c r="Y1346" s="214">
        <v>0</v>
      </c>
      <c r="Z1346" s="214">
        <v>168.33</v>
      </c>
      <c r="AA1346" s="214">
        <v>176.46</v>
      </c>
      <c r="AB1346" s="214">
        <v>0</v>
      </c>
      <c r="AC1346" s="214">
        <v>0</v>
      </c>
      <c r="AD1346" s="215"/>
      <c r="AE1346" s="420">
        <v>143.30000000000001</v>
      </c>
      <c r="AF1346" s="420">
        <v>0</v>
      </c>
      <c r="AG1346" s="420">
        <v>0</v>
      </c>
      <c r="AH1346" s="420"/>
      <c r="AI1346" s="574">
        <f t="shared" si="34"/>
        <v>2162.34</v>
      </c>
      <c r="AJ1346" s="212"/>
    </row>
    <row r="1347" spans="2:36" ht="14.4">
      <c r="B1347" s="211"/>
      <c r="C1347" s="213" t="s">
        <v>101</v>
      </c>
      <c r="D1347" s="417">
        <v>112.5</v>
      </c>
      <c r="E1347" s="214">
        <v>1065.6600000000001</v>
      </c>
      <c r="F1347" s="214">
        <v>397.33</v>
      </c>
      <c r="G1347" s="214">
        <v>2306.25</v>
      </c>
      <c r="H1347" s="214">
        <v>385.13</v>
      </c>
      <c r="I1347" s="214">
        <v>0</v>
      </c>
      <c r="J1347" s="214">
        <v>0</v>
      </c>
      <c r="K1347" s="214">
        <v>0</v>
      </c>
      <c r="L1347" s="214">
        <v>0</v>
      </c>
      <c r="M1347" s="214">
        <v>0</v>
      </c>
      <c r="N1347" s="214">
        <v>0</v>
      </c>
      <c r="O1347" s="214">
        <v>0</v>
      </c>
      <c r="P1347" s="214">
        <v>0</v>
      </c>
      <c r="Q1347" s="214">
        <v>1404.17</v>
      </c>
      <c r="R1347" s="214">
        <v>0</v>
      </c>
      <c r="S1347" s="214">
        <v>0</v>
      </c>
      <c r="T1347" s="214">
        <v>731.5</v>
      </c>
      <c r="U1347" s="214">
        <v>0</v>
      </c>
      <c r="V1347" s="214">
        <v>0</v>
      </c>
      <c r="W1347" s="214">
        <v>0</v>
      </c>
      <c r="X1347" s="214">
        <v>103.5</v>
      </c>
      <c r="Y1347" s="214">
        <v>0</v>
      </c>
      <c r="Z1347" s="214">
        <v>0</v>
      </c>
      <c r="AA1347" s="214">
        <v>0</v>
      </c>
      <c r="AB1347" s="214">
        <v>0</v>
      </c>
      <c r="AC1347" s="214">
        <v>0</v>
      </c>
      <c r="AD1347" s="215"/>
      <c r="AE1347" s="420">
        <v>0</v>
      </c>
      <c r="AF1347" s="420">
        <v>0</v>
      </c>
      <c r="AG1347" s="420">
        <v>0</v>
      </c>
      <c r="AH1347" s="420"/>
      <c r="AI1347" s="574">
        <f t="shared" si="34"/>
        <v>6506.04</v>
      </c>
      <c r="AJ1347" s="212"/>
    </row>
    <row r="1348" spans="2:36" ht="14.4">
      <c r="B1348" s="211"/>
      <c r="C1348" s="213" t="s">
        <v>102</v>
      </c>
      <c r="D1348" s="417">
        <v>24248.84</v>
      </c>
      <c r="E1348" s="214">
        <v>1185.49</v>
      </c>
      <c r="F1348" s="214">
        <v>1616.37</v>
      </c>
      <c r="G1348" s="214">
        <v>2792.54</v>
      </c>
      <c r="H1348" s="214">
        <v>2013.31</v>
      </c>
      <c r="I1348" s="214">
        <v>634.4</v>
      </c>
      <c r="J1348" s="214">
        <v>409.62</v>
      </c>
      <c r="K1348" s="214">
        <v>489.67</v>
      </c>
      <c r="L1348" s="214">
        <v>371.88</v>
      </c>
      <c r="M1348" s="214">
        <v>2305.2800000000002</v>
      </c>
      <c r="N1348" s="214">
        <v>622.62</v>
      </c>
      <c r="O1348" s="214">
        <v>2259.96</v>
      </c>
      <c r="P1348" s="214">
        <v>1833.42</v>
      </c>
      <c r="Q1348" s="214">
        <v>1674.48</v>
      </c>
      <c r="R1348" s="214">
        <v>0</v>
      </c>
      <c r="S1348" s="214">
        <v>542.63</v>
      </c>
      <c r="T1348" s="214">
        <v>75.33</v>
      </c>
      <c r="U1348" s="214">
        <v>134.47999999999999</v>
      </c>
      <c r="V1348" s="214">
        <v>229.61</v>
      </c>
      <c r="W1348" s="214">
        <v>0</v>
      </c>
      <c r="X1348" s="214">
        <v>0</v>
      </c>
      <c r="Y1348" s="214">
        <v>134.19</v>
      </c>
      <c r="Z1348" s="214">
        <v>87.1</v>
      </c>
      <c r="AA1348" s="214">
        <v>0</v>
      </c>
      <c r="AB1348" s="214">
        <v>457.78</v>
      </c>
      <c r="AC1348" s="214">
        <v>434.26</v>
      </c>
      <c r="AD1348" s="215"/>
      <c r="AE1348" s="420">
        <v>4132.91</v>
      </c>
      <c r="AF1348" s="420">
        <v>2029.56</v>
      </c>
      <c r="AG1348" s="420">
        <v>2465.08</v>
      </c>
      <c r="AH1348" s="420"/>
      <c r="AI1348" s="574">
        <f t="shared" si="34"/>
        <v>53180.810000000012</v>
      </c>
      <c r="AJ1348" s="212"/>
    </row>
    <row r="1349" spans="2:36" ht="14.4">
      <c r="B1349" s="211"/>
      <c r="C1349" s="213" t="s">
        <v>103</v>
      </c>
      <c r="D1349" s="417">
        <v>2905.47</v>
      </c>
      <c r="E1349" s="214">
        <v>45.07</v>
      </c>
      <c r="F1349" s="214">
        <v>52.96</v>
      </c>
      <c r="G1349" s="214">
        <v>31.78</v>
      </c>
      <c r="H1349" s="214">
        <v>164.39</v>
      </c>
      <c r="I1349" s="214">
        <v>0</v>
      </c>
      <c r="J1349" s="214">
        <v>0</v>
      </c>
      <c r="K1349" s="214">
        <v>0</v>
      </c>
      <c r="L1349" s="214">
        <v>0</v>
      </c>
      <c r="M1349" s="214">
        <v>0</v>
      </c>
      <c r="N1349" s="214">
        <v>0</v>
      </c>
      <c r="O1349" s="214">
        <v>104.5</v>
      </c>
      <c r="P1349" s="214">
        <v>45.21</v>
      </c>
      <c r="Q1349" s="214">
        <v>0</v>
      </c>
      <c r="R1349" s="214">
        <v>28.87</v>
      </c>
      <c r="S1349" s="214">
        <v>45.13</v>
      </c>
      <c r="T1349" s="214">
        <v>0</v>
      </c>
      <c r="U1349" s="214">
        <v>0</v>
      </c>
      <c r="V1349" s="214">
        <v>0</v>
      </c>
      <c r="W1349" s="214">
        <v>0</v>
      </c>
      <c r="X1349" s="214">
        <v>0</v>
      </c>
      <c r="Y1349" s="214">
        <v>0</v>
      </c>
      <c r="Z1349" s="214">
        <v>0</v>
      </c>
      <c r="AA1349" s="214">
        <v>0</v>
      </c>
      <c r="AB1349" s="214">
        <v>0</v>
      </c>
      <c r="AC1349" s="214">
        <v>0</v>
      </c>
      <c r="AD1349" s="215"/>
      <c r="AE1349" s="420">
        <v>1402.14</v>
      </c>
      <c r="AF1349" s="420">
        <v>0</v>
      </c>
      <c r="AG1349" s="420">
        <v>90.26</v>
      </c>
      <c r="AH1349" s="420"/>
      <c r="AI1349" s="574">
        <f t="shared" si="34"/>
        <v>4915.7800000000007</v>
      </c>
      <c r="AJ1349" s="212"/>
    </row>
    <row r="1350" spans="2:36" ht="14.4">
      <c r="B1350" s="211"/>
      <c r="C1350" s="213" t="s">
        <v>104</v>
      </c>
      <c r="D1350" s="417">
        <v>8100.84</v>
      </c>
      <c r="E1350" s="214">
        <v>683.11</v>
      </c>
      <c r="F1350" s="214">
        <v>345.22</v>
      </c>
      <c r="G1350" s="214">
        <v>1620.99</v>
      </c>
      <c r="H1350" s="214">
        <v>888.71</v>
      </c>
      <c r="I1350" s="214">
        <v>107.34</v>
      </c>
      <c r="J1350" s="214">
        <v>147.91999999999999</v>
      </c>
      <c r="K1350" s="214">
        <v>0</v>
      </c>
      <c r="L1350" s="214">
        <v>0</v>
      </c>
      <c r="M1350" s="214">
        <v>842.44</v>
      </c>
      <c r="N1350" s="214">
        <v>107.34</v>
      </c>
      <c r="O1350" s="214">
        <v>774.04</v>
      </c>
      <c r="P1350" s="214">
        <v>884.7</v>
      </c>
      <c r="Q1350" s="214">
        <v>274.36</v>
      </c>
      <c r="R1350" s="214">
        <v>777.52</v>
      </c>
      <c r="S1350" s="214">
        <v>121.47</v>
      </c>
      <c r="T1350" s="214">
        <v>227.5</v>
      </c>
      <c r="U1350" s="214">
        <v>275.83</v>
      </c>
      <c r="V1350" s="214">
        <v>44.58</v>
      </c>
      <c r="W1350" s="214">
        <v>45.83</v>
      </c>
      <c r="X1350" s="214">
        <v>85.83</v>
      </c>
      <c r="Y1350" s="214">
        <v>52.88</v>
      </c>
      <c r="Z1350" s="214">
        <v>54.13</v>
      </c>
      <c r="AA1350" s="214">
        <v>54.13</v>
      </c>
      <c r="AB1350" s="214">
        <v>110.38</v>
      </c>
      <c r="AC1350" s="214">
        <v>244.32</v>
      </c>
      <c r="AD1350" s="215"/>
      <c r="AE1350" s="420">
        <v>593.23</v>
      </c>
      <c r="AF1350" s="420">
        <v>302.44</v>
      </c>
      <c r="AG1350" s="420">
        <v>318.27</v>
      </c>
      <c r="AH1350" s="420"/>
      <c r="AI1350" s="574">
        <f t="shared" si="34"/>
        <v>18085.350000000002</v>
      </c>
      <c r="AJ1350" s="212"/>
    </row>
    <row r="1351" spans="2:36" ht="14.4">
      <c r="B1351" s="211"/>
      <c r="C1351" s="213" t="s">
        <v>105</v>
      </c>
      <c r="D1351" s="417">
        <v>1692.87</v>
      </c>
      <c r="E1351" s="214">
        <v>9106.11</v>
      </c>
      <c r="F1351" s="214">
        <v>0</v>
      </c>
      <c r="G1351" s="214">
        <v>10262.89</v>
      </c>
      <c r="H1351" s="214">
        <v>0</v>
      </c>
      <c r="I1351" s="214">
        <v>87.25</v>
      </c>
      <c r="J1351" s="214">
        <v>35.630000000000003</v>
      </c>
      <c r="K1351" s="214">
        <v>0</v>
      </c>
      <c r="L1351" s="214">
        <v>0</v>
      </c>
      <c r="M1351" s="214">
        <v>1499.96</v>
      </c>
      <c r="N1351" s="214">
        <v>0</v>
      </c>
      <c r="O1351" s="214">
        <v>724.73</v>
      </c>
      <c r="P1351" s="214">
        <v>56.25</v>
      </c>
      <c r="Q1351" s="214">
        <v>2784.32</v>
      </c>
      <c r="R1351" s="214">
        <v>870.49</v>
      </c>
      <c r="S1351" s="214">
        <v>1004.88</v>
      </c>
      <c r="T1351" s="214">
        <v>0</v>
      </c>
      <c r="U1351" s="214">
        <v>570.34</v>
      </c>
      <c r="V1351" s="214">
        <v>6</v>
      </c>
      <c r="W1351" s="214">
        <v>17.3</v>
      </c>
      <c r="X1351" s="214">
        <v>14.63</v>
      </c>
      <c r="Y1351" s="214">
        <v>918.63</v>
      </c>
      <c r="Z1351" s="214">
        <v>15</v>
      </c>
      <c r="AA1351" s="214">
        <v>12.5</v>
      </c>
      <c r="AB1351" s="214">
        <v>225.58</v>
      </c>
      <c r="AC1351" s="214">
        <v>59.33</v>
      </c>
      <c r="AD1351" s="215"/>
      <c r="AE1351" s="420">
        <v>1071.97</v>
      </c>
      <c r="AF1351" s="420">
        <v>375.78</v>
      </c>
      <c r="AG1351" s="420">
        <v>515.15</v>
      </c>
      <c r="AH1351" s="420"/>
      <c r="AI1351" s="574">
        <f t="shared" si="34"/>
        <v>31927.590000000007</v>
      </c>
      <c r="AJ1351" s="212"/>
    </row>
    <row r="1352" spans="2:36" ht="14.4">
      <c r="B1352" s="211"/>
      <c r="C1352" s="213" t="s">
        <v>106</v>
      </c>
      <c r="D1352" s="417">
        <v>0</v>
      </c>
      <c r="E1352" s="214">
        <v>0</v>
      </c>
      <c r="F1352" s="214">
        <v>0</v>
      </c>
      <c r="G1352" s="214">
        <v>0</v>
      </c>
      <c r="H1352" s="214">
        <v>0</v>
      </c>
      <c r="I1352" s="214">
        <v>0</v>
      </c>
      <c r="J1352" s="214">
        <v>0</v>
      </c>
      <c r="K1352" s="214">
        <v>0</v>
      </c>
      <c r="L1352" s="214">
        <v>0</v>
      </c>
      <c r="M1352" s="214">
        <v>0</v>
      </c>
      <c r="N1352" s="214">
        <v>0</v>
      </c>
      <c r="O1352" s="214">
        <v>0</v>
      </c>
      <c r="P1352" s="214">
        <v>0</v>
      </c>
      <c r="Q1352" s="214">
        <v>0</v>
      </c>
      <c r="R1352" s="214">
        <v>0</v>
      </c>
      <c r="S1352" s="214">
        <v>0</v>
      </c>
      <c r="T1352" s="214">
        <v>0</v>
      </c>
      <c r="U1352" s="214">
        <v>0</v>
      </c>
      <c r="V1352" s="214">
        <v>0</v>
      </c>
      <c r="W1352" s="214">
        <v>0</v>
      </c>
      <c r="X1352" s="214">
        <v>0</v>
      </c>
      <c r="Y1352" s="214">
        <v>0</v>
      </c>
      <c r="Z1352" s="214">
        <v>0</v>
      </c>
      <c r="AA1352" s="214">
        <v>0</v>
      </c>
      <c r="AB1352" s="214">
        <v>0</v>
      </c>
      <c r="AC1352" s="214">
        <v>0</v>
      </c>
      <c r="AD1352" s="215"/>
      <c r="AE1352" s="420">
        <v>0</v>
      </c>
      <c r="AF1352" s="420">
        <v>0</v>
      </c>
      <c r="AG1352" s="420">
        <v>0</v>
      </c>
      <c r="AH1352" s="420"/>
      <c r="AI1352" s="574">
        <f t="shared" si="34"/>
        <v>0</v>
      </c>
      <c r="AJ1352" s="212"/>
    </row>
    <row r="1353" spans="2:36" ht="14.4">
      <c r="B1353" s="211"/>
      <c r="C1353" s="213" t="s">
        <v>107</v>
      </c>
      <c r="D1353" s="417">
        <v>0</v>
      </c>
      <c r="E1353" s="214">
        <v>0</v>
      </c>
      <c r="F1353" s="214">
        <v>0</v>
      </c>
      <c r="G1353" s="214">
        <v>0</v>
      </c>
      <c r="H1353" s="214">
        <v>0</v>
      </c>
      <c r="I1353" s="214">
        <v>0</v>
      </c>
      <c r="J1353" s="214">
        <v>0</v>
      </c>
      <c r="K1353" s="214">
        <v>0</v>
      </c>
      <c r="L1353" s="214">
        <v>0</v>
      </c>
      <c r="M1353" s="214">
        <v>0</v>
      </c>
      <c r="N1353" s="214">
        <v>0</v>
      </c>
      <c r="O1353" s="214">
        <v>0</v>
      </c>
      <c r="P1353" s="214">
        <v>0</v>
      </c>
      <c r="Q1353" s="214">
        <v>0</v>
      </c>
      <c r="R1353" s="214">
        <v>0</v>
      </c>
      <c r="S1353" s="214">
        <v>0</v>
      </c>
      <c r="T1353" s="214">
        <v>0</v>
      </c>
      <c r="U1353" s="214">
        <v>0</v>
      </c>
      <c r="V1353" s="214">
        <v>0</v>
      </c>
      <c r="W1353" s="214">
        <v>0</v>
      </c>
      <c r="X1353" s="214">
        <v>0</v>
      </c>
      <c r="Y1353" s="214">
        <v>0</v>
      </c>
      <c r="Z1353" s="214">
        <v>0</v>
      </c>
      <c r="AA1353" s="214">
        <v>0</v>
      </c>
      <c r="AB1353" s="214">
        <v>0</v>
      </c>
      <c r="AC1353" s="214">
        <v>0</v>
      </c>
      <c r="AD1353" s="215"/>
      <c r="AE1353" s="420">
        <v>0</v>
      </c>
      <c r="AF1353" s="420">
        <v>0</v>
      </c>
      <c r="AG1353" s="420">
        <v>0</v>
      </c>
      <c r="AH1353" s="420"/>
      <c r="AI1353" s="574">
        <f t="shared" si="34"/>
        <v>0</v>
      </c>
      <c r="AJ1353" s="212"/>
    </row>
    <row r="1354" spans="2:36" ht="14.4">
      <c r="B1354" s="211"/>
      <c r="C1354" s="213" t="s">
        <v>108</v>
      </c>
      <c r="D1354" s="417">
        <v>0</v>
      </c>
      <c r="E1354" s="214">
        <v>19477.03</v>
      </c>
      <c r="F1354" s="214">
        <v>35109.269999999997</v>
      </c>
      <c r="G1354" s="214">
        <v>32326.02</v>
      </c>
      <c r="H1354" s="214">
        <v>4822.34</v>
      </c>
      <c r="I1354" s="214">
        <v>0</v>
      </c>
      <c r="J1354" s="214">
        <v>0</v>
      </c>
      <c r="K1354" s="214">
        <v>0</v>
      </c>
      <c r="L1354" s="214">
        <v>0</v>
      </c>
      <c r="M1354" s="214">
        <v>149</v>
      </c>
      <c r="N1354" s="214">
        <v>0</v>
      </c>
      <c r="O1354" s="214">
        <v>1933.01</v>
      </c>
      <c r="P1354" s="214">
        <v>796.1</v>
      </c>
      <c r="Q1354" s="214">
        <v>31033.94</v>
      </c>
      <c r="R1354" s="214">
        <v>1330</v>
      </c>
      <c r="S1354" s="214">
        <v>1704.4</v>
      </c>
      <c r="T1354" s="214">
        <v>0</v>
      </c>
      <c r="U1354" s="214">
        <v>0</v>
      </c>
      <c r="V1354" s="214">
        <v>0</v>
      </c>
      <c r="W1354" s="214">
        <v>0</v>
      </c>
      <c r="X1354" s="214">
        <v>0</v>
      </c>
      <c r="Y1354" s="214">
        <v>0</v>
      </c>
      <c r="Z1354" s="214">
        <v>0</v>
      </c>
      <c r="AA1354" s="214">
        <v>0</v>
      </c>
      <c r="AB1354" s="214">
        <v>0</v>
      </c>
      <c r="AC1354" s="214">
        <v>0</v>
      </c>
      <c r="AD1354" s="215">
        <v>0</v>
      </c>
      <c r="AE1354" s="420">
        <v>299.94</v>
      </c>
      <c r="AF1354" s="420">
        <v>0</v>
      </c>
      <c r="AG1354" s="420">
        <v>196</v>
      </c>
      <c r="AH1354" s="420">
        <v>0</v>
      </c>
      <c r="AI1354" s="574">
        <f t="shared" si="34"/>
        <v>129177.04999999999</v>
      </c>
      <c r="AJ1354" s="212"/>
    </row>
    <row r="1355" spans="2:36" ht="14.4">
      <c r="B1355" s="211"/>
      <c r="C1355" s="213" t="s">
        <v>109</v>
      </c>
      <c r="D1355" s="417">
        <v>0</v>
      </c>
      <c r="E1355" s="214">
        <v>0</v>
      </c>
      <c r="F1355" s="214">
        <v>0</v>
      </c>
      <c r="G1355" s="214">
        <v>0</v>
      </c>
      <c r="H1355" s="214">
        <v>0</v>
      </c>
      <c r="I1355" s="214">
        <v>0</v>
      </c>
      <c r="J1355" s="214">
        <v>0</v>
      </c>
      <c r="K1355" s="214">
        <v>0</v>
      </c>
      <c r="L1355" s="214">
        <v>0</v>
      </c>
      <c r="M1355" s="214">
        <v>0</v>
      </c>
      <c r="N1355" s="214">
        <v>0</v>
      </c>
      <c r="O1355" s="214">
        <v>0</v>
      </c>
      <c r="P1355" s="214">
        <v>0</v>
      </c>
      <c r="Q1355" s="214">
        <v>0</v>
      </c>
      <c r="R1355" s="214">
        <v>0</v>
      </c>
      <c r="S1355" s="214">
        <v>0</v>
      </c>
      <c r="T1355" s="214">
        <v>0</v>
      </c>
      <c r="U1355" s="214">
        <v>0</v>
      </c>
      <c r="V1355" s="214">
        <v>0</v>
      </c>
      <c r="W1355" s="214">
        <v>0</v>
      </c>
      <c r="X1355" s="214">
        <v>0</v>
      </c>
      <c r="Y1355" s="214">
        <v>0</v>
      </c>
      <c r="Z1355" s="214">
        <v>0</v>
      </c>
      <c r="AA1355" s="214">
        <v>0</v>
      </c>
      <c r="AB1355" s="214">
        <v>0</v>
      </c>
      <c r="AC1355" s="214">
        <v>0</v>
      </c>
      <c r="AD1355" s="215"/>
      <c r="AE1355" s="420">
        <v>0</v>
      </c>
      <c r="AF1355" s="420">
        <v>0</v>
      </c>
      <c r="AG1355" s="420">
        <v>0</v>
      </c>
      <c r="AH1355" s="420"/>
      <c r="AI1355" s="574">
        <f t="shared" si="34"/>
        <v>0</v>
      </c>
      <c r="AJ1355" s="212"/>
    </row>
    <row r="1356" spans="2:36" ht="14.4">
      <c r="B1356" s="211"/>
      <c r="C1356" s="213" t="s">
        <v>110</v>
      </c>
      <c r="D1356" s="417">
        <v>0</v>
      </c>
      <c r="E1356" s="214">
        <v>0</v>
      </c>
      <c r="F1356" s="214">
        <v>0</v>
      </c>
      <c r="G1356" s="214">
        <v>0</v>
      </c>
      <c r="H1356" s="214">
        <v>0</v>
      </c>
      <c r="I1356" s="214">
        <v>0</v>
      </c>
      <c r="J1356" s="214">
        <v>0</v>
      </c>
      <c r="K1356" s="214">
        <v>0</v>
      </c>
      <c r="L1356" s="214">
        <v>0</v>
      </c>
      <c r="M1356" s="214">
        <v>0</v>
      </c>
      <c r="N1356" s="214">
        <v>0</v>
      </c>
      <c r="O1356" s="214">
        <v>166.66</v>
      </c>
      <c r="P1356" s="214">
        <v>0</v>
      </c>
      <c r="Q1356" s="214">
        <v>0</v>
      </c>
      <c r="R1356" s="214">
        <v>0</v>
      </c>
      <c r="S1356" s="214">
        <v>0</v>
      </c>
      <c r="T1356" s="214">
        <v>0</v>
      </c>
      <c r="U1356" s="214">
        <v>0</v>
      </c>
      <c r="V1356" s="214">
        <v>0</v>
      </c>
      <c r="W1356" s="214">
        <v>0</v>
      </c>
      <c r="X1356" s="214">
        <v>0</v>
      </c>
      <c r="Y1356" s="214">
        <v>0</v>
      </c>
      <c r="Z1356" s="214">
        <v>0</v>
      </c>
      <c r="AA1356" s="214">
        <v>0</v>
      </c>
      <c r="AB1356" s="214">
        <v>0</v>
      </c>
      <c r="AC1356" s="214">
        <v>0</v>
      </c>
      <c r="AD1356" s="215"/>
      <c r="AE1356" s="420">
        <v>0</v>
      </c>
      <c r="AF1356" s="420">
        <v>0</v>
      </c>
      <c r="AG1356" s="420">
        <v>0</v>
      </c>
      <c r="AH1356" s="420"/>
      <c r="AI1356" s="574">
        <f t="shared" si="34"/>
        <v>166.66</v>
      </c>
      <c r="AJ1356" s="212"/>
    </row>
    <row r="1357" spans="2:36" ht="14.4">
      <c r="B1357" s="211"/>
      <c r="C1357" s="213" t="s">
        <v>112</v>
      </c>
      <c r="D1357" s="417">
        <v>107089.69</v>
      </c>
      <c r="E1357" s="214"/>
      <c r="F1357" s="214"/>
      <c r="G1357" s="214"/>
      <c r="H1357" s="214"/>
      <c r="I1357" s="214"/>
      <c r="J1357" s="214"/>
      <c r="K1357" s="214"/>
      <c r="L1357" s="214"/>
      <c r="M1357" s="214"/>
      <c r="N1357" s="214"/>
      <c r="O1357" s="214"/>
      <c r="P1357" s="214"/>
      <c r="Q1357" s="214">
        <v>5808.29</v>
      </c>
      <c r="R1357" s="214"/>
      <c r="S1357" s="214"/>
      <c r="T1357" s="214"/>
      <c r="U1357" s="214"/>
      <c r="V1357" s="214"/>
      <c r="W1357" s="214"/>
      <c r="X1357" s="214"/>
      <c r="Y1357" s="214"/>
      <c r="Z1357" s="214">
        <v>463.26</v>
      </c>
      <c r="AA1357" s="214"/>
      <c r="AB1357" s="214"/>
      <c r="AC1357" s="214"/>
      <c r="AD1357" s="215"/>
      <c r="AE1357" s="420"/>
      <c r="AF1357" s="420"/>
      <c r="AG1357" s="420"/>
      <c r="AH1357" s="420"/>
      <c r="AI1357" s="574">
        <f t="shared" si="34"/>
        <v>113361.23999999999</v>
      </c>
      <c r="AJ1357" s="212"/>
    </row>
    <row r="1358" spans="2:36" ht="14.4">
      <c r="B1358" s="211"/>
      <c r="C1358" s="247" t="s">
        <v>113</v>
      </c>
      <c r="D1358" s="417">
        <v>108048.61</v>
      </c>
      <c r="E1358" s="214">
        <v>0</v>
      </c>
      <c r="F1358" s="214">
        <v>0</v>
      </c>
      <c r="G1358" s="214">
        <v>0</v>
      </c>
      <c r="H1358" s="214">
        <v>0</v>
      </c>
      <c r="I1358" s="214">
        <v>0</v>
      </c>
      <c r="J1358" s="214">
        <v>0</v>
      </c>
      <c r="K1358" s="214">
        <v>0</v>
      </c>
      <c r="L1358" s="214">
        <v>0</v>
      </c>
      <c r="M1358" s="214">
        <v>0</v>
      </c>
      <c r="N1358" s="214">
        <v>0</v>
      </c>
      <c r="O1358" s="214">
        <v>0</v>
      </c>
      <c r="P1358" s="214">
        <v>0</v>
      </c>
      <c r="Q1358" s="214">
        <v>2269.62</v>
      </c>
      <c r="R1358" s="214">
        <v>0</v>
      </c>
      <c r="S1358" s="214">
        <v>4949.88</v>
      </c>
      <c r="T1358" s="214">
        <v>0</v>
      </c>
      <c r="U1358" s="214">
        <v>0</v>
      </c>
      <c r="V1358" s="214">
        <v>0</v>
      </c>
      <c r="W1358" s="214">
        <v>0</v>
      </c>
      <c r="X1358" s="214">
        <v>0</v>
      </c>
      <c r="Y1358" s="214">
        <v>0</v>
      </c>
      <c r="Z1358" s="214">
        <v>0</v>
      </c>
      <c r="AA1358" s="214">
        <v>0</v>
      </c>
      <c r="AB1358" s="214">
        <v>0</v>
      </c>
      <c r="AC1358" s="214">
        <v>0</v>
      </c>
      <c r="AD1358" s="215"/>
      <c r="AE1358" s="420">
        <v>0</v>
      </c>
      <c r="AF1358" s="420">
        <v>0</v>
      </c>
      <c r="AG1358" s="420">
        <v>0</v>
      </c>
      <c r="AH1358" s="420"/>
      <c r="AI1358" s="574">
        <f t="shared" si="34"/>
        <v>115268.11</v>
      </c>
      <c r="AJ1358" s="212"/>
    </row>
    <row r="1359" spans="2:36" ht="14.4">
      <c r="B1359" s="211"/>
      <c r="C1359" s="247" t="s">
        <v>137</v>
      </c>
      <c r="D1359" s="417">
        <v>0</v>
      </c>
      <c r="E1359" s="214">
        <v>0</v>
      </c>
      <c r="F1359" s="214">
        <v>0</v>
      </c>
      <c r="G1359" s="214">
        <v>0</v>
      </c>
      <c r="H1359" s="214">
        <v>0</v>
      </c>
      <c r="I1359" s="214">
        <v>0</v>
      </c>
      <c r="J1359" s="214">
        <v>0</v>
      </c>
      <c r="K1359" s="214">
        <v>0</v>
      </c>
      <c r="L1359" s="214">
        <v>0</v>
      </c>
      <c r="M1359" s="214">
        <v>0</v>
      </c>
      <c r="N1359" s="214">
        <v>0</v>
      </c>
      <c r="O1359" s="214">
        <v>0</v>
      </c>
      <c r="P1359" s="214">
        <v>0</v>
      </c>
      <c r="Q1359" s="214">
        <v>0</v>
      </c>
      <c r="R1359" s="214">
        <v>0</v>
      </c>
      <c r="S1359" s="214">
        <v>0</v>
      </c>
      <c r="T1359" s="214">
        <v>0</v>
      </c>
      <c r="U1359" s="214">
        <v>0</v>
      </c>
      <c r="V1359" s="214">
        <v>0</v>
      </c>
      <c r="W1359" s="214">
        <v>0</v>
      </c>
      <c r="X1359" s="214">
        <v>0</v>
      </c>
      <c r="Y1359" s="214">
        <v>0</v>
      </c>
      <c r="Z1359" s="214">
        <v>0</v>
      </c>
      <c r="AA1359" s="214">
        <v>0</v>
      </c>
      <c r="AB1359" s="214">
        <v>0</v>
      </c>
      <c r="AC1359" s="214">
        <v>0</v>
      </c>
      <c r="AD1359" s="215"/>
      <c r="AE1359" s="420">
        <v>0</v>
      </c>
      <c r="AF1359" s="420">
        <v>0</v>
      </c>
      <c r="AG1359" s="420">
        <v>0</v>
      </c>
      <c r="AH1359" s="420"/>
      <c r="AI1359" s="574">
        <f t="shared" si="34"/>
        <v>0</v>
      </c>
      <c r="AJ1359" s="212"/>
    </row>
    <row r="1360" spans="2:36" ht="14.4">
      <c r="B1360" s="211"/>
      <c r="C1360" s="213" t="s">
        <v>140</v>
      </c>
      <c r="D1360" s="417">
        <v>0</v>
      </c>
      <c r="E1360" s="214">
        <v>0</v>
      </c>
      <c r="F1360" s="214">
        <v>0</v>
      </c>
      <c r="G1360" s="214">
        <v>40</v>
      </c>
      <c r="H1360" s="214">
        <v>2401</v>
      </c>
      <c r="I1360" s="214">
        <v>0</v>
      </c>
      <c r="J1360" s="214">
        <v>0</v>
      </c>
      <c r="K1360" s="214">
        <v>0</v>
      </c>
      <c r="L1360" s="214">
        <v>949</v>
      </c>
      <c r="M1360" s="214">
        <v>0</v>
      </c>
      <c r="N1360" s="214">
        <v>0</v>
      </c>
      <c r="O1360" s="214">
        <v>0</v>
      </c>
      <c r="P1360" s="214">
        <v>0</v>
      </c>
      <c r="Q1360" s="214">
        <v>0</v>
      </c>
      <c r="R1360" s="214">
        <v>0</v>
      </c>
      <c r="S1360" s="214">
        <v>0</v>
      </c>
      <c r="T1360" s="214">
        <v>0</v>
      </c>
      <c r="U1360" s="214">
        <v>0</v>
      </c>
      <c r="V1360" s="214">
        <v>0</v>
      </c>
      <c r="W1360" s="214">
        <v>0</v>
      </c>
      <c r="X1360" s="214">
        <v>0</v>
      </c>
      <c r="Y1360" s="214">
        <v>0</v>
      </c>
      <c r="Z1360" s="214">
        <v>0</v>
      </c>
      <c r="AA1360" s="214">
        <v>0</v>
      </c>
      <c r="AB1360" s="214">
        <v>0</v>
      </c>
      <c r="AC1360" s="214">
        <v>0</v>
      </c>
      <c r="AD1360" s="215"/>
      <c r="AE1360" s="420">
        <v>0</v>
      </c>
      <c r="AF1360" s="420">
        <v>0</v>
      </c>
      <c r="AG1360" s="420">
        <v>0</v>
      </c>
      <c r="AH1360" s="420"/>
      <c r="AI1360" s="574">
        <f t="shared" si="34"/>
        <v>3390</v>
      </c>
      <c r="AJ1360" s="212"/>
    </row>
    <row r="1361" spans="2:36" ht="14.4">
      <c r="B1361" s="211"/>
      <c r="C1361" s="213" t="s">
        <v>141</v>
      </c>
      <c r="D1361" s="417">
        <v>0</v>
      </c>
      <c r="E1361" s="214">
        <v>0</v>
      </c>
      <c r="F1361" s="214">
        <v>0</v>
      </c>
      <c r="G1361" s="214">
        <v>0</v>
      </c>
      <c r="H1361" s="214">
        <v>0</v>
      </c>
      <c r="I1361" s="214">
        <v>0</v>
      </c>
      <c r="J1361" s="214">
        <v>0</v>
      </c>
      <c r="K1361" s="214">
        <v>0</v>
      </c>
      <c r="L1361" s="214">
        <v>0</v>
      </c>
      <c r="M1361" s="214">
        <v>0</v>
      </c>
      <c r="N1361" s="214">
        <v>0</v>
      </c>
      <c r="O1361" s="214">
        <v>0</v>
      </c>
      <c r="P1361" s="214">
        <v>0</v>
      </c>
      <c r="Q1361" s="214">
        <v>0</v>
      </c>
      <c r="R1361" s="214">
        <v>0</v>
      </c>
      <c r="S1361" s="214">
        <v>0</v>
      </c>
      <c r="T1361" s="214">
        <v>0</v>
      </c>
      <c r="U1361" s="214">
        <v>0</v>
      </c>
      <c r="V1361" s="214">
        <v>0</v>
      </c>
      <c r="W1361" s="214">
        <v>0</v>
      </c>
      <c r="X1361" s="214">
        <v>0</v>
      </c>
      <c r="Y1361" s="214">
        <v>0</v>
      </c>
      <c r="Z1361" s="214">
        <v>0</v>
      </c>
      <c r="AA1361" s="214">
        <v>0</v>
      </c>
      <c r="AB1361" s="214">
        <v>0</v>
      </c>
      <c r="AC1361" s="214">
        <v>0</v>
      </c>
      <c r="AD1361" s="215"/>
      <c r="AE1361" s="420">
        <v>0</v>
      </c>
      <c r="AF1361" s="420">
        <v>0</v>
      </c>
      <c r="AG1361" s="420">
        <v>0</v>
      </c>
      <c r="AH1361" s="420"/>
      <c r="AI1361" s="574">
        <f t="shared" si="34"/>
        <v>0</v>
      </c>
      <c r="AJ1361" s="212"/>
    </row>
    <row r="1362" spans="2:36" ht="14.4">
      <c r="B1362" s="211"/>
      <c r="C1362" s="213" t="s">
        <v>193</v>
      </c>
      <c r="D1362" s="417">
        <v>500</v>
      </c>
      <c r="E1362" s="214">
        <v>6160</v>
      </c>
      <c r="F1362" s="214">
        <v>0</v>
      </c>
      <c r="G1362" s="214">
        <v>0</v>
      </c>
      <c r="H1362" s="214">
        <v>0</v>
      </c>
      <c r="I1362" s="214">
        <v>0</v>
      </c>
      <c r="J1362" s="214">
        <v>0</v>
      </c>
      <c r="K1362" s="214">
        <v>0</v>
      </c>
      <c r="L1362" s="214">
        <v>0</v>
      </c>
      <c r="M1362" s="214">
        <v>0</v>
      </c>
      <c r="N1362" s="214">
        <v>0</v>
      </c>
      <c r="O1362" s="214">
        <v>0</v>
      </c>
      <c r="P1362" s="214">
        <v>500</v>
      </c>
      <c r="Q1362" s="214">
        <v>0</v>
      </c>
      <c r="R1362" s="214">
        <v>0</v>
      </c>
      <c r="S1362" s="214">
        <v>0</v>
      </c>
      <c r="T1362" s="214">
        <v>0</v>
      </c>
      <c r="U1362" s="214">
        <v>0</v>
      </c>
      <c r="V1362" s="214">
        <v>0</v>
      </c>
      <c r="W1362" s="214">
        <v>0</v>
      </c>
      <c r="X1362" s="214">
        <v>0</v>
      </c>
      <c r="Y1362" s="214">
        <v>0</v>
      </c>
      <c r="Z1362" s="214">
        <v>0</v>
      </c>
      <c r="AA1362" s="214">
        <v>0</v>
      </c>
      <c r="AB1362" s="214">
        <v>0</v>
      </c>
      <c r="AC1362" s="214">
        <v>0</v>
      </c>
      <c r="AD1362" s="215"/>
      <c r="AE1362" s="420">
        <v>0</v>
      </c>
      <c r="AF1362" s="420">
        <v>0</v>
      </c>
      <c r="AG1362" s="420">
        <v>0</v>
      </c>
      <c r="AH1362" s="420"/>
      <c r="AI1362" s="574">
        <f t="shared" si="34"/>
        <v>7160</v>
      </c>
      <c r="AJ1362" s="212"/>
    </row>
    <row r="1363" spans="2:36" ht="14.4">
      <c r="B1363" s="211"/>
      <c r="C1363" s="213" t="s">
        <v>148</v>
      </c>
      <c r="D1363" s="417">
        <v>0</v>
      </c>
      <c r="E1363" s="214">
        <v>0</v>
      </c>
      <c r="F1363" s="214">
        <v>0</v>
      </c>
      <c r="G1363" s="214">
        <v>0</v>
      </c>
      <c r="H1363" s="214">
        <v>0</v>
      </c>
      <c r="I1363" s="214">
        <v>0</v>
      </c>
      <c r="J1363" s="214">
        <v>0</v>
      </c>
      <c r="K1363" s="214">
        <v>0</v>
      </c>
      <c r="L1363" s="214">
        <v>0</v>
      </c>
      <c r="M1363" s="214">
        <v>0</v>
      </c>
      <c r="N1363" s="214">
        <v>0</v>
      </c>
      <c r="O1363" s="214">
        <v>0</v>
      </c>
      <c r="P1363" s="214">
        <v>0</v>
      </c>
      <c r="Q1363" s="214">
        <v>0</v>
      </c>
      <c r="R1363" s="214">
        <v>0</v>
      </c>
      <c r="S1363" s="214">
        <v>0</v>
      </c>
      <c r="T1363" s="214">
        <v>4510</v>
      </c>
      <c r="U1363" s="214">
        <v>0</v>
      </c>
      <c r="V1363" s="214">
        <v>0</v>
      </c>
      <c r="W1363" s="214">
        <v>0</v>
      </c>
      <c r="X1363" s="214">
        <v>0</v>
      </c>
      <c r="Y1363" s="214">
        <v>0</v>
      </c>
      <c r="Z1363" s="214">
        <v>0</v>
      </c>
      <c r="AA1363" s="214">
        <v>0</v>
      </c>
      <c r="AB1363" s="214">
        <v>0</v>
      </c>
      <c r="AC1363" s="214">
        <v>0</v>
      </c>
      <c r="AD1363" s="215"/>
      <c r="AE1363" s="420">
        <v>0</v>
      </c>
      <c r="AF1363" s="420">
        <v>0</v>
      </c>
      <c r="AG1363" s="420">
        <v>0</v>
      </c>
      <c r="AH1363" s="420"/>
      <c r="AI1363" s="574">
        <f t="shared" si="34"/>
        <v>4510</v>
      </c>
      <c r="AJ1363" s="212"/>
    </row>
    <row r="1364" spans="2:36" ht="14.4">
      <c r="B1364" s="211"/>
      <c r="C1364" s="213" t="s">
        <v>186</v>
      </c>
      <c r="D1364" s="417">
        <v>0</v>
      </c>
      <c r="E1364" s="214">
        <v>0</v>
      </c>
      <c r="F1364" s="214">
        <v>0</v>
      </c>
      <c r="G1364" s="214">
        <v>0</v>
      </c>
      <c r="H1364" s="214">
        <v>0</v>
      </c>
      <c r="I1364" s="214">
        <v>0</v>
      </c>
      <c r="J1364" s="214">
        <v>0</v>
      </c>
      <c r="K1364" s="214">
        <v>0</v>
      </c>
      <c r="L1364" s="214">
        <v>0</v>
      </c>
      <c r="M1364" s="214">
        <v>0</v>
      </c>
      <c r="N1364" s="214">
        <v>0</v>
      </c>
      <c r="O1364" s="214">
        <v>0</v>
      </c>
      <c r="P1364" s="214">
        <v>0</v>
      </c>
      <c r="Q1364" s="214">
        <v>0</v>
      </c>
      <c r="R1364" s="214">
        <v>0</v>
      </c>
      <c r="S1364" s="214">
        <v>0</v>
      </c>
      <c r="T1364" s="214">
        <v>0</v>
      </c>
      <c r="U1364" s="214">
        <v>0</v>
      </c>
      <c r="V1364" s="214">
        <v>0</v>
      </c>
      <c r="W1364" s="214">
        <v>0</v>
      </c>
      <c r="X1364" s="214">
        <v>0</v>
      </c>
      <c r="Y1364" s="214">
        <v>0</v>
      </c>
      <c r="Z1364" s="214">
        <v>0</v>
      </c>
      <c r="AA1364" s="214">
        <v>0</v>
      </c>
      <c r="AB1364" s="214">
        <v>0</v>
      </c>
      <c r="AC1364" s="214">
        <v>0</v>
      </c>
      <c r="AD1364" s="215"/>
      <c r="AE1364" s="420">
        <v>0</v>
      </c>
      <c r="AF1364" s="420">
        <v>0</v>
      </c>
      <c r="AG1364" s="420">
        <v>0</v>
      </c>
      <c r="AH1364" s="420"/>
      <c r="AI1364" s="574">
        <f t="shared" si="34"/>
        <v>0</v>
      </c>
      <c r="AJ1364" s="212"/>
    </row>
    <row r="1365" spans="2:36" ht="14.4">
      <c r="B1365" s="211"/>
      <c r="C1365" s="213" t="s">
        <v>171</v>
      </c>
      <c r="D1365" s="417">
        <v>0</v>
      </c>
      <c r="E1365" s="214">
        <v>0</v>
      </c>
      <c r="F1365" s="214">
        <v>0</v>
      </c>
      <c r="G1365" s="214">
        <v>0</v>
      </c>
      <c r="H1365" s="214">
        <v>0</v>
      </c>
      <c r="I1365" s="214">
        <v>0</v>
      </c>
      <c r="J1365" s="214">
        <v>0</v>
      </c>
      <c r="K1365" s="214">
        <v>0</v>
      </c>
      <c r="L1365" s="214">
        <v>0</v>
      </c>
      <c r="M1365" s="214">
        <v>0</v>
      </c>
      <c r="N1365" s="214">
        <v>0</v>
      </c>
      <c r="O1365" s="214">
        <v>0</v>
      </c>
      <c r="P1365" s="214">
        <v>0</v>
      </c>
      <c r="Q1365" s="214">
        <v>0</v>
      </c>
      <c r="R1365" s="214">
        <v>0</v>
      </c>
      <c r="S1365" s="214">
        <v>0</v>
      </c>
      <c r="T1365" s="214">
        <v>0</v>
      </c>
      <c r="U1365" s="214">
        <v>0</v>
      </c>
      <c r="V1365" s="214">
        <v>0</v>
      </c>
      <c r="W1365" s="214">
        <v>0</v>
      </c>
      <c r="X1365" s="214">
        <v>0</v>
      </c>
      <c r="Y1365" s="214">
        <v>0</v>
      </c>
      <c r="Z1365" s="214">
        <v>0</v>
      </c>
      <c r="AA1365" s="214">
        <v>0</v>
      </c>
      <c r="AB1365" s="214">
        <v>0</v>
      </c>
      <c r="AC1365" s="214">
        <v>0</v>
      </c>
      <c r="AD1365" s="215"/>
      <c r="AE1365" s="420">
        <v>0</v>
      </c>
      <c r="AF1365" s="420">
        <v>0</v>
      </c>
      <c r="AG1365" s="420">
        <v>0</v>
      </c>
      <c r="AH1365" s="420"/>
      <c r="AI1365" s="574">
        <f t="shared" si="34"/>
        <v>0</v>
      </c>
      <c r="AJ1365" s="212"/>
    </row>
    <row r="1366" spans="2:36" ht="14.4">
      <c r="B1366" s="211"/>
      <c r="C1366" s="213" t="s">
        <v>180</v>
      </c>
      <c r="D1366" s="417">
        <v>0</v>
      </c>
      <c r="E1366" s="214">
        <v>0</v>
      </c>
      <c r="F1366" s="214">
        <v>0</v>
      </c>
      <c r="G1366" s="214">
        <v>0</v>
      </c>
      <c r="H1366" s="214">
        <v>0</v>
      </c>
      <c r="I1366" s="214">
        <v>0</v>
      </c>
      <c r="J1366" s="214">
        <v>0</v>
      </c>
      <c r="K1366" s="214">
        <v>0</v>
      </c>
      <c r="L1366" s="214">
        <v>0</v>
      </c>
      <c r="M1366" s="214">
        <v>0</v>
      </c>
      <c r="N1366" s="214">
        <v>0</v>
      </c>
      <c r="O1366" s="214">
        <v>0</v>
      </c>
      <c r="P1366" s="214">
        <v>0</v>
      </c>
      <c r="Q1366" s="214">
        <v>0</v>
      </c>
      <c r="R1366" s="214">
        <v>0</v>
      </c>
      <c r="S1366" s="214">
        <v>0</v>
      </c>
      <c r="T1366" s="214">
        <v>0</v>
      </c>
      <c r="U1366" s="214">
        <v>0</v>
      </c>
      <c r="V1366" s="214">
        <v>0</v>
      </c>
      <c r="W1366" s="214">
        <v>0</v>
      </c>
      <c r="X1366" s="214">
        <v>0</v>
      </c>
      <c r="Y1366" s="214">
        <v>0</v>
      </c>
      <c r="Z1366" s="214">
        <v>0</v>
      </c>
      <c r="AA1366" s="214">
        <v>0</v>
      </c>
      <c r="AB1366" s="214">
        <v>0</v>
      </c>
      <c r="AC1366" s="214">
        <v>0</v>
      </c>
      <c r="AD1366" s="215"/>
      <c r="AE1366" s="420">
        <v>0</v>
      </c>
      <c r="AF1366" s="420">
        <v>0</v>
      </c>
      <c r="AG1366" s="420">
        <v>0</v>
      </c>
      <c r="AH1366" s="420"/>
      <c r="AI1366" s="574">
        <f t="shared" si="34"/>
        <v>0</v>
      </c>
      <c r="AJ1366" s="212"/>
    </row>
    <row r="1367" spans="2:36" ht="14.4">
      <c r="B1367" s="211"/>
      <c r="C1367" s="213" t="s">
        <v>183</v>
      </c>
      <c r="D1367" s="417">
        <v>0</v>
      </c>
      <c r="E1367" s="214">
        <v>0</v>
      </c>
      <c r="F1367" s="214">
        <v>0</v>
      </c>
      <c r="G1367" s="214">
        <v>0</v>
      </c>
      <c r="H1367" s="214">
        <v>0</v>
      </c>
      <c r="I1367" s="214">
        <v>0</v>
      </c>
      <c r="J1367" s="214">
        <v>0</v>
      </c>
      <c r="K1367" s="214">
        <v>0</v>
      </c>
      <c r="L1367" s="214">
        <v>0</v>
      </c>
      <c r="M1367" s="214">
        <v>0</v>
      </c>
      <c r="N1367" s="214">
        <v>0</v>
      </c>
      <c r="O1367" s="214">
        <v>0</v>
      </c>
      <c r="P1367" s="214">
        <v>0</v>
      </c>
      <c r="Q1367" s="214">
        <v>0</v>
      </c>
      <c r="R1367" s="214">
        <v>0</v>
      </c>
      <c r="S1367" s="214">
        <v>0</v>
      </c>
      <c r="T1367" s="214">
        <v>0</v>
      </c>
      <c r="U1367" s="214">
        <v>0</v>
      </c>
      <c r="V1367" s="214">
        <v>0</v>
      </c>
      <c r="W1367" s="214">
        <v>0</v>
      </c>
      <c r="X1367" s="214">
        <v>0</v>
      </c>
      <c r="Y1367" s="214">
        <v>0</v>
      </c>
      <c r="Z1367" s="214">
        <v>0</v>
      </c>
      <c r="AA1367" s="214">
        <v>0</v>
      </c>
      <c r="AB1367" s="214">
        <v>0</v>
      </c>
      <c r="AC1367" s="214">
        <v>0</v>
      </c>
      <c r="AD1367" s="215"/>
      <c r="AE1367" s="420">
        <v>0</v>
      </c>
      <c r="AF1367" s="420">
        <v>0</v>
      </c>
      <c r="AG1367" s="420">
        <v>0</v>
      </c>
      <c r="AH1367" s="420"/>
      <c r="AI1367" s="574">
        <f t="shared" si="34"/>
        <v>0</v>
      </c>
      <c r="AJ1367" s="212"/>
    </row>
    <row r="1368" spans="2:36" ht="14.4">
      <c r="B1368" s="211"/>
      <c r="C1368" s="213" t="s">
        <v>195</v>
      </c>
      <c r="D1368" s="417">
        <v>13211.8</v>
      </c>
      <c r="E1368" s="214">
        <v>0</v>
      </c>
      <c r="F1368" s="214">
        <v>0</v>
      </c>
      <c r="G1368" s="214">
        <v>0</v>
      </c>
      <c r="H1368" s="214">
        <v>0</v>
      </c>
      <c r="I1368" s="214">
        <v>0</v>
      </c>
      <c r="J1368" s="214">
        <v>0</v>
      </c>
      <c r="K1368" s="214">
        <v>0</v>
      </c>
      <c r="L1368" s="214">
        <v>0</v>
      </c>
      <c r="M1368" s="214">
        <v>0</v>
      </c>
      <c r="N1368" s="214">
        <v>0</v>
      </c>
      <c r="O1368" s="214">
        <v>0</v>
      </c>
      <c r="P1368" s="214">
        <v>0</v>
      </c>
      <c r="Q1368" s="214">
        <v>0</v>
      </c>
      <c r="R1368" s="214">
        <v>0</v>
      </c>
      <c r="S1368" s="214">
        <v>0</v>
      </c>
      <c r="T1368" s="214">
        <v>0</v>
      </c>
      <c r="U1368" s="214">
        <v>0</v>
      </c>
      <c r="V1368" s="214">
        <v>0</v>
      </c>
      <c r="W1368" s="214">
        <v>0</v>
      </c>
      <c r="X1368" s="214">
        <v>0</v>
      </c>
      <c r="Y1368" s="214">
        <v>0</v>
      </c>
      <c r="Z1368" s="214">
        <v>0</v>
      </c>
      <c r="AA1368" s="214">
        <v>0</v>
      </c>
      <c r="AB1368" s="214">
        <v>0</v>
      </c>
      <c r="AC1368" s="214">
        <v>0</v>
      </c>
      <c r="AD1368" s="215"/>
      <c r="AE1368" s="420">
        <v>0</v>
      </c>
      <c r="AF1368" s="420">
        <v>0</v>
      </c>
      <c r="AG1368" s="420">
        <v>0</v>
      </c>
      <c r="AH1368" s="420"/>
      <c r="AI1368" s="574">
        <f t="shared" si="34"/>
        <v>13211.8</v>
      </c>
      <c r="AJ1368" s="212"/>
    </row>
    <row r="1369" spans="2:36" ht="14.4">
      <c r="B1369" s="211"/>
      <c r="C1369" s="213" t="s">
        <v>189</v>
      </c>
      <c r="D1369" s="417">
        <v>9939.33</v>
      </c>
      <c r="E1369" s="214">
        <v>0</v>
      </c>
      <c r="F1369" s="214">
        <v>0</v>
      </c>
      <c r="G1369" s="214">
        <v>0</v>
      </c>
      <c r="H1369" s="214">
        <v>0</v>
      </c>
      <c r="I1369" s="214">
        <v>0</v>
      </c>
      <c r="J1369" s="214">
        <v>0</v>
      </c>
      <c r="K1369" s="214">
        <v>0</v>
      </c>
      <c r="L1369" s="214">
        <v>0</v>
      </c>
      <c r="M1369" s="214">
        <v>0</v>
      </c>
      <c r="N1369" s="214">
        <v>0</v>
      </c>
      <c r="O1369" s="214">
        <v>0</v>
      </c>
      <c r="P1369" s="214">
        <v>0</v>
      </c>
      <c r="Q1369" s="214">
        <v>0</v>
      </c>
      <c r="R1369" s="214">
        <v>0</v>
      </c>
      <c r="S1369" s="214">
        <v>0</v>
      </c>
      <c r="T1369" s="214">
        <v>0</v>
      </c>
      <c r="U1369" s="214">
        <v>0</v>
      </c>
      <c r="V1369" s="214">
        <v>0</v>
      </c>
      <c r="W1369" s="214">
        <v>0</v>
      </c>
      <c r="X1369" s="214">
        <v>0</v>
      </c>
      <c r="Y1369" s="214">
        <v>0</v>
      </c>
      <c r="Z1369" s="214">
        <v>0</v>
      </c>
      <c r="AA1369" s="214">
        <v>0</v>
      </c>
      <c r="AB1369" s="214">
        <v>0</v>
      </c>
      <c r="AC1369" s="214">
        <v>0</v>
      </c>
      <c r="AD1369" s="215"/>
      <c r="AE1369" s="420">
        <v>0</v>
      </c>
      <c r="AF1369" s="420">
        <v>0</v>
      </c>
      <c r="AG1369" s="420">
        <v>0</v>
      </c>
      <c r="AH1369" s="420"/>
      <c r="AI1369" s="574">
        <f t="shared" si="34"/>
        <v>9939.33</v>
      </c>
      <c r="AJ1369" s="212"/>
    </row>
    <row r="1370" spans="2:36" ht="14.4">
      <c r="B1370" s="211"/>
      <c r="C1370" s="213" t="s">
        <v>188</v>
      </c>
      <c r="D1370" s="417">
        <v>11696.48</v>
      </c>
      <c r="E1370" s="214">
        <v>0</v>
      </c>
      <c r="F1370" s="214">
        <v>0</v>
      </c>
      <c r="G1370" s="214">
        <v>0</v>
      </c>
      <c r="H1370" s="214">
        <v>0</v>
      </c>
      <c r="I1370" s="214">
        <v>0</v>
      </c>
      <c r="J1370" s="214">
        <v>0</v>
      </c>
      <c r="K1370" s="214">
        <v>0</v>
      </c>
      <c r="L1370" s="214">
        <v>0</v>
      </c>
      <c r="M1370" s="214">
        <v>0</v>
      </c>
      <c r="N1370" s="214">
        <v>0</v>
      </c>
      <c r="O1370" s="214">
        <v>0</v>
      </c>
      <c r="P1370" s="214">
        <v>0</v>
      </c>
      <c r="Q1370" s="214">
        <v>0</v>
      </c>
      <c r="R1370" s="214">
        <v>0</v>
      </c>
      <c r="S1370" s="214">
        <v>0</v>
      </c>
      <c r="T1370" s="214">
        <v>0</v>
      </c>
      <c r="U1370" s="214">
        <v>0</v>
      </c>
      <c r="V1370" s="214">
        <v>0</v>
      </c>
      <c r="W1370" s="214">
        <v>0</v>
      </c>
      <c r="X1370" s="214">
        <v>0</v>
      </c>
      <c r="Y1370" s="214">
        <v>0</v>
      </c>
      <c r="Z1370" s="214">
        <v>0</v>
      </c>
      <c r="AA1370" s="214">
        <v>0</v>
      </c>
      <c r="AB1370" s="214">
        <v>0</v>
      </c>
      <c r="AC1370" s="214">
        <v>0</v>
      </c>
      <c r="AD1370" s="215"/>
      <c r="AE1370" s="420">
        <v>0</v>
      </c>
      <c r="AF1370" s="420">
        <v>0</v>
      </c>
      <c r="AG1370" s="420">
        <v>0</v>
      </c>
      <c r="AH1370" s="420"/>
      <c r="AI1370" s="574">
        <f t="shared" si="34"/>
        <v>11696.48</v>
      </c>
      <c r="AJ1370" s="212"/>
    </row>
    <row r="1371" spans="2:36" ht="14.4">
      <c r="B1371" s="211"/>
      <c r="C1371" s="213" t="s">
        <v>196</v>
      </c>
      <c r="D1371" s="417">
        <v>37382.58</v>
      </c>
      <c r="E1371" s="214">
        <v>0</v>
      </c>
      <c r="F1371" s="214">
        <v>0</v>
      </c>
      <c r="G1371" s="214">
        <v>0</v>
      </c>
      <c r="H1371" s="214">
        <v>0</v>
      </c>
      <c r="I1371" s="214">
        <v>0</v>
      </c>
      <c r="J1371" s="214">
        <v>0</v>
      </c>
      <c r="K1371" s="214">
        <v>0</v>
      </c>
      <c r="L1371" s="214">
        <v>0</v>
      </c>
      <c r="M1371" s="214">
        <v>0</v>
      </c>
      <c r="N1371" s="214">
        <v>0</v>
      </c>
      <c r="O1371" s="214">
        <v>0</v>
      </c>
      <c r="P1371" s="214">
        <v>0</v>
      </c>
      <c r="Q1371" s="214">
        <v>0</v>
      </c>
      <c r="R1371" s="214">
        <v>0</v>
      </c>
      <c r="S1371" s="214">
        <v>0</v>
      </c>
      <c r="T1371" s="214">
        <v>0</v>
      </c>
      <c r="U1371" s="214">
        <v>0</v>
      </c>
      <c r="V1371" s="214">
        <v>0</v>
      </c>
      <c r="W1371" s="214">
        <v>0</v>
      </c>
      <c r="X1371" s="214">
        <v>0</v>
      </c>
      <c r="Y1371" s="214">
        <v>0</v>
      </c>
      <c r="Z1371" s="214">
        <v>0</v>
      </c>
      <c r="AA1371" s="214">
        <v>0</v>
      </c>
      <c r="AB1371" s="214">
        <v>0</v>
      </c>
      <c r="AC1371" s="214">
        <v>0</v>
      </c>
      <c r="AD1371" s="215"/>
      <c r="AE1371" s="420">
        <v>0</v>
      </c>
      <c r="AF1371" s="420">
        <v>0</v>
      </c>
      <c r="AG1371" s="420">
        <v>0</v>
      </c>
      <c r="AH1371" s="420"/>
      <c r="AI1371" s="574">
        <f t="shared" si="34"/>
        <v>37382.58</v>
      </c>
      <c r="AJ1371" s="212"/>
    </row>
    <row r="1372" spans="2:36" ht="14.4">
      <c r="B1372" s="211"/>
      <c r="C1372" s="213" t="s">
        <v>197</v>
      </c>
      <c r="D1372" s="417">
        <v>141515.57</v>
      </c>
      <c r="E1372" s="214">
        <v>0</v>
      </c>
      <c r="F1372" s="214">
        <v>0</v>
      </c>
      <c r="G1372" s="214">
        <v>0</v>
      </c>
      <c r="H1372" s="214">
        <v>0</v>
      </c>
      <c r="I1372" s="214">
        <v>0</v>
      </c>
      <c r="J1372" s="214">
        <v>0</v>
      </c>
      <c r="K1372" s="214">
        <v>0</v>
      </c>
      <c r="L1372" s="214">
        <v>0</v>
      </c>
      <c r="M1372" s="214">
        <v>0</v>
      </c>
      <c r="N1372" s="214">
        <v>0</v>
      </c>
      <c r="O1372" s="214">
        <v>0</v>
      </c>
      <c r="P1372" s="214">
        <v>0</v>
      </c>
      <c r="Q1372" s="214">
        <v>0</v>
      </c>
      <c r="R1372" s="214">
        <v>0</v>
      </c>
      <c r="S1372" s="214">
        <v>0</v>
      </c>
      <c r="T1372" s="214">
        <v>0</v>
      </c>
      <c r="U1372" s="214">
        <v>0</v>
      </c>
      <c r="V1372" s="214">
        <v>0</v>
      </c>
      <c r="W1372" s="214">
        <v>0</v>
      </c>
      <c r="X1372" s="214">
        <v>0</v>
      </c>
      <c r="Y1372" s="214">
        <v>0</v>
      </c>
      <c r="Z1372" s="214">
        <v>0</v>
      </c>
      <c r="AA1372" s="214">
        <v>0</v>
      </c>
      <c r="AB1372" s="214">
        <v>0</v>
      </c>
      <c r="AC1372" s="214">
        <v>0</v>
      </c>
      <c r="AD1372" s="215"/>
      <c r="AE1372" s="420">
        <v>0</v>
      </c>
      <c r="AF1372" s="420">
        <v>0</v>
      </c>
      <c r="AG1372" s="420">
        <v>0</v>
      </c>
      <c r="AH1372" s="420"/>
      <c r="AI1372" s="574">
        <f t="shared" si="34"/>
        <v>141515.57</v>
      </c>
      <c r="AJ1372" s="212"/>
    </row>
    <row r="1373" spans="2:36" ht="14.4">
      <c r="B1373" s="211"/>
      <c r="C1373" s="213" t="s">
        <v>198</v>
      </c>
      <c r="D1373" s="417">
        <v>18894.37</v>
      </c>
      <c r="E1373" s="214">
        <v>0</v>
      </c>
      <c r="F1373" s="214">
        <v>0</v>
      </c>
      <c r="G1373" s="214">
        <v>0</v>
      </c>
      <c r="H1373" s="214">
        <v>0</v>
      </c>
      <c r="I1373" s="214">
        <v>0</v>
      </c>
      <c r="J1373" s="214">
        <v>0</v>
      </c>
      <c r="K1373" s="214">
        <v>0</v>
      </c>
      <c r="L1373" s="214">
        <v>0</v>
      </c>
      <c r="M1373" s="214">
        <v>0</v>
      </c>
      <c r="N1373" s="214">
        <v>0</v>
      </c>
      <c r="O1373" s="214">
        <v>0</v>
      </c>
      <c r="P1373" s="214">
        <v>0</v>
      </c>
      <c r="Q1373" s="214">
        <v>0</v>
      </c>
      <c r="R1373" s="214">
        <v>0</v>
      </c>
      <c r="S1373" s="214">
        <v>0</v>
      </c>
      <c r="T1373" s="214">
        <v>0</v>
      </c>
      <c r="U1373" s="214">
        <v>0</v>
      </c>
      <c r="V1373" s="214">
        <v>0</v>
      </c>
      <c r="W1373" s="214">
        <v>0</v>
      </c>
      <c r="X1373" s="214">
        <v>0</v>
      </c>
      <c r="Y1373" s="214">
        <v>0</v>
      </c>
      <c r="Z1373" s="214">
        <v>0</v>
      </c>
      <c r="AA1373" s="214">
        <v>0</v>
      </c>
      <c r="AB1373" s="214">
        <v>0</v>
      </c>
      <c r="AC1373" s="214">
        <v>0</v>
      </c>
      <c r="AD1373" s="215"/>
      <c r="AE1373" s="420">
        <v>0</v>
      </c>
      <c r="AF1373" s="420">
        <v>0</v>
      </c>
      <c r="AG1373" s="420">
        <v>0</v>
      </c>
      <c r="AH1373" s="420"/>
      <c r="AI1373" s="574">
        <f t="shared" si="34"/>
        <v>18894.37</v>
      </c>
      <c r="AJ1373" s="212"/>
    </row>
    <row r="1374" spans="2:36" ht="14.4">
      <c r="B1374" s="211"/>
      <c r="C1374" s="213" t="s">
        <v>201</v>
      </c>
      <c r="D1374" s="417">
        <v>12568.34</v>
      </c>
      <c r="E1374" s="214">
        <v>0</v>
      </c>
      <c r="F1374" s="214">
        <v>0</v>
      </c>
      <c r="G1374" s="214">
        <v>0</v>
      </c>
      <c r="H1374" s="214">
        <v>0</v>
      </c>
      <c r="I1374" s="214">
        <v>0</v>
      </c>
      <c r="J1374" s="214">
        <v>0</v>
      </c>
      <c r="K1374" s="214">
        <v>0</v>
      </c>
      <c r="L1374" s="214">
        <v>0</v>
      </c>
      <c r="M1374" s="214">
        <v>0</v>
      </c>
      <c r="N1374" s="214">
        <v>0</v>
      </c>
      <c r="O1374" s="214">
        <v>0</v>
      </c>
      <c r="P1374" s="214">
        <v>0</v>
      </c>
      <c r="Q1374" s="214">
        <v>0</v>
      </c>
      <c r="R1374" s="214">
        <v>0</v>
      </c>
      <c r="S1374" s="214">
        <v>0</v>
      </c>
      <c r="T1374" s="214">
        <v>0</v>
      </c>
      <c r="U1374" s="214">
        <v>0</v>
      </c>
      <c r="V1374" s="214">
        <v>0</v>
      </c>
      <c r="W1374" s="214">
        <v>0</v>
      </c>
      <c r="X1374" s="214">
        <v>0</v>
      </c>
      <c r="Y1374" s="214">
        <v>0</v>
      </c>
      <c r="Z1374" s="214">
        <v>0</v>
      </c>
      <c r="AA1374" s="214">
        <v>0</v>
      </c>
      <c r="AB1374" s="214">
        <v>0</v>
      </c>
      <c r="AC1374" s="214">
        <v>0</v>
      </c>
      <c r="AD1374" s="215"/>
      <c r="AE1374" s="420">
        <v>0</v>
      </c>
      <c r="AF1374" s="420">
        <v>0</v>
      </c>
      <c r="AG1374" s="420">
        <v>0</v>
      </c>
      <c r="AH1374" s="420"/>
      <c r="AI1374" s="574">
        <f t="shared" si="34"/>
        <v>12568.34</v>
      </c>
      <c r="AJ1374" s="212"/>
    </row>
    <row r="1375" spans="2:36" ht="14.4">
      <c r="B1375" s="211"/>
      <c r="C1375" s="213" t="s">
        <v>202</v>
      </c>
      <c r="D1375" s="417">
        <v>18473.21</v>
      </c>
      <c r="E1375" s="214">
        <v>0</v>
      </c>
      <c r="F1375" s="214">
        <v>0</v>
      </c>
      <c r="G1375" s="214">
        <v>0</v>
      </c>
      <c r="H1375" s="214">
        <v>0</v>
      </c>
      <c r="I1375" s="214">
        <v>0</v>
      </c>
      <c r="J1375" s="214">
        <v>0</v>
      </c>
      <c r="K1375" s="214">
        <v>0</v>
      </c>
      <c r="L1375" s="214">
        <v>0</v>
      </c>
      <c r="M1375" s="214">
        <v>0</v>
      </c>
      <c r="N1375" s="214">
        <v>0</v>
      </c>
      <c r="O1375" s="214">
        <v>0</v>
      </c>
      <c r="P1375" s="214">
        <v>0</v>
      </c>
      <c r="Q1375" s="214">
        <v>0</v>
      </c>
      <c r="R1375" s="214">
        <v>0</v>
      </c>
      <c r="S1375" s="214">
        <v>0</v>
      </c>
      <c r="T1375" s="214">
        <v>0</v>
      </c>
      <c r="U1375" s="214">
        <v>0</v>
      </c>
      <c r="V1375" s="214">
        <v>0</v>
      </c>
      <c r="W1375" s="214">
        <v>0</v>
      </c>
      <c r="X1375" s="214">
        <v>0</v>
      </c>
      <c r="Y1375" s="214">
        <v>0</v>
      </c>
      <c r="Z1375" s="214">
        <v>0</v>
      </c>
      <c r="AA1375" s="214">
        <v>0</v>
      </c>
      <c r="AB1375" s="214">
        <v>0</v>
      </c>
      <c r="AC1375" s="214">
        <v>0</v>
      </c>
      <c r="AD1375" s="215"/>
      <c r="AE1375" s="420">
        <v>0</v>
      </c>
      <c r="AF1375" s="420">
        <v>0</v>
      </c>
      <c r="AG1375" s="420">
        <v>0</v>
      </c>
      <c r="AH1375" s="420"/>
      <c r="AI1375" s="574">
        <f t="shared" si="34"/>
        <v>18473.21</v>
      </c>
      <c r="AJ1375" s="212"/>
    </row>
    <row r="1376" spans="2:36" ht="14.4">
      <c r="B1376" s="211"/>
      <c r="C1376" s="213" t="s">
        <v>206</v>
      </c>
      <c r="D1376" s="417">
        <v>13238.09</v>
      </c>
      <c r="E1376" s="214">
        <v>0</v>
      </c>
      <c r="F1376" s="214">
        <v>0</v>
      </c>
      <c r="G1376" s="214">
        <v>0</v>
      </c>
      <c r="H1376" s="214">
        <v>0</v>
      </c>
      <c r="I1376" s="214">
        <v>0</v>
      </c>
      <c r="J1376" s="214">
        <v>0</v>
      </c>
      <c r="K1376" s="214">
        <v>0</v>
      </c>
      <c r="L1376" s="214">
        <v>0</v>
      </c>
      <c r="M1376" s="214">
        <v>0</v>
      </c>
      <c r="N1376" s="214">
        <v>0</v>
      </c>
      <c r="O1376" s="214">
        <v>0</v>
      </c>
      <c r="P1376" s="214">
        <v>0</v>
      </c>
      <c r="Q1376" s="214">
        <v>0</v>
      </c>
      <c r="R1376" s="214">
        <v>0</v>
      </c>
      <c r="S1376" s="214">
        <v>0</v>
      </c>
      <c r="T1376" s="214">
        <v>0</v>
      </c>
      <c r="U1376" s="214">
        <v>0</v>
      </c>
      <c r="V1376" s="214">
        <v>0</v>
      </c>
      <c r="W1376" s="214">
        <v>0</v>
      </c>
      <c r="X1376" s="214">
        <v>0</v>
      </c>
      <c r="Y1376" s="214">
        <v>0</v>
      </c>
      <c r="Z1376" s="214">
        <v>0</v>
      </c>
      <c r="AA1376" s="214">
        <v>0</v>
      </c>
      <c r="AB1376" s="214">
        <v>0</v>
      </c>
      <c r="AC1376" s="214">
        <v>0</v>
      </c>
      <c r="AD1376" s="215"/>
      <c r="AE1376" s="420">
        <v>0</v>
      </c>
      <c r="AF1376" s="420">
        <v>0</v>
      </c>
      <c r="AG1376" s="420">
        <v>0</v>
      </c>
      <c r="AH1376" s="420"/>
      <c r="AI1376" s="574">
        <f t="shared" si="34"/>
        <v>13238.09</v>
      </c>
      <c r="AJ1376" s="212"/>
    </row>
    <row r="1377" spans="1:36" ht="14.4">
      <c r="B1377" s="211"/>
      <c r="C1377" s="213" t="s">
        <v>207</v>
      </c>
      <c r="D1377" s="417">
        <v>11831.25</v>
      </c>
      <c r="E1377" s="214">
        <v>3450</v>
      </c>
      <c r="F1377" s="214">
        <v>3450</v>
      </c>
      <c r="G1377" s="214">
        <v>3112</v>
      </c>
      <c r="H1377" s="214">
        <v>862.5</v>
      </c>
      <c r="I1377" s="214">
        <v>1293.75</v>
      </c>
      <c r="J1377" s="214">
        <v>0</v>
      </c>
      <c r="K1377" s="214">
        <v>0</v>
      </c>
      <c r="L1377" s="214">
        <v>431.25</v>
      </c>
      <c r="M1377" s="214">
        <v>1293.75</v>
      </c>
      <c r="N1377" s="214">
        <v>431.25</v>
      </c>
      <c r="O1377" s="214">
        <v>862.5</v>
      </c>
      <c r="P1377" s="214">
        <v>431.25</v>
      </c>
      <c r="Q1377" s="214">
        <v>431.25</v>
      </c>
      <c r="R1377" s="214">
        <v>1387.5</v>
      </c>
      <c r="S1377" s="214">
        <v>1293.75</v>
      </c>
      <c r="T1377" s="214">
        <v>0</v>
      </c>
      <c r="U1377" s="214">
        <v>0</v>
      </c>
      <c r="V1377" s="214">
        <v>0</v>
      </c>
      <c r="W1377" s="214">
        <v>0</v>
      </c>
      <c r="X1377" s="214">
        <v>431.25</v>
      </c>
      <c r="Y1377" s="214">
        <v>431.25</v>
      </c>
      <c r="Z1377" s="214">
        <v>0</v>
      </c>
      <c r="AA1377" s="214">
        <v>431.25</v>
      </c>
      <c r="AB1377" s="214">
        <v>0</v>
      </c>
      <c r="AC1377" s="214">
        <v>862.5</v>
      </c>
      <c r="AD1377" s="215">
        <v>0</v>
      </c>
      <c r="AE1377" s="420">
        <v>431.25</v>
      </c>
      <c r="AF1377" s="420">
        <v>0</v>
      </c>
      <c r="AG1377" s="420">
        <v>0</v>
      </c>
      <c r="AH1377" s="420">
        <v>0</v>
      </c>
      <c r="AI1377" s="574">
        <f t="shared" si="34"/>
        <v>33149.5</v>
      </c>
      <c r="AJ1377" s="212"/>
    </row>
    <row r="1378" spans="1:36" ht="14.4">
      <c r="B1378" s="211"/>
      <c r="C1378" s="213" t="s">
        <v>208</v>
      </c>
      <c r="D1378" s="417">
        <v>19594.13</v>
      </c>
      <c r="E1378" s="214">
        <v>0</v>
      </c>
      <c r="F1378" s="214">
        <v>0</v>
      </c>
      <c r="G1378" s="214">
        <v>0</v>
      </c>
      <c r="H1378" s="214">
        <v>0</v>
      </c>
      <c r="I1378" s="214">
        <v>0</v>
      </c>
      <c r="J1378" s="214">
        <v>0</v>
      </c>
      <c r="K1378" s="214">
        <v>0</v>
      </c>
      <c r="L1378" s="214">
        <v>0</v>
      </c>
      <c r="M1378" s="214">
        <v>0</v>
      </c>
      <c r="N1378" s="214">
        <v>0</v>
      </c>
      <c r="O1378" s="214">
        <v>0</v>
      </c>
      <c r="P1378" s="214">
        <v>0</v>
      </c>
      <c r="Q1378" s="214">
        <v>0</v>
      </c>
      <c r="R1378" s="214">
        <v>0</v>
      </c>
      <c r="S1378" s="214">
        <v>0</v>
      </c>
      <c r="T1378" s="214">
        <v>0</v>
      </c>
      <c r="U1378" s="214">
        <v>0</v>
      </c>
      <c r="V1378" s="214">
        <v>0</v>
      </c>
      <c r="W1378" s="214">
        <v>0</v>
      </c>
      <c r="X1378" s="214">
        <v>0</v>
      </c>
      <c r="Y1378" s="214">
        <v>0</v>
      </c>
      <c r="Z1378" s="214">
        <v>0</v>
      </c>
      <c r="AA1378" s="214">
        <v>0</v>
      </c>
      <c r="AB1378" s="214">
        <v>0</v>
      </c>
      <c r="AC1378" s="214">
        <v>0</v>
      </c>
      <c r="AD1378" s="215"/>
      <c r="AE1378" s="420">
        <v>0</v>
      </c>
      <c r="AF1378" s="420">
        <v>0</v>
      </c>
      <c r="AG1378" s="420">
        <v>0</v>
      </c>
      <c r="AH1378" s="420"/>
      <c r="AI1378" s="574">
        <f t="shared" si="34"/>
        <v>19594.13</v>
      </c>
      <c r="AJ1378" s="212"/>
    </row>
    <row r="1379" spans="1:36" ht="14.4">
      <c r="B1379" s="211"/>
      <c r="C1379" s="213" t="s">
        <v>236</v>
      </c>
      <c r="D1379" s="417">
        <v>18028.79</v>
      </c>
      <c r="E1379" s="214">
        <v>0</v>
      </c>
      <c r="F1379" s="214">
        <v>0</v>
      </c>
      <c r="G1379" s="214">
        <v>0</v>
      </c>
      <c r="H1379" s="214">
        <v>0</v>
      </c>
      <c r="I1379" s="214">
        <v>0</v>
      </c>
      <c r="J1379" s="214">
        <v>0</v>
      </c>
      <c r="K1379" s="214">
        <v>0</v>
      </c>
      <c r="L1379" s="214">
        <v>0</v>
      </c>
      <c r="M1379" s="214">
        <v>0</v>
      </c>
      <c r="N1379" s="214">
        <v>0</v>
      </c>
      <c r="O1379" s="214">
        <v>0</v>
      </c>
      <c r="P1379" s="214">
        <v>0</v>
      </c>
      <c r="Q1379" s="214">
        <v>0</v>
      </c>
      <c r="R1379" s="214">
        <v>0</v>
      </c>
      <c r="S1379" s="214">
        <v>0</v>
      </c>
      <c r="T1379" s="214">
        <v>0</v>
      </c>
      <c r="U1379" s="214">
        <v>0</v>
      </c>
      <c r="V1379" s="214">
        <v>0</v>
      </c>
      <c r="W1379" s="214">
        <v>0</v>
      </c>
      <c r="X1379" s="214">
        <v>0</v>
      </c>
      <c r="Y1379" s="214">
        <v>0</v>
      </c>
      <c r="Z1379" s="214">
        <v>0</v>
      </c>
      <c r="AA1379" s="214">
        <v>0</v>
      </c>
      <c r="AB1379" s="214">
        <v>0</v>
      </c>
      <c r="AC1379" s="214">
        <v>0</v>
      </c>
      <c r="AD1379" s="215"/>
      <c r="AE1379" s="420">
        <v>0</v>
      </c>
      <c r="AF1379" s="420">
        <v>0</v>
      </c>
      <c r="AG1379" s="420">
        <v>0</v>
      </c>
      <c r="AH1379" s="420"/>
      <c r="AI1379" s="574">
        <f t="shared" si="34"/>
        <v>18028.79</v>
      </c>
      <c r="AJ1379" s="212"/>
    </row>
    <row r="1380" spans="1:36" ht="14.4">
      <c r="B1380" s="211"/>
      <c r="C1380" s="213" t="s">
        <v>209</v>
      </c>
      <c r="D1380" s="417">
        <v>0</v>
      </c>
      <c r="E1380" s="214">
        <v>0</v>
      </c>
      <c r="F1380" s="214">
        <v>0</v>
      </c>
      <c r="G1380" s="214">
        <v>0</v>
      </c>
      <c r="H1380" s="214">
        <v>0</v>
      </c>
      <c r="I1380" s="214">
        <v>0</v>
      </c>
      <c r="J1380" s="214">
        <v>0</v>
      </c>
      <c r="K1380" s="214">
        <v>0</v>
      </c>
      <c r="L1380" s="214">
        <v>0</v>
      </c>
      <c r="M1380" s="214">
        <v>0</v>
      </c>
      <c r="N1380" s="214">
        <v>0</v>
      </c>
      <c r="O1380" s="214">
        <v>0</v>
      </c>
      <c r="P1380" s="214">
        <v>0</v>
      </c>
      <c r="Q1380" s="214">
        <v>0</v>
      </c>
      <c r="R1380" s="214">
        <v>0</v>
      </c>
      <c r="S1380" s="214">
        <v>0</v>
      </c>
      <c r="T1380" s="214">
        <v>0</v>
      </c>
      <c r="U1380" s="214">
        <v>0</v>
      </c>
      <c r="V1380" s="214">
        <v>0</v>
      </c>
      <c r="W1380" s="214">
        <v>0</v>
      </c>
      <c r="X1380" s="214">
        <v>0</v>
      </c>
      <c r="Y1380" s="214">
        <v>0</v>
      </c>
      <c r="Z1380" s="214">
        <v>0</v>
      </c>
      <c r="AA1380" s="214">
        <v>0</v>
      </c>
      <c r="AB1380" s="214">
        <v>0</v>
      </c>
      <c r="AC1380" s="214">
        <v>0</v>
      </c>
      <c r="AD1380" s="215"/>
      <c r="AE1380" s="420">
        <v>0</v>
      </c>
      <c r="AF1380" s="420">
        <v>0</v>
      </c>
      <c r="AG1380" s="420">
        <v>0</v>
      </c>
      <c r="AH1380" s="420"/>
      <c r="AI1380" s="574">
        <f t="shared" si="34"/>
        <v>0</v>
      </c>
      <c r="AJ1380" s="212"/>
    </row>
    <row r="1381" spans="1:36" ht="14.4">
      <c r="B1381" s="211"/>
      <c r="C1381" s="240" t="s">
        <v>360</v>
      </c>
      <c r="D1381" s="417"/>
      <c r="E1381" s="214">
        <v>409886.17</v>
      </c>
      <c r="F1381" s="214">
        <v>249888.56</v>
      </c>
      <c r="G1381" s="214"/>
      <c r="H1381" s="214">
        <v>530750.67000000004</v>
      </c>
      <c r="I1381" s="214"/>
      <c r="J1381" s="214"/>
      <c r="K1381" s="214"/>
      <c r="L1381" s="214"/>
      <c r="M1381" s="214">
        <v>100391.66</v>
      </c>
      <c r="N1381" s="214">
        <v>178.16</v>
      </c>
      <c r="O1381" s="214">
        <v>218718.53</v>
      </c>
      <c r="P1381" s="214">
        <v>199037.43</v>
      </c>
      <c r="Q1381" s="214">
        <v>355164.85</v>
      </c>
      <c r="R1381" s="214">
        <v>0</v>
      </c>
      <c r="S1381" s="214">
        <v>111625.04</v>
      </c>
      <c r="T1381" s="214"/>
      <c r="U1381" s="214"/>
      <c r="V1381" s="214"/>
      <c r="W1381" s="214"/>
      <c r="X1381" s="214"/>
      <c r="Y1381" s="214"/>
      <c r="Z1381" s="214"/>
      <c r="AA1381" s="214"/>
      <c r="AB1381" s="214"/>
      <c r="AC1381" s="214"/>
      <c r="AD1381" s="215"/>
      <c r="AE1381" s="420">
        <v>365366.48</v>
      </c>
      <c r="AF1381" s="420"/>
      <c r="AG1381" s="420"/>
      <c r="AH1381" s="420"/>
      <c r="AI1381" s="574">
        <f t="shared" si="34"/>
        <v>2541007.5499999998</v>
      </c>
      <c r="AJ1381" s="212"/>
    </row>
    <row r="1382" spans="1:36" ht="14.4">
      <c r="B1382" s="211"/>
      <c r="C1382" s="240" t="s">
        <v>390</v>
      </c>
      <c r="D1382" s="417">
        <v>0</v>
      </c>
      <c r="E1382" s="214">
        <v>0</v>
      </c>
      <c r="F1382" s="214">
        <v>0</v>
      </c>
      <c r="G1382" s="214">
        <v>0</v>
      </c>
      <c r="H1382" s="214">
        <v>0</v>
      </c>
      <c r="I1382" s="214">
        <v>0</v>
      </c>
      <c r="J1382" s="214">
        <v>0</v>
      </c>
      <c r="K1382" s="214">
        <v>0</v>
      </c>
      <c r="L1382" s="214">
        <v>0</v>
      </c>
      <c r="M1382" s="214">
        <v>0</v>
      </c>
      <c r="N1382" s="214">
        <v>0</v>
      </c>
      <c r="O1382" s="214">
        <v>0</v>
      </c>
      <c r="P1382" s="214">
        <v>0</v>
      </c>
      <c r="Q1382" s="214">
        <v>0</v>
      </c>
      <c r="R1382" s="214">
        <v>0</v>
      </c>
      <c r="S1382" s="214">
        <v>0</v>
      </c>
      <c r="T1382" s="214">
        <v>0</v>
      </c>
      <c r="U1382" s="214">
        <v>0</v>
      </c>
      <c r="V1382" s="214">
        <v>0</v>
      </c>
      <c r="W1382" s="214">
        <v>0</v>
      </c>
      <c r="X1382" s="214">
        <v>0</v>
      </c>
      <c r="Y1382" s="214">
        <v>0</v>
      </c>
      <c r="Z1382" s="214">
        <v>0</v>
      </c>
      <c r="AA1382" s="214">
        <v>0</v>
      </c>
      <c r="AB1382" s="214">
        <v>0</v>
      </c>
      <c r="AC1382" s="214">
        <v>0</v>
      </c>
      <c r="AD1382" s="241"/>
      <c r="AE1382" s="420">
        <v>0</v>
      </c>
      <c r="AF1382" s="420">
        <v>0</v>
      </c>
      <c r="AG1382" s="420">
        <v>0</v>
      </c>
      <c r="AH1382" s="420"/>
      <c r="AI1382" s="574">
        <f t="shared" si="34"/>
        <v>0</v>
      </c>
      <c r="AJ1382" s="212"/>
    </row>
    <row r="1383" spans="1:36" ht="14.4">
      <c r="B1383" s="211"/>
      <c r="C1383" s="240" t="s">
        <v>392</v>
      </c>
      <c r="D1383" s="417">
        <v>0</v>
      </c>
      <c r="E1383" s="214">
        <v>74428.11</v>
      </c>
      <c r="F1383" s="214">
        <v>71683.78</v>
      </c>
      <c r="G1383" s="214">
        <v>0</v>
      </c>
      <c r="H1383" s="214">
        <v>80253.040000000008</v>
      </c>
      <c r="I1383" s="214">
        <v>0</v>
      </c>
      <c r="J1383" s="214">
        <v>0</v>
      </c>
      <c r="K1383" s="214">
        <v>0</v>
      </c>
      <c r="L1383" s="214">
        <v>0</v>
      </c>
      <c r="M1383" s="214">
        <v>19298.52</v>
      </c>
      <c r="N1383" s="214">
        <v>42.38</v>
      </c>
      <c r="O1383" s="214">
        <v>25034.15</v>
      </c>
      <c r="P1383" s="214">
        <v>41312.74</v>
      </c>
      <c r="Q1383" s="214">
        <v>45995.18</v>
      </c>
      <c r="R1383" s="214">
        <v>0</v>
      </c>
      <c r="S1383" s="214">
        <v>20702.129999999997</v>
      </c>
      <c r="T1383" s="214">
        <v>0</v>
      </c>
      <c r="U1383" s="214">
        <v>0</v>
      </c>
      <c r="V1383" s="214">
        <v>0</v>
      </c>
      <c r="W1383" s="214">
        <v>0</v>
      </c>
      <c r="X1383" s="214">
        <v>0</v>
      </c>
      <c r="Y1383" s="214">
        <v>0</v>
      </c>
      <c r="Z1383" s="214">
        <v>0</v>
      </c>
      <c r="AA1383" s="214">
        <v>0</v>
      </c>
      <c r="AB1383" s="214">
        <v>0</v>
      </c>
      <c r="AC1383" s="214">
        <v>0</v>
      </c>
      <c r="AD1383" s="241">
        <v>0</v>
      </c>
      <c r="AE1383" s="420">
        <v>53831.82</v>
      </c>
      <c r="AF1383" s="420">
        <v>0</v>
      </c>
      <c r="AG1383" s="420">
        <v>0</v>
      </c>
      <c r="AH1383" s="420">
        <v>0</v>
      </c>
      <c r="AI1383" s="574">
        <f t="shared" si="34"/>
        <v>432581.85000000003</v>
      </c>
      <c r="AJ1383" s="212"/>
    </row>
    <row r="1384" spans="1:36" ht="14.4">
      <c r="B1384" s="211"/>
      <c r="C1384" s="240" t="s">
        <v>400</v>
      </c>
      <c r="D1384" s="417">
        <v>145389.75</v>
      </c>
      <c r="E1384" s="214">
        <v>0</v>
      </c>
      <c r="F1384" s="214">
        <v>0</v>
      </c>
      <c r="G1384" s="214">
        <v>0</v>
      </c>
      <c r="H1384" s="214">
        <v>0</v>
      </c>
      <c r="I1384" s="214">
        <v>0</v>
      </c>
      <c r="J1384" s="214">
        <v>0</v>
      </c>
      <c r="K1384" s="214">
        <v>0</v>
      </c>
      <c r="L1384" s="214">
        <v>0</v>
      </c>
      <c r="M1384" s="214">
        <v>0</v>
      </c>
      <c r="N1384" s="214">
        <v>0</v>
      </c>
      <c r="O1384" s="214">
        <v>0</v>
      </c>
      <c r="P1384" s="214">
        <v>0</v>
      </c>
      <c r="Q1384" s="214">
        <v>0</v>
      </c>
      <c r="R1384" s="214">
        <v>0</v>
      </c>
      <c r="S1384" s="214">
        <v>0</v>
      </c>
      <c r="T1384" s="214">
        <v>0</v>
      </c>
      <c r="U1384" s="214">
        <v>0</v>
      </c>
      <c r="V1384" s="214">
        <v>0</v>
      </c>
      <c r="W1384" s="214">
        <v>0</v>
      </c>
      <c r="X1384" s="214">
        <v>0</v>
      </c>
      <c r="Y1384" s="214">
        <v>0</v>
      </c>
      <c r="Z1384" s="214">
        <v>0</v>
      </c>
      <c r="AA1384" s="214">
        <v>0</v>
      </c>
      <c r="AB1384" s="214">
        <v>0</v>
      </c>
      <c r="AC1384" s="214">
        <v>0</v>
      </c>
      <c r="AD1384" s="241"/>
      <c r="AE1384" s="420">
        <v>0</v>
      </c>
      <c r="AF1384" s="420">
        <v>0</v>
      </c>
      <c r="AG1384" s="420">
        <v>0</v>
      </c>
      <c r="AH1384" s="420"/>
      <c r="AI1384" s="574">
        <f t="shared" si="34"/>
        <v>145389.75</v>
      </c>
      <c r="AJ1384" s="212"/>
    </row>
    <row r="1385" spans="1:36" ht="14.4">
      <c r="B1385" s="211"/>
      <c r="C1385" s="149" t="s">
        <v>239</v>
      </c>
      <c r="D1385" s="217">
        <f>SUM(D1271:D1384)</f>
        <v>2634097.3699999996</v>
      </c>
      <c r="E1385" s="217">
        <f t="shared" ref="E1385:AI1385" si="35">SUM(E1271:E1384)</f>
        <v>1134451.42</v>
      </c>
      <c r="F1385" s="217">
        <f t="shared" si="35"/>
        <v>1004502.98</v>
      </c>
      <c r="G1385" s="217">
        <f t="shared" si="35"/>
        <v>536827.64</v>
      </c>
      <c r="H1385" s="217">
        <f t="shared" si="35"/>
        <v>1130944.04</v>
      </c>
      <c r="I1385" s="217">
        <f t="shared" si="35"/>
        <v>77209.710000000006</v>
      </c>
      <c r="J1385" s="217">
        <f t="shared" si="35"/>
        <v>33016.899999999994</v>
      </c>
      <c r="K1385" s="217">
        <f t="shared" si="35"/>
        <v>23362.73</v>
      </c>
      <c r="L1385" s="217">
        <f t="shared" si="35"/>
        <v>21345.230000000003</v>
      </c>
      <c r="M1385" s="217">
        <f t="shared" si="35"/>
        <v>408237.39</v>
      </c>
      <c r="N1385" s="217">
        <f t="shared" si="35"/>
        <v>44003.75</v>
      </c>
      <c r="O1385" s="217">
        <f t="shared" si="35"/>
        <v>611932.02</v>
      </c>
      <c r="P1385" s="217">
        <f t="shared" si="35"/>
        <v>559283.09</v>
      </c>
      <c r="Q1385" s="217">
        <f t="shared" si="35"/>
        <v>1137976.7899999998</v>
      </c>
      <c r="R1385" s="217">
        <f t="shared" si="35"/>
        <v>99823.480000000025</v>
      </c>
      <c r="S1385" s="217">
        <f t="shared" si="35"/>
        <v>476628.42</v>
      </c>
      <c r="T1385" s="217">
        <f t="shared" si="35"/>
        <v>35996.32</v>
      </c>
      <c r="U1385" s="217">
        <f t="shared" si="35"/>
        <v>31481.62</v>
      </c>
      <c r="V1385" s="217">
        <f t="shared" si="35"/>
        <v>32846.6</v>
      </c>
      <c r="W1385" s="217">
        <f t="shared" si="35"/>
        <v>14470.529999999999</v>
      </c>
      <c r="X1385" s="217">
        <f t="shared" si="35"/>
        <v>22288.860000000004</v>
      </c>
      <c r="Y1385" s="217">
        <f t="shared" si="35"/>
        <v>23534.930000000004</v>
      </c>
      <c r="Z1385" s="217">
        <f t="shared" si="35"/>
        <v>19745.059999999998</v>
      </c>
      <c r="AA1385" s="217">
        <f t="shared" si="35"/>
        <v>24035.5</v>
      </c>
      <c r="AB1385" s="217">
        <f t="shared" si="35"/>
        <v>35853.21</v>
      </c>
      <c r="AC1385" s="217">
        <f t="shared" si="35"/>
        <v>44941.810000000005</v>
      </c>
      <c r="AD1385" s="217">
        <f t="shared" si="35"/>
        <v>0</v>
      </c>
      <c r="AE1385" s="217">
        <f t="shared" si="35"/>
        <v>902320.33</v>
      </c>
      <c r="AF1385" s="217">
        <f t="shared" si="35"/>
        <v>13846.33</v>
      </c>
      <c r="AG1385" s="217">
        <f t="shared" si="35"/>
        <v>54822.94</v>
      </c>
      <c r="AH1385" s="217">
        <f t="shared" si="35"/>
        <v>0</v>
      </c>
      <c r="AI1385" s="575">
        <f t="shared" si="35"/>
        <v>11189827</v>
      </c>
      <c r="AJ1385" s="212"/>
    </row>
    <row r="1386" spans="1:36" ht="14.4">
      <c r="B1386" s="218"/>
      <c r="C1386" s="219"/>
      <c r="D1386" s="219"/>
      <c r="E1386" s="219"/>
      <c r="F1386" s="219"/>
      <c r="G1386" s="219"/>
      <c r="H1386" s="219"/>
      <c r="I1386" s="219"/>
      <c r="J1386" s="219"/>
      <c r="K1386" s="219"/>
      <c r="L1386" s="219"/>
      <c r="M1386" s="219"/>
      <c r="N1386" s="219"/>
      <c r="O1386" s="219"/>
      <c r="P1386" s="219"/>
      <c r="Q1386" s="219"/>
      <c r="R1386" s="219"/>
      <c r="S1386" s="219"/>
      <c r="T1386" s="219"/>
      <c r="U1386" s="219"/>
      <c r="V1386" s="219"/>
      <c r="W1386" s="219"/>
      <c r="X1386" s="219"/>
      <c r="Y1386" s="219"/>
      <c r="Z1386" s="219"/>
      <c r="AA1386" s="219"/>
      <c r="AB1386" s="219"/>
      <c r="AC1386" s="219"/>
      <c r="AD1386" s="219"/>
      <c r="AE1386" s="219"/>
      <c r="AF1386" s="219"/>
      <c r="AG1386" s="219"/>
      <c r="AH1386" s="219"/>
      <c r="AI1386" s="576"/>
      <c r="AJ1386" s="212"/>
    </row>
    <row r="1387" spans="1:36" ht="14.4">
      <c r="B1387" s="209"/>
      <c r="C1387" s="202"/>
      <c r="D1387" s="202"/>
      <c r="E1387" s="202"/>
      <c r="F1387" s="202"/>
      <c r="G1387" s="202"/>
      <c r="H1387" s="202"/>
      <c r="I1387" s="202"/>
      <c r="J1387" s="202"/>
      <c r="K1387" s="202"/>
      <c r="L1387" s="202"/>
      <c r="M1387" s="202"/>
      <c r="N1387" s="202"/>
      <c r="O1387" s="202"/>
      <c r="P1387" s="202"/>
      <c r="Q1387" s="202"/>
      <c r="R1387" s="202"/>
      <c r="S1387" s="202"/>
      <c r="T1387" s="202"/>
      <c r="U1387" s="202"/>
      <c r="V1387" s="202"/>
      <c r="W1387" s="202"/>
      <c r="X1387" s="202"/>
      <c r="Y1387" s="202"/>
      <c r="Z1387" s="202"/>
      <c r="AA1387" s="202"/>
      <c r="AB1387" s="202"/>
      <c r="AC1387" s="202"/>
      <c r="AD1387" s="202"/>
      <c r="AE1387" s="202"/>
      <c r="AF1387" s="202"/>
      <c r="AG1387" s="202"/>
      <c r="AH1387" s="202"/>
      <c r="AI1387" s="577"/>
      <c r="AJ1387" s="209"/>
    </row>
    <row r="1388" spans="1:36" ht="14.4">
      <c r="B1388" s="220"/>
      <c r="C1388" s="221"/>
      <c r="D1388" s="221"/>
      <c r="E1388" s="221"/>
      <c r="F1388" s="221"/>
      <c r="G1388" s="221"/>
      <c r="H1388" s="221"/>
      <c r="I1388" s="221"/>
      <c r="J1388" s="221"/>
      <c r="K1388" s="221"/>
      <c r="L1388" s="221"/>
      <c r="M1388" s="221"/>
      <c r="N1388" s="221"/>
      <c r="O1388" s="221"/>
      <c r="P1388" s="221"/>
      <c r="Q1388" s="221"/>
      <c r="R1388" s="221"/>
      <c r="S1388" s="221"/>
      <c r="T1388" s="221"/>
      <c r="U1388" s="221"/>
      <c r="V1388" s="221"/>
      <c r="W1388" s="221"/>
      <c r="X1388" s="221"/>
      <c r="Y1388" s="221"/>
      <c r="Z1388" s="221"/>
      <c r="AA1388" s="221"/>
      <c r="AB1388" s="221"/>
      <c r="AC1388" s="221"/>
      <c r="AD1388" s="221"/>
      <c r="AE1388" s="221"/>
      <c r="AF1388" s="221"/>
      <c r="AG1388" s="221"/>
      <c r="AH1388" s="221"/>
      <c r="AI1388" s="578"/>
      <c r="AJ1388" s="222"/>
    </row>
    <row r="1392" spans="1:36">
      <c r="A1392" s="202"/>
    </row>
    <row r="1393" spans="1:36" ht="21">
      <c r="A1393" s="203"/>
      <c r="B1393" s="204"/>
      <c r="C1393" s="116" t="s">
        <v>272</v>
      </c>
      <c r="D1393" s="117"/>
      <c r="E1393" s="117"/>
      <c r="F1393" s="117"/>
      <c r="G1393" s="117"/>
      <c r="H1393" s="117"/>
      <c r="I1393" s="117"/>
      <c r="J1393" s="117"/>
      <c r="K1393" s="117"/>
      <c r="L1393" s="117"/>
      <c r="M1393" s="117"/>
      <c r="N1393" s="117"/>
      <c r="O1393" s="117"/>
      <c r="P1393" s="117"/>
      <c r="Q1393" s="117"/>
      <c r="R1393" s="117"/>
      <c r="S1393" s="117"/>
      <c r="T1393" s="117"/>
      <c r="U1393" s="117"/>
      <c r="V1393" s="117"/>
      <c r="W1393" s="117"/>
      <c r="X1393" s="117"/>
      <c r="Y1393" s="117"/>
      <c r="Z1393" s="117"/>
      <c r="AA1393" s="117"/>
      <c r="AB1393" s="117"/>
      <c r="AC1393" s="117"/>
      <c r="AD1393" s="117"/>
      <c r="AE1393" s="117"/>
      <c r="AF1393" s="117"/>
      <c r="AG1393" s="117"/>
      <c r="AH1393" s="117"/>
      <c r="AI1393" s="570"/>
      <c r="AJ1393" s="117"/>
    </row>
    <row r="1394" spans="1:36" ht="21">
      <c r="A1394" s="206"/>
      <c r="B1394" s="207"/>
      <c r="C1394" s="119"/>
      <c r="D1394" s="120"/>
      <c r="E1394" s="634"/>
      <c r="F1394" s="634"/>
      <c r="G1394" s="634"/>
      <c r="H1394" s="634"/>
      <c r="I1394" s="634"/>
      <c r="J1394" s="634"/>
      <c r="K1394" s="120"/>
      <c r="L1394" s="120"/>
      <c r="M1394" s="120"/>
      <c r="N1394" s="634" t="s">
        <v>403</v>
      </c>
      <c r="O1394" s="634"/>
      <c r="P1394" s="634"/>
      <c r="Q1394" s="634"/>
      <c r="R1394" s="634"/>
      <c r="S1394" s="634"/>
      <c r="T1394" s="634"/>
      <c r="U1394" s="634"/>
      <c r="V1394" s="634"/>
      <c r="W1394" s="634"/>
      <c r="X1394" s="634"/>
      <c r="Y1394" s="634"/>
      <c r="Z1394" s="634"/>
      <c r="AA1394" s="120"/>
      <c r="AB1394" s="120"/>
      <c r="AC1394" s="120"/>
      <c r="AD1394" s="120"/>
      <c r="AE1394" s="120"/>
      <c r="AF1394" s="120"/>
      <c r="AG1394" s="120"/>
      <c r="AH1394" s="120"/>
      <c r="AI1394" s="571"/>
      <c r="AJ1394" s="120"/>
    </row>
    <row r="1395" spans="1:36" ht="14.4">
      <c r="A1395" s="205"/>
    </row>
    <row r="1396" spans="1:36" ht="14.4">
      <c r="B1396" s="208"/>
      <c r="C1396" s="209"/>
      <c r="D1396" s="209"/>
      <c r="E1396" s="209"/>
      <c r="F1396" s="209"/>
      <c r="G1396" s="209"/>
      <c r="H1396" s="209"/>
      <c r="I1396" s="209"/>
      <c r="J1396" s="209"/>
      <c r="K1396" s="209"/>
      <c r="L1396" s="209"/>
      <c r="M1396" s="209"/>
      <c r="N1396" s="209"/>
      <c r="O1396" s="209"/>
      <c r="P1396" s="209"/>
      <c r="Q1396" s="209"/>
      <c r="R1396" s="209"/>
      <c r="S1396" s="209"/>
      <c r="T1396" s="209"/>
      <c r="U1396" s="209"/>
      <c r="V1396" s="209"/>
      <c r="W1396" s="209"/>
      <c r="X1396" s="209"/>
      <c r="Y1396" s="209"/>
      <c r="Z1396" s="209"/>
      <c r="AA1396" s="209"/>
      <c r="AB1396" s="209"/>
      <c r="AC1396" s="209"/>
      <c r="AD1396" s="209"/>
      <c r="AE1396" s="209"/>
      <c r="AF1396" s="209"/>
      <c r="AG1396" s="209"/>
      <c r="AH1396" s="209"/>
      <c r="AI1396" s="573"/>
      <c r="AJ1396" s="210"/>
    </row>
    <row r="1397" spans="1:36" ht="14.4">
      <c r="B1397" s="211"/>
      <c r="C1397" s="133" t="s">
        <v>264</v>
      </c>
      <c r="D1397" s="126" t="s">
        <v>184</v>
      </c>
      <c r="E1397" s="201" t="s">
        <v>36</v>
      </c>
      <c r="F1397" s="201" t="s">
        <v>9</v>
      </c>
      <c r="G1397" s="201" t="s">
        <v>25</v>
      </c>
      <c r="H1397" s="201" t="s">
        <v>160</v>
      </c>
      <c r="I1397" s="201" t="s">
        <v>139</v>
      </c>
      <c r="J1397" s="201" t="s">
        <v>37</v>
      </c>
      <c r="K1397" s="201" t="s">
        <v>133</v>
      </c>
      <c r="L1397" s="201" t="s">
        <v>123</v>
      </c>
      <c r="M1397" s="201" t="s">
        <v>145</v>
      </c>
      <c r="N1397" s="201" t="s">
        <v>124</v>
      </c>
      <c r="O1397" s="201" t="s">
        <v>169</v>
      </c>
      <c r="P1397" s="201" t="s">
        <v>243</v>
      </c>
      <c r="Q1397" s="201" t="s">
        <v>175</v>
      </c>
      <c r="R1397" s="201" t="s">
        <v>170</v>
      </c>
      <c r="S1397" s="201" t="s">
        <v>203</v>
      </c>
      <c r="T1397" s="201" t="s">
        <v>172</v>
      </c>
      <c r="U1397" s="201" t="s">
        <v>176</v>
      </c>
      <c r="V1397" s="201" t="s">
        <v>177</v>
      </c>
      <c r="W1397" s="201" t="s">
        <v>178</v>
      </c>
      <c r="X1397" s="201" t="s">
        <v>179</v>
      </c>
      <c r="Y1397" s="201" t="s">
        <v>181</v>
      </c>
      <c r="Z1397" s="201" t="s">
        <v>182</v>
      </c>
      <c r="AA1397" s="201" t="s">
        <v>187</v>
      </c>
      <c r="AB1397" s="201" t="s">
        <v>233</v>
      </c>
      <c r="AC1397" s="201" t="s">
        <v>240</v>
      </c>
      <c r="AD1397" s="201" t="s">
        <v>245</v>
      </c>
      <c r="AE1397" s="201" t="s">
        <v>357</v>
      </c>
      <c r="AF1397" s="201" t="s">
        <v>362</v>
      </c>
      <c r="AG1397" s="201" t="s">
        <v>361</v>
      </c>
      <c r="AH1397" s="201" t="s">
        <v>234</v>
      </c>
      <c r="AI1397" s="568" t="s">
        <v>239</v>
      </c>
      <c r="AJ1397" s="212"/>
    </row>
    <row r="1398" spans="1:36" ht="14.4">
      <c r="B1398" s="211"/>
      <c r="C1398" s="213" t="s">
        <v>40</v>
      </c>
      <c r="D1398" s="214">
        <v>1313581.9000000001</v>
      </c>
      <c r="E1398" s="214">
        <v>0</v>
      </c>
      <c r="F1398" s="214">
        <v>0</v>
      </c>
      <c r="G1398" s="214">
        <v>0</v>
      </c>
      <c r="H1398" s="214">
        <v>0</v>
      </c>
      <c r="I1398" s="214">
        <v>0</v>
      </c>
      <c r="J1398" s="214">
        <v>0</v>
      </c>
      <c r="K1398" s="214">
        <v>0</v>
      </c>
      <c r="L1398" s="214">
        <v>0</v>
      </c>
      <c r="M1398" s="214">
        <v>0</v>
      </c>
      <c r="N1398" s="214">
        <v>0</v>
      </c>
      <c r="O1398" s="214">
        <v>0</v>
      </c>
      <c r="P1398" s="214">
        <v>0</v>
      </c>
      <c r="Q1398" s="214">
        <v>0</v>
      </c>
      <c r="R1398" s="214">
        <v>0</v>
      </c>
      <c r="S1398" s="214">
        <v>0</v>
      </c>
      <c r="T1398" s="214">
        <v>0</v>
      </c>
      <c r="U1398" s="214">
        <v>0</v>
      </c>
      <c r="V1398" s="214">
        <v>0</v>
      </c>
      <c r="W1398" s="214">
        <v>0</v>
      </c>
      <c r="X1398" s="214">
        <v>0</v>
      </c>
      <c r="Y1398" s="214">
        <v>0</v>
      </c>
      <c r="Z1398" s="214">
        <v>0</v>
      </c>
      <c r="AA1398" s="214">
        <v>0</v>
      </c>
      <c r="AB1398" s="214">
        <v>0</v>
      </c>
      <c r="AC1398" s="214">
        <v>0</v>
      </c>
      <c r="AD1398" s="215"/>
      <c r="AE1398" s="420">
        <v>0</v>
      </c>
      <c r="AF1398" s="420">
        <v>0</v>
      </c>
      <c r="AG1398" s="420">
        <v>0</v>
      </c>
      <c r="AH1398" s="420"/>
      <c r="AI1398" s="574">
        <f>SUM(D1398:AH1398)</f>
        <v>1313581.9000000001</v>
      </c>
      <c r="AJ1398" s="212"/>
    </row>
    <row r="1399" spans="1:36" ht="14.4">
      <c r="B1399" s="211"/>
      <c r="C1399" s="248" t="s">
        <v>41</v>
      </c>
      <c r="D1399" s="214"/>
      <c r="E1399" s="214">
        <v>397777.67</v>
      </c>
      <c r="F1399" s="214">
        <v>368775.89</v>
      </c>
      <c r="G1399" s="214">
        <v>244676.78</v>
      </c>
      <c r="H1399" s="214">
        <v>451068.75</v>
      </c>
      <c r="I1399" s="214">
        <v>39293.99</v>
      </c>
      <c r="J1399" s="214">
        <v>20245.86</v>
      </c>
      <c r="K1399" s="214">
        <v>18167.04</v>
      </c>
      <c r="L1399" s="214">
        <v>10935.68</v>
      </c>
      <c r="M1399" s="214">
        <v>217132.4</v>
      </c>
      <c r="N1399" s="214">
        <v>27851.47</v>
      </c>
      <c r="O1399" s="214">
        <v>375666.48</v>
      </c>
      <c r="P1399" s="214">
        <v>276787.43</v>
      </c>
      <c r="Q1399" s="214">
        <v>607156.25</v>
      </c>
      <c r="R1399" s="214">
        <v>42523.59</v>
      </c>
      <c r="S1399" s="214">
        <v>225368.62</v>
      </c>
      <c r="T1399" s="214">
        <v>14309.419999999998</v>
      </c>
      <c r="U1399" s="214">
        <v>19869.010000000002</v>
      </c>
      <c r="V1399" s="214">
        <v>25269.84</v>
      </c>
      <c r="W1399" s="214">
        <v>8826.09</v>
      </c>
      <c r="X1399" s="214">
        <v>11042.31</v>
      </c>
      <c r="Y1399" s="214">
        <v>10623.34</v>
      </c>
      <c r="Z1399" s="214">
        <v>7042.34</v>
      </c>
      <c r="AA1399" s="214">
        <v>9046.15</v>
      </c>
      <c r="AB1399" s="214">
        <v>31063.170000000002</v>
      </c>
      <c r="AC1399" s="214">
        <v>26665.07</v>
      </c>
      <c r="AD1399" s="215"/>
      <c r="AE1399" s="420">
        <v>474882.01999999996</v>
      </c>
      <c r="AF1399" s="420">
        <v>6758.31</v>
      </c>
      <c r="AG1399" s="420">
        <v>51701.85</v>
      </c>
      <c r="AH1399" s="420">
        <v>0</v>
      </c>
      <c r="AI1399" s="574">
        <f t="shared" ref="AI1399:AI1462" si="36">SUM(D1399:AH1399)</f>
        <v>4020526.8199999989</v>
      </c>
      <c r="AJ1399" s="212"/>
    </row>
    <row r="1400" spans="1:36" ht="14.4">
      <c r="B1400" s="211"/>
      <c r="C1400" s="213" t="s">
        <v>26</v>
      </c>
      <c r="D1400" s="214">
        <v>8245</v>
      </c>
      <c r="E1400" s="214">
        <v>0</v>
      </c>
      <c r="F1400" s="214">
        <v>3000</v>
      </c>
      <c r="G1400" s="214">
        <v>7745</v>
      </c>
      <c r="H1400" s="214">
        <v>7523</v>
      </c>
      <c r="I1400" s="214">
        <v>0</v>
      </c>
      <c r="J1400" s="214">
        <v>0</v>
      </c>
      <c r="K1400" s="214">
        <v>0</v>
      </c>
      <c r="L1400" s="214">
        <v>0</v>
      </c>
      <c r="M1400" s="214">
        <v>14827</v>
      </c>
      <c r="N1400" s="214">
        <v>0</v>
      </c>
      <c r="O1400" s="214">
        <v>1500</v>
      </c>
      <c r="P1400" s="214">
        <v>7095</v>
      </c>
      <c r="Q1400" s="214">
        <v>6615</v>
      </c>
      <c r="R1400" s="214">
        <v>4200</v>
      </c>
      <c r="S1400" s="214">
        <v>6595</v>
      </c>
      <c r="T1400" s="214">
        <v>0</v>
      </c>
      <c r="U1400" s="214">
        <v>0</v>
      </c>
      <c r="V1400" s="214">
        <v>0</v>
      </c>
      <c r="W1400" s="214">
        <v>0</v>
      </c>
      <c r="X1400" s="214">
        <v>0</v>
      </c>
      <c r="Y1400" s="214">
        <v>0</v>
      </c>
      <c r="Z1400" s="214">
        <v>0</v>
      </c>
      <c r="AA1400" s="214">
        <v>0</v>
      </c>
      <c r="AB1400" s="214">
        <v>0</v>
      </c>
      <c r="AC1400" s="214">
        <v>0</v>
      </c>
      <c r="AD1400" s="215"/>
      <c r="AE1400" s="420">
        <v>3000</v>
      </c>
      <c r="AF1400" s="420">
        <v>0</v>
      </c>
      <c r="AG1400" s="420">
        <v>0</v>
      </c>
      <c r="AH1400" s="420"/>
      <c r="AI1400" s="574">
        <f t="shared" si="36"/>
        <v>70345</v>
      </c>
      <c r="AJ1400" s="212"/>
    </row>
    <row r="1401" spans="1:36" ht="14.4">
      <c r="B1401" s="211"/>
      <c r="C1401" s="248" t="s">
        <v>27</v>
      </c>
      <c r="D1401" s="214">
        <v>0</v>
      </c>
      <c r="E1401" s="214">
        <v>831</v>
      </c>
      <c r="F1401" s="214">
        <v>0</v>
      </c>
      <c r="G1401" s="214">
        <v>0</v>
      </c>
      <c r="H1401" s="214">
        <v>5106</v>
      </c>
      <c r="I1401" s="214">
        <v>0</v>
      </c>
      <c r="J1401" s="214">
        <v>0</v>
      </c>
      <c r="K1401" s="214">
        <v>0</v>
      </c>
      <c r="L1401" s="214">
        <v>0</v>
      </c>
      <c r="M1401" s="214">
        <v>0</v>
      </c>
      <c r="N1401" s="214">
        <v>0</v>
      </c>
      <c r="O1401" s="214">
        <v>0</v>
      </c>
      <c r="P1401" s="214">
        <v>1582</v>
      </c>
      <c r="Q1401" s="214">
        <v>0</v>
      </c>
      <c r="R1401" s="214">
        <v>550</v>
      </c>
      <c r="S1401" s="214">
        <v>0</v>
      </c>
      <c r="T1401" s="214">
        <v>0</v>
      </c>
      <c r="U1401" s="214">
        <v>0</v>
      </c>
      <c r="V1401" s="214">
        <v>0</v>
      </c>
      <c r="W1401" s="214">
        <v>0</v>
      </c>
      <c r="X1401" s="214">
        <v>0</v>
      </c>
      <c r="Y1401" s="214">
        <v>0</v>
      </c>
      <c r="Z1401" s="214">
        <v>0</v>
      </c>
      <c r="AA1401" s="214">
        <v>0</v>
      </c>
      <c r="AB1401" s="214">
        <v>0</v>
      </c>
      <c r="AC1401" s="214">
        <v>0</v>
      </c>
      <c r="AD1401" s="215"/>
      <c r="AE1401" s="420">
        <v>0</v>
      </c>
      <c r="AF1401" s="420">
        <v>0</v>
      </c>
      <c r="AG1401" s="420">
        <v>0</v>
      </c>
      <c r="AH1401" s="420"/>
      <c r="AI1401" s="574">
        <f t="shared" si="36"/>
        <v>8069</v>
      </c>
      <c r="AJ1401" s="212"/>
    </row>
    <row r="1402" spans="1:36" ht="14.4">
      <c r="B1402" s="211"/>
      <c r="C1402" s="248" t="s">
        <v>42</v>
      </c>
      <c r="D1402" s="214">
        <v>0</v>
      </c>
      <c r="E1402" s="214">
        <v>0</v>
      </c>
      <c r="F1402" s="214">
        <v>0</v>
      </c>
      <c r="G1402" s="214">
        <v>0</v>
      </c>
      <c r="H1402" s="214">
        <v>0</v>
      </c>
      <c r="I1402" s="214">
        <v>0</v>
      </c>
      <c r="J1402" s="214">
        <v>0</v>
      </c>
      <c r="K1402" s="214">
        <v>0</v>
      </c>
      <c r="L1402" s="214">
        <v>0</v>
      </c>
      <c r="M1402" s="214">
        <v>0</v>
      </c>
      <c r="N1402" s="214">
        <v>0</v>
      </c>
      <c r="O1402" s="214">
        <v>0</v>
      </c>
      <c r="P1402" s="214">
        <v>0</v>
      </c>
      <c r="Q1402" s="214">
        <v>0</v>
      </c>
      <c r="R1402" s="214">
        <v>0</v>
      </c>
      <c r="S1402" s="214">
        <v>0</v>
      </c>
      <c r="T1402" s="214">
        <v>0</v>
      </c>
      <c r="U1402" s="214">
        <v>0</v>
      </c>
      <c r="V1402" s="214">
        <v>0</v>
      </c>
      <c r="W1402" s="214">
        <v>0</v>
      </c>
      <c r="X1402" s="214">
        <v>0</v>
      </c>
      <c r="Y1402" s="214">
        <v>0</v>
      </c>
      <c r="Z1402" s="214">
        <v>0</v>
      </c>
      <c r="AA1402" s="214">
        <v>0</v>
      </c>
      <c r="AB1402" s="214">
        <v>0</v>
      </c>
      <c r="AC1402" s="214">
        <v>0</v>
      </c>
      <c r="AD1402" s="215"/>
      <c r="AE1402" s="420">
        <v>0</v>
      </c>
      <c r="AF1402" s="420">
        <v>0</v>
      </c>
      <c r="AG1402" s="420">
        <v>0</v>
      </c>
      <c r="AH1402" s="420"/>
      <c r="AI1402" s="574">
        <f t="shared" si="36"/>
        <v>0</v>
      </c>
      <c r="AJ1402" s="212"/>
    </row>
    <row r="1403" spans="1:36" ht="14.4">
      <c r="B1403" s="211"/>
      <c r="C1403" s="248" t="s">
        <v>43</v>
      </c>
      <c r="D1403" s="214">
        <v>0</v>
      </c>
      <c r="E1403" s="214">
        <v>170000</v>
      </c>
      <c r="F1403" s="214">
        <v>170000</v>
      </c>
      <c r="G1403" s="214">
        <v>170000</v>
      </c>
      <c r="H1403" s="214">
        <v>0</v>
      </c>
      <c r="I1403" s="214">
        <v>0</v>
      </c>
      <c r="J1403" s="214">
        <v>0</v>
      </c>
      <c r="K1403" s="214">
        <v>0</v>
      </c>
      <c r="L1403" s="214">
        <v>0</v>
      </c>
      <c r="M1403" s="214">
        <v>0</v>
      </c>
      <c r="N1403" s="214">
        <v>0</v>
      </c>
      <c r="O1403" s="214">
        <v>0</v>
      </c>
      <c r="P1403" s="214">
        <v>0</v>
      </c>
      <c r="Q1403" s="214">
        <v>0</v>
      </c>
      <c r="R1403" s="214">
        <v>0</v>
      </c>
      <c r="S1403" s="214">
        <v>0</v>
      </c>
      <c r="T1403" s="214">
        <v>0</v>
      </c>
      <c r="U1403" s="214">
        <v>0</v>
      </c>
      <c r="V1403" s="214">
        <v>0</v>
      </c>
      <c r="W1403" s="214">
        <v>0</v>
      </c>
      <c r="X1403" s="214">
        <v>0</v>
      </c>
      <c r="Y1403" s="214">
        <v>0</v>
      </c>
      <c r="Z1403" s="214">
        <v>0</v>
      </c>
      <c r="AA1403" s="214">
        <v>0</v>
      </c>
      <c r="AB1403" s="214">
        <v>0</v>
      </c>
      <c r="AC1403" s="214">
        <v>0</v>
      </c>
      <c r="AD1403" s="215"/>
      <c r="AE1403" s="420">
        <v>0</v>
      </c>
      <c r="AF1403" s="420">
        <v>0</v>
      </c>
      <c r="AG1403" s="420">
        <v>0</v>
      </c>
      <c r="AH1403" s="420"/>
      <c r="AI1403" s="574">
        <f t="shared" si="36"/>
        <v>510000</v>
      </c>
      <c r="AJ1403" s="212"/>
    </row>
    <row r="1404" spans="1:36" ht="14.4">
      <c r="B1404" s="211"/>
      <c r="C1404" s="213" t="s">
        <v>44</v>
      </c>
      <c r="D1404" s="214">
        <v>50000</v>
      </c>
      <c r="E1404" s="214">
        <v>0</v>
      </c>
      <c r="F1404" s="214">
        <v>0</v>
      </c>
      <c r="G1404" s="214">
        <v>0</v>
      </c>
      <c r="H1404" s="214">
        <v>0</v>
      </c>
      <c r="I1404" s="214">
        <v>0</v>
      </c>
      <c r="J1404" s="214">
        <v>0</v>
      </c>
      <c r="K1404" s="214">
        <v>0</v>
      </c>
      <c r="L1404" s="214">
        <v>0</v>
      </c>
      <c r="M1404" s="214">
        <v>0</v>
      </c>
      <c r="N1404" s="214">
        <v>0</v>
      </c>
      <c r="O1404" s="214">
        <v>0</v>
      </c>
      <c r="P1404" s="214">
        <v>0</v>
      </c>
      <c r="Q1404" s="214">
        <v>0</v>
      </c>
      <c r="R1404" s="214">
        <v>0</v>
      </c>
      <c r="S1404" s="214">
        <v>0</v>
      </c>
      <c r="T1404" s="214">
        <v>0</v>
      </c>
      <c r="U1404" s="214">
        <v>0</v>
      </c>
      <c r="V1404" s="214">
        <v>0</v>
      </c>
      <c r="W1404" s="214">
        <v>0</v>
      </c>
      <c r="X1404" s="214">
        <v>0</v>
      </c>
      <c r="Y1404" s="214">
        <v>0</v>
      </c>
      <c r="Z1404" s="214">
        <v>0</v>
      </c>
      <c r="AA1404" s="214">
        <v>0</v>
      </c>
      <c r="AB1404" s="214">
        <v>0</v>
      </c>
      <c r="AC1404" s="214">
        <v>0</v>
      </c>
      <c r="AD1404" s="215"/>
      <c r="AE1404" s="420">
        <v>0</v>
      </c>
      <c r="AF1404" s="420">
        <v>0</v>
      </c>
      <c r="AG1404" s="420">
        <v>0</v>
      </c>
      <c r="AH1404" s="420"/>
      <c r="AI1404" s="574">
        <f t="shared" si="36"/>
        <v>50000</v>
      </c>
      <c r="AJ1404" s="212"/>
    </row>
    <row r="1405" spans="1:36" ht="14.4">
      <c r="B1405" s="211"/>
      <c r="C1405" s="213" t="s">
        <v>45</v>
      </c>
      <c r="D1405" s="214">
        <v>43330</v>
      </c>
      <c r="E1405" s="214">
        <v>0</v>
      </c>
      <c r="F1405" s="214">
        <v>23200</v>
      </c>
      <c r="G1405" s="214">
        <v>0</v>
      </c>
      <c r="H1405" s="214">
        <v>35500</v>
      </c>
      <c r="I1405" s="214">
        <v>0</v>
      </c>
      <c r="J1405" s="214">
        <v>0</v>
      </c>
      <c r="K1405" s="214">
        <v>0</v>
      </c>
      <c r="L1405" s="214">
        <v>0</v>
      </c>
      <c r="M1405" s="214">
        <v>16000</v>
      </c>
      <c r="N1405" s="214">
        <v>13200</v>
      </c>
      <c r="O1405" s="214">
        <v>25000</v>
      </c>
      <c r="P1405" s="214">
        <v>20570</v>
      </c>
      <c r="Q1405" s="214">
        <v>101586</v>
      </c>
      <c r="R1405" s="214">
        <v>23420</v>
      </c>
      <c r="S1405" s="214">
        <v>56950</v>
      </c>
      <c r="T1405" s="214">
        <v>0</v>
      </c>
      <c r="U1405" s="214">
        <v>0</v>
      </c>
      <c r="V1405" s="214">
        <v>0</v>
      </c>
      <c r="W1405" s="214">
        <v>0</v>
      </c>
      <c r="X1405" s="214">
        <v>0</v>
      </c>
      <c r="Y1405" s="214">
        <v>0</v>
      </c>
      <c r="Z1405" s="214">
        <v>0</v>
      </c>
      <c r="AA1405" s="214">
        <v>0</v>
      </c>
      <c r="AB1405" s="214">
        <v>0</v>
      </c>
      <c r="AC1405" s="214">
        <v>0</v>
      </c>
      <c r="AD1405" s="215"/>
      <c r="AE1405" s="420">
        <v>48000</v>
      </c>
      <c r="AF1405" s="420">
        <v>0</v>
      </c>
      <c r="AG1405" s="420">
        <v>0</v>
      </c>
      <c r="AH1405" s="420"/>
      <c r="AI1405" s="574">
        <f t="shared" si="36"/>
        <v>406756</v>
      </c>
      <c r="AJ1405" s="212"/>
    </row>
    <row r="1406" spans="1:36" ht="14.4">
      <c r="B1406" s="211"/>
      <c r="C1406" s="213" t="s">
        <v>156</v>
      </c>
      <c r="D1406" s="214">
        <v>10375</v>
      </c>
      <c r="E1406" s="214">
        <v>1200</v>
      </c>
      <c r="F1406" s="214">
        <v>1450</v>
      </c>
      <c r="G1406" s="214">
        <v>1100</v>
      </c>
      <c r="H1406" s="214">
        <v>1250</v>
      </c>
      <c r="I1406" s="214">
        <v>0</v>
      </c>
      <c r="J1406" s="214">
        <v>0</v>
      </c>
      <c r="K1406" s="214">
        <v>850</v>
      </c>
      <c r="L1406" s="214">
        <v>0</v>
      </c>
      <c r="M1406" s="214">
        <v>250</v>
      </c>
      <c r="N1406" s="214">
        <v>400</v>
      </c>
      <c r="O1406" s="214">
        <v>150</v>
      </c>
      <c r="P1406" s="214">
        <v>960</v>
      </c>
      <c r="Q1406" s="214">
        <v>1100</v>
      </c>
      <c r="R1406" s="214">
        <v>0</v>
      </c>
      <c r="S1406" s="214">
        <v>985</v>
      </c>
      <c r="T1406" s="214">
        <v>0</v>
      </c>
      <c r="U1406" s="214">
        <v>0</v>
      </c>
      <c r="V1406" s="214">
        <v>0</v>
      </c>
      <c r="W1406" s="214">
        <v>0</v>
      </c>
      <c r="X1406" s="214">
        <v>650</v>
      </c>
      <c r="Y1406" s="214">
        <v>450</v>
      </c>
      <c r="Z1406" s="214">
        <v>0</v>
      </c>
      <c r="AA1406" s="214">
        <v>350</v>
      </c>
      <c r="AB1406" s="214">
        <v>650</v>
      </c>
      <c r="AC1406" s="214">
        <v>370</v>
      </c>
      <c r="AD1406" s="215"/>
      <c r="AE1406" s="420">
        <v>580</v>
      </c>
      <c r="AF1406" s="420">
        <v>220</v>
      </c>
      <c r="AG1406" s="420">
        <v>350</v>
      </c>
      <c r="AH1406" s="420"/>
      <c r="AI1406" s="574">
        <f t="shared" si="36"/>
        <v>23690</v>
      </c>
      <c r="AJ1406" s="212"/>
    </row>
    <row r="1407" spans="1:36" ht="14.4">
      <c r="B1407" s="211"/>
      <c r="C1407" s="248" t="s">
        <v>46</v>
      </c>
      <c r="D1407" s="214">
        <v>18165.740000000002</v>
      </c>
      <c r="E1407" s="214">
        <v>721.98</v>
      </c>
      <c r="F1407" s="214">
        <v>480</v>
      </c>
      <c r="G1407" s="214">
        <v>444.46</v>
      </c>
      <c r="H1407" s="214">
        <v>147.13</v>
      </c>
      <c r="I1407" s="214">
        <v>84.95</v>
      </c>
      <c r="J1407" s="214">
        <v>50.97</v>
      </c>
      <c r="K1407" s="214">
        <v>523.88</v>
      </c>
      <c r="L1407" s="214">
        <v>65.87</v>
      </c>
      <c r="M1407" s="214">
        <v>829.83</v>
      </c>
      <c r="N1407" s="214">
        <v>54.67</v>
      </c>
      <c r="O1407" s="214">
        <v>532.11</v>
      </c>
      <c r="P1407" s="214">
        <v>613.80999999999995</v>
      </c>
      <c r="Q1407" s="214">
        <v>540.5</v>
      </c>
      <c r="R1407" s="214">
        <v>65.87</v>
      </c>
      <c r="S1407" s="214">
        <v>390.29</v>
      </c>
      <c r="T1407" s="214">
        <v>0</v>
      </c>
      <c r="U1407" s="214">
        <v>168.67</v>
      </c>
      <c r="V1407" s="214">
        <v>123</v>
      </c>
      <c r="W1407" s="214">
        <v>123</v>
      </c>
      <c r="X1407" s="214">
        <v>168.67</v>
      </c>
      <c r="Y1407" s="214">
        <v>62.18</v>
      </c>
      <c r="Z1407" s="214">
        <v>57.87</v>
      </c>
      <c r="AA1407" s="214">
        <v>65.87</v>
      </c>
      <c r="AB1407" s="214">
        <v>68.33</v>
      </c>
      <c r="AC1407" s="214">
        <v>62.18</v>
      </c>
      <c r="AD1407" s="215"/>
      <c r="AE1407" s="420">
        <v>270.86</v>
      </c>
      <c r="AF1407" s="420">
        <v>0</v>
      </c>
      <c r="AG1407" s="420">
        <v>123</v>
      </c>
      <c r="AH1407" s="420"/>
      <c r="AI1407" s="574">
        <f t="shared" si="36"/>
        <v>25005.690000000002</v>
      </c>
      <c r="AJ1407" s="212"/>
    </row>
    <row r="1408" spans="1:36" ht="14.4">
      <c r="B1408" s="211"/>
      <c r="C1408" s="213" t="s">
        <v>47</v>
      </c>
      <c r="D1408" s="214">
        <v>0</v>
      </c>
      <c r="E1408" s="214">
        <v>0</v>
      </c>
      <c r="F1408" s="214">
        <v>0</v>
      </c>
      <c r="G1408" s="214">
        <v>0</v>
      </c>
      <c r="H1408" s="214">
        <v>0</v>
      </c>
      <c r="I1408" s="214">
        <v>0</v>
      </c>
      <c r="J1408" s="214">
        <v>0</v>
      </c>
      <c r="K1408" s="214">
        <v>0</v>
      </c>
      <c r="L1408" s="214">
        <v>0</v>
      </c>
      <c r="M1408" s="214">
        <v>0</v>
      </c>
      <c r="N1408" s="214">
        <v>0</v>
      </c>
      <c r="O1408" s="214">
        <v>0</v>
      </c>
      <c r="P1408" s="214">
        <v>0</v>
      </c>
      <c r="Q1408" s="214">
        <v>0</v>
      </c>
      <c r="R1408" s="214">
        <v>0</v>
      </c>
      <c r="S1408" s="214">
        <v>0</v>
      </c>
      <c r="T1408" s="214">
        <v>0</v>
      </c>
      <c r="U1408" s="214">
        <v>0</v>
      </c>
      <c r="V1408" s="214">
        <v>0</v>
      </c>
      <c r="W1408" s="214">
        <v>0</v>
      </c>
      <c r="X1408" s="214">
        <v>0</v>
      </c>
      <c r="Y1408" s="214">
        <v>0</v>
      </c>
      <c r="Z1408" s="214">
        <v>0</v>
      </c>
      <c r="AA1408" s="214">
        <v>0</v>
      </c>
      <c r="AB1408" s="214">
        <v>0</v>
      </c>
      <c r="AC1408" s="214">
        <v>0</v>
      </c>
      <c r="AD1408" s="215"/>
      <c r="AE1408" s="420">
        <v>0</v>
      </c>
      <c r="AF1408" s="420">
        <v>0</v>
      </c>
      <c r="AG1408" s="420">
        <v>0</v>
      </c>
      <c r="AH1408" s="420"/>
      <c r="AI1408" s="574">
        <f t="shared" si="36"/>
        <v>0</v>
      </c>
      <c r="AJ1408" s="212"/>
    </row>
    <row r="1409" spans="2:36" ht="14.4">
      <c r="B1409" s="211"/>
      <c r="C1409" s="213" t="s">
        <v>48</v>
      </c>
      <c r="D1409" s="214">
        <v>24851</v>
      </c>
      <c r="E1409" s="214">
        <v>0</v>
      </c>
      <c r="F1409" s="214">
        <v>1800</v>
      </c>
      <c r="G1409" s="214">
        <v>0</v>
      </c>
      <c r="H1409" s="214">
        <v>0</v>
      </c>
      <c r="I1409" s="214">
        <v>0</v>
      </c>
      <c r="J1409" s="214">
        <v>0</v>
      </c>
      <c r="K1409" s="214">
        <v>0</v>
      </c>
      <c r="L1409" s="214">
        <v>0</v>
      </c>
      <c r="M1409" s="214">
        <v>0</v>
      </c>
      <c r="N1409" s="214">
        <v>0</v>
      </c>
      <c r="O1409" s="214">
        <v>0</v>
      </c>
      <c r="P1409" s="214">
        <v>1427.5</v>
      </c>
      <c r="Q1409" s="214">
        <v>0</v>
      </c>
      <c r="R1409" s="214">
        <v>0</v>
      </c>
      <c r="S1409" s="214">
        <v>750</v>
      </c>
      <c r="T1409" s="214">
        <v>0</v>
      </c>
      <c r="U1409" s="214">
        <v>0</v>
      </c>
      <c r="V1409" s="214">
        <v>0</v>
      </c>
      <c r="W1409" s="214">
        <v>0</v>
      </c>
      <c r="X1409" s="214">
        <v>0</v>
      </c>
      <c r="Y1409" s="214">
        <v>0</v>
      </c>
      <c r="Z1409" s="214">
        <v>0</v>
      </c>
      <c r="AA1409" s="214">
        <v>0</v>
      </c>
      <c r="AB1409" s="214">
        <v>0</v>
      </c>
      <c r="AC1409" s="214">
        <v>0</v>
      </c>
      <c r="AD1409" s="215"/>
      <c r="AE1409" s="420">
        <v>0</v>
      </c>
      <c r="AF1409" s="420">
        <v>0</v>
      </c>
      <c r="AG1409" s="420">
        <v>0</v>
      </c>
      <c r="AH1409" s="420"/>
      <c r="AI1409" s="574">
        <f t="shared" si="36"/>
        <v>28828.5</v>
      </c>
      <c r="AJ1409" s="212"/>
    </row>
    <row r="1410" spans="2:36" ht="14.4">
      <c r="B1410" s="211"/>
      <c r="C1410" s="213" t="s">
        <v>49</v>
      </c>
      <c r="D1410" s="214">
        <v>18790</v>
      </c>
      <c r="E1410" s="214">
        <v>0</v>
      </c>
      <c r="F1410" s="214">
        <v>0</v>
      </c>
      <c r="G1410" s="214">
        <v>0</v>
      </c>
      <c r="H1410" s="214">
        <v>0</v>
      </c>
      <c r="I1410" s="214">
        <v>0</v>
      </c>
      <c r="J1410" s="214">
        <v>0</v>
      </c>
      <c r="K1410" s="214">
        <v>0</v>
      </c>
      <c r="L1410" s="214">
        <v>0</v>
      </c>
      <c r="M1410" s="214">
        <v>0</v>
      </c>
      <c r="N1410" s="214">
        <v>0</v>
      </c>
      <c r="O1410" s="214">
        <v>0</v>
      </c>
      <c r="P1410" s="214">
        <v>0</v>
      </c>
      <c r="Q1410" s="214">
        <v>0</v>
      </c>
      <c r="R1410" s="214">
        <v>0</v>
      </c>
      <c r="S1410" s="214">
        <v>0</v>
      </c>
      <c r="T1410" s="214">
        <v>0</v>
      </c>
      <c r="U1410" s="214">
        <v>0</v>
      </c>
      <c r="V1410" s="214">
        <v>0</v>
      </c>
      <c r="W1410" s="214">
        <v>0</v>
      </c>
      <c r="X1410" s="214">
        <v>0</v>
      </c>
      <c r="Y1410" s="214">
        <v>0</v>
      </c>
      <c r="Z1410" s="214">
        <v>0</v>
      </c>
      <c r="AA1410" s="214">
        <v>0</v>
      </c>
      <c r="AB1410" s="214">
        <v>0</v>
      </c>
      <c r="AC1410" s="214">
        <v>0</v>
      </c>
      <c r="AD1410" s="215"/>
      <c r="AE1410" s="420">
        <v>0</v>
      </c>
      <c r="AF1410" s="420">
        <v>0</v>
      </c>
      <c r="AG1410" s="420">
        <v>0</v>
      </c>
      <c r="AH1410" s="420"/>
      <c r="AI1410" s="574">
        <f t="shared" si="36"/>
        <v>18790</v>
      </c>
      <c r="AJ1410" s="212"/>
    </row>
    <row r="1411" spans="2:36" ht="14.4">
      <c r="B1411" s="211"/>
      <c r="C1411" s="248" t="s">
        <v>158</v>
      </c>
      <c r="D1411" s="214">
        <v>9630</v>
      </c>
      <c r="E1411" s="214">
        <v>8500</v>
      </c>
      <c r="F1411" s="214">
        <v>0</v>
      </c>
      <c r="G1411" s="214">
        <v>4000</v>
      </c>
      <c r="H1411" s="214">
        <v>0</v>
      </c>
      <c r="I1411" s="214">
        <v>0</v>
      </c>
      <c r="J1411" s="214">
        <v>0</v>
      </c>
      <c r="K1411" s="214">
        <v>0</v>
      </c>
      <c r="L1411" s="214">
        <v>0</v>
      </c>
      <c r="M1411" s="214">
        <v>915</v>
      </c>
      <c r="N1411" s="214">
        <v>0</v>
      </c>
      <c r="O1411" s="214">
        <v>0</v>
      </c>
      <c r="P1411" s="214">
        <v>915</v>
      </c>
      <c r="Q1411" s="214">
        <v>0</v>
      </c>
      <c r="R1411" s="214">
        <v>0</v>
      </c>
      <c r="S1411" s="214">
        <v>0</v>
      </c>
      <c r="T1411" s="214">
        <v>0</v>
      </c>
      <c r="U1411" s="214">
        <v>0</v>
      </c>
      <c r="V1411" s="214">
        <v>0</v>
      </c>
      <c r="W1411" s="214">
        <v>0</v>
      </c>
      <c r="X1411" s="214">
        <v>0</v>
      </c>
      <c r="Y1411" s="214">
        <v>0</v>
      </c>
      <c r="Z1411" s="214">
        <v>0</v>
      </c>
      <c r="AA1411" s="214">
        <v>0</v>
      </c>
      <c r="AB1411" s="214">
        <v>0</v>
      </c>
      <c r="AC1411" s="214">
        <v>0</v>
      </c>
      <c r="AD1411" s="215"/>
      <c r="AE1411" s="420">
        <v>915</v>
      </c>
      <c r="AF1411" s="420">
        <v>0</v>
      </c>
      <c r="AG1411" s="420">
        <v>0</v>
      </c>
      <c r="AH1411" s="420"/>
      <c r="AI1411" s="574">
        <f t="shared" si="36"/>
        <v>24875</v>
      </c>
      <c r="AJ1411" s="212"/>
    </row>
    <row r="1412" spans="2:36" ht="14.4">
      <c r="B1412" s="211"/>
      <c r="C1412" s="248" t="s">
        <v>50</v>
      </c>
      <c r="D1412" s="214">
        <v>3080</v>
      </c>
      <c r="E1412" s="214">
        <v>2310</v>
      </c>
      <c r="F1412" s="214">
        <v>770</v>
      </c>
      <c r="G1412" s="214">
        <v>2310</v>
      </c>
      <c r="H1412" s="214">
        <v>4620</v>
      </c>
      <c r="I1412" s="214">
        <v>2310</v>
      </c>
      <c r="J1412" s="214">
        <v>0</v>
      </c>
      <c r="K1412" s="214">
        <v>770</v>
      </c>
      <c r="L1412" s="214">
        <v>770</v>
      </c>
      <c r="M1412" s="214">
        <v>2310</v>
      </c>
      <c r="N1412" s="214">
        <v>770</v>
      </c>
      <c r="O1412" s="214">
        <v>1540</v>
      </c>
      <c r="P1412" s="214">
        <v>1540</v>
      </c>
      <c r="Q1412" s="214">
        <v>2310</v>
      </c>
      <c r="R1412" s="214">
        <v>770</v>
      </c>
      <c r="S1412" s="214">
        <v>770</v>
      </c>
      <c r="T1412" s="214">
        <v>1540</v>
      </c>
      <c r="U1412" s="214">
        <v>770</v>
      </c>
      <c r="V1412" s="214">
        <v>770</v>
      </c>
      <c r="W1412" s="214">
        <v>770</v>
      </c>
      <c r="X1412" s="214">
        <v>770</v>
      </c>
      <c r="Y1412" s="214">
        <v>770</v>
      </c>
      <c r="Z1412" s="214">
        <v>0</v>
      </c>
      <c r="AA1412" s="214">
        <v>770</v>
      </c>
      <c r="AB1412" s="214">
        <v>770</v>
      </c>
      <c r="AC1412" s="214">
        <v>770</v>
      </c>
      <c r="AD1412" s="215"/>
      <c r="AE1412" s="420">
        <v>2310</v>
      </c>
      <c r="AF1412" s="420">
        <v>770</v>
      </c>
      <c r="AG1412" s="420">
        <v>770</v>
      </c>
      <c r="AH1412" s="420"/>
      <c r="AI1412" s="574">
        <f t="shared" si="36"/>
        <v>38500</v>
      </c>
      <c r="AJ1412" s="212"/>
    </row>
    <row r="1413" spans="2:36" ht="14.4">
      <c r="B1413" s="211"/>
      <c r="C1413" s="248" t="s">
        <v>51</v>
      </c>
      <c r="D1413" s="214">
        <v>0</v>
      </c>
      <c r="E1413" s="214">
        <v>6780</v>
      </c>
      <c r="F1413" s="214">
        <v>9040</v>
      </c>
      <c r="G1413" s="214">
        <v>4520</v>
      </c>
      <c r="H1413" s="214">
        <v>6780</v>
      </c>
      <c r="I1413" s="214">
        <v>0</v>
      </c>
      <c r="J1413" s="214">
        <v>0</v>
      </c>
      <c r="K1413" s="214">
        <v>0</v>
      </c>
      <c r="L1413" s="214">
        <v>0</v>
      </c>
      <c r="M1413" s="214">
        <v>2260</v>
      </c>
      <c r="N1413" s="214">
        <v>0</v>
      </c>
      <c r="O1413" s="214">
        <v>2260</v>
      </c>
      <c r="P1413" s="214">
        <v>4520</v>
      </c>
      <c r="Q1413" s="214">
        <v>4520</v>
      </c>
      <c r="R1413" s="214">
        <v>0</v>
      </c>
      <c r="S1413" s="214">
        <v>2260</v>
      </c>
      <c r="T1413" s="214">
        <v>0</v>
      </c>
      <c r="U1413" s="214">
        <v>0</v>
      </c>
      <c r="V1413" s="214">
        <v>0</v>
      </c>
      <c r="W1413" s="214">
        <v>2260</v>
      </c>
      <c r="X1413" s="214">
        <v>0</v>
      </c>
      <c r="Y1413" s="214">
        <v>0</v>
      </c>
      <c r="Z1413" s="214">
        <v>0</v>
      </c>
      <c r="AA1413" s="214">
        <v>0</v>
      </c>
      <c r="AB1413" s="214">
        <v>2260</v>
      </c>
      <c r="AC1413" s="214">
        <v>0</v>
      </c>
      <c r="AD1413" s="215"/>
      <c r="AE1413" s="420">
        <v>4520</v>
      </c>
      <c r="AF1413" s="420">
        <v>0</v>
      </c>
      <c r="AG1413" s="420">
        <v>2260</v>
      </c>
      <c r="AH1413" s="420"/>
      <c r="AI1413" s="574">
        <f t="shared" si="36"/>
        <v>54240</v>
      </c>
      <c r="AJ1413" s="212"/>
    </row>
    <row r="1414" spans="2:36" ht="14.4">
      <c r="B1414" s="211"/>
      <c r="C1414" s="213" t="s">
        <v>52</v>
      </c>
      <c r="D1414" s="214">
        <v>0</v>
      </c>
      <c r="E1414" s="214">
        <v>0</v>
      </c>
      <c r="F1414" s="214">
        <v>0</v>
      </c>
      <c r="G1414" s="214">
        <v>0</v>
      </c>
      <c r="H1414" s="214">
        <v>0</v>
      </c>
      <c r="I1414" s="214">
        <v>0</v>
      </c>
      <c r="J1414" s="214">
        <v>0</v>
      </c>
      <c r="K1414" s="214">
        <v>0</v>
      </c>
      <c r="L1414" s="214">
        <v>0</v>
      </c>
      <c r="M1414" s="214">
        <v>0</v>
      </c>
      <c r="N1414" s="214">
        <v>0</v>
      </c>
      <c r="O1414" s="214">
        <v>130</v>
      </c>
      <c r="P1414" s="214">
        <v>0</v>
      </c>
      <c r="Q1414" s="214">
        <v>0</v>
      </c>
      <c r="R1414" s="214">
        <v>0</v>
      </c>
      <c r="S1414" s="214">
        <v>0</v>
      </c>
      <c r="T1414" s="214">
        <v>0</v>
      </c>
      <c r="U1414" s="214">
        <v>0</v>
      </c>
      <c r="V1414" s="214">
        <v>0</v>
      </c>
      <c r="W1414" s="214">
        <v>0</v>
      </c>
      <c r="X1414" s="214">
        <v>0</v>
      </c>
      <c r="Y1414" s="214">
        <v>0</v>
      </c>
      <c r="Z1414" s="214">
        <v>0</v>
      </c>
      <c r="AA1414" s="214">
        <v>0</v>
      </c>
      <c r="AB1414" s="214">
        <v>0</v>
      </c>
      <c r="AC1414" s="214">
        <v>0</v>
      </c>
      <c r="AD1414" s="215"/>
      <c r="AE1414" s="420">
        <v>0</v>
      </c>
      <c r="AF1414" s="420">
        <v>0</v>
      </c>
      <c r="AG1414" s="420">
        <v>0</v>
      </c>
      <c r="AH1414" s="420"/>
      <c r="AI1414" s="574">
        <f t="shared" si="36"/>
        <v>130</v>
      </c>
      <c r="AJ1414" s="212"/>
    </row>
    <row r="1415" spans="2:36" ht="14.4">
      <c r="B1415" s="211"/>
      <c r="C1415" s="248" t="s">
        <v>174</v>
      </c>
      <c r="D1415" s="214">
        <v>300</v>
      </c>
      <c r="E1415" s="214">
        <v>4605</v>
      </c>
      <c r="F1415" s="214">
        <v>4605</v>
      </c>
      <c r="G1415" s="214">
        <v>3774</v>
      </c>
      <c r="H1415" s="214">
        <v>5355</v>
      </c>
      <c r="I1415" s="214">
        <v>0</v>
      </c>
      <c r="J1415" s="214">
        <v>0</v>
      </c>
      <c r="K1415" s="214">
        <v>831</v>
      </c>
      <c r="L1415" s="214">
        <v>831</v>
      </c>
      <c r="M1415" s="214">
        <v>4605</v>
      </c>
      <c r="N1415" s="214">
        <v>841</v>
      </c>
      <c r="O1415" s="214">
        <v>4605</v>
      </c>
      <c r="P1415" s="214">
        <v>4605</v>
      </c>
      <c r="Q1415" s="214">
        <v>4623</v>
      </c>
      <c r="R1415" s="214">
        <v>4605</v>
      </c>
      <c r="S1415" s="214">
        <v>4605</v>
      </c>
      <c r="T1415" s="214">
        <v>0</v>
      </c>
      <c r="U1415" s="214">
        <v>0</v>
      </c>
      <c r="V1415" s="214">
        <v>0</v>
      </c>
      <c r="W1415" s="214">
        <v>0</v>
      </c>
      <c r="X1415" s="214">
        <v>0</v>
      </c>
      <c r="Y1415" s="214">
        <v>0</v>
      </c>
      <c r="Z1415" s="214">
        <v>0</v>
      </c>
      <c r="AA1415" s="214">
        <v>0</v>
      </c>
      <c r="AB1415" s="214">
        <v>831</v>
      </c>
      <c r="AC1415" s="214">
        <v>0</v>
      </c>
      <c r="AD1415" s="215"/>
      <c r="AE1415" s="420">
        <v>4605</v>
      </c>
      <c r="AF1415" s="420">
        <v>831</v>
      </c>
      <c r="AG1415" s="420">
        <v>835</v>
      </c>
      <c r="AH1415" s="420"/>
      <c r="AI1415" s="574">
        <f t="shared" si="36"/>
        <v>55892</v>
      </c>
      <c r="AJ1415" s="212"/>
    </row>
    <row r="1416" spans="2:36" ht="14.4">
      <c r="B1416" s="211"/>
      <c r="C1416" s="248" t="s">
        <v>53</v>
      </c>
      <c r="D1416" s="214">
        <v>20406.75</v>
      </c>
      <c r="E1416" s="214">
        <v>0</v>
      </c>
      <c r="F1416" s="214">
        <v>200</v>
      </c>
      <c r="G1416" s="214">
        <v>1180</v>
      </c>
      <c r="H1416" s="214">
        <v>0</v>
      </c>
      <c r="I1416" s="214">
        <v>0</v>
      </c>
      <c r="J1416" s="214">
        <v>0</v>
      </c>
      <c r="K1416" s="214">
        <v>0</v>
      </c>
      <c r="L1416" s="214">
        <v>0</v>
      </c>
      <c r="M1416" s="214">
        <v>0</v>
      </c>
      <c r="N1416" s="214">
        <v>0</v>
      </c>
      <c r="O1416" s="214">
        <v>0</v>
      </c>
      <c r="P1416" s="214">
        <v>0</v>
      </c>
      <c r="Q1416" s="214">
        <v>0</v>
      </c>
      <c r="R1416" s="214">
        <v>400</v>
      </c>
      <c r="S1416" s="214">
        <v>1645</v>
      </c>
      <c r="T1416" s="214">
        <v>0</v>
      </c>
      <c r="U1416" s="214">
        <v>0</v>
      </c>
      <c r="V1416" s="214">
        <v>0</v>
      </c>
      <c r="W1416" s="214">
        <v>0</v>
      </c>
      <c r="X1416" s="214">
        <v>0</v>
      </c>
      <c r="Y1416" s="214">
        <v>0</v>
      </c>
      <c r="Z1416" s="214">
        <v>0</v>
      </c>
      <c r="AA1416" s="214">
        <v>0</v>
      </c>
      <c r="AB1416" s="214">
        <v>0</v>
      </c>
      <c r="AC1416" s="214">
        <v>0</v>
      </c>
      <c r="AD1416" s="216"/>
      <c r="AE1416" s="420">
        <v>0</v>
      </c>
      <c r="AF1416" s="420">
        <v>0</v>
      </c>
      <c r="AG1416" s="420">
        <v>0</v>
      </c>
      <c r="AH1416" s="421"/>
      <c r="AI1416" s="574">
        <f t="shared" si="36"/>
        <v>23831.75</v>
      </c>
      <c r="AJ1416" s="212"/>
    </row>
    <row r="1417" spans="2:36" ht="14.4">
      <c r="B1417" s="211"/>
      <c r="C1417" s="248" t="s">
        <v>191</v>
      </c>
      <c r="D1417" s="214">
        <v>38436.339999999997</v>
      </c>
      <c r="E1417" s="214">
        <v>0</v>
      </c>
      <c r="F1417" s="214">
        <v>475.17</v>
      </c>
      <c r="G1417" s="214">
        <v>0</v>
      </c>
      <c r="H1417" s="214">
        <v>0</v>
      </c>
      <c r="I1417" s="214">
        <v>0</v>
      </c>
      <c r="J1417" s="214">
        <v>0</v>
      </c>
      <c r="K1417" s="214">
        <v>0</v>
      </c>
      <c r="L1417" s="214">
        <v>0</v>
      </c>
      <c r="M1417" s="214">
        <v>0</v>
      </c>
      <c r="N1417" s="214">
        <v>0</v>
      </c>
      <c r="O1417" s="214">
        <v>0</v>
      </c>
      <c r="P1417" s="214">
        <v>0</v>
      </c>
      <c r="Q1417" s="214">
        <v>0</v>
      </c>
      <c r="R1417" s="214">
        <v>0</v>
      </c>
      <c r="S1417" s="214">
        <v>0</v>
      </c>
      <c r="T1417" s="214">
        <v>0</v>
      </c>
      <c r="U1417" s="214">
        <v>0</v>
      </c>
      <c r="V1417" s="214">
        <v>0</v>
      </c>
      <c r="W1417" s="214">
        <v>0</v>
      </c>
      <c r="X1417" s="214">
        <v>0</v>
      </c>
      <c r="Y1417" s="214">
        <v>0</v>
      </c>
      <c r="Z1417" s="214">
        <v>0</v>
      </c>
      <c r="AA1417" s="214">
        <v>0</v>
      </c>
      <c r="AB1417" s="214">
        <v>0</v>
      </c>
      <c r="AC1417" s="214">
        <v>0</v>
      </c>
      <c r="AD1417" s="216"/>
      <c r="AE1417" s="420">
        <v>0</v>
      </c>
      <c r="AF1417" s="420">
        <v>0</v>
      </c>
      <c r="AG1417" s="420">
        <v>0</v>
      </c>
      <c r="AH1417" s="421"/>
      <c r="AI1417" s="574">
        <f t="shared" si="36"/>
        <v>38911.509999999995</v>
      </c>
      <c r="AJ1417" s="212"/>
    </row>
    <row r="1418" spans="2:36" ht="14.4">
      <c r="B1418" s="211"/>
      <c r="C1418" s="213" t="s">
        <v>29</v>
      </c>
      <c r="D1418" s="214">
        <v>30</v>
      </c>
      <c r="E1418" s="214">
        <v>85</v>
      </c>
      <c r="F1418" s="214">
        <v>80</v>
      </c>
      <c r="G1418" s="214">
        <v>105</v>
      </c>
      <c r="H1418" s="214">
        <v>0</v>
      </c>
      <c r="I1418" s="214">
        <v>0</v>
      </c>
      <c r="J1418" s="214">
        <v>0</v>
      </c>
      <c r="K1418" s="214">
        <v>0</v>
      </c>
      <c r="L1418" s="214">
        <v>0</v>
      </c>
      <c r="M1418" s="214">
        <v>0</v>
      </c>
      <c r="N1418" s="214">
        <v>45</v>
      </c>
      <c r="O1418" s="214">
        <v>85</v>
      </c>
      <c r="P1418" s="214">
        <v>0</v>
      </c>
      <c r="Q1418" s="214">
        <v>0</v>
      </c>
      <c r="R1418" s="214">
        <v>0</v>
      </c>
      <c r="S1418" s="214">
        <v>0</v>
      </c>
      <c r="T1418" s="214">
        <v>0</v>
      </c>
      <c r="U1418" s="214">
        <v>0</v>
      </c>
      <c r="V1418" s="214">
        <v>0</v>
      </c>
      <c r="W1418" s="214">
        <v>0</v>
      </c>
      <c r="X1418" s="214">
        <v>0</v>
      </c>
      <c r="Y1418" s="214">
        <v>0</v>
      </c>
      <c r="Z1418" s="214">
        <v>0</v>
      </c>
      <c r="AA1418" s="214">
        <v>0</v>
      </c>
      <c r="AB1418" s="214">
        <v>0</v>
      </c>
      <c r="AC1418" s="214">
        <v>0</v>
      </c>
      <c r="AD1418" s="216"/>
      <c r="AE1418" s="420">
        <v>0</v>
      </c>
      <c r="AF1418" s="420">
        <v>0</v>
      </c>
      <c r="AG1418" s="420">
        <v>0</v>
      </c>
      <c r="AH1418" s="421"/>
      <c r="AI1418" s="574">
        <f t="shared" si="36"/>
        <v>430</v>
      </c>
      <c r="AJ1418" s="212"/>
    </row>
    <row r="1419" spans="2:36" ht="14.4">
      <c r="B1419" s="211"/>
      <c r="C1419" s="247" t="s">
        <v>54</v>
      </c>
      <c r="D1419" s="214">
        <v>0</v>
      </c>
      <c r="E1419" s="214">
        <v>0</v>
      </c>
      <c r="F1419" s="214">
        <v>0</v>
      </c>
      <c r="G1419" s="214">
        <v>0</v>
      </c>
      <c r="H1419" s="214">
        <v>0</v>
      </c>
      <c r="I1419" s="214">
        <v>0</v>
      </c>
      <c r="J1419" s="214">
        <v>0</v>
      </c>
      <c r="K1419" s="214">
        <v>0</v>
      </c>
      <c r="L1419" s="214">
        <v>0</v>
      </c>
      <c r="M1419" s="214">
        <v>0</v>
      </c>
      <c r="N1419" s="214">
        <v>0</v>
      </c>
      <c r="O1419" s="214">
        <v>0</v>
      </c>
      <c r="P1419" s="214">
        <v>0</v>
      </c>
      <c r="Q1419" s="214">
        <v>0</v>
      </c>
      <c r="R1419" s="214">
        <v>0</v>
      </c>
      <c r="S1419" s="214">
        <v>0</v>
      </c>
      <c r="T1419" s="214">
        <v>0</v>
      </c>
      <c r="U1419" s="214">
        <v>0</v>
      </c>
      <c r="V1419" s="214">
        <v>0</v>
      </c>
      <c r="W1419" s="214">
        <v>0</v>
      </c>
      <c r="X1419" s="214">
        <v>0</v>
      </c>
      <c r="Y1419" s="214">
        <v>0</v>
      </c>
      <c r="Z1419" s="214">
        <v>0</v>
      </c>
      <c r="AA1419" s="214">
        <v>0</v>
      </c>
      <c r="AB1419" s="214">
        <v>0</v>
      </c>
      <c r="AC1419" s="214">
        <v>0</v>
      </c>
      <c r="AD1419" s="216"/>
      <c r="AE1419" s="420">
        <v>0</v>
      </c>
      <c r="AF1419" s="420">
        <v>0</v>
      </c>
      <c r="AG1419" s="420">
        <v>0</v>
      </c>
      <c r="AH1419" s="421"/>
      <c r="AI1419" s="574">
        <f t="shared" si="36"/>
        <v>0</v>
      </c>
      <c r="AJ1419" s="212"/>
    </row>
    <row r="1420" spans="2:36" ht="14.4">
      <c r="B1420" s="211"/>
      <c r="C1420" s="248" t="s">
        <v>31</v>
      </c>
      <c r="D1420" s="214">
        <v>470</v>
      </c>
      <c r="E1420" s="214">
        <v>185</v>
      </c>
      <c r="F1420" s="214">
        <v>535</v>
      </c>
      <c r="G1420" s="214">
        <v>390</v>
      </c>
      <c r="H1420" s="214">
        <v>209</v>
      </c>
      <c r="I1420" s="214">
        <v>0</v>
      </c>
      <c r="J1420" s="214">
        <v>0</v>
      </c>
      <c r="K1420" s="214">
        <v>0</v>
      </c>
      <c r="L1420" s="214">
        <v>0</v>
      </c>
      <c r="M1420" s="214">
        <v>0</v>
      </c>
      <c r="N1420" s="214">
        <v>0</v>
      </c>
      <c r="O1420" s="214">
        <v>540</v>
      </c>
      <c r="P1420" s="214">
        <v>230</v>
      </c>
      <c r="Q1420" s="214">
        <v>0</v>
      </c>
      <c r="R1420" s="214">
        <v>330</v>
      </c>
      <c r="S1420" s="214">
        <v>90</v>
      </c>
      <c r="T1420" s="214">
        <v>0</v>
      </c>
      <c r="U1420" s="214">
        <v>0</v>
      </c>
      <c r="V1420" s="214">
        <v>0</v>
      </c>
      <c r="W1420" s="214">
        <v>0</v>
      </c>
      <c r="X1420" s="214">
        <v>0</v>
      </c>
      <c r="Y1420" s="214">
        <v>0</v>
      </c>
      <c r="Z1420" s="214">
        <v>0</v>
      </c>
      <c r="AA1420" s="214">
        <v>0</v>
      </c>
      <c r="AB1420" s="214">
        <v>0</v>
      </c>
      <c r="AC1420" s="214">
        <v>0</v>
      </c>
      <c r="AD1420" s="216"/>
      <c r="AE1420" s="420">
        <v>375</v>
      </c>
      <c r="AF1420" s="420">
        <v>0</v>
      </c>
      <c r="AG1420" s="420">
        <v>0</v>
      </c>
      <c r="AH1420" s="421"/>
      <c r="AI1420" s="574">
        <f t="shared" si="36"/>
        <v>3354</v>
      </c>
      <c r="AJ1420" s="212"/>
    </row>
    <row r="1421" spans="2:36" ht="14.4">
      <c r="B1421" s="211"/>
      <c r="C1421" s="248" t="s">
        <v>55</v>
      </c>
      <c r="D1421" s="214">
        <v>100</v>
      </c>
      <c r="E1421" s="214">
        <v>75</v>
      </c>
      <c r="F1421" s="214">
        <v>0</v>
      </c>
      <c r="G1421" s="214">
        <v>0</v>
      </c>
      <c r="H1421" s="214">
        <v>0</v>
      </c>
      <c r="I1421" s="214">
        <v>0</v>
      </c>
      <c r="J1421" s="214">
        <v>0</v>
      </c>
      <c r="K1421" s="214">
        <v>0</v>
      </c>
      <c r="L1421" s="214">
        <v>0</v>
      </c>
      <c r="M1421" s="214">
        <v>0</v>
      </c>
      <c r="N1421" s="214">
        <v>0</v>
      </c>
      <c r="O1421" s="214">
        <v>0</v>
      </c>
      <c r="P1421" s="214">
        <v>120</v>
      </c>
      <c r="Q1421" s="214">
        <v>0</v>
      </c>
      <c r="R1421" s="214">
        <v>0</v>
      </c>
      <c r="S1421" s="214">
        <v>0</v>
      </c>
      <c r="T1421" s="214">
        <v>0</v>
      </c>
      <c r="U1421" s="214">
        <v>0</v>
      </c>
      <c r="V1421" s="214">
        <v>0</v>
      </c>
      <c r="W1421" s="214">
        <v>0</v>
      </c>
      <c r="X1421" s="214">
        <v>0</v>
      </c>
      <c r="Y1421" s="214">
        <v>0</v>
      </c>
      <c r="Z1421" s="214">
        <v>0</v>
      </c>
      <c r="AA1421" s="214">
        <v>0</v>
      </c>
      <c r="AB1421" s="214">
        <v>0</v>
      </c>
      <c r="AC1421" s="214">
        <v>0</v>
      </c>
      <c r="AD1421" s="216"/>
      <c r="AE1421" s="420">
        <v>0</v>
      </c>
      <c r="AF1421" s="420">
        <v>0</v>
      </c>
      <c r="AG1421" s="420">
        <v>0</v>
      </c>
      <c r="AH1421" s="421"/>
      <c r="AI1421" s="574">
        <f t="shared" si="36"/>
        <v>295</v>
      </c>
      <c r="AJ1421" s="212"/>
    </row>
    <row r="1422" spans="2:36" ht="14.4">
      <c r="B1422" s="211"/>
      <c r="C1422" s="248" t="s">
        <v>56</v>
      </c>
      <c r="D1422" s="214">
        <v>393.97</v>
      </c>
      <c r="E1422" s="214">
        <v>217.24</v>
      </c>
      <c r="F1422" s="214">
        <v>217.24</v>
      </c>
      <c r="G1422" s="214">
        <v>139.91</v>
      </c>
      <c r="H1422" s="214">
        <v>95.73</v>
      </c>
      <c r="I1422" s="214">
        <v>0</v>
      </c>
      <c r="J1422" s="214">
        <v>0</v>
      </c>
      <c r="K1422" s="214">
        <v>0</v>
      </c>
      <c r="L1422" s="214">
        <v>0</v>
      </c>
      <c r="M1422" s="214">
        <v>0</v>
      </c>
      <c r="N1422" s="214">
        <v>0</v>
      </c>
      <c r="O1422" s="214">
        <v>69.959999999999994</v>
      </c>
      <c r="P1422" s="214">
        <v>0</v>
      </c>
      <c r="Q1422" s="214">
        <v>209.87</v>
      </c>
      <c r="R1422" s="214">
        <v>0</v>
      </c>
      <c r="S1422" s="214">
        <v>0</v>
      </c>
      <c r="T1422" s="214">
        <v>0</v>
      </c>
      <c r="U1422" s="214">
        <v>0</v>
      </c>
      <c r="V1422" s="214">
        <v>0</v>
      </c>
      <c r="W1422" s="214">
        <v>0</v>
      </c>
      <c r="X1422" s="214">
        <v>0</v>
      </c>
      <c r="Y1422" s="214">
        <v>0</v>
      </c>
      <c r="Z1422" s="214">
        <v>0</v>
      </c>
      <c r="AA1422" s="214">
        <v>0</v>
      </c>
      <c r="AB1422" s="214">
        <v>0</v>
      </c>
      <c r="AC1422" s="214">
        <v>0</v>
      </c>
      <c r="AD1422" s="216"/>
      <c r="AE1422" s="420">
        <v>0</v>
      </c>
      <c r="AF1422" s="420">
        <v>0</v>
      </c>
      <c r="AG1422" s="420">
        <v>0</v>
      </c>
      <c r="AH1422" s="421"/>
      <c r="AI1422" s="574">
        <f t="shared" si="36"/>
        <v>1343.92</v>
      </c>
      <c r="AJ1422" s="212"/>
    </row>
    <row r="1423" spans="2:36" ht="14.4">
      <c r="B1423" s="211"/>
      <c r="C1423" s="213" t="s">
        <v>57</v>
      </c>
      <c r="D1423" s="214">
        <v>0</v>
      </c>
      <c r="E1423" s="214">
        <v>0</v>
      </c>
      <c r="F1423" s="214">
        <v>0</v>
      </c>
      <c r="G1423" s="214">
        <v>0</v>
      </c>
      <c r="H1423" s="214">
        <v>0</v>
      </c>
      <c r="I1423" s="214">
        <v>0</v>
      </c>
      <c r="J1423" s="214">
        <v>0</v>
      </c>
      <c r="K1423" s="214">
        <v>0</v>
      </c>
      <c r="L1423" s="214">
        <v>0</v>
      </c>
      <c r="M1423" s="214">
        <v>0</v>
      </c>
      <c r="N1423" s="214">
        <v>0</v>
      </c>
      <c r="O1423" s="214">
        <v>0</v>
      </c>
      <c r="P1423" s="214">
        <v>0</v>
      </c>
      <c r="Q1423" s="214">
        <v>0</v>
      </c>
      <c r="R1423" s="214">
        <v>0</v>
      </c>
      <c r="S1423" s="214">
        <v>0</v>
      </c>
      <c r="T1423" s="214">
        <v>0</v>
      </c>
      <c r="U1423" s="214">
        <v>0</v>
      </c>
      <c r="V1423" s="214">
        <v>0</v>
      </c>
      <c r="W1423" s="214">
        <v>0</v>
      </c>
      <c r="X1423" s="214">
        <v>0</v>
      </c>
      <c r="Y1423" s="214">
        <v>0</v>
      </c>
      <c r="Z1423" s="214">
        <v>0</v>
      </c>
      <c r="AA1423" s="214">
        <v>0</v>
      </c>
      <c r="AB1423" s="214">
        <v>0</v>
      </c>
      <c r="AC1423" s="214">
        <v>0</v>
      </c>
      <c r="AD1423" s="216"/>
      <c r="AE1423" s="420">
        <v>0</v>
      </c>
      <c r="AF1423" s="420">
        <v>0</v>
      </c>
      <c r="AG1423" s="420">
        <v>0</v>
      </c>
      <c r="AH1423" s="421"/>
      <c r="AI1423" s="574">
        <f t="shared" si="36"/>
        <v>0</v>
      </c>
      <c r="AJ1423" s="212"/>
    </row>
    <row r="1424" spans="2:36" ht="14.4">
      <c r="B1424" s="211"/>
      <c r="C1424" s="213" t="s">
        <v>58</v>
      </c>
      <c r="D1424" s="214">
        <v>0</v>
      </c>
      <c r="E1424" s="214">
        <v>6800</v>
      </c>
      <c r="F1424" s="214">
        <v>35</v>
      </c>
      <c r="G1424" s="214">
        <v>0</v>
      </c>
      <c r="H1424" s="214">
        <v>0</v>
      </c>
      <c r="I1424" s="214">
        <v>0</v>
      </c>
      <c r="J1424" s="214">
        <v>0</v>
      </c>
      <c r="K1424" s="214">
        <v>0</v>
      </c>
      <c r="L1424" s="214">
        <v>0</v>
      </c>
      <c r="M1424" s="214">
        <v>0</v>
      </c>
      <c r="N1424" s="214">
        <v>0</v>
      </c>
      <c r="O1424" s="214">
        <v>0</v>
      </c>
      <c r="P1424" s="214">
        <v>0</v>
      </c>
      <c r="Q1424" s="214">
        <v>750</v>
      </c>
      <c r="R1424" s="214">
        <v>700</v>
      </c>
      <c r="S1424" s="214">
        <v>0</v>
      </c>
      <c r="T1424" s="214">
        <v>0</v>
      </c>
      <c r="U1424" s="214">
        <v>0</v>
      </c>
      <c r="V1424" s="214">
        <v>0</v>
      </c>
      <c r="W1424" s="214">
        <v>0</v>
      </c>
      <c r="X1424" s="214">
        <v>0</v>
      </c>
      <c r="Y1424" s="214">
        <v>0</v>
      </c>
      <c r="Z1424" s="214">
        <v>0</v>
      </c>
      <c r="AA1424" s="214">
        <v>0</v>
      </c>
      <c r="AB1424" s="214">
        <v>0</v>
      </c>
      <c r="AC1424" s="214">
        <v>0</v>
      </c>
      <c r="AD1424" s="216"/>
      <c r="AE1424" s="420">
        <v>0</v>
      </c>
      <c r="AF1424" s="420">
        <v>0</v>
      </c>
      <c r="AG1424" s="420">
        <v>0</v>
      </c>
      <c r="AH1424" s="421"/>
      <c r="AI1424" s="574">
        <f t="shared" si="36"/>
        <v>8285</v>
      </c>
      <c r="AJ1424" s="212"/>
    </row>
    <row r="1425" spans="2:36" ht="14.4">
      <c r="B1425" s="211"/>
      <c r="C1425" s="213" t="s">
        <v>59</v>
      </c>
      <c r="D1425" s="214">
        <v>20</v>
      </c>
      <c r="E1425" s="214">
        <v>0</v>
      </c>
      <c r="F1425" s="214">
        <v>0</v>
      </c>
      <c r="G1425" s="214">
        <v>0</v>
      </c>
      <c r="H1425" s="214">
        <v>550</v>
      </c>
      <c r="I1425" s="214">
        <v>0</v>
      </c>
      <c r="J1425" s="214">
        <v>0</v>
      </c>
      <c r="K1425" s="214">
        <v>0</v>
      </c>
      <c r="L1425" s="214">
        <v>0</v>
      </c>
      <c r="M1425" s="214">
        <v>0</v>
      </c>
      <c r="N1425" s="214">
        <v>0</v>
      </c>
      <c r="O1425" s="214">
        <v>0</v>
      </c>
      <c r="P1425" s="214">
        <v>0</v>
      </c>
      <c r="Q1425" s="214">
        <v>0</v>
      </c>
      <c r="R1425" s="214">
        <v>0</v>
      </c>
      <c r="S1425" s="214">
        <v>0</v>
      </c>
      <c r="T1425" s="214">
        <v>0</v>
      </c>
      <c r="U1425" s="214">
        <v>0</v>
      </c>
      <c r="V1425" s="214">
        <v>0</v>
      </c>
      <c r="W1425" s="214">
        <v>0</v>
      </c>
      <c r="X1425" s="214">
        <v>0</v>
      </c>
      <c r="Y1425" s="214">
        <v>0</v>
      </c>
      <c r="Z1425" s="214">
        <v>0</v>
      </c>
      <c r="AA1425" s="214">
        <v>0</v>
      </c>
      <c r="AB1425" s="214">
        <v>0</v>
      </c>
      <c r="AC1425" s="214">
        <v>0</v>
      </c>
      <c r="AD1425" s="216"/>
      <c r="AE1425" s="420">
        <v>0</v>
      </c>
      <c r="AF1425" s="420">
        <v>0</v>
      </c>
      <c r="AG1425" s="420">
        <v>0</v>
      </c>
      <c r="AH1425" s="421"/>
      <c r="AI1425" s="574">
        <f t="shared" si="36"/>
        <v>570</v>
      </c>
      <c r="AJ1425" s="212"/>
    </row>
    <row r="1426" spans="2:36" ht="14.4">
      <c r="B1426" s="211"/>
      <c r="C1426" s="213" t="s">
        <v>60</v>
      </c>
      <c r="D1426" s="214">
        <v>0</v>
      </c>
      <c r="E1426" s="214">
        <v>20</v>
      </c>
      <c r="F1426" s="214">
        <v>0</v>
      </c>
      <c r="G1426" s="214">
        <v>0</v>
      </c>
      <c r="H1426" s="214">
        <v>0</v>
      </c>
      <c r="I1426" s="214">
        <v>0</v>
      </c>
      <c r="J1426" s="214">
        <v>0</v>
      </c>
      <c r="K1426" s="214">
        <v>0</v>
      </c>
      <c r="L1426" s="214">
        <v>0</v>
      </c>
      <c r="M1426" s="214">
        <v>0</v>
      </c>
      <c r="N1426" s="214">
        <v>0</v>
      </c>
      <c r="O1426" s="214">
        <v>0</v>
      </c>
      <c r="P1426" s="214">
        <v>0</v>
      </c>
      <c r="Q1426" s="214">
        <v>0</v>
      </c>
      <c r="R1426" s="214">
        <v>0</v>
      </c>
      <c r="S1426" s="214">
        <v>0</v>
      </c>
      <c r="T1426" s="214">
        <v>0</v>
      </c>
      <c r="U1426" s="214">
        <v>0</v>
      </c>
      <c r="V1426" s="214">
        <v>0</v>
      </c>
      <c r="W1426" s="214">
        <v>0</v>
      </c>
      <c r="X1426" s="214">
        <v>0</v>
      </c>
      <c r="Y1426" s="214">
        <v>0</v>
      </c>
      <c r="Z1426" s="214">
        <v>0</v>
      </c>
      <c r="AA1426" s="214">
        <v>0</v>
      </c>
      <c r="AB1426" s="214">
        <v>0</v>
      </c>
      <c r="AC1426" s="214">
        <v>0</v>
      </c>
      <c r="AD1426" s="216"/>
      <c r="AE1426" s="420">
        <v>0</v>
      </c>
      <c r="AF1426" s="420">
        <v>0</v>
      </c>
      <c r="AG1426" s="420">
        <v>0</v>
      </c>
      <c r="AH1426" s="421"/>
      <c r="AI1426" s="574">
        <f t="shared" si="36"/>
        <v>20</v>
      </c>
      <c r="AJ1426" s="212"/>
    </row>
    <row r="1427" spans="2:36" ht="14.4">
      <c r="B1427" s="211"/>
      <c r="C1427" s="248" t="s">
        <v>61</v>
      </c>
      <c r="D1427" s="214">
        <v>2120</v>
      </c>
      <c r="E1427" s="214">
        <v>900</v>
      </c>
      <c r="F1427" s="214">
        <v>24660</v>
      </c>
      <c r="G1427" s="214">
        <v>0</v>
      </c>
      <c r="H1427" s="214">
        <v>225</v>
      </c>
      <c r="I1427" s="214">
        <v>0</v>
      </c>
      <c r="J1427" s="214">
        <v>0</v>
      </c>
      <c r="K1427" s="214">
        <v>0</v>
      </c>
      <c r="L1427" s="214">
        <v>0</v>
      </c>
      <c r="M1427" s="214">
        <v>3245</v>
      </c>
      <c r="N1427" s="214">
        <v>0</v>
      </c>
      <c r="O1427" s="214">
        <v>35</v>
      </c>
      <c r="P1427" s="214">
        <v>8650</v>
      </c>
      <c r="Q1427" s="214">
        <v>4980</v>
      </c>
      <c r="R1427" s="214">
        <v>0</v>
      </c>
      <c r="S1427" s="214">
        <v>370</v>
      </c>
      <c r="T1427" s="214">
        <v>0</v>
      </c>
      <c r="U1427" s="214">
        <v>0</v>
      </c>
      <c r="V1427" s="214">
        <v>0</v>
      </c>
      <c r="W1427" s="214">
        <v>0</v>
      </c>
      <c r="X1427" s="214">
        <v>0</v>
      </c>
      <c r="Y1427" s="214">
        <v>0</v>
      </c>
      <c r="Z1427" s="214">
        <v>0</v>
      </c>
      <c r="AA1427" s="214">
        <v>0</v>
      </c>
      <c r="AB1427" s="214">
        <v>0</v>
      </c>
      <c r="AC1427" s="214">
        <v>0</v>
      </c>
      <c r="AD1427" s="216"/>
      <c r="AE1427" s="420">
        <v>1500</v>
      </c>
      <c r="AF1427" s="420">
        <v>0</v>
      </c>
      <c r="AG1427" s="420">
        <v>150</v>
      </c>
      <c r="AH1427" s="421"/>
      <c r="AI1427" s="574">
        <f t="shared" si="36"/>
        <v>46835</v>
      </c>
      <c r="AJ1427" s="212"/>
    </row>
    <row r="1428" spans="2:36" ht="14.4">
      <c r="B1428" s="211"/>
      <c r="C1428" s="248" t="s">
        <v>62</v>
      </c>
      <c r="D1428" s="214">
        <v>25830</v>
      </c>
      <c r="E1428" s="214">
        <v>3725</v>
      </c>
      <c r="F1428" s="214">
        <v>1010</v>
      </c>
      <c r="G1428" s="214">
        <v>0</v>
      </c>
      <c r="H1428" s="214">
        <v>0</v>
      </c>
      <c r="I1428" s="214">
        <v>0</v>
      </c>
      <c r="J1428" s="214">
        <v>0</v>
      </c>
      <c r="K1428" s="214">
        <v>0</v>
      </c>
      <c r="L1428" s="214">
        <v>0</v>
      </c>
      <c r="M1428" s="214">
        <v>0</v>
      </c>
      <c r="N1428" s="214">
        <v>0</v>
      </c>
      <c r="O1428" s="214">
        <v>0</v>
      </c>
      <c r="P1428" s="214">
        <v>1170</v>
      </c>
      <c r="Q1428" s="214">
        <v>0</v>
      </c>
      <c r="R1428" s="214">
        <v>0</v>
      </c>
      <c r="S1428" s="214">
        <v>0</v>
      </c>
      <c r="T1428" s="214">
        <v>0</v>
      </c>
      <c r="U1428" s="214">
        <v>0</v>
      </c>
      <c r="V1428" s="214">
        <v>0</v>
      </c>
      <c r="W1428" s="214">
        <v>0</v>
      </c>
      <c r="X1428" s="214">
        <v>0</v>
      </c>
      <c r="Y1428" s="214">
        <v>0</v>
      </c>
      <c r="Z1428" s="214">
        <v>0</v>
      </c>
      <c r="AA1428" s="214">
        <v>0</v>
      </c>
      <c r="AB1428" s="214">
        <v>0</v>
      </c>
      <c r="AC1428" s="214">
        <v>0</v>
      </c>
      <c r="AD1428" s="216"/>
      <c r="AE1428" s="420">
        <v>0</v>
      </c>
      <c r="AF1428" s="420">
        <v>0</v>
      </c>
      <c r="AG1428" s="420">
        <v>0</v>
      </c>
      <c r="AH1428" s="421"/>
      <c r="AI1428" s="574">
        <f t="shared" si="36"/>
        <v>31735</v>
      </c>
      <c r="AJ1428" s="212"/>
    </row>
    <row r="1429" spans="2:36" ht="14.4">
      <c r="B1429" s="211"/>
      <c r="C1429" s="213" t="s">
        <v>63</v>
      </c>
      <c r="D1429" s="214">
        <v>0</v>
      </c>
      <c r="E1429" s="214">
        <v>108</v>
      </c>
      <c r="F1429" s="214">
        <v>0</v>
      </c>
      <c r="G1429" s="214">
        <v>0</v>
      </c>
      <c r="H1429" s="214">
        <v>0</v>
      </c>
      <c r="I1429" s="214">
        <v>0</v>
      </c>
      <c r="J1429" s="214">
        <v>0</v>
      </c>
      <c r="K1429" s="214">
        <v>0</v>
      </c>
      <c r="L1429" s="214">
        <v>0</v>
      </c>
      <c r="M1429" s="214">
        <v>0</v>
      </c>
      <c r="N1429" s="214">
        <v>0</v>
      </c>
      <c r="O1429" s="214">
        <v>0</v>
      </c>
      <c r="P1429" s="214">
        <v>0</v>
      </c>
      <c r="Q1429" s="214">
        <v>0</v>
      </c>
      <c r="R1429" s="214">
        <v>0</v>
      </c>
      <c r="S1429" s="214">
        <v>0</v>
      </c>
      <c r="T1429" s="214">
        <v>0</v>
      </c>
      <c r="U1429" s="214">
        <v>0</v>
      </c>
      <c r="V1429" s="214">
        <v>0</v>
      </c>
      <c r="W1429" s="214">
        <v>0</v>
      </c>
      <c r="X1429" s="214">
        <v>0</v>
      </c>
      <c r="Y1429" s="214">
        <v>0</v>
      </c>
      <c r="Z1429" s="214">
        <v>0</v>
      </c>
      <c r="AA1429" s="214">
        <v>0</v>
      </c>
      <c r="AB1429" s="214">
        <v>0</v>
      </c>
      <c r="AC1429" s="214">
        <v>0</v>
      </c>
      <c r="AD1429" s="216"/>
      <c r="AE1429" s="420">
        <v>0</v>
      </c>
      <c r="AF1429" s="420">
        <v>0</v>
      </c>
      <c r="AG1429" s="420">
        <v>0</v>
      </c>
      <c r="AH1429" s="421"/>
      <c r="AI1429" s="574">
        <f t="shared" si="36"/>
        <v>108</v>
      </c>
      <c r="AJ1429" s="212"/>
    </row>
    <row r="1430" spans="2:36" ht="14.4">
      <c r="B1430" s="211"/>
      <c r="C1430" s="248" t="s">
        <v>64</v>
      </c>
      <c r="D1430" s="214">
        <v>4300</v>
      </c>
      <c r="E1430" s="214">
        <v>31400</v>
      </c>
      <c r="F1430" s="214">
        <v>37700</v>
      </c>
      <c r="G1430" s="214">
        <v>17800</v>
      </c>
      <c r="H1430" s="214">
        <v>47000</v>
      </c>
      <c r="I1430" s="214">
        <v>0</v>
      </c>
      <c r="J1430" s="214">
        <v>0</v>
      </c>
      <c r="K1430" s="214">
        <v>0</v>
      </c>
      <c r="L1430" s="214">
        <v>0</v>
      </c>
      <c r="M1430" s="214">
        <v>11700</v>
      </c>
      <c r="N1430" s="214">
        <v>0</v>
      </c>
      <c r="O1430" s="214">
        <v>10000</v>
      </c>
      <c r="P1430" s="214">
        <v>16800</v>
      </c>
      <c r="Q1430" s="214">
        <v>43000</v>
      </c>
      <c r="R1430" s="214">
        <v>0</v>
      </c>
      <c r="S1430" s="214">
        <v>11600</v>
      </c>
      <c r="T1430" s="214">
        <v>10000</v>
      </c>
      <c r="U1430" s="214">
        <v>0</v>
      </c>
      <c r="V1430" s="214">
        <v>0</v>
      </c>
      <c r="W1430" s="214">
        <v>0</v>
      </c>
      <c r="X1430" s="214">
        <v>0</v>
      </c>
      <c r="Y1430" s="214">
        <v>0</v>
      </c>
      <c r="Z1430" s="214">
        <v>0</v>
      </c>
      <c r="AA1430" s="214">
        <v>0</v>
      </c>
      <c r="AB1430" s="214">
        <v>0</v>
      </c>
      <c r="AC1430" s="214">
        <v>0</v>
      </c>
      <c r="AD1430" s="216"/>
      <c r="AE1430" s="420">
        <v>23900</v>
      </c>
      <c r="AF1430" s="420">
        <v>0</v>
      </c>
      <c r="AG1430" s="420">
        <v>0</v>
      </c>
      <c r="AH1430" s="421"/>
      <c r="AI1430" s="574">
        <f t="shared" si="36"/>
        <v>265200</v>
      </c>
      <c r="AJ1430" s="212"/>
    </row>
    <row r="1431" spans="2:36" ht="14.4">
      <c r="B1431" s="211"/>
      <c r="C1431" s="213" t="s">
        <v>28</v>
      </c>
      <c r="D1431" s="214">
        <v>7641</v>
      </c>
      <c r="E1431" s="214">
        <v>0</v>
      </c>
      <c r="F1431" s="214">
        <v>0</v>
      </c>
      <c r="G1431" s="214">
        <v>0</v>
      </c>
      <c r="H1431" s="214">
        <v>0</v>
      </c>
      <c r="I1431" s="214">
        <v>0</v>
      </c>
      <c r="J1431" s="214">
        <v>0</v>
      </c>
      <c r="K1431" s="214">
        <v>0</v>
      </c>
      <c r="L1431" s="214">
        <v>0</v>
      </c>
      <c r="M1431" s="214">
        <v>0</v>
      </c>
      <c r="N1431" s="214">
        <v>0</v>
      </c>
      <c r="O1431" s="214">
        <v>0</v>
      </c>
      <c r="P1431" s="214">
        <v>0</v>
      </c>
      <c r="Q1431" s="214">
        <v>0</v>
      </c>
      <c r="R1431" s="214">
        <v>0</v>
      </c>
      <c r="S1431" s="214">
        <v>0</v>
      </c>
      <c r="T1431" s="214">
        <v>0</v>
      </c>
      <c r="U1431" s="214">
        <v>0</v>
      </c>
      <c r="V1431" s="214">
        <v>0</v>
      </c>
      <c r="W1431" s="214">
        <v>0</v>
      </c>
      <c r="X1431" s="214">
        <v>0</v>
      </c>
      <c r="Y1431" s="214">
        <v>0</v>
      </c>
      <c r="Z1431" s="214">
        <v>0</v>
      </c>
      <c r="AA1431" s="214">
        <v>0</v>
      </c>
      <c r="AB1431" s="214">
        <v>0</v>
      </c>
      <c r="AC1431" s="214">
        <v>0</v>
      </c>
      <c r="AD1431" s="216"/>
      <c r="AE1431" s="420">
        <v>0</v>
      </c>
      <c r="AF1431" s="420">
        <v>0</v>
      </c>
      <c r="AG1431" s="420">
        <v>0</v>
      </c>
      <c r="AH1431" s="421"/>
      <c r="AI1431" s="574">
        <f t="shared" si="36"/>
        <v>7641</v>
      </c>
      <c r="AJ1431" s="212"/>
    </row>
    <row r="1432" spans="2:36" ht="14.4">
      <c r="B1432" s="211"/>
      <c r="C1432" s="248" t="s">
        <v>157</v>
      </c>
      <c r="D1432" s="214">
        <v>0</v>
      </c>
      <c r="E1432" s="214">
        <v>83.77</v>
      </c>
      <c r="F1432" s="214">
        <v>0</v>
      </c>
      <c r="G1432" s="214">
        <v>468.15</v>
      </c>
      <c r="H1432" s="214">
        <v>0</v>
      </c>
      <c r="I1432" s="214">
        <v>0</v>
      </c>
      <c r="J1432" s="214">
        <v>0</v>
      </c>
      <c r="K1432" s="214">
        <v>0</v>
      </c>
      <c r="L1432" s="214">
        <v>0</v>
      </c>
      <c r="M1432" s="214">
        <v>0</v>
      </c>
      <c r="N1432" s="214">
        <v>0</v>
      </c>
      <c r="O1432" s="214">
        <v>0</v>
      </c>
      <c r="P1432" s="214">
        <v>0</v>
      </c>
      <c r="Q1432" s="214">
        <v>583.28</v>
      </c>
      <c r="R1432" s="214">
        <v>385.11</v>
      </c>
      <c r="S1432" s="214">
        <v>0</v>
      </c>
      <c r="T1432" s="214">
        <v>0</v>
      </c>
      <c r="U1432" s="214">
        <v>0</v>
      </c>
      <c r="V1432" s="214">
        <v>0</v>
      </c>
      <c r="W1432" s="214">
        <v>0</v>
      </c>
      <c r="X1432" s="214">
        <v>0</v>
      </c>
      <c r="Y1432" s="214">
        <v>0</v>
      </c>
      <c r="Z1432" s="214">
        <v>0</v>
      </c>
      <c r="AA1432" s="214">
        <v>0</v>
      </c>
      <c r="AB1432" s="214">
        <v>0</v>
      </c>
      <c r="AC1432" s="214">
        <v>0</v>
      </c>
      <c r="AD1432" s="216"/>
      <c r="AE1432" s="420">
        <v>210.43</v>
      </c>
      <c r="AF1432" s="420">
        <v>0</v>
      </c>
      <c r="AG1432" s="420">
        <v>0</v>
      </c>
      <c r="AH1432" s="421"/>
      <c r="AI1432" s="574">
        <f t="shared" si="36"/>
        <v>1730.74</v>
      </c>
      <c r="AJ1432" s="212"/>
    </row>
    <row r="1433" spans="2:36" ht="14.4">
      <c r="B1433" s="211"/>
      <c r="C1433" s="213" t="s">
        <v>65</v>
      </c>
      <c r="D1433" s="214">
        <v>8000</v>
      </c>
      <c r="E1433" s="214">
        <v>0</v>
      </c>
      <c r="F1433" s="214">
        <v>0</v>
      </c>
      <c r="G1433" s="214">
        <v>0</v>
      </c>
      <c r="H1433" s="214">
        <v>0</v>
      </c>
      <c r="I1433" s="214">
        <v>0</v>
      </c>
      <c r="J1433" s="214">
        <v>0</v>
      </c>
      <c r="K1433" s="214">
        <v>0</v>
      </c>
      <c r="L1433" s="214">
        <v>0</v>
      </c>
      <c r="M1433" s="214">
        <v>0</v>
      </c>
      <c r="N1433" s="214">
        <v>0</v>
      </c>
      <c r="O1433" s="214">
        <v>0</v>
      </c>
      <c r="P1433" s="214">
        <v>0</v>
      </c>
      <c r="Q1433" s="214">
        <v>0</v>
      </c>
      <c r="R1433" s="214">
        <v>0</v>
      </c>
      <c r="S1433" s="214">
        <v>0</v>
      </c>
      <c r="T1433" s="214">
        <v>0</v>
      </c>
      <c r="U1433" s="214">
        <v>0</v>
      </c>
      <c r="V1433" s="214">
        <v>0</v>
      </c>
      <c r="W1433" s="214">
        <v>0</v>
      </c>
      <c r="X1433" s="214">
        <v>0</v>
      </c>
      <c r="Y1433" s="214">
        <v>0</v>
      </c>
      <c r="Z1433" s="214">
        <v>0</v>
      </c>
      <c r="AA1433" s="214">
        <v>0</v>
      </c>
      <c r="AB1433" s="214">
        <v>0</v>
      </c>
      <c r="AC1433" s="214">
        <v>0</v>
      </c>
      <c r="AD1433" s="216"/>
      <c r="AE1433" s="420">
        <v>0</v>
      </c>
      <c r="AF1433" s="420">
        <v>0</v>
      </c>
      <c r="AG1433" s="420">
        <v>0</v>
      </c>
      <c r="AH1433" s="421"/>
      <c r="AI1433" s="574">
        <f t="shared" si="36"/>
        <v>8000</v>
      </c>
      <c r="AJ1433" s="212"/>
    </row>
    <row r="1434" spans="2:36" ht="14.4">
      <c r="B1434" s="211"/>
      <c r="C1434" s="213" t="s">
        <v>66</v>
      </c>
      <c r="D1434" s="214">
        <v>0</v>
      </c>
      <c r="E1434" s="214">
        <v>0</v>
      </c>
      <c r="F1434" s="214">
        <v>0</v>
      </c>
      <c r="G1434" s="214">
        <v>0</v>
      </c>
      <c r="H1434" s="214">
        <v>0</v>
      </c>
      <c r="I1434" s="214">
        <v>0</v>
      </c>
      <c r="J1434" s="214">
        <v>0</v>
      </c>
      <c r="K1434" s="214">
        <v>0</v>
      </c>
      <c r="L1434" s="214">
        <v>0</v>
      </c>
      <c r="M1434" s="214">
        <v>0</v>
      </c>
      <c r="N1434" s="214">
        <v>0</v>
      </c>
      <c r="O1434" s="214">
        <v>0</v>
      </c>
      <c r="P1434" s="214">
        <v>0</v>
      </c>
      <c r="Q1434" s="214">
        <v>0</v>
      </c>
      <c r="R1434" s="214">
        <v>0</v>
      </c>
      <c r="S1434" s="214">
        <v>0</v>
      </c>
      <c r="T1434" s="214">
        <v>0</v>
      </c>
      <c r="U1434" s="214">
        <v>0</v>
      </c>
      <c r="V1434" s="214">
        <v>0</v>
      </c>
      <c r="W1434" s="214">
        <v>0</v>
      </c>
      <c r="X1434" s="214">
        <v>0</v>
      </c>
      <c r="Y1434" s="214">
        <v>0</v>
      </c>
      <c r="Z1434" s="214">
        <v>0</v>
      </c>
      <c r="AA1434" s="214">
        <v>0</v>
      </c>
      <c r="AB1434" s="214">
        <v>0</v>
      </c>
      <c r="AC1434" s="214">
        <v>0</v>
      </c>
      <c r="AD1434" s="216"/>
      <c r="AE1434" s="420">
        <v>0</v>
      </c>
      <c r="AF1434" s="420">
        <v>0</v>
      </c>
      <c r="AG1434" s="420">
        <v>0</v>
      </c>
      <c r="AH1434" s="421"/>
      <c r="AI1434" s="574">
        <f t="shared" si="36"/>
        <v>0</v>
      </c>
      <c r="AJ1434" s="212"/>
    </row>
    <row r="1435" spans="2:36" ht="14.4">
      <c r="B1435" s="211"/>
      <c r="C1435" s="248" t="s">
        <v>30</v>
      </c>
      <c r="D1435" s="214">
        <v>25488.97</v>
      </c>
      <c r="E1435" s="214">
        <v>9800.25</v>
      </c>
      <c r="F1435" s="214">
        <v>11322.25</v>
      </c>
      <c r="G1435" s="214">
        <v>8700.58</v>
      </c>
      <c r="H1435" s="214">
        <v>9800.25</v>
      </c>
      <c r="I1435" s="214">
        <v>0</v>
      </c>
      <c r="J1435" s="214">
        <v>3600.25</v>
      </c>
      <c r="K1435" s="214">
        <v>0</v>
      </c>
      <c r="L1435" s="214">
        <v>0</v>
      </c>
      <c r="M1435" s="214">
        <v>4900.25</v>
      </c>
      <c r="N1435" s="214">
        <v>1300.25</v>
      </c>
      <c r="O1435" s="214">
        <v>4500.25</v>
      </c>
      <c r="P1435" s="214">
        <v>5800.25</v>
      </c>
      <c r="Q1435" s="214">
        <v>10325.25</v>
      </c>
      <c r="R1435" s="214">
        <v>900.25</v>
      </c>
      <c r="S1435" s="214">
        <v>4800.25</v>
      </c>
      <c r="T1435" s="214">
        <v>0</v>
      </c>
      <c r="U1435" s="214">
        <v>1400.25</v>
      </c>
      <c r="V1435" s="214">
        <v>900.25</v>
      </c>
      <c r="W1435" s="214">
        <v>3977.25</v>
      </c>
      <c r="X1435" s="214">
        <v>0</v>
      </c>
      <c r="Y1435" s="214">
        <v>1200.25</v>
      </c>
      <c r="Z1435" s="214">
        <v>0</v>
      </c>
      <c r="AA1435" s="214">
        <v>0</v>
      </c>
      <c r="AB1435" s="214">
        <v>5555.25</v>
      </c>
      <c r="AC1435" s="214">
        <v>4600.8999999999996</v>
      </c>
      <c r="AD1435" s="216"/>
      <c r="AE1435" s="420">
        <v>7800.9</v>
      </c>
      <c r="AF1435" s="420">
        <v>2900</v>
      </c>
      <c r="AG1435" s="420">
        <v>3900.25</v>
      </c>
      <c r="AH1435" s="421"/>
      <c r="AI1435" s="574">
        <f t="shared" si="36"/>
        <v>133474.59999999998</v>
      </c>
      <c r="AJ1435" s="212"/>
    </row>
    <row r="1436" spans="2:36" ht="14.4">
      <c r="B1436" s="211"/>
      <c r="C1436" s="248" t="s">
        <v>67</v>
      </c>
      <c r="D1436" s="214">
        <v>39986</v>
      </c>
      <c r="E1436" s="214">
        <v>13200</v>
      </c>
      <c r="F1436" s="214">
        <v>19800</v>
      </c>
      <c r="G1436" s="214">
        <v>4950</v>
      </c>
      <c r="H1436" s="214">
        <v>10560</v>
      </c>
      <c r="I1436" s="214">
        <v>6600</v>
      </c>
      <c r="J1436" s="214">
        <v>2640</v>
      </c>
      <c r="K1436" s="214">
        <v>2640</v>
      </c>
      <c r="L1436" s="214">
        <v>4290</v>
      </c>
      <c r="M1436" s="214">
        <v>4950</v>
      </c>
      <c r="N1436" s="214">
        <v>0</v>
      </c>
      <c r="O1436" s="214">
        <v>3300</v>
      </c>
      <c r="P1436" s="214">
        <v>0</v>
      </c>
      <c r="Q1436" s="214">
        <v>12860</v>
      </c>
      <c r="R1436" s="214">
        <v>4950</v>
      </c>
      <c r="S1436" s="214">
        <v>11600</v>
      </c>
      <c r="T1436" s="214">
        <v>0</v>
      </c>
      <c r="U1436" s="214">
        <v>4290</v>
      </c>
      <c r="V1436" s="214">
        <v>4620</v>
      </c>
      <c r="W1436" s="214">
        <v>3300</v>
      </c>
      <c r="X1436" s="214">
        <v>0</v>
      </c>
      <c r="Y1436" s="214">
        <v>0</v>
      </c>
      <c r="Z1436" s="214">
        <v>0</v>
      </c>
      <c r="AA1436" s="214">
        <v>3300</v>
      </c>
      <c r="AB1436" s="214">
        <v>1650</v>
      </c>
      <c r="AC1436" s="214">
        <v>4950</v>
      </c>
      <c r="AD1436" s="216"/>
      <c r="AE1436" s="420">
        <v>11550</v>
      </c>
      <c r="AF1436" s="420">
        <v>3300</v>
      </c>
      <c r="AG1436" s="420">
        <v>2640</v>
      </c>
      <c r="AH1436" s="421"/>
      <c r="AI1436" s="574">
        <f t="shared" si="36"/>
        <v>181926</v>
      </c>
      <c r="AJ1436" s="212"/>
    </row>
    <row r="1437" spans="2:36" ht="14.4">
      <c r="B1437" s="211"/>
      <c r="C1437" s="248" t="s">
        <v>111</v>
      </c>
      <c r="D1437" s="214">
        <v>0</v>
      </c>
      <c r="E1437" s="214">
        <v>500</v>
      </c>
      <c r="F1437" s="214">
        <v>300</v>
      </c>
      <c r="G1437" s="214">
        <v>500</v>
      </c>
      <c r="H1437" s="214">
        <v>1400</v>
      </c>
      <c r="I1437" s="214">
        <v>0</v>
      </c>
      <c r="J1437" s="214">
        <v>0</v>
      </c>
      <c r="K1437" s="214">
        <v>0</v>
      </c>
      <c r="L1437" s="214">
        <v>0</v>
      </c>
      <c r="M1437" s="214">
        <v>0</v>
      </c>
      <c r="N1437" s="214">
        <v>0</v>
      </c>
      <c r="O1437" s="214">
        <v>0</v>
      </c>
      <c r="P1437" s="214">
        <v>0</v>
      </c>
      <c r="Q1437" s="214">
        <v>700</v>
      </c>
      <c r="R1437" s="214">
        <v>0</v>
      </c>
      <c r="S1437" s="214">
        <v>0</v>
      </c>
      <c r="T1437" s="214">
        <v>0</v>
      </c>
      <c r="U1437" s="214">
        <v>0</v>
      </c>
      <c r="V1437" s="214">
        <v>0</v>
      </c>
      <c r="W1437" s="214">
        <v>0</v>
      </c>
      <c r="X1437" s="214">
        <v>0</v>
      </c>
      <c r="Y1437" s="214">
        <v>0</v>
      </c>
      <c r="Z1437" s="214">
        <v>0</v>
      </c>
      <c r="AA1437" s="214">
        <v>0</v>
      </c>
      <c r="AB1437" s="214">
        <v>0</v>
      </c>
      <c r="AC1437" s="214">
        <v>0</v>
      </c>
      <c r="AD1437" s="216"/>
      <c r="AE1437" s="420">
        <v>300</v>
      </c>
      <c r="AF1437" s="420">
        <v>0</v>
      </c>
      <c r="AG1437" s="420">
        <v>0</v>
      </c>
      <c r="AH1437" s="421"/>
      <c r="AI1437" s="574">
        <f t="shared" si="36"/>
        <v>3700</v>
      </c>
      <c r="AJ1437" s="212"/>
    </row>
    <row r="1438" spans="2:36" ht="14.4">
      <c r="B1438" s="211"/>
      <c r="C1438" s="248" t="s">
        <v>68</v>
      </c>
      <c r="D1438" s="214">
        <v>0</v>
      </c>
      <c r="E1438" s="214">
        <v>0</v>
      </c>
      <c r="F1438" s="214">
        <v>0</v>
      </c>
      <c r="G1438" s="214">
        <v>0</v>
      </c>
      <c r="H1438" s="214">
        <v>0</v>
      </c>
      <c r="I1438" s="214">
        <v>0</v>
      </c>
      <c r="J1438" s="214">
        <v>0</v>
      </c>
      <c r="K1438" s="214">
        <v>0</v>
      </c>
      <c r="L1438" s="214">
        <v>0</v>
      </c>
      <c r="M1438" s="214">
        <v>0</v>
      </c>
      <c r="N1438" s="214">
        <v>0</v>
      </c>
      <c r="O1438" s="214">
        <v>0</v>
      </c>
      <c r="P1438" s="214">
        <v>0</v>
      </c>
      <c r="Q1438" s="214">
        <v>0</v>
      </c>
      <c r="R1438" s="214">
        <v>0</v>
      </c>
      <c r="S1438" s="214">
        <v>0</v>
      </c>
      <c r="T1438" s="214">
        <v>0</v>
      </c>
      <c r="U1438" s="214">
        <v>0</v>
      </c>
      <c r="V1438" s="214">
        <v>0</v>
      </c>
      <c r="W1438" s="214">
        <v>0</v>
      </c>
      <c r="X1438" s="214">
        <v>0</v>
      </c>
      <c r="Y1438" s="214">
        <v>0</v>
      </c>
      <c r="Z1438" s="214">
        <v>0</v>
      </c>
      <c r="AA1438" s="214">
        <v>0</v>
      </c>
      <c r="AB1438" s="214">
        <v>0</v>
      </c>
      <c r="AC1438" s="214">
        <v>0</v>
      </c>
      <c r="AD1438" s="216"/>
      <c r="AE1438" s="420">
        <v>0</v>
      </c>
      <c r="AF1438" s="420">
        <v>0</v>
      </c>
      <c r="AG1438" s="420">
        <v>0</v>
      </c>
      <c r="AH1438" s="421"/>
      <c r="AI1438" s="574">
        <f t="shared" si="36"/>
        <v>0</v>
      </c>
      <c r="AJ1438" s="212"/>
    </row>
    <row r="1439" spans="2:36" ht="14.4">
      <c r="B1439" s="211"/>
      <c r="C1439" s="213" t="s">
        <v>69</v>
      </c>
      <c r="D1439" s="214">
        <v>0</v>
      </c>
      <c r="E1439" s="214">
        <v>0</v>
      </c>
      <c r="F1439" s="214">
        <v>0</v>
      </c>
      <c r="G1439" s="214">
        <v>0</v>
      </c>
      <c r="H1439" s="214">
        <v>0</v>
      </c>
      <c r="I1439" s="214">
        <v>0</v>
      </c>
      <c r="J1439" s="214">
        <v>0</v>
      </c>
      <c r="K1439" s="214">
        <v>0</v>
      </c>
      <c r="L1439" s="214">
        <v>0</v>
      </c>
      <c r="M1439" s="214">
        <v>0</v>
      </c>
      <c r="N1439" s="214">
        <v>0</v>
      </c>
      <c r="O1439" s="214">
        <v>0</v>
      </c>
      <c r="P1439" s="214">
        <v>0</v>
      </c>
      <c r="Q1439" s="214">
        <v>0</v>
      </c>
      <c r="R1439" s="214">
        <v>0</v>
      </c>
      <c r="S1439" s="214">
        <v>0</v>
      </c>
      <c r="T1439" s="214">
        <v>0</v>
      </c>
      <c r="U1439" s="214">
        <v>0</v>
      </c>
      <c r="V1439" s="214">
        <v>0</v>
      </c>
      <c r="W1439" s="214">
        <v>0</v>
      </c>
      <c r="X1439" s="214">
        <v>0</v>
      </c>
      <c r="Y1439" s="214">
        <v>0</v>
      </c>
      <c r="Z1439" s="214">
        <v>0</v>
      </c>
      <c r="AA1439" s="214">
        <v>0</v>
      </c>
      <c r="AB1439" s="214">
        <v>0</v>
      </c>
      <c r="AC1439" s="214">
        <v>0</v>
      </c>
      <c r="AD1439" s="216"/>
      <c r="AE1439" s="420">
        <v>0</v>
      </c>
      <c r="AF1439" s="420">
        <v>0</v>
      </c>
      <c r="AG1439" s="420">
        <v>0</v>
      </c>
      <c r="AH1439" s="421"/>
      <c r="AI1439" s="574">
        <f t="shared" si="36"/>
        <v>0</v>
      </c>
      <c r="AJ1439" s="212"/>
    </row>
    <row r="1440" spans="2:36" ht="14.4">
      <c r="B1440" s="211"/>
      <c r="C1440" s="213" t="s">
        <v>70</v>
      </c>
      <c r="D1440" s="214">
        <v>400</v>
      </c>
      <c r="E1440" s="214">
        <v>0</v>
      </c>
      <c r="F1440" s="214">
        <v>0</v>
      </c>
      <c r="G1440" s="214">
        <v>0</v>
      </c>
      <c r="H1440" s="214">
        <v>0</v>
      </c>
      <c r="I1440" s="214">
        <v>1610</v>
      </c>
      <c r="J1440" s="214">
        <v>0</v>
      </c>
      <c r="K1440" s="214">
        <v>0</v>
      </c>
      <c r="L1440" s="214">
        <v>0</v>
      </c>
      <c r="M1440" s="214">
        <v>0</v>
      </c>
      <c r="N1440" s="214">
        <v>0</v>
      </c>
      <c r="O1440" s="214">
        <v>0</v>
      </c>
      <c r="P1440" s="214">
        <v>0</v>
      </c>
      <c r="Q1440" s="214">
        <v>0</v>
      </c>
      <c r="R1440" s="214">
        <v>0</v>
      </c>
      <c r="S1440" s="214">
        <v>0</v>
      </c>
      <c r="T1440" s="214">
        <v>0</v>
      </c>
      <c r="U1440" s="214">
        <v>0</v>
      </c>
      <c r="V1440" s="214">
        <v>0</v>
      </c>
      <c r="W1440" s="214">
        <v>0</v>
      </c>
      <c r="X1440" s="214">
        <v>0</v>
      </c>
      <c r="Y1440" s="214">
        <v>0</v>
      </c>
      <c r="Z1440" s="214">
        <v>0</v>
      </c>
      <c r="AA1440" s="214">
        <v>0</v>
      </c>
      <c r="AB1440" s="214">
        <v>0</v>
      </c>
      <c r="AC1440" s="214">
        <v>0</v>
      </c>
      <c r="AD1440" s="216"/>
      <c r="AE1440" s="420">
        <v>2375</v>
      </c>
      <c r="AF1440" s="420">
        <v>0</v>
      </c>
      <c r="AG1440" s="420">
        <v>0</v>
      </c>
      <c r="AH1440" s="421"/>
      <c r="AI1440" s="574">
        <f t="shared" si="36"/>
        <v>4385</v>
      </c>
      <c r="AJ1440" s="212"/>
    </row>
    <row r="1441" spans="2:36" ht="14.4">
      <c r="B1441" s="211"/>
      <c r="C1441" s="213" t="s">
        <v>71</v>
      </c>
      <c r="D1441" s="214">
        <v>0</v>
      </c>
      <c r="E1441" s="214">
        <v>0</v>
      </c>
      <c r="F1441" s="214">
        <v>0</v>
      </c>
      <c r="G1441" s="214">
        <v>0</v>
      </c>
      <c r="H1441" s="214">
        <v>0</v>
      </c>
      <c r="I1441" s="214">
        <v>0</v>
      </c>
      <c r="J1441" s="214">
        <v>0</v>
      </c>
      <c r="K1441" s="214">
        <v>0</v>
      </c>
      <c r="L1441" s="214">
        <v>0</v>
      </c>
      <c r="M1441" s="214">
        <v>0</v>
      </c>
      <c r="N1441" s="214">
        <v>0</v>
      </c>
      <c r="O1441" s="214">
        <v>0</v>
      </c>
      <c r="P1441" s="214">
        <v>0</v>
      </c>
      <c r="Q1441" s="214">
        <v>0</v>
      </c>
      <c r="R1441" s="214">
        <v>0</v>
      </c>
      <c r="S1441" s="214">
        <v>0</v>
      </c>
      <c r="T1441" s="214">
        <v>0</v>
      </c>
      <c r="U1441" s="214">
        <v>0</v>
      </c>
      <c r="V1441" s="214">
        <v>0</v>
      </c>
      <c r="W1441" s="214">
        <v>0</v>
      </c>
      <c r="X1441" s="214">
        <v>0</v>
      </c>
      <c r="Y1441" s="214">
        <v>0</v>
      </c>
      <c r="Z1441" s="214">
        <v>0</v>
      </c>
      <c r="AA1441" s="214">
        <v>0</v>
      </c>
      <c r="AB1441" s="214">
        <v>0</v>
      </c>
      <c r="AC1441" s="214">
        <v>0</v>
      </c>
      <c r="AD1441" s="216"/>
      <c r="AE1441" s="420">
        <v>0</v>
      </c>
      <c r="AF1441" s="420">
        <v>0</v>
      </c>
      <c r="AG1441" s="420">
        <v>0</v>
      </c>
      <c r="AH1441" s="421"/>
      <c r="AI1441" s="574">
        <f t="shared" si="36"/>
        <v>0</v>
      </c>
      <c r="AJ1441" s="212"/>
    </row>
    <row r="1442" spans="2:36" ht="14.4">
      <c r="B1442" s="211"/>
      <c r="C1442" s="213" t="s">
        <v>159</v>
      </c>
      <c r="D1442" s="214">
        <v>26400</v>
      </c>
      <c r="E1442" s="214">
        <v>0</v>
      </c>
      <c r="F1442" s="214">
        <v>0</v>
      </c>
      <c r="G1442" s="214">
        <v>0</v>
      </c>
      <c r="H1442" s="214">
        <v>0</v>
      </c>
      <c r="I1442" s="214">
        <v>0</v>
      </c>
      <c r="J1442" s="214">
        <v>0</v>
      </c>
      <c r="K1442" s="214">
        <v>0</v>
      </c>
      <c r="L1442" s="214">
        <v>0</v>
      </c>
      <c r="M1442" s="214">
        <v>0</v>
      </c>
      <c r="N1442" s="214">
        <v>0</v>
      </c>
      <c r="O1442" s="214">
        <v>0</v>
      </c>
      <c r="P1442" s="214">
        <v>0</v>
      </c>
      <c r="Q1442" s="214">
        <v>0</v>
      </c>
      <c r="R1442" s="214">
        <v>0</v>
      </c>
      <c r="S1442" s="214">
        <v>0</v>
      </c>
      <c r="T1442" s="214">
        <v>0</v>
      </c>
      <c r="U1442" s="214">
        <v>0</v>
      </c>
      <c r="V1442" s="214">
        <v>0</v>
      </c>
      <c r="W1442" s="214">
        <v>0</v>
      </c>
      <c r="X1442" s="214">
        <v>0</v>
      </c>
      <c r="Y1442" s="214">
        <v>0</v>
      </c>
      <c r="Z1442" s="214">
        <v>0</v>
      </c>
      <c r="AA1442" s="214">
        <v>0</v>
      </c>
      <c r="AB1442" s="214">
        <v>0</v>
      </c>
      <c r="AC1442" s="214">
        <v>0</v>
      </c>
      <c r="AD1442" s="216"/>
      <c r="AE1442" s="420">
        <v>0</v>
      </c>
      <c r="AF1442" s="420">
        <v>0</v>
      </c>
      <c r="AG1442" s="420">
        <v>0</v>
      </c>
      <c r="AH1442" s="421"/>
      <c r="AI1442" s="574">
        <f t="shared" si="36"/>
        <v>26400</v>
      </c>
      <c r="AJ1442" s="212"/>
    </row>
    <row r="1443" spans="2:36" ht="14.4">
      <c r="B1443" s="211"/>
      <c r="C1443" s="213" t="s">
        <v>72</v>
      </c>
      <c r="D1443" s="214">
        <v>6000</v>
      </c>
      <c r="E1443" s="214">
        <v>0</v>
      </c>
      <c r="F1443" s="214">
        <v>0</v>
      </c>
      <c r="G1443" s="214">
        <v>0</v>
      </c>
      <c r="H1443" s="214">
        <v>0</v>
      </c>
      <c r="I1443" s="214">
        <v>0</v>
      </c>
      <c r="J1443" s="214">
        <v>0</v>
      </c>
      <c r="K1443" s="214">
        <v>0</v>
      </c>
      <c r="L1443" s="214">
        <v>0</v>
      </c>
      <c r="M1443" s="214">
        <v>0</v>
      </c>
      <c r="N1443" s="214">
        <v>0</v>
      </c>
      <c r="O1443" s="214">
        <v>0</v>
      </c>
      <c r="P1443" s="214">
        <v>0</v>
      </c>
      <c r="Q1443" s="214">
        <v>0</v>
      </c>
      <c r="R1443" s="214">
        <v>0</v>
      </c>
      <c r="S1443" s="214">
        <v>0</v>
      </c>
      <c r="T1443" s="214">
        <v>0</v>
      </c>
      <c r="U1443" s="214">
        <v>0</v>
      </c>
      <c r="V1443" s="214">
        <v>0</v>
      </c>
      <c r="W1443" s="214">
        <v>0</v>
      </c>
      <c r="X1443" s="214">
        <v>0</v>
      </c>
      <c r="Y1443" s="214">
        <v>0</v>
      </c>
      <c r="Z1443" s="214">
        <v>0</v>
      </c>
      <c r="AA1443" s="214">
        <v>0</v>
      </c>
      <c r="AB1443" s="214">
        <v>0</v>
      </c>
      <c r="AC1443" s="214">
        <v>0</v>
      </c>
      <c r="AD1443" s="216"/>
      <c r="AE1443" s="420">
        <v>0</v>
      </c>
      <c r="AF1443" s="420">
        <v>0</v>
      </c>
      <c r="AG1443" s="420">
        <v>0</v>
      </c>
      <c r="AH1443" s="421"/>
      <c r="AI1443" s="574">
        <f t="shared" si="36"/>
        <v>6000</v>
      </c>
      <c r="AJ1443" s="212"/>
    </row>
    <row r="1444" spans="2:36" ht="14.4">
      <c r="B1444" s="211"/>
      <c r="C1444" s="213" t="s">
        <v>73</v>
      </c>
      <c r="D1444" s="214">
        <v>0</v>
      </c>
      <c r="E1444" s="214">
        <v>0</v>
      </c>
      <c r="F1444" s="214">
        <v>0</v>
      </c>
      <c r="G1444" s="214">
        <v>0</v>
      </c>
      <c r="H1444" s="214">
        <v>0</v>
      </c>
      <c r="I1444" s="214">
        <v>0</v>
      </c>
      <c r="J1444" s="214">
        <v>0</v>
      </c>
      <c r="K1444" s="214">
        <v>0</v>
      </c>
      <c r="L1444" s="214">
        <v>0</v>
      </c>
      <c r="M1444" s="214">
        <v>0</v>
      </c>
      <c r="N1444" s="214">
        <v>0</v>
      </c>
      <c r="O1444" s="214">
        <v>0</v>
      </c>
      <c r="P1444" s="214">
        <v>0</v>
      </c>
      <c r="Q1444" s="214">
        <v>0</v>
      </c>
      <c r="R1444" s="214">
        <v>0</v>
      </c>
      <c r="S1444" s="214">
        <v>0</v>
      </c>
      <c r="T1444" s="214">
        <v>0</v>
      </c>
      <c r="U1444" s="214">
        <v>0</v>
      </c>
      <c r="V1444" s="214">
        <v>0</v>
      </c>
      <c r="W1444" s="214">
        <v>0</v>
      </c>
      <c r="X1444" s="214">
        <v>0</v>
      </c>
      <c r="Y1444" s="214">
        <v>0</v>
      </c>
      <c r="Z1444" s="214">
        <v>0</v>
      </c>
      <c r="AA1444" s="214">
        <v>0</v>
      </c>
      <c r="AB1444" s="214">
        <v>0</v>
      </c>
      <c r="AC1444" s="214">
        <v>0</v>
      </c>
      <c r="AD1444" s="216"/>
      <c r="AE1444" s="420">
        <v>0</v>
      </c>
      <c r="AF1444" s="420">
        <v>0</v>
      </c>
      <c r="AG1444" s="420">
        <v>0</v>
      </c>
      <c r="AH1444" s="421"/>
      <c r="AI1444" s="574">
        <f t="shared" si="36"/>
        <v>0</v>
      </c>
      <c r="AJ1444" s="212"/>
    </row>
    <row r="1445" spans="2:36" ht="14.4">
      <c r="B1445" s="211"/>
      <c r="C1445" s="213" t="s">
        <v>246</v>
      </c>
      <c r="D1445" s="214">
        <v>2335</v>
      </c>
      <c r="E1445" s="214">
        <v>0</v>
      </c>
      <c r="F1445" s="214">
        <v>0</v>
      </c>
      <c r="G1445" s="214">
        <v>0</v>
      </c>
      <c r="H1445" s="214">
        <v>0</v>
      </c>
      <c r="I1445" s="214">
        <v>0</v>
      </c>
      <c r="J1445" s="214">
        <v>0</v>
      </c>
      <c r="K1445" s="214">
        <v>0</v>
      </c>
      <c r="L1445" s="214">
        <v>0</v>
      </c>
      <c r="M1445" s="214">
        <v>0</v>
      </c>
      <c r="N1445" s="214">
        <v>0</v>
      </c>
      <c r="O1445" s="214">
        <v>0</v>
      </c>
      <c r="P1445" s="214">
        <v>0</v>
      </c>
      <c r="Q1445" s="214">
        <v>0</v>
      </c>
      <c r="R1445" s="214">
        <v>0</v>
      </c>
      <c r="S1445" s="214">
        <v>0</v>
      </c>
      <c r="T1445" s="214">
        <v>0</v>
      </c>
      <c r="U1445" s="214">
        <v>0</v>
      </c>
      <c r="V1445" s="214">
        <v>0</v>
      </c>
      <c r="W1445" s="214">
        <v>0</v>
      </c>
      <c r="X1445" s="214">
        <v>0</v>
      </c>
      <c r="Y1445" s="214">
        <v>0</v>
      </c>
      <c r="Z1445" s="214">
        <v>0</v>
      </c>
      <c r="AA1445" s="214">
        <v>0</v>
      </c>
      <c r="AB1445" s="214">
        <v>0</v>
      </c>
      <c r="AC1445" s="214">
        <v>0</v>
      </c>
      <c r="AD1445" s="216"/>
      <c r="AE1445" s="420">
        <v>0</v>
      </c>
      <c r="AF1445" s="420">
        <v>0</v>
      </c>
      <c r="AG1445" s="420">
        <v>0</v>
      </c>
      <c r="AH1445" s="421"/>
      <c r="AI1445" s="574">
        <f t="shared" si="36"/>
        <v>2335</v>
      </c>
      <c r="AJ1445" s="212"/>
    </row>
    <row r="1446" spans="2:36" ht="14.4">
      <c r="B1446" s="211"/>
      <c r="C1446" s="213" t="s">
        <v>75</v>
      </c>
      <c r="D1446" s="214">
        <v>0</v>
      </c>
      <c r="E1446" s="214">
        <v>0</v>
      </c>
      <c r="F1446" s="214">
        <v>0</v>
      </c>
      <c r="G1446" s="214">
        <v>0</v>
      </c>
      <c r="H1446" s="214">
        <v>0</v>
      </c>
      <c r="I1446" s="214">
        <v>0</v>
      </c>
      <c r="J1446" s="214">
        <v>0</v>
      </c>
      <c r="K1446" s="214">
        <v>0</v>
      </c>
      <c r="L1446" s="214">
        <v>0</v>
      </c>
      <c r="M1446" s="214">
        <v>0</v>
      </c>
      <c r="N1446" s="214">
        <v>0</v>
      </c>
      <c r="O1446" s="214">
        <v>0</v>
      </c>
      <c r="P1446" s="214">
        <v>0</v>
      </c>
      <c r="Q1446" s="214">
        <v>0</v>
      </c>
      <c r="R1446" s="214">
        <v>0</v>
      </c>
      <c r="S1446" s="214">
        <v>0</v>
      </c>
      <c r="T1446" s="214">
        <v>0</v>
      </c>
      <c r="U1446" s="214">
        <v>0</v>
      </c>
      <c r="V1446" s="214">
        <v>0</v>
      </c>
      <c r="W1446" s="214">
        <v>0</v>
      </c>
      <c r="X1446" s="214">
        <v>0</v>
      </c>
      <c r="Y1446" s="214">
        <v>0</v>
      </c>
      <c r="Z1446" s="214">
        <v>0</v>
      </c>
      <c r="AA1446" s="214">
        <v>0</v>
      </c>
      <c r="AB1446" s="214">
        <v>0</v>
      </c>
      <c r="AC1446" s="214">
        <v>0</v>
      </c>
      <c r="AD1446" s="216"/>
      <c r="AE1446" s="420">
        <v>0</v>
      </c>
      <c r="AF1446" s="420">
        <v>0</v>
      </c>
      <c r="AG1446" s="420">
        <v>0</v>
      </c>
      <c r="AH1446" s="421"/>
      <c r="AI1446" s="574">
        <f t="shared" si="36"/>
        <v>0</v>
      </c>
      <c r="AJ1446" s="212"/>
    </row>
    <row r="1447" spans="2:36" ht="14.4">
      <c r="B1447" s="211"/>
      <c r="C1447" s="213" t="s">
        <v>76</v>
      </c>
      <c r="D1447" s="214">
        <v>0</v>
      </c>
      <c r="E1447" s="214">
        <v>0</v>
      </c>
      <c r="F1447" s="214">
        <v>0</v>
      </c>
      <c r="G1447" s="214">
        <v>0</v>
      </c>
      <c r="H1447" s="214">
        <v>0</v>
      </c>
      <c r="I1447" s="214">
        <v>0</v>
      </c>
      <c r="J1447" s="214">
        <v>0</v>
      </c>
      <c r="K1447" s="214">
        <v>0</v>
      </c>
      <c r="L1447" s="214">
        <v>0</v>
      </c>
      <c r="M1447" s="214">
        <v>0</v>
      </c>
      <c r="N1447" s="214">
        <v>0</v>
      </c>
      <c r="O1447" s="214">
        <v>0</v>
      </c>
      <c r="P1447" s="214">
        <v>0</v>
      </c>
      <c r="Q1447" s="214">
        <v>0</v>
      </c>
      <c r="R1447" s="214">
        <v>0</v>
      </c>
      <c r="S1447" s="214">
        <v>0</v>
      </c>
      <c r="T1447" s="214">
        <v>0</v>
      </c>
      <c r="U1447" s="214">
        <v>0</v>
      </c>
      <c r="V1447" s="214">
        <v>0</v>
      </c>
      <c r="W1447" s="214">
        <v>0</v>
      </c>
      <c r="X1447" s="214">
        <v>0</v>
      </c>
      <c r="Y1447" s="214">
        <v>0</v>
      </c>
      <c r="Z1447" s="214">
        <v>0</v>
      </c>
      <c r="AA1447" s="214">
        <v>0</v>
      </c>
      <c r="AB1447" s="214">
        <v>0</v>
      </c>
      <c r="AC1447" s="214">
        <v>0</v>
      </c>
      <c r="AD1447" s="216"/>
      <c r="AE1447" s="420">
        <v>0</v>
      </c>
      <c r="AF1447" s="420">
        <v>0</v>
      </c>
      <c r="AG1447" s="420">
        <v>0</v>
      </c>
      <c r="AH1447" s="421"/>
      <c r="AI1447" s="574">
        <f t="shared" si="36"/>
        <v>0</v>
      </c>
      <c r="AJ1447" s="212"/>
    </row>
    <row r="1448" spans="2:36" ht="14.4">
      <c r="B1448" s="211"/>
      <c r="C1448" s="213" t="s">
        <v>77</v>
      </c>
      <c r="D1448" s="214">
        <v>0</v>
      </c>
      <c r="E1448" s="214">
        <v>0</v>
      </c>
      <c r="F1448" s="214">
        <v>0</v>
      </c>
      <c r="G1448" s="214">
        <v>0</v>
      </c>
      <c r="H1448" s="214">
        <v>0</v>
      </c>
      <c r="I1448" s="214">
        <v>0</v>
      </c>
      <c r="J1448" s="214">
        <v>0</v>
      </c>
      <c r="K1448" s="214">
        <v>0</v>
      </c>
      <c r="L1448" s="214">
        <v>0</v>
      </c>
      <c r="M1448" s="214">
        <v>0</v>
      </c>
      <c r="N1448" s="214">
        <v>0</v>
      </c>
      <c r="O1448" s="214">
        <v>0</v>
      </c>
      <c r="P1448" s="214">
        <v>0</v>
      </c>
      <c r="Q1448" s="214">
        <v>0</v>
      </c>
      <c r="R1448" s="214">
        <v>0</v>
      </c>
      <c r="S1448" s="214">
        <v>0</v>
      </c>
      <c r="T1448" s="214">
        <v>0</v>
      </c>
      <c r="U1448" s="214">
        <v>0</v>
      </c>
      <c r="V1448" s="214">
        <v>0</v>
      </c>
      <c r="W1448" s="214">
        <v>0</v>
      </c>
      <c r="X1448" s="214">
        <v>0</v>
      </c>
      <c r="Y1448" s="214">
        <v>0</v>
      </c>
      <c r="Z1448" s="214">
        <v>0</v>
      </c>
      <c r="AA1448" s="214">
        <v>0</v>
      </c>
      <c r="AB1448" s="214">
        <v>0</v>
      </c>
      <c r="AC1448" s="214">
        <v>0</v>
      </c>
      <c r="AD1448" s="216"/>
      <c r="AE1448" s="420">
        <v>0</v>
      </c>
      <c r="AF1448" s="420">
        <v>0</v>
      </c>
      <c r="AG1448" s="420">
        <v>0</v>
      </c>
      <c r="AH1448" s="421"/>
      <c r="AI1448" s="574">
        <f t="shared" si="36"/>
        <v>0</v>
      </c>
      <c r="AJ1448" s="212"/>
    </row>
    <row r="1449" spans="2:36" ht="14.4">
      <c r="B1449" s="211"/>
      <c r="C1449" s="213" t="s">
        <v>78</v>
      </c>
      <c r="D1449" s="214">
        <v>0</v>
      </c>
      <c r="E1449" s="214">
        <v>0</v>
      </c>
      <c r="F1449" s="214">
        <v>0</v>
      </c>
      <c r="G1449" s="214">
        <v>0</v>
      </c>
      <c r="H1449" s="214">
        <v>0</v>
      </c>
      <c r="I1449" s="214">
        <v>0</v>
      </c>
      <c r="J1449" s="214">
        <v>0</v>
      </c>
      <c r="K1449" s="214">
        <v>0</v>
      </c>
      <c r="L1449" s="214">
        <v>0</v>
      </c>
      <c r="M1449" s="214">
        <v>0</v>
      </c>
      <c r="N1449" s="214">
        <v>0</v>
      </c>
      <c r="O1449" s="214">
        <v>0</v>
      </c>
      <c r="P1449" s="214">
        <v>0</v>
      </c>
      <c r="Q1449" s="214">
        <v>0</v>
      </c>
      <c r="R1449" s="214">
        <v>0</v>
      </c>
      <c r="S1449" s="214">
        <v>0</v>
      </c>
      <c r="T1449" s="214">
        <v>0</v>
      </c>
      <c r="U1449" s="214">
        <v>0</v>
      </c>
      <c r="V1449" s="214">
        <v>0</v>
      </c>
      <c r="W1449" s="214">
        <v>0</v>
      </c>
      <c r="X1449" s="214">
        <v>0</v>
      </c>
      <c r="Y1449" s="214">
        <v>0</v>
      </c>
      <c r="Z1449" s="214">
        <v>0</v>
      </c>
      <c r="AA1449" s="214">
        <v>0</v>
      </c>
      <c r="AB1449" s="214">
        <v>0</v>
      </c>
      <c r="AC1449" s="214">
        <v>0</v>
      </c>
      <c r="AD1449" s="216"/>
      <c r="AE1449" s="420">
        <v>0</v>
      </c>
      <c r="AF1449" s="420">
        <v>0</v>
      </c>
      <c r="AG1449" s="420">
        <v>0</v>
      </c>
      <c r="AH1449" s="421"/>
      <c r="AI1449" s="574">
        <f t="shared" si="36"/>
        <v>0</v>
      </c>
      <c r="AJ1449" s="212"/>
    </row>
    <row r="1450" spans="2:36" ht="14.4">
      <c r="B1450" s="211"/>
      <c r="C1450" s="213" t="s">
        <v>79</v>
      </c>
      <c r="D1450" s="214">
        <v>0</v>
      </c>
      <c r="E1450" s="214">
        <v>0</v>
      </c>
      <c r="F1450" s="214">
        <v>0</v>
      </c>
      <c r="G1450" s="214">
        <v>0</v>
      </c>
      <c r="H1450" s="214">
        <v>0</v>
      </c>
      <c r="I1450" s="214">
        <v>0</v>
      </c>
      <c r="J1450" s="214">
        <v>0</v>
      </c>
      <c r="K1450" s="214">
        <v>0</v>
      </c>
      <c r="L1450" s="214">
        <v>0</v>
      </c>
      <c r="M1450" s="214">
        <v>0</v>
      </c>
      <c r="N1450" s="214">
        <v>0</v>
      </c>
      <c r="O1450" s="214">
        <v>0</v>
      </c>
      <c r="P1450" s="214">
        <v>0</v>
      </c>
      <c r="Q1450" s="214">
        <v>0</v>
      </c>
      <c r="R1450" s="214">
        <v>0</v>
      </c>
      <c r="S1450" s="214">
        <v>0</v>
      </c>
      <c r="T1450" s="214">
        <v>0</v>
      </c>
      <c r="U1450" s="214">
        <v>0</v>
      </c>
      <c r="V1450" s="214">
        <v>0</v>
      </c>
      <c r="W1450" s="214">
        <v>0</v>
      </c>
      <c r="X1450" s="214">
        <v>0</v>
      </c>
      <c r="Y1450" s="214">
        <v>0</v>
      </c>
      <c r="Z1450" s="214">
        <v>0</v>
      </c>
      <c r="AA1450" s="214">
        <v>0</v>
      </c>
      <c r="AB1450" s="214">
        <v>0</v>
      </c>
      <c r="AC1450" s="214">
        <v>0</v>
      </c>
      <c r="AD1450" s="216"/>
      <c r="AE1450" s="420">
        <v>0</v>
      </c>
      <c r="AF1450" s="420">
        <v>0</v>
      </c>
      <c r="AG1450" s="420">
        <v>0</v>
      </c>
      <c r="AH1450" s="421"/>
      <c r="AI1450" s="574">
        <f t="shared" si="36"/>
        <v>0</v>
      </c>
      <c r="AJ1450" s="212"/>
    </row>
    <row r="1451" spans="2:36" ht="14.4">
      <c r="B1451" s="211"/>
      <c r="C1451" s="213" t="s">
        <v>80</v>
      </c>
      <c r="D1451" s="214">
        <v>0</v>
      </c>
      <c r="E1451" s="214">
        <v>0</v>
      </c>
      <c r="F1451" s="214">
        <v>0</v>
      </c>
      <c r="G1451" s="214">
        <v>0</v>
      </c>
      <c r="H1451" s="214">
        <v>0</v>
      </c>
      <c r="I1451" s="214">
        <v>0</v>
      </c>
      <c r="J1451" s="214">
        <v>0</v>
      </c>
      <c r="K1451" s="214">
        <v>0</v>
      </c>
      <c r="L1451" s="214">
        <v>0</v>
      </c>
      <c r="M1451" s="214">
        <v>0</v>
      </c>
      <c r="N1451" s="214">
        <v>0</v>
      </c>
      <c r="O1451" s="214">
        <v>0</v>
      </c>
      <c r="P1451" s="214">
        <v>0</v>
      </c>
      <c r="Q1451" s="214">
        <v>0</v>
      </c>
      <c r="R1451" s="214">
        <v>0</v>
      </c>
      <c r="S1451" s="214">
        <v>0</v>
      </c>
      <c r="T1451" s="214">
        <v>0</v>
      </c>
      <c r="U1451" s="214">
        <v>0</v>
      </c>
      <c r="V1451" s="214">
        <v>0</v>
      </c>
      <c r="W1451" s="214">
        <v>0</v>
      </c>
      <c r="X1451" s="214">
        <v>0</v>
      </c>
      <c r="Y1451" s="214">
        <v>0</v>
      </c>
      <c r="Z1451" s="214">
        <v>0</v>
      </c>
      <c r="AA1451" s="214">
        <v>0</v>
      </c>
      <c r="AB1451" s="214">
        <v>0</v>
      </c>
      <c r="AC1451" s="214">
        <v>0</v>
      </c>
      <c r="AD1451" s="216"/>
      <c r="AE1451" s="420">
        <v>0</v>
      </c>
      <c r="AF1451" s="420">
        <v>0</v>
      </c>
      <c r="AG1451" s="420">
        <v>0</v>
      </c>
      <c r="AH1451" s="421"/>
      <c r="AI1451" s="574">
        <f t="shared" si="36"/>
        <v>0</v>
      </c>
      <c r="AJ1451" s="212"/>
    </row>
    <row r="1452" spans="2:36" ht="14.4">
      <c r="B1452" s="211"/>
      <c r="C1452" s="213" t="s">
        <v>81</v>
      </c>
      <c r="D1452" s="214">
        <v>0</v>
      </c>
      <c r="E1452" s="214">
        <v>0</v>
      </c>
      <c r="F1452" s="214">
        <v>0</v>
      </c>
      <c r="G1452" s="214">
        <v>0</v>
      </c>
      <c r="H1452" s="214">
        <v>0</v>
      </c>
      <c r="I1452" s="214">
        <v>0</v>
      </c>
      <c r="J1452" s="214">
        <v>0</v>
      </c>
      <c r="K1452" s="214">
        <v>0</v>
      </c>
      <c r="L1452" s="214">
        <v>0</v>
      </c>
      <c r="M1452" s="214">
        <v>0</v>
      </c>
      <c r="N1452" s="214">
        <v>0</v>
      </c>
      <c r="O1452" s="214">
        <v>0</v>
      </c>
      <c r="P1452" s="214">
        <v>0</v>
      </c>
      <c r="Q1452" s="214">
        <v>0</v>
      </c>
      <c r="R1452" s="214">
        <v>0</v>
      </c>
      <c r="S1452" s="214">
        <v>0</v>
      </c>
      <c r="T1452" s="214">
        <v>0</v>
      </c>
      <c r="U1452" s="214">
        <v>0</v>
      </c>
      <c r="V1452" s="214">
        <v>0</v>
      </c>
      <c r="W1452" s="214">
        <v>0</v>
      </c>
      <c r="X1452" s="214">
        <v>0</v>
      </c>
      <c r="Y1452" s="214">
        <v>0</v>
      </c>
      <c r="Z1452" s="214">
        <v>0</v>
      </c>
      <c r="AA1452" s="214">
        <v>0</v>
      </c>
      <c r="AB1452" s="214">
        <v>0</v>
      </c>
      <c r="AC1452" s="214">
        <v>0</v>
      </c>
      <c r="AD1452" s="216"/>
      <c r="AE1452" s="420">
        <v>0</v>
      </c>
      <c r="AF1452" s="420">
        <v>0</v>
      </c>
      <c r="AG1452" s="420">
        <v>0</v>
      </c>
      <c r="AH1452" s="421"/>
      <c r="AI1452" s="574">
        <f t="shared" si="36"/>
        <v>0</v>
      </c>
      <c r="AJ1452" s="212"/>
    </row>
    <row r="1453" spans="2:36" ht="14.4">
      <c r="B1453" s="211"/>
      <c r="C1453" s="213" t="s">
        <v>82</v>
      </c>
      <c r="D1453" s="214">
        <v>0</v>
      </c>
      <c r="E1453" s="214">
        <v>0</v>
      </c>
      <c r="F1453" s="214">
        <v>0</v>
      </c>
      <c r="G1453" s="214">
        <v>0</v>
      </c>
      <c r="H1453" s="214">
        <v>0</v>
      </c>
      <c r="I1453" s="214">
        <v>0</v>
      </c>
      <c r="J1453" s="214">
        <v>0</v>
      </c>
      <c r="K1453" s="214">
        <v>0</v>
      </c>
      <c r="L1453" s="214">
        <v>0</v>
      </c>
      <c r="M1453" s="214">
        <v>0</v>
      </c>
      <c r="N1453" s="214">
        <v>0</v>
      </c>
      <c r="O1453" s="214">
        <v>0</v>
      </c>
      <c r="P1453" s="214">
        <v>0</v>
      </c>
      <c r="Q1453" s="214">
        <v>0</v>
      </c>
      <c r="R1453" s="214">
        <v>0</v>
      </c>
      <c r="S1453" s="214">
        <v>0</v>
      </c>
      <c r="T1453" s="214">
        <v>0</v>
      </c>
      <c r="U1453" s="214">
        <v>0</v>
      </c>
      <c r="V1453" s="214">
        <v>0</v>
      </c>
      <c r="W1453" s="214">
        <v>0</v>
      </c>
      <c r="X1453" s="214">
        <v>0</v>
      </c>
      <c r="Y1453" s="214">
        <v>0</v>
      </c>
      <c r="Z1453" s="214">
        <v>0</v>
      </c>
      <c r="AA1453" s="214">
        <v>0</v>
      </c>
      <c r="AB1453" s="214">
        <v>0</v>
      </c>
      <c r="AC1453" s="214">
        <v>0</v>
      </c>
      <c r="AD1453" s="216"/>
      <c r="AE1453" s="420">
        <v>0</v>
      </c>
      <c r="AF1453" s="420">
        <v>0</v>
      </c>
      <c r="AG1453" s="420">
        <v>0</v>
      </c>
      <c r="AH1453" s="421"/>
      <c r="AI1453" s="574">
        <f t="shared" si="36"/>
        <v>0</v>
      </c>
      <c r="AJ1453" s="212"/>
    </row>
    <row r="1454" spans="2:36" ht="14.4">
      <c r="B1454" s="211"/>
      <c r="C1454" s="213" t="s">
        <v>83</v>
      </c>
      <c r="D1454" s="214">
        <v>0</v>
      </c>
      <c r="E1454" s="214">
        <v>0</v>
      </c>
      <c r="F1454" s="214">
        <v>0</v>
      </c>
      <c r="G1454" s="214">
        <v>0</v>
      </c>
      <c r="H1454" s="214">
        <v>0</v>
      </c>
      <c r="I1454" s="214">
        <v>0</v>
      </c>
      <c r="J1454" s="214">
        <v>0</v>
      </c>
      <c r="K1454" s="214">
        <v>0</v>
      </c>
      <c r="L1454" s="214">
        <v>0</v>
      </c>
      <c r="M1454" s="214">
        <v>0</v>
      </c>
      <c r="N1454" s="214">
        <v>0</v>
      </c>
      <c r="O1454" s="214">
        <v>0</v>
      </c>
      <c r="P1454" s="214">
        <v>0</v>
      </c>
      <c r="Q1454" s="214">
        <v>0</v>
      </c>
      <c r="R1454" s="214">
        <v>0</v>
      </c>
      <c r="S1454" s="214">
        <v>0</v>
      </c>
      <c r="T1454" s="214">
        <v>0</v>
      </c>
      <c r="U1454" s="214">
        <v>0</v>
      </c>
      <c r="V1454" s="214">
        <v>0</v>
      </c>
      <c r="W1454" s="214">
        <v>0</v>
      </c>
      <c r="X1454" s="214">
        <v>0</v>
      </c>
      <c r="Y1454" s="214">
        <v>0</v>
      </c>
      <c r="Z1454" s="214">
        <v>0</v>
      </c>
      <c r="AA1454" s="214">
        <v>0</v>
      </c>
      <c r="AB1454" s="214">
        <v>0</v>
      </c>
      <c r="AC1454" s="214">
        <v>0</v>
      </c>
      <c r="AD1454" s="216"/>
      <c r="AE1454" s="420">
        <v>0</v>
      </c>
      <c r="AF1454" s="420">
        <v>0</v>
      </c>
      <c r="AG1454" s="420">
        <v>0</v>
      </c>
      <c r="AH1454" s="421"/>
      <c r="AI1454" s="574">
        <f t="shared" si="36"/>
        <v>0</v>
      </c>
      <c r="AJ1454" s="212"/>
    </row>
    <row r="1455" spans="2:36" ht="14.4">
      <c r="B1455" s="211"/>
      <c r="C1455" s="213" t="s">
        <v>84</v>
      </c>
      <c r="D1455" s="214">
        <v>0</v>
      </c>
      <c r="E1455" s="214">
        <v>0</v>
      </c>
      <c r="F1455" s="214">
        <v>0</v>
      </c>
      <c r="G1455" s="214">
        <v>0</v>
      </c>
      <c r="H1455" s="214">
        <v>0</v>
      </c>
      <c r="I1455" s="214">
        <v>0</v>
      </c>
      <c r="J1455" s="214">
        <v>0</v>
      </c>
      <c r="K1455" s="214">
        <v>0</v>
      </c>
      <c r="L1455" s="214">
        <v>0</v>
      </c>
      <c r="M1455" s="214">
        <v>0</v>
      </c>
      <c r="N1455" s="214">
        <v>0</v>
      </c>
      <c r="O1455" s="214">
        <v>0</v>
      </c>
      <c r="P1455" s="214">
        <v>0</v>
      </c>
      <c r="Q1455" s="214">
        <v>0</v>
      </c>
      <c r="R1455" s="214">
        <v>0</v>
      </c>
      <c r="S1455" s="214">
        <v>0</v>
      </c>
      <c r="T1455" s="214">
        <v>0</v>
      </c>
      <c r="U1455" s="214">
        <v>0</v>
      </c>
      <c r="V1455" s="214">
        <v>0</v>
      </c>
      <c r="W1455" s="214">
        <v>0</v>
      </c>
      <c r="X1455" s="214">
        <v>0</v>
      </c>
      <c r="Y1455" s="214">
        <v>0</v>
      </c>
      <c r="Z1455" s="214">
        <v>0</v>
      </c>
      <c r="AA1455" s="214">
        <v>0</v>
      </c>
      <c r="AB1455" s="214">
        <v>0</v>
      </c>
      <c r="AC1455" s="214">
        <v>0</v>
      </c>
      <c r="AD1455" s="216"/>
      <c r="AE1455" s="420">
        <v>0</v>
      </c>
      <c r="AF1455" s="420">
        <v>0</v>
      </c>
      <c r="AG1455" s="420">
        <v>0</v>
      </c>
      <c r="AH1455" s="421"/>
      <c r="AI1455" s="574">
        <f t="shared" si="36"/>
        <v>0</v>
      </c>
      <c r="AJ1455" s="212"/>
    </row>
    <row r="1456" spans="2:36" ht="14.4">
      <c r="B1456" s="211"/>
      <c r="C1456" s="213" t="s">
        <v>85</v>
      </c>
      <c r="D1456" s="214">
        <v>0</v>
      </c>
      <c r="E1456" s="214">
        <v>3800</v>
      </c>
      <c r="F1456" s="214">
        <v>200</v>
      </c>
      <c r="G1456" s="214">
        <v>0</v>
      </c>
      <c r="H1456" s="214">
        <v>7466</v>
      </c>
      <c r="I1456" s="214">
        <v>16684</v>
      </c>
      <c r="J1456" s="214">
        <v>0</v>
      </c>
      <c r="K1456" s="214">
        <v>200</v>
      </c>
      <c r="L1456" s="214">
        <v>200</v>
      </c>
      <c r="M1456" s="214">
        <v>200</v>
      </c>
      <c r="N1456" s="214">
        <v>200</v>
      </c>
      <c r="O1456" s="214">
        <v>200</v>
      </c>
      <c r="P1456" s="214">
        <v>200</v>
      </c>
      <c r="Q1456" s="214">
        <v>8776</v>
      </c>
      <c r="R1456" s="214">
        <v>1092</v>
      </c>
      <c r="S1456" s="214">
        <v>0</v>
      </c>
      <c r="T1456" s="214">
        <v>0</v>
      </c>
      <c r="U1456" s="214">
        <v>5200</v>
      </c>
      <c r="V1456" s="214">
        <v>200</v>
      </c>
      <c r="W1456" s="214">
        <v>200</v>
      </c>
      <c r="X1456" s="214">
        <v>1984</v>
      </c>
      <c r="Y1456" s="214">
        <v>1150</v>
      </c>
      <c r="Z1456" s="214">
        <v>0</v>
      </c>
      <c r="AA1456" s="214">
        <v>200</v>
      </c>
      <c r="AB1456" s="214">
        <v>0</v>
      </c>
      <c r="AC1456" s="214">
        <v>5400</v>
      </c>
      <c r="AD1456" s="216"/>
      <c r="AE1456" s="420">
        <v>3535</v>
      </c>
      <c r="AF1456" s="420">
        <v>200</v>
      </c>
      <c r="AG1456" s="420">
        <v>200</v>
      </c>
      <c r="AH1456" s="421"/>
      <c r="AI1456" s="574">
        <f t="shared" si="36"/>
        <v>57487</v>
      </c>
      <c r="AJ1456" s="212"/>
    </row>
    <row r="1457" spans="2:36" ht="14.4">
      <c r="B1457" s="211"/>
      <c r="C1457" s="213" t="s">
        <v>86</v>
      </c>
      <c r="D1457" s="214">
        <v>0</v>
      </c>
      <c r="E1457" s="214">
        <v>0</v>
      </c>
      <c r="F1457" s="214">
        <v>0</v>
      </c>
      <c r="G1457" s="214">
        <v>0</v>
      </c>
      <c r="H1457" s="214">
        <v>0</v>
      </c>
      <c r="I1457" s="214">
        <v>0</v>
      </c>
      <c r="J1457" s="214">
        <v>0</v>
      </c>
      <c r="K1457" s="214">
        <v>0</v>
      </c>
      <c r="L1457" s="214">
        <v>0</v>
      </c>
      <c r="M1457" s="214">
        <v>0</v>
      </c>
      <c r="N1457" s="214">
        <v>0</v>
      </c>
      <c r="O1457" s="214">
        <v>0</v>
      </c>
      <c r="P1457" s="214">
        <v>0</v>
      </c>
      <c r="Q1457" s="214">
        <v>0</v>
      </c>
      <c r="R1457" s="214">
        <v>0</v>
      </c>
      <c r="S1457" s="214">
        <v>0</v>
      </c>
      <c r="T1457" s="214">
        <v>0</v>
      </c>
      <c r="U1457" s="214">
        <v>0</v>
      </c>
      <c r="V1457" s="214">
        <v>0</v>
      </c>
      <c r="W1457" s="214">
        <v>0</v>
      </c>
      <c r="X1457" s="214">
        <v>0</v>
      </c>
      <c r="Y1457" s="214">
        <v>0</v>
      </c>
      <c r="Z1457" s="214">
        <v>0</v>
      </c>
      <c r="AA1457" s="214">
        <v>0</v>
      </c>
      <c r="AB1457" s="214">
        <v>0</v>
      </c>
      <c r="AC1457" s="214">
        <v>0</v>
      </c>
      <c r="AD1457" s="216"/>
      <c r="AE1457" s="420">
        <v>0</v>
      </c>
      <c r="AF1457" s="420">
        <v>0</v>
      </c>
      <c r="AG1457" s="420">
        <v>0</v>
      </c>
      <c r="AH1457" s="421"/>
      <c r="AI1457" s="574">
        <f t="shared" si="36"/>
        <v>0</v>
      </c>
      <c r="AJ1457" s="212"/>
    </row>
    <row r="1458" spans="2:36" ht="14.4">
      <c r="B1458" s="211"/>
      <c r="C1458" s="213" t="s">
        <v>87</v>
      </c>
      <c r="D1458" s="214">
        <v>3000</v>
      </c>
      <c r="E1458" s="214">
        <v>0</v>
      </c>
      <c r="F1458" s="214">
        <v>0</v>
      </c>
      <c r="G1458" s="214">
        <v>0</v>
      </c>
      <c r="H1458" s="214">
        <v>790</v>
      </c>
      <c r="I1458" s="214">
        <v>1750</v>
      </c>
      <c r="J1458" s="214">
        <v>0</v>
      </c>
      <c r="K1458" s="214">
        <v>0</v>
      </c>
      <c r="L1458" s="214">
        <v>0</v>
      </c>
      <c r="M1458" s="214">
        <v>0</v>
      </c>
      <c r="N1458" s="214">
        <v>0</v>
      </c>
      <c r="O1458" s="214">
        <v>0</v>
      </c>
      <c r="P1458" s="214">
        <v>0</v>
      </c>
      <c r="Q1458" s="214">
        <v>2235</v>
      </c>
      <c r="R1458" s="214">
        <v>0</v>
      </c>
      <c r="S1458" s="214">
        <v>0</v>
      </c>
      <c r="T1458" s="214">
        <v>0</v>
      </c>
      <c r="U1458" s="214">
        <v>0</v>
      </c>
      <c r="V1458" s="214">
        <v>0</v>
      </c>
      <c r="W1458" s="214">
        <v>0</v>
      </c>
      <c r="X1458" s="214">
        <v>0</v>
      </c>
      <c r="Y1458" s="214">
        <v>0</v>
      </c>
      <c r="Z1458" s="214">
        <v>0</v>
      </c>
      <c r="AA1458" s="214">
        <v>0</v>
      </c>
      <c r="AB1458" s="214">
        <v>0</v>
      </c>
      <c r="AC1458" s="214">
        <v>600</v>
      </c>
      <c r="AD1458" s="216"/>
      <c r="AE1458" s="420">
        <v>0</v>
      </c>
      <c r="AF1458" s="420">
        <v>0</v>
      </c>
      <c r="AG1458" s="420">
        <v>0</v>
      </c>
      <c r="AH1458" s="421"/>
      <c r="AI1458" s="574">
        <f t="shared" si="36"/>
        <v>8375</v>
      </c>
      <c r="AJ1458" s="212"/>
    </row>
    <row r="1459" spans="2:36" ht="14.4">
      <c r="B1459" s="211"/>
      <c r="C1459" s="213" t="s">
        <v>88</v>
      </c>
      <c r="D1459" s="214">
        <v>0</v>
      </c>
      <c r="E1459" s="214">
        <v>0</v>
      </c>
      <c r="F1459" s="214">
        <v>0</v>
      </c>
      <c r="G1459" s="214">
        <v>0</v>
      </c>
      <c r="H1459" s="214">
        <v>0</v>
      </c>
      <c r="I1459" s="214">
        <v>0</v>
      </c>
      <c r="J1459" s="214">
        <v>0</v>
      </c>
      <c r="K1459" s="214">
        <v>0</v>
      </c>
      <c r="L1459" s="214">
        <v>0</v>
      </c>
      <c r="M1459" s="214">
        <v>0</v>
      </c>
      <c r="N1459" s="214">
        <v>0</v>
      </c>
      <c r="O1459" s="214">
        <v>0</v>
      </c>
      <c r="P1459" s="214">
        <v>0</v>
      </c>
      <c r="Q1459" s="214">
        <v>0</v>
      </c>
      <c r="R1459" s="214">
        <v>0</v>
      </c>
      <c r="S1459" s="214">
        <v>0</v>
      </c>
      <c r="T1459" s="214">
        <v>0</v>
      </c>
      <c r="U1459" s="214">
        <v>0</v>
      </c>
      <c r="V1459" s="214">
        <v>0</v>
      </c>
      <c r="W1459" s="214">
        <v>0</v>
      </c>
      <c r="X1459" s="214">
        <v>0</v>
      </c>
      <c r="Y1459" s="214">
        <v>0</v>
      </c>
      <c r="Z1459" s="214">
        <v>0</v>
      </c>
      <c r="AA1459" s="214">
        <v>0</v>
      </c>
      <c r="AB1459" s="214">
        <v>0</v>
      </c>
      <c r="AC1459" s="214">
        <v>0</v>
      </c>
      <c r="AD1459" s="216"/>
      <c r="AE1459" s="420">
        <v>0</v>
      </c>
      <c r="AF1459" s="420">
        <v>0</v>
      </c>
      <c r="AG1459" s="420">
        <v>0</v>
      </c>
      <c r="AH1459" s="421"/>
      <c r="AI1459" s="574">
        <f t="shared" si="36"/>
        <v>0</v>
      </c>
      <c r="AJ1459" s="212"/>
    </row>
    <row r="1460" spans="2:36" ht="14.4">
      <c r="B1460" s="211"/>
      <c r="C1460" s="213" t="s">
        <v>89</v>
      </c>
      <c r="D1460" s="214">
        <v>0</v>
      </c>
      <c r="E1460" s="214">
        <v>0</v>
      </c>
      <c r="F1460" s="214">
        <v>0</v>
      </c>
      <c r="G1460" s="214">
        <v>0</v>
      </c>
      <c r="H1460" s="214">
        <v>0</v>
      </c>
      <c r="I1460" s="214">
        <v>0</v>
      </c>
      <c r="J1460" s="214">
        <v>0</v>
      </c>
      <c r="K1460" s="214">
        <v>0</v>
      </c>
      <c r="L1460" s="214">
        <v>0</v>
      </c>
      <c r="M1460" s="214">
        <v>0</v>
      </c>
      <c r="N1460" s="214">
        <v>0</v>
      </c>
      <c r="O1460" s="214">
        <v>0</v>
      </c>
      <c r="P1460" s="214">
        <v>0</v>
      </c>
      <c r="Q1460" s="214">
        <v>0</v>
      </c>
      <c r="R1460" s="214">
        <v>3005</v>
      </c>
      <c r="S1460" s="214">
        <v>0</v>
      </c>
      <c r="T1460" s="214">
        <v>0</v>
      </c>
      <c r="U1460" s="214">
        <v>0</v>
      </c>
      <c r="V1460" s="214">
        <v>0</v>
      </c>
      <c r="W1460" s="214">
        <v>0</v>
      </c>
      <c r="X1460" s="214">
        <v>0</v>
      </c>
      <c r="Y1460" s="214">
        <v>0</v>
      </c>
      <c r="Z1460" s="214">
        <v>0</v>
      </c>
      <c r="AA1460" s="214">
        <v>0</v>
      </c>
      <c r="AB1460" s="214">
        <v>0</v>
      </c>
      <c r="AC1460" s="214">
        <v>0</v>
      </c>
      <c r="AD1460" s="216"/>
      <c r="AE1460" s="420">
        <v>0</v>
      </c>
      <c r="AF1460" s="420">
        <v>0</v>
      </c>
      <c r="AG1460" s="420">
        <v>0</v>
      </c>
      <c r="AH1460" s="421"/>
      <c r="AI1460" s="574">
        <f t="shared" si="36"/>
        <v>3005</v>
      </c>
      <c r="AJ1460" s="212"/>
    </row>
    <row r="1461" spans="2:36" ht="14.4">
      <c r="B1461" s="211"/>
      <c r="C1461" s="213" t="s">
        <v>33</v>
      </c>
      <c r="D1461" s="214">
        <v>2712</v>
      </c>
      <c r="E1461" s="214">
        <v>0</v>
      </c>
      <c r="F1461" s="214">
        <v>1220.4000000000001</v>
      </c>
      <c r="G1461" s="214">
        <v>1220.4000000000001</v>
      </c>
      <c r="H1461" s="214">
        <v>1220.4000000000001</v>
      </c>
      <c r="I1461" s="214">
        <v>1220.4000000000001</v>
      </c>
      <c r="J1461" s="214">
        <v>0</v>
      </c>
      <c r="K1461" s="214">
        <v>0</v>
      </c>
      <c r="L1461" s="214">
        <v>0</v>
      </c>
      <c r="M1461" s="214">
        <v>0</v>
      </c>
      <c r="N1461" s="214">
        <v>0</v>
      </c>
      <c r="O1461" s="214">
        <v>0</v>
      </c>
      <c r="P1461" s="214">
        <v>0</v>
      </c>
      <c r="Q1461" s="214">
        <v>5457.9</v>
      </c>
      <c r="R1461" s="214">
        <v>0</v>
      </c>
      <c r="S1461" s="214">
        <v>0</v>
      </c>
      <c r="T1461" s="214">
        <v>0</v>
      </c>
      <c r="U1461" s="214">
        <v>0</v>
      </c>
      <c r="V1461" s="214">
        <v>0</v>
      </c>
      <c r="W1461" s="214">
        <v>0</v>
      </c>
      <c r="X1461" s="214">
        <v>0</v>
      </c>
      <c r="Y1461" s="214">
        <v>0</v>
      </c>
      <c r="Z1461" s="214">
        <v>0</v>
      </c>
      <c r="AA1461" s="214">
        <v>0</v>
      </c>
      <c r="AB1461" s="214">
        <v>1356</v>
      </c>
      <c r="AC1461" s="214">
        <v>0</v>
      </c>
      <c r="AD1461" s="216"/>
      <c r="AE1461" s="420">
        <v>0</v>
      </c>
      <c r="AF1461" s="420">
        <v>1356</v>
      </c>
      <c r="AG1461" s="420">
        <v>0</v>
      </c>
      <c r="AH1461" s="421"/>
      <c r="AI1461" s="574">
        <f t="shared" si="36"/>
        <v>15763.5</v>
      </c>
      <c r="AJ1461" s="212"/>
    </row>
    <row r="1462" spans="2:36" ht="14.4">
      <c r="B1462" s="211"/>
      <c r="C1462" s="248" t="s">
        <v>90</v>
      </c>
      <c r="D1462" s="214">
        <v>46442</v>
      </c>
      <c r="E1462" s="214">
        <v>4372</v>
      </c>
      <c r="F1462" s="214">
        <v>4372</v>
      </c>
      <c r="G1462" s="214">
        <v>4372</v>
      </c>
      <c r="H1462" s="214">
        <v>4372</v>
      </c>
      <c r="I1462" s="214">
        <v>4372</v>
      </c>
      <c r="J1462" s="214">
        <v>4372</v>
      </c>
      <c r="K1462" s="214">
        <v>4372</v>
      </c>
      <c r="L1462" s="214">
        <v>4372</v>
      </c>
      <c r="M1462" s="214">
        <v>4372</v>
      </c>
      <c r="N1462" s="214">
        <v>4372</v>
      </c>
      <c r="O1462" s="214">
        <v>4372</v>
      </c>
      <c r="P1462" s="214">
        <v>4372</v>
      </c>
      <c r="Q1462" s="214">
        <v>4372</v>
      </c>
      <c r="R1462" s="214">
        <v>4372</v>
      </c>
      <c r="S1462" s="214">
        <v>4372</v>
      </c>
      <c r="T1462" s="214">
        <v>4372</v>
      </c>
      <c r="U1462" s="214">
        <v>4372</v>
      </c>
      <c r="V1462" s="214">
        <v>4372</v>
      </c>
      <c r="W1462" s="214">
        <v>4372</v>
      </c>
      <c r="X1462" s="214">
        <v>4372</v>
      </c>
      <c r="Y1462" s="214">
        <v>4372</v>
      </c>
      <c r="Z1462" s="214">
        <v>4372</v>
      </c>
      <c r="AA1462" s="214">
        <v>4372</v>
      </c>
      <c r="AB1462" s="214">
        <v>4372</v>
      </c>
      <c r="AC1462" s="214">
        <v>4372</v>
      </c>
      <c r="AD1462" s="216"/>
      <c r="AE1462" s="420">
        <v>4372</v>
      </c>
      <c r="AF1462" s="420">
        <v>4372</v>
      </c>
      <c r="AG1462" s="420">
        <v>4372</v>
      </c>
      <c r="AH1462" s="421"/>
      <c r="AI1462" s="574">
        <f t="shared" si="36"/>
        <v>168858</v>
      </c>
      <c r="AJ1462" s="212"/>
    </row>
    <row r="1463" spans="2:36" ht="14.4">
      <c r="B1463" s="211"/>
      <c r="C1463" s="213" t="s">
        <v>91</v>
      </c>
      <c r="D1463" s="214">
        <v>0</v>
      </c>
      <c r="E1463" s="214">
        <v>0</v>
      </c>
      <c r="F1463" s="214">
        <v>0</v>
      </c>
      <c r="G1463" s="214">
        <v>0</v>
      </c>
      <c r="H1463" s="214">
        <v>0</v>
      </c>
      <c r="I1463" s="214">
        <v>0</v>
      </c>
      <c r="J1463" s="214">
        <v>0</v>
      </c>
      <c r="K1463" s="214">
        <v>0</v>
      </c>
      <c r="L1463" s="214">
        <v>0</v>
      </c>
      <c r="M1463" s="214">
        <v>0</v>
      </c>
      <c r="N1463" s="214">
        <v>0</v>
      </c>
      <c r="O1463" s="214">
        <v>0</v>
      </c>
      <c r="P1463" s="214">
        <v>0</v>
      </c>
      <c r="Q1463" s="214">
        <v>0</v>
      </c>
      <c r="R1463" s="214">
        <v>0</v>
      </c>
      <c r="S1463" s="214">
        <v>0</v>
      </c>
      <c r="T1463" s="214">
        <v>0</v>
      </c>
      <c r="U1463" s="214">
        <v>0</v>
      </c>
      <c r="V1463" s="214">
        <v>0</v>
      </c>
      <c r="W1463" s="214">
        <v>0</v>
      </c>
      <c r="X1463" s="214">
        <v>0</v>
      </c>
      <c r="Y1463" s="214">
        <v>0</v>
      </c>
      <c r="Z1463" s="214">
        <v>0</v>
      </c>
      <c r="AA1463" s="214">
        <v>0</v>
      </c>
      <c r="AB1463" s="214">
        <v>0</v>
      </c>
      <c r="AC1463" s="214">
        <v>0</v>
      </c>
      <c r="AD1463" s="216"/>
      <c r="AE1463" s="420">
        <v>0</v>
      </c>
      <c r="AF1463" s="420">
        <v>0</v>
      </c>
      <c r="AG1463" s="420">
        <v>0</v>
      </c>
      <c r="AH1463" s="421"/>
      <c r="AI1463" s="574">
        <f t="shared" ref="AI1463:AI1511" si="37">SUM(D1463:AH1463)</f>
        <v>0</v>
      </c>
      <c r="AJ1463" s="212"/>
    </row>
    <row r="1464" spans="2:36" ht="14.4">
      <c r="B1464" s="211"/>
      <c r="C1464" s="213" t="s">
        <v>92</v>
      </c>
      <c r="D1464" s="214">
        <v>0</v>
      </c>
      <c r="E1464" s="214">
        <v>0</v>
      </c>
      <c r="F1464" s="214">
        <v>0</v>
      </c>
      <c r="G1464" s="214">
        <v>0</v>
      </c>
      <c r="H1464" s="214">
        <v>0</v>
      </c>
      <c r="I1464" s="214">
        <v>0</v>
      </c>
      <c r="J1464" s="214">
        <v>0</v>
      </c>
      <c r="K1464" s="214">
        <v>0</v>
      </c>
      <c r="L1464" s="214">
        <v>0</v>
      </c>
      <c r="M1464" s="214">
        <v>0</v>
      </c>
      <c r="N1464" s="214">
        <v>0</v>
      </c>
      <c r="O1464" s="214">
        <v>0</v>
      </c>
      <c r="P1464" s="214">
        <v>0</v>
      </c>
      <c r="Q1464" s="214">
        <v>0</v>
      </c>
      <c r="R1464" s="214">
        <v>0</v>
      </c>
      <c r="S1464" s="214">
        <v>0</v>
      </c>
      <c r="T1464" s="214">
        <v>0</v>
      </c>
      <c r="U1464" s="214">
        <v>0</v>
      </c>
      <c r="V1464" s="214">
        <v>0</v>
      </c>
      <c r="W1464" s="214">
        <v>0</v>
      </c>
      <c r="X1464" s="214">
        <v>0</v>
      </c>
      <c r="Y1464" s="214">
        <v>0</v>
      </c>
      <c r="Z1464" s="214">
        <v>0</v>
      </c>
      <c r="AA1464" s="214">
        <v>0</v>
      </c>
      <c r="AB1464" s="214">
        <v>0</v>
      </c>
      <c r="AC1464" s="214">
        <v>0</v>
      </c>
      <c r="AD1464" s="216"/>
      <c r="AE1464" s="420">
        <v>0</v>
      </c>
      <c r="AF1464" s="420">
        <v>0</v>
      </c>
      <c r="AG1464" s="420">
        <v>0</v>
      </c>
      <c r="AH1464" s="421"/>
      <c r="AI1464" s="574">
        <f t="shared" si="37"/>
        <v>0</v>
      </c>
      <c r="AJ1464" s="212"/>
    </row>
    <row r="1465" spans="2:36" ht="14.4">
      <c r="B1465" s="211"/>
      <c r="C1465" s="213" t="s">
        <v>93</v>
      </c>
      <c r="D1465" s="214">
        <v>0</v>
      </c>
      <c r="E1465" s="214">
        <v>0</v>
      </c>
      <c r="F1465" s="214">
        <v>0</v>
      </c>
      <c r="G1465" s="214">
        <v>0</v>
      </c>
      <c r="H1465" s="214">
        <v>0</v>
      </c>
      <c r="I1465" s="214">
        <v>0</v>
      </c>
      <c r="J1465" s="214">
        <v>0</v>
      </c>
      <c r="K1465" s="214">
        <v>0</v>
      </c>
      <c r="L1465" s="214">
        <v>0</v>
      </c>
      <c r="M1465" s="214">
        <v>0</v>
      </c>
      <c r="N1465" s="214">
        <v>0</v>
      </c>
      <c r="O1465" s="214">
        <v>0</v>
      </c>
      <c r="P1465" s="214">
        <v>0</v>
      </c>
      <c r="Q1465" s="214">
        <v>0</v>
      </c>
      <c r="R1465" s="214">
        <v>0</v>
      </c>
      <c r="S1465" s="214">
        <v>0</v>
      </c>
      <c r="T1465" s="214">
        <v>0</v>
      </c>
      <c r="U1465" s="214">
        <v>0</v>
      </c>
      <c r="V1465" s="214">
        <v>0</v>
      </c>
      <c r="W1465" s="214">
        <v>0</v>
      </c>
      <c r="X1465" s="214">
        <v>0</v>
      </c>
      <c r="Y1465" s="214">
        <v>0</v>
      </c>
      <c r="Z1465" s="214">
        <v>0</v>
      </c>
      <c r="AA1465" s="214">
        <v>0</v>
      </c>
      <c r="AB1465" s="214">
        <v>0</v>
      </c>
      <c r="AC1465" s="214">
        <v>0</v>
      </c>
      <c r="AD1465" s="216"/>
      <c r="AE1465" s="420">
        <v>0</v>
      </c>
      <c r="AF1465" s="420">
        <v>0</v>
      </c>
      <c r="AG1465" s="420">
        <v>0</v>
      </c>
      <c r="AH1465" s="421"/>
      <c r="AI1465" s="574">
        <f t="shared" si="37"/>
        <v>0</v>
      </c>
      <c r="AJ1465" s="212"/>
    </row>
    <row r="1466" spans="2:36" ht="14.4">
      <c r="B1466" s="211"/>
      <c r="C1466" s="213" t="s">
        <v>94</v>
      </c>
      <c r="D1466" s="214">
        <v>223750</v>
      </c>
      <c r="E1466" s="214">
        <v>8940</v>
      </c>
      <c r="F1466" s="214">
        <v>5500</v>
      </c>
      <c r="G1466" s="214">
        <v>6670</v>
      </c>
      <c r="H1466" s="214">
        <v>2500</v>
      </c>
      <c r="I1466" s="214">
        <v>1050</v>
      </c>
      <c r="J1466" s="214">
        <v>0</v>
      </c>
      <c r="K1466" s="214">
        <v>0</v>
      </c>
      <c r="L1466" s="214">
        <v>0</v>
      </c>
      <c r="M1466" s="214">
        <v>2000</v>
      </c>
      <c r="N1466" s="214">
        <v>140</v>
      </c>
      <c r="O1466" s="214">
        <v>100</v>
      </c>
      <c r="P1466" s="214">
        <v>3000</v>
      </c>
      <c r="Q1466" s="214">
        <v>5500</v>
      </c>
      <c r="R1466" s="214">
        <v>2200</v>
      </c>
      <c r="S1466" s="214">
        <v>400</v>
      </c>
      <c r="T1466" s="214">
        <v>0</v>
      </c>
      <c r="U1466" s="214">
        <v>0</v>
      </c>
      <c r="V1466" s="214">
        <v>0</v>
      </c>
      <c r="W1466" s="214">
        <v>0</v>
      </c>
      <c r="X1466" s="214">
        <v>400</v>
      </c>
      <c r="Y1466" s="214">
        <v>0</v>
      </c>
      <c r="Z1466" s="214">
        <v>0</v>
      </c>
      <c r="AA1466" s="214">
        <v>0</v>
      </c>
      <c r="AB1466" s="214">
        <v>0</v>
      </c>
      <c r="AC1466" s="214">
        <v>0</v>
      </c>
      <c r="AD1466" s="216"/>
      <c r="AE1466" s="420">
        <v>3000</v>
      </c>
      <c r="AF1466" s="420">
        <v>0</v>
      </c>
      <c r="AG1466" s="420">
        <v>0</v>
      </c>
      <c r="AH1466" s="421"/>
      <c r="AI1466" s="574">
        <f t="shared" si="37"/>
        <v>265150</v>
      </c>
      <c r="AJ1466" s="212"/>
    </row>
    <row r="1467" spans="2:36" ht="14.4">
      <c r="B1467" s="211"/>
      <c r="C1467" s="213" t="s">
        <v>95</v>
      </c>
      <c r="D1467" s="214">
        <v>49285</v>
      </c>
      <c r="E1467" s="214">
        <v>1200</v>
      </c>
      <c r="F1467" s="214">
        <v>3800</v>
      </c>
      <c r="G1467" s="214">
        <v>0</v>
      </c>
      <c r="H1467" s="214">
        <v>0</v>
      </c>
      <c r="I1467" s="214">
        <v>0</v>
      </c>
      <c r="J1467" s="214">
        <v>0</v>
      </c>
      <c r="K1467" s="214">
        <v>0</v>
      </c>
      <c r="L1467" s="214">
        <v>0</v>
      </c>
      <c r="M1467" s="214">
        <v>0</v>
      </c>
      <c r="N1467" s="214">
        <v>0</v>
      </c>
      <c r="O1467" s="214">
        <v>0</v>
      </c>
      <c r="P1467" s="214">
        <v>0</v>
      </c>
      <c r="Q1467" s="214">
        <v>0</v>
      </c>
      <c r="R1467" s="214">
        <v>0</v>
      </c>
      <c r="S1467" s="214">
        <v>0</v>
      </c>
      <c r="T1467" s="214">
        <v>0</v>
      </c>
      <c r="U1467" s="214">
        <v>0</v>
      </c>
      <c r="V1467" s="214">
        <v>0</v>
      </c>
      <c r="W1467" s="214">
        <v>0</v>
      </c>
      <c r="X1467" s="214">
        <v>0</v>
      </c>
      <c r="Y1467" s="214">
        <v>0</v>
      </c>
      <c r="Z1467" s="214">
        <v>0</v>
      </c>
      <c r="AA1467" s="214">
        <v>0</v>
      </c>
      <c r="AB1467" s="214">
        <v>0</v>
      </c>
      <c r="AC1467" s="214">
        <v>0</v>
      </c>
      <c r="AD1467" s="216"/>
      <c r="AE1467" s="420">
        <v>0</v>
      </c>
      <c r="AF1467" s="420">
        <v>0</v>
      </c>
      <c r="AG1467" s="420">
        <v>0</v>
      </c>
      <c r="AH1467" s="421"/>
      <c r="AI1467" s="574">
        <f t="shared" si="37"/>
        <v>54285</v>
      </c>
      <c r="AJ1467" s="212"/>
    </row>
    <row r="1468" spans="2:36" ht="14.4">
      <c r="B1468" s="211"/>
      <c r="C1468" s="213" t="s">
        <v>96</v>
      </c>
      <c r="D1468" s="214">
        <v>0</v>
      </c>
      <c r="E1468" s="214">
        <v>0</v>
      </c>
      <c r="F1468" s="214">
        <v>0</v>
      </c>
      <c r="G1468" s="214">
        <v>0</v>
      </c>
      <c r="H1468" s="214">
        <v>0</v>
      </c>
      <c r="I1468" s="214">
        <v>0</v>
      </c>
      <c r="J1468" s="214">
        <v>0</v>
      </c>
      <c r="K1468" s="214">
        <v>0</v>
      </c>
      <c r="L1468" s="214">
        <v>0</v>
      </c>
      <c r="M1468" s="214">
        <v>0</v>
      </c>
      <c r="N1468" s="214">
        <v>0</v>
      </c>
      <c r="O1468" s="214">
        <v>0</v>
      </c>
      <c r="P1468" s="214">
        <v>0</v>
      </c>
      <c r="Q1468" s="214">
        <v>0</v>
      </c>
      <c r="R1468" s="214">
        <v>0</v>
      </c>
      <c r="S1468" s="214">
        <v>0</v>
      </c>
      <c r="T1468" s="214">
        <v>0</v>
      </c>
      <c r="U1468" s="214">
        <v>0</v>
      </c>
      <c r="V1468" s="214">
        <v>0</v>
      </c>
      <c r="W1468" s="214">
        <v>0</v>
      </c>
      <c r="X1468" s="214">
        <v>0</v>
      </c>
      <c r="Y1468" s="214">
        <v>0</v>
      </c>
      <c r="Z1468" s="214">
        <v>0</v>
      </c>
      <c r="AA1468" s="214">
        <v>0</v>
      </c>
      <c r="AB1468" s="214">
        <v>0</v>
      </c>
      <c r="AC1468" s="214">
        <v>0</v>
      </c>
      <c r="AD1468" s="216"/>
      <c r="AE1468" s="420">
        <v>0</v>
      </c>
      <c r="AF1468" s="420">
        <v>0</v>
      </c>
      <c r="AG1468" s="420">
        <v>0</v>
      </c>
      <c r="AH1468" s="421"/>
      <c r="AI1468" s="574">
        <f t="shared" si="37"/>
        <v>0</v>
      </c>
      <c r="AJ1468" s="212"/>
    </row>
    <row r="1469" spans="2:36" ht="14.4">
      <c r="B1469" s="211"/>
      <c r="C1469" s="248" t="s">
        <v>97</v>
      </c>
      <c r="D1469" s="214">
        <v>2222.8200000000002</v>
      </c>
      <c r="E1469" s="214">
        <v>0</v>
      </c>
      <c r="F1469" s="214">
        <v>0</v>
      </c>
      <c r="G1469" s="214">
        <v>0</v>
      </c>
      <c r="H1469" s="214">
        <v>833.96</v>
      </c>
      <c r="I1469" s="214">
        <v>708.96</v>
      </c>
      <c r="J1469" s="214">
        <v>0</v>
      </c>
      <c r="K1469" s="214">
        <v>400.96</v>
      </c>
      <c r="L1469" s="214">
        <v>0</v>
      </c>
      <c r="M1469" s="214">
        <v>801.1</v>
      </c>
      <c r="N1469" s="214">
        <v>400.96</v>
      </c>
      <c r="O1469" s="214">
        <v>0</v>
      </c>
      <c r="P1469" s="214">
        <v>433</v>
      </c>
      <c r="Q1469" s="214">
        <v>801.93</v>
      </c>
      <c r="R1469" s="214">
        <v>400.96</v>
      </c>
      <c r="S1469" s="214">
        <v>968.96</v>
      </c>
      <c r="T1469" s="214">
        <v>0</v>
      </c>
      <c r="U1469" s="214">
        <v>400.14</v>
      </c>
      <c r="V1469" s="214">
        <v>388</v>
      </c>
      <c r="W1469" s="214">
        <v>308</v>
      </c>
      <c r="X1469" s="214">
        <v>708.96</v>
      </c>
      <c r="Y1469" s="214">
        <v>286</v>
      </c>
      <c r="Z1469" s="214">
        <v>308</v>
      </c>
      <c r="AA1469" s="214">
        <v>400.96</v>
      </c>
      <c r="AB1469" s="214">
        <v>370</v>
      </c>
      <c r="AC1469" s="214">
        <v>0</v>
      </c>
      <c r="AD1469" s="216"/>
      <c r="AE1469" s="420">
        <v>433</v>
      </c>
      <c r="AF1469" s="420">
        <v>0</v>
      </c>
      <c r="AG1469" s="420">
        <v>468</v>
      </c>
      <c r="AH1469" s="421"/>
      <c r="AI1469" s="574">
        <f t="shared" si="37"/>
        <v>12044.669999999998</v>
      </c>
      <c r="AJ1469" s="212"/>
    </row>
    <row r="1470" spans="2:36" ht="14.4">
      <c r="B1470" s="211"/>
      <c r="C1470" s="213" t="s">
        <v>192</v>
      </c>
      <c r="D1470" s="214">
        <v>7065</v>
      </c>
      <c r="E1470" s="214">
        <v>15759</v>
      </c>
      <c r="F1470" s="214">
        <v>15759</v>
      </c>
      <c r="G1470" s="214">
        <v>15759</v>
      </c>
      <c r="H1470" s="214">
        <v>15759</v>
      </c>
      <c r="I1470" s="214">
        <v>1065</v>
      </c>
      <c r="J1470" s="214">
        <v>1065</v>
      </c>
      <c r="K1470" s="214">
        <v>1065</v>
      </c>
      <c r="L1470" s="214">
        <v>1065</v>
      </c>
      <c r="M1470" s="214">
        <v>15759</v>
      </c>
      <c r="N1470" s="214">
        <v>1065</v>
      </c>
      <c r="O1470" s="214">
        <v>15759</v>
      </c>
      <c r="P1470" s="214">
        <v>1065</v>
      </c>
      <c r="Q1470" s="214">
        <v>15759</v>
      </c>
      <c r="R1470" s="214">
        <v>15759</v>
      </c>
      <c r="S1470" s="214">
        <v>15753</v>
      </c>
      <c r="T1470" s="214">
        <v>1065</v>
      </c>
      <c r="U1470" s="214">
        <v>1065</v>
      </c>
      <c r="V1470" s="214">
        <v>1065</v>
      </c>
      <c r="W1470" s="214">
        <v>1065</v>
      </c>
      <c r="X1470" s="214">
        <v>1065</v>
      </c>
      <c r="Y1470" s="214">
        <v>1065</v>
      </c>
      <c r="Z1470" s="214">
        <v>1065</v>
      </c>
      <c r="AA1470" s="214">
        <v>1065</v>
      </c>
      <c r="AB1470" s="214">
        <v>1065</v>
      </c>
      <c r="AC1470" s="214">
        <v>1065</v>
      </c>
      <c r="AD1470" s="216"/>
      <c r="AE1470" s="420">
        <v>1065</v>
      </c>
      <c r="AF1470" s="420">
        <v>1065</v>
      </c>
      <c r="AG1470" s="420">
        <v>1065</v>
      </c>
      <c r="AH1470" s="421"/>
      <c r="AI1470" s="574">
        <f t="shared" si="37"/>
        <v>169125</v>
      </c>
      <c r="AJ1470" s="212"/>
    </row>
    <row r="1471" spans="2:36" ht="14.4">
      <c r="B1471" s="211"/>
      <c r="C1471" s="213" t="s">
        <v>98</v>
      </c>
      <c r="D1471" s="214">
        <v>0</v>
      </c>
      <c r="E1471" s="214">
        <v>0</v>
      </c>
      <c r="F1471" s="214">
        <v>0</v>
      </c>
      <c r="G1471" s="214">
        <v>0</v>
      </c>
      <c r="H1471" s="214">
        <v>0</v>
      </c>
      <c r="I1471" s="214">
        <v>0</v>
      </c>
      <c r="J1471" s="214">
        <v>0</v>
      </c>
      <c r="K1471" s="214">
        <v>0</v>
      </c>
      <c r="L1471" s="214">
        <v>0</v>
      </c>
      <c r="M1471" s="214">
        <v>0</v>
      </c>
      <c r="N1471" s="214">
        <v>0</v>
      </c>
      <c r="O1471" s="214">
        <v>0</v>
      </c>
      <c r="P1471" s="214">
        <v>0</v>
      </c>
      <c r="Q1471" s="214">
        <v>0</v>
      </c>
      <c r="R1471" s="214">
        <v>0</v>
      </c>
      <c r="S1471" s="214">
        <v>0</v>
      </c>
      <c r="T1471" s="214">
        <v>0</v>
      </c>
      <c r="U1471" s="214">
        <v>0</v>
      </c>
      <c r="V1471" s="214">
        <v>0</v>
      </c>
      <c r="W1471" s="214">
        <v>0</v>
      </c>
      <c r="X1471" s="214">
        <v>0</v>
      </c>
      <c r="Y1471" s="214">
        <v>0</v>
      </c>
      <c r="Z1471" s="214">
        <v>0</v>
      </c>
      <c r="AA1471" s="214">
        <v>0</v>
      </c>
      <c r="AB1471" s="214">
        <v>0</v>
      </c>
      <c r="AC1471" s="214">
        <v>0</v>
      </c>
      <c r="AD1471" s="216"/>
      <c r="AE1471" s="420">
        <v>0</v>
      </c>
      <c r="AF1471" s="420">
        <v>0</v>
      </c>
      <c r="AG1471" s="420">
        <v>0</v>
      </c>
      <c r="AH1471" s="421"/>
      <c r="AI1471" s="574">
        <f t="shared" si="37"/>
        <v>0</v>
      </c>
      <c r="AJ1471" s="212"/>
    </row>
    <row r="1472" spans="2:36" ht="14.4">
      <c r="B1472" s="211"/>
      <c r="C1472" s="213" t="s">
        <v>99</v>
      </c>
      <c r="D1472" s="214">
        <v>0</v>
      </c>
      <c r="E1472" s="214">
        <v>0</v>
      </c>
      <c r="F1472" s="214">
        <v>0</v>
      </c>
      <c r="G1472" s="214">
        <v>0</v>
      </c>
      <c r="H1472" s="214">
        <v>0</v>
      </c>
      <c r="I1472" s="214">
        <v>0</v>
      </c>
      <c r="J1472" s="214">
        <v>0</v>
      </c>
      <c r="K1472" s="214">
        <v>0</v>
      </c>
      <c r="L1472" s="214">
        <v>73.33</v>
      </c>
      <c r="M1472" s="214">
        <v>0</v>
      </c>
      <c r="N1472" s="214">
        <v>0</v>
      </c>
      <c r="O1472" s="214">
        <v>0</v>
      </c>
      <c r="P1472" s="214">
        <v>0</v>
      </c>
      <c r="Q1472" s="214">
        <v>0</v>
      </c>
      <c r="R1472" s="214">
        <v>0</v>
      </c>
      <c r="S1472" s="214">
        <v>0</v>
      </c>
      <c r="T1472" s="214">
        <v>0</v>
      </c>
      <c r="U1472" s="214">
        <v>0</v>
      </c>
      <c r="V1472" s="214">
        <v>0</v>
      </c>
      <c r="W1472" s="214">
        <v>0</v>
      </c>
      <c r="X1472" s="214">
        <v>0</v>
      </c>
      <c r="Y1472" s="214">
        <v>0</v>
      </c>
      <c r="Z1472" s="214">
        <v>0</v>
      </c>
      <c r="AA1472" s="214">
        <v>0</v>
      </c>
      <c r="AB1472" s="214">
        <v>0</v>
      </c>
      <c r="AC1472" s="214">
        <v>0</v>
      </c>
      <c r="AD1472" s="216"/>
      <c r="AE1472" s="420">
        <v>0</v>
      </c>
      <c r="AF1472" s="420">
        <v>0</v>
      </c>
      <c r="AG1472" s="420">
        <v>0</v>
      </c>
      <c r="AH1472" s="421"/>
      <c r="AI1472" s="574">
        <f t="shared" si="37"/>
        <v>73.33</v>
      </c>
      <c r="AJ1472" s="212"/>
    </row>
    <row r="1473" spans="2:36" ht="14.4">
      <c r="B1473" s="211"/>
      <c r="C1473" s="213" t="s">
        <v>100</v>
      </c>
      <c r="D1473" s="214">
        <v>0.32</v>
      </c>
      <c r="E1473" s="214">
        <v>0.16</v>
      </c>
      <c r="F1473" s="214">
        <v>0</v>
      </c>
      <c r="G1473" s="214">
        <v>0</v>
      </c>
      <c r="H1473" s="214">
        <v>0</v>
      </c>
      <c r="I1473" s="214">
        <v>0</v>
      </c>
      <c r="J1473" s="214">
        <v>0</v>
      </c>
      <c r="K1473" s="214">
        <v>0</v>
      </c>
      <c r="L1473" s="214">
        <v>0</v>
      </c>
      <c r="M1473" s="214">
        <v>0</v>
      </c>
      <c r="N1473" s="214">
        <v>0</v>
      </c>
      <c r="O1473" s="214">
        <v>0.16</v>
      </c>
      <c r="P1473" s="214">
        <v>0</v>
      </c>
      <c r="Q1473" s="214">
        <v>0.08</v>
      </c>
      <c r="R1473" s="214">
        <v>0</v>
      </c>
      <c r="S1473" s="214">
        <v>0</v>
      </c>
      <c r="T1473" s="214">
        <v>0</v>
      </c>
      <c r="U1473" s="214">
        <v>0</v>
      </c>
      <c r="V1473" s="214">
        <v>0</v>
      </c>
      <c r="W1473" s="214">
        <v>0</v>
      </c>
      <c r="X1473" s="214">
        <v>0</v>
      </c>
      <c r="Y1473" s="214">
        <v>0</v>
      </c>
      <c r="Z1473" s="214">
        <v>0.04</v>
      </c>
      <c r="AA1473" s="214">
        <v>0.04</v>
      </c>
      <c r="AB1473" s="214">
        <v>0</v>
      </c>
      <c r="AC1473" s="214">
        <v>0</v>
      </c>
      <c r="AD1473" s="216"/>
      <c r="AE1473" s="420">
        <v>66.67</v>
      </c>
      <c r="AF1473" s="420">
        <v>0</v>
      </c>
      <c r="AG1473" s="420">
        <v>0</v>
      </c>
      <c r="AH1473" s="421"/>
      <c r="AI1473" s="574">
        <f t="shared" si="37"/>
        <v>67.47</v>
      </c>
      <c r="AJ1473" s="212"/>
    </row>
    <row r="1474" spans="2:36" ht="14.4">
      <c r="B1474" s="211"/>
      <c r="C1474" s="248" t="s">
        <v>101</v>
      </c>
      <c r="D1474" s="214">
        <v>0</v>
      </c>
      <c r="E1474" s="214">
        <v>0.12</v>
      </c>
      <c r="F1474" s="214">
        <v>399.05</v>
      </c>
      <c r="G1474" s="214">
        <v>2562.5</v>
      </c>
      <c r="H1474" s="214">
        <v>0</v>
      </c>
      <c r="I1474" s="214">
        <v>0</v>
      </c>
      <c r="J1474" s="214">
        <v>0</v>
      </c>
      <c r="K1474" s="214">
        <v>0</v>
      </c>
      <c r="L1474" s="214">
        <v>0</v>
      </c>
      <c r="M1474" s="214">
        <v>0</v>
      </c>
      <c r="N1474" s="214">
        <v>0</v>
      </c>
      <c r="O1474" s="214">
        <v>0</v>
      </c>
      <c r="P1474" s="214">
        <v>0</v>
      </c>
      <c r="Q1474" s="214">
        <v>1404.17</v>
      </c>
      <c r="R1474" s="214">
        <v>0</v>
      </c>
      <c r="S1474" s="214">
        <v>0</v>
      </c>
      <c r="T1474" s="214">
        <v>731.5</v>
      </c>
      <c r="U1474" s="214">
        <v>0</v>
      </c>
      <c r="V1474" s="214">
        <v>0</v>
      </c>
      <c r="W1474" s="214">
        <v>0</v>
      </c>
      <c r="X1474" s="214">
        <v>0</v>
      </c>
      <c r="Y1474" s="214">
        <v>0</v>
      </c>
      <c r="Z1474" s="214">
        <v>0</v>
      </c>
      <c r="AA1474" s="214">
        <v>0</v>
      </c>
      <c r="AB1474" s="214">
        <v>0</v>
      </c>
      <c r="AC1474" s="214">
        <v>0</v>
      </c>
      <c r="AD1474" s="216"/>
      <c r="AE1474" s="420">
        <v>0</v>
      </c>
      <c r="AF1474" s="420">
        <v>0</v>
      </c>
      <c r="AG1474" s="420">
        <v>0</v>
      </c>
      <c r="AH1474" s="421"/>
      <c r="AI1474" s="574">
        <f t="shared" si="37"/>
        <v>5097.34</v>
      </c>
      <c r="AJ1474" s="212"/>
    </row>
    <row r="1475" spans="2:36" ht="14.4">
      <c r="B1475" s="211"/>
      <c r="C1475" s="248" t="s">
        <v>102</v>
      </c>
      <c r="D1475" s="214">
        <v>9789.31</v>
      </c>
      <c r="E1475" s="214">
        <v>920.26</v>
      </c>
      <c r="F1475" s="214">
        <v>1136.6300000000001</v>
      </c>
      <c r="G1475" s="214">
        <v>2736.92</v>
      </c>
      <c r="H1475" s="214">
        <v>1045.81</v>
      </c>
      <c r="I1475" s="214">
        <v>26.3</v>
      </c>
      <c r="J1475" s="214">
        <v>409.62</v>
      </c>
      <c r="K1475" s="214">
        <v>101.56</v>
      </c>
      <c r="L1475" s="214">
        <v>82.4</v>
      </c>
      <c r="M1475" s="214">
        <v>1811.89</v>
      </c>
      <c r="N1475" s="214">
        <v>0.03</v>
      </c>
      <c r="O1475" s="214">
        <v>1086.56</v>
      </c>
      <c r="P1475" s="214">
        <v>272.49</v>
      </c>
      <c r="Q1475" s="214">
        <v>2437.3200000000002</v>
      </c>
      <c r="R1475" s="214">
        <v>0</v>
      </c>
      <c r="S1475" s="214">
        <v>276.2</v>
      </c>
      <c r="T1475" s="214">
        <v>75.33</v>
      </c>
      <c r="U1475" s="214">
        <v>134.47999999999999</v>
      </c>
      <c r="V1475" s="214">
        <v>294.77</v>
      </c>
      <c r="W1475" s="214">
        <v>0</v>
      </c>
      <c r="X1475" s="214">
        <v>0</v>
      </c>
      <c r="Y1475" s="214">
        <v>82.42</v>
      </c>
      <c r="Z1475" s="214">
        <v>120.07</v>
      </c>
      <c r="AA1475" s="214">
        <v>0</v>
      </c>
      <c r="AB1475" s="214">
        <v>289.57</v>
      </c>
      <c r="AC1475" s="214">
        <v>157.76</v>
      </c>
      <c r="AD1475" s="216"/>
      <c r="AE1475" s="420">
        <v>584.05999999999995</v>
      </c>
      <c r="AF1475" s="420">
        <v>2073.04</v>
      </c>
      <c r="AG1475" s="420">
        <v>2301.39</v>
      </c>
      <c r="AH1475" s="421"/>
      <c r="AI1475" s="574">
        <f t="shared" si="37"/>
        <v>28246.190000000002</v>
      </c>
      <c r="AJ1475" s="212"/>
    </row>
    <row r="1476" spans="2:36" ht="14.4">
      <c r="B1476" s="211"/>
      <c r="C1476" s="248" t="s">
        <v>103</v>
      </c>
      <c r="D1476" s="214">
        <v>0.23</v>
      </c>
      <c r="E1476" s="214">
        <v>0</v>
      </c>
      <c r="F1476" s="214">
        <v>0</v>
      </c>
      <c r="G1476" s="214">
        <v>0.02</v>
      </c>
      <c r="H1476" s="214">
        <v>90.26</v>
      </c>
      <c r="I1476" s="214">
        <v>0</v>
      </c>
      <c r="J1476" s="214">
        <v>0</v>
      </c>
      <c r="K1476" s="214">
        <v>0</v>
      </c>
      <c r="L1476" s="214">
        <v>0</v>
      </c>
      <c r="M1476" s="214">
        <v>0</v>
      </c>
      <c r="N1476" s="214">
        <v>0</v>
      </c>
      <c r="O1476" s="214">
        <v>104.54</v>
      </c>
      <c r="P1476" s="214">
        <v>45.21</v>
      </c>
      <c r="Q1476" s="214">
        <v>0</v>
      </c>
      <c r="R1476" s="214">
        <v>28.87</v>
      </c>
      <c r="S1476" s="214">
        <v>45.13</v>
      </c>
      <c r="T1476" s="214">
        <v>0</v>
      </c>
      <c r="U1476" s="214">
        <v>0</v>
      </c>
      <c r="V1476" s="214">
        <v>0</v>
      </c>
      <c r="W1476" s="214">
        <v>0</v>
      </c>
      <c r="X1476" s="214">
        <v>0</v>
      </c>
      <c r="Y1476" s="214">
        <v>0</v>
      </c>
      <c r="Z1476" s="214">
        <v>0</v>
      </c>
      <c r="AA1476" s="214">
        <v>0</v>
      </c>
      <c r="AB1476" s="214">
        <v>0</v>
      </c>
      <c r="AC1476" s="214">
        <v>0</v>
      </c>
      <c r="AD1476" s="216"/>
      <c r="AE1476" s="420">
        <v>0</v>
      </c>
      <c r="AF1476" s="420">
        <v>0</v>
      </c>
      <c r="AG1476" s="420">
        <v>90.26</v>
      </c>
      <c r="AH1476" s="421"/>
      <c r="AI1476" s="574">
        <f t="shared" si="37"/>
        <v>404.52</v>
      </c>
      <c r="AJ1476" s="212"/>
    </row>
    <row r="1477" spans="2:36" ht="14.4">
      <c r="B1477" s="211"/>
      <c r="C1477" s="248" t="s">
        <v>104</v>
      </c>
      <c r="D1477" s="214">
        <v>6750.73</v>
      </c>
      <c r="E1477" s="214">
        <v>302.18</v>
      </c>
      <c r="F1477" s="214">
        <v>181.4</v>
      </c>
      <c r="G1477" s="214">
        <v>1452.17</v>
      </c>
      <c r="H1477" s="214">
        <v>13.88</v>
      </c>
      <c r="I1477" s="214">
        <v>0.05</v>
      </c>
      <c r="J1477" s="214">
        <v>147.91999999999999</v>
      </c>
      <c r="K1477" s="214">
        <v>0</v>
      </c>
      <c r="L1477" s="214">
        <v>0</v>
      </c>
      <c r="M1477" s="214">
        <v>424.86</v>
      </c>
      <c r="N1477" s="214">
        <v>0.2</v>
      </c>
      <c r="O1477" s="214">
        <v>477.1</v>
      </c>
      <c r="P1477" s="214">
        <v>715.16</v>
      </c>
      <c r="Q1477" s="214">
        <v>0</v>
      </c>
      <c r="R1477" s="214">
        <v>0</v>
      </c>
      <c r="S1477" s="214">
        <v>0.05</v>
      </c>
      <c r="T1477" s="214">
        <v>0</v>
      </c>
      <c r="U1477" s="214">
        <v>0.04</v>
      </c>
      <c r="V1477" s="214">
        <v>0.04</v>
      </c>
      <c r="W1477" s="214">
        <v>0.04</v>
      </c>
      <c r="X1477" s="214">
        <v>0.04</v>
      </c>
      <c r="Y1477" s="214">
        <v>0</v>
      </c>
      <c r="Z1477" s="214">
        <v>0</v>
      </c>
      <c r="AA1477" s="214">
        <v>0</v>
      </c>
      <c r="AB1477" s="214">
        <v>0</v>
      </c>
      <c r="AC1477" s="214">
        <v>0</v>
      </c>
      <c r="AD1477" s="216"/>
      <c r="AE1477" s="420">
        <v>331.62</v>
      </c>
      <c r="AF1477" s="420">
        <v>253.69</v>
      </c>
      <c r="AG1477" s="420">
        <v>266.93</v>
      </c>
      <c r="AH1477" s="421"/>
      <c r="AI1477" s="574">
        <f t="shared" si="37"/>
        <v>11318.100000000004</v>
      </c>
      <c r="AJ1477" s="212"/>
    </row>
    <row r="1478" spans="2:36" ht="14.4">
      <c r="B1478" s="211"/>
      <c r="C1478" s="248" t="s">
        <v>105</v>
      </c>
      <c r="D1478" s="214">
        <v>831.89</v>
      </c>
      <c r="E1478" s="214">
        <v>246.87</v>
      </c>
      <c r="F1478" s="214">
        <v>0.28000000000000003</v>
      </c>
      <c r="G1478" s="214">
        <v>14023.75</v>
      </c>
      <c r="H1478" s="214">
        <v>0</v>
      </c>
      <c r="I1478" s="214">
        <v>0</v>
      </c>
      <c r="J1478" s="214">
        <v>35.630000000000003</v>
      </c>
      <c r="K1478" s="214">
        <v>0</v>
      </c>
      <c r="L1478" s="214">
        <v>0</v>
      </c>
      <c r="M1478" s="214">
        <v>497.3</v>
      </c>
      <c r="N1478" s="214">
        <v>0.2</v>
      </c>
      <c r="O1478" s="214">
        <v>496.69</v>
      </c>
      <c r="P1478" s="214">
        <v>0</v>
      </c>
      <c r="Q1478" s="214">
        <v>182.41</v>
      </c>
      <c r="R1478" s="214">
        <v>116.8</v>
      </c>
      <c r="S1478" s="214">
        <v>0.1</v>
      </c>
      <c r="T1478" s="214">
        <v>0</v>
      </c>
      <c r="U1478" s="214">
        <v>0.04</v>
      </c>
      <c r="V1478" s="214">
        <v>0</v>
      </c>
      <c r="W1478" s="214">
        <v>0</v>
      </c>
      <c r="X1478" s="214">
        <v>0</v>
      </c>
      <c r="Y1478" s="214">
        <v>0</v>
      </c>
      <c r="Z1478" s="214">
        <v>0</v>
      </c>
      <c r="AA1478" s="214">
        <v>0</v>
      </c>
      <c r="AB1478" s="214">
        <v>0.04</v>
      </c>
      <c r="AC1478" s="214">
        <v>0.04</v>
      </c>
      <c r="AD1478" s="216"/>
      <c r="AE1478" s="420">
        <v>951.94</v>
      </c>
      <c r="AF1478" s="420">
        <v>326.38</v>
      </c>
      <c r="AG1478" s="420">
        <v>437.52</v>
      </c>
      <c r="AH1478" s="421"/>
      <c r="AI1478" s="574">
        <f t="shared" si="37"/>
        <v>18147.88</v>
      </c>
      <c r="AJ1478" s="212"/>
    </row>
    <row r="1479" spans="2:36" ht="14.4">
      <c r="B1479" s="211"/>
      <c r="C1479" s="248" t="s">
        <v>106</v>
      </c>
      <c r="D1479" s="214">
        <v>0</v>
      </c>
      <c r="E1479" s="214">
        <v>0</v>
      </c>
      <c r="F1479" s="214">
        <v>0</v>
      </c>
      <c r="G1479" s="214">
        <v>0</v>
      </c>
      <c r="H1479" s="214">
        <v>0</v>
      </c>
      <c r="I1479" s="214">
        <v>0</v>
      </c>
      <c r="J1479" s="214">
        <v>0</v>
      </c>
      <c r="K1479" s="214">
        <v>0</v>
      </c>
      <c r="L1479" s="214">
        <v>0</v>
      </c>
      <c r="M1479" s="214">
        <v>0</v>
      </c>
      <c r="N1479" s="214">
        <v>0</v>
      </c>
      <c r="O1479" s="214">
        <v>0</v>
      </c>
      <c r="P1479" s="214">
        <v>0</v>
      </c>
      <c r="Q1479" s="214">
        <v>0</v>
      </c>
      <c r="R1479" s="214">
        <v>0</v>
      </c>
      <c r="S1479" s="214">
        <v>0</v>
      </c>
      <c r="T1479" s="214">
        <v>0</v>
      </c>
      <c r="U1479" s="214">
        <v>0</v>
      </c>
      <c r="V1479" s="214">
        <v>0</v>
      </c>
      <c r="W1479" s="214">
        <v>0</v>
      </c>
      <c r="X1479" s="214">
        <v>0</v>
      </c>
      <c r="Y1479" s="214">
        <v>0</v>
      </c>
      <c r="Z1479" s="214">
        <v>0</v>
      </c>
      <c r="AA1479" s="214">
        <v>0</v>
      </c>
      <c r="AB1479" s="214">
        <v>0</v>
      </c>
      <c r="AC1479" s="214">
        <v>0</v>
      </c>
      <c r="AD1479" s="216"/>
      <c r="AE1479" s="420">
        <v>0</v>
      </c>
      <c r="AF1479" s="420">
        <v>0</v>
      </c>
      <c r="AG1479" s="420">
        <v>0</v>
      </c>
      <c r="AH1479" s="421"/>
      <c r="AI1479" s="574">
        <f t="shared" si="37"/>
        <v>0</v>
      </c>
      <c r="AJ1479" s="212"/>
    </row>
    <row r="1480" spans="2:36" ht="14.4">
      <c r="B1480" s="211"/>
      <c r="C1480" s="213" t="s">
        <v>107</v>
      </c>
      <c r="D1480" s="214">
        <v>0</v>
      </c>
      <c r="E1480" s="214">
        <v>0</v>
      </c>
      <c r="F1480" s="214">
        <v>0</v>
      </c>
      <c r="G1480" s="214">
        <v>0</v>
      </c>
      <c r="H1480" s="214">
        <v>0</v>
      </c>
      <c r="I1480" s="214">
        <v>0</v>
      </c>
      <c r="J1480" s="214">
        <v>0</v>
      </c>
      <c r="K1480" s="214">
        <v>0</v>
      </c>
      <c r="L1480" s="214">
        <v>0</v>
      </c>
      <c r="M1480" s="214">
        <v>0</v>
      </c>
      <c r="N1480" s="214">
        <v>0</v>
      </c>
      <c r="O1480" s="214">
        <v>0</v>
      </c>
      <c r="P1480" s="214">
        <v>0</v>
      </c>
      <c r="Q1480" s="214">
        <v>0</v>
      </c>
      <c r="R1480" s="214">
        <v>0</v>
      </c>
      <c r="S1480" s="214">
        <v>0</v>
      </c>
      <c r="T1480" s="214">
        <v>0</v>
      </c>
      <c r="U1480" s="214">
        <v>0</v>
      </c>
      <c r="V1480" s="214">
        <v>0</v>
      </c>
      <c r="W1480" s="214">
        <v>0</v>
      </c>
      <c r="X1480" s="214">
        <v>0</v>
      </c>
      <c r="Y1480" s="214">
        <v>0</v>
      </c>
      <c r="Z1480" s="214">
        <v>0</v>
      </c>
      <c r="AA1480" s="214">
        <v>0</v>
      </c>
      <c r="AB1480" s="214">
        <v>0</v>
      </c>
      <c r="AC1480" s="214">
        <v>0</v>
      </c>
      <c r="AD1480" s="216"/>
      <c r="AE1480" s="420">
        <v>0</v>
      </c>
      <c r="AF1480" s="420">
        <v>0</v>
      </c>
      <c r="AG1480" s="420">
        <v>0</v>
      </c>
      <c r="AH1480" s="421"/>
      <c r="AI1480" s="574">
        <f t="shared" si="37"/>
        <v>0</v>
      </c>
      <c r="AJ1480" s="212"/>
    </row>
    <row r="1481" spans="2:36" ht="14.4">
      <c r="B1481" s="211"/>
      <c r="C1481" s="213" t="s">
        <v>108</v>
      </c>
      <c r="D1481" s="214"/>
      <c r="E1481" s="214">
        <v>24271.809999999998</v>
      </c>
      <c r="F1481" s="214">
        <v>38250.57</v>
      </c>
      <c r="G1481" s="214">
        <v>31919.69</v>
      </c>
      <c r="H1481" s="214">
        <v>4703.29</v>
      </c>
      <c r="I1481" s="214"/>
      <c r="J1481" s="214"/>
      <c r="K1481" s="214"/>
      <c r="L1481" s="214"/>
      <c r="M1481" s="214">
        <v>97</v>
      </c>
      <c r="N1481" s="214"/>
      <c r="O1481" s="214">
        <v>2128</v>
      </c>
      <c r="P1481" s="214">
        <v>1739</v>
      </c>
      <c r="Q1481" s="214">
        <v>31953.030000000002</v>
      </c>
      <c r="R1481" s="214">
        <v>1553</v>
      </c>
      <c r="S1481" s="214">
        <v>1790</v>
      </c>
      <c r="T1481" s="214"/>
      <c r="U1481" s="214"/>
      <c r="V1481" s="214"/>
      <c r="W1481" s="214"/>
      <c r="X1481" s="214"/>
      <c r="Y1481" s="214"/>
      <c r="Z1481" s="214"/>
      <c r="AA1481" s="214"/>
      <c r="AB1481" s="214"/>
      <c r="AC1481" s="214"/>
      <c r="AD1481" s="216"/>
      <c r="AE1481" s="420">
        <v>216.66</v>
      </c>
      <c r="AF1481" s="420"/>
      <c r="AG1481" s="420">
        <v>159</v>
      </c>
      <c r="AH1481" s="421"/>
      <c r="AI1481" s="574">
        <f t="shared" si="37"/>
        <v>138781.04999999999</v>
      </c>
      <c r="AJ1481" s="212"/>
    </row>
    <row r="1482" spans="2:36" ht="14.4">
      <c r="B1482" s="211"/>
      <c r="C1482" s="248" t="s">
        <v>109</v>
      </c>
      <c r="D1482" s="214">
        <v>0</v>
      </c>
      <c r="E1482" s="214">
        <v>0</v>
      </c>
      <c r="F1482" s="214">
        <v>0</v>
      </c>
      <c r="G1482" s="214">
        <v>0</v>
      </c>
      <c r="H1482" s="214">
        <v>0</v>
      </c>
      <c r="I1482" s="214">
        <v>0</v>
      </c>
      <c r="J1482" s="214">
        <v>0</v>
      </c>
      <c r="K1482" s="214">
        <v>0</v>
      </c>
      <c r="L1482" s="214">
        <v>0</v>
      </c>
      <c r="M1482" s="214">
        <v>0</v>
      </c>
      <c r="N1482" s="214">
        <v>0</v>
      </c>
      <c r="O1482" s="214">
        <v>0</v>
      </c>
      <c r="P1482" s="214">
        <v>0</v>
      </c>
      <c r="Q1482" s="214">
        <v>0</v>
      </c>
      <c r="R1482" s="214">
        <v>0</v>
      </c>
      <c r="S1482" s="214">
        <v>0</v>
      </c>
      <c r="T1482" s="214">
        <v>0</v>
      </c>
      <c r="U1482" s="214">
        <v>0</v>
      </c>
      <c r="V1482" s="214">
        <v>0</v>
      </c>
      <c r="W1482" s="214">
        <v>0</v>
      </c>
      <c r="X1482" s="214">
        <v>0</v>
      </c>
      <c r="Y1482" s="214">
        <v>0</v>
      </c>
      <c r="Z1482" s="214">
        <v>0</v>
      </c>
      <c r="AA1482" s="214">
        <v>0</v>
      </c>
      <c r="AB1482" s="214">
        <v>0</v>
      </c>
      <c r="AC1482" s="214">
        <v>0</v>
      </c>
      <c r="AD1482" s="216"/>
      <c r="AE1482" s="420">
        <v>0</v>
      </c>
      <c r="AF1482" s="420">
        <v>0</v>
      </c>
      <c r="AG1482" s="420">
        <v>0</v>
      </c>
      <c r="AH1482" s="421"/>
      <c r="AI1482" s="574">
        <f t="shared" si="37"/>
        <v>0</v>
      </c>
      <c r="AJ1482" s="212"/>
    </row>
    <row r="1483" spans="2:36" ht="14.4">
      <c r="B1483" s="211"/>
      <c r="C1483" s="213" t="s">
        <v>110</v>
      </c>
      <c r="D1483" s="214">
        <v>0</v>
      </c>
      <c r="E1483" s="214">
        <v>0</v>
      </c>
      <c r="F1483" s="214">
        <v>0</v>
      </c>
      <c r="G1483" s="214">
        <v>0</v>
      </c>
      <c r="H1483" s="214">
        <v>0</v>
      </c>
      <c r="I1483" s="214">
        <v>0</v>
      </c>
      <c r="J1483" s="214">
        <v>0</v>
      </c>
      <c r="K1483" s="214">
        <v>0</v>
      </c>
      <c r="L1483" s="214">
        <v>0</v>
      </c>
      <c r="M1483" s="214">
        <v>0</v>
      </c>
      <c r="N1483" s="214">
        <v>0</v>
      </c>
      <c r="O1483" s="214">
        <v>166.66</v>
      </c>
      <c r="P1483" s="214">
        <v>0</v>
      </c>
      <c r="Q1483" s="214">
        <v>0</v>
      </c>
      <c r="R1483" s="214">
        <v>0</v>
      </c>
      <c r="S1483" s="214">
        <v>0</v>
      </c>
      <c r="T1483" s="214">
        <v>0</v>
      </c>
      <c r="U1483" s="214">
        <v>0</v>
      </c>
      <c r="V1483" s="214">
        <v>0</v>
      </c>
      <c r="W1483" s="214">
        <v>0</v>
      </c>
      <c r="X1483" s="214">
        <v>0</v>
      </c>
      <c r="Y1483" s="214">
        <v>0</v>
      </c>
      <c r="Z1483" s="214">
        <v>0</v>
      </c>
      <c r="AA1483" s="214">
        <v>0</v>
      </c>
      <c r="AB1483" s="214">
        <v>0</v>
      </c>
      <c r="AC1483" s="214">
        <v>0</v>
      </c>
      <c r="AD1483" s="216"/>
      <c r="AE1483" s="420">
        <v>0</v>
      </c>
      <c r="AF1483" s="420">
        <v>0</v>
      </c>
      <c r="AG1483" s="420">
        <v>0</v>
      </c>
      <c r="AH1483" s="421"/>
      <c r="AI1483" s="574">
        <f t="shared" si="37"/>
        <v>166.66</v>
      </c>
      <c r="AJ1483" s="212"/>
    </row>
    <row r="1484" spans="2:36" ht="14.4">
      <c r="B1484" s="211"/>
      <c r="C1484" s="213" t="s">
        <v>112</v>
      </c>
      <c r="D1484" s="214">
        <v>0</v>
      </c>
      <c r="E1484" s="214">
        <v>13241.24</v>
      </c>
      <c r="F1484" s="214">
        <v>0</v>
      </c>
      <c r="G1484" s="214">
        <v>0</v>
      </c>
      <c r="H1484" s="214">
        <v>0</v>
      </c>
      <c r="I1484" s="214">
        <v>0</v>
      </c>
      <c r="J1484" s="214">
        <v>0</v>
      </c>
      <c r="K1484" s="214">
        <v>0</v>
      </c>
      <c r="L1484" s="214">
        <v>0</v>
      </c>
      <c r="M1484" s="214">
        <v>0</v>
      </c>
      <c r="N1484" s="214">
        <v>0</v>
      </c>
      <c r="O1484" s="214">
        <v>0</v>
      </c>
      <c r="P1484" s="214">
        <v>0</v>
      </c>
      <c r="Q1484" s="214">
        <v>0</v>
      </c>
      <c r="R1484" s="214">
        <v>0</v>
      </c>
      <c r="S1484" s="214">
        <v>0</v>
      </c>
      <c r="T1484" s="214">
        <v>0</v>
      </c>
      <c r="U1484" s="214">
        <v>0</v>
      </c>
      <c r="V1484" s="214">
        <v>0</v>
      </c>
      <c r="W1484" s="214">
        <v>0</v>
      </c>
      <c r="X1484" s="214">
        <v>0</v>
      </c>
      <c r="Y1484" s="214">
        <v>0</v>
      </c>
      <c r="Z1484" s="214">
        <v>0</v>
      </c>
      <c r="AA1484" s="214">
        <v>0</v>
      </c>
      <c r="AB1484" s="214">
        <v>0</v>
      </c>
      <c r="AC1484" s="214">
        <v>0</v>
      </c>
      <c r="AD1484" s="216">
        <v>0</v>
      </c>
      <c r="AE1484" s="420">
        <v>0</v>
      </c>
      <c r="AF1484" s="420">
        <v>0</v>
      </c>
      <c r="AG1484" s="420">
        <v>0</v>
      </c>
      <c r="AH1484" s="421">
        <v>0</v>
      </c>
      <c r="AI1484" s="574">
        <f t="shared" si="37"/>
        <v>13241.24</v>
      </c>
      <c r="AJ1484" s="212"/>
    </row>
    <row r="1485" spans="2:36" ht="14.4">
      <c r="B1485" s="211"/>
      <c r="C1485" s="213" t="s">
        <v>113</v>
      </c>
      <c r="D1485" s="214">
        <v>17324.05</v>
      </c>
      <c r="E1485" s="214">
        <v>6729.83</v>
      </c>
      <c r="F1485" s="214">
        <v>10784.76</v>
      </c>
      <c r="G1485" s="214">
        <v>126.6</v>
      </c>
      <c r="H1485" s="214">
        <v>37988.1</v>
      </c>
      <c r="I1485" s="214">
        <v>0</v>
      </c>
      <c r="J1485" s="214">
        <v>0</v>
      </c>
      <c r="K1485" s="214">
        <v>0</v>
      </c>
      <c r="L1485" s="214">
        <v>0</v>
      </c>
      <c r="M1485" s="214">
        <v>0</v>
      </c>
      <c r="N1485" s="214">
        <v>4304.42</v>
      </c>
      <c r="O1485" s="214">
        <v>6074.55</v>
      </c>
      <c r="P1485" s="214">
        <v>0</v>
      </c>
      <c r="Q1485" s="214">
        <v>9252.84</v>
      </c>
      <c r="R1485" s="214">
        <v>13762.79</v>
      </c>
      <c r="S1485" s="214">
        <v>0</v>
      </c>
      <c r="T1485" s="214">
        <v>0</v>
      </c>
      <c r="U1485" s="214">
        <v>0</v>
      </c>
      <c r="V1485" s="214">
        <v>0</v>
      </c>
      <c r="W1485" s="214">
        <v>0</v>
      </c>
      <c r="X1485" s="214">
        <v>0</v>
      </c>
      <c r="Y1485" s="214">
        <v>0</v>
      </c>
      <c r="Z1485" s="214">
        <v>0</v>
      </c>
      <c r="AA1485" s="214">
        <v>0</v>
      </c>
      <c r="AB1485" s="214">
        <v>15540.32</v>
      </c>
      <c r="AC1485" s="214">
        <v>0</v>
      </c>
      <c r="AD1485" s="216"/>
      <c r="AE1485" s="420">
        <v>0</v>
      </c>
      <c r="AF1485" s="420">
        <v>0</v>
      </c>
      <c r="AG1485" s="420">
        <v>2428.31</v>
      </c>
      <c r="AH1485" s="421"/>
      <c r="AI1485" s="574">
        <f t="shared" si="37"/>
        <v>124316.57</v>
      </c>
      <c r="AJ1485" s="212"/>
    </row>
    <row r="1486" spans="2:36" ht="14.4">
      <c r="B1486" s="211"/>
      <c r="C1486" s="213" t="s">
        <v>137</v>
      </c>
      <c r="D1486" s="214">
        <v>53192</v>
      </c>
      <c r="E1486" s="214">
        <v>0</v>
      </c>
      <c r="F1486" s="214">
        <v>0</v>
      </c>
      <c r="G1486" s="214">
        <v>0</v>
      </c>
      <c r="H1486" s="214">
        <v>0</v>
      </c>
      <c r="I1486" s="214">
        <v>0</v>
      </c>
      <c r="J1486" s="214">
        <v>0</v>
      </c>
      <c r="K1486" s="214">
        <v>0</v>
      </c>
      <c r="L1486" s="214">
        <v>0</v>
      </c>
      <c r="M1486" s="214">
        <v>0</v>
      </c>
      <c r="N1486" s="214">
        <v>0</v>
      </c>
      <c r="O1486" s="214">
        <v>0</v>
      </c>
      <c r="P1486" s="214">
        <v>0</v>
      </c>
      <c r="Q1486" s="214">
        <v>0</v>
      </c>
      <c r="R1486" s="214">
        <v>0</v>
      </c>
      <c r="S1486" s="214">
        <v>0</v>
      </c>
      <c r="T1486" s="214">
        <v>0</v>
      </c>
      <c r="U1486" s="214">
        <v>0</v>
      </c>
      <c r="V1486" s="214">
        <v>0</v>
      </c>
      <c r="W1486" s="214">
        <v>0</v>
      </c>
      <c r="X1486" s="214">
        <v>0</v>
      </c>
      <c r="Y1486" s="214">
        <v>0</v>
      </c>
      <c r="Z1486" s="214">
        <v>0</v>
      </c>
      <c r="AA1486" s="214">
        <v>0</v>
      </c>
      <c r="AB1486" s="214">
        <v>0</v>
      </c>
      <c r="AC1486" s="214">
        <v>0</v>
      </c>
      <c r="AD1486" s="216"/>
      <c r="AE1486" s="420">
        <v>0</v>
      </c>
      <c r="AF1486" s="420">
        <v>0</v>
      </c>
      <c r="AG1486" s="420">
        <v>0</v>
      </c>
      <c r="AH1486" s="421"/>
      <c r="AI1486" s="574">
        <f t="shared" si="37"/>
        <v>53192</v>
      </c>
      <c r="AJ1486" s="212"/>
    </row>
    <row r="1487" spans="2:36" ht="14.4">
      <c r="B1487" s="211"/>
      <c r="C1487" s="213" t="s">
        <v>140</v>
      </c>
      <c r="D1487" s="214">
        <v>0</v>
      </c>
      <c r="E1487" s="214">
        <v>0</v>
      </c>
      <c r="F1487" s="214">
        <v>0</v>
      </c>
      <c r="G1487" s="214">
        <v>0</v>
      </c>
      <c r="H1487" s="214">
        <v>1558</v>
      </c>
      <c r="I1487" s="214">
        <v>0</v>
      </c>
      <c r="J1487" s="214">
        <v>0</v>
      </c>
      <c r="K1487" s="214">
        <v>0</v>
      </c>
      <c r="L1487" s="214">
        <v>2556</v>
      </c>
      <c r="M1487" s="214">
        <v>0</v>
      </c>
      <c r="N1487" s="214">
        <v>0</v>
      </c>
      <c r="O1487" s="214">
        <v>1000</v>
      </c>
      <c r="P1487" s="214">
        <v>0</v>
      </c>
      <c r="Q1487" s="214">
        <v>0</v>
      </c>
      <c r="R1487" s="214">
        <v>0</v>
      </c>
      <c r="S1487" s="214">
        <v>0</v>
      </c>
      <c r="T1487" s="214">
        <v>0</v>
      </c>
      <c r="U1487" s="214">
        <v>0</v>
      </c>
      <c r="V1487" s="214">
        <v>0</v>
      </c>
      <c r="W1487" s="214">
        <v>0</v>
      </c>
      <c r="X1487" s="214">
        <v>0</v>
      </c>
      <c r="Y1487" s="214">
        <v>0</v>
      </c>
      <c r="Z1487" s="214">
        <v>0</v>
      </c>
      <c r="AA1487" s="214">
        <v>0</v>
      </c>
      <c r="AB1487" s="214">
        <v>0</v>
      </c>
      <c r="AC1487" s="214">
        <v>0</v>
      </c>
      <c r="AD1487" s="216"/>
      <c r="AE1487" s="420">
        <v>0</v>
      </c>
      <c r="AF1487" s="420">
        <v>0</v>
      </c>
      <c r="AG1487" s="420">
        <v>0</v>
      </c>
      <c r="AH1487" s="421"/>
      <c r="AI1487" s="574">
        <f t="shared" si="37"/>
        <v>5114</v>
      </c>
      <c r="AJ1487" s="212"/>
    </row>
    <row r="1488" spans="2:36" ht="14.4">
      <c r="B1488" s="211"/>
      <c r="C1488" s="248" t="s">
        <v>141</v>
      </c>
      <c r="D1488" s="214">
        <v>0</v>
      </c>
      <c r="E1488" s="214">
        <v>0</v>
      </c>
      <c r="F1488" s="214">
        <v>0</v>
      </c>
      <c r="G1488" s="214">
        <v>0</v>
      </c>
      <c r="H1488" s="214">
        <v>0</v>
      </c>
      <c r="I1488" s="214">
        <v>0</v>
      </c>
      <c r="J1488" s="214">
        <v>0</v>
      </c>
      <c r="K1488" s="214">
        <v>0</v>
      </c>
      <c r="L1488" s="214">
        <v>0</v>
      </c>
      <c r="M1488" s="214">
        <v>0</v>
      </c>
      <c r="N1488" s="214">
        <v>0</v>
      </c>
      <c r="O1488" s="214">
        <v>0</v>
      </c>
      <c r="P1488" s="214">
        <v>0</v>
      </c>
      <c r="Q1488" s="214">
        <v>0</v>
      </c>
      <c r="R1488" s="214">
        <v>0</v>
      </c>
      <c r="S1488" s="214">
        <v>0</v>
      </c>
      <c r="T1488" s="214">
        <v>0</v>
      </c>
      <c r="U1488" s="214">
        <v>0</v>
      </c>
      <c r="V1488" s="214">
        <v>0</v>
      </c>
      <c r="W1488" s="214">
        <v>0</v>
      </c>
      <c r="X1488" s="214">
        <v>0</v>
      </c>
      <c r="Y1488" s="214">
        <v>0</v>
      </c>
      <c r="Z1488" s="214">
        <v>0</v>
      </c>
      <c r="AA1488" s="214">
        <v>0</v>
      </c>
      <c r="AB1488" s="214">
        <v>0</v>
      </c>
      <c r="AC1488" s="214">
        <v>0</v>
      </c>
      <c r="AD1488" s="216"/>
      <c r="AE1488" s="420">
        <v>0</v>
      </c>
      <c r="AF1488" s="420">
        <v>0</v>
      </c>
      <c r="AG1488" s="420">
        <v>0</v>
      </c>
      <c r="AH1488" s="421"/>
      <c r="AI1488" s="574">
        <f t="shared" si="37"/>
        <v>0</v>
      </c>
      <c r="AJ1488" s="212"/>
    </row>
    <row r="1489" spans="2:36" ht="14.4">
      <c r="B1489" s="211"/>
      <c r="C1489" s="213" t="s">
        <v>193</v>
      </c>
      <c r="D1489" s="214">
        <v>500</v>
      </c>
      <c r="E1489" s="214">
        <v>0</v>
      </c>
      <c r="F1489" s="214">
        <v>0</v>
      </c>
      <c r="G1489" s="214">
        <v>0</v>
      </c>
      <c r="H1489" s="214">
        <v>0</v>
      </c>
      <c r="I1489" s="214">
        <v>0</v>
      </c>
      <c r="J1489" s="214">
        <v>0</v>
      </c>
      <c r="K1489" s="214">
        <v>0</v>
      </c>
      <c r="L1489" s="214">
        <v>0</v>
      </c>
      <c r="M1489" s="214">
        <v>0</v>
      </c>
      <c r="N1489" s="214">
        <v>0</v>
      </c>
      <c r="O1489" s="214">
        <v>0</v>
      </c>
      <c r="P1489" s="214">
        <v>0</v>
      </c>
      <c r="Q1489" s="214">
        <v>0</v>
      </c>
      <c r="R1489" s="214">
        <v>0</v>
      </c>
      <c r="S1489" s="214">
        <v>0</v>
      </c>
      <c r="T1489" s="214">
        <v>0</v>
      </c>
      <c r="U1489" s="214">
        <v>0</v>
      </c>
      <c r="V1489" s="214">
        <v>0</v>
      </c>
      <c r="W1489" s="214">
        <v>0</v>
      </c>
      <c r="X1489" s="214">
        <v>0</v>
      </c>
      <c r="Y1489" s="214">
        <v>0</v>
      </c>
      <c r="Z1489" s="214">
        <v>0</v>
      </c>
      <c r="AA1489" s="214">
        <v>0</v>
      </c>
      <c r="AB1489" s="214">
        <v>0</v>
      </c>
      <c r="AC1489" s="214">
        <v>0</v>
      </c>
      <c r="AD1489" s="216"/>
      <c r="AE1489" s="420">
        <v>0</v>
      </c>
      <c r="AF1489" s="420">
        <v>0</v>
      </c>
      <c r="AG1489" s="420">
        <v>0</v>
      </c>
      <c r="AH1489" s="421"/>
      <c r="AI1489" s="574">
        <f t="shared" si="37"/>
        <v>500</v>
      </c>
      <c r="AJ1489" s="212"/>
    </row>
    <row r="1490" spans="2:36" ht="14.4">
      <c r="B1490" s="211"/>
      <c r="C1490" s="213" t="s">
        <v>148</v>
      </c>
      <c r="D1490" s="214">
        <v>0</v>
      </c>
      <c r="E1490" s="214">
        <v>0</v>
      </c>
      <c r="F1490" s="214">
        <v>0</v>
      </c>
      <c r="G1490" s="214">
        <v>0</v>
      </c>
      <c r="H1490" s="214">
        <v>0</v>
      </c>
      <c r="I1490" s="214">
        <v>0</v>
      </c>
      <c r="J1490" s="214">
        <v>0</v>
      </c>
      <c r="K1490" s="214">
        <v>0</v>
      </c>
      <c r="L1490" s="214">
        <v>0</v>
      </c>
      <c r="M1490" s="214">
        <v>0</v>
      </c>
      <c r="N1490" s="214">
        <v>0</v>
      </c>
      <c r="O1490" s="214">
        <v>0</v>
      </c>
      <c r="P1490" s="214">
        <v>0</v>
      </c>
      <c r="Q1490" s="214">
        <v>0</v>
      </c>
      <c r="R1490" s="214">
        <v>0</v>
      </c>
      <c r="S1490" s="214">
        <v>0</v>
      </c>
      <c r="T1490" s="214">
        <v>2960</v>
      </c>
      <c r="U1490" s="214">
        <v>0</v>
      </c>
      <c r="V1490" s="214">
        <v>0</v>
      </c>
      <c r="W1490" s="214">
        <v>0</v>
      </c>
      <c r="X1490" s="214">
        <v>0</v>
      </c>
      <c r="Y1490" s="214">
        <v>0</v>
      </c>
      <c r="Z1490" s="214">
        <v>0</v>
      </c>
      <c r="AA1490" s="214">
        <v>0</v>
      </c>
      <c r="AB1490" s="214">
        <v>0</v>
      </c>
      <c r="AC1490" s="214">
        <v>0</v>
      </c>
      <c r="AD1490" s="216"/>
      <c r="AE1490" s="420">
        <v>0</v>
      </c>
      <c r="AF1490" s="420">
        <v>0</v>
      </c>
      <c r="AG1490" s="420">
        <v>0</v>
      </c>
      <c r="AH1490" s="421"/>
      <c r="AI1490" s="574">
        <f t="shared" si="37"/>
        <v>2960</v>
      </c>
      <c r="AJ1490" s="212"/>
    </row>
    <row r="1491" spans="2:36" ht="14.4">
      <c r="B1491" s="211"/>
      <c r="C1491" s="213" t="s">
        <v>186</v>
      </c>
      <c r="D1491" s="214">
        <v>0</v>
      </c>
      <c r="E1491" s="214">
        <v>0</v>
      </c>
      <c r="F1491" s="214">
        <v>0</v>
      </c>
      <c r="G1491" s="214">
        <v>0</v>
      </c>
      <c r="H1491" s="214">
        <v>0</v>
      </c>
      <c r="I1491" s="214">
        <v>0</v>
      </c>
      <c r="J1491" s="214">
        <v>0</v>
      </c>
      <c r="K1491" s="214">
        <v>0</v>
      </c>
      <c r="L1491" s="214">
        <v>0</v>
      </c>
      <c r="M1491" s="214">
        <v>0</v>
      </c>
      <c r="N1491" s="214">
        <v>0</v>
      </c>
      <c r="O1491" s="214">
        <v>0</v>
      </c>
      <c r="P1491" s="214">
        <v>0</v>
      </c>
      <c r="Q1491" s="214">
        <v>0</v>
      </c>
      <c r="R1491" s="214">
        <v>0</v>
      </c>
      <c r="S1491" s="214">
        <v>0</v>
      </c>
      <c r="T1491" s="214">
        <v>0</v>
      </c>
      <c r="U1491" s="214">
        <v>0</v>
      </c>
      <c r="V1491" s="214">
        <v>0</v>
      </c>
      <c r="W1491" s="214">
        <v>0</v>
      </c>
      <c r="X1491" s="214">
        <v>0</v>
      </c>
      <c r="Y1491" s="214">
        <v>0</v>
      </c>
      <c r="Z1491" s="214">
        <v>0</v>
      </c>
      <c r="AA1491" s="214">
        <v>0</v>
      </c>
      <c r="AB1491" s="214">
        <v>0</v>
      </c>
      <c r="AC1491" s="214">
        <v>0</v>
      </c>
      <c r="AD1491" s="216"/>
      <c r="AE1491" s="420">
        <v>0</v>
      </c>
      <c r="AF1491" s="420">
        <v>0</v>
      </c>
      <c r="AG1491" s="420">
        <v>0</v>
      </c>
      <c r="AH1491" s="421"/>
      <c r="AI1491" s="574">
        <f t="shared" si="37"/>
        <v>0</v>
      </c>
      <c r="AJ1491" s="212"/>
    </row>
    <row r="1492" spans="2:36" ht="14.4">
      <c r="B1492" s="211"/>
      <c r="C1492" s="213" t="s">
        <v>171</v>
      </c>
      <c r="D1492" s="214">
        <v>0</v>
      </c>
      <c r="E1492" s="214">
        <v>0</v>
      </c>
      <c r="F1492" s="214">
        <v>0</v>
      </c>
      <c r="G1492" s="214">
        <v>0</v>
      </c>
      <c r="H1492" s="214">
        <v>0</v>
      </c>
      <c r="I1492" s="214">
        <v>0</v>
      </c>
      <c r="J1492" s="214">
        <v>0</v>
      </c>
      <c r="K1492" s="214">
        <v>0</v>
      </c>
      <c r="L1492" s="214">
        <v>0</v>
      </c>
      <c r="M1492" s="214">
        <v>0</v>
      </c>
      <c r="N1492" s="214">
        <v>0</v>
      </c>
      <c r="O1492" s="214">
        <v>0</v>
      </c>
      <c r="P1492" s="214">
        <v>0</v>
      </c>
      <c r="Q1492" s="214">
        <v>0</v>
      </c>
      <c r="R1492" s="214">
        <v>0</v>
      </c>
      <c r="S1492" s="214">
        <v>0</v>
      </c>
      <c r="T1492" s="214">
        <v>0</v>
      </c>
      <c r="U1492" s="214">
        <v>0</v>
      </c>
      <c r="V1492" s="214">
        <v>0</v>
      </c>
      <c r="W1492" s="214">
        <v>0</v>
      </c>
      <c r="X1492" s="214">
        <v>0</v>
      </c>
      <c r="Y1492" s="214">
        <v>0</v>
      </c>
      <c r="Z1492" s="214">
        <v>0</v>
      </c>
      <c r="AA1492" s="214">
        <v>0</v>
      </c>
      <c r="AB1492" s="214">
        <v>0</v>
      </c>
      <c r="AC1492" s="214">
        <v>0</v>
      </c>
      <c r="AD1492" s="216"/>
      <c r="AE1492" s="420">
        <v>0</v>
      </c>
      <c r="AF1492" s="420">
        <v>0</v>
      </c>
      <c r="AG1492" s="420">
        <v>0</v>
      </c>
      <c r="AH1492" s="421"/>
      <c r="AI1492" s="574">
        <f t="shared" si="37"/>
        <v>0</v>
      </c>
      <c r="AJ1492" s="212"/>
    </row>
    <row r="1493" spans="2:36" ht="14.4">
      <c r="B1493" s="211"/>
      <c r="C1493" s="213" t="s">
        <v>180</v>
      </c>
      <c r="D1493" s="214">
        <v>0</v>
      </c>
      <c r="E1493" s="214">
        <v>0</v>
      </c>
      <c r="F1493" s="214">
        <v>0</v>
      </c>
      <c r="G1493" s="214">
        <v>0</v>
      </c>
      <c r="H1493" s="214">
        <v>0</v>
      </c>
      <c r="I1493" s="214">
        <v>0</v>
      </c>
      <c r="J1493" s="214">
        <v>0</v>
      </c>
      <c r="K1493" s="214">
        <v>0</v>
      </c>
      <c r="L1493" s="214">
        <v>0</v>
      </c>
      <c r="M1493" s="214">
        <v>0</v>
      </c>
      <c r="N1493" s="214">
        <v>0</v>
      </c>
      <c r="O1493" s="214">
        <v>0</v>
      </c>
      <c r="P1493" s="214">
        <v>0</v>
      </c>
      <c r="Q1493" s="214">
        <v>0</v>
      </c>
      <c r="R1493" s="214">
        <v>0</v>
      </c>
      <c r="S1493" s="214">
        <v>0</v>
      </c>
      <c r="T1493" s="214">
        <v>0</v>
      </c>
      <c r="U1493" s="214">
        <v>0</v>
      </c>
      <c r="V1493" s="214">
        <v>0</v>
      </c>
      <c r="W1493" s="214">
        <v>0</v>
      </c>
      <c r="X1493" s="214">
        <v>0</v>
      </c>
      <c r="Y1493" s="214">
        <v>0</v>
      </c>
      <c r="Z1493" s="214">
        <v>0</v>
      </c>
      <c r="AA1493" s="214">
        <v>0</v>
      </c>
      <c r="AB1493" s="214">
        <v>0</v>
      </c>
      <c r="AC1493" s="214">
        <v>0</v>
      </c>
      <c r="AD1493" s="216"/>
      <c r="AE1493" s="420">
        <v>0</v>
      </c>
      <c r="AF1493" s="420">
        <v>0</v>
      </c>
      <c r="AG1493" s="420">
        <v>0</v>
      </c>
      <c r="AH1493" s="421"/>
      <c r="AI1493" s="574">
        <f t="shared" si="37"/>
        <v>0</v>
      </c>
      <c r="AJ1493" s="212"/>
    </row>
    <row r="1494" spans="2:36" ht="14.4">
      <c r="B1494" s="211"/>
      <c r="C1494" s="213" t="s">
        <v>183</v>
      </c>
      <c r="D1494" s="214">
        <v>0</v>
      </c>
      <c r="E1494" s="214">
        <v>13538.66</v>
      </c>
      <c r="F1494" s="214">
        <v>1702</v>
      </c>
      <c r="G1494" s="214">
        <v>11047.4</v>
      </c>
      <c r="H1494" s="214">
        <v>7836.38</v>
      </c>
      <c r="I1494" s="214">
        <v>0</v>
      </c>
      <c r="J1494" s="214">
        <v>185</v>
      </c>
      <c r="K1494" s="214">
        <v>0</v>
      </c>
      <c r="L1494" s="214">
        <v>0</v>
      </c>
      <c r="M1494" s="214">
        <v>155</v>
      </c>
      <c r="N1494" s="214">
        <v>0</v>
      </c>
      <c r="O1494" s="214">
        <v>749.08</v>
      </c>
      <c r="P1494" s="214">
        <v>5737.18</v>
      </c>
      <c r="Q1494" s="214">
        <v>15467.34</v>
      </c>
      <c r="R1494" s="214">
        <v>0</v>
      </c>
      <c r="S1494" s="214">
        <v>1896.96</v>
      </c>
      <c r="T1494" s="214">
        <v>0</v>
      </c>
      <c r="U1494" s="214">
        <v>0</v>
      </c>
      <c r="V1494" s="214">
        <v>0</v>
      </c>
      <c r="W1494" s="214">
        <v>0</v>
      </c>
      <c r="X1494" s="214">
        <v>0</v>
      </c>
      <c r="Y1494" s="214">
        <v>0</v>
      </c>
      <c r="Z1494" s="214">
        <v>0</v>
      </c>
      <c r="AA1494" s="214">
        <v>0</v>
      </c>
      <c r="AB1494" s="214">
        <v>0</v>
      </c>
      <c r="AC1494" s="214">
        <v>0</v>
      </c>
      <c r="AD1494" s="216"/>
      <c r="AE1494" s="420">
        <v>0</v>
      </c>
      <c r="AF1494" s="420">
        <v>0</v>
      </c>
      <c r="AG1494" s="420">
        <v>0</v>
      </c>
      <c r="AH1494" s="421"/>
      <c r="AI1494" s="574">
        <f t="shared" si="37"/>
        <v>58314.999999999993</v>
      </c>
      <c r="AJ1494" s="212"/>
    </row>
    <row r="1495" spans="2:36" ht="14.4">
      <c r="B1495" s="211"/>
      <c r="C1495" s="213" t="s">
        <v>195</v>
      </c>
      <c r="D1495" s="214">
        <v>13038.16</v>
      </c>
      <c r="E1495" s="214">
        <v>0</v>
      </c>
      <c r="F1495" s="214">
        <v>0</v>
      </c>
      <c r="G1495" s="214">
        <v>0</v>
      </c>
      <c r="H1495" s="214">
        <v>0</v>
      </c>
      <c r="I1495" s="214">
        <v>0</v>
      </c>
      <c r="J1495" s="214">
        <v>0</v>
      </c>
      <c r="K1495" s="214">
        <v>0</v>
      </c>
      <c r="L1495" s="214">
        <v>0</v>
      </c>
      <c r="M1495" s="214">
        <v>0</v>
      </c>
      <c r="N1495" s="214">
        <v>0</v>
      </c>
      <c r="O1495" s="214">
        <v>0</v>
      </c>
      <c r="P1495" s="214">
        <v>0</v>
      </c>
      <c r="Q1495" s="214">
        <v>0</v>
      </c>
      <c r="R1495" s="214">
        <v>0</v>
      </c>
      <c r="S1495" s="214">
        <v>0</v>
      </c>
      <c r="T1495" s="214">
        <v>0</v>
      </c>
      <c r="U1495" s="214">
        <v>0</v>
      </c>
      <c r="V1495" s="214">
        <v>0</v>
      </c>
      <c r="W1495" s="214">
        <v>0</v>
      </c>
      <c r="X1495" s="214">
        <v>0</v>
      </c>
      <c r="Y1495" s="214">
        <v>0</v>
      </c>
      <c r="Z1495" s="214">
        <v>0</v>
      </c>
      <c r="AA1495" s="214">
        <v>0</v>
      </c>
      <c r="AB1495" s="214">
        <v>0</v>
      </c>
      <c r="AC1495" s="214">
        <v>0</v>
      </c>
      <c r="AD1495" s="216"/>
      <c r="AE1495" s="420">
        <v>0</v>
      </c>
      <c r="AF1495" s="420">
        <v>0</v>
      </c>
      <c r="AG1495" s="420">
        <v>0</v>
      </c>
      <c r="AH1495" s="421"/>
      <c r="AI1495" s="574">
        <f t="shared" si="37"/>
        <v>13038.16</v>
      </c>
      <c r="AJ1495" s="212"/>
    </row>
    <row r="1496" spans="2:36" ht="14.4">
      <c r="B1496" s="211"/>
      <c r="C1496" s="213" t="s">
        <v>189</v>
      </c>
      <c r="D1496" s="214">
        <v>9610.09</v>
      </c>
      <c r="E1496" s="214">
        <v>0</v>
      </c>
      <c r="F1496" s="214">
        <v>0</v>
      </c>
      <c r="G1496" s="214">
        <v>0</v>
      </c>
      <c r="H1496" s="214">
        <v>0</v>
      </c>
      <c r="I1496" s="214">
        <v>0</v>
      </c>
      <c r="J1496" s="214">
        <v>0</v>
      </c>
      <c r="K1496" s="214">
        <v>0</v>
      </c>
      <c r="L1496" s="214">
        <v>0</v>
      </c>
      <c r="M1496" s="214">
        <v>0</v>
      </c>
      <c r="N1496" s="214">
        <v>0</v>
      </c>
      <c r="O1496" s="214">
        <v>0</v>
      </c>
      <c r="P1496" s="214">
        <v>0</v>
      </c>
      <c r="Q1496" s="214">
        <v>0</v>
      </c>
      <c r="R1496" s="214">
        <v>0</v>
      </c>
      <c r="S1496" s="214">
        <v>0</v>
      </c>
      <c r="T1496" s="214">
        <v>0</v>
      </c>
      <c r="U1496" s="214">
        <v>0</v>
      </c>
      <c r="V1496" s="214">
        <v>0</v>
      </c>
      <c r="W1496" s="214">
        <v>0</v>
      </c>
      <c r="X1496" s="214">
        <v>0</v>
      </c>
      <c r="Y1496" s="214">
        <v>0</v>
      </c>
      <c r="Z1496" s="214">
        <v>0</v>
      </c>
      <c r="AA1496" s="214">
        <v>0</v>
      </c>
      <c r="AB1496" s="214">
        <v>0</v>
      </c>
      <c r="AC1496" s="214">
        <v>0</v>
      </c>
      <c r="AD1496" s="216"/>
      <c r="AE1496" s="420">
        <v>0</v>
      </c>
      <c r="AF1496" s="420">
        <v>0</v>
      </c>
      <c r="AG1496" s="420">
        <v>0</v>
      </c>
      <c r="AH1496" s="421"/>
      <c r="AI1496" s="574">
        <f t="shared" si="37"/>
        <v>9610.09</v>
      </c>
      <c r="AJ1496" s="212"/>
    </row>
    <row r="1497" spans="2:36" ht="14.4">
      <c r="B1497" s="211"/>
      <c r="C1497" s="213" t="s">
        <v>188</v>
      </c>
      <c r="D1497" s="214">
        <v>10952.1</v>
      </c>
      <c r="E1497" s="214">
        <v>0</v>
      </c>
      <c r="F1497" s="214">
        <v>0</v>
      </c>
      <c r="G1497" s="214">
        <v>0</v>
      </c>
      <c r="H1497" s="214">
        <v>0</v>
      </c>
      <c r="I1497" s="214">
        <v>0</v>
      </c>
      <c r="J1497" s="214">
        <v>0</v>
      </c>
      <c r="K1497" s="214">
        <v>0</v>
      </c>
      <c r="L1497" s="214">
        <v>0</v>
      </c>
      <c r="M1497" s="214">
        <v>0</v>
      </c>
      <c r="N1497" s="214">
        <v>0</v>
      </c>
      <c r="O1497" s="214">
        <v>0</v>
      </c>
      <c r="P1497" s="214">
        <v>0</v>
      </c>
      <c r="Q1497" s="214">
        <v>0</v>
      </c>
      <c r="R1497" s="214">
        <v>0</v>
      </c>
      <c r="S1497" s="214">
        <v>0</v>
      </c>
      <c r="T1497" s="214">
        <v>0</v>
      </c>
      <c r="U1497" s="214">
        <v>0</v>
      </c>
      <c r="V1497" s="214">
        <v>0</v>
      </c>
      <c r="W1497" s="214">
        <v>0</v>
      </c>
      <c r="X1497" s="214">
        <v>0</v>
      </c>
      <c r="Y1497" s="214">
        <v>0</v>
      </c>
      <c r="Z1497" s="214">
        <v>0</v>
      </c>
      <c r="AA1497" s="214">
        <v>0</v>
      </c>
      <c r="AB1497" s="214">
        <v>0</v>
      </c>
      <c r="AC1497" s="214">
        <v>0</v>
      </c>
      <c r="AD1497" s="216"/>
      <c r="AE1497" s="420">
        <v>0</v>
      </c>
      <c r="AF1497" s="420">
        <v>0</v>
      </c>
      <c r="AG1497" s="420">
        <v>0</v>
      </c>
      <c r="AH1497" s="421"/>
      <c r="AI1497" s="574">
        <f t="shared" si="37"/>
        <v>10952.1</v>
      </c>
      <c r="AJ1497" s="212"/>
    </row>
    <row r="1498" spans="2:36" ht="14.4">
      <c r="B1498" s="211"/>
      <c r="C1498" s="213" t="s">
        <v>196</v>
      </c>
      <c r="D1498" s="214">
        <v>36281.33</v>
      </c>
      <c r="E1498" s="214">
        <v>0</v>
      </c>
      <c r="F1498" s="214">
        <v>0</v>
      </c>
      <c r="G1498" s="214">
        <v>0</v>
      </c>
      <c r="H1498" s="214">
        <v>0</v>
      </c>
      <c r="I1498" s="214">
        <v>0</v>
      </c>
      <c r="J1498" s="214">
        <v>0</v>
      </c>
      <c r="K1498" s="214">
        <v>0</v>
      </c>
      <c r="L1498" s="214">
        <v>0</v>
      </c>
      <c r="M1498" s="214">
        <v>0</v>
      </c>
      <c r="N1498" s="214">
        <v>0</v>
      </c>
      <c r="O1498" s="214">
        <v>0</v>
      </c>
      <c r="P1498" s="214">
        <v>0</v>
      </c>
      <c r="Q1498" s="214">
        <v>0</v>
      </c>
      <c r="R1498" s="214">
        <v>0</v>
      </c>
      <c r="S1498" s="214">
        <v>0</v>
      </c>
      <c r="T1498" s="214">
        <v>0</v>
      </c>
      <c r="U1498" s="214">
        <v>0</v>
      </c>
      <c r="V1498" s="214">
        <v>0</v>
      </c>
      <c r="W1498" s="214">
        <v>0</v>
      </c>
      <c r="X1498" s="214">
        <v>0</v>
      </c>
      <c r="Y1498" s="214">
        <v>0</v>
      </c>
      <c r="Z1498" s="214">
        <v>0</v>
      </c>
      <c r="AA1498" s="214">
        <v>0</v>
      </c>
      <c r="AB1498" s="214">
        <v>0</v>
      </c>
      <c r="AC1498" s="214">
        <v>0</v>
      </c>
      <c r="AD1498" s="216"/>
      <c r="AE1498" s="420">
        <v>0</v>
      </c>
      <c r="AF1498" s="420">
        <v>0</v>
      </c>
      <c r="AG1498" s="420">
        <v>0</v>
      </c>
      <c r="AH1498" s="421"/>
      <c r="AI1498" s="574">
        <f t="shared" si="37"/>
        <v>36281.33</v>
      </c>
      <c r="AJ1498" s="212"/>
    </row>
    <row r="1499" spans="2:36" ht="14.4">
      <c r="B1499" s="211"/>
      <c r="C1499" s="213" t="s">
        <v>197</v>
      </c>
      <c r="D1499" s="214">
        <v>216471.7</v>
      </c>
      <c r="E1499" s="214">
        <v>0</v>
      </c>
      <c r="F1499" s="214">
        <v>0</v>
      </c>
      <c r="G1499" s="214">
        <v>0</v>
      </c>
      <c r="H1499" s="214">
        <v>0</v>
      </c>
      <c r="I1499" s="214">
        <v>0</v>
      </c>
      <c r="J1499" s="214">
        <v>0</v>
      </c>
      <c r="K1499" s="214">
        <v>0</v>
      </c>
      <c r="L1499" s="214">
        <v>0</v>
      </c>
      <c r="M1499" s="214">
        <v>0</v>
      </c>
      <c r="N1499" s="214">
        <v>0</v>
      </c>
      <c r="O1499" s="214">
        <v>0</v>
      </c>
      <c r="P1499" s="214">
        <v>0</v>
      </c>
      <c r="Q1499" s="214">
        <v>0</v>
      </c>
      <c r="R1499" s="214">
        <v>0</v>
      </c>
      <c r="S1499" s="214">
        <v>0</v>
      </c>
      <c r="T1499" s="214">
        <v>0</v>
      </c>
      <c r="U1499" s="214">
        <v>0</v>
      </c>
      <c r="V1499" s="214">
        <v>0</v>
      </c>
      <c r="W1499" s="214">
        <v>0</v>
      </c>
      <c r="X1499" s="214">
        <v>0</v>
      </c>
      <c r="Y1499" s="214">
        <v>0</v>
      </c>
      <c r="Z1499" s="214">
        <v>0</v>
      </c>
      <c r="AA1499" s="214">
        <v>0</v>
      </c>
      <c r="AB1499" s="214">
        <v>0</v>
      </c>
      <c r="AC1499" s="214">
        <v>0</v>
      </c>
      <c r="AD1499" s="216"/>
      <c r="AE1499" s="420">
        <v>0</v>
      </c>
      <c r="AF1499" s="420">
        <v>0</v>
      </c>
      <c r="AG1499" s="420">
        <v>0</v>
      </c>
      <c r="AH1499" s="421"/>
      <c r="AI1499" s="574">
        <f t="shared" si="37"/>
        <v>216471.7</v>
      </c>
      <c r="AJ1499" s="212"/>
    </row>
    <row r="1500" spans="2:36" ht="14.4">
      <c r="B1500" s="211"/>
      <c r="C1500" s="213" t="s">
        <v>198</v>
      </c>
      <c r="D1500" s="214">
        <v>18073.64</v>
      </c>
      <c r="E1500" s="214">
        <v>0</v>
      </c>
      <c r="F1500" s="214">
        <v>0</v>
      </c>
      <c r="G1500" s="214">
        <v>0</v>
      </c>
      <c r="H1500" s="214">
        <v>0</v>
      </c>
      <c r="I1500" s="214">
        <v>0</v>
      </c>
      <c r="J1500" s="214">
        <v>0</v>
      </c>
      <c r="K1500" s="214">
        <v>0</v>
      </c>
      <c r="L1500" s="214">
        <v>0</v>
      </c>
      <c r="M1500" s="214">
        <v>0</v>
      </c>
      <c r="N1500" s="214">
        <v>0</v>
      </c>
      <c r="O1500" s="214">
        <v>0</v>
      </c>
      <c r="P1500" s="214">
        <v>0</v>
      </c>
      <c r="Q1500" s="214">
        <v>0</v>
      </c>
      <c r="R1500" s="214">
        <v>0</v>
      </c>
      <c r="S1500" s="214">
        <v>0</v>
      </c>
      <c r="T1500" s="214">
        <v>0</v>
      </c>
      <c r="U1500" s="214">
        <v>0</v>
      </c>
      <c r="V1500" s="214">
        <v>0</v>
      </c>
      <c r="W1500" s="214">
        <v>0</v>
      </c>
      <c r="X1500" s="214">
        <v>0</v>
      </c>
      <c r="Y1500" s="214">
        <v>0</v>
      </c>
      <c r="Z1500" s="214">
        <v>0</v>
      </c>
      <c r="AA1500" s="214">
        <v>0</v>
      </c>
      <c r="AB1500" s="214">
        <v>0</v>
      </c>
      <c r="AC1500" s="214">
        <v>0</v>
      </c>
      <c r="AD1500" s="216"/>
      <c r="AE1500" s="420">
        <v>0</v>
      </c>
      <c r="AF1500" s="420">
        <v>0</v>
      </c>
      <c r="AG1500" s="420">
        <v>0</v>
      </c>
      <c r="AH1500" s="421"/>
      <c r="AI1500" s="574">
        <f t="shared" si="37"/>
        <v>18073.64</v>
      </c>
      <c r="AJ1500" s="212"/>
    </row>
    <row r="1501" spans="2:36" ht="14.4">
      <c r="B1501" s="211"/>
      <c r="C1501" s="213" t="s">
        <v>201</v>
      </c>
      <c r="D1501" s="214">
        <v>12115.46</v>
      </c>
      <c r="E1501" s="214">
        <v>0</v>
      </c>
      <c r="F1501" s="214">
        <v>0</v>
      </c>
      <c r="G1501" s="214">
        <v>0</v>
      </c>
      <c r="H1501" s="214">
        <v>0</v>
      </c>
      <c r="I1501" s="214">
        <v>0</v>
      </c>
      <c r="J1501" s="214">
        <v>0</v>
      </c>
      <c r="K1501" s="214">
        <v>0</v>
      </c>
      <c r="L1501" s="214">
        <v>0</v>
      </c>
      <c r="M1501" s="214">
        <v>0</v>
      </c>
      <c r="N1501" s="214">
        <v>0</v>
      </c>
      <c r="O1501" s="214">
        <v>0</v>
      </c>
      <c r="P1501" s="214">
        <v>0</v>
      </c>
      <c r="Q1501" s="214">
        <v>0</v>
      </c>
      <c r="R1501" s="214">
        <v>0</v>
      </c>
      <c r="S1501" s="214">
        <v>0</v>
      </c>
      <c r="T1501" s="214">
        <v>0</v>
      </c>
      <c r="U1501" s="214">
        <v>0</v>
      </c>
      <c r="V1501" s="214">
        <v>0</v>
      </c>
      <c r="W1501" s="214">
        <v>0</v>
      </c>
      <c r="X1501" s="214">
        <v>0</v>
      </c>
      <c r="Y1501" s="214">
        <v>0</v>
      </c>
      <c r="Z1501" s="214">
        <v>0</v>
      </c>
      <c r="AA1501" s="214">
        <v>0</v>
      </c>
      <c r="AB1501" s="214">
        <v>0</v>
      </c>
      <c r="AC1501" s="214">
        <v>0</v>
      </c>
      <c r="AD1501" s="216"/>
      <c r="AE1501" s="420">
        <v>0</v>
      </c>
      <c r="AF1501" s="420">
        <v>0</v>
      </c>
      <c r="AG1501" s="420">
        <v>0</v>
      </c>
      <c r="AH1501" s="421"/>
      <c r="AI1501" s="574">
        <f t="shared" si="37"/>
        <v>12115.46</v>
      </c>
      <c r="AJ1501" s="212"/>
    </row>
    <row r="1502" spans="2:36" ht="14.4">
      <c r="B1502" s="211"/>
      <c r="C1502" s="213" t="s">
        <v>202</v>
      </c>
      <c r="D1502" s="214">
        <v>17795.78</v>
      </c>
      <c r="E1502" s="214">
        <v>0</v>
      </c>
      <c r="F1502" s="214">
        <v>0</v>
      </c>
      <c r="G1502" s="214">
        <v>0</v>
      </c>
      <c r="H1502" s="214">
        <v>0</v>
      </c>
      <c r="I1502" s="214">
        <v>0</v>
      </c>
      <c r="J1502" s="214">
        <v>0</v>
      </c>
      <c r="K1502" s="214">
        <v>0</v>
      </c>
      <c r="L1502" s="214">
        <v>0</v>
      </c>
      <c r="M1502" s="214">
        <v>0</v>
      </c>
      <c r="N1502" s="214">
        <v>0</v>
      </c>
      <c r="O1502" s="214">
        <v>0</v>
      </c>
      <c r="P1502" s="214">
        <v>0</v>
      </c>
      <c r="Q1502" s="214">
        <v>0</v>
      </c>
      <c r="R1502" s="214">
        <v>0</v>
      </c>
      <c r="S1502" s="214">
        <v>0</v>
      </c>
      <c r="T1502" s="214">
        <v>0</v>
      </c>
      <c r="U1502" s="214">
        <v>0</v>
      </c>
      <c r="V1502" s="214">
        <v>0</v>
      </c>
      <c r="W1502" s="214">
        <v>0</v>
      </c>
      <c r="X1502" s="214">
        <v>0</v>
      </c>
      <c r="Y1502" s="214">
        <v>0</v>
      </c>
      <c r="Z1502" s="214">
        <v>0</v>
      </c>
      <c r="AA1502" s="214">
        <v>0</v>
      </c>
      <c r="AB1502" s="214">
        <v>0</v>
      </c>
      <c r="AC1502" s="214">
        <v>0</v>
      </c>
      <c r="AD1502" s="216"/>
      <c r="AE1502" s="420">
        <v>0</v>
      </c>
      <c r="AF1502" s="420">
        <v>0</v>
      </c>
      <c r="AG1502" s="420">
        <v>0</v>
      </c>
      <c r="AH1502" s="421"/>
      <c r="AI1502" s="574">
        <f t="shared" si="37"/>
        <v>17795.78</v>
      </c>
      <c r="AJ1502" s="212"/>
    </row>
    <row r="1503" spans="2:36" ht="14.4">
      <c r="B1503" s="211"/>
      <c r="C1503" s="213" t="s">
        <v>206</v>
      </c>
      <c r="D1503" s="214">
        <v>12786.24</v>
      </c>
      <c r="E1503" s="214">
        <v>0</v>
      </c>
      <c r="F1503" s="214">
        <v>0</v>
      </c>
      <c r="G1503" s="214">
        <v>0</v>
      </c>
      <c r="H1503" s="214">
        <v>0</v>
      </c>
      <c r="I1503" s="214">
        <v>0</v>
      </c>
      <c r="J1503" s="214">
        <v>0</v>
      </c>
      <c r="K1503" s="214">
        <v>0</v>
      </c>
      <c r="L1503" s="214">
        <v>0</v>
      </c>
      <c r="M1503" s="214">
        <v>0</v>
      </c>
      <c r="N1503" s="214">
        <v>0</v>
      </c>
      <c r="O1503" s="214">
        <v>0</v>
      </c>
      <c r="P1503" s="214">
        <v>0</v>
      </c>
      <c r="Q1503" s="214">
        <v>0</v>
      </c>
      <c r="R1503" s="214">
        <v>0</v>
      </c>
      <c r="S1503" s="214">
        <v>0</v>
      </c>
      <c r="T1503" s="214">
        <v>0</v>
      </c>
      <c r="U1503" s="214">
        <v>0</v>
      </c>
      <c r="V1503" s="214">
        <v>0</v>
      </c>
      <c r="W1503" s="214">
        <v>0</v>
      </c>
      <c r="X1503" s="214">
        <v>0</v>
      </c>
      <c r="Y1503" s="214">
        <v>0</v>
      </c>
      <c r="Z1503" s="214">
        <v>0</v>
      </c>
      <c r="AA1503" s="214">
        <v>0</v>
      </c>
      <c r="AB1503" s="214">
        <v>0</v>
      </c>
      <c r="AC1503" s="214">
        <v>0</v>
      </c>
      <c r="AD1503" s="216"/>
      <c r="AE1503" s="420">
        <v>0</v>
      </c>
      <c r="AF1503" s="420">
        <v>0</v>
      </c>
      <c r="AG1503" s="420">
        <v>0</v>
      </c>
      <c r="AH1503" s="421"/>
      <c r="AI1503" s="574">
        <f t="shared" si="37"/>
        <v>12786.24</v>
      </c>
      <c r="AJ1503" s="212"/>
    </row>
    <row r="1504" spans="2:36" ht="14.4">
      <c r="B1504" s="211"/>
      <c r="C1504" s="213" t="s">
        <v>207</v>
      </c>
      <c r="D1504" s="214">
        <v>11831.25</v>
      </c>
      <c r="E1504" s="214">
        <v>3450</v>
      </c>
      <c r="F1504" s="214">
        <v>3450</v>
      </c>
      <c r="G1504" s="214">
        <v>3112.5</v>
      </c>
      <c r="H1504" s="214">
        <v>862.5</v>
      </c>
      <c r="I1504" s="214">
        <v>1293.75</v>
      </c>
      <c r="J1504" s="214"/>
      <c r="K1504" s="214"/>
      <c r="L1504" s="214">
        <v>431.25</v>
      </c>
      <c r="M1504" s="214">
        <v>1293.75</v>
      </c>
      <c r="N1504" s="214">
        <v>431.25</v>
      </c>
      <c r="O1504" s="214">
        <v>862.5</v>
      </c>
      <c r="P1504" s="214">
        <v>431.25</v>
      </c>
      <c r="Q1504" s="214">
        <v>431.25</v>
      </c>
      <c r="R1504" s="214">
        <v>1387.5</v>
      </c>
      <c r="S1504" s="214">
        <v>1293.75</v>
      </c>
      <c r="T1504" s="214"/>
      <c r="U1504" s="214"/>
      <c r="V1504" s="214"/>
      <c r="W1504" s="214"/>
      <c r="X1504" s="214">
        <v>431.25</v>
      </c>
      <c r="Y1504" s="214">
        <v>431.25</v>
      </c>
      <c r="Z1504" s="214"/>
      <c r="AA1504" s="214">
        <v>431.25</v>
      </c>
      <c r="AB1504" s="214"/>
      <c r="AC1504" s="214">
        <v>862.5</v>
      </c>
      <c r="AD1504" s="216"/>
      <c r="AE1504" s="420">
        <v>431.25</v>
      </c>
      <c r="AF1504" s="420"/>
      <c r="AG1504" s="420"/>
      <c r="AH1504" s="421"/>
      <c r="AI1504" s="574">
        <f t="shared" si="37"/>
        <v>33150</v>
      </c>
      <c r="AJ1504" s="212"/>
    </row>
    <row r="1505" spans="1:37" ht="14.4">
      <c r="B1505" s="211"/>
      <c r="C1505" s="213" t="s">
        <v>208</v>
      </c>
      <c r="D1505" s="214">
        <v>19338.2</v>
      </c>
      <c r="E1505" s="214">
        <v>0</v>
      </c>
      <c r="F1505" s="214">
        <v>0</v>
      </c>
      <c r="G1505" s="214">
        <v>0</v>
      </c>
      <c r="H1505" s="214">
        <v>0</v>
      </c>
      <c r="I1505" s="214">
        <v>0</v>
      </c>
      <c r="J1505" s="214">
        <v>0</v>
      </c>
      <c r="K1505" s="214">
        <v>0</v>
      </c>
      <c r="L1505" s="214">
        <v>0</v>
      </c>
      <c r="M1505" s="214">
        <v>0</v>
      </c>
      <c r="N1505" s="214">
        <v>0</v>
      </c>
      <c r="O1505" s="214">
        <v>0</v>
      </c>
      <c r="P1505" s="214">
        <v>0</v>
      </c>
      <c r="Q1505" s="214">
        <v>0</v>
      </c>
      <c r="R1505" s="214">
        <v>0</v>
      </c>
      <c r="S1505" s="214">
        <v>0</v>
      </c>
      <c r="T1505" s="214">
        <v>0</v>
      </c>
      <c r="U1505" s="214">
        <v>0</v>
      </c>
      <c r="V1505" s="214">
        <v>0</v>
      </c>
      <c r="W1505" s="214">
        <v>0</v>
      </c>
      <c r="X1505" s="214">
        <v>0</v>
      </c>
      <c r="Y1505" s="214">
        <v>0</v>
      </c>
      <c r="Z1505" s="214">
        <v>0</v>
      </c>
      <c r="AA1505" s="214">
        <v>0</v>
      </c>
      <c r="AB1505" s="214">
        <v>0</v>
      </c>
      <c r="AC1505" s="214">
        <v>0</v>
      </c>
      <c r="AD1505" s="216"/>
      <c r="AE1505" s="420">
        <v>0</v>
      </c>
      <c r="AF1505" s="420">
        <v>0</v>
      </c>
      <c r="AG1505" s="420">
        <v>0</v>
      </c>
      <c r="AH1505" s="421"/>
      <c r="AI1505" s="574">
        <f t="shared" si="37"/>
        <v>19338.2</v>
      </c>
      <c r="AJ1505" s="212"/>
    </row>
    <row r="1506" spans="1:37" ht="14.4">
      <c r="B1506" s="211"/>
      <c r="C1506" s="213" t="s">
        <v>236</v>
      </c>
      <c r="D1506" s="214">
        <v>17558.96</v>
      </c>
      <c r="E1506" s="214">
        <v>0</v>
      </c>
      <c r="F1506" s="214">
        <v>0</v>
      </c>
      <c r="G1506" s="214">
        <v>0</v>
      </c>
      <c r="H1506" s="214">
        <v>0</v>
      </c>
      <c r="I1506" s="214">
        <v>0</v>
      </c>
      <c r="J1506" s="214">
        <v>0</v>
      </c>
      <c r="K1506" s="214">
        <v>0</v>
      </c>
      <c r="L1506" s="214">
        <v>0</v>
      </c>
      <c r="M1506" s="214">
        <v>0</v>
      </c>
      <c r="N1506" s="214">
        <v>0</v>
      </c>
      <c r="O1506" s="214">
        <v>0</v>
      </c>
      <c r="P1506" s="214">
        <v>0</v>
      </c>
      <c r="Q1506" s="214">
        <v>0</v>
      </c>
      <c r="R1506" s="214">
        <v>0</v>
      </c>
      <c r="S1506" s="214">
        <v>0</v>
      </c>
      <c r="T1506" s="214">
        <v>0</v>
      </c>
      <c r="U1506" s="214">
        <v>0</v>
      </c>
      <c r="V1506" s="214">
        <v>0</v>
      </c>
      <c r="W1506" s="214">
        <v>0</v>
      </c>
      <c r="X1506" s="214">
        <v>0</v>
      </c>
      <c r="Y1506" s="214">
        <v>0</v>
      </c>
      <c r="Z1506" s="214">
        <v>0</v>
      </c>
      <c r="AA1506" s="214">
        <v>0</v>
      </c>
      <c r="AB1506" s="214">
        <v>0</v>
      </c>
      <c r="AC1506" s="214">
        <v>0</v>
      </c>
      <c r="AD1506" s="216"/>
      <c r="AE1506" s="420">
        <v>0</v>
      </c>
      <c r="AF1506" s="420">
        <v>0</v>
      </c>
      <c r="AG1506" s="420">
        <v>0</v>
      </c>
      <c r="AH1506" s="421"/>
      <c r="AI1506" s="574">
        <f t="shared" si="37"/>
        <v>17558.96</v>
      </c>
      <c r="AJ1506" s="212"/>
    </row>
    <row r="1507" spans="1:37" ht="14.4">
      <c r="B1507" s="211"/>
      <c r="C1507" s="213" t="s">
        <v>209</v>
      </c>
      <c r="D1507" s="214">
        <v>11470</v>
      </c>
      <c r="E1507" s="214">
        <v>0</v>
      </c>
      <c r="F1507" s="214">
        <v>0</v>
      </c>
      <c r="G1507" s="214">
        <v>0</v>
      </c>
      <c r="H1507" s="214">
        <v>0</v>
      </c>
      <c r="I1507" s="214">
        <v>0</v>
      </c>
      <c r="J1507" s="214">
        <v>0</v>
      </c>
      <c r="K1507" s="214">
        <v>0</v>
      </c>
      <c r="L1507" s="214">
        <v>0</v>
      </c>
      <c r="M1507" s="214">
        <v>0</v>
      </c>
      <c r="N1507" s="214">
        <v>0</v>
      </c>
      <c r="O1507" s="214">
        <v>0</v>
      </c>
      <c r="P1507" s="214">
        <v>0</v>
      </c>
      <c r="Q1507" s="214">
        <v>0</v>
      </c>
      <c r="R1507" s="214">
        <v>0</v>
      </c>
      <c r="S1507" s="214">
        <v>0</v>
      </c>
      <c r="T1507" s="214">
        <v>0</v>
      </c>
      <c r="U1507" s="214">
        <v>0</v>
      </c>
      <c r="V1507" s="214">
        <v>0</v>
      </c>
      <c r="W1507" s="214">
        <v>0</v>
      </c>
      <c r="X1507" s="214">
        <v>0</v>
      </c>
      <c r="Y1507" s="214">
        <v>0</v>
      </c>
      <c r="Z1507" s="214">
        <v>0</v>
      </c>
      <c r="AA1507" s="214">
        <v>0</v>
      </c>
      <c r="AB1507" s="214">
        <v>0</v>
      </c>
      <c r="AC1507" s="214">
        <v>0</v>
      </c>
      <c r="AD1507" s="242"/>
      <c r="AE1507" s="420">
        <v>0</v>
      </c>
      <c r="AF1507" s="420">
        <v>0</v>
      </c>
      <c r="AG1507" s="420">
        <v>0</v>
      </c>
      <c r="AH1507" s="421"/>
      <c r="AI1507" s="574">
        <f t="shared" si="37"/>
        <v>11470</v>
      </c>
      <c r="AJ1507" s="212"/>
    </row>
    <row r="1508" spans="1:37" ht="14.4">
      <c r="B1508" s="211"/>
      <c r="C1508" s="240" t="s">
        <v>360</v>
      </c>
      <c r="D1508" s="214"/>
      <c r="E1508" s="214">
        <v>452349.88</v>
      </c>
      <c r="F1508" s="214">
        <v>294103.39</v>
      </c>
      <c r="G1508" s="214"/>
      <c r="H1508" s="214">
        <v>574517.66</v>
      </c>
      <c r="I1508" s="214"/>
      <c r="J1508" s="214"/>
      <c r="K1508" s="214"/>
      <c r="L1508" s="214"/>
      <c r="M1508" s="214">
        <v>115168.48</v>
      </c>
      <c r="N1508" s="214">
        <v>293.8</v>
      </c>
      <c r="O1508" s="214">
        <v>225649.3</v>
      </c>
      <c r="P1508" s="214">
        <v>220591.28</v>
      </c>
      <c r="Q1508" s="214">
        <v>420380.31</v>
      </c>
      <c r="R1508" s="214"/>
      <c r="S1508" s="214">
        <v>128828.58</v>
      </c>
      <c r="T1508" s="214"/>
      <c r="U1508" s="214"/>
      <c r="V1508" s="214"/>
      <c r="W1508" s="214"/>
      <c r="X1508" s="214"/>
      <c r="Y1508" s="214"/>
      <c r="Z1508" s="214"/>
      <c r="AA1508" s="214"/>
      <c r="AB1508" s="214"/>
      <c r="AC1508" s="214"/>
      <c r="AD1508" s="242"/>
      <c r="AE1508" s="420">
        <v>371197.95</v>
      </c>
      <c r="AF1508" s="420"/>
      <c r="AG1508" s="420"/>
      <c r="AH1508" s="421"/>
      <c r="AI1508" s="574">
        <f t="shared" si="37"/>
        <v>2803080.6300000004</v>
      </c>
      <c r="AJ1508" s="212"/>
    </row>
    <row r="1509" spans="1:37" ht="14.4">
      <c r="B1509" s="211"/>
      <c r="C1509" s="240" t="s">
        <v>390</v>
      </c>
      <c r="D1509" s="214"/>
      <c r="E1509" s="214">
        <v>0</v>
      </c>
      <c r="F1509" s="214">
        <v>0</v>
      </c>
      <c r="G1509" s="214">
        <v>0</v>
      </c>
      <c r="H1509" s="214">
        <v>0</v>
      </c>
      <c r="I1509" s="214">
        <v>0</v>
      </c>
      <c r="J1509" s="214">
        <v>0</v>
      </c>
      <c r="K1509" s="214">
        <v>0</v>
      </c>
      <c r="L1509" s="214">
        <v>0</v>
      </c>
      <c r="M1509" s="214">
        <v>0</v>
      </c>
      <c r="N1509" s="214">
        <v>0</v>
      </c>
      <c r="O1509" s="214">
        <v>0</v>
      </c>
      <c r="P1509" s="214">
        <v>0</v>
      </c>
      <c r="Q1509" s="214">
        <v>0</v>
      </c>
      <c r="R1509" s="214">
        <v>0</v>
      </c>
      <c r="S1509" s="214">
        <v>0</v>
      </c>
      <c r="T1509" s="214">
        <v>0</v>
      </c>
      <c r="U1509" s="214">
        <v>0</v>
      </c>
      <c r="V1509" s="214">
        <v>0</v>
      </c>
      <c r="W1509" s="214">
        <v>0</v>
      </c>
      <c r="X1509" s="214">
        <v>0</v>
      </c>
      <c r="Y1509" s="214">
        <v>0</v>
      </c>
      <c r="Z1509" s="214">
        <v>0</v>
      </c>
      <c r="AA1509" s="214">
        <v>0</v>
      </c>
      <c r="AB1509" s="214">
        <v>0</v>
      </c>
      <c r="AC1509" s="214">
        <v>0</v>
      </c>
      <c r="AD1509" s="242"/>
      <c r="AE1509" s="420">
        <v>0</v>
      </c>
      <c r="AF1509" s="420">
        <v>0</v>
      </c>
      <c r="AG1509" s="420">
        <v>0</v>
      </c>
      <c r="AH1509" s="421"/>
      <c r="AI1509" s="574">
        <f t="shared" si="37"/>
        <v>0</v>
      </c>
      <c r="AJ1509" s="212"/>
    </row>
    <row r="1510" spans="1:37" ht="14.4">
      <c r="B1510" s="211"/>
      <c r="C1510" s="240" t="s">
        <v>392</v>
      </c>
      <c r="D1510" s="214">
        <v>0</v>
      </c>
      <c r="E1510" s="214">
        <v>102674.67</v>
      </c>
      <c r="F1510" s="214">
        <v>104369.14</v>
      </c>
      <c r="G1510" s="214">
        <v>0</v>
      </c>
      <c r="H1510" s="214">
        <v>132161.91</v>
      </c>
      <c r="I1510" s="214">
        <v>0</v>
      </c>
      <c r="J1510" s="214">
        <v>0</v>
      </c>
      <c r="K1510" s="214">
        <v>0</v>
      </c>
      <c r="L1510" s="214">
        <v>0</v>
      </c>
      <c r="M1510" s="214">
        <v>25208.37</v>
      </c>
      <c r="N1510" s="214">
        <v>500.45</v>
      </c>
      <c r="O1510" s="214">
        <v>43541.51</v>
      </c>
      <c r="P1510" s="214">
        <v>50553.48</v>
      </c>
      <c r="Q1510" s="214">
        <v>80585.11</v>
      </c>
      <c r="R1510" s="214">
        <v>0</v>
      </c>
      <c r="S1510" s="214">
        <v>34237.910000000003</v>
      </c>
      <c r="T1510" s="214">
        <v>0</v>
      </c>
      <c r="U1510" s="214">
        <v>0</v>
      </c>
      <c r="V1510" s="214">
        <v>0</v>
      </c>
      <c r="W1510" s="214">
        <v>0</v>
      </c>
      <c r="X1510" s="214">
        <v>0</v>
      </c>
      <c r="Y1510" s="214">
        <v>0</v>
      </c>
      <c r="Z1510" s="214">
        <v>0</v>
      </c>
      <c r="AA1510" s="214">
        <v>0</v>
      </c>
      <c r="AB1510" s="214">
        <v>0</v>
      </c>
      <c r="AC1510" s="214">
        <v>0</v>
      </c>
      <c r="AD1510" s="242">
        <v>0</v>
      </c>
      <c r="AE1510" s="420">
        <v>91862.790000000008</v>
      </c>
      <c r="AF1510" s="420">
        <v>0</v>
      </c>
      <c r="AG1510" s="420">
        <v>0</v>
      </c>
      <c r="AH1510" s="421">
        <v>0</v>
      </c>
      <c r="AI1510" s="574">
        <f t="shared" si="37"/>
        <v>665695.34000000008</v>
      </c>
      <c r="AJ1510" s="212">
        <v>0</v>
      </c>
      <c r="AK1510" s="190">
        <v>0</v>
      </c>
    </row>
    <row r="1511" spans="1:37" ht="14.4">
      <c r="B1511" s="211"/>
      <c r="C1511" s="240" t="s">
        <v>400</v>
      </c>
      <c r="D1511" s="214">
        <v>92000</v>
      </c>
      <c r="E1511" s="214">
        <v>0</v>
      </c>
      <c r="F1511" s="214">
        <v>0</v>
      </c>
      <c r="G1511" s="214">
        <v>0</v>
      </c>
      <c r="H1511" s="214">
        <v>0</v>
      </c>
      <c r="I1511" s="214">
        <v>0</v>
      </c>
      <c r="J1511" s="214">
        <v>0</v>
      </c>
      <c r="K1511" s="214">
        <v>0</v>
      </c>
      <c r="L1511" s="214">
        <v>0</v>
      </c>
      <c r="M1511" s="214">
        <v>0</v>
      </c>
      <c r="N1511" s="214">
        <v>0</v>
      </c>
      <c r="O1511" s="214">
        <v>0</v>
      </c>
      <c r="P1511" s="214">
        <v>0</v>
      </c>
      <c r="Q1511" s="214">
        <v>0</v>
      </c>
      <c r="R1511" s="214">
        <v>0</v>
      </c>
      <c r="S1511" s="214">
        <v>0</v>
      </c>
      <c r="T1511" s="214">
        <v>0</v>
      </c>
      <c r="U1511" s="214">
        <v>0</v>
      </c>
      <c r="V1511" s="214">
        <v>0</v>
      </c>
      <c r="W1511" s="214">
        <v>0</v>
      </c>
      <c r="X1511" s="214">
        <v>0</v>
      </c>
      <c r="Y1511" s="214">
        <v>0</v>
      </c>
      <c r="Z1511" s="214">
        <v>0</v>
      </c>
      <c r="AA1511" s="214">
        <v>0</v>
      </c>
      <c r="AB1511" s="214">
        <v>0</v>
      </c>
      <c r="AC1511" s="214">
        <v>0</v>
      </c>
      <c r="AD1511" s="242"/>
      <c r="AE1511" s="420">
        <v>0</v>
      </c>
      <c r="AF1511" s="420">
        <v>0</v>
      </c>
      <c r="AG1511" s="420">
        <v>0</v>
      </c>
      <c r="AH1511" s="421"/>
      <c r="AI1511" s="574">
        <f t="shared" si="37"/>
        <v>92000</v>
      </c>
      <c r="AJ1511" s="212"/>
    </row>
    <row r="1512" spans="1:37" ht="14.4">
      <c r="B1512" s="211"/>
      <c r="C1512" s="149" t="s">
        <v>239</v>
      </c>
      <c r="D1512" s="217">
        <f>SUM(D1398:D1511)</f>
        <v>2630894.9300000011</v>
      </c>
      <c r="E1512" s="217">
        <f t="shared" ref="E1512:AI1512" si="38">SUM(E1398:E1511)</f>
        <v>1311621.5899999999</v>
      </c>
      <c r="F1512" s="217">
        <f t="shared" si="38"/>
        <v>1164684.1700000002</v>
      </c>
      <c r="G1512" s="217">
        <f t="shared" si="38"/>
        <v>567806.83000000007</v>
      </c>
      <c r="H1512" s="217">
        <f t="shared" si="38"/>
        <v>1380909.01</v>
      </c>
      <c r="I1512" s="217">
        <f t="shared" si="38"/>
        <v>78069.400000000009</v>
      </c>
      <c r="J1512" s="217">
        <f t="shared" si="38"/>
        <v>32752.25</v>
      </c>
      <c r="K1512" s="217">
        <f t="shared" si="38"/>
        <v>29921.440000000002</v>
      </c>
      <c r="L1512" s="217">
        <f t="shared" si="38"/>
        <v>25672.530000000006</v>
      </c>
      <c r="M1512" s="217">
        <f t="shared" si="38"/>
        <v>451713.22999999992</v>
      </c>
      <c r="N1512" s="217">
        <f t="shared" si="38"/>
        <v>56170.69999999999</v>
      </c>
      <c r="O1512" s="217">
        <f t="shared" si="38"/>
        <v>732681.45</v>
      </c>
      <c r="P1512" s="217">
        <f t="shared" si="38"/>
        <v>642541.03999999992</v>
      </c>
      <c r="Q1512" s="217">
        <f t="shared" si="38"/>
        <v>1406854.84</v>
      </c>
      <c r="R1512" s="217">
        <f t="shared" si="38"/>
        <v>127477.73999999999</v>
      </c>
      <c r="S1512" s="217">
        <f t="shared" si="38"/>
        <v>518641.80000000005</v>
      </c>
      <c r="T1512" s="217">
        <f t="shared" si="38"/>
        <v>35053.25</v>
      </c>
      <c r="U1512" s="217">
        <f t="shared" si="38"/>
        <v>37669.630000000005</v>
      </c>
      <c r="V1512" s="217">
        <f t="shared" si="38"/>
        <v>38002.899999999994</v>
      </c>
      <c r="W1512" s="217">
        <f t="shared" si="38"/>
        <v>25201.38</v>
      </c>
      <c r="X1512" s="217">
        <f t="shared" si="38"/>
        <v>21592.23</v>
      </c>
      <c r="Y1512" s="217">
        <f t="shared" si="38"/>
        <v>20492.439999999999</v>
      </c>
      <c r="Z1512" s="217">
        <f t="shared" si="38"/>
        <v>12965.32</v>
      </c>
      <c r="AA1512" s="217">
        <f t="shared" si="38"/>
        <v>20001.27</v>
      </c>
      <c r="AB1512" s="217">
        <f t="shared" si="38"/>
        <v>65840.679999999993</v>
      </c>
      <c r="AC1512" s="217">
        <f t="shared" si="38"/>
        <v>49875.450000000004</v>
      </c>
      <c r="AD1512" s="217">
        <f t="shared" si="38"/>
        <v>0</v>
      </c>
      <c r="AE1512" s="217">
        <f t="shared" si="38"/>
        <v>1065142.1500000001</v>
      </c>
      <c r="AF1512" s="217">
        <f t="shared" si="38"/>
        <v>24425.420000000002</v>
      </c>
      <c r="AG1512" s="217">
        <f t="shared" si="38"/>
        <v>74518.509999999995</v>
      </c>
      <c r="AH1512" s="217">
        <f t="shared" si="38"/>
        <v>0</v>
      </c>
      <c r="AI1512" s="575">
        <f t="shared" si="38"/>
        <v>12649193.58</v>
      </c>
      <c r="AJ1512" s="212"/>
    </row>
    <row r="1513" spans="1:37" ht="14.4">
      <c r="B1513" s="218"/>
      <c r="C1513" s="219"/>
      <c r="D1513" s="219"/>
      <c r="E1513" s="219"/>
      <c r="F1513" s="219"/>
      <c r="G1513" s="219"/>
      <c r="H1513" s="219"/>
      <c r="I1513" s="219"/>
      <c r="J1513" s="219"/>
      <c r="K1513" s="219"/>
      <c r="L1513" s="219"/>
      <c r="M1513" s="219"/>
      <c r="N1513" s="219"/>
      <c r="O1513" s="219"/>
      <c r="P1513" s="219"/>
      <c r="Q1513" s="219"/>
      <c r="R1513" s="219"/>
      <c r="S1513" s="219"/>
      <c r="T1513" s="219"/>
      <c r="U1513" s="219"/>
      <c r="V1513" s="219"/>
      <c r="W1513" s="219"/>
      <c r="X1513" s="219"/>
      <c r="Y1513" s="219"/>
      <c r="Z1513" s="219"/>
      <c r="AA1513" s="219"/>
      <c r="AB1513" s="219"/>
      <c r="AC1513" s="219"/>
      <c r="AD1513" s="219"/>
      <c r="AE1513" s="219"/>
      <c r="AF1513" s="219"/>
      <c r="AG1513" s="219"/>
      <c r="AH1513" s="219"/>
      <c r="AI1513" s="576"/>
      <c r="AJ1513" s="212"/>
    </row>
    <row r="1514" spans="1:37" ht="14.4">
      <c r="B1514" s="209"/>
      <c r="C1514" s="202"/>
      <c r="D1514" s="202"/>
      <c r="E1514" s="202"/>
      <c r="F1514" s="202"/>
      <c r="G1514" s="202"/>
      <c r="H1514" s="202"/>
      <c r="I1514" s="202"/>
      <c r="J1514" s="202"/>
      <c r="K1514" s="202"/>
      <c r="L1514" s="202"/>
      <c r="M1514" s="202"/>
      <c r="N1514" s="202"/>
      <c r="O1514" s="202"/>
      <c r="P1514" s="202"/>
      <c r="Q1514" s="202"/>
      <c r="R1514" s="202"/>
      <c r="S1514" s="202"/>
      <c r="T1514" s="202"/>
      <c r="U1514" s="202"/>
      <c r="V1514" s="202"/>
      <c r="W1514" s="202"/>
      <c r="X1514" s="202"/>
      <c r="Y1514" s="202"/>
      <c r="Z1514" s="202"/>
      <c r="AA1514" s="202"/>
      <c r="AB1514" s="202"/>
      <c r="AC1514" s="202"/>
      <c r="AD1514" s="202"/>
      <c r="AE1514" s="202"/>
      <c r="AF1514" s="202"/>
      <c r="AG1514" s="202"/>
      <c r="AH1514" s="202"/>
      <c r="AI1514" s="577"/>
      <c r="AJ1514" s="209"/>
    </row>
    <row r="1515" spans="1:37" ht="14.4">
      <c r="B1515" s="220"/>
      <c r="C1515" s="221"/>
      <c r="D1515" s="221"/>
      <c r="E1515" s="221"/>
      <c r="F1515" s="221"/>
      <c r="G1515" s="221"/>
      <c r="H1515" s="221"/>
      <c r="I1515" s="221"/>
      <c r="J1515" s="221"/>
      <c r="K1515" s="221"/>
      <c r="L1515" s="221"/>
      <c r="M1515" s="221"/>
      <c r="N1515" s="221"/>
      <c r="O1515" s="221"/>
      <c r="P1515" s="221"/>
      <c r="Q1515" s="221"/>
      <c r="R1515" s="221"/>
      <c r="S1515" s="221"/>
      <c r="T1515" s="221"/>
      <c r="U1515" s="221"/>
      <c r="V1515" s="221"/>
      <c r="W1515" s="221"/>
      <c r="X1515" s="221"/>
      <c r="Y1515" s="221"/>
      <c r="Z1515" s="221"/>
      <c r="AA1515" s="221"/>
      <c r="AB1515" s="221"/>
      <c r="AC1515" s="221"/>
      <c r="AD1515" s="221"/>
      <c r="AE1515" s="221"/>
      <c r="AF1515" s="221"/>
      <c r="AG1515" s="221"/>
      <c r="AH1515" s="221"/>
      <c r="AI1515" s="578"/>
      <c r="AJ1515" s="222"/>
    </row>
    <row r="1519" spans="1:37">
      <c r="A1519" s="202"/>
    </row>
  </sheetData>
  <autoFilter ref="C1270:AI1385" xr:uid="{00000000-0001-0000-3C00-000000000000}"/>
  <mergeCells count="36">
    <mergeCell ref="E1394:F1394"/>
    <mergeCell ref="G1394:J1394"/>
    <mergeCell ref="N1394:Z1394"/>
    <mergeCell ref="E1140:F1140"/>
    <mergeCell ref="G1140:J1140"/>
    <mergeCell ref="N1140:Z1140"/>
    <mergeCell ref="E1267:F1267"/>
    <mergeCell ref="G1267:J1267"/>
    <mergeCell ref="N1267:Z1267"/>
    <mergeCell ref="E886:F886"/>
    <mergeCell ref="G886:J886"/>
    <mergeCell ref="N886:Z886"/>
    <mergeCell ref="E1013:F1013"/>
    <mergeCell ref="G1013:J1013"/>
    <mergeCell ref="N1013:Z1013"/>
    <mergeCell ref="E633:F633"/>
    <mergeCell ref="G633:J633"/>
    <mergeCell ref="N633:Z633"/>
    <mergeCell ref="E759:F759"/>
    <mergeCell ref="G759:J759"/>
    <mergeCell ref="N759:Z759"/>
    <mergeCell ref="E383:F383"/>
    <mergeCell ref="G383:J383"/>
    <mergeCell ref="N383:Z383"/>
    <mergeCell ref="E508:F508"/>
    <mergeCell ref="G508:J508"/>
    <mergeCell ref="N508:Z508"/>
    <mergeCell ref="E257:F257"/>
    <mergeCell ref="G257:J257"/>
    <mergeCell ref="N257:Z257"/>
    <mergeCell ref="N6:Z6"/>
    <mergeCell ref="G6:J6"/>
    <mergeCell ref="E6:F6"/>
    <mergeCell ref="E131:F131"/>
    <mergeCell ref="G131:J131"/>
    <mergeCell ref="N131:Z131"/>
  </mergeCells>
  <hyperlinks>
    <hyperlink ref="D2" location="'تقرير المصروفات حسب الشهر'!C9" display="Jan " xr:uid="{00000000-0004-0000-3C00-000000000000}"/>
    <hyperlink ref="E2" location="'تقرير المصروفات حسب الشهر'!C131" display="Feb" xr:uid="{00000000-0004-0000-3C00-000001000000}"/>
    <hyperlink ref="F2" location="'تقرير المصروفات حسب الشهر'!C254" display="Mar" xr:uid="{00000000-0004-0000-3C00-000002000000}"/>
    <hyperlink ref="G2" location="'تقرير المصروفات حسب الشهر'!C376" display="Apr" xr:uid="{00000000-0004-0000-3C00-000003000000}"/>
    <hyperlink ref="H2" location="'تقرير المصروفات حسب الشهر'!C499" display="May" xr:uid="{00000000-0004-0000-3C00-000004000000}"/>
    <hyperlink ref="I2" location="'تقرير المصروفات حسب الشهر'!C622" display="Jun" xr:uid="{00000000-0004-0000-3C00-000005000000}"/>
    <hyperlink ref="J2" location="'تقرير المصروفات حسب الشهر'!C745" display="Jul" xr:uid="{00000000-0004-0000-3C00-000006000000}"/>
    <hyperlink ref="N2" location="'تقرير المصروفات حسب الشهر'!C1237" display="Nov" xr:uid="{00000000-0004-0000-3C00-000007000000}"/>
    <hyperlink ref="K2" location="'تقرير المصروفات حسب الشهر'!C868" display="Aug" xr:uid="{00000000-0004-0000-3C00-000008000000}"/>
    <hyperlink ref="L2" location="'تقرير المصروفات حسب الشهر'!C991" display="Sep" xr:uid="{00000000-0004-0000-3C00-000009000000}"/>
    <hyperlink ref="M2" location="'تقرير المصروفات حسب الشهر'!C1114" display="Oct" xr:uid="{00000000-0004-0000-3C00-00000A000000}"/>
    <hyperlink ref="O2" location="'تقرير المصروفات حسب الشهر'!C1360" display="Dec" xr:uid="{00000000-0004-0000-3C00-00000B000000}"/>
    <hyperlink ref="C2" location="Dashboard!A1" display="Home" xr:uid="{00000000-0004-0000-3C00-00000C000000}"/>
  </hyperlink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3C00-000000000000}">
          <x14:formula1>
            <xm:f>Sheet2!$BP$8:$BP$19</xm:f>
          </x14:formula1>
          <xm:sqref>G6:J6 G131:J131 G257:J257 G383:J383 G508:J508 G633:J633 G759:J759 G886:J886 G1013:J1013 G1140:J1140 G1267:J1267 G1394:J1394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6">
    <tabColor rgb="FFFFC000"/>
    <pageSetUpPr fitToPage="1"/>
  </sheetPr>
  <dimension ref="A1:S421"/>
  <sheetViews>
    <sheetView rightToLeft="1" topLeftCell="A184" workbookViewId="0">
      <selection activeCell="G207" sqref="G207"/>
    </sheetView>
  </sheetViews>
  <sheetFormatPr defaultColWidth="9.109375" defaultRowHeight="13.2"/>
  <cols>
    <col min="1" max="1" width="3" bestFit="1" customWidth="1"/>
    <col min="2" max="2" width="19" bestFit="1" customWidth="1"/>
    <col min="3" max="3" width="18" style="1" customWidth="1"/>
    <col min="4" max="4" width="17.109375" style="1" customWidth="1"/>
    <col min="5" max="5" width="18" style="1" customWidth="1"/>
    <col min="6" max="7" width="18.44140625" style="1" customWidth="1"/>
    <col min="8" max="8" width="20.109375" customWidth="1"/>
    <col min="9" max="9" width="18.44140625" customWidth="1"/>
    <col min="10" max="10" width="16.6640625" customWidth="1"/>
    <col min="11" max="11" width="18" customWidth="1"/>
    <col min="12" max="12" width="20.5546875" customWidth="1"/>
    <col min="13" max="13" width="17.109375" customWidth="1"/>
    <col min="14" max="14" width="17" customWidth="1"/>
    <col min="15" max="15" width="14" style="1" customWidth="1"/>
    <col min="16" max="16" width="17.109375" bestFit="1" customWidth="1"/>
    <col min="17" max="17" width="15" style="1" customWidth="1"/>
    <col min="18" max="18" width="17.88671875" customWidth="1"/>
    <col min="19" max="19" width="11.33203125" bestFit="1" customWidth="1"/>
  </cols>
  <sheetData>
    <row r="1" spans="1:18">
      <c r="A1" s="329"/>
      <c r="B1" s="329"/>
      <c r="C1" s="330"/>
      <c r="D1" s="330"/>
      <c r="E1" s="330"/>
      <c r="F1" s="330"/>
      <c r="G1" s="330"/>
      <c r="H1" s="329"/>
      <c r="I1" s="329"/>
      <c r="J1" s="329"/>
      <c r="K1" s="329"/>
      <c r="L1" s="329"/>
      <c r="M1" s="329"/>
      <c r="N1" s="329"/>
      <c r="O1" s="330"/>
      <c r="P1" s="329"/>
    </row>
    <row r="2" spans="1:18">
      <c r="A2" s="329"/>
      <c r="B2" s="329"/>
      <c r="C2" s="330"/>
      <c r="D2" s="330"/>
      <c r="E2" s="330"/>
      <c r="F2" s="330"/>
      <c r="G2" s="330"/>
      <c r="H2" s="329"/>
      <c r="I2" s="329"/>
      <c r="J2" s="329"/>
      <c r="K2" s="329"/>
      <c r="L2" s="329"/>
      <c r="M2" s="329"/>
      <c r="N2" s="329"/>
      <c r="O2" s="330"/>
      <c r="P2" s="329"/>
    </row>
    <row r="3" spans="1:18" ht="13.8" thickBot="1">
      <c r="A3" s="329"/>
      <c r="B3" s="329"/>
      <c r="C3" s="330"/>
      <c r="D3" s="330"/>
      <c r="E3" s="330"/>
      <c r="F3" s="330"/>
      <c r="G3" s="330"/>
      <c r="H3" s="329"/>
      <c r="I3" s="329"/>
      <c r="J3" s="329"/>
      <c r="K3" s="329"/>
      <c r="L3" s="329"/>
      <c r="M3" s="329"/>
      <c r="N3" s="329"/>
      <c r="O3" s="330"/>
      <c r="P3" s="329"/>
    </row>
    <row r="4" spans="1:18" ht="15.6">
      <c r="A4" s="329"/>
      <c r="B4" s="336" t="s">
        <v>34</v>
      </c>
      <c r="C4" s="333" t="s">
        <v>115</v>
      </c>
      <c r="D4" s="333" t="s">
        <v>21</v>
      </c>
      <c r="E4" s="333" t="s">
        <v>116</v>
      </c>
      <c r="F4" s="333" t="s">
        <v>162</v>
      </c>
      <c r="G4" s="335" t="s">
        <v>163</v>
      </c>
      <c r="H4" s="329"/>
      <c r="I4" s="334" t="s">
        <v>114</v>
      </c>
      <c r="J4" s="333" t="s">
        <v>164</v>
      </c>
      <c r="K4" s="333" t="s">
        <v>165</v>
      </c>
      <c r="L4" s="332" t="s">
        <v>166</v>
      </c>
      <c r="M4" s="329"/>
      <c r="N4" s="331" t="s">
        <v>167</v>
      </c>
      <c r="O4" s="422"/>
      <c r="P4" s="331" t="s">
        <v>168</v>
      </c>
    </row>
    <row r="6" spans="1:18" ht="21.6" thickBot="1">
      <c r="B6" s="635" t="s">
        <v>161</v>
      </c>
      <c r="C6" s="635"/>
      <c r="D6" s="635"/>
      <c r="E6" s="635"/>
      <c r="F6" s="635"/>
      <c r="G6" s="635"/>
      <c r="I6" s="636" t="s">
        <v>149</v>
      </c>
      <c r="J6" s="636"/>
      <c r="K6" s="636"/>
      <c r="L6" s="636"/>
      <c r="M6" s="49"/>
      <c r="N6" s="23"/>
      <c r="O6" s="423"/>
      <c r="P6" s="23"/>
    </row>
    <row r="7" spans="1:18" ht="16.2" thickBot="1">
      <c r="B7" s="77" t="s">
        <v>34</v>
      </c>
      <c r="C7" s="80" t="s">
        <v>115</v>
      </c>
      <c r="D7" s="80" t="s">
        <v>21</v>
      </c>
      <c r="E7" s="80" t="s">
        <v>116</v>
      </c>
      <c r="F7" s="80" t="s">
        <v>162</v>
      </c>
      <c r="G7" s="81" t="s">
        <v>163</v>
      </c>
      <c r="H7" s="48" t="s">
        <v>0</v>
      </c>
      <c r="I7" s="26" t="s">
        <v>114</v>
      </c>
      <c r="J7" s="24" t="s">
        <v>164</v>
      </c>
      <c r="K7" s="24" t="s">
        <v>165</v>
      </c>
      <c r="L7" s="25" t="s">
        <v>166</v>
      </c>
      <c r="M7" s="85"/>
      <c r="N7" s="27" t="s">
        <v>167</v>
      </c>
      <c r="O7" s="423"/>
      <c r="P7" s="27" t="s">
        <v>168</v>
      </c>
    </row>
    <row r="8" spans="1:18" ht="16.2" thickBot="1">
      <c r="A8">
        <v>1</v>
      </c>
      <c r="B8" s="77" t="s">
        <v>36</v>
      </c>
      <c r="C8" s="78">
        <v>3046708.67</v>
      </c>
      <c r="D8" s="78">
        <v>686579.51</v>
      </c>
      <c r="E8" s="78">
        <v>1219804.1299999999</v>
      </c>
      <c r="F8" s="78">
        <f>C8+D8+E8</f>
        <v>4953092.3099999996</v>
      </c>
      <c r="G8" s="79">
        <v>3962640.37</v>
      </c>
      <c r="I8" s="73">
        <v>5210172.0470000003</v>
      </c>
      <c r="J8" s="74">
        <v>257079.76</v>
      </c>
      <c r="K8" s="10">
        <f t="shared" ref="K8:K32" si="0">I8-J8</f>
        <v>4953092.2870000005</v>
      </c>
      <c r="L8" s="75">
        <v>3962640.35</v>
      </c>
      <c r="M8" s="11"/>
      <c r="N8" s="21">
        <f t="shared" ref="N8:N32" si="1">F8-K8</f>
        <v>2.2999999113380909E-2</v>
      </c>
      <c r="O8" s="423">
        <f>85445.25-3759.04</f>
        <v>81686.210000000006</v>
      </c>
      <c r="P8" s="21">
        <f t="shared" ref="P8:P32" si="2">G8-L8</f>
        <v>2.0000000018626451E-2</v>
      </c>
      <c r="R8" s="7">
        <f>C8-O8</f>
        <v>2965022.46</v>
      </c>
    </row>
    <row r="9" spans="1:18" ht="16.2" thickBot="1">
      <c r="A9">
        <v>2</v>
      </c>
      <c r="B9" s="77" t="s">
        <v>9</v>
      </c>
      <c r="C9" s="78">
        <v>2376097.8600000003</v>
      </c>
      <c r="D9" s="78">
        <v>1229205.71</v>
      </c>
      <c r="E9" s="78">
        <v>445762.32</v>
      </c>
      <c r="F9" s="78">
        <f t="shared" ref="F9:F32" si="3">C9+D9+E9</f>
        <v>4051065.89</v>
      </c>
      <c r="G9" s="79">
        <v>3164632.99</v>
      </c>
      <c r="I9" s="73">
        <v>4237489.88</v>
      </c>
      <c r="J9" s="74">
        <v>186476.64</v>
      </c>
      <c r="K9" s="10">
        <f t="shared" si="0"/>
        <v>4051013.2399999998</v>
      </c>
      <c r="L9" s="75">
        <v>3164590.35</v>
      </c>
      <c r="M9" s="11"/>
      <c r="N9" s="21">
        <f t="shared" si="1"/>
        <v>52.650000000372529</v>
      </c>
      <c r="O9" s="423">
        <f>63157.68-2978.07</f>
        <v>60179.61</v>
      </c>
      <c r="P9" s="21">
        <f t="shared" si="2"/>
        <v>42.640000000130385</v>
      </c>
      <c r="R9" s="7">
        <f t="shared" ref="R9:R37" si="4">C9-O9</f>
        <v>2315918.2500000005</v>
      </c>
    </row>
    <row r="10" spans="1:18" ht="16.2" thickBot="1">
      <c r="A10">
        <v>3</v>
      </c>
      <c r="B10" s="77" t="s">
        <v>25</v>
      </c>
      <c r="C10" s="78">
        <v>1287434.93</v>
      </c>
      <c r="D10" s="78">
        <v>413419.76</v>
      </c>
      <c r="E10" s="78">
        <v>1761862.46</v>
      </c>
      <c r="F10" s="78">
        <f t="shared" si="3"/>
        <v>3462717.15</v>
      </c>
      <c r="G10" s="79">
        <v>2792022.81</v>
      </c>
      <c r="I10" s="73">
        <v>3706385.31</v>
      </c>
      <c r="J10" s="74">
        <v>243668.16</v>
      </c>
      <c r="K10" s="10">
        <f t="shared" si="0"/>
        <v>3462717.15</v>
      </c>
      <c r="L10" s="75">
        <v>2792022.81</v>
      </c>
      <c r="M10" s="11"/>
      <c r="N10" s="21">
        <f t="shared" si="1"/>
        <v>0</v>
      </c>
      <c r="O10" s="423">
        <f>44864.56-1171.49</f>
        <v>43693.07</v>
      </c>
      <c r="P10" s="21">
        <f t="shared" si="2"/>
        <v>0</v>
      </c>
      <c r="R10" s="7">
        <f t="shared" si="4"/>
        <v>1243741.8599999999</v>
      </c>
    </row>
    <row r="11" spans="1:18" ht="16.2" thickBot="1">
      <c r="A11" s="426">
        <v>4</v>
      </c>
      <c r="B11" s="427" t="s">
        <v>160</v>
      </c>
      <c r="C11" s="428">
        <v>2968127.5900000008</v>
      </c>
      <c r="D11" s="428">
        <v>26884.18</v>
      </c>
      <c r="E11" s="428">
        <v>3052101.44</v>
      </c>
      <c r="F11" s="428">
        <f t="shared" si="3"/>
        <v>6047113.2100000009</v>
      </c>
      <c r="G11" s="429">
        <v>4964163.03</v>
      </c>
      <c r="H11" s="426"/>
      <c r="I11" s="430">
        <v>6467038.0999999996</v>
      </c>
      <c r="J11" s="431">
        <v>419924.89</v>
      </c>
      <c r="K11" s="69">
        <f t="shared" si="0"/>
        <v>6047113.21</v>
      </c>
      <c r="L11" s="432">
        <v>4964163.03</v>
      </c>
      <c r="M11" s="433"/>
      <c r="N11" s="47">
        <f t="shared" si="1"/>
        <v>0</v>
      </c>
      <c r="O11" s="434">
        <f>70726.31-2293.57</f>
        <v>68432.739999999991</v>
      </c>
      <c r="P11" s="21">
        <f t="shared" si="2"/>
        <v>0</v>
      </c>
      <c r="R11" s="7">
        <f t="shared" si="4"/>
        <v>2899694.8500000006</v>
      </c>
    </row>
    <row r="12" spans="1:18" ht="16.2" thickBot="1">
      <c r="A12">
        <v>5</v>
      </c>
      <c r="B12" s="77" t="s">
        <v>139</v>
      </c>
      <c r="C12" s="78">
        <v>38601.799999999937</v>
      </c>
      <c r="D12" s="78">
        <v>0</v>
      </c>
      <c r="E12" s="78">
        <v>1908938.22</v>
      </c>
      <c r="F12" s="78">
        <f t="shared" si="3"/>
        <v>1947540.02</v>
      </c>
      <c r="G12" s="79">
        <v>1655785.67</v>
      </c>
      <c r="I12" s="73">
        <v>2143394.13</v>
      </c>
      <c r="J12" s="74">
        <v>195854.11</v>
      </c>
      <c r="K12" s="10">
        <f t="shared" si="0"/>
        <v>1947540.02</v>
      </c>
      <c r="L12" s="75">
        <v>1655785.68</v>
      </c>
      <c r="M12" s="11"/>
      <c r="N12" s="21">
        <f t="shared" si="1"/>
        <v>0</v>
      </c>
      <c r="O12" s="423">
        <f>7479.48-106.1</f>
        <v>7373.3799999999992</v>
      </c>
      <c r="P12" s="21">
        <f t="shared" si="2"/>
        <v>-1.0000000009313226E-2</v>
      </c>
      <c r="R12" s="7">
        <f t="shared" si="4"/>
        <v>31228.41999999994</v>
      </c>
    </row>
    <row r="13" spans="1:18" ht="16.2" thickBot="1">
      <c r="A13">
        <v>6</v>
      </c>
      <c r="B13" s="77" t="s">
        <v>37</v>
      </c>
      <c r="C13" s="78">
        <v>49347.64</v>
      </c>
      <c r="D13" s="78">
        <v>0</v>
      </c>
      <c r="E13" s="78">
        <v>179888.31</v>
      </c>
      <c r="F13" s="78">
        <f t="shared" si="3"/>
        <v>229235.95</v>
      </c>
      <c r="G13" s="79">
        <v>197826.24</v>
      </c>
      <c r="I13" s="73">
        <v>252788.63</v>
      </c>
      <c r="J13" s="74">
        <v>23552.68</v>
      </c>
      <c r="K13" s="10">
        <f t="shared" si="0"/>
        <v>229235.95</v>
      </c>
      <c r="L13" s="75">
        <v>197826.25</v>
      </c>
      <c r="M13" s="11"/>
      <c r="N13" s="21">
        <f t="shared" si="1"/>
        <v>0</v>
      </c>
      <c r="O13" s="423">
        <f>1407.92-108.12</f>
        <v>1299.8000000000002</v>
      </c>
      <c r="P13" s="21">
        <f t="shared" si="2"/>
        <v>-1.0000000009313226E-2</v>
      </c>
      <c r="R13" s="7">
        <f t="shared" si="4"/>
        <v>48047.839999999997</v>
      </c>
    </row>
    <row r="14" spans="1:18" ht="16.2" thickBot="1">
      <c r="A14">
        <v>7</v>
      </c>
      <c r="B14" s="77" t="s">
        <v>133</v>
      </c>
      <c r="C14" s="78">
        <v>14146.210000000012</v>
      </c>
      <c r="D14" s="78">
        <v>0</v>
      </c>
      <c r="E14" s="78">
        <v>354610</v>
      </c>
      <c r="F14" s="78">
        <f t="shared" si="3"/>
        <v>368756.21</v>
      </c>
      <c r="G14" s="79">
        <v>308590.11</v>
      </c>
      <c r="I14" s="73">
        <v>414339.57</v>
      </c>
      <c r="J14" s="74">
        <v>45583.360000000001</v>
      </c>
      <c r="K14" s="10">
        <f t="shared" si="0"/>
        <v>368756.21</v>
      </c>
      <c r="L14" s="75">
        <v>308590.09999999998</v>
      </c>
      <c r="M14" s="11"/>
      <c r="N14" s="21">
        <f t="shared" si="1"/>
        <v>0</v>
      </c>
      <c r="O14" s="423">
        <f>1165.59-8.35</f>
        <v>1157.24</v>
      </c>
      <c r="P14" s="21">
        <f t="shared" si="2"/>
        <v>1.0000000009313226E-2</v>
      </c>
      <c r="R14" s="7">
        <f t="shared" si="4"/>
        <v>12988.970000000012</v>
      </c>
    </row>
    <row r="15" spans="1:18" ht="16.2" thickBot="1">
      <c r="A15">
        <v>8</v>
      </c>
      <c r="B15" s="77" t="s">
        <v>123</v>
      </c>
      <c r="C15" s="78">
        <v>16012.399999999974</v>
      </c>
      <c r="D15" s="78">
        <v>0</v>
      </c>
      <c r="E15" s="78">
        <v>511376.06</v>
      </c>
      <c r="F15" s="78">
        <f t="shared" si="3"/>
        <v>527388.46</v>
      </c>
      <c r="G15" s="79">
        <v>446682.01</v>
      </c>
      <c r="I15" s="73">
        <v>584743.54</v>
      </c>
      <c r="J15" s="74">
        <v>57355.08</v>
      </c>
      <c r="K15" s="10">
        <f t="shared" si="0"/>
        <v>527388.46000000008</v>
      </c>
      <c r="L15" s="75">
        <v>446682.03</v>
      </c>
      <c r="M15" s="11"/>
      <c r="N15" s="21">
        <f t="shared" si="1"/>
        <v>0</v>
      </c>
      <c r="O15" s="423">
        <v>2174.0100000000002</v>
      </c>
      <c r="P15" s="21">
        <f t="shared" si="2"/>
        <v>-2.0000000018626451E-2</v>
      </c>
      <c r="R15" s="7">
        <f t="shared" si="4"/>
        <v>13838.389999999974</v>
      </c>
    </row>
    <row r="16" spans="1:18" ht="16.2" thickBot="1">
      <c r="A16">
        <v>9</v>
      </c>
      <c r="B16" s="77" t="s">
        <v>145</v>
      </c>
      <c r="C16" s="78">
        <v>593135.84</v>
      </c>
      <c r="D16" s="78">
        <v>5654.05</v>
      </c>
      <c r="E16" s="78">
        <v>1175156.1299999999</v>
      </c>
      <c r="F16" s="78">
        <f t="shared" si="3"/>
        <v>1773946.02</v>
      </c>
      <c r="G16" s="79">
        <v>1451386.26</v>
      </c>
      <c r="I16" s="73">
        <v>1924276.49</v>
      </c>
      <c r="J16" s="74">
        <v>150573.47</v>
      </c>
      <c r="K16" s="10">
        <f t="shared" si="0"/>
        <v>1773703.02</v>
      </c>
      <c r="L16" s="75">
        <v>1451170.22</v>
      </c>
      <c r="M16" s="11"/>
      <c r="N16" s="21">
        <f t="shared" si="1"/>
        <v>243</v>
      </c>
      <c r="O16" s="423">
        <f>27738.67-1690.04</f>
        <v>26048.629999999997</v>
      </c>
      <c r="P16" s="21">
        <f t="shared" si="2"/>
        <v>216.04000000003725</v>
      </c>
      <c r="R16" s="7">
        <f t="shared" si="4"/>
        <v>567087.21</v>
      </c>
    </row>
    <row r="17" spans="1:18" ht="16.2" thickBot="1">
      <c r="A17">
        <v>10</v>
      </c>
      <c r="B17" s="77" t="s">
        <v>124</v>
      </c>
      <c r="C17" s="78">
        <v>155535.79999999999</v>
      </c>
      <c r="D17" s="78">
        <v>0</v>
      </c>
      <c r="E17" s="78">
        <v>111644.74</v>
      </c>
      <c r="F17" s="78">
        <f t="shared" si="3"/>
        <v>267180.53999999998</v>
      </c>
      <c r="G17" s="79">
        <v>225877.05</v>
      </c>
      <c r="I17" s="73">
        <v>292914.24</v>
      </c>
      <c r="J17" s="74">
        <v>25733.7</v>
      </c>
      <c r="K17" s="10">
        <f t="shared" si="0"/>
        <v>267180.53999999998</v>
      </c>
      <c r="L17" s="75">
        <v>225877.03</v>
      </c>
      <c r="M17" s="11"/>
      <c r="N17" s="21">
        <f t="shared" si="1"/>
        <v>0</v>
      </c>
      <c r="O17" s="423">
        <f>2297.85-213.9</f>
        <v>2083.9499999999998</v>
      </c>
      <c r="P17" s="21">
        <f t="shared" si="2"/>
        <v>1.9999999989522621E-2</v>
      </c>
      <c r="R17" s="7">
        <f t="shared" si="4"/>
        <v>153451.84999999998</v>
      </c>
    </row>
    <row r="18" spans="1:18" ht="16.2" thickBot="1">
      <c r="A18">
        <v>11</v>
      </c>
      <c r="B18" s="77" t="s">
        <v>169</v>
      </c>
      <c r="C18" s="78">
        <v>1756828.6799999997</v>
      </c>
      <c r="D18" s="78">
        <v>6124.97</v>
      </c>
      <c r="E18" s="78">
        <v>1492346.45</v>
      </c>
      <c r="F18" s="78">
        <f t="shared" si="3"/>
        <v>3255300.0999999996</v>
      </c>
      <c r="G18" s="79">
        <v>2529532.81</v>
      </c>
      <c r="I18" s="73">
        <v>3387249.39</v>
      </c>
      <c r="J18" s="74">
        <v>131949.29</v>
      </c>
      <c r="K18" s="10">
        <f t="shared" si="0"/>
        <v>3255300.1</v>
      </c>
      <c r="L18" s="75">
        <v>2529532.62</v>
      </c>
      <c r="M18" s="11"/>
      <c r="N18" s="21">
        <f t="shared" si="1"/>
        <v>0</v>
      </c>
      <c r="O18" s="423">
        <f>35162.55-1844</f>
        <v>33318.550000000003</v>
      </c>
      <c r="P18" s="21">
        <f t="shared" si="2"/>
        <v>0.18999999994412065</v>
      </c>
      <c r="R18" s="7">
        <f t="shared" si="4"/>
        <v>1723510.1299999997</v>
      </c>
    </row>
    <row r="19" spans="1:18" ht="16.2" thickBot="1">
      <c r="A19">
        <v>12</v>
      </c>
      <c r="B19" s="77" t="s">
        <v>243</v>
      </c>
      <c r="C19" s="78">
        <v>797760.2</v>
      </c>
      <c r="D19" s="78">
        <v>29646.77</v>
      </c>
      <c r="E19" s="78">
        <v>642900.55000000005</v>
      </c>
      <c r="F19" s="78">
        <f t="shared" si="3"/>
        <v>1470307.52</v>
      </c>
      <c r="G19" s="79">
        <v>1129358.6000000001</v>
      </c>
      <c r="I19" s="73">
        <v>1530614.05</v>
      </c>
      <c r="J19" s="74">
        <v>60306.53</v>
      </c>
      <c r="K19" s="10">
        <f t="shared" si="0"/>
        <v>1470307.52</v>
      </c>
      <c r="L19" s="75">
        <v>1129358.6000000001</v>
      </c>
      <c r="M19" s="11"/>
      <c r="N19" s="21">
        <f t="shared" si="1"/>
        <v>0</v>
      </c>
      <c r="O19" s="423">
        <f>23653.34-843.53</f>
        <v>22809.81</v>
      </c>
      <c r="P19" s="21">
        <f t="shared" si="2"/>
        <v>0</v>
      </c>
      <c r="R19" s="7">
        <f t="shared" si="4"/>
        <v>774950.3899999999</v>
      </c>
    </row>
    <row r="20" spans="1:18" s="426" customFormat="1" ht="16.2" thickBot="1">
      <c r="A20" s="426">
        <v>13</v>
      </c>
      <c r="B20" s="427" t="s">
        <v>175</v>
      </c>
      <c r="C20" s="428">
        <v>2673575.81</v>
      </c>
      <c r="D20" s="428">
        <v>697477.14</v>
      </c>
      <c r="E20" s="428">
        <v>1057643.06</v>
      </c>
      <c r="F20" s="428">
        <f t="shared" si="3"/>
        <v>4428696.01</v>
      </c>
      <c r="G20" s="429">
        <v>3515177</v>
      </c>
      <c r="H20" s="435"/>
      <c r="I20" s="430">
        <v>4642887.8600000003</v>
      </c>
      <c r="J20" s="431">
        <v>214191.85</v>
      </c>
      <c r="K20" s="69">
        <f t="shared" si="0"/>
        <v>4428696.0100000007</v>
      </c>
      <c r="L20" s="432">
        <v>3515177</v>
      </c>
      <c r="M20" s="433"/>
      <c r="N20" s="47">
        <f t="shared" si="1"/>
        <v>0</v>
      </c>
      <c r="O20" s="434">
        <f>70966.66-2946.88</f>
        <v>68019.78</v>
      </c>
      <c r="P20" s="47">
        <f t="shared" si="2"/>
        <v>0</v>
      </c>
      <c r="Q20" s="512"/>
      <c r="R20" s="7">
        <f t="shared" si="4"/>
        <v>2605556.0300000003</v>
      </c>
    </row>
    <row r="21" spans="1:18" ht="16.2" thickBot="1">
      <c r="A21">
        <v>14</v>
      </c>
      <c r="B21" s="77" t="s">
        <v>170</v>
      </c>
      <c r="C21" s="78">
        <v>435832.74</v>
      </c>
      <c r="D21" s="78">
        <v>29868.73</v>
      </c>
      <c r="E21" s="78">
        <v>31635.95</v>
      </c>
      <c r="F21" s="78">
        <f t="shared" si="3"/>
        <v>497337.42</v>
      </c>
      <c r="G21" s="79">
        <v>372830.2</v>
      </c>
      <c r="I21" s="73">
        <v>501381.58</v>
      </c>
      <c r="J21" s="74">
        <v>3513.16</v>
      </c>
      <c r="K21" s="10">
        <f t="shared" si="0"/>
        <v>497868.42000000004</v>
      </c>
      <c r="L21" s="75">
        <v>373251.78</v>
      </c>
      <c r="M21" s="11"/>
      <c r="N21" s="21">
        <f t="shared" si="1"/>
        <v>-531.00000000005821</v>
      </c>
      <c r="O21" s="423">
        <f>7088.81-60.18</f>
        <v>7028.63</v>
      </c>
      <c r="P21" s="21">
        <f t="shared" si="2"/>
        <v>-421.5800000000163</v>
      </c>
      <c r="R21" s="7">
        <f t="shared" si="4"/>
        <v>428804.11</v>
      </c>
    </row>
    <row r="22" spans="1:18" ht="16.2" thickBot="1">
      <c r="A22">
        <v>15</v>
      </c>
      <c r="B22" s="77" t="s">
        <v>203</v>
      </c>
      <c r="C22" s="78">
        <v>1393484.69</v>
      </c>
      <c r="D22" s="78">
        <v>63734.45</v>
      </c>
      <c r="E22" s="78">
        <v>495932</v>
      </c>
      <c r="F22" s="78">
        <f t="shared" si="3"/>
        <v>1953151.14</v>
      </c>
      <c r="G22" s="79">
        <v>1567628.82</v>
      </c>
      <c r="I22" s="73">
        <v>2044551.43</v>
      </c>
      <c r="J22" s="74">
        <v>91400.29</v>
      </c>
      <c r="K22" s="10">
        <f t="shared" si="0"/>
        <v>1953151.14</v>
      </c>
      <c r="L22" s="75">
        <v>1567628.82</v>
      </c>
      <c r="M22" s="11"/>
      <c r="N22" s="21">
        <f t="shared" si="1"/>
        <v>0</v>
      </c>
      <c r="O22" s="423">
        <f>37795.4-843.07</f>
        <v>36952.33</v>
      </c>
      <c r="P22" s="21">
        <f t="shared" si="2"/>
        <v>0</v>
      </c>
      <c r="R22" s="7">
        <f t="shared" si="4"/>
        <v>1356532.3599999999</v>
      </c>
    </row>
    <row r="23" spans="1:18" ht="16.2" thickBot="1">
      <c r="A23">
        <v>16</v>
      </c>
      <c r="B23" s="77" t="s">
        <v>172</v>
      </c>
      <c r="C23" s="78">
        <v>166143.39000000001</v>
      </c>
      <c r="D23" s="78">
        <v>0</v>
      </c>
      <c r="E23" s="78">
        <v>0</v>
      </c>
      <c r="F23" s="78">
        <f t="shared" si="3"/>
        <v>166143.39000000001</v>
      </c>
      <c r="G23" s="79">
        <v>131173.42000000001</v>
      </c>
      <c r="I23" s="73">
        <v>191338.8</v>
      </c>
      <c r="J23" s="74">
        <v>25195.41</v>
      </c>
      <c r="K23" s="10">
        <f t="shared" si="0"/>
        <v>166143.38999999998</v>
      </c>
      <c r="L23" s="75">
        <v>131173.42000000001</v>
      </c>
      <c r="M23" s="11"/>
      <c r="N23" s="21">
        <f t="shared" si="1"/>
        <v>0</v>
      </c>
      <c r="O23" s="423">
        <v>10211</v>
      </c>
      <c r="P23" s="21">
        <f t="shared" si="2"/>
        <v>0</v>
      </c>
      <c r="R23" s="7">
        <f t="shared" si="4"/>
        <v>155932.39000000001</v>
      </c>
    </row>
    <row r="24" spans="1:18" ht="16.2" thickBot="1">
      <c r="A24">
        <v>17</v>
      </c>
      <c r="B24" s="77" t="s">
        <v>176</v>
      </c>
      <c r="C24" s="78">
        <v>96664.060000000012</v>
      </c>
      <c r="D24" s="78">
        <v>0</v>
      </c>
      <c r="E24" s="78">
        <v>326794.43</v>
      </c>
      <c r="F24" s="78">
        <f t="shared" si="3"/>
        <v>423458.49</v>
      </c>
      <c r="G24" s="79">
        <v>358881.03</v>
      </c>
      <c r="I24" s="73">
        <v>469938.25</v>
      </c>
      <c r="J24" s="74">
        <v>46479.76</v>
      </c>
      <c r="K24" s="10">
        <f t="shared" si="0"/>
        <v>423458.49</v>
      </c>
      <c r="L24" s="75">
        <v>358880.97</v>
      </c>
      <c r="M24" s="11"/>
      <c r="N24" s="21">
        <f t="shared" si="1"/>
        <v>0</v>
      </c>
      <c r="O24" s="277">
        <f>2968.3-165.29</f>
        <v>2803.01</v>
      </c>
      <c r="P24" s="21">
        <f t="shared" si="2"/>
        <v>6.0000000055879354E-2</v>
      </c>
      <c r="R24" s="7">
        <f t="shared" si="4"/>
        <v>93861.050000000017</v>
      </c>
    </row>
    <row r="25" spans="1:18" ht="16.2" thickBot="1">
      <c r="A25">
        <v>18</v>
      </c>
      <c r="B25" s="77" t="s">
        <v>177</v>
      </c>
      <c r="C25" s="78">
        <v>113765.15000000004</v>
      </c>
      <c r="D25" s="78">
        <v>0</v>
      </c>
      <c r="E25" s="78">
        <v>492815.14</v>
      </c>
      <c r="F25" s="78">
        <f t="shared" si="3"/>
        <v>606580.29</v>
      </c>
      <c r="G25" s="79">
        <v>518002.47</v>
      </c>
      <c r="I25" s="73">
        <v>662671.82999999996</v>
      </c>
      <c r="J25" s="74">
        <v>56091.54</v>
      </c>
      <c r="K25" s="10">
        <f t="shared" si="0"/>
        <v>606580.28999999992</v>
      </c>
      <c r="L25" s="75">
        <v>518002.47</v>
      </c>
      <c r="M25" s="11"/>
      <c r="N25" s="21">
        <f t="shared" si="1"/>
        <v>0</v>
      </c>
      <c r="O25" s="277">
        <v>4234.5200000000004</v>
      </c>
      <c r="P25" s="21">
        <f t="shared" si="2"/>
        <v>0</v>
      </c>
      <c r="R25" s="7">
        <f t="shared" si="4"/>
        <v>109530.63000000003</v>
      </c>
    </row>
    <row r="26" spans="1:18" ht="16.2" thickBot="1">
      <c r="A26">
        <v>19</v>
      </c>
      <c r="B26" s="77" t="s">
        <v>178</v>
      </c>
      <c r="C26" s="78">
        <v>23438.01</v>
      </c>
      <c r="D26" s="78">
        <v>0</v>
      </c>
      <c r="E26" s="78">
        <v>216632.29</v>
      </c>
      <c r="F26" s="78">
        <f t="shared" si="3"/>
        <v>240070.30000000002</v>
      </c>
      <c r="G26" s="79">
        <v>204460.02</v>
      </c>
      <c r="I26" s="73">
        <v>261686.7</v>
      </c>
      <c r="J26" s="74">
        <v>21616.400000000001</v>
      </c>
      <c r="K26" s="10">
        <f t="shared" si="0"/>
        <v>240070.30000000002</v>
      </c>
      <c r="L26" s="75">
        <v>204460.02</v>
      </c>
      <c r="M26" s="11"/>
      <c r="N26" s="21">
        <f t="shared" si="1"/>
        <v>0</v>
      </c>
      <c r="O26" s="277">
        <f>1073.9-68.16</f>
        <v>1005.7400000000001</v>
      </c>
      <c r="P26" s="21">
        <f t="shared" si="2"/>
        <v>0</v>
      </c>
      <c r="R26" s="7">
        <f t="shared" si="4"/>
        <v>22432.269999999997</v>
      </c>
    </row>
    <row r="27" spans="1:18" ht="16.2" thickBot="1">
      <c r="A27">
        <v>20</v>
      </c>
      <c r="B27" s="77" t="s">
        <v>179</v>
      </c>
      <c r="C27" s="78">
        <v>0</v>
      </c>
      <c r="D27" s="78"/>
      <c r="E27" s="78">
        <f>410851.41-763.64</f>
        <v>410087.76999999996</v>
      </c>
      <c r="F27" s="78">
        <f t="shared" si="3"/>
        <v>410087.76999999996</v>
      </c>
      <c r="G27" s="79">
        <v>345316.84</v>
      </c>
      <c r="I27" s="73">
        <v>454115.13</v>
      </c>
      <c r="J27" s="74">
        <v>44027.360000000001</v>
      </c>
      <c r="K27" s="10">
        <f t="shared" si="0"/>
        <v>410087.77</v>
      </c>
      <c r="L27" s="75">
        <v>345316.84</v>
      </c>
      <c r="M27" s="11"/>
      <c r="N27" s="21">
        <f t="shared" si="1"/>
        <v>0</v>
      </c>
      <c r="O27" s="277">
        <v>1926.48</v>
      </c>
      <c r="P27" s="21">
        <f t="shared" si="2"/>
        <v>0</v>
      </c>
      <c r="R27" s="7">
        <f t="shared" si="4"/>
        <v>-1926.48</v>
      </c>
    </row>
    <row r="28" spans="1:18" ht="16.2" thickBot="1">
      <c r="A28">
        <v>21</v>
      </c>
      <c r="B28" s="77" t="s">
        <v>181</v>
      </c>
      <c r="C28" s="78">
        <v>10193.440000000004</v>
      </c>
      <c r="D28" s="78">
        <v>0</v>
      </c>
      <c r="E28" s="78">
        <v>230410.27</v>
      </c>
      <c r="F28" s="78">
        <f t="shared" si="3"/>
        <v>240603.71</v>
      </c>
      <c r="G28" s="79">
        <v>205876.86</v>
      </c>
      <c r="I28" s="73">
        <v>266528.07</v>
      </c>
      <c r="J28" s="74">
        <v>25924.36</v>
      </c>
      <c r="K28" s="10">
        <f t="shared" si="0"/>
        <v>240603.71000000002</v>
      </c>
      <c r="L28" s="75">
        <v>205876.84</v>
      </c>
      <c r="M28" s="11"/>
      <c r="N28" s="21">
        <f t="shared" si="1"/>
        <v>0</v>
      </c>
      <c r="O28" s="277">
        <f>1827.95-69.26</f>
        <v>1758.69</v>
      </c>
      <c r="P28" s="21">
        <f t="shared" si="2"/>
        <v>1.9999999989522621E-2</v>
      </c>
      <c r="R28" s="7">
        <f t="shared" si="4"/>
        <v>8434.7500000000036</v>
      </c>
    </row>
    <row r="29" spans="1:18" ht="16.2" thickBot="1">
      <c r="A29">
        <v>22</v>
      </c>
      <c r="B29" s="77" t="s">
        <v>182</v>
      </c>
      <c r="C29" s="78">
        <v>17428.849999999999</v>
      </c>
      <c r="D29" s="78">
        <v>0</v>
      </c>
      <c r="E29" s="78">
        <v>119392.69</v>
      </c>
      <c r="F29" s="78">
        <f t="shared" si="3"/>
        <v>136821.54</v>
      </c>
      <c r="G29" s="79">
        <v>115712.53</v>
      </c>
      <c r="I29" s="73">
        <v>151906.48000000001</v>
      </c>
      <c r="J29" s="74">
        <v>15084.94</v>
      </c>
      <c r="K29" s="10">
        <f t="shared" si="0"/>
        <v>136821.54</v>
      </c>
      <c r="L29" s="75">
        <v>115712.54</v>
      </c>
      <c r="M29" s="11"/>
      <c r="N29" s="21">
        <f t="shared" si="1"/>
        <v>0</v>
      </c>
      <c r="O29" s="277">
        <v>611.47</v>
      </c>
      <c r="P29" s="21">
        <f t="shared" si="2"/>
        <v>-9.9999999947613105E-3</v>
      </c>
      <c r="R29" s="7">
        <f t="shared" si="4"/>
        <v>16817.379999999997</v>
      </c>
    </row>
    <row r="30" spans="1:18" ht="16.2" thickBot="1">
      <c r="A30">
        <v>23</v>
      </c>
      <c r="B30" s="77" t="s">
        <v>187</v>
      </c>
      <c r="C30" s="78">
        <v>74853.75</v>
      </c>
      <c r="D30" s="78">
        <v>0</v>
      </c>
      <c r="E30" s="78">
        <v>215755.79</v>
      </c>
      <c r="F30" s="78">
        <f t="shared" si="3"/>
        <v>290609.54000000004</v>
      </c>
      <c r="G30" s="79">
        <v>249994.36</v>
      </c>
      <c r="I30" s="73">
        <v>322992.5</v>
      </c>
      <c r="J30" s="74">
        <v>32382.959999999999</v>
      </c>
      <c r="K30" s="10">
        <f t="shared" si="0"/>
        <v>290609.53999999998</v>
      </c>
      <c r="L30" s="75">
        <v>249994.36</v>
      </c>
      <c r="M30" s="11"/>
      <c r="N30" s="21">
        <f t="shared" si="1"/>
        <v>0</v>
      </c>
      <c r="O30" s="277">
        <v>975.15</v>
      </c>
      <c r="P30" s="22">
        <f t="shared" si="2"/>
        <v>0</v>
      </c>
      <c r="R30" s="7">
        <f t="shared" si="4"/>
        <v>73878.600000000006</v>
      </c>
    </row>
    <row r="31" spans="1:18" ht="16.2" thickBot="1">
      <c r="A31">
        <v>24</v>
      </c>
      <c r="B31" s="77" t="s">
        <v>233</v>
      </c>
      <c r="C31" s="78">
        <v>38721.559999999976</v>
      </c>
      <c r="D31" s="78"/>
      <c r="E31" s="78">
        <v>502143.68</v>
      </c>
      <c r="F31" s="78">
        <f t="shared" si="3"/>
        <v>540865.24</v>
      </c>
      <c r="G31" s="79">
        <v>459820.09</v>
      </c>
      <c r="I31" s="73">
        <v>598108.19999999995</v>
      </c>
      <c r="J31" s="74">
        <v>57242.96</v>
      </c>
      <c r="K31" s="10">
        <f t="shared" si="0"/>
        <v>540865.24</v>
      </c>
      <c r="L31" s="75">
        <v>459820.05</v>
      </c>
      <c r="M31" s="11"/>
      <c r="N31" s="21">
        <f t="shared" si="1"/>
        <v>0</v>
      </c>
      <c r="O31" s="277">
        <f>2725.35-105.12</f>
        <v>2620.23</v>
      </c>
      <c r="P31" s="22">
        <f t="shared" si="2"/>
        <v>4.0000000037252903E-2</v>
      </c>
      <c r="R31" s="7">
        <f t="shared" si="4"/>
        <v>36101.329999999973</v>
      </c>
    </row>
    <row r="32" spans="1:18" ht="16.2" thickBot="1">
      <c r="A32">
        <v>25</v>
      </c>
      <c r="B32" s="77" t="s">
        <v>240</v>
      </c>
      <c r="C32" s="78">
        <v>121003.99000000002</v>
      </c>
      <c r="D32" s="78">
        <v>0</v>
      </c>
      <c r="E32" s="78">
        <v>600772.67000000004</v>
      </c>
      <c r="F32" s="78">
        <f t="shared" si="3"/>
        <v>721776.66</v>
      </c>
      <c r="G32" s="79">
        <v>621799.9</v>
      </c>
      <c r="I32" s="73">
        <v>792388.68</v>
      </c>
      <c r="J32" s="74">
        <v>70612.02</v>
      </c>
      <c r="K32" s="10">
        <f t="shared" si="0"/>
        <v>721776.66</v>
      </c>
      <c r="L32" s="75">
        <v>621799.9</v>
      </c>
      <c r="M32" s="68"/>
      <c r="N32" s="22">
        <f t="shared" si="1"/>
        <v>0</v>
      </c>
      <c r="O32" s="277">
        <f>5020.84-231.44</f>
        <v>4789.4000000000005</v>
      </c>
      <c r="P32" s="22">
        <f t="shared" si="2"/>
        <v>0</v>
      </c>
      <c r="R32" s="7">
        <f t="shared" si="4"/>
        <v>116214.59000000003</v>
      </c>
    </row>
    <row r="33" spans="1:18" ht="16.2" thickBot="1">
      <c r="B33" s="77" t="s">
        <v>245</v>
      </c>
      <c r="C33" s="78">
        <v>0</v>
      </c>
      <c r="D33" s="78">
        <v>0</v>
      </c>
      <c r="E33" s="78">
        <v>0</v>
      </c>
      <c r="F33" s="78">
        <f>C33+D33+E33</f>
        <v>0</v>
      </c>
      <c r="G33" s="79">
        <v>0</v>
      </c>
      <c r="I33" s="73">
        <v>0</v>
      </c>
      <c r="J33" s="74">
        <v>0</v>
      </c>
      <c r="K33" s="10">
        <f>I33-J33</f>
        <v>0</v>
      </c>
      <c r="L33" s="75">
        <v>0</v>
      </c>
      <c r="M33" s="68"/>
      <c r="N33" s="22">
        <f>F33-K33</f>
        <v>0</v>
      </c>
      <c r="O33" s="277">
        <v>0</v>
      </c>
      <c r="P33" s="22">
        <f>G33-L33</f>
        <v>0</v>
      </c>
      <c r="R33" s="7">
        <f t="shared" si="4"/>
        <v>0</v>
      </c>
    </row>
    <row r="34" spans="1:18" ht="16.2" thickBot="1">
      <c r="B34" s="77" t="s">
        <v>357</v>
      </c>
      <c r="C34" s="78">
        <v>1503024.24</v>
      </c>
      <c r="D34" s="78">
        <v>41649.01</v>
      </c>
      <c r="E34" s="78">
        <v>92890.57</v>
      </c>
      <c r="F34" s="78">
        <f>C34+D34+E34</f>
        <v>1637563.82</v>
      </c>
      <c r="G34" s="79">
        <v>1257821.1499999999</v>
      </c>
      <c r="I34" s="73">
        <v>1692892.12</v>
      </c>
      <c r="J34" s="74">
        <v>55328.3</v>
      </c>
      <c r="K34" s="10">
        <f>I34-J34</f>
        <v>1637563.82</v>
      </c>
      <c r="L34" s="75">
        <v>1257821.1499999999</v>
      </c>
      <c r="M34" s="68"/>
      <c r="N34" s="22">
        <f>F34-K34</f>
        <v>0</v>
      </c>
      <c r="O34" s="277">
        <f>35204.6-1090.47</f>
        <v>34114.129999999997</v>
      </c>
      <c r="P34" s="22">
        <f>G34-L34</f>
        <v>0</v>
      </c>
      <c r="R34" s="7">
        <f t="shared" si="4"/>
        <v>1468910.11</v>
      </c>
    </row>
    <row r="35" spans="1:18" ht="16.2" thickBot="1">
      <c r="B35" s="77" t="s">
        <v>362</v>
      </c>
      <c r="C35" s="78">
        <v>3502.940000000006</v>
      </c>
      <c r="D35" s="78">
        <v>0</v>
      </c>
      <c r="E35" s="78">
        <v>125538.4</v>
      </c>
      <c r="F35" s="78">
        <f>C35+D35+E35</f>
        <v>129041.34</v>
      </c>
      <c r="G35" s="79">
        <v>105495.96</v>
      </c>
      <c r="I35" s="73">
        <v>130645.59</v>
      </c>
      <c r="J35" s="74">
        <v>1604.25</v>
      </c>
      <c r="K35" s="10">
        <f>I35-J35</f>
        <v>129041.34</v>
      </c>
      <c r="L35" s="75">
        <v>105495.96</v>
      </c>
      <c r="M35" s="68"/>
      <c r="N35" s="22">
        <f>F35-K35</f>
        <v>0</v>
      </c>
      <c r="O35" s="277">
        <v>102.91</v>
      </c>
      <c r="P35" s="22">
        <f>G35-L35</f>
        <v>0</v>
      </c>
      <c r="R35" s="7">
        <f t="shared" si="4"/>
        <v>3400.0300000000061</v>
      </c>
    </row>
    <row r="36" spans="1:18" ht="16.2" thickBot="1">
      <c r="B36" s="77" t="s">
        <v>361</v>
      </c>
      <c r="C36" s="78">
        <v>4930.3899999999994</v>
      </c>
      <c r="D36" s="78">
        <v>0</v>
      </c>
      <c r="E36" s="78">
        <v>25301.439999999999</v>
      </c>
      <c r="F36" s="78">
        <f>C36+D36+E36</f>
        <v>30231.829999999998</v>
      </c>
      <c r="G36" s="79">
        <v>26566.54</v>
      </c>
      <c r="I36" s="73">
        <v>33828.35</v>
      </c>
      <c r="J36" s="74">
        <v>3597.52</v>
      </c>
      <c r="K36" s="10">
        <f>I36-J36</f>
        <v>30230.829999999998</v>
      </c>
      <c r="L36" s="75">
        <v>26565.63</v>
      </c>
      <c r="M36" s="68"/>
      <c r="N36" s="22">
        <f>F36-K36</f>
        <v>1</v>
      </c>
      <c r="O36" s="277">
        <f>376.31-32.54</f>
        <v>343.77</v>
      </c>
      <c r="P36" s="22">
        <f>G36-L36</f>
        <v>0.90999999999985448</v>
      </c>
      <c r="R36" s="7">
        <f t="shared" si="4"/>
        <v>4586.619999999999</v>
      </c>
    </row>
    <row r="37" spans="1:18" ht="16.2" thickBot="1">
      <c r="B37" s="77" t="s">
        <v>234</v>
      </c>
      <c r="C37" s="78">
        <v>0</v>
      </c>
      <c r="D37" s="78"/>
      <c r="E37" s="78"/>
      <c r="F37" s="78">
        <f>C37+D37+E37</f>
        <v>0</v>
      </c>
      <c r="G37" s="79"/>
      <c r="I37" s="73"/>
      <c r="J37" s="74"/>
      <c r="K37" s="10">
        <f>I37-J37</f>
        <v>0</v>
      </c>
      <c r="L37" s="75"/>
      <c r="M37" s="68"/>
      <c r="N37" s="22">
        <f>F37-K37</f>
        <v>0</v>
      </c>
      <c r="O37" s="277">
        <v>0</v>
      </c>
      <c r="P37" s="22">
        <f>G37-L37</f>
        <v>0</v>
      </c>
      <c r="R37" s="7">
        <f t="shared" si="4"/>
        <v>0</v>
      </c>
    </row>
    <row r="38" spans="1:18" ht="16.2" thickBot="1">
      <c r="B38" s="83" t="s">
        <v>194</v>
      </c>
      <c r="C38" s="92">
        <f>SUM(C8:C37)</f>
        <v>19776300.630000003</v>
      </c>
      <c r="D38" s="92">
        <f>SUM(D8:D37)</f>
        <v>3230244.2800000003</v>
      </c>
      <c r="E38" s="92">
        <f>SUM(E8:E37)</f>
        <v>17800136.960000001</v>
      </c>
      <c r="F38" s="92">
        <f>SUM(F8:F37)</f>
        <v>40806681.870000005</v>
      </c>
      <c r="G38" s="92">
        <f>SUM(G8:G37)</f>
        <v>32885055.140000001</v>
      </c>
      <c r="H38" s="88"/>
      <c r="I38" s="89">
        <f>SUM(I8:I37)</f>
        <v>43369266.946999997</v>
      </c>
      <c r="J38" s="89">
        <f>SUM(J8:J37)</f>
        <v>2562350.7499999995</v>
      </c>
      <c r="K38" s="89">
        <f>SUM(K8:K37)</f>
        <v>40806916.197000004</v>
      </c>
      <c r="L38" s="89">
        <f>SUM(L8:L37)</f>
        <v>32885216.82</v>
      </c>
      <c r="M38" s="88"/>
      <c r="N38" s="90">
        <f>SUM(N8:N37)</f>
        <v>-234.3270000005723</v>
      </c>
      <c r="O38" s="424">
        <f>SUM(O8:O37)</f>
        <v>527754.24000000011</v>
      </c>
      <c r="P38" s="90">
        <f>SUM(P8:P37)</f>
        <v>-161.67999999983658</v>
      </c>
    </row>
    <row r="41" spans="1:18" ht="21.6" thickBot="1">
      <c r="B41" s="635" t="s">
        <v>161</v>
      </c>
      <c r="C41" s="635"/>
      <c r="D41" s="635"/>
      <c r="E41" s="635"/>
      <c r="F41" s="635"/>
      <c r="G41" s="635"/>
      <c r="I41" s="636" t="s">
        <v>149</v>
      </c>
      <c r="J41" s="636"/>
      <c r="K41" s="636"/>
      <c r="L41" s="636"/>
      <c r="M41" s="49"/>
      <c r="N41" s="23"/>
      <c r="O41" s="423"/>
      <c r="P41" s="23"/>
    </row>
    <row r="42" spans="1:18" ht="16.2" thickBot="1">
      <c r="B42" s="77" t="s">
        <v>34</v>
      </c>
      <c r="C42" s="80" t="s">
        <v>115</v>
      </c>
      <c r="D42" s="80" t="s">
        <v>21</v>
      </c>
      <c r="E42" s="80" t="s">
        <v>116</v>
      </c>
      <c r="F42" s="80" t="s">
        <v>162</v>
      </c>
      <c r="G42" s="81" t="s">
        <v>163</v>
      </c>
      <c r="H42" s="48" t="s">
        <v>1</v>
      </c>
      <c r="I42" s="26" t="s">
        <v>114</v>
      </c>
      <c r="J42" s="24" t="s">
        <v>164</v>
      </c>
      <c r="K42" s="24" t="s">
        <v>165</v>
      </c>
      <c r="L42" s="25" t="s">
        <v>166</v>
      </c>
      <c r="M42" s="85"/>
      <c r="N42" s="27" t="s">
        <v>167</v>
      </c>
      <c r="O42" s="423"/>
      <c r="P42" s="27" t="s">
        <v>168</v>
      </c>
    </row>
    <row r="43" spans="1:18" ht="15.6">
      <c r="A43">
        <v>1</v>
      </c>
      <c r="B43" s="82" t="s">
        <v>36</v>
      </c>
      <c r="C43" s="78">
        <v>2960938.6800000011</v>
      </c>
      <c r="D43" s="78">
        <v>664076.68999999994</v>
      </c>
      <c r="E43" s="78">
        <v>1194066.8999999999</v>
      </c>
      <c r="F43" s="78">
        <f>C43+D43+E43</f>
        <v>4819082.2700000014</v>
      </c>
      <c r="G43" s="79">
        <v>3883691.03</v>
      </c>
      <c r="I43" s="73">
        <v>5072174.9800000004</v>
      </c>
      <c r="J43" s="74">
        <v>253092.71</v>
      </c>
      <c r="K43" s="10">
        <f t="shared" ref="K43:K67" si="5">I43-J43</f>
        <v>4819082.2700000005</v>
      </c>
      <c r="L43" s="74">
        <v>3883690.99</v>
      </c>
      <c r="M43" s="11"/>
      <c r="N43" s="21">
        <f t="shared" ref="N43:N67" si="6">F43-K43</f>
        <v>0</v>
      </c>
      <c r="O43" s="423">
        <v>76528.099999998696</v>
      </c>
      <c r="P43" s="21">
        <f t="shared" ref="P43:P67" si="7">G43-L43</f>
        <v>3.9999999571591616E-2</v>
      </c>
    </row>
    <row r="44" spans="1:18" ht="15.6">
      <c r="A44">
        <v>2</v>
      </c>
      <c r="B44" s="82" t="s">
        <v>9</v>
      </c>
      <c r="C44" s="78">
        <v>2119720.5299999998</v>
      </c>
      <c r="D44" s="78">
        <v>1203639.72</v>
      </c>
      <c r="E44" s="78">
        <v>320548.27</v>
      </c>
      <c r="F44" s="78">
        <f t="shared" ref="F44:F67" si="8">C44+D44+E44</f>
        <v>3643908.52</v>
      </c>
      <c r="G44" s="79">
        <v>2887679.77</v>
      </c>
      <c r="I44" s="73">
        <v>3815452.52</v>
      </c>
      <c r="J44" s="74">
        <v>171544</v>
      </c>
      <c r="K44" s="10">
        <f t="shared" si="5"/>
        <v>3643908.52</v>
      </c>
      <c r="L44" s="75">
        <v>2887679.77</v>
      </c>
      <c r="M44" s="11"/>
      <c r="N44" s="21">
        <f t="shared" si="6"/>
        <v>0</v>
      </c>
      <c r="O44" s="423">
        <v>57370.970000000671</v>
      </c>
      <c r="P44" s="21">
        <f t="shared" si="7"/>
        <v>0</v>
      </c>
    </row>
    <row r="45" spans="1:18" ht="15.6">
      <c r="A45">
        <v>3</v>
      </c>
      <c r="B45" s="82" t="s">
        <v>25</v>
      </c>
      <c r="C45" s="78">
        <v>1349164.68</v>
      </c>
      <c r="D45" s="78">
        <v>346016.26</v>
      </c>
      <c r="E45" s="78">
        <v>1598760.39</v>
      </c>
      <c r="F45" s="78">
        <f t="shared" si="8"/>
        <v>3293941.33</v>
      </c>
      <c r="G45" s="79">
        <v>2737775.84</v>
      </c>
      <c r="I45" s="73">
        <v>3523199.01</v>
      </c>
      <c r="J45" s="74">
        <v>229257.68</v>
      </c>
      <c r="K45" s="10">
        <f t="shared" si="5"/>
        <v>3293941.3299999996</v>
      </c>
      <c r="L45" s="75">
        <v>2737775.84</v>
      </c>
      <c r="M45" s="11"/>
      <c r="N45" s="21">
        <f t="shared" si="6"/>
        <v>0</v>
      </c>
      <c r="O45" s="423">
        <v>41391.149999999907</v>
      </c>
      <c r="P45" s="21">
        <f t="shared" si="7"/>
        <v>0</v>
      </c>
    </row>
    <row r="46" spans="1:18" ht="15.6">
      <c r="A46">
        <v>4</v>
      </c>
      <c r="B46" s="82" t="s">
        <v>160</v>
      </c>
      <c r="C46" s="78">
        <v>2907073.9400000009</v>
      </c>
      <c r="D46" s="78">
        <v>22099.3</v>
      </c>
      <c r="E46" s="78">
        <v>2822337.19</v>
      </c>
      <c r="F46" s="78">
        <f t="shared" si="8"/>
        <v>5751510.4300000006</v>
      </c>
      <c r="G46" s="79">
        <v>4732710.17</v>
      </c>
      <c r="I46" s="73">
        <v>6131205.2800000003</v>
      </c>
      <c r="J46" s="74">
        <v>379694.85</v>
      </c>
      <c r="K46" s="10">
        <f t="shared" si="5"/>
        <v>5751510.4300000006</v>
      </c>
      <c r="L46" s="75">
        <v>4732710.17</v>
      </c>
      <c r="M46" s="11"/>
      <c r="N46" s="21">
        <f t="shared" si="6"/>
        <v>0</v>
      </c>
      <c r="O46" s="423">
        <v>69464.11999999918</v>
      </c>
      <c r="P46" s="21">
        <f t="shared" si="7"/>
        <v>0</v>
      </c>
    </row>
    <row r="47" spans="1:18" ht="15.6">
      <c r="A47">
        <v>5</v>
      </c>
      <c r="B47" s="82" t="s">
        <v>139</v>
      </c>
      <c r="C47" s="78">
        <v>10047.090000000084</v>
      </c>
      <c r="D47" s="78">
        <v>0</v>
      </c>
      <c r="E47" s="78">
        <v>1765210.34</v>
      </c>
      <c r="F47" s="78">
        <f t="shared" si="8"/>
        <v>1775257.4300000002</v>
      </c>
      <c r="G47" s="79">
        <v>1524135.82</v>
      </c>
      <c r="I47" s="73">
        <v>1962104.81</v>
      </c>
      <c r="J47" s="74">
        <v>186847.38</v>
      </c>
      <c r="K47" s="10">
        <f t="shared" si="5"/>
        <v>1775257.4300000002</v>
      </c>
      <c r="L47" s="75">
        <v>1524135.87</v>
      </c>
      <c r="M47" s="11"/>
      <c r="N47" s="21">
        <f t="shared" si="6"/>
        <v>0</v>
      </c>
      <c r="O47" s="423">
        <v>5252.9099999999162</v>
      </c>
      <c r="P47" s="21">
        <f t="shared" si="7"/>
        <v>-5.0000000046566129E-2</v>
      </c>
    </row>
    <row r="48" spans="1:18" ht="15.6">
      <c r="A48">
        <v>6</v>
      </c>
      <c r="B48" s="82" t="s">
        <v>37</v>
      </c>
      <c r="C48" s="78">
        <v>46537.910000000018</v>
      </c>
      <c r="D48" s="78">
        <v>0</v>
      </c>
      <c r="E48" s="78">
        <v>125494.05</v>
      </c>
      <c r="F48" s="78">
        <f t="shared" si="8"/>
        <v>172031.96000000002</v>
      </c>
      <c r="G48" s="79">
        <v>148205.44</v>
      </c>
      <c r="I48" s="73">
        <v>195258.38</v>
      </c>
      <c r="J48" s="74">
        <v>23226.42</v>
      </c>
      <c r="K48" s="10">
        <f t="shared" si="5"/>
        <v>172031.96000000002</v>
      </c>
      <c r="L48" s="75">
        <v>148205.42000000001</v>
      </c>
      <c r="M48" s="11"/>
      <c r="N48" s="21">
        <f t="shared" si="6"/>
        <v>0</v>
      </c>
      <c r="O48" s="423">
        <v>1830.9899999999907</v>
      </c>
      <c r="P48" s="21">
        <f t="shared" si="7"/>
        <v>1.9999999989522621E-2</v>
      </c>
    </row>
    <row r="49" spans="1:19" ht="15.6">
      <c r="A49">
        <v>7</v>
      </c>
      <c r="B49" s="82" t="s">
        <v>133</v>
      </c>
      <c r="C49" s="78">
        <v>16888.799999999977</v>
      </c>
      <c r="D49" s="78">
        <v>0</v>
      </c>
      <c r="E49" s="78">
        <v>322634.96000000002</v>
      </c>
      <c r="F49" s="78">
        <f t="shared" si="8"/>
        <v>339523.76</v>
      </c>
      <c r="G49" s="79">
        <v>292936.42</v>
      </c>
      <c r="I49" s="73">
        <v>374638.18</v>
      </c>
      <c r="J49" s="74">
        <v>35114.42</v>
      </c>
      <c r="K49" s="10">
        <f t="shared" si="5"/>
        <v>339523.76</v>
      </c>
      <c r="L49" s="75">
        <v>292936.43</v>
      </c>
      <c r="M49" s="11"/>
      <c r="N49" s="21">
        <f t="shared" si="6"/>
        <v>0</v>
      </c>
      <c r="O49" s="423">
        <v>768.71000000002095</v>
      </c>
      <c r="P49" s="21">
        <f t="shared" si="7"/>
        <v>-1.0000000009313226E-2</v>
      </c>
    </row>
    <row r="50" spans="1:19" ht="15.6">
      <c r="A50">
        <v>8</v>
      </c>
      <c r="B50" s="82" t="s">
        <v>123</v>
      </c>
      <c r="C50" s="78">
        <v>1727.5099999999929</v>
      </c>
      <c r="D50" s="78">
        <v>117.92</v>
      </c>
      <c r="E50" s="78">
        <v>482268.28</v>
      </c>
      <c r="F50" s="78">
        <f t="shared" si="8"/>
        <v>484113.71</v>
      </c>
      <c r="G50" s="79">
        <v>412638.59</v>
      </c>
      <c r="I50" s="73">
        <v>535125.04</v>
      </c>
      <c r="J50" s="74">
        <v>51011.33</v>
      </c>
      <c r="K50" s="10">
        <f t="shared" si="5"/>
        <v>484113.71</v>
      </c>
      <c r="L50" s="75">
        <v>412638.59</v>
      </c>
      <c r="M50" s="11"/>
      <c r="N50" s="21">
        <f t="shared" si="6"/>
        <v>0</v>
      </c>
      <c r="O50" s="423">
        <v>1982.1199999999953</v>
      </c>
      <c r="P50" s="21">
        <f t="shared" si="7"/>
        <v>0</v>
      </c>
    </row>
    <row r="51" spans="1:19" ht="15.6">
      <c r="A51">
        <v>9</v>
      </c>
      <c r="B51" s="82" t="s">
        <v>145</v>
      </c>
      <c r="C51" s="78">
        <v>535492.08000000054</v>
      </c>
      <c r="D51" s="78">
        <v>3291.84</v>
      </c>
      <c r="E51" s="78">
        <v>1554593.88</v>
      </c>
      <c r="F51" s="78">
        <f t="shared" si="8"/>
        <v>2093377.8000000003</v>
      </c>
      <c r="G51" s="79">
        <v>1757486.0800000001</v>
      </c>
      <c r="I51" s="73">
        <v>2265215.9300000002</v>
      </c>
      <c r="J51" s="74">
        <v>171838.13</v>
      </c>
      <c r="K51" s="10">
        <f t="shared" si="5"/>
        <v>2093377.8000000003</v>
      </c>
      <c r="L51" s="75">
        <v>1757485.23</v>
      </c>
      <c r="M51" s="11"/>
      <c r="N51" s="21">
        <f t="shared" si="6"/>
        <v>0</v>
      </c>
      <c r="O51" s="423">
        <v>24884.239999999758</v>
      </c>
      <c r="P51" s="21">
        <f t="shared" si="7"/>
        <v>0.85000000009313226</v>
      </c>
    </row>
    <row r="52" spans="1:19" ht="15.6">
      <c r="A52">
        <v>10</v>
      </c>
      <c r="B52" s="82" t="s">
        <v>124</v>
      </c>
      <c r="C52" s="78">
        <v>169764.96999999997</v>
      </c>
      <c r="D52" s="78">
        <v>436.07</v>
      </c>
      <c r="E52" s="78">
        <v>109839.44</v>
      </c>
      <c r="F52" s="78">
        <f t="shared" si="8"/>
        <v>280040.48</v>
      </c>
      <c r="G52" s="79">
        <v>238321.64</v>
      </c>
      <c r="I52" s="73">
        <v>306112.67</v>
      </c>
      <c r="J52" s="74">
        <v>26072.19</v>
      </c>
      <c r="K52" s="10">
        <f t="shared" si="5"/>
        <v>280040.48</v>
      </c>
      <c r="L52" s="75">
        <v>238321.56</v>
      </c>
      <c r="M52" s="11"/>
      <c r="N52" s="21">
        <f t="shared" si="6"/>
        <v>0</v>
      </c>
      <c r="O52" s="423">
        <v>2208.3500000000349</v>
      </c>
      <c r="P52" s="21">
        <f t="shared" si="7"/>
        <v>8.0000000016298145E-2</v>
      </c>
    </row>
    <row r="53" spans="1:19" ht="15.6">
      <c r="A53">
        <v>11</v>
      </c>
      <c r="B53" s="82" t="s">
        <v>169</v>
      </c>
      <c r="C53" s="78">
        <v>1834383.6</v>
      </c>
      <c r="D53" s="78">
        <v>7235.97</v>
      </c>
      <c r="E53" s="78">
        <v>1159547.17</v>
      </c>
      <c r="F53" s="78">
        <f t="shared" si="8"/>
        <v>3001166.74</v>
      </c>
      <c r="G53" s="79">
        <v>2423019.61</v>
      </c>
      <c r="I53" s="73">
        <v>3145470.5</v>
      </c>
      <c r="J53" s="74">
        <v>144303.76</v>
      </c>
      <c r="K53" s="10">
        <f t="shared" si="5"/>
        <v>3001166.74</v>
      </c>
      <c r="L53" s="75">
        <v>2423019.5550000002</v>
      </c>
      <c r="M53" s="11"/>
      <c r="N53" s="21">
        <f t="shared" si="6"/>
        <v>0</v>
      </c>
      <c r="O53" s="423">
        <v>45226.419999999925</v>
      </c>
      <c r="P53" s="21">
        <f t="shared" si="7"/>
        <v>5.4999999701976776E-2</v>
      </c>
    </row>
    <row r="54" spans="1:19" ht="15.6">
      <c r="A54">
        <v>12</v>
      </c>
      <c r="B54" s="82" t="s">
        <v>243</v>
      </c>
      <c r="C54" s="78">
        <v>846953.54999999993</v>
      </c>
      <c r="D54" s="78">
        <v>57173.27</v>
      </c>
      <c r="E54" s="78">
        <v>526785.06999999995</v>
      </c>
      <c r="F54" s="78">
        <f t="shared" si="8"/>
        <v>1430911.89</v>
      </c>
      <c r="G54" s="79">
        <v>1131153.03</v>
      </c>
      <c r="I54" s="73">
        <v>1490336.68</v>
      </c>
      <c r="J54" s="74">
        <v>59424.79</v>
      </c>
      <c r="K54" s="10">
        <f t="shared" si="5"/>
        <v>1430911.89</v>
      </c>
      <c r="L54" s="75">
        <v>1131153.03</v>
      </c>
      <c r="M54" s="11"/>
      <c r="N54" s="21">
        <f t="shared" si="6"/>
        <v>0</v>
      </c>
      <c r="O54" s="423">
        <v>21472.489999999991</v>
      </c>
      <c r="P54" s="21">
        <f t="shared" si="7"/>
        <v>0</v>
      </c>
    </row>
    <row r="55" spans="1:19" ht="15.6">
      <c r="A55">
        <v>13</v>
      </c>
      <c r="B55" s="82" t="s">
        <v>175</v>
      </c>
      <c r="C55" s="78">
        <v>2386322.75</v>
      </c>
      <c r="D55" s="78">
        <v>714134.81</v>
      </c>
      <c r="E55" s="78">
        <v>712710.92</v>
      </c>
      <c r="F55" s="78">
        <f t="shared" si="8"/>
        <v>3813168.48</v>
      </c>
      <c r="G55" s="79">
        <v>2984451.71</v>
      </c>
      <c r="H55" s="7"/>
      <c r="I55" s="73">
        <v>3959496.68</v>
      </c>
      <c r="J55" s="74">
        <v>146328.20000000001</v>
      </c>
      <c r="K55" s="10">
        <f t="shared" si="5"/>
        <v>3813168.48</v>
      </c>
      <c r="L55" s="75">
        <v>2984451.71</v>
      </c>
      <c r="M55" s="11"/>
      <c r="N55" s="21">
        <f t="shared" si="6"/>
        <v>0</v>
      </c>
      <c r="O55" s="423">
        <v>60768.080000000075</v>
      </c>
      <c r="P55" s="21">
        <f t="shared" si="7"/>
        <v>0</v>
      </c>
    </row>
    <row r="56" spans="1:19" ht="15.6">
      <c r="A56">
        <v>14</v>
      </c>
      <c r="B56" s="82" t="s">
        <v>170</v>
      </c>
      <c r="C56" s="78">
        <v>419067.88000000012</v>
      </c>
      <c r="D56" s="78">
        <v>12363.55</v>
      </c>
      <c r="E56" s="78">
        <v>179338.76</v>
      </c>
      <c r="F56" s="78">
        <f t="shared" si="8"/>
        <v>610770.19000000018</v>
      </c>
      <c r="G56" s="79">
        <v>466132.05</v>
      </c>
      <c r="I56" s="73">
        <v>628872.02</v>
      </c>
      <c r="J56" s="74">
        <v>18101.830000000002</v>
      </c>
      <c r="K56" s="10">
        <f t="shared" si="5"/>
        <v>610770.19000000006</v>
      </c>
      <c r="L56" s="75">
        <v>466132.05</v>
      </c>
      <c r="M56" s="11"/>
      <c r="N56" s="21">
        <f t="shared" si="6"/>
        <v>0</v>
      </c>
      <c r="O56" s="423">
        <v>6723.229999999865</v>
      </c>
      <c r="P56" s="21">
        <f t="shared" si="7"/>
        <v>0</v>
      </c>
    </row>
    <row r="57" spans="1:19" ht="15.6">
      <c r="A57">
        <v>15</v>
      </c>
      <c r="B57" s="82" t="s">
        <v>203</v>
      </c>
      <c r="C57" s="78">
        <v>1219973.8700000001</v>
      </c>
      <c r="D57" s="78">
        <v>56680.33</v>
      </c>
      <c r="E57" s="78">
        <v>571856.34</v>
      </c>
      <c r="F57" s="78">
        <f t="shared" si="8"/>
        <v>1848510.54</v>
      </c>
      <c r="G57" s="79">
        <v>1492408.02</v>
      </c>
      <c r="I57" s="73">
        <v>1950393.07</v>
      </c>
      <c r="J57" s="74">
        <v>101882.53</v>
      </c>
      <c r="K57" s="10">
        <f t="shared" si="5"/>
        <v>1848510.54</v>
      </c>
      <c r="L57" s="75">
        <v>1492408.02</v>
      </c>
      <c r="M57" s="11"/>
      <c r="N57" s="21">
        <f t="shared" si="6"/>
        <v>0</v>
      </c>
      <c r="O57" s="423">
        <v>34508.219999999739</v>
      </c>
      <c r="P57" s="21">
        <f t="shared" si="7"/>
        <v>0</v>
      </c>
    </row>
    <row r="58" spans="1:19" ht="15.6">
      <c r="A58">
        <v>16</v>
      </c>
      <c r="B58" s="82" t="s">
        <v>172</v>
      </c>
      <c r="C58" s="78">
        <v>144909.00999999998</v>
      </c>
      <c r="D58" s="78">
        <v>0</v>
      </c>
      <c r="E58" s="78">
        <v>0</v>
      </c>
      <c r="F58" s="78">
        <f t="shared" si="8"/>
        <v>144909.00999999998</v>
      </c>
      <c r="G58" s="79">
        <v>115882.15</v>
      </c>
      <c r="I58" s="73">
        <v>166956.49</v>
      </c>
      <c r="J58" s="74">
        <v>22047.48</v>
      </c>
      <c r="K58" s="10">
        <f t="shared" si="5"/>
        <v>144909.00999999998</v>
      </c>
      <c r="L58" s="75">
        <v>115882.15</v>
      </c>
      <c r="M58" s="11"/>
      <c r="N58" s="21">
        <f t="shared" si="6"/>
        <v>0</v>
      </c>
      <c r="O58" s="423">
        <v>9410.4100000000326</v>
      </c>
      <c r="P58" s="21">
        <f t="shared" si="7"/>
        <v>0</v>
      </c>
    </row>
    <row r="59" spans="1:19" ht="15.6">
      <c r="A59">
        <v>17</v>
      </c>
      <c r="B59" s="82" t="s">
        <v>176</v>
      </c>
      <c r="C59" s="78">
        <v>64549.090000000026</v>
      </c>
      <c r="D59" s="78">
        <v>0</v>
      </c>
      <c r="E59" s="78">
        <v>309698.46999999997</v>
      </c>
      <c r="F59" s="78">
        <f t="shared" si="8"/>
        <v>374247.56</v>
      </c>
      <c r="G59" s="79">
        <v>323936.92</v>
      </c>
      <c r="I59" s="73">
        <v>415436.91</v>
      </c>
      <c r="J59" s="74">
        <v>41189.35</v>
      </c>
      <c r="K59" s="10">
        <f t="shared" si="5"/>
        <v>374247.56</v>
      </c>
      <c r="L59" s="75">
        <v>323936.90999999997</v>
      </c>
      <c r="M59" s="11"/>
      <c r="N59" s="21">
        <f t="shared" si="6"/>
        <v>0</v>
      </c>
      <c r="O59" s="277">
        <v>2812.789999999979</v>
      </c>
      <c r="P59" s="21">
        <f t="shared" si="7"/>
        <v>1.0000000009313226E-2</v>
      </c>
    </row>
    <row r="60" spans="1:19" ht="15.6">
      <c r="A60">
        <v>18</v>
      </c>
      <c r="B60" s="82" t="s">
        <v>177</v>
      </c>
      <c r="C60" s="78">
        <v>120485.17000000004</v>
      </c>
      <c r="D60" s="78">
        <v>0</v>
      </c>
      <c r="E60" s="78">
        <v>528412.94999999995</v>
      </c>
      <c r="F60" s="78">
        <f t="shared" si="8"/>
        <v>648898.12</v>
      </c>
      <c r="G60" s="79">
        <v>552572.82999999996</v>
      </c>
      <c r="I60" s="73">
        <v>706536.58</v>
      </c>
      <c r="J60" s="74">
        <v>57638.46</v>
      </c>
      <c r="K60" s="10">
        <f t="shared" si="5"/>
        <v>648898.12</v>
      </c>
      <c r="L60" s="75">
        <v>552572.82999999996</v>
      </c>
      <c r="M60" s="11"/>
      <c r="N60" s="21">
        <f t="shared" si="6"/>
        <v>0</v>
      </c>
      <c r="O60" s="277">
        <v>4665.3299999999581</v>
      </c>
      <c r="P60" s="21">
        <f t="shared" si="7"/>
        <v>0</v>
      </c>
      <c r="R60">
        <v>522924.26</v>
      </c>
      <c r="S60">
        <v>549007.96</v>
      </c>
    </row>
    <row r="61" spans="1:19" ht="15.6">
      <c r="A61">
        <v>19</v>
      </c>
      <c r="B61" s="82" t="s">
        <v>178</v>
      </c>
      <c r="C61" s="78">
        <v>19413.430000000022</v>
      </c>
      <c r="D61" s="78"/>
      <c r="E61" s="78">
        <v>216465.78</v>
      </c>
      <c r="F61" s="78">
        <f t="shared" si="8"/>
        <v>235879.21000000002</v>
      </c>
      <c r="G61" s="79">
        <v>202246.44</v>
      </c>
      <c r="I61" s="73">
        <v>260795.39</v>
      </c>
      <c r="J61" s="74">
        <v>24916.18</v>
      </c>
      <c r="K61" s="10">
        <f t="shared" si="5"/>
        <v>235879.21000000002</v>
      </c>
      <c r="L61" s="75">
        <v>202246.44</v>
      </c>
      <c r="M61" s="11"/>
      <c r="N61" s="21">
        <f t="shared" si="6"/>
        <v>0</v>
      </c>
      <c r="O61" s="277">
        <v>1349.539999999979</v>
      </c>
      <c r="P61" s="21">
        <f t="shared" si="7"/>
        <v>0</v>
      </c>
      <c r="R61">
        <v>502768.95</v>
      </c>
      <c r="S61">
        <v>3608.69</v>
      </c>
    </row>
    <row r="62" spans="1:19" ht="15.6">
      <c r="A62">
        <v>20</v>
      </c>
      <c r="B62" s="82" t="s">
        <v>179</v>
      </c>
      <c r="C62" s="78">
        <v>2633.539999999979</v>
      </c>
      <c r="D62" s="78">
        <v>0</v>
      </c>
      <c r="E62" s="78">
        <v>426644.82</v>
      </c>
      <c r="F62" s="78">
        <f t="shared" si="8"/>
        <v>429278.36</v>
      </c>
      <c r="G62" s="79">
        <v>366654.83</v>
      </c>
      <c r="I62" s="73">
        <v>475465.41</v>
      </c>
      <c r="J62" s="74">
        <v>46187.05</v>
      </c>
      <c r="K62" s="10">
        <f t="shared" si="5"/>
        <v>429278.36</v>
      </c>
      <c r="L62" s="75">
        <v>366654.83</v>
      </c>
      <c r="M62" s="11"/>
      <c r="N62" s="21">
        <f t="shared" si="6"/>
        <v>0</v>
      </c>
      <c r="O62" s="277">
        <v>2173.4000000000233</v>
      </c>
      <c r="P62" s="21">
        <f t="shared" si="7"/>
        <v>0</v>
      </c>
      <c r="R62">
        <f>R60-R61</f>
        <v>20155.309999999998</v>
      </c>
      <c r="S62">
        <f>S60-S61</f>
        <v>545399.27</v>
      </c>
    </row>
    <row r="63" spans="1:19" ht="15.6">
      <c r="A63">
        <v>21</v>
      </c>
      <c r="B63" s="82" t="s">
        <v>181</v>
      </c>
      <c r="C63" s="78">
        <v>12631.849999999977</v>
      </c>
      <c r="D63" s="78">
        <v>0</v>
      </c>
      <c r="E63" s="78">
        <v>291623.01</v>
      </c>
      <c r="F63" s="78">
        <f t="shared" si="8"/>
        <v>304254.86</v>
      </c>
      <c r="G63" s="79">
        <v>265746.49</v>
      </c>
      <c r="I63" s="73">
        <v>330942.93</v>
      </c>
      <c r="J63" s="74">
        <v>26688.07</v>
      </c>
      <c r="K63" s="10">
        <f t="shared" si="5"/>
        <v>304254.86</v>
      </c>
      <c r="L63" s="75">
        <v>265746.45</v>
      </c>
      <c r="M63" s="11"/>
      <c r="N63" s="21">
        <f t="shared" si="6"/>
        <v>0</v>
      </c>
      <c r="O63" s="277">
        <v>1762.9200000000419</v>
      </c>
      <c r="P63" s="21">
        <f t="shared" si="7"/>
        <v>3.9999999979045242E-2</v>
      </c>
      <c r="S63" s="1">
        <f>S62-R62</f>
        <v>525243.96</v>
      </c>
    </row>
    <row r="64" spans="1:19" ht="15.6">
      <c r="A64">
        <v>22</v>
      </c>
      <c r="B64" s="82" t="s">
        <v>182</v>
      </c>
      <c r="C64" s="78">
        <v>42099.170000000013</v>
      </c>
      <c r="D64" s="78">
        <v>0</v>
      </c>
      <c r="E64" s="78">
        <v>113316.25</v>
      </c>
      <c r="F64" s="78">
        <f t="shared" si="8"/>
        <v>155415.42000000001</v>
      </c>
      <c r="G64" s="79">
        <v>133696.06</v>
      </c>
      <c r="I64" s="73">
        <v>175329.45</v>
      </c>
      <c r="J64" s="74">
        <v>19914.03</v>
      </c>
      <c r="K64" s="10">
        <f t="shared" si="5"/>
        <v>155415.42000000001</v>
      </c>
      <c r="L64" s="75">
        <v>133696.04999999999</v>
      </c>
      <c r="M64" s="11"/>
      <c r="N64" s="21">
        <f t="shared" si="6"/>
        <v>0</v>
      </c>
      <c r="O64" s="277">
        <v>505.32999999998719</v>
      </c>
      <c r="P64" s="21">
        <f t="shared" si="7"/>
        <v>1.0000000009313226E-2</v>
      </c>
    </row>
    <row r="65" spans="1:16" ht="15.6">
      <c r="A65">
        <v>23</v>
      </c>
      <c r="B65" s="82" t="s">
        <v>187</v>
      </c>
      <c r="C65" s="78">
        <v>73260.149999999994</v>
      </c>
      <c r="D65" s="78">
        <v>0</v>
      </c>
      <c r="E65" s="78">
        <v>199666.33</v>
      </c>
      <c r="F65" s="78">
        <f t="shared" si="8"/>
        <v>272926.48</v>
      </c>
      <c r="G65" s="79">
        <v>228616.11</v>
      </c>
      <c r="I65" s="73">
        <v>295111.63</v>
      </c>
      <c r="J65" s="74">
        <v>22185.15</v>
      </c>
      <c r="K65" s="10">
        <f t="shared" si="5"/>
        <v>272926.48</v>
      </c>
      <c r="L65" s="75">
        <v>228616.11</v>
      </c>
      <c r="M65" s="11"/>
      <c r="N65" s="21">
        <f t="shared" si="6"/>
        <v>0</v>
      </c>
      <c r="O65" s="277">
        <v>720.85000000003492</v>
      </c>
      <c r="P65" s="22">
        <f t="shared" si="7"/>
        <v>0</v>
      </c>
    </row>
    <row r="66" spans="1:16" ht="15.6">
      <c r="A66">
        <v>24</v>
      </c>
      <c r="B66" s="82" t="s">
        <v>233</v>
      </c>
      <c r="C66" s="78">
        <v>42696.349999999977</v>
      </c>
      <c r="D66" s="78">
        <v>0</v>
      </c>
      <c r="E66" s="78">
        <v>602793.93000000005</v>
      </c>
      <c r="F66" s="78">
        <f t="shared" si="8"/>
        <v>645490.28</v>
      </c>
      <c r="G66" s="79">
        <v>544480.64</v>
      </c>
      <c r="I66" s="73">
        <v>707596.3</v>
      </c>
      <c r="J66" s="74">
        <v>62106.02</v>
      </c>
      <c r="K66" s="10">
        <f t="shared" si="5"/>
        <v>645490.28</v>
      </c>
      <c r="L66" s="75">
        <v>544480.55000000005</v>
      </c>
      <c r="M66" s="11"/>
      <c r="N66" s="21">
        <f t="shared" si="6"/>
        <v>0</v>
      </c>
      <c r="O66" s="277">
        <v>2104.8399999999674</v>
      </c>
      <c r="P66" s="22">
        <f t="shared" si="7"/>
        <v>8.999999996740371E-2</v>
      </c>
    </row>
    <row r="67" spans="1:16" ht="15.6">
      <c r="A67">
        <v>25</v>
      </c>
      <c r="B67" s="84" t="s">
        <v>240</v>
      </c>
      <c r="C67" s="78">
        <v>142412.97000000009</v>
      </c>
      <c r="D67" s="78"/>
      <c r="E67" s="78">
        <v>441261.86</v>
      </c>
      <c r="F67" s="78">
        <f t="shared" si="8"/>
        <v>583674.83000000007</v>
      </c>
      <c r="G67" s="79">
        <v>504597.12</v>
      </c>
      <c r="I67" s="73">
        <v>641674.93000000005</v>
      </c>
      <c r="J67" s="74">
        <v>58000.1</v>
      </c>
      <c r="K67" s="10">
        <f t="shared" si="5"/>
        <v>583674.83000000007</v>
      </c>
      <c r="L67" s="75">
        <v>504597.07</v>
      </c>
      <c r="M67" s="68"/>
      <c r="N67" s="22">
        <f t="shared" si="6"/>
        <v>0</v>
      </c>
      <c r="O67" s="277">
        <v>5036.7599999998929</v>
      </c>
      <c r="P67" s="22">
        <f t="shared" si="7"/>
        <v>4.9999999988358468E-2</v>
      </c>
    </row>
    <row r="68" spans="1:16" ht="15.6">
      <c r="B68" s="441" t="s">
        <v>245</v>
      </c>
      <c r="C68" s="78">
        <v>0</v>
      </c>
      <c r="D68" s="78"/>
      <c r="E68" s="78"/>
      <c r="F68" s="78">
        <f>C68+D68+E68</f>
        <v>0</v>
      </c>
      <c r="G68" s="79"/>
      <c r="I68" s="73"/>
      <c r="J68" s="74"/>
      <c r="K68" s="10">
        <f>I68-J68</f>
        <v>0</v>
      </c>
      <c r="L68" s="75"/>
      <c r="M68" s="68"/>
      <c r="N68" s="22">
        <f>F68-K68</f>
        <v>0</v>
      </c>
      <c r="O68" s="277">
        <v>0</v>
      </c>
      <c r="P68" s="22">
        <f>G68-L68</f>
        <v>0</v>
      </c>
    </row>
    <row r="69" spans="1:16" ht="15.6">
      <c r="B69" s="441" t="s">
        <v>357</v>
      </c>
      <c r="C69" s="78">
        <v>1825580.88</v>
      </c>
      <c r="D69" s="78">
        <v>48357.09</v>
      </c>
      <c r="E69" s="78">
        <v>98172.28</v>
      </c>
      <c r="F69" s="78">
        <f>C69+D69+E69</f>
        <v>1972110.25</v>
      </c>
      <c r="G69" s="79">
        <v>1515775.01</v>
      </c>
      <c r="I69" s="73">
        <v>2042651.95</v>
      </c>
      <c r="J69" s="74">
        <v>70541.7</v>
      </c>
      <c r="K69" s="10">
        <f>I69-J69</f>
        <v>1972110.25</v>
      </c>
      <c r="L69" s="75">
        <v>1515775.01</v>
      </c>
      <c r="M69" s="68"/>
      <c r="N69" s="22">
        <f>F69-K69</f>
        <v>0</v>
      </c>
      <c r="O69" s="277">
        <v>39451.060000000056</v>
      </c>
      <c r="P69" s="22">
        <f>G69-L69</f>
        <v>0</v>
      </c>
    </row>
    <row r="70" spans="1:16" ht="15.6">
      <c r="B70" s="441" t="s">
        <v>362</v>
      </c>
      <c r="C70" s="78">
        <v>37936.899999999965</v>
      </c>
      <c r="D70" s="78">
        <v>0</v>
      </c>
      <c r="E70" s="78">
        <v>358777.7</v>
      </c>
      <c r="F70" s="78">
        <f>C70+D70+E70</f>
        <v>396714.6</v>
      </c>
      <c r="G70" s="79">
        <v>338948.78</v>
      </c>
      <c r="I70" s="73">
        <v>416092.68</v>
      </c>
      <c r="J70" s="74">
        <v>19378.080000000002</v>
      </c>
      <c r="K70" s="10">
        <f>I70-J70</f>
        <v>396714.6</v>
      </c>
      <c r="L70" s="75">
        <v>338948.78</v>
      </c>
      <c r="M70" s="68"/>
      <c r="N70" s="22">
        <f>F70-K70</f>
        <v>0</v>
      </c>
      <c r="O70" s="277">
        <v>2474.9000000000233</v>
      </c>
      <c r="P70" s="22">
        <f>G70-L70</f>
        <v>0</v>
      </c>
    </row>
    <row r="71" spans="1:16" ht="15.6">
      <c r="B71" s="441" t="s">
        <v>361</v>
      </c>
      <c r="C71" s="78">
        <v>50249.06</v>
      </c>
      <c r="D71" s="78">
        <v>0</v>
      </c>
      <c r="E71" s="78">
        <v>372076.59</v>
      </c>
      <c r="F71" s="78">
        <f>C71+D71+E71</f>
        <v>422325.65</v>
      </c>
      <c r="G71" s="79">
        <v>366164.03</v>
      </c>
      <c r="I71" s="73">
        <v>461444.39</v>
      </c>
      <c r="J71" s="74">
        <v>39118.74</v>
      </c>
      <c r="K71" s="10">
        <f>I71-J71</f>
        <v>422325.65</v>
      </c>
      <c r="L71" s="75">
        <v>366164.08</v>
      </c>
      <c r="M71" s="68"/>
      <c r="N71" s="22">
        <f>F71-K71</f>
        <v>0</v>
      </c>
      <c r="O71" s="277">
        <v>2416.1999999999534</v>
      </c>
      <c r="P71" s="22">
        <f>G71-L71</f>
        <v>-4.9999999988358468E-2</v>
      </c>
    </row>
    <row r="72" spans="1:16" ht="16.2" thickBot="1">
      <c r="B72" s="441" t="s">
        <v>234</v>
      </c>
      <c r="C72" s="78">
        <v>0</v>
      </c>
      <c r="D72" s="78">
        <v>0</v>
      </c>
      <c r="E72" s="78">
        <v>0</v>
      </c>
      <c r="F72" s="78">
        <f>C72+D72+E72</f>
        <v>0</v>
      </c>
      <c r="G72" s="79">
        <v>0</v>
      </c>
      <c r="I72" s="73">
        <v>0</v>
      </c>
      <c r="J72" s="74">
        <v>0</v>
      </c>
      <c r="K72" s="10">
        <f>I72-J72</f>
        <v>0</v>
      </c>
      <c r="L72" s="75">
        <v>0</v>
      </c>
      <c r="M72" s="68"/>
      <c r="N72" s="22">
        <f>F72-K72</f>
        <v>0</v>
      </c>
      <c r="O72" s="277">
        <v>0</v>
      </c>
      <c r="P72" s="22">
        <f>G72-L72</f>
        <v>0</v>
      </c>
    </row>
    <row r="73" spans="1:16" ht="16.2" thickBot="1">
      <c r="B73" s="83" t="s">
        <v>194</v>
      </c>
      <c r="C73" s="92">
        <f>SUM(C43:C72)</f>
        <v>19402915.410000004</v>
      </c>
      <c r="D73" s="92">
        <f>SUM(D43:D72)</f>
        <v>3135622.8199999994</v>
      </c>
      <c r="E73" s="92">
        <f>SUM(E43:E72)</f>
        <v>17404901.929999996</v>
      </c>
      <c r="F73" s="92">
        <f>SUM(F43:F72)</f>
        <v>39943440.160000004</v>
      </c>
      <c r="G73" s="93">
        <f>SUM(G43:G72)</f>
        <v>32572062.630000003</v>
      </c>
      <c r="H73" s="88"/>
      <c r="I73" s="87">
        <f>SUM(I43:I72)</f>
        <v>42451090.789999992</v>
      </c>
      <c r="J73" s="87">
        <f>SUM(J43:J72)</f>
        <v>2507650.6300000004</v>
      </c>
      <c r="K73" s="87">
        <f>SUM(K43:K72)</f>
        <v>39943440.160000004</v>
      </c>
      <c r="L73" s="87">
        <f>SUM(L43:L72)</f>
        <v>32572061.494999997</v>
      </c>
      <c r="M73" s="88"/>
      <c r="N73" s="90">
        <f>SUM(N43:N67)</f>
        <v>0</v>
      </c>
      <c r="O73" s="424">
        <f>SUM(O43:O72)</f>
        <v>525264.42999999761</v>
      </c>
      <c r="P73" s="90">
        <f>SUM(P43:P67)</f>
        <v>1.1849999992700759</v>
      </c>
    </row>
    <row r="77" spans="1:16" ht="21.6" thickBot="1">
      <c r="B77" s="635" t="s">
        <v>161</v>
      </c>
      <c r="C77" s="635"/>
      <c r="D77" s="635"/>
      <c r="E77" s="635"/>
      <c r="F77" s="635"/>
      <c r="G77" s="635"/>
      <c r="I77" s="636" t="s">
        <v>149</v>
      </c>
      <c r="J77" s="636"/>
      <c r="K77" s="636"/>
      <c r="L77" s="636"/>
      <c r="M77" s="49"/>
      <c r="N77" s="23"/>
      <c r="O77" s="423"/>
      <c r="P77" s="23"/>
    </row>
    <row r="78" spans="1:16" ht="16.2" thickBot="1">
      <c r="B78" s="77" t="s">
        <v>34</v>
      </c>
      <c r="C78" s="80" t="s">
        <v>115</v>
      </c>
      <c r="D78" s="80" t="s">
        <v>21</v>
      </c>
      <c r="E78" s="80" t="s">
        <v>116</v>
      </c>
      <c r="F78" s="80" t="s">
        <v>162</v>
      </c>
      <c r="G78" s="81" t="s">
        <v>163</v>
      </c>
      <c r="H78" s="48" t="s">
        <v>2</v>
      </c>
      <c r="I78" s="26" t="s">
        <v>114</v>
      </c>
      <c r="J78" s="24" t="s">
        <v>164</v>
      </c>
      <c r="K78" s="24" t="s">
        <v>165</v>
      </c>
      <c r="L78" s="25" t="s">
        <v>166</v>
      </c>
      <c r="M78" s="85"/>
      <c r="N78" s="27" t="s">
        <v>167</v>
      </c>
      <c r="O78" s="423"/>
      <c r="P78" s="27" t="s">
        <v>168</v>
      </c>
    </row>
    <row r="79" spans="1:16" ht="15.6">
      <c r="A79">
        <v>1</v>
      </c>
      <c r="B79" s="82" t="s">
        <v>36</v>
      </c>
      <c r="C79" s="78">
        <v>3363349.7699999996</v>
      </c>
      <c r="D79" s="78">
        <v>531594.93000000005</v>
      </c>
      <c r="E79" s="78">
        <v>1263717.51</v>
      </c>
      <c r="F79" s="78">
        <f>C79+D79+E79</f>
        <v>5158662.21</v>
      </c>
      <c r="G79" s="79">
        <v>4146557.4</v>
      </c>
      <c r="I79" s="73">
        <v>5407249.7199999997</v>
      </c>
      <c r="J79" s="74">
        <v>248587.51</v>
      </c>
      <c r="K79" s="10">
        <f t="shared" ref="K79:K107" si="9">I79-J79</f>
        <v>5158662.21</v>
      </c>
      <c r="L79" s="74">
        <v>4146557.42</v>
      </c>
      <c r="M79" s="11"/>
      <c r="N79" s="21">
        <f t="shared" ref="N79:N107" si="10">F79-K79</f>
        <v>0</v>
      </c>
      <c r="O79" s="423">
        <v>86328.66</v>
      </c>
      <c r="P79" s="21">
        <f t="shared" ref="P79:P107" si="11">G79-L79</f>
        <v>-2.0000000018626451E-2</v>
      </c>
    </row>
    <row r="80" spans="1:16" ht="15.6">
      <c r="A80">
        <v>2</v>
      </c>
      <c r="B80" s="82" t="s">
        <v>9</v>
      </c>
      <c r="C80" s="78">
        <v>2517859.1300000004</v>
      </c>
      <c r="D80" s="78">
        <v>1324102.6100000001</v>
      </c>
      <c r="E80" s="78">
        <v>392914.6</v>
      </c>
      <c r="F80" s="78">
        <f t="shared" ref="F80:F107" si="12">C80+D80+E80</f>
        <v>4234876.34</v>
      </c>
      <c r="G80" s="79">
        <v>3356743.41</v>
      </c>
      <c r="I80" s="73">
        <v>4427817.63</v>
      </c>
      <c r="J80" s="74">
        <v>192941.29</v>
      </c>
      <c r="K80" s="10">
        <f t="shared" si="9"/>
        <v>4234876.34</v>
      </c>
      <c r="L80" s="75">
        <v>3356743.41</v>
      </c>
      <c r="M80" s="11"/>
      <c r="N80" s="21">
        <f t="shared" si="10"/>
        <v>0</v>
      </c>
      <c r="O80" s="423">
        <v>66801.06</v>
      </c>
      <c r="P80" s="21">
        <f t="shared" si="11"/>
        <v>0</v>
      </c>
    </row>
    <row r="81" spans="1:16" ht="15.6">
      <c r="A81">
        <v>3</v>
      </c>
      <c r="B81" s="82" t="s">
        <v>25</v>
      </c>
      <c r="C81" s="78">
        <v>979038.99999999953</v>
      </c>
      <c r="D81" s="78">
        <v>402991.56</v>
      </c>
      <c r="E81" s="78">
        <v>2306132.66</v>
      </c>
      <c r="F81" s="78">
        <f t="shared" si="12"/>
        <v>3688163.2199999997</v>
      </c>
      <c r="G81" s="79">
        <v>3060625.54</v>
      </c>
      <c r="I81" s="73">
        <v>3997485.65</v>
      </c>
      <c r="J81" s="74">
        <v>309322.43</v>
      </c>
      <c r="K81" s="10">
        <f t="shared" si="9"/>
        <v>3688163.2199999997</v>
      </c>
      <c r="L81" s="75">
        <v>3060625.54</v>
      </c>
      <c r="M81" s="11"/>
      <c r="N81" s="21">
        <f t="shared" si="10"/>
        <v>0</v>
      </c>
      <c r="O81" s="423">
        <v>31314.760000000002</v>
      </c>
      <c r="P81" s="21">
        <f t="shared" si="11"/>
        <v>0</v>
      </c>
    </row>
    <row r="82" spans="1:16" ht="15.6">
      <c r="A82">
        <v>4</v>
      </c>
      <c r="B82" s="82" t="s">
        <v>160</v>
      </c>
      <c r="C82" s="78">
        <v>3477752.72</v>
      </c>
      <c r="D82" s="78">
        <v>25190.37</v>
      </c>
      <c r="E82" s="78">
        <v>3501516.52</v>
      </c>
      <c r="F82" s="78">
        <f t="shared" si="12"/>
        <v>7004459.6100000003</v>
      </c>
      <c r="G82" s="79">
        <v>5757854.2000000002</v>
      </c>
      <c r="I82" s="73">
        <v>7421401.5300000003</v>
      </c>
      <c r="J82" s="74">
        <v>416941.92</v>
      </c>
      <c r="K82" s="10">
        <f t="shared" si="9"/>
        <v>7004459.6100000003</v>
      </c>
      <c r="L82" s="75">
        <v>5757854.1900000004</v>
      </c>
      <c r="M82" s="11"/>
      <c r="N82" s="21">
        <f t="shared" si="10"/>
        <v>0</v>
      </c>
      <c r="O82" s="423">
        <v>83293.47</v>
      </c>
      <c r="P82" s="46">
        <f t="shared" si="11"/>
        <v>9.9999997764825821E-3</v>
      </c>
    </row>
    <row r="83" spans="1:16" ht="15.6">
      <c r="A83">
        <v>5</v>
      </c>
      <c r="B83" s="82" t="s">
        <v>139</v>
      </c>
      <c r="C83" s="78">
        <v>29421.010000000009</v>
      </c>
      <c r="D83" s="78">
        <v>0</v>
      </c>
      <c r="E83" s="78">
        <v>1766152.64</v>
      </c>
      <c r="F83" s="78">
        <f t="shared" si="12"/>
        <v>1795573.65</v>
      </c>
      <c r="G83" s="79">
        <v>1550681.36</v>
      </c>
      <c r="I83" s="73">
        <v>1990345.88</v>
      </c>
      <c r="J83" s="74">
        <v>194772.23</v>
      </c>
      <c r="K83" s="10">
        <f t="shared" si="9"/>
        <v>1795573.65</v>
      </c>
      <c r="L83" s="75">
        <v>1550681.32</v>
      </c>
      <c r="M83" s="11"/>
      <c r="N83" s="21">
        <f t="shared" si="10"/>
        <v>0</v>
      </c>
      <c r="O83" s="423">
        <v>7330.84</v>
      </c>
      <c r="P83" s="21">
        <f t="shared" si="11"/>
        <v>4.0000000037252903E-2</v>
      </c>
    </row>
    <row r="84" spans="1:16" ht="15.6">
      <c r="A84">
        <v>6</v>
      </c>
      <c r="B84" s="82" t="s">
        <v>37</v>
      </c>
      <c r="C84" s="78">
        <v>42975.229999999996</v>
      </c>
      <c r="D84" s="78">
        <v>0</v>
      </c>
      <c r="E84" s="78">
        <v>108918.48</v>
      </c>
      <c r="F84" s="78">
        <f t="shared" si="12"/>
        <v>151893.71</v>
      </c>
      <c r="G84" s="79">
        <v>132498.17000000001</v>
      </c>
      <c r="I84" s="73">
        <v>172841.53</v>
      </c>
      <c r="J84" s="74">
        <v>20947.82</v>
      </c>
      <c r="K84" s="10">
        <f t="shared" si="9"/>
        <v>151893.71</v>
      </c>
      <c r="L84" s="75">
        <v>132498.17000000001</v>
      </c>
      <c r="M84" s="11"/>
      <c r="N84" s="21">
        <f t="shared" si="10"/>
        <v>0</v>
      </c>
      <c r="O84" s="423">
        <v>1329.99</v>
      </c>
      <c r="P84" s="21">
        <f t="shared" si="11"/>
        <v>0</v>
      </c>
    </row>
    <row r="85" spans="1:16" ht="15.6">
      <c r="A85">
        <v>7</v>
      </c>
      <c r="B85" s="82" t="s">
        <v>133</v>
      </c>
      <c r="C85" s="78">
        <v>11908.510000000009</v>
      </c>
      <c r="D85" s="78">
        <v>0</v>
      </c>
      <c r="E85" s="78">
        <v>208239.47</v>
      </c>
      <c r="F85" s="78">
        <f t="shared" si="12"/>
        <v>220147.98</v>
      </c>
      <c r="G85" s="79">
        <v>189444.07</v>
      </c>
      <c r="I85" s="73">
        <v>245029.5</v>
      </c>
      <c r="J85" s="74">
        <v>24881.52</v>
      </c>
      <c r="K85" s="10">
        <f t="shared" si="9"/>
        <v>220147.98</v>
      </c>
      <c r="L85" s="75">
        <v>189444.04</v>
      </c>
      <c r="M85" s="11"/>
      <c r="N85" s="21">
        <f t="shared" si="10"/>
        <v>0</v>
      </c>
      <c r="O85" s="423">
        <v>834.12</v>
      </c>
      <c r="P85" s="21">
        <f t="shared" si="11"/>
        <v>2.9999999998835847E-2</v>
      </c>
    </row>
    <row r="86" spans="1:16" ht="15.6">
      <c r="A86">
        <v>8</v>
      </c>
      <c r="B86" s="82" t="s">
        <v>123</v>
      </c>
      <c r="C86" s="78">
        <v>-943.89999999996508</v>
      </c>
      <c r="D86" s="78">
        <v>0</v>
      </c>
      <c r="E86" s="78">
        <v>466406.18</v>
      </c>
      <c r="F86" s="78">
        <f t="shared" si="12"/>
        <v>465462.28</v>
      </c>
      <c r="G86" s="79">
        <v>394941.19</v>
      </c>
      <c r="I86" s="73">
        <v>516292.83</v>
      </c>
      <c r="J86" s="74">
        <v>50830.55</v>
      </c>
      <c r="K86" s="10">
        <f t="shared" si="9"/>
        <v>465462.28</v>
      </c>
      <c r="L86" s="75">
        <v>394941.15</v>
      </c>
      <c r="M86" s="11"/>
      <c r="N86" s="21">
        <f t="shared" si="10"/>
        <v>0</v>
      </c>
      <c r="O86" s="423">
        <v>2178.06</v>
      </c>
      <c r="P86" s="21">
        <f t="shared" si="11"/>
        <v>3.9999999979045242E-2</v>
      </c>
    </row>
    <row r="87" spans="1:16" ht="15.6">
      <c r="A87">
        <v>9</v>
      </c>
      <c r="B87" s="82" t="s">
        <v>145</v>
      </c>
      <c r="C87" s="78">
        <v>603524.36000000034</v>
      </c>
      <c r="D87" s="78">
        <v>3291.98</v>
      </c>
      <c r="E87" s="78">
        <v>1397712.88</v>
      </c>
      <c r="F87" s="78">
        <f t="shared" si="12"/>
        <v>2004529.2200000002</v>
      </c>
      <c r="G87" s="79">
        <v>1670161.12</v>
      </c>
      <c r="I87" s="73">
        <v>2160833.41</v>
      </c>
      <c r="J87" s="74">
        <v>156304.19</v>
      </c>
      <c r="K87" s="10">
        <f t="shared" si="9"/>
        <v>2004529.2200000002</v>
      </c>
      <c r="L87" s="75">
        <v>1670161.09</v>
      </c>
      <c r="M87" s="11"/>
      <c r="N87" s="21">
        <f t="shared" si="10"/>
        <v>0</v>
      </c>
      <c r="O87" s="423">
        <v>28478.79</v>
      </c>
      <c r="P87" s="21">
        <f t="shared" si="11"/>
        <v>3.0000000027939677E-2</v>
      </c>
    </row>
    <row r="88" spans="1:16" ht="15.6">
      <c r="A88">
        <v>10</v>
      </c>
      <c r="B88" s="82" t="s">
        <v>124</v>
      </c>
      <c r="C88" s="78">
        <v>127288.46999999999</v>
      </c>
      <c r="D88" s="78">
        <v>177.13</v>
      </c>
      <c r="E88" s="78">
        <v>111608.33</v>
      </c>
      <c r="F88" s="78">
        <f t="shared" si="12"/>
        <v>239073.93</v>
      </c>
      <c r="G88" s="79">
        <v>204191.49</v>
      </c>
      <c r="I88" s="73">
        <v>262047.21</v>
      </c>
      <c r="J88" s="74">
        <v>22973.279999999999</v>
      </c>
      <c r="K88" s="10">
        <f t="shared" si="9"/>
        <v>239073.93</v>
      </c>
      <c r="L88" s="75">
        <v>204191.43</v>
      </c>
      <c r="M88" s="11"/>
      <c r="N88" s="21">
        <f t="shared" si="10"/>
        <v>0</v>
      </c>
      <c r="O88" s="423">
        <v>1731.79</v>
      </c>
      <c r="P88" s="21">
        <f t="shared" si="11"/>
        <v>5.9999999997671694E-2</v>
      </c>
    </row>
    <row r="89" spans="1:16" ht="15.6">
      <c r="A89">
        <v>11</v>
      </c>
      <c r="B89" s="82" t="s">
        <v>169</v>
      </c>
      <c r="C89" s="78">
        <v>2352474.88</v>
      </c>
      <c r="D89" s="78">
        <v>5486.91</v>
      </c>
      <c r="E89" s="78">
        <v>1149303.1200000001</v>
      </c>
      <c r="F89" s="78">
        <f t="shared" si="12"/>
        <v>3507264.91</v>
      </c>
      <c r="G89" s="79">
        <v>2770651.95</v>
      </c>
      <c r="I89" s="73">
        <v>3659135.81</v>
      </c>
      <c r="J89" s="74">
        <v>151870.9</v>
      </c>
      <c r="K89" s="10">
        <f t="shared" si="9"/>
        <v>3507264.91</v>
      </c>
      <c r="L89" s="75">
        <v>2770651.91</v>
      </c>
      <c r="M89" s="11"/>
      <c r="N89" s="21">
        <f t="shared" si="10"/>
        <v>0</v>
      </c>
      <c r="O89" s="423">
        <v>57236.21</v>
      </c>
      <c r="P89" s="46">
        <f t="shared" si="11"/>
        <v>4.0000000037252903E-2</v>
      </c>
    </row>
    <row r="90" spans="1:16" ht="15.6">
      <c r="A90">
        <v>12</v>
      </c>
      <c r="B90" s="82" t="s">
        <v>243</v>
      </c>
      <c r="C90" s="78">
        <v>1003508.3400000002</v>
      </c>
      <c r="D90" s="78">
        <v>89832.26</v>
      </c>
      <c r="E90" s="78">
        <v>639955.31999999995</v>
      </c>
      <c r="F90" s="78">
        <f t="shared" si="12"/>
        <v>1733295.92</v>
      </c>
      <c r="G90" s="79">
        <v>1383631.33</v>
      </c>
      <c r="I90" s="73">
        <v>1802740.57</v>
      </c>
      <c r="J90" s="74">
        <v>69444.649999999994</v>
      </c>
      <c r="K90" s="10">
        <f t="shared" si="9"/>
        <v>1733295.9200000002</v>
      </c>
      <c r="L90" s="75">
        <v>1383631.32</v>
      </c>
      <c r="M90" s="11"/>
      <c r="N90" s="21">
        <f t="shared" si="10"/>
        <v>0</v>
      </c>
      <c r="O90" s="423">
        <v>30784.66</v>
      </c>
      <c r="P90" s="21">
        <f t="shared" si="11"/>
        <v>1.0000000009313226E-2</v>
      </c>
    </row>
    <row r="91" spans="1:16" ht="15.6">
      <c r="A91">
        <v>13</v>
      </c>
      <c r="B91" s="82" t="s">
        <v>175</v>
      </c>
      <c r="C91" s="78">
        <v>2837223.81</v>
      </c>
      <c r="D91" s="78">
        <v>829599.18</v>
      </c>
      <c r="E91" s="78">
        <v>961807.38</v>
      </c>
      <c r="F91" s="78">
        <f t="shared" si="12"/>
        <v>4628630.37</v>
      </c>
      <c r="G91" s="79">
        <v>3669554.91</v>
      </c>
      <c r="H91" s="7"/>
      <c r="I91" s="73">
        <v>4812798.28</v>
      </c>
      <c r="J91" s="74">
        <v>184167.91</v>
      </c>
      <c r="K91" s="10">
        <f t="shared" si="9"/>
        <v>4628630.37</v>
      </c>
      <c r="L91" s="75">
        <v>3669554.91</v>
      </c>
      <c r="M91" s="11"/>
      <c r="N91" s="21">
        <f t="shared" si="10"/>
        <v>0</v>
      </c>
      <c r="O91" s="423">
        <v>77515.960000000006</v>
      </c>
      <c r="P91" s="21">
        <f t="shared" si="11"/>
        <v>0</v>
      </c>
    </row>
    <row r="92" spans="1:16" ht="15.6">
      <c r="A92">
        <v>14</v>
      </c>
      <c r="B92" s="82" t="s">
        <v>170</v>
      </c>
      <c r="C92" s="78">
        <v>462699.32</v>
      </c>
      <c r="D92" s="78">
        <v>37337.67</v>
      </c>
      <c r="E92" s="78">
        <v>26873.87</v>
      </c>
      <c r="F92" s="78">
        <f t="shared" si="12"/>
        <v>526910.86</v>
      </c>
      <c r="G92" s="79">
        <v>397657.72</v>
      </c>
      <c r="I92" s="73">
        <v>530606.92000000004</v>
      </c>
      <c r="J92" s="74">
        <v>3696.06</v>
      </c>
      <c r="K92" s="10">
        <f t="shared" si="9"/>
        <v>526910.86</v>
      </c>
      <c r="L92" s="75">
        <v>395755.08</v>
      </c>
      <c r="M92" s="11"/>
      <c r="N92" s="21">
        <f t="shared" si="10"/>
        <v>0</v>
      </c>
      <c r="O92" s="423">
        <v>9747.2200000000012</v>
      </c>
      <c r="P92" s="21">
        <f t="shared" si="11"/>
        <v>1902.6399999999558</v>
      </c>
    </row>
    <row r="93" spans="1:16" ht="15.6">
      <c r="A93">
        <v>15</v>
      </c>
      <c r="B93" s="82" t="s">
        <v>203</v>
      </c>
      <c r="C93" s="78">
        <v>1203388.9999999998</v>
      </c>
      <c r="D93" s="78">
        <v>56329.35</v>
      </c>
      <c r="E93" s="78">
        <v>734339.46</v>
      </c>
      <c r="F93" s="78">
        <f t="shared" si="12"/>
        <v>1994057.8099999998</v>
      </c>
      <c r="G93" s="79">
        <v>1615595.68</v>
      </c>
      <c r="I93" s="73">
        <v>2101098.15</v>
      </c>
      <c r="J93" s="74">
        <v>107040.34</v>
      </c>
      <c r="K93" s="10">
        <f t="shared" si="9"/>
        <v>1994057.8099999998</v>
      </c>
      <c r="L93" s="75">
        <v>1615595.68</v>
      </c>
      <c r="M93" s="11"/>
      <c r="N93" s="21">
        <f t="shared" si="10"/>
        <v>0</v>
      </c>
      <c r="O93" s="423">
        <v>32912.259999999995</v>
      </c>
      <c r="P93" s="21">
        <f t="shared" si="11"/>
        <v>0</v>
      </c>
    </row>
    <row r="94" spans="1:16" ht="15.6">
      <c r="A94">
        <v>16</v>
      </c>
      <c r="B94" s="82" t="s">
        <v>172</v>
      </c>
      <c r="C94" s="78">
        <v>217530.25</v>
      </c>
      <c r="D94" s="78">
        <v>0</v>
      </c>
      <c r="E94" s="78">
        <v>0</v>
      </c>
      <c r="F94" s="78">
        <f t="shared" si="12"/>
        <v>217530.25</v>
      </c>
      <c r="G94" s="79">
        <v>179305.95</v>
      </c>
      <c r="I94" s="73">
        <v>251015.94</v>
      </c>
      <c r="J94" s="74">
        <v>33485.69</v>
      </c>
      <c r="K94" s="10">
        <f t="shared" si="9"/>
        <v>217530.25</v>
      </c>
      <c r="L94" s="75">
        <v>179305.95</v>
      </c>
      <c r="M94" s="11"/>
      <c r="N94" s="21">
        <f t="shared" si="10"/>
        <v>0</v>
      </c>
      <c r="O94" s="423">
        <v>16853.060000000001</v>
      </c>
      <c r="P94" s="21">
        <f t="shared" si="11"/>
        <v>0</v>
      </c>
    </row>
    <row r="95" spans="1:16" ht="15.6">
      <c r="A95">
        <v>17</v>
      </c>
      <c r="B95" s="82" t="s">
        <v>176</v>
      </c>
      <c r="C95" s="78">
        <v>52193.719999999972</v>
      </c>
      <c r="D95" s="78">
        <v>0</v>
      </c>
      <c r="E95" s="78">
        <v>359661.03</v>
      </c>
      <c r="F95" s="78">
        <f t="shared" si="12"/>
        <v>411854.75</v>
      </c>
      <c r="G95" s="79">
        <v>357142.34</v>
      </c>
      <c r="I95" s="73">
        <v>458121.17</v>
      </c>
      <c r="J95" s="74">
        <v>46266.42</v>
      </c>
      <c r="K95" s="10">
        <f t="shared" si="9"/>
        <v>411854.75</v>
      </c>
      <c r="L95" s="75">
        <v>357142.31</v>
      </c>
      <c r="M95" s="11"/>
      <c r="N95" s="21">
        <f t="shared" si="10"/>
        <v>0</v>
      </c>
      <c r="O95" s="277">
        <v>3738.61</v>
      </c>
      <c r="P95" s="21">
        <f t="shared" si="11"/>
        <v>3.0000000027939677E-2</v>
      </c>
    </row>
    <row r="96" spans="1:16" ht="15.6">
      <c r="A96">
        <v>18</v>
      </c>
      <c r="B96" s="82" t="s">
        <v>177</v>
      </c>
      <c r="C96" s="78">
        <v>87697.89000000013</v>
      </c>
      <c r="D96" s="78">
        <v>0</v>
      </c>
      <c r="E96" s="78">
        <v>574580.71</v>
      </c>
      <c r="F96" s="78">
        <f t="shared" si="12"/>
        <v>662278.60000000009</v>
      </c>
      <c r="G96" s="79">
        <v>545005.15</v>
      </c>
      <c r="I96" s="73">
        <v>708876.04</v>
      </c>
      <c r="J96" s="74">
        <v>46597.440000000002</v>
      </c>
      <c r="K96" s="10">
        <f t="shared" si="9"/>
        <v>662278.60000000009</v>
      </c>
      <c r="L96" s="75">
        <v>545005.15</v>
      </c>
      <c r="M96" s="11"/>
      <c r="N96" s="21">
        <f t="shared" si="10"/>
        <v>0</v>
      </c>
      <c r="O96" s="277">
        <v>3542.27</v>
      </c>
      <c r="P96" s="21">
        <f t="shared" si="11"/>
        <v>0</v>
      </c>
    </row>
    <row r="97" spans="1:16" ht="15.6">
      <c r="A97">
        <v>19</v>
      </c>
      <c r="B97" s="82" t="s">
        <v>178</v>
      </c>
      <c r="C97" s="78">
        <v>15243.390000000014</v>
      </c>
      <c r="D97" s="78">
        <v>0</v>
      </c>
      <c r="E97" s="78">
        <v>156877.37</v>
      </c>
      <c r="F97" s="78">
        <f t="shared" si="12"/>
        <v>172120.76</v>
      </c>
      <c r="G97" s="79">
        <v>146950.32</v>
      </c>
      <c r="I97" s="73">
        <v>187854.13</v>
      </c>
      <c r="J97" s="74">
        <v>15733.37</v>
      </c>
      <c r="K97" s="10">
        <f t="shared" si="9"/>
        <v>172120.76</v>
      </c>
      <c r="L97" s="75">
        <v>146490.82999999999</v>
      </c>
      <c r="M97" s="11"/>
      <c r="N97" s="21">
        <f t="shared" si="10"/>
        <v>0</v>
      </c>
      <c r="O97" s="277">
        <v>910.48</v>
      </c>
      <c r="P97" s="21">
        <f t="shared" si="11"/>
        <v>459.49000000001979</v>
      </c>
    </row>
    <row r="98" spans="1:16" ht="15.6">
      <c r="A98">
        <v>20</v>
      </c>
      <c r="B98" s="82" t="s">
        <v>179</v>
      </c>
      <c r="C98" s="78">
        <v>1025.640000000014</v>
      </c>
      <c r="D98" s="78"/>
      <c r="E98" s="78">
        <v>490690.42</v>
      </c>
      <c r="F98" s="78">
        <f t="shared" si="12"/>
        <v>491716.06</v>
      </c>
      <c r="G98" s="79">
        <v>421096.09</v>
      </c>
      <c r="I98" s="73">
        <v>546076.99</v>
      </c>
      <c r="J98" s="74">
        <v>54360.93</v>
      </c>
      <c r="K98" s="10">
        <f t="shared" si="9"/>
        <v>491716.06</v>
      </c>
      <c r="L98" s="75">
        <v>421096.09</v>
      </c>
      <c r="M98" s="11"/>
      <c r="N98" s="21">
        <f t="shared" si="10"/>
        <v>0</v>
      </c>
      <c r="O98" s="277">
        <v>1535.47</v>
      </c>
      <c r="P98" s="21">
        <f t="shared" si="11"/>
        <v>0</v>
      </c>
    </row>
    <row r="99" spans="1:16" ht="15.6">
      <c r="A99">
        <v>21</v>
      </c>
      <c r="B99" s="82" t="s">
        <v>181</v>
      </c>
      <c r="C99" s="78">
        <v>14610.61</v>
      </c>
      <c r="D99" s="78"/>
      <c r="E99" s="78">
        <v>130206.04</v>
      </c>
      <c r="F99" s="78">
        <f t="shared" si="12"/>
        <v>144816.65</v>
      </c>
      <c r="G99" s="79">
        <v>126109.77</v>
      </c>
      <c r="I99" s="73">
        <v>160264.53</v>
      </c>
      <c r="J99" s="74">
        <v>15447.88</v>
      </c>
      <c r="K99" s="10">
        <f t="shared" si="9"/>
        <v>144816.65</v>
      </c>
      <c r="L99" s="75">
        <v>126109.77</v>
      </c>
      <c r="M99" s="11"/>
      <c r="N99" s="21">
        <f t="shared" si="10"/>
        <v>0</v>
      </c>
      <c r="O99" s="277">
        <v>582.5200000000001</v>
      </c>
      <c r="P99" s="21">
        <f t="shared" si="11"/>
        <v>0</v>
      </c>
    </row>
    <row r="100" spans="1:16" ht="15.6">
      <c r="A100">
        <v>22</v>
      </c>
      <c r="B100" s="82" t="s">
        <v>182</v>
      </c>
      <c r="C100" s="78">
        <v>20229.040000000008</v>
      </c>
      <c r="D100" s="78">
        <v>0</v>
      </c>
      <c r="E100" s="78">
        <v>123292.53</v>
      </c>
      <c r="F100" s="78">
        <f t="shared" si="12"/>
        <v>143521.57</v>
      </c>
      <c r="G100" s="79">
        <v>123168.99</v>
      </c>
      <c r="I100" s="73">
        <v>160023.54</v>
      </c>
      <c r="J100" s="74">
        <v>16501.97</v>
      </c>
      <c r="K100" s="10">
        <f t="shared" si="9"/>
        <v>143521.57</v>
      </c>
      <c r="L100" s="75">
        <v>123168.96000000001</v>
      </c>
      <c r="M100" s="11"/>
      <c r="N100" s="21">
        <f t="shared" si="10"/>
        <v>0</v>
      </c>
      <c r="O100" s="277">
        <v>748.84</v>
      </c>
      <c r="P100" s="21">
        <f t="shared" si="11"/>
        <v>2.9999999998835847E-2</v>
      </c>
    </row>
    <row r="101" spans="1:16" ht="15.6">
      <c r="A101">
        <v>23</v>
      </c>
      <c r="B101" s="82" t="s">
        <v>187</v>
      </c>
      <c r="C101" s="78">
        <v>73189.840000000026</v>
      </c>
      <c r="D101" s="78">
        <v>0</v>
      </c>
      <c r="E101" s="78">
        <v>194713.37</v>
      </c>
      <c r="F101" s="78">
        <f t="shared" si="12"/>
        <v>267903.21000000002</v>
      </c>
      <c r="G101" s="79">
        <v>225520.82</v>
      </c>
      <c r="I101" s="73">
        <v>289538.02</v>
      </c>
      <c r="J101" s="74">
        <v>21634.81</v>
      </c>
      <c r="K101" s="10">
        <f t="shared" si="9"/>
        <v>267903.21000000002</v>
      </c>
      <c r="L101" s="75">
        <v>225520.82</v>
      </c>
      <c r="M101" s="11"/>
      <c r="N101" s="21">
        <f t="shared" si="10"/>
        <v>0</v>
      </c>
      <c r="O101" s="277">
        <v>791.16</v>
      </c>
      <c r="P101" s="22">
        <f t="shared" si="11"/>
        <v>0</v>
      </c>
    </row>
    <row r="102" spans="1:16" ht="15.6">
      <c r="A102">
        <v>24</v>
      </c>
      <c r="B102" s="82" t="s">
        <v>233</v>
      </c>
      <c r="C102" s="78">
        <v>30861.130000000005</v>
      </c>
      <c r="D102" s="78">
        <v>0</v>
      </c>
      <c r="E102" s="78">
        <v>333930.19</v>
      </c>
      <c r="F102" s="78">
        <f t="shared" si="12"/>
        <v>364791.32</v>
      </c>
      <c r="G102" s="79">
        <v>314272.71000000002</v>
      </c>
      <c r="I102" s="73">
        <v>404807.58</v>
      </c>
      <c r="J102" s="74">
        <v>40016.26</v>
      </c>
      <c r="K102" s="10">
        <f t="shared" si="9"/>
        <v>364791.32</v>
      </c>
      <c r="L102" s="75">
        <v>314272.56</v>
      </c>
      <c r="M102" s="11"/>
      <c r="N102" s="21">
        <f t="shared" si="10"/>
        <v>0</v>
      </c>
      <c r="O102" s="277">
        <v>1307.8899999999999</v>
      </c>
      <c r="P102" s="22">
        <f t="shared" si="11"/>
        <v>0.15000000002328306</v>
      </c>
    </row>
    <row r="103" spans="1:16" ht="15.6">
      <c r="A103">
        <v>25</v>
      </c>
      <c r="B103" s="82" t="s">
        <v>240</v>
      </c>
      <c r="C103" s="78">
        <v>108385.59999999998</v>
      </c>
      <c r="D103" s="78">
        <v>0</v>
      </c>
      <c r="E103" s="78">
        <v>476526.64</v>
      </c>
      <c r="F103" s="78">
        <f t="shared" si="12"/>
        <v>584912.24</v>
      </c>
      <c r="G103" s="79">
        <v>504359.54</v>
      </c>
      <c r="I103" s="73">
        <v>641219.71</v>
      </c>
      <c r="J103" s="74">
        <v>56307.47</v>
      </c>
      <c r="K103" s="10">
        <f t="shared" si="9"/>
        <v>584912.24</v>
      </c>
      <c r="L103" s="75">
        <v>504359.54</v>
      </c>
      <c r="M103" s="11"/>
      <c r="N103" s="21">
        <f t="shared" si="10"/>
        <v>0</v>
      </c>
      <c r="O103" s="277">
        <v>4972.1099999999997</v>
      </c>
      <c r="P103" s="22">
        <f t="shared" si="11"/>
        <v>0</v>
      </c>
    </row>
    <row r="104" spans="1:16" ht="15.6">
      <c r="B104" s="82" t="s">
        <v>245</v>
      </c>
      <c r="C104" s="78">
        <v>0</v>
      </c>
      <c r="D104" s="78"/>
      <c r="E104" s="78"/>
      <c r="F104" s="78">
        <f t="shared" si="12"/>
        <v>0</v>
      </c>
      <c r="G104" s="79"/>
      <c r="I104" s="73"/>
      <c r="J104" s="74"/>
      <c r="K104" s="10">
        <f t="shared" si="9"/>
        <v>0</v>
      </c>
      <c r="L104" s="75"/>
      <c r="M104" s="11"/>
      <c r="N104" s="21">
        <f t="shared" si="10"/>
        <v>0</v>
      </c>
      <c r="O104" s="277"/>
      <c r="P104" s="22">
        <f t="shared" si="11"/>
        <v>0</v>
      </c>
    </row>
    <row r="105" spans="1:16" ht="15.6">
      <c r="B105" s="82" t="s">
        <v>357</v>
      </c>
      <c r="C105" s="78">
        <v>2612974.33</v>
      </c>
      <c r="D105" s="78">
        <v>45376.38</v>
      </c>
      <c r="E105" s="78">
        <v>130110.54</v>
      </c>
      <c r="F105" s="78">
        <f t="shared" si="12"/>
        <v>2788461.25</v>
      </c>
      <c r="G105" s="79">
        <v>2141396.33</v>
      </c>
      <c r="I105" s="73">
        <v>2893472.63</v>
      </c>
      <c r="J105" s="74">
        <v>105011.38</v>
      </c>
      <c r="K105" s="10">
        <f t="shared" si="9"/>
        <v>2788461.25</v>
      </c>
      <c r="L105" s="75">
        <v>2141396.33</v>
      </c>
      <c r="M105" s="11"/>
      <c r="N105" s="21">
        <f t="shared" si="10"/>
        <v>0</v>
      </c>
      <c r="O105" s="277">
        <v>63239.61</v>
      </c>
      <c r="P105" s="22">
        <f t="shared" si="11"/>
        <v>0</v>
      </c>
    </row>
    <row r="106" spans="1:16" ht="16.2" thickBot="1">
      <c r="B106" s="82" t="s">
        <v>362</v>
      </c>
      <c r="C106" s="78">
        <v>24456.839999999967</v>
      </c>
      <c r="D106" s="78">
        <v>0</v>
      </c>
      <c r="E106" s="78">
        <v>293891.08</v>
      </c>
      <c r="F106" s="78">
        <f t="shared" si="12"/>
        <v>318347.92</v>
      </c>
      <c r="G106" s="79">
        <v>275586.96000000002</v>
      </c>
      <c r="I106" s="73">
        <v>338183.88</v>
      </c>
      <c r="J106" s="74">
        <v>19835.96</v>
      </c>
      <c r="K106" s="10">
        <f t="shared" si="9"/>
        <v>318347.92</v>
      </c>
      <c r="L106" s="75">
        <v>275586.96000000002</v>
      </c>
      <c r="M106" s="11"/>
      <c r="N106" s="21">
        <f t="shared" si="10"/>
        <v>0</v>
      </c>
      <c r="O106" s="277">
        <v>1118.55</v>
      </c>
      <c r="P106" s="22">
        <f t="shared" si="11"/>
        <v>0</v>
      </c>
    </row>
    <row r="107" spans="1:16" ht="16.2" thickBot="1">
      <c r="B107" s="83" t="s">
        <v>361</v>
      </c>
      <c r="C107" s="92">
        <v>58874.350000000035</v>
      </c>
      <c r="D107" s="92">
        <v>0</v>
      </c>
      <c r="E107" s="92">
        <v>411628.12</v>
      </c>
      <c r="F107" s="78">
        <f t="shared" si="12"/>
        <v>470502.47000000003</v>
      </c>
      <c r="G107" s="92">
        <v>404515.94</v>
      </c>
      <c r="H107" s="88"/>
      <c r="I107" s="89">
        <v>511897.15</v>
      </c>
      <c r="J107" s="89">
        <v>41394.68</v>
      </c>
      <c r="K107" s="10">
        <f t="shared" si="9"/>
        <v>470502.47000000003</v>
      </c>
      <c r="L107" s="89">
        <v>404515.94</v>
      </c>
      <c r="M107" s="88"/>
      <c r="N107" s="21">
        <f t="shared" si="10"/>
        <v>0</v>
      </c>
      <c r="O107" s="424">
        <v>2429.4700000000003</v>
      </c>
      <c r="P107" s="22">
        <f t="shared" si="11"/>
        <v>0</v>
      </c>
    </row>
    <row r="108" spans="1:16" ht="16.2" thickBot="1">
      <c r="B108" s="83" t="s">
        <v>194</v>
      </c>
      <c r="C108" s="92">
        <f>SUM(C79:C107)</f>
        <v>22328742.280000005</v>
      </c>
      <c r="D108" s="92">
        <f>SUM(D79:D107)</f>
        <v>3351310.33</v>
      </c>
      <c r="E108" s="92">
        <f>SUM(E79:E107)</f>
        <v>18711706.460000001</v>
      </c>
      <c r="F108" s="92">
        <f>SUM(F79:F107)</f>
        <v>44391759.07</v>
      </c>
      <c r="G108" s="92">
        <f>SUM(G79:G107)</f>
        <v>36065220.449999996</v>
      </c>
      <c r="H108" s="88"/>
      <c r="I108" s="89">
        <f>SUM(I80:I107)</f>
        <v>41651826.210000008</v>
      </c>
      <c r="J108" s="89">
        <f>SUM(J80:J107)</f>
        <v>2418729.35</v>
      </c>
      <c r="K108" s="89">
        <f>SUM(K80:K107)</f>
        <v>39233096.860000007</v>
      </c>
      <c r="L108" s="89">
        <f>SUM(L80:L107)</f>
        <v>31916300.449999992</v>
      </c>
      <c r="M108" s="88"/>
      <c r="N108" s="90">
        <f>SUM(N80:N107)</f>
        <v>0</v>
      </c>
      <c r="O108" s="424">
        <f>SUM(O79:O107)</f>
        <v>619587.89</v>
      </c>
      <c r="P108" s="90">
        <f>SUM(P80:P107)</f>
        <v>2362.5999999998894</v>
      </c>
    </row>
    <row r="110" spans="1:16" ht="13.8" thickBot="1"/>
    <row r="111" spans="1:16" ht="21.6" thickBot="1">
      <c r="B111" s="637" t="s">
        <v>161</v>
      </c>
      <c r="C111" s="638"/>
      <c r="D111" s="638"/>
      <c r="E111" s="638"/>
      <c r="F111" s="638"/>
      <c r="G111" s="639"/>
      <c r="I111" s="640" t="s">
        <v>149</v>
      </c>
      <c r="J111" s="641"/>
      <c r="K111" s="641"/>
      <c r="L111" s="642"/>
      <c r="M111" s="49"/>
      <c r="N111" s="23"/>
      <c r="O111" s="423"/>
      <c r="P111" s="23"/>
    </row>
    <row r="112" spans="1:16" ht="16.2" thickBot="1">
      <c r="B112" s="77" t="s">
        <v>34</v>
      </c>
      <c r="C112" s="80" t="s">
        <v>115</v>
      </c>
      <c r="D112" s="80" t="s">
        <v>21</v>
      </c>
      <c r="E112" s="80" t="s">
        <v>116</v>
      </c>
      <c r="F112" s="80" t="s">
        <v>162</v>
      </c>
      <c r="G112" s="81" t="s">
        <v>163</v>
      </c>
      <c r="H112" s="48" t="s">
        <v>238</v>
      </c>
      <c r="I112" s="26" t="s">
        <v>114</v>
      </c>
      <c r="J112" s="24" t="s">
        <v>164</v>
      </c>
      <c r="K112" s="24" t="s">
        <v>165</v>
      </c>
      <c r="L112" s="25" t="s">
        <v>166</v>
      </c>
      <c r="M112" s="85"/>
      <c r="N112" s="27" t="s">
        <v>167</v>
      </c>
      <c r="O112" s="423"/>
      <c r="P112" s="27" t="s">
        <v>168</v>
      </c>
    </row>
    <row r="113" spans="2:18" ht="15.6">
      <c r="B113" s="101" t="s">
        <v>36</v>
      </c>
      <c r="C113" s="102">
        <v>3828803.9499999997</v>
      </c>
      <c r="D113" s="102">
        <v>669148.36</v>
      </c>
      <c r="E113" s="102">
        <v>1115175.8899999999</v>
      </c>
      <c r="F113" s="102">
        <f>C113+D113+E113</f>
        <v>5613128.1999999993</v>
      </c>
      <c r="G113" s="103">
        <v>4499900.2300000004</v>
      </c>
      <c r="H113" s="44"/>
      <c r="I113" s="104">
        <v>5879601.4199999999</v>
      </c>
      <c r="J113" s="105">
        <v>266473.21999999997</v>
      </c>
      <c r="K113" s="45">
        <f t="shared" ref="K113:K137" si="13">I113-J113</f>
        <v>5613128.2000000002</v>
      </c>
      <c r="L113" s="105">
        <v>4499900.3099999996</v>
      </c>
      <c r="M113" s="107"/>
      <c r="N113" s="46">
        <f t="shared" ref="N113:N137" si="14">F113-K113</f>
        <v>0</v>
      </c>
      <c r="O113" s="425">
        <f>102280.16-3528.44</f>
        <v>98751.72</v>
      </c>
      <c r="P113" s="46">
        <f t="shared" ref="P113:P137" si="15">G113-L113</f>
        <v>-7.9999999143183231E-2</v>
      </c>
      <c r="R113" s="457"/>
    </row>
    <row r="114" spans="2:18" ht="15.6">
      <c r="B114" s="82" t="s">
        <v>9</v>
      </c>
      <c r="C114" s="78">
        <v>2823613.1399999997</v>
      </c>
      <c r="D114" s="78">
        <v>1377184.41</v>
      </c>
      <c r="E114" s="78">
        <v>416661.03</v>
      </c>
      <c r="F114" s="78">
        <f t="shared" ref="F114:F137" si="16">C114+D114+E114</f>
        <v>4617458.58</v>
      </c>
      <c r="G114" s="79">
        <v>3675493.33</v>
      </c>
      <c r="I114" s="73">
        <v>4823144.58</v>
      </c>
      <c r="J114" s="74">
        <v>205686</v>
      </c>
      <c r="K114" s="10">
        <f t="shared" si="13"/>
        <v>4617458.58</v>
      </c>
      <c r="L114" s="75">
        <v>3675493.33</v>
      </c>
      <c r="M114" s="11"/>
      <c r="N114" s="21">
        <f t="shared" si="14"/>
        <v>0</v>
      </c>
      <c r="O114" s="423">
        <f>76409.16-3685.15</f>
        <v>72724.010000000009</v>
      </c>
      <c r="P114" s="21">
        <f t="shared" si="15"/>
        <v>0</v>
      </c>
      <c r="R114" s="457"/>
    </row>
    <row r="115" spans="2:18" ht="15.6">
      <c r="B115" s="82" t="s">
        <v>25</v>
      </c>
      <c r="C115" s="78">
        <v>1265738.7600000002</v>
      </c>
      <c r="D115" s="78">
        <v>440049</v>
      </c>
      <c r="E115" s="78">
        <v>1534490.58</v>
      </c>
      <c r="F115" s="78">
        <f t="shared" si="16"/>
        <v>3240278.3400000003</v>
      </c>
      <c r="G115" s="79">
        <v>2657008.21</v>
      </c>
      <c r="I115" s="73">
        <v>3463831.54</v>
      </c>
      <c r="J115" s="74">
        <v>223553.2</v>
      </c>
      <c r="K115" s="10">
        <f t="shared" si="13"/>
        <v>3240278.34</v>
      </c>
      <c r="L115" s="75">
        <v>2657008.21</v>
      </c>
      <c r="M115" s="11"/>
      <c r="N115" s="21">
        <f t="shared" si="14"/>
        <v>0</v>
      </c>
      <c r="O115" s="423">
        <f>43667.82-1802.19</f>
        <v>41865.629999999997</v>
      </c>
      <c r="P115" s="21">
        <f t="shared" si="15"/>
        <v>0</v>
      </c>
      <c r="R115" s="457"/>
    </row>
    <row r="116" spans="2:18" ht="15.6">
      <c r="B116" s="82" t="s">
        <v>160</v>
      </c>
      <c r="C116" s="78">
        <v>4202403.93</v>
      </c>
      <c r="D116" s="78">
        <v>25810.240000000002</v>
      </c>
      <c r="E116" s="78">
        <v>3138311.68</v>
      </c>
      <c r="F116" s="78">
        <f t="shared" si="16"/>
        <v>7366525.8499999996</v>
      </c>
      <c r="G116" s="79">
        <v>6053035.0099999998</v>
      </c>
      <c r="I116" s="73">
        <v>7792702.8300000001</v>
      </c>
      <c r="J116" s="74">
        <v>426176.98</v>
      </c>
      <c r="K116" s="10">
        <f t="shared" si="13"/>
        <v>7366525.8499999996</v>
      </c>
      <c r="L116" s="75">
        <v>6053034.9900000002</v>
      </c>
      <c r="M116" s="11"/>
      <c r="N116" s="21">
        <f t="shared" si="14"/>
        <v>0</v>
      </c>
      <c r="O116" s="423">
        <f>94957.19-4541.76</f>
        <v>90415.430000000008</v>
      </c>
      <c r="P116" s="21">
        <f t="shared" si="15"/>
        <v>1.9999999552965164E-2</v>
      </c>
      <c r="R116" s="457"/>
    </row>
    <row r="117" spans="2:18" ht="15.6">
      <c r="B117" s="101" t="s">
        <v>139</v>
      </c>
      <c r="C117" s="102">
        <v>36603.699999999997</v>
      </c>
      <c r="D117" s="102">
        <v>0</v>
      </c>
      <c r="E117" s="102">
        <v>1802660.28</v>
      </c>
      <c r="F117" s="102">
        <f t="shared" si="16"/>
        <v>1839263.98</v>
      </c>
      <c r="G117" s="103">
        <v>1605312.6</v>
      </c>
      <c r="H117" s="44"/>
      <c r="I117" s="104">
        <v>2031471.01</v>
      </c>
      <c r="J117" s="105">
        <v>192207.03</v>
      </c>
      <c r="K117" s="45">
        <f t="shared" si="13"/>
        <v>1839263.98</v>
      </c>
      <c r="L117" s="106">
        <v>1605312.6</v>
      </c>
      <c r="M117" s="107"/>
      <c r="N117" s="46">
        <f t="shared" si="14"/>
        <v>0</v>
      </c>
      <c r="O117" s="425">
        <v>5823.8</v>
      </c>
      <c r="P117" s="46">
        <f t="shared" si="15"/>
        <v>0</v>
      </c>
      <c r="R117" s="457"/>
    </row>
    <row r="118" spans="2:18" ht="15.6">
      <c r="B118" s="82" t="s">
        <v>37</v>
      </c>
      <c r="C118" s="78">
        <v>9164.7099999999846</v>
      </c>
      <c r="D118" s="78">
        <v>0</v>
      </c>
      <c r="E118" s="78">
        <v>248282.14</v>
      </c>
      <c r="F118" s="78">
        <f t="shared" si="16"/>
        <v>257446.85</v>
      </c>
      <c r="G118" s="79">
        <v>229666.33</v>
      </c>
      <c r="I118" s="73">
        <v>280701.94</v>
      </c>
      <c r="J118" s="74">
        <v>23255.09</v>
      </c>
      <c r="K118" s="10">
        <f t="shared" si="13"/>
        <v>257446.85</v>
      </c>
      <c r="L118" s="75">
        <v>229666.33</v>
      </c>
      <c r="M118" s="11"/>
      <c r="N118" s="21">
        <f t="shared" si="14"/>
        <v>0</v>
      </c>
      <c r="O118" s="423">
        <v>1309.18</v>
      </c>
      <c r="P118" s="21">
        <f t="shared" si="15"/>
        <v>0</v>
      </c>
      <c r="R118" s="457"/>
    </row>
    <row r="119" spans="2:18" ht="15.6">
      <c r="B119" s="458" t="s">
        <v>133</v>
      </c>
      <c r="C119" s="428">
        <v>12565.109999999997</v>
      </c>
      <c r="D119" s="428"/>
      <c r="E119" s="428">
        <v>267874.53999999998</v>
      </c>
      <c r="F119" s="428">
        <f t="shared" si="16"/>
        <v>280439.64999999997</v>
      </c>
      <c r="G119" s="429">
        <v>243173.69</v>
      </c>
      <c r="H119" s="426"/>
      <c r="I119" s="430">
        <v>314829.92</v>
      </c>
      <c r="J119" s="431">
        <v>34390.269999999997</v>
      </c>
      <c r="K119" s="69">
        <f t="shared" si="13"/>
        <v>280439.64999999997</v>
      </c>
      <c r="L119" s="432">
        <v>242237.05</v>
      </c>
      <c r="M119" s="433"/>
      <c r="N119" s="47">
        <f t="shared" si="14"/>
        <v>0</v>
      </c>
      <c r="O119" s="434">
        <f>1301.07-77.37</f>
        <v>1223.6999999999998</v>
      </c>
      <c r="P119" s="47">
        <f t="shared" si="15"/>
        <v>936.64000000001397</v>
      </c>
      <c r="R119" s="457"/>
    </row>
    <row r="120" spans="2:18" ht="15.6">
      <c r="B120" s="82" t="s">
        <v>123</v>
      </c>
      <c r="C120" s="78">
        <v>7172.3699999999626</v>
      </c>
      <c r="D120" s="78">
        <v>0</v>
      </c>
      <c r="E120" s="78">
        <v>428468.95</v>
      </c>
      <c r="F120" s="78">
        <f t="shared" si="16"/>
        <v>435641.31999999995</v>
      </c>
      <c r="G120" s="79">
        <v>368227.29</v>
      </c>
      <c r="I120" s="73">
        <v>480418.33</v>
      </c>
      <c r="J120" s="74">
        <v>44777.01</v>
      </c>
      <c r="K120" s="10">
        <f t="shared" si="13"/>
        <v>435641.32</v>
      </c>
      <c r="L120" s="75">
        <v>368227.28</v>
      </c>
      <c r="M120" s="11"/>
      <c r="N120" s="21">
        <f t="shared" si="14"/>
        <v>0</v>
      </c>
      <c r="O120" s="423">
        <f>1756.68-36.84</f>
        <v>1719.8400000000001</v>
      </c>
      <c r="P120" s="21">
        <f t="shared" si="15"/>
        <v>9.9999999511055648E-3</v>
      </c>
      <c r="R120" s="457"/>
    </row>
    <row r="121" spans="2:18" ht="15.6">
      <c r="B121" s="82" t="s">
        <v>145</v>
      </c>
      <c r="C121" s="78">
        <v>663621.37000000023</v>
      </c>
      <c r="D121" s="78">
        <v>8324.74</v>
      </c>
      <c r="E121" s="78">
        <v>1090570.6299999999</v>
      </c>
      <c r="F121" s="78">
        <f t="shared" si="16"/>
        <v>1762516.7400000002</v>
      </c>
      <c r="G121" s="79">
        <v>1446784.77</v>
      </c>
      <c r="I121" s="73">
        <v>1875767.66</v>
      </c>
      <c r="J121" s="74">
        <v>113250.92</v>
      </c>
      <c r="K121" s="10">
        <f t="shared" si="13"/>
        <v>1762516.74</v>
      </c>
      <c r="L121" s="75">
        <v>1446784.64</v>
      </c>
      <c r="M121" s="11"/>
      <c r="N121" s="21">
        <f t="shared" si="14"/>
        <v>0</v>
      </c>
      <c r="O121" s="423">
        <f>29625.71-2045.39</f>
        <v>27580.32</v>
      </c>
      <c r="P121" s="21">
        <f t="shared" si="15"/>
        <v>0.13000000012107193</v>
      </c>
      <c r="R121" s="457"/>
    </row>
    <row r="122" spans="2:18" ht="15.6">
      <c r="B122" s="82" t="s">
        <v>124</v>
      </c>
      <c r="C122" s="78">
        <v>163784.40000000002</v>
      </c>
      <c r="D122" s="78">
        <v>0</v>
      </c>
      <c r="E122" s="78">
        <v>220044.59</v>
      </c>
      <c r="F122" s="78">
        <f t="shared" si="16"/>
        <v>383828.99</v>
      </c>
      <c r="G122" s="79">
        <v>332020.02</v>
      </c>
      <c r="I122" s="73">
        <v>423632.47</v>
      </c>
      <c r="J122" s="74">
        <v>39803.480000000003</v>
      </c>
      <c r="K122" s="10">
        <f t="shared" si="13"/>
        <v>383828.99</v>
      </c>
      <c r="L122" s="75">
        <v>332019.98</v>
      </c>
      <c r="M122" s="11"/>
      <c r="N122" s="21">
        <f t="shared" si="14"/>
        <v>0</v>
      </c>
      <c r="O122" s="423">
        <f>2607.98-160.26</f>
        <v>2447.7200000000003</v>
      </c>
      <c r="P122" s="21">
        <f t="shared" si="15"/>
        <v>4.0000000037252903E-2</v>
      </c>
      <c r="R122" s="457"/>
    </row>
    <row r="123" spans="2:18" ht="15.6">
      <c r="B123" s="82" t="s">
        <v>169</v>
      </c>
      <c r="C123" s="78">
        <v>2372567.06</v>
      </c>
      <c r="D123" s="78">
        <v>23317.62</v>
      </c>
      <c r="E123" s="78">
        <v>1138650.04</v>
      </c>
      <c r="F123" s="78">
        <f t="shared" si="16"/>
        <v>3534534.72</v>
      </c>
      <c r="G123" s="79">
        <v>2868456.56</v>
      </c>
      <c r="I123" s="73">
        <v>3706981.02</v>
      </c>
      <c r="J123" s="74">
        <v>172446.3</v>
      </c>
      <c r="K123" s="10">
        <f t="shared" si="13"/>
        <v>3534534.72</v>
      </c>
      <c r="L123" s="75">
        <v>2868456.58</v>
      </c>
      <c r="M123" s="11"/>
      <c r="N123" s="21">
        <f t="shared" si="14"/>
        <v>0</v>
      </c>
      <c r="O123" s="423">
        <f>51770.4-1969.81</f>
        <v>49800.590000000004</v>
      </c>
      <c r="P123" s="21">
        <f t="shared" si="15"/>
        <v>-2.0000000018626451E-2</v>
      </c>
      <c r="R123" s="457"/>
    </row>
    <row r="124" spans="2:18" ht="15.6">
      <c r="B124" s="82" t="s">
        <v>243</v>
      </c>
      <c r="C124" s="78">
        <v>1107060.58</v>
      </c>
      <c r="D124" s="78">
        <v>59832.2</v>
      </c>
      <c r="E124" s="78">
        <v>717776.31</v>
      </c>
      <c r="F124" s="78">
        <f t="shared" si="16"/>
        <v>1884669.09</v>
      </c>
      <c r="G124" s="79">
        <v>1520259.28</v>
      </c>
      <c r="I124" s="73">
        <v>1957879.92</v>
      </c>
      <c r="J124" s="74">
        <v>73210.83</v>
      </c>
      <c r="K124" s="10">
        <f t="shared" si="13"/>
        <v>1884669.0899999999</v>
      </c>
      <c r="L124" s="75">
        <v>1520259.26</v>
      </c>
      <c r="M124" s="11"/>
      <c r="N124" s="21">
        <f t="shared" si="14"/>
        <v>0</v>
      </c>
      <c r="O124" s="423">
        <f>34502.3-1511.32</f>
        <v>32990.980000000003</v>
      </c>
      <c r="P124" s="21">
        <f t="shared" si="15"/>
        <v>2.0000000018626451E-2</v>
      </c>
      <c r="R124" s="457"/>
    </row>
    <row r="125" spans="2:18" ht="15.6">
      <c r="B125" s="82" t="s">
        <v>175</v>
      </c>
      <c r="C125" s="78">
        <v>3432923.98</v>
      </c>
      <c r="D125" s="78">
        <v>870141.39</v>
      </c>
      <c r="E125" s="78">
        <v>1464775.43</v>
      </c>
      <c r="F125" s="78">
        <f t="shared" si="16"/>
        <v>5767840.7999999998</v>
      </c>
      <c r="G125" s="79">
        <v>4565672.88</v>
      </c>
      <c r="H125" s="7"/>
      <c r="I125" s="73">
        <v>5976081.5099999998</v>
      </c>
      <c r="J125" s="74">
        <v>208240.71</v>
      </c>
      <c r="K125" s="10">
        <f t="shared" si="13"/>
        <v>5767840.7999999998</v>
      </c>
      <c r="L125" s="75">
        <v>4565672.88</v>
      </c>
      <c r="M125" s="11"/>
      <c r="N125" s="21">
        <f t="shared" si="14"/>
        <v>0</v>
      </c>
      <c r="O125" s="423">
        <f>93672.33-4329.36</f>
        <v>89342.97</v>
      </c>
      <c r="P125" s="21">
        <f t="shared" si="15"/>
        <v>0</v>
      </c>
      <c r="R125" s="457"/>
    </row>
    <row r="126" spans="2:18" ht="15.6">
      <c r="B126" s="82" t="s">
        <v>170</v>
      </c>
      <c r="C126" s="78">
        <v>680882.06</v>
      </c>
      <c r="D126" s="78">
        <v>103339.84</v>
      </c>
      <c r="E126" s="78">
        <v>32650.93</v>
      </c>
      <c r="F126" s="78">
        <f t="shared" si="16"/>
        <v>816872.83000000007</v>
      </c>
      <c r="G126" s="79">
        <v>610904.01</v>
      </c>
      <c r="I126" s="73">
        <v>821112.93</v>
      </c>
      <c r="J126" s="74">
        <v>4240.1000000000004</v>
      </c>
      <c r="K126" s="10">
        <f t="shared" si="13"/>
        <v>816872.83000000007</v>
      </c>
      <c r="L126" s="75">
        <v>610904.94999999995</v>
      </c>
      <c r="M126" s="11"/>
      <c r="N126" s="21">
        <f t="shared" si="14"/>
        <v>0</v>
      </c>
      <c r="O126" s="423">
        <f>15785.44-324.72</f>
        <v>15460.720000000001</v>
      </c>
      <c r="P126" s="21">
        <f t="shared" si="15"/>
        <v>-0.93999999994412065</v>
      </c>
      <c r="R126" s="457"/>
    </row>
    <row r="127" spans="2:18" ht="15.6">
      <c r="B127" s="82" t="s">
        <v>203</v>
      </c>
      <c r="C127" s="78">
        <v>1485894.1200000003</v>
      </c>
      <c r="D127" s="78">
        <v>87957.8</v>
      </c>
      <c r="E127" s="78">
        <v>623370.62</v>
      </c>
      <c r="F127" s="78">
        <f t="shared" si="16"/>
        <v>2197222.5400000005</v>
      </c>
      <c r="G127" s="79">
        <v>1764630.89</v>
      </c>
      <c r="I127" s="73">
        <v>2314110.37</v>
      </c>
      <c r="J127" s="74">
        <v>116887.83</v>
      </c>
      <c r="K127" s="10">
        <f t="shared" si="13"/>
        <v>2197222.54</v>
      </c>
      <c r="L127" s="75">
        <v>1764630.89</v>
      </c>
      <c r="M127" s="11"/>
      <c r="N127" s="21">
        <f t="shared" si="14"/>
        <v>0</v>
      </c>
      <c r="O127" s="423">
        <f>42773.49-869.79</f>
        <v>41903.699999999997</v>
      </c>
      <c r="P127" s="21">
        <f t="shared" si="15"/>
        <v>0</v>
      </c>
      <c r="R127" s="457"/>
    </row>
    <row r="128" spans="2:18" ht="15.6">
      <c r="B128" s="82" t="s">
        <v>172</v>
      </c>
      <c r="C128" s="78">
        <v>350079.69</v>
      </c>
      <c r="D128" s="78">
        <v>0</v>
      </c>
      <c r="E128" s="78">
        <v>0</v>
      </c>
      <c r="F128" s="78">
        <f t="shared" si="16"/>
        <v>350079.69</v>
      </c>
      <c r="G128" s="79">
        <v>288770.88</v>
      </c>
      <c r="I128" s="73">
        <v>403837.74</v>
      </c>
      <c r="J128" s="74">
        <v>53758.05</v>
      </c>
      <c r="K128" s="10">
        <f t="shared" si="13"/>
        <v>350079.69</v>
      </c>
      <c r="L128" s="75">
        <v>288770.88</v>
      </c>
      <c r="M128" s="11"/>
      <c r="N128" s="21">
        <f t="shared" si="14"/>
        <v>0</v>
      </c>
      <c r="O128" s="423">
        <f>26415.56-220.8</f>
        <v>26194.760000000002</v>
      </c>
      <c r="P128" s="21">
        <f t="shared" si="15"/>
        <v>0</v>
      </c>
      <c r="R128" s="457"/>
    </row>
    <row r="129" spans="2:18" ht="15.6">
      <c r="B129" s="82" t="s">
        <v>176</v>
      </c>
      <c r="C129" s="78">
        <v>58396.809999999961</v>
      </c>
      <c r="D129" s="78">
        <v>0</v>
      </c>
      <c r="E129" s="78">
        <v>338531.58</v>
      </c>
      <c r="F129" s="78">
        <f t="shared" si="16"/>
        <v>396928.38999999996</v>
      </c>
      <c r="G129" s="79">
        <v>340590.04</v>
      </c>
      <c r="I129" s="73">
        <v>440928.09</v>
      </c>
      <c r="J129" s="74">
        <v>43999.7</v>
      </c>
      <c r="K129" s="10">
        <f t="shared" si="13"/>
        <v>396928.39</v>
      </c>
      <c r="L129" s="75">
        <v>340590.05</v>
      </c>
      <c r="M129" s="11"/>
      <c r="N129" s="21">
        <f t="shared" si="14"/>
        <v>0</v>
      </c>
      <c r="O129" s="277">
        <f>2840.65-20.88</f>
        <v>2819.77</v>
      </c>
      <c r="P129" s="21">
        <f t="shared" si="15"/>
        <v>-1.0000000009313226E-2</v>
      </c>
      <c r="R129" s="457"/>
    </row>
    <row r="130" spans="2:18" ht="15.6">
      <c r="B130" s="82" t="s">
        <v>177</v>
      </c>
      <c r="C130" s="78">
        <v>106467.29999999993</v>
      </c>
      <c r="D130" s="78">
        <v>0</v>
      </c>
      <c r="E130" s="78">
        <v>481460.45</v>
      </c>
      <c r="F130" s="78">
        <f t="shared" si="16"/>
        <v>587927.75</v>
      </c>
      <c r="G130" s="79">
        <v>493393.54</v>
      </c>
      <c r="I130" s="73">
        <v>638244.5</v>
      </c>
      <c r="J130" s="74">
        <v>50316.75</v>
      </c>
      <c r="K130" s="10">
        <f t="shared" si="13"/>
        <v>587927.75</v>
      </c>
      <c r="L130" s="75">
        <v>493393.54</v>
      </c>
      <c r="M130" s="11"/>
      <c r="N130" s="21">
        <f t="shared" si="14"/>
        <v>0</v>
      </c>
      <c r="O130" s="277">
        <f>4228.13-17.81</f>
        <v>4210.32</v>
      </c>
      <c r="P130" s="21">
        <f t="shared" si="15"/>
        <v>0</v>
      </c>
      <c r="R130" s="457"/>
    </row>
    <row r="131" spans="2:18" ht="15.6">
      <c r="B131" s="82" t="s">
        <v>178</v>
      </c>
      <c r="C131" s="78">
        <v>12115.829999999982</v>
      </c>
      <c r="D131" s="78">
        <v>0</v>
      </c>
      <c r="E131" s="78">
        <v>252117.56</v>
      </c>
      <c r="F131" s="78">
        <f t="shared" si="16"/>
        <v>264233.38999999996</v>
      </c>
      <c r="G131" s="79">
        <v>224914.93</v>
      </c>
      <c r="I131" s="73">
        <v>285269.21000000002</v>
      </c>
      <c r="J131" s="74">
        <v>21035.82</v>
      </c>
      <c r="K131" s="10">
        <f t="shared" si="13"/>
        <v>264233.39</v>
      </c>
      <c r="L131" s="75">
        <v>224914.93</v>
      </c>
      <c r="M131" s="11"/>
      <c r="N131" s="21">
        <f t="shared" si="14"/>
        <v>0</v>
      </c>
      <c r="O131" s="277">
        <v>1061.9000000000001</v>
      </c>
      <c r="P131" s="21">
        <f t="shared" si="15"/>
        <v>0</v>
      </c>
      <c r="R131" s="457"/>
    </row>
    <row r="132" spans="2:18" ht="15.6">
      <c r="B132" s="82" t="s">
        <v>179</v>
      </c>
      <c r="C132" s="78">
        <v>606.23000000002548</v>
      </c>
      <c r="D132" s="78">
        <v>0</v>
      </c>
      <c r="E132" s="78">
        <v>479517.25</v>
      </c>
      <c r="F132" s="78">
        <f t="shared" si="16"/>
        <v>480123.48000000004</v>
      </c>
      <c r="G132" s="79">
        <v>409723.18</v>
      </c>
      <c r="I132" s="73">
        <v>531763.75</v>
      </c>
      <c r="J132" s="74">
        <v>51640.27</v>
      </c>
      <c r="K132" s="10">
        <f t="shared" si="13"/>
        <v>480123.48</v>
      </c>
      <c r="L132" s="75">
        <v>409723.18</v>
      </c>
      <c r="M132" s="11"/>
      <c r="N132" s="21">
        <f t="shared" si="14"/>
        <v>0</v>
      </c>
      <c r="O132" s="277">
        <v>2184.11</v>
      </c>
      <c r="P132" s="21">
        <f t="shared" si="15"/>
        <v>0</v>
      </c>
      <c r="R132" s="457"/>
    </row>
    <row r="133" spans="2:18" ht="15.6">
      <c r="B133" s="82" t="s">
        <v>181</v>
      </c>
      <c r="C133" s="78">
        <v>12787.310000000001</v>
      </c>
      <c r="D133" s="78">
        <v>0</v>
      </c>
      <c r="E133" s="78">
        <v>158067.54999999999</v>
      </c>
      <c r="F133" s="78">
        <f t="shared" si="16"/>
        <v>170854.86</v>
      </c>
      <c r="G133" s="79">
        <v>147850.82</v>
      </c>
      <c r="I133" s="73">
        <v>189165.46</v>
      </c>
      <c r="J133" s="74">
        <v>18310.599999999999</v>
      </c>
      <c r="K133" s="10">
        <f t="shared" si="13"/>
        <v>170854.86</v>
      </c>
      <c r="L133" s="75">
        <v>147850.84</v>
      </c>
      <c r="M133" s="11"/>
      <c r="N133" s="21">
        <f t="shared" si="14"/>
        <v>0</v>
      </c>
      <c r="O133" s="277">
        <f>938.57-16.09</f>
        <v>922.48</v>
      </c>
      <c r="P133" s="21">
        <f t="shared" si="15"/>
        <v>-1.9999999989522621E-2</v>
      </c>
      <c r="R133" s="457"/>
    </row>
    <row r="134" spans="2:18" ht="15.6">
      <c r="B134" s="82" t="s">
        <v>182</v>
      </c>
      <c r="C134" s="78">
        <v>25494.010000000002</v>
      </c>
      <c r="D134" s="78">
        <v>0</v>
      </c>
      <c r="E134" s="78">
        <v>105151.67</v>
      </c>
      <c r="F134" s="78">
        <f t="shared" si="16"/>
        <v>130645.68</v>
      </c>
      <c r="G134" s="79">
        <v>111594.9</v>
      </c>
      <c r="I134" s="73">
        <v>145586.62</v>
      </c>
      <c r="J134" s="74">
        <v>14940.94</v>
      </c>
      <c r="K134" s="10">
        <f t="shared" si="13"/>
        <v>130645.68</v>
      </c>
      <c r="L134" s="75">
        <v>111594.88</v>
      </c>
      <c r="M134" s="11"/>
      <c r="N134" s="21">
        <f t="shared" si="14"/>
        <v>0</v>
      </c>
      <c r="O134" s="277">
        <f>589.27-18.42</f>
        <v>570.85</v>
      </c>
      <c r="P134" s="21">
        <f t="shared" si="15"/>
        <v>1.9999999989522621E-2</v>
      </c>
      <c r="R134" s="457"/>
    </row>
    <row r="135" spans="2:18" ht="15.6">
      <c r="B135" s="82" t="s">
        <v>187</v>
      </c>
      <c r="C135" s="78">
        <v>72947.320000000007</v>
      </c>
      <c r="D135" s="78">
        <v>0</v>
      </c>
      <c r="E135" s="78">
        <v>204104.61</v>
      </c>
      <c r="F135" s="78">
        <f t="shared" si="16"/>
        <v>277051.93</v>
      </c>
      <c r="G135" s="79">
        <v>234425.1</v>
      </c>
      <c r="I135" s="73">
        <v>299730.21999999997</v>
      </c>
      <c r="J135" s="74">
        <v>22678.29</v>
      </c>
      <c r="K135" s="10">
        <f t="shared" si="13"/>
        <v>277051.93</v>
      </c>
      <c r="L135" s="75">
        <v>234425.1</v>
      </c>
      <c r="M135" s="11"/>
      <c r="N135" s="21">
        <f t="shared" si="14"/>
        <v>0</v>
      </c>
      <c r="O135" s="277">
        <v>1033.68</v>
      </c>
      <c r="P135" s="22">
        <f t="shared" si="15"/>
        <v>0</v>
      </c>
      <c r="R135" s="457"/>
    </row>
    <row r="136" spans="2:18" ht="15.6">
      <c r="B136" s="82" t="s">
        <v>233</v>
      </c>
      <c r="C136" s="78">
        <v>56211.17</v>
      </c>
      <c r="D136" s="78">
        <v>0</v>
      </c>
      <c r="E136" s="78">
        <v>459589.14</v>
      </c>
      <c r="F136" s="78">
        <f t="shared" si="16"/>
        <v>515800.31</v>
      </c>
      <c r="G136" s="79">
        <v>438164.86</v>
      </c>
      <c r="I136" s="73">
        <v>569142.14</v>
      </c>
      <c r="J136" s="74">
        <v>53341.83</v>
      </c>
      <c r="K136" s="10">
        <f t="shared" si="13"/>
        <v>515800.31</v>
      </c>
      <c r="L136" s="75">
        <v>438164.85</v>
      </c>
      <c r="M136" s="11"/>
      <c r="N136" s="21">
        <f t="shared" si="14"/>
        <v>0</v>
      </c>
      <c r="O136" s="277">
        <f>1989.97-282.28</f>
        <v>1707.69</v>
      </c>
      <c r="P136" s="22">
        <f t="shared" si="15"/>
        <v>1.0000000009313226E-2</v>
      </c>
      <c r="R136" s="457"/>
    </row>
    <row r="137" spans="2:18" ht="15.6">
      <c r="B137" s="84" t="s">
        <v>240</v>
      </c>
      <c r="C137" s="78">
        <v>179641.73</v>
      </c>
      <c r="D137" s="78">
        <v>0</v>
      </c>
      <c r="E137" s="78">
        <v>435925.16</v>
      </c>
      <c r="F137" s="78">
        <f t="shared" si="16"/>
        <v>615566.89</v>
      </c>
      <c r="G137" s="79">
        <v>528662.41</v>
      </c>
      <c r="I137" s="73">
        <v>669528.6</v>
      </c>
      <c r="J137" s="74">
        <v>53961.71</v>
      </c>
      <c r="K137" s="10">
        <f t="shared" si="13"/>
        <v>615566.89</v>
      </c>
      <c r="L137" s="75">
        <v>528662.42000000004</v>
      </c>
      <c r="M137" s="68"/>
      <c r="N137" s="22">
        <f t="shared" si="14"/>
        <v>0</v>
      </c>
      <c r="O137" s="277">
        <f>3577.02-25.17</f>
        <v>3551.85</v>
      </c>
      <c r="P137" s="22">
        <f t="shared" si="15"/>
        <v>-1.0000000009313226E-2</v>
      </c>
      <c r="R137" s="457"/>
    </row>
    <row r="138" spans="2:18" ht="15.6">
      <c r="B138" s="441" t="s">
        <v>245</v>
      </c>
      <c r="C138" s="78">
        <v>0</v>
      </c>
      <c r="D138" s="78"/>
      <c r="E138" s="78"/>
      <c r="F138" s="78">
        <f>C138+D138+E138</f>
        <v>0</v>
      </c>
      <c r="G138" s="79"/>
      <c r="I138" s="73"/>
      <c r="J138" s="74"/>
      <c r="K138" s="10">
        <f>I138-J138</f>
        <v>0</v>
      </c>
      <c r="L138" s="75"/>
      <c r="M138" s="68"/>
      <c r="N138" s="22">
        <f>F138-K138</f>
        <v>0</v>
      </c>
      <c r="O138" s="277"/>
      <c r="P138" s="22">
        <f>G138-L138</f>
        <v>0</v>
      </c>
      <c r="R138" s="457"/>
    </row>
    <row r="139" spans="2:18" ht="15.6">
      <c r="B139" s="441" t="s">
        <v>357</v>
      </c>
      <c r="C139" s="78">
        <v>2220746.15</v>
      </c>
      <c r="D139" s="78">
        <v>36683.9</v>
      </c>
      <c r="E139" s="78">
        <v>44974.41</v>
      </c>
      <c r="F139" s="78">
        <f>C139+D139+E139</f>
        <v>2302404.46</v>
      </c>
      <c r="G139" s="79">
        <v>1777170.28</v>
      </c>
      <c r="I139" s="73">
        <v>2378663.2000000002</v>
      </c>
      <c r="J139" s="74">
        <v>76258.740000000005</v>
      </c>
      <c r="K139" s="10">
        <f>I139-J139</f>
        <v>2302404.46</v>
      </c>
      <c r="L139" s="75">
        <v>1777170.28</v>
      </c>
      <c r="M139" s="68"/>
      <c r="N139" s="22">
        <f>F139-K139</f>
        <v>0</v>
      </c>
      <c r="O139" s="277">
        <f>45707.99-1329.33</f>
        <v>44378.659999999996</v>
      </c>
      <c r="P139" s="22">
        <f>G139-L139</f>
        <v>0</v>
      </c>
      <c r="R139" s="457"/>
    </row>
    <row r="140" spans="2:18" ht="15.6">
      <c r="B140" s="441" t="s">
        <v>362</v>
      </c>
      <c r="C140" s="78">
        <v>48207.76999999999</v>
      </c>
      <c r="D140" s="78">
        <v>0</v>
      </c>
      <c r="E140" s="78">
        <v>389362.9</v>
      </c>
      <c r="F140" s="78">
        <f>C140+D140+E140</f>
        <v>437570.67000000004</v>
      </c>
      <c r="G140" s="79">
        <v>377434.47</v>
      </c>
      <c r="I140" s="73">
        <v>464064.88</v>
      </c>
      <c r="J140" s="74">
        <v>26494.21</v>
      </c>
      <c r="K140" s="10">
        <f>I140-J140</f>
        <v>437570.67</v>
      </c>
      <c r="L140" s="75">
        <v>377434.47</v>
      </c>
      <c r="M140" s="68"/>
      <c r="N140" s="22">
        <f>F140-K140</f>
        <v>0</v>
      </c>
      <c r="O140" s="277">
        <f>2961.18-61.4</f>
        <v>2899.7799999999997</v>
      </c>
      <c r="P140" s="22">
        <f>G140-L140</f>
        <v>0</v>
      </c>
      <c r="R140" s="457"/>
    </row>
    <row r="141" spans="2:18" ht="16.2" thickBot="1">
      <c r="B141" s="441" t="s">
        <v>361</v>
      </c>
      <c r="C141" s="78">
        <v>78582.87999999999</v>
      </c>
      <c r="D141" s="78">
        <v>0</v>
      </c>
      <c r="E141" s="78">
        <v>410088.37</v>
      </c>
      <c r="F141" s="78">
        <f>C141+D141+E141</f>
        <v>488671.25</v>
      </c>
      <c r="G141" s="79">
        <v>421022.15</v>
      </c>
      <c r="I141" s="73">
        <v>530304.19999999995</v>
      </c>
      <c r="J141" s="74">
        <v>41632.949999999997</v>
      </c>
      <c r="K141" s="10">
        <f>I141-J141</f>
        <v>488671.24999999994</v>
      </c>
      <c r="L141" s="75">
        <v>421022.13</v>
      </c>
      <c r="M141" s="68"/>
      <c r="N141" s="22">
        <f>F141-K141</f>
        <v>0</v>
      </c>
      <c r="O141" s="277">
        <f>3468.11-289.69</f>
        <v>3178.42</v>
      </c>
      <c r="P141" s="22">
        <f>G141-L141</f>
        <v>2.0000000018626451E-2</v>
      </c>
      <c r="R141" s="457"/>
    </row>
    <row r="142" spans="2:18" ht="16.2" thickBot="1">
      <c r="B142" s="83" t="s">
        <v>194</v>
      </c>
      <c r="C142" s="92">
        <f>SUM(C113:C141)</f>
        <v>25315083.439999998</v>
      </c>
      <c r="D142" s="92">
        <f>SUM(D113:D141)</f>
        <v>3701789.5000000005</v>
      </c>
      <c r="E142" s="92">
        <f>SUM(E113:E141)</f>
        <v>17998654.289999995</v>
      </c>
      <c r="F142" s="92">
        <f>SUM(F113:F141)</f>
        <v>47015527.229999989</v>
      </c>
      <c r="G142" s="92">
        <f>SUM(G113:G141)</f>
        <v>38234262.659999996</v>
      </c>
      <c r="H142" s="88"/>
      <c r="I142" s="86">
        <f>SUM(I113:I141)</f>
        <v>49688496.06000001</v>
      </c>
      <c r="J142" s="86">
        <f>SUM(J113:J141)</f>
        <v>2672968.8300000005</v>
      </c>
      <c r="K142" s="86">
        <f>SUM(K113:K141)</f>
        <v>47015527.229999989</v>
      </c>
      <c r="L142" s="86">
        <f>SUM(L113:L141)</f>
        <v>38233326.830000021</v>
      </c>
      <c r="M142" s="88"/>
      <c r="N142" s="90">
        <f>SUM(N113:N141)</f>
        <v>0</v>
      </c>
      <c r="O142" s="424">
        <f>SUM(O113:O141)</f>
        <v>668074.57999999996</v>
      </c>
      <c r="P142" s="90">
        <f>SUM(P113:P137)</f>
        <v>935.81000000057975</v>
      </c>
    </row>
    <row r="145" spans="2:18" ht="13.8" thickBot="1"/>
    <row r="146" spans="2:18" ht="21.6" thickBot="1">
      <c r="B146" s="637" t="s">
        <v>161</v>
      </c>
      <c r="C146" s="638"/>
      <c r="D146" s="638"/>
      <c r="E146" s="638"/>
      <c r="F146" s="638"/>
      <c r="G146" s="639"/>
      <c r="I146" s="640" t="s">
        <v>149</v>
      </c>
      <c r="J146" s="641"/>
      <c r="K146" s="641"/>
      <c r="L146" s="642"/>
      <c r="M146" s="49"/>
      <c r="N146" s="23"/>
      <c r="O146" s="423"/>
      <c r="P146" s="23"/>
    </row>
    <row r="147" spans="2:18" ht="16.2" thickBot="1">
      <c r="B147" s="77" t="s">
        <v>34</v>
      </c>
      <c r="C147" s="80" t="s">
        <v>115</v>
      </c>
      <c r="D147" s="80" t="s">
        <v>21</v>
      </c>
      <c r="E147" s="80" t="s">
        <v>116</v>
      </c>
      <c r="F147" s="80" t="s">
        <v>162</v>
      </c>
      <c r="G147" s="81" t="s">
        <v>163</v>
      </c>
      <c r="H147" s="48" t="s">
        <v>4</v>
      </c>
      <c r="I147" s="26" t="s">
        <v>114</v>
      </c>
      <c r="J147" s="24" t="s">
        <v>164</v>
      </c>
      <c r="K147" s="24" t="s">
        <v>165</v>
      </c>
      <c r="L147" s="25" t="s">
        <v>166</v>
      </c>
      <c r="M147" s="85"/>
      <c r="N147" s="27" t="s">
        <v>167</v>
      </c>
      <c r="O147" s="423"/>
      <c r="P147" s="27" t="s">
        <v>168</v>
      </c>
    </row>
    <row r="148" spans="2:18" ht="15.6">
      <c r="B148" s="82" t="s">
        <v>36</v>
      </c>
      <c r="C148" s="78">
        <v>3884393.1499999994</v>
      </c>
      <c r="D148" s="78">
        <v>678401.42</v>
      </c>
      <c r="E148" s="78">
        <v>1279920.1100000001</v>
      </c>
      <c r="F148" s="78">
        <f>C148+D148+E148</f>
        <v>5842714.6799999997</v>
      </c>
      <c r="G148" s="78">
        <v>4660011.18</v>
      </c>
      <c r="I148" s="78">
        <v>6112848.29</v>
      </c>
      <c r="J148" s="78">
        <v>270133.61</v>
      </c>
      <c r="K148" s="10">
        <f>I148-J148</f>
        <v>5842714.6799999997</v>
      </c>
      <c r="L148" s="78">
        <v>4660011.13</v>
      </c>
      <c r="M148" s="11"/>
      <c r="N148" s="21">
        <f>F148-K148</f>
        <v>0</v>
      </c>
      <c r="O148" s="423">
        <v>97754.870000000112</v>
      </c>
      <c r="P148" s="46">
        <f>G148-L148</f>
        <v>4.9999999813735485E-2</v>
      </c>
      <c r="R148" s="457"/>
    </row>
    <row r="149" spans="2:18" ht="15.6">
      <c r="B149" s="82" t="s">
        <v>9</v>
      </c>
      <c r="C149" s="78">
        <v>3074623.8000000003</v>
      </c>
      <c r="D149" s="78">
        <v>1414347.51</v>
      </c>
      <c r="E149" s="78">
        <v>496875.43</v>
      </c>
      <c r="F149" s="78">
        <f t="shared" ref="F149:F176" si="17">C149+D149+E149</f>
        <v>4985846.74</v>
      </c>
      <c r="G149" s="78">
        <v>3994105.97</v>
      </c>
      <c r="I149" s="78">
        <v>5217218.4800000004</v>
      </c>
      <c r="J149" s="78">
        <v>231371.74</v>
      </c>
      <c r="K149" s="10">
        <f t="shared" ref="K149:K176" si="18">I149-J149</f>
        <v>4985846.74</v>
      </c>
      <c r="L149" s="78">
        <v>3994105.97</v>
      </c>
      <c r="M149" s="11"/>
      <c r="N149" s="21">
        <f t="shared" ref="N149:N176" si="19">F149-K149</f>
        <v>0</v>
      </c>
      <c r="O149" s="423">
        <v>78701.509999999776</v>
      </c>
      <c r="P149" s="46">
        <f t="shared" ref="P149:P176" si="20">G149-L149</f>
        <v>0</v>
      </c>
      <c r="R149" s="457"/>
    </row>
    <row r="150" spans="2:18" ht="15.6">
      <c r="B150" s="82" t="s">
        <v>25</v>
      </c>
      <c r="C150" s="78">
        <v>1387310.4</v>
      </c>
      <c r="D150" s="78">
        <v>412398.89</v>
      </c>
      <c r="E150" s="78">
        <v>2284424.35</v>
      </c>
      <c r="F150" s="78">
        <f t="shared" si="17"/>
        <v>4084133.64</v>
      </c>
      <c r="G150" s="78">
        <v>3372052.85</v>
      </c>
      <c r="I150" s="78">
        <v>4388059.24</v>
      </c>
      <c r="J150" s="78">
        <v>303925.59999999998</v>
      </c>
      <c r="K150" s="10">
        <f t="shared" si="18"/>
        <v>4084133.64</v>
      </c>
      <c r="L150" s="78">
        <v>3372052.85</v>
      </c>
      <c r="M150" s="11"/>
      <c r="N150" s="21">
        <f t="shared" si="19"/>
        <v>0</v>
      </c>
      <c r="O150" s="423">
        <v>43226.169999999925</v>
      </c>
      <c r="P150" s="46">
        <f t="shared" si="20"/>
        <v>0</v>
      </c>
      <c r="R150" s="457"/>
    </row>
    <row r="151" spans="2:18" ht="15.6">
      <c r="B151" s="82" t="s">
        <v>160</v>
      </c>
      <c r="C151" s="78">
        <v>4668777.2</v>
      </c>
      <c r="D151" s="78">
        <v>18535.16</v>
      </c>
      <c r="E151" s="78">
        <v>3124791.93</v>
      </c>
      <c r="F151" s="78">
        <f t="shared" si="17"/>
        <v>7812104.290000001</v>
      </c>
      <c r="G151" s="78">
        <v>6422056.5899999999</v>
      </c>
      <c r="I151" s="78">
        <v>8257026.3300000001</v>
      </c>
      <c r="J151" s="78">
        <v>444922.04</v>
      </c>
      <c r="K151" s="10">
        <f t="shared" si="18"/>
        <v>7812104.29</v>
      </c>
      <c r="L151" s="78">
        <v>6422056.5800000001</v>
      </c>
      <c r="M151" s="11"/>
      <c r="N151" s="21">
        <f t="shared" si="19"/>
        <v>0</v>
      </c>
      <c r="O151" s="423">
        <v>96214.209999999963</v>
      </c>
      <c r="P151" s="46">
        <f t="shared" si="20"/>
        <v>9.9999997764825821E-3</v>
      </c>
      <c r="R151" s="457"/>
    </row>
    <row r="152" spans="2:18" ht="15.6">
      <c r="B152" s="82" t="s">
        <v>139</v>
      </c>
      <c r="C152" s="78">
        <v>28323.279999999795</v>
      </c>
      <c r="D152" s="78">
        <v>0</v>
      </c>
      <c r="E152" s="78">
        <v>1912415.68</v>
      </c>
      <c r="F152" s="78">
        <f t="shared" si="17"/>
        <v>1940738.9599999997</v>
      </c>
      <c r="G152" s="78">
        <v>1669227.76</v>
      </c>
      <c r="I152" s="78">
        <v>2134930.2599999998</v>
      </c>
      <c r="J152" s="78">
        <v>194191.3</v>
      </c>
      <c r="K152" s="10">
        <f t="shared" si="18"/>
        <v>1940738.9599999997</v>
      </c>
      <c r="L152" s="78">
        <v>1669227.75</v>
      </c>
      <c r="M152" s="11"/>
      <c r="N152" s="21">
        <f t="shared" si="19"/>
        <v>0</v>
      </c>
      <c r="O152" s="423">
        <v>5229.6100000003353</v>
      </c>
      <c r="P152" s="46">
        <f t="shared" si="20"/>
        <v>1.0000000009313226E-2</v>
      </c>
      <c r="R152" s="457"/>
    </row>
    <row r="153" spans="2:18" ht="15.6">
      <c r="B153" s="82" t="s">
        <v>37</v>
      </c>
      <c r="C153" s="78">
        <v>12612.339999999967</v>
      </c>
      <c r="D153" s="78">
        <v>0</v>
      </c>
      <c r="E153" s="78">
        <v>296459.96000000002</v>
      </c>
      <c r="F153" s="78">
        <f t="shared" si="17"/>
        <v>309072.3</v>
      </c>
      <c r="G153" s="78">
        <v>270303.07</v>
      </c>
      <c r="I153" s="78">
        <v>342597.63</v>
      </c>
      <c r="J153" s="78">
        <v>33525.33</v>
      </c>
      <c r="K153" s="10">
        <f t="shared" si="18"/>
        <v>309072.3</v>
      </c>
      <c r="L153" s="78">
        <v>270303.07</v>
      </c>
      <c r="M153" s="11"/>
      <c r="N153" s="21">
        <f t="shared" si="19"/>
        <v>0</v>
      </c>
      <c r="O153" s="423">
        <v>1961.8800000000047</v>
      </c>
      <c r="P153" s="46">
        <f t="shared" si="20"/>
        <v>0</v>
      </c>
      <c r="R153" s="457"/>
    </row>
    <row r="154" spans="2:18" ht="15.6">
      <c r="B154" s="82" t="s">
        <v>133</v>
      </c>
      <c r="C154" s="78">
        <v>9165.4899999999852</v>
      </c>
      <c r="D154" s="78"/>
      <c r="E154" s="78">
        <v>234418.74</v>
      </c>
      <c r="F154" s="78">
        <f t="shared" si="17"/>
        <v>243584.22999999998</v>
      </c>
      <c r="G154" s="78">
        <v>213795.07</v>
      </c>
      <c r="I154" s="78">
        <v>274697.53999999998</v>
      </c>
      <c r="J154" s="78">
        <v>31113.31</v>
      </c>
      <c r="K154" s="10">
        <f t="shared" si="18"/>
        <v>243584.22999999998</v>
      </c>
      <c r="L154" s="78">
        <v>213795.07</v>
      </c>
      <c r="M154" s="11"/>
      <c r="N154" s="21">
        <f t="shared" si="19"/>
        <v>0</v>
      </c>
      <c r="O154" s="423">
        <v>1513.3600000000151</v>
      </c>
      <c r="P154" s="46">
        <f t="shared" si="20"/>
        <v>0</v>
      </c>
      <c r="R154" s="457"/>
    </row>
    <row r="155" spans="2:18" ht="15.6">
      <c r="B155" s="82" t="s">
        <v>123</v>
      </c>
      <c r="C155" s="78">
        <v>27897.839999999967</v>
      </c>
      <c r="D155" s="78">
        <v>0</v>
      </c>
      <c r="E155" s="78">
        <v>526620.67000000004</v>
      </c>
      <c r="F155" s="78">
        <f t="shared" si="17"/>
        <v>554518.51</v>
      </c>
      <c r="G155" s="78">
        <v>472710.40000000002</v>
      </c>
      <c r="I155" s="78">
        <v>614518.85</v>
      </c>
      <c r="J155" s="78">
        <v>60000.34</v>
      </c>
      <c r="K155" s="10">
        <f t="shared" si="18"/>
        <v>554518.51</v>
      </c>
      <c r="L155" s="78">
        <v>472710.41</v>
      </c>
      <c r="M155" s="11"/>
      <c r="N155" s="21">
        <f t="shared" si="19"/>
        <v>0</v>
      </c>
      <c r="O155" s="423">
        <v>2572.5999999999767</v>
      </c>
      <c r="P155" s="46">
        <f t="shared" si="20"/>
        <v>-9.9999999511055648E-3</v>
      </c>
      <c r="R155" s="457"/>
    </row>
    <row r="156" spans="2:18" ht="15.6">
      <c r="B156" s="82" t="s">
        <v>145</v>
      </c>
      <c r="C156" s="78">
        <v>751429.51</v>
      </c>
      <c r="D156" s="78">
        <v>3227.27</v>
      </c>
      <c r="E156" s="78">
        <v>1472422.24</v>
      </c>
      <c r="F156" s="78">
        <f t="shared" si="17"/>
        <v>2227079.02</v>
      </c>
      <c r="G156" s="78">
        <v>1848430.03</v>
      </c>
      <c r="I156" s="78">
        <v>2383623.15</v>
      </c>
      <c r="J156" s="78">
        <v>156544.13</v>
      </c>
      <c r="K156" s="10">
        <f t="shared" si="18"/>
        <v>2227079.02</v>
      </c>
      <c r="L156" s="78">
        <v>1848430.11</v>
      </c>
      <c r="M156" s="11"/>
      <c r="N156" s="21">
        <f t="shared" si="19"/>
        <v>0</v>
      </c>
      <c r="O156" s="423">
        <v>34939.660000000149</v>
      </c>
      <c r="P156" s="46">
        <f t="shared" si="20"/>
        <v>-8.0000000074505806E-2</v>
      </c>
      <c r="R156" s="457"/>
    </row>
    <row r="157" spans="2:18" ht="15.6">
      <c r="B157" s="82" t="s">
        <v>124</v>
      </c>
      <c r="C157" s="78">
        <v>189420.75000000003</v>
      </c>
      <c r="D157" s="78">
        <v>0</v>
      </c>
      <c r="E157" s="78">
        <v>167470.78</v>
      </c>
      <c r="F157" s="78">
        <f t="shared" si="17"/>
        <v>356891.53</v>
      </c>
      <c r="G157" s="78">
        <v>283322.77</v>
      </c>
      <c r="I157" s="78">
        <v>387126.81</v>
      </c>
      <c r="J157" s="78">
        <v>30235.279999999999</v>
      </c>
      <c r="K157" s="10">
        <f t="shared" si="18"/>
        <v>356891.53</v>
      </c>
      <c r="L157" s="78">
        <v>283322.7</v>
      </c>
      <c r="M157" s="11"/>
      <c r="N157" s="21">
        <f t="shared" si="19"/>
        <v>0</v>
      </c>
      <c r="O157" s="423">
        <v>2219.1999999999534</v>
      </c>
      <c r="P157" s="46">
        <f t="shared" si="20"/>
        <v>7.0000000006984919E-2</v>
      </c>
      <c r="R157" s="457"/>
    </row>
    <row r="158" spans="2:18" ht="15.6">
      <c r="B158" s="82" t="s">
        <v>169</v>
      </c>
      <c r="C158" s="78">
        <v>2529586.0300000003</v>
      </c>
      <c r="D158" s="78">
        <v>11452.31</v>
      </c>
      <c r="E158" s="78">
        <v>1221497.6100000001</v>
      </c>
      <c r="F158" s="78">
        <f t="shared" si="17"/>
        <v>3762535.95</v>
      </c>
      <c r="G158" s="78">
        <v>2998554.23</v>
      </c>
      <c r="I158" s="78">
        <v>3938136.89</v>
      </c>
      <c r="J158" s="78">
        <v>175600.94</v>
      </c>
      <c r="K158" s="10">
        <f t="shared" si="18"/>
        <v>3762535.95</v>
      </c>
      <c r="L158" s="78">
        <v>2998553.69</v>
      </c>
      <c r="M158" s="11"/>
      <c r="N158" s="21">
        <f t="shared" si="19"/>
        <v>0</v>
      </c>
      <c r="O158" s="423">
        <v>48302.629999999888</v>
      </c>
      <c r="P158" s="46">
        <f t="shared" si="20"/>
        <v>0.5400000000372529</v>
      </c>
      <c r="R158" s="457"/>
    </row>
    <row r="159" spans="2:18" ht="15.6">
      <c r="B159" s="82" t="s">
        <v>243</v>
      </c>
      <c r="C159" s="78">
        <v>1376873.6300000001</v>
      </c>
      <c r="D159" s="78">
        <v>59332.26</v>
      </c>
      <c r="E159" s="78">
        <v>533668.31999999995</v>
      </c>
      <c r="F159" s="78">
        <f t="shared" si="17"/>
        <v>1969874.21</v>
      </c>
      <c r="G159" s="78">
        <v>1573252.12</v>
      </c>
      <c r="I159" s="78">
        <v>2054055.87</v>
      </c>
      <c r="J159" s="78">
        <v>84181.66</v>
      </c>
      <c r="K159" s="10">
        <f t="shared" si="18"/>
        <v>1969874.2100000002</v>
      </c>
      <c r="L159" s="78">
        <v>1573252.12</v>
      </c>
      <c r="M159" s="11"/>
      <c r="N159" s="21">
        <f t="shared" si="19"/>
        <v>0</v>
      </c>
      <c r="O159" s="423">
        <v>37881.550000000047</v>
      </c>
      <c r="P159" s="46">
        <f t="shared" si="20"/>
        <v>0</v>
      </c>
      <c r="R159" s="457"/>
    </row>
    <row r="160" spans="2:18" ht="15.6">
      <c r="B160" s="82" t="s">
        <v>175</v>
      </c>
      <c r="C160" s="78">
        <v>3507931.4899999998</v>
      </c>
      <c r="D160" s="78">
        <v>894607.13</v>
      </c>
      <c r="E160" s="78">
        <v>875924.18</v>
      </c>
      <c r="F160" s="78">
        <f t="shared" si="17"/>
        <v>5278462.8</v>
      </c>
      <c r="G160" s="78">
        <v>4185130.34</v>
      </c>
      <c r="I160" s="78">
        <v>5461296.2599999998</v>
      </c>
      <c r="J160" s="78">
        <v>182833.46</v>
      </c>
      <c r="K160" s="10">
        <f t="shared" si="18"/>
        <v>5278462.8</v>
      </c>
      <c r="L160" s="78">
        <v>4185130.34</v>
      </c>
      <c r="M160" s="11"/>
      <c r="N160" s="21">
        <f t="shared" si="19"/>
        <v>0</v>
      </c>
      <c r="O160" s="423">
        <v>86218.200000000186</v>
      </c>
      <c r="P160" s="46">
        <f t="shared" si="20"/>
        <v>0</v>
      </c>
      <c r="R160" s="457"/>
    </row>
    <row r="161" spans="2:18" ht="15.6">
      <c r="B161" s="82" t="s">
        <v>170</v>
      </c>
      <c r="C161" s="78">
        <v>567877.63</v>
      </c>
      <c r="D161" s="78">
        <v>47867.82</v>
      </c>
      <c r="E161" s="78">
        <v>31385.01</v>
      </c>
      <c r="F161" s="78">
        <f t="shared" si="17"/>
        <v>647130.46</v>
      </c>
      <c r="G161" s="78">
        <v>486955.1</v>
      </c>
      <c r="I161" s="78">
        <v>651793.09</v>
      </c>
      <c r="J161" s="78">
        <v>4662.63</v>
      </c>
      <c r="K161" s="10">
        <f t="shared" si="18"/>
        <v>647130.46</v>
      </c>
      <c r="L161" s="78">
        <v>486955.05</v>
      </c>
      <c r="M161" s="11"/>
      <c r="N161" s="21">
        <f t="shared" si="19"/>
        <v>0</v>
      </c>
      <c r="O161" s="423">
        <v>13123.239999999991</v>
      </c>
      <c r="P161" s="46">
        <f t="shared" si="20"/>
        <v>4.9999999988358468E-2</v>
      </c>
      <c r="R161" s="457"/>
    </row>
    <row r="162" spans="2:18" ht="15.6">
      <c r="B162" s="82" t="s">
        <v>203</v>
      </c>
      <c r="C162" s="78">
        <v>1730201.06</v>
      </c>
      <c r="D162" s="78">
        <v>72098.48</v>
      </c>
      <c r="E162" s="78">
        <v>651710.92000000004</v>
      </c>
      <c r="F162" s="78">
        <f t="shared" si="17"/>
        <v>2454010.46</v>
      </c>
      <c r="G162" s="78">
        <v>1981910.94</v>
      </c>
      <c r="I162" s="78">
        <v>2576126.7599999998</v>
      </c>
      <c r="J162" s="78">
        <v>122116.3</v>
      </c>
      <c r="K162" s="10">
        <f t="shared" si="18"/>
        <v>2454010.46</v>
      </c>
      <c r="L162" s="78">
        <v>1981910.94</v>
      </c>
      <c r="M162" s="11"/>
      <c r="N162" s="21">
        <f t="shared" si="19"/>
        <v>0</v>
      </c>
      <c r="O162" s="423">
        <v>50650.560000000056</v>
      </c>
      <c r="P162" s="46">
        <f t="shared" si="20"/>
        <v>0</v>
      </c>
      <c r="R162" s="457"/>
    </row>
    <row r="163" spans="2:18" ht="15.6">
      <c r="B163" s="82" t="s">
        <v>172</v>
      </c>
      <c r="C163" s="78">
        <v>405771.77999999997</v>
      </c>
      <c r="D163" s="78">
        <v>0</v>
      </c>
      <c r="E163" s="78">
        <v>0</v>
      </c>
      <c r="F163" s="78">
        <f t="shared" si="17"/>
        <v>405771.77999999997</v>
      </c>
      <c r="G163" s="78">
        <v>339905.39</v>
      </c>
      <c r="I163" s="78">
        <v>467678.93</v>
      </c>
      <c r="J163" s="78">
        <v>61907.15</v>
      </c>
      <c r="K163" s="10">
        <f t="shared" si="18"/>
        <v>405771.77999999997</v>
      </c>
      <c r="L163" s="78">
        <v>339905.39</v>
      </c>
      <c r="M163" s="11"/>
      <c r="N163" s="21">
        <f t="shared" si="19"/>
        <v>0</v>
      </c>
      <c r="O163" s="423">
        <v>27539.97000000003</v>
      </c>
      <c r="P163" s="46">
        <f t="shared" si="20"/>
        <v>0</v>
      </c>
      <c r="R163" s="457"/>
    </row>
    <row r="164" spans="2:18" ht="15.6">
      <c r="B164" s="82" t="s">
        <v>176</v>
      </c>
      <c r="C164" s="78">
        <v>67718</v>
      </c>
      <c r="D164" s="78">
        <v>0</v>
      </c>
      <c r="E164" s="78">
        <v>371899.89</v>
      </c>
      <c r="F164" s="78">
        <f t="shared" si="17"/>
        <v>439617.89</v>
      </c>
      <c r="G164" s="78">
        <v>375162.2</v>
      </c>
      <c r="I164" s="78">
        <v>490060.32</v>
      </c>
      <c r="J164" s="78">
        <v>50442.43</v>
      </c>
      <c r="K164" s="10">
        <f t="shared" si="18"/>
        <v>439617.89</v>
      </c>
      <c r="L164" s="78">
        <v>375162.16</v>
      </c>
      <c r="M164" s="11"/>
      <c r="N164" s="21">
        <f t="shared" si="19"/>
        <v>0</v>
      </c>
      <c r="O164" s="423">
        <v>3164.4799999999814</v>
      </c>
      <c r="P164" s="46">
        <f t="shared" si="20"/>
        <v>4.0000000037252903E-2</v>
      </c>
      <c r="R164" s="457"/>
    </row>
    <row r="165" spans="2:18" ht="15.6">
      <c r="B165" s="82" t="s">
        <v>177</v>
      </c>
      <c r="C165" s="78">
        <v>143872.78000000003</v>
      </c>
      <c r="D165" s="78">
        <v>0</v>
      </c>
      <c r="E165" s="78">
        <v>570172.24</v>
      </c>
      <c r="F165" s="78">
        <f t="shared" si="17"/>
        <v>714045.02</v>
      </c>
      <c r="G165" s="78">
        <v>576058.93999999994</v>
      </c>
      <c r="I165" s="78">
        <v>770062.17</v>
      </c>
      <c r="J165" s="78">
        <v>56017.15</v>
      </c>
      <c r="K165" s="10">
        <f t="shared" si="18"/>
        <v>714045.02</v>
      </c>
      <c r="L165" s="78">
        <v>576058.93999999994</v>
      </c>
      <c r="M165" s="11"/>
      <c r="N165" s="21">
        <f t="shared" si="19"/>
        <v>0</v>
      </c>
      <c r="O165" s="423">
        <v>3907.2099999999627</v>
      </c>
      <c r="P165" s="46">
        <f t="shared" si="20"/>
        <v>0</v>
      </c>
      <c r="R165" s="457"/>
    </row>
    <row r="166" spans="2:18" ht="15.6">
      <c r="B166" s="82" t="s">
        <v>178</v>
      </c>
      <c r="C166" s="78">
        <v>12094.52999999997</v>
      </c>
      <c r="D166" s="78">
        <v>0</v>
      </c>
      <c r="E166" s="78">
        <v>454058.59</v>
      </c>
      <c r="F166" s="78">
        <f t="shared" si="17"/>
        <v>466153.12</v>
      </c>
      <c r="G166" s="78">
        <v>345447.42</v>
      </c>
      <c r="I166" s="78">
        <v>494192.36</v>
      </c>
      <c r="J166" s="78">
        <v>28039.24</v>
      </c>
      <c r="K166" s="10">
        <f t="shared" si="18"/>
        <v>466153.12</v>
      </c>
      <c r="L166" s="78">
        <v>345447.42</v>
      </c>
      <c r="M166" s="11"/>
      <c r="N166" s="21">
        <f t="shared" si="19"/>
        <v>0</v>
      </c>
      <c r="O166" s="423">
        <v>1859.2800000000279</v>
      </c>
      <c r="P166" s="46">
        <f t="shared" si="20"/>
        <v>0</v>
      </c>
      <c r="R166" s="457"/>
    </row>
    <row r="167" spans="2:18" ht="15.6">
      <c r="B167" s="82" t="s">
        <v>179</v>
      </c>
      <c r="C167" s="78">
        <v>1644.9000000000233</v>
      </c>
      <c r="D167" s="78">
        <v>0</v>
      </c>
      <c r="E167" s="78">
        <v>461463.47</v>
      </c>
      <c r="F167" s="78">
        <f t="shared" si="17"/>
        <v>463108.37</v>
      </c>
      <c r="G167" s="78">
        <v>398538.57</v>
      </c>
      <c r="I167" s="78">
        <v>514793.93</v>
      </c>
      <c r="J167" s="78">
        <v>51685.56</v>
      </c>
      <c r="K167" s="10">
        <f t="shared" si="18"/>
        <v>463108.37</v>
      </c>
      <c r="L167" s="78">
        <v>398538.59</v>
      </c>
      <c r="M167" s="11"/>
      <c r="N167" s="21">
        <f t="shared" si="19"/>
        <v>0</v>
      </c>
      <c r="O167" s="423">
        <v>2067.070000000007</v>
      </c>
      <c r="P167" s="46">
        <f t="shared" si="20"/>
        <v>-2.0000000018626451E-2</v>
      </c>
      <c r="R167" s="457"/>
    </row>
    <row r="168" spans="2:18" ht="15.6">
      <c r="B168" s="82" t="s">
        <v>181</v>
      </c>
      <c r="C168" s="78">
        <v>19926.73000000001</v>
      </c>
      <c r="D168" s="78">
        <v>0</v>
      </c>
      <c r="E168" s="78">
        <v>173054.84</v>
      </c>
      <c r="F168" s="78">
        <f t="shared" si="17"/>
        <v>192981.57</v>
      </c>
      <c r="G168" s="78">
        <v>166627.10999999999</v>
      </c>
      <c r="I168" s="78">
        <v>213745.45</v>
      </c>
      <c r="J168" s="78">
        <v>20763.88</v>
      </c>
      <c r="K168" s="10">
        <f t="shared" si="18"/>
        <v>192981.57</v>
      </c>
      <c r="L168" s="78">
        <v>166627.1</v>
      </c>
      <c r="M168" s="11"/>
      <c r="N168" s="21">
        <f t="shared" si="19"/>
        <v>0</v>
      </c>
      <c r="O168" s="423">
        <v>1455.4700000000012</v>
      </c>
      <c r="P168" s="46">
        <f t="shared" si="20"/>
        <v>9.9999999802093953E-3</v>
      </c>
      <c r="R168" s="457"/>
    </row>
    <row r="169" spans="2:18" ht="15.6">
      <c r="B169" s="82" t="s">
        <v>182</v>
      </c>
      <c r="C169" s="78">
        <v>19647.910000000033</v>
      </c>
      <c r="D169" s="78">
        <v>0</v>
      </c>
      <c r="E169" s="78">
        <v>131442.85999999999</v>
      </c>
      <c r="F169" s="78">
        <f t="shared" si="17"/>
        <v>151090.77000000002</v>
      </c>
      <c r="G169" s="78">
        <v>130479.41</v>
      </c>
      <c r="I169" s="78">
        <v>167809.57</v>
      </c>
      <c r="J169" s="78">
        <v>16718.8</v>
      </c>
      <c r="K169" s="10">
        <f t="shared" si="18"/>
        <v>151090.77000000002</v>
      </c>
      <c r="L169" s="78">
        <v>130479.41</v>
      </c>
      <c r="M169" s="11"/>
      <c r="N169" s="21">
        <f t="shared" si="19"/>
        <v>0</v>
      </c>
      <c r="O169" s="423">
        <v>602.70999999999185</v>
      </c>
      <c r="P169" s="46">
        <f t="shared" si="20"/>
        <v>0</v>
      </c>
      <c r="R169" s="457"/>
    </row>
    <row r="170" spans="2:18" ht="15.6">
      <c r="B170" s="82" t="s">
        <v>187</v>
      </c>
      <c r="C170" s="78">
        <v>71253.799999999988</v>
      </c>
      <c r="D170" s="78">
        <v>0</v>
      </c>
      <c r="E170" s="78">
        <v>221992.38</v>
      </c>
      <c r="F170" s="78">
        <f t="shared" si="17"/>
        <v>293246.18</v>
      </c>
      <c r="G170" s="78">
        <v>247872.99</v>
      </c>
      <c r="I170" s="78">
        <v>319391.62</v>
      </c>
      <c r="J170" s="78">
        <v>26145.439999999999</v>
      </c>
      <c r="K170" s="10">
        <f t="shared" si="18"/>
        <v>293246.18</v>
      </c>
      <c r="L170" s="78">
        <v>247872.98</v>
      </c>
      <c r="M170" s="11"/>
      <c r="N170" s="21">
        <f t="shared" si="19"/>
        <v>0</v>
      </c>
      <c r="O170" s="423">
        <v>1247.5800000000163</v>
      </c>
      <c r="P170" s="46">
        <f t="shared" si="20"/>
        <v>9.9999999802093953E-3</v>
      </c>
      <c r="R170" s="457"/>
    </row>
    <row r="171" spans="2:18" ht="15.6">
      <c r="B171" s="82" t="s">
        <v>233</v>
      </c>
      <c r="C171" s="78">
        <v>72914</v>
      </c>
      <c r="D171" s="78">
        <v>0</v>
      </c>
      <c r="E171" s="78">
        <v>515680.11</v>
      </c>
      <c r="F171" s="78">
        <f t="shared" si="17"/>
        <v>588594.11</v>
      </c>
      <c r="G171" s="78">
        <v>502475.98</v>
      </c>
      <c r="I171" s="78">
        <v>651985.28</v>
      </c>
      <c r="J171" s="78">
        <v>63391.17</v>
      </c>
      <c r="K171" s="10">
        <f t="shared" si="18"/>
        <v>588594.11</v>
      </c>
      <c r="L171" s="78">
        <v>502425.41</v>
      </c>
      <c r="M171" s="11"/>
      <c r="N171" s="21">
        <f t="shared" si="19"/>
        <v>0</v>
      </c>
      <c r="O171" s="423">
        <v>2641.8800000000047</v>
      </c>
      <c r="P171" s="46">
        <f t="shared" si="20"/>
        <v>50.570000000006985</v>
      </c>
      <c r="R171" s="457"/>
    </row>
    <row r="172" spans="2:18" ht="15.6">
      <c r="B172" s="84" t="s">
        <v>240</v>
      </c>
      <c r="C172" s="78">
        <v>182719.86</v>
      </c>
      <c r="D172" s="78">
        <v>0</v>
      </c>
      <c r="E172" s="78">
        <v>620050.56999999995</v>
      </c>
      <c r="F172" s="78">
        <f t="shared" si="17"/>
        <v>802770.42999999993</v>
      </c>
      <c r="G172" s="78">
        <v>690752.61</v>
      </c>
      <c r="I172" s="78">
        <v>880061</v>
      </c>
      <c r="J172" s="78">
        <v>77290.570000000007</v>
      </c>
      <c r="K172" s="10">
        <f t="shared" si="18"/>
        <v>802770.42999999993</v>
      </c>
      <c r="L172" s="78">
        <v>690752.59</v>
      </c>
      <c r="M172" s="11"/>
      <c r="N172" s="21">
        <f t="shared" si="19"/>
        <v>0</v>
      </c>
      <c r="O172" s="423">
        <v>3477.2700000000186</v>
      </c>
      <c r="P172" s="46">
        <f t="shared" si="20"/>
        <v>2.0000000018626451E-2</v>
      </c>
      <c r="R172" s="457"/>
    </row>
    <row r="173" spans="2:18" ht="15.6">
      <c r="B173" s="84" t="s">
        <v>245</v>
      </c>
      <c r="C173" s="78">
        <v>0</v>
      </c>
      <c r="D173" s="78"/>
      <c r="E173" s="78"/>
      <c r="F173" s="78">
        <f t="shared" si="17"/>
        <v>0</v>
      </c>
      <c r="G173" s="78"/>
      <c r="I173" s="78"/>
      <c r="J173" s="78"/>
      <c r="K173" s="10">
        <f t="shared" si="18"/>
        <v>0</v>
      </c>
      <c r="L173" s="78"/>
      <c r="M173" s="11"/>
      <c r="N173" s="21">
        <f t="shared" si="19"/>
        <v>0</v>
      </c>
      <c r="O173" s="423">
        <v>0</v>
      </c>
      <c r="P173" s="46">
        <f t="shared" si="20"/>
        <v>0</v>
      </c>
      <c r="R173" s="457"/>
    </row>
    <row r="174" spans="2:18" ht="15.6">
      <c r="B174" s="441" t="s">
        <v>357</v>
      </c>
      <c r="C174" s="78">
        <v>2026615.29</v>
      </c>
      <c r="D174" s="78">
        <v>10045.879999999999</v>
      </c>
      <c r="E174" s="78">
        <v>57280.05</v>
      </c>
      <c r="F174" s="78">
        <f t="shared" si="17"/>
        <v>2093941.22</v>
      </c>
      <c r="G174" s="78">
        <v>1617235.72</v>
      </c>
      <c r="I174" s="78">
        <v>2170937.88</v>
      </c>
      <c r="J174" s="78">
        <v>76996.66</v>
      </c>
      <c r="K174" s="10">
        <f t="shared" si="18"/>
        <v>2093941.22</v>
      </c>
      <c r="L174" s="78">
        <v>1617235.72</v>
      </c>
      <c r="M174" s="11"/>
      <c r="N174" s="21">
        <f t="shared" si="19"/>
        <v>0</v>
      </c>
      <c r="O174" s="423">
        <v>51796.280000000028</v>
      </c>
      <c r="P174" s="46">
        <f t="shared" si="20"/>
        <v>0</v>
      </c>
      <c r="R174" s="457"/>
    </row>
    <row r="175" spans="2:18" ht="15.6">
      <c r="B175" s="441" t="s">
        <v>362</v>
      </c>
      <c r="C175" s="78">
        <v>119763.18000000005</v>
      </c>
      <c r="D175" s="78">
        <v>0</v>
      </c>
      <c r="E175" s="78">
        <v>555028.39</v>
      </c>
      <c r="F175" s="78">
        <f t="shared" si="17"/>
        <v>674791.57000000007</v>
      </c>
      <c r="G175" s="78">
        <v>513920.99</v>
      </c>
      <c r="I175" s="78">
        <v>704429.29</v>
      </c>
      <c r="J175" s="78">
        <v>29637.72</v>
      </c>
      <c r="K175" s="10">
        <f t="shared" si="18"/>
        <v>674791.57000000007</v>
      </c>
      <c r="L175" s="78">
        <v>513920.99</v>
      </c>
      <c r="M175" s="11"/>
      <c r="N175" s="21">
        <f t="shared" si="19"/>
        <v>0</v>
      </c>
      <c r="O175" s="423">
        <v>2776.8799999998882</v>
      </c>
      <c r="P175" s="46">
        <f t="shared" si="20"/>
        <v>0</v>
      </c>
      <c r="R175" s="457"/>
    </row>
    <row r="176" spans="2:18" ht="16.2" thickBot="1">
      <c r="B176" s="441" t="s">
        <v>361</v>
      </c>
      <c r="C176" s="78">
        <v>107946.92000000004</v>
      </c>
      <c r="D176" s="78">
        <v>31.5</v>
      </c>
      <c r="E176" s="78">
        <v>531777.86</v>
      </c>
      <c r="F176" s="78">
        <f t="shared" si="17"/>
        <v>639756.28</v>
      </c>
      <c r="G176" s="78">
        <v>547834.64</v>
      </c>
      <c r="I176" s="78">
        <v>697722.89</v>
      </c>
      <c r="J176" s="78">
        <v>57966.61</v>
      </c>
      <c r="K176" s="10">
        <f t="shared" si="18"/>
        <v>639756.28</v>
      </c>
      <c r="L176" s="78">
        <v>547834.66</v>
      </c>
      <c r="M176" s="11"/>
      <c r="N176" s="21">
        <f t="shared" si="19"/>
        <v>0</v>
      </c>
      <c r="O176" s="423">
        <v>5546.8199999999488</v>
      </c>
      <c r="P176" s="46">
        <f t="shared" si="20"/>
        <v>-2.0000000018626451E-2</v>
      </c>
      <c r="R176" s="457"/>
    </row>
    <row r="177" spans="2:18" ht="16.2" thickBot="1">
      <c r="B177" s="83" t="s">
        <v>194</v>
      </c>
      <c r="C177" s="92">
        <f>SUM(C148:C176)</f>
        <v>26998313.279999997</v>
      </c>
      <c r="D177" s="92">
        <f t="shared" ref="D177:P177" si="21">SUM(D148:D176)</f>
        <v>3622345.63</v>
      </c>
      <c r="E177" s="92">
        <f t="shared" si="21"/>
        <v>19773907.18</v>
      </c>
      <c r="F177" s="92">
        <f t="shared" si="21"/>
        <v>50394566.090000004</v>
      </c>
      <c r="G177" s="92">
        <f t="shared" si="21"/>
        <v>40884130.390000001</v>
      </c>
      <c r="H177" s="92">
        <f t="shared" si="21"/>
        <v>0</v>
      </c>
      <c r="I177" s="92">
        <f t="shared" si="21"/>
        <v>53336926.140000001</v>
      </c>
      <c r="J177" s="92">
        <f t="shared" si="21"/>
        <v>2942360.05</v>
      </c>
      <c r="K177" s="92">
        <f t="shared" si="21"/>
        <v>50394566.090000004</v>
      </c>
      <c r="L177" s="92">
        <f t="shared" si="21"/>
        <v>40884079.139999993</v>
      </c>
      <c r="M177" s="92">
        <f t="shared" si="21"/>
        <v>0</v>
      </c>
      <c r="N177" s="92">
        <f t="shared" si="21"/>
        <v>0</v>
      </c>
      <c r="O177" s="92">
        <f t="shared" si="21"/>
        <v>708592.15000000037</v>
      </c>
      <c r="P177" s="92">
        <f t="shared" si="21"/>
        <v>51.249999999592546</v>
      </c>
    </row>
    <row r="180" spans="2:18" ht="13.8" thickBot="1"/>
    <row r="181" spans="2:18" ht="21.6" thickBot="1">
      <c r="B181" s="637" t="s">
        <v>161</v>
      </c>
      <c r="C181" s="638"/>
      <c r="D181" s="638"/>
      <c r="E181" s="638"/>
      <c r="F181" s="638"/>
      <c r="G181" s="639"/>
      <c r="I181" s="640" t="s">
        <v>149</v>
      </c>
      <c r="J181" s="641"/>
      <c r="K181" s="641"/>
      <c r="L181" s="642"/>
      <c r="M181" s="49"/>
      <c r="N181" s="23"/>
      <c r="O181" s="423"/>
      <c r="P181" s="23"/>
    </row>
    <row r="182" spans="2:18" ht="16.2" thickBot="1">
      <c r="B182" s="77" t="s">
        <v>34</v>
      </c>
      <c r="C182" s="80" t="s">
        <v>115</v>
      </c>
      <c r="D182" s="80" t="s">
        <v>21</v>
      </c>
      <c r="E182" s="80" t="s">
        <v>116</v>
      </c>
      <c r="F182" s="80" t="s">
        <v>162</v>
      </c>
      <c r="G182" s="81" t="s">
        <v>163</v>
      </c>
      <c r="H182" s="48" t="s">
        <v>5</v>
      </c>
      <c r="I182" s="26" t="s">
        <v>114</v>
      </c>
      <c r="J182" s="24" t="s">
        <v>164</v>
      </c>
      <c r="K182" s="24" t="s">
        <v>165</v>
      </c>
      <c r="L182" s="25" t="s">
        <v>166</v>
      </c>
      <c r="M182" s="85"/>
      <c r="N182" s="27" t="s">
        <v>167</v>
      </c>
      <c r="O182" s="423"/>
      <c r="P182" s="27" t="s">
        <v>168</v>
      </c>
    </row>
    <row r="183" spans="2:18" ht="15.6">
      <c r="B183" s="82" t="s">
        <v>36</v>
      </c>
      <c r="C183" s="78">
        <v>4309083.29</v>
      </c>
      <c r="D183" s="78">
        <v>657047.38</v>
      </c>
      <c r="E183" s="102">
        <v>1113859.78</v>
      </c>
      <c r="F183" s="78">
        <f>C183+D183+E183</f>
        <v>6079990.4500000002</v>
      </c>
      <c r="G183" s="78">
        <v>4834090.2</v>
      </c>
      <c r="H183" s="6"/>
      <c r="I183" s="78">
        <v>6347584.3300000001</v>
      </c>
      <c r="J183" s="78">
        <v>267593.88</v>
      </c>
      <c r="K183" s="10">
        <f t="shared" ref="K183:K208" si="22">I183-J183</f>
        <v>6079990.4500000002</v>
      </c>
      <c r="L183" s="78">
        <v>4834090.24</v>
      </c>
      <c r="M183" s="11"/>
      <c r="N183" s="21">
        <f t="shared" ref="N183:N208" si="23">F183-K183</f>
        <v>0</v>
      </c>
      <c r="O183" s="423">
        <v>100829.59999999963</v>
      </c>
      <c r="P183" s="21">
        <f t="shared" ref="P183:P208" si="24">G183-L183</f>
        <v>-4.0000000037252903E-2</v>
      </c>
      <c r="Q183" s="1">
        <v>4409912.8899999997</v>
      </c>
      <c r="R183" s="457">
        <f>Q183-O183</f>
        <v>4309083.29</v>
      </c>
    </row>
    <row r="184" spans="2:18" ht="15.6">
      <c r="B184" s="82" t="s">
        <v>9</v>
      </c>
      <c r="C184" s="78">
        <v>3240915.04</v>
      </c>
      <c r="D184" s="78">
        <v>1381272.57</v>
      </c>
      <c r="E184" s="102">
        <v>453438.45</v>
      </c>
      <c r="F184" s="78">
        <f t="shared" ref="F184:F208" si="25">C184+D184+E184</f>
        <v>5075626.0600000005</v>
      </c>
      <c r="G184" s="78">
        <v>4024289.24</v>
      </c>
      <c r="H184" s="6"/>
      <c r="I184" s="78">
        <v>5288423.33</v>
      </c>
      <c r="J184" s="78">
        <v>212797.27</v>
      </c>
      <c r="K184" s="10">
        <f t="shared" si="22"/>
        <v>5075626.0600000005</v>
      </c>
      <c r="L184" s="78">
        <v>4024289.24</v>
      </c>
      <c r="M184" s="11"/>
      <c r="N184" s="21">
        <f t="shared" si="23"/>
        <v>0</v>
      </c>
      <c r="O184" s="423">
        <v>79043.609999999404</v>
      </c>
      <c r="P184" s="21">
        <f t="shared" si="24"/>
        <v>0</v>
      </c>
      <c r="Q184" s="1">
        <v>3319958.6499999994</v>
      </c>
      <c r="R184" s="457">
        <f t="shared" ref="R184:R211" si="26">Q184-O184</f>
        <v>3240915.04</v>
      </c>
    </row>
    <row r="185" spans="2:18" ht="15.6">
      <c r="B185" s="82" t="s">
        <v>25</v>
      </c>
      <c r="C185" s="78">
        <v>1379010.5100000002</v>
      </c>
      <c r="D185" s="78">
        <v>443322.54</v>
      </c>
      <c r="E185" s="102">
        <v>1680056.15</v>
      </c>
      <c r="F185" s="78">
        <f t="shared" si="25"/>
        <v>3502389.2</v>
      </c>
      <c r="G185" s="78">
        <v>2878932.45</v>
      </c>
      <c r="H185" s="6"/>
      <c r="I185" s="78">
        <v>3776969.56</v>
      </c>
      <c r="J185" s="78">
        <v>274580.36</v>
      </c>
      <c r="K185" s="10">
        <f t="shared" si="22"/>
        <v>3502389.2</v>
      </c>
      <c r="L185" s="78">
        <v>2878932.45</v>
      </c>
      <c r="M185" s="11"/>
      <c r="N185" s="21">
        <f t="shared" si="23"/>
        <v>0</v>
      </c>
      <c r="O185" s="423">
        <v>45886.599999999627</v>
      </c>
      <c r="P185" s="21">
        <f t="shared" si="24"/>
        <v>0</v>
      </c>
      <c r="Q185" s="1">
        <v>1424897.1099999999</v>
      </c>
      <c r="R185" s="457">
        <f t="shared" si="26"/>
        <v>1379010.5100000002</v>
      </c>
    </row>
    <row r="186" spans="2:18" ht="15.6">
      <c r="B186" s="82" t="s">
        <v>160</v>
      </c>
      <c r="C186" s="78">
        <v>4777374.97</v>
      </c>
      <c r="D186" s="78">
        <v>46263.74</v>
      </c>
      <c r="E186" s="102">
        <v>2981450.3</v>
      </c>
      <c r="F186" s="78">
        <f t="shared" si="25"/>
        <v>7805089.0099999998</v>
      </c>
      <c r="G186" s="78">
        <v>6404342.2699999996</v>
      </c>
      <c r="H186" s="6"/>
      <c r="I186" s="78">
        <v>8240202.4900000002</v>
      </c>
      <c r="J186" s="78">
        <v>435113.48</v>
      </c>
      <c r="K186" s="10">
        <f t="shared" si="22"/>
        <v>7805089.0099999998</v>
      </c>
      <c r="L186" s="78">
        <v>6404342.2599999998</v>
      </c>
      <c r="M186" s="11"/>
      <c r="N186" s="21">
        <f t="shared" si="23"/>
        <v>0</v>
      </c>
      <c r="O186" s="497">
        <v>99204.470000000671</v>
      </c>
      <c r="P186" s="290">
        <f t="shared" si="24"/>
        <v>9.9999997764825821E-3</v>
      </c>
      <c r="Q186" s="1">
        <v>4876579.4400000004</v>
      </c>
      <c r="R186" s="457">
        <f t="shared" si="26"/>
        <v>4777374.97</v>
      </c>
    </row>
    <row r="187" spans="2:18" ht="15.6">
      <c r="B187" s="82" t="s">
        <v>139</v>
      </c>
      <c r="C187" s="78">
        <v>-5878.6599999999162</v>
      </c>
      <c r="D187" s="78">
        <v>0</v>
      </c>
      <c r="E187" s="102">
        <v>2038618.5</v>
      </c>
      <c r="F187" s="78">
        <f t="shared" si="25"/>
        <v>2032739.84</v>
      </c>
      <c r="G187" s="78">
        <v>1704874.82</v>
      </c>
      <c r="H187" s="6"/>
      <c r="I187" s="78">
        <v>2217874.27</v>
      </c>
      <c r="J187" s="78">
        <v>185134.43</v>
      </c>
      <c r="K187" s="10">
        <f t="shared" si="22"/>
        <v>2032739.84</v>
      </c>
      <c r="L187" s="78">
        <v>1704874.82</v>
      </c>
      <c r="M187" s="11"/>
      <c r="N187" s="21">
        <f t="shared" si="23"/>
        <v>0</v>
      </c>
      <c r="O187" s="497">
        <v>5878.6599999999162</v>
      </c>
      <c r="P187" s="290">
        <f t="shared" si="24"/>
        <v>0</v>
      </c>
      <c r="Q187" s="1">
        <v>0</v>
      </c>
      <c r="R187" s="457">
        <f t="shared" si="26"/>
        <v>-5878.6599999999162</v>
      </c>
    </row>
    <row r="188" spans="2:18" ht="15.6">
      <c r="B188" s="82" t="s">
        <v>37</v>
      </c>
      <c r="C188" s="78">
        <v>24499.869999999995</v>
      </c>
      <c r="D188" s="78">
        <v>0</v>
      </c>
      <c r="E188" s="102">
        <v>402144.15</v>
      </c>
      <c r="F188" s="78">
        <f t="shared" si="25"/>
        <v>426644.02</v>
      </c>
      <c r="G188" s="78">
        <v>378299.03</v>
      </c>
      <c r="H188" s="6"/>
      <c r="I188" s="78">
        <v>463575.86</v>
      </c>
      <c r="J188" s="78">
        <v>36931.839999999997</v>
      </c>
      <c r="K188" s="10">
        <f t="shared" si="22"/>
        <v>426644.02</v>
      </c>
      <c r="L188" s="78">
        <v>378252.64</v>
      </c>
      <c r="M188" s="11"/>
      <c r="N188" s="21">
        <f t="shared" si="23"/>
        <v>0</v>
      </c>
      <c r="O188" s="423">
        <v>2452.9099999999744</v>
      </c>
      <c r="P188" s="21">
        <f t="shared" si="24"/>
        <v>46.39000000001397</v>
      </c>
      <c r="Q188" s="1">
        <v>26952.77999999997</v>
      </c>
      <c r="R188" s="457">
        <f t="shared" si="26"/>
        <v>24499.869999999995</v>
      </c>
    </row>
    <row r="189" spans="2:18" ht="15.6">
      <c r="B189" s="82" t="s">
        <v>133</v>
      </c>
      <c r="C189" s="78">
        <v>9107.6600000000417</v>
      </c>
      <c r="D189" s="78">
        <v>0</v>
      </c>
      <c r="E189" s="102">
        <v>310409.87</v>
      </c>
      <c r="F189" s="78">
        <f t="shared" si="25"/>
        <v>319517.53000000003</v>
      </c>
      <c r="G189" s="78">
        <v>274556.82</v>
      </c>
      <c r="H189" s="6"/>
      <c r="I189" s="78">
        <v>358255.52</v>
      </c>
      <c r="J189" s="78">
        <v>38737.99</v>
      </c>
      <c r="K189" s="10">
        <f t="shared" si="22"/>
        <v>319517.53000000003</v>
      </c>
      <c r="L189" s="78">
        <v>274556.79999999999</v>
      </c>
      <c r="M189" s="11"/>
      <c r="N189" s="21">
        <f t="shared" si="23"/>
        <v>0</v>
      </c>
      <c r="O189" s="423">
        <v>2152.5799999999581</v>
      </c>
      <c r="P189" s="21">
        <f t="shared" si="24"/>
        <v>2.0000000018626451E-2</v>
      </c>
      <c r="Q189" s="1">
        <v>11260.24</v>
      </c>
      <c r="R189" s="457">
        <f t="shared" si="26"/>
        <v>9107.6600000000417</v>
      </c>
    </row>
    <row r="190" spans="2:18" ht="15.6">
      <c r="B190" s="82" t="s">
        <v>123</v>
      </c>
      <c r="C190" s="78">
        <v>21824.25</v>
      </c>
      <c r="D190" s="78">
        <v>0</v>
      </c>
      <c r="E190" s="102">
        <v>485350.73</v>
      </c>
      <c r="F190" s="78">
        <f t="shared" si="25"/>
        <v>507174.98</v>
      </c>
      <c r="G190" s="78">
        <v>436179.37</v>
      </c>
      <c r="H190" s="6"/>
      <c r="I190" s="78">
        <v>563345.99</v>
      </c>
      <c r="J190" s="78">
        <v>56171.01</v>
      </c>
      <c r="K190" s="10">
        <f t="shared" si="22"/>
        <v>507174.98</v>
      </c>
      <c r="L190" s="78">
        <v>436179.36</v>
      </c>
      <c r="M190" s="11"/>
      <c r="N190" s="21">
        <f t="shared" si="23"/>
        <v>0</v>
      </c>
      <c r="O190" s="423">
        <v>2287.7800000000279</v>
      </c>
      <c r="P190" s="21">
        <f t="shared" si="24"/>
        <v>1.0000000009313226E-2</v>
      </c>
      <c r="Q190" s="1">
        <v>24112.030000000028</v>
      </c>
      <c r="R190" s="457">
        <f t="shared" si="26"/>
        <v>21824.25</v>
      </c>
    </row>
    <row r="191" spans="2:18" ht="15.6">
      <c r="B191" s="82" t="s">
        <v>145</v>
      </c>
      <c r="C191" s="78">
        <v>890227.8899999999</v>
      </c>
      <c r="D191" s="78">
        <v>6584.24</v>
      </c>
      <c r="E191" s="102">
        <v>1432391.49</v>
      </c>
      <c r="F191" s="78">
        <f t="shared" si="25"/>
        <v>2329203.62</v>
      </c>
      <c r="G191" s="78">
        <v>1911568.62</v>
      </c>
      <c r="H191" s="6"/>
      <c r="I191" s="78">
        <v>2492926.13</v>
      </c>
      <c r="J191" s="78">
        <v>163722.51</v>
      </c>
      <c r="K191" s="10">
        <f t="shared" si="22"/>
        <v>2329203.62</v>
      </c>
      <c r="L191" s="78">
        <v>1911568.68</v>
      </c>
      <c r="M191" s="11"/>
      <c r="N191" s="21">
        <f t="shared" si="23"/>
        <v>0</v>
      </c>
      <c r="O191" s="423">
        <v>34308.169999999925</v>
      </c>
      <c r="P191" s="21">
        <f t="shared" si="24"/>
        <v>-5.9999999823048711E-2</v>
      </c>
      <c r="Q191" s="1">
        <v>924536.05999999982</v>
      </c>
      <c r="R191" s="457">
        <f t="shared" si="26"/>
        <v>890227.8899999999</v>
      </c>
    </row>
    <row r="192" spans="2:18" ht="15.6">
      <c r="B192" s="82" t="s">
        <v>124</v>
      </c>
      <c r="C192" s="78">
        <v>192457.88</v>
      </c>
      <c r="D192" s="78">
        <v>325.95</v>
      </c>
      <c r="E192" s="78">
        <v>105841.74</v>
      </c>
      <c r="F192" s="78">
        <f t="shared" si="25"/>
        <v>298625.57</v>
      </c>
      <c r="G192" s="78">
        <v>251850.14</v>
      </c>
      <c r="H192" s="6"/>
      <c r="I192" s="78">
        <v>326290.43</v>
      </c>
      <c r="J192" s="78">
        <v>27664.86</v>
      </c>
      <c r="K192" s="10">
        <f t="shared" si="22"/>
        <v>298625.57</v>
      </c>
      <c r="L192" s="78">
        <v>251850.13</v>
      </c>
      <c r="M192" s="11"/>
      <c r="N192" s="21">
        <f t="shared" si="23"/>
        <v>0</v>
      </c>
      <c r="O192" s="423">
        <v>2216.8399999999674</v>
      </c>
      <c r="P192" s="21">
        <f t="shared" si="24"/>
        <v>1.0000000009313226E-2</v>
      </c>
      <c r="Q192" s="1">
        <v>194674.71999999997</v>
      </c>
      <c r="R192" s="457">
        <f t="shared" si="26"/>
        <v>192457.88</v>
      </c>
    </row>
    <row r="193" spans="2:18" ht="15.6">
      <c r="B193" s="82" t="s">
        <v>169</v>
      </c>
      <c r="C193" s="78">
        <v>2670655.6700000004</v>
      </c>
      <c r="D193" s="78">
        <v>2332.0100000000002</v>
      </c>
      <c r="E193" s="78">
        <v>975105.85</v>
      </c>
      <c r="F193" s="78">
        <f t="shared" si="25"/>
        <v>3648093.5300000003</v>
      </c>
      <c r="G193" s="78">
        <v>2934608.34</v>
      </c>
      <c r="H193" s="6"/>
      <c r="I193" s="78">
        <v>3811369.66</v>
      </c>
      <c r="J193" s="78">
        <v>163276.13</v>
      </c>
      <c r="K193" s="10">
        <f t="shared" si="22"/>
        <v>3648093.5300000003</v>
      </c>
      <c r="L193" s="78">
        <v>2934608.13</v>
      </c>
      <c r="M193" s="11"/>
      <c r="N193" s="21">
        <f t="shared" si="23"/>
        <v>0</v>
      </c>
      <c r="O193" s="423">
        <v>55483.519999999553</v>
      </c>
      <c r="P193" s="21">
        <f t="shared" si="24"/>
        <v>0.2099999999627471</v>
      </c>
      <c r="Q193" s="1">
        <v>2726139.19</v>
      </c>
      <c r="R193" s="457">
        <f t="shared" si="26"/>
        <v>2670655.6700000004</v>
      </c>
    </row>
    <row r="194" spans="2:18" ht="15.6">
      <c r="B194" s="82" t="s">
        <v>243</v>
      </c>
      <c r="C194" s="78">
        <f>2072695.04-D194-E194-36692.72</f>
        <v>1357390.45</v>
      </c>
      <c r="D194" s="78">
        <v>105063.97</v>
      </c>
      <c r="E194" s="78">
        <v>573547.9</v>
      </c>
      <c r="F194" s="78">
        <f t="shared" si="25"/>
        <v>2036002.3199999998</v>
      </c>
      <c r="G194" s="78">
        <v>1605177.08</v>
      </c>
      <c r="H194" s="6"/>
      <c r="I194" s="78">
        <v>2109831.17</v>
      </c>
      <c r="J194" s="78">
        <v>73828.850000000006</v>
      </c>
      <c r="K194" s="10">
        <f t="shared" si="22"/>
        <v>2036002.3199999998</v>
      </c>
      <c r="L194" s="78">
        <v>1605177.08</v>
      </c>
      <c r="M194" s="11">
        <f>37201.37-508.65</f>
        <v>36692.720000000001</v>
      </c>
      <c r="N194" s="21">
        <f t="shared" si="23"/>
        <v>0</v>
      </c>
      <c r="O194" s="423">
        <v>151516.64000000013</v>
      </c>
      <c r="P194" s="21">
        <f t="shared" si="24"/>
        <v>0</v>
      </c>
      <c r="Q194" s="1">
        <v>1394083.17</v>
      </c>
      <c r="R194" s="457">
        <f t="shared" si="26"/>
        <v>1242566.5299999998</v>
      </c>
    </row>
    <row r="195" spans="2:18" ht="15.6">
      <c r="B195" s="82" t="s">
        <v>175</v>
      </c>
      <c r="C195" s="78">
        <v>3863395.9200000009</v>
      </c>
      <c r="D195" s="78">
        <v>906589.3</v>
      </c>
      <c r="E195" s="78">
        <v>1111552.6299999999</v>
      </c>
      <c r="F195" s="78">
        <f t="shared" si="25"/>
        <v>5881537.8500000006</v>
      </c>
      <c r="G195" s="78">
        <v>4634280.24</v>
      </c>
      <c r="H195" s="111"/>
      <c r="I195" s="78">
        <v>6057259.6500000004</v>
      </c>
      <c r="J195" s="78">
        <v>175721.8</v>
      </c>
      <c r="K195" s="10">
        <f t="shared" si="22"/>
        <v>5881537.8500000006</v>
      </c>
      <c r="L195" s="78">
        <v>4634280.24</v>
      </c>
      <c r="M195" s="11"/>
      <c r="N195" s="21">
        <f t="shared" si="23"/>
        <v>0</v>
      </c>
      <c r="O195" s="423">
        <v>94922.339999999851</v>
      </c>
      <c r="P195" s="21">
        <f t="shared" si="24"/>
        <v>0</v>
      </c>
      <c r="Q195" s="1">
        <v>3958318.2600000007</v>
      </c>
      <c r="R195" s="457">
        <f t="shared" si="26"/>
        <v>3863395.9200000009</v>
      </c>
    </row>
    <row r="196" spans="2:18" ht="15.6">
      <c r="B196" s="82" t="s">
        <v>170</v>
      </c>
      <c r="C196" s="78">
        <v>842940.85000000009</v>
      </c>
      <c r="D196" s="78">
        <v>99037.35</v>
      </c>
      <c r="E196" s="78">
        <v>28267.34</v>
      </c>
      <c r="F196" s="78">
        <f t="shared" si="25"/>
        <v>970245.54</v>
      </c>
      <c r="G196" s="78">
        <v>732008.74</v>
      </c>
      <c r="H196" s="6"/>
      <c r="I196" s="78">
        <v>974004.4</v>
      </c>
      <c r="J196" s="78">
        <v>3758.86</v>
      </c>
      <c r="K196" s="10">
        <f t="shared" si="22"/>
        <v>970245.54</v>
      </c>
      <c r="L196" s="78">
        <v>732008.61</v>
      </c>
      <c r="M196" s="11"/>
      <c r="N196" s="21">
        <f t="shared" si="23"/>
        <v>0</v>
      </c>
      <c r="O196" s="423">
        <v>21458.359999999986</v>
      </c>
      <c r="P196" s="21">
        <f t="shared" si="24"/>
        <v>0.13000000000465661</v>
      </c>
      <c r="Q196" s="1">
        <v>864399.21000000008</v>
      </c>
      <c r="R196" s="457">
        <f t="shared" si="26"/>
        <v>842940.85000000009</v>
      </c>
    </row>
    <row r="197" spans="2:18" ht="15.6">
      <c r="B197" s="82" t="s">
        <v>203</v>
      </c>
      <c r="C197" s="78">
        <v>1657794</v>
      </c>
      <c r="D197" s="78">
        <v>70741.34</v>
      </c>
      <c r="E197" s="78">
        <v>613723.56999999995</v>
      </c>
      <c r="F197" s="78">
        <f t="shared" si="25"/>
        <v>2342258.91</v>
      </c>
      <c r="G197" s="78">
        <v>1883622.14</v>
      </c>
      <c r="H197" s="6"/>
      <c r="I197" s="78">
        <v>2459894.04</v>
      </c>
      <c r="J197" s="78">
        <v>117635.13</v>
      </c>
      <c r="K197" s="10">
        <f t="shared" si="22"/>
        <v>2342258.91</v>
      </c>
      <c r="L197" s="78">
        <v>1883622.14</v>
      </c>
      <c r="M197" s="11"/>
      <c r="N197" s="21">
        <f t="shared" si="23"/>
        <v>0</v>
      </c>
      <c r="O197" s="423">
        <v>47080.840000000317</v>
      </c>
      <c r="P197" s="21">
        <f t="shared" si="24"/>
        <v>0</v>
      </c>
      <c r="Q197" s="1">
        <v>1704874.8400000003</v>
      </c>
      <c r="R197" s="457">
        <f t="shared" si="26"/>
        <v>1657794</v>
      </c>
    </row>
    <row r="198" spans="2:18" ht="15.6">
      <c r="B198" s="82" t="s">
        <v>172</v>
      </c>
      <c r="C198" s="78">
        <v>256593.15999999997</v>
      </c>
      <c r="D198" s="78">
        <v>0</v>
      </c>
      <c r="E198" s="78">
        <v>0</v>
      </c>
      <c r="F198" s="78">
        <f t="shared" si="25"/>
        <v>256593.15999999997</v>
      </c>
      <c r="G198" s="78">
        <v>215411.88</v>
      </c>
      <c r="H198" s="6"/>
      <c r="I198" s="78">
        <v>296271.73</v>
      </c>
      <c r="J198" s="78">
        <v>39678.57</v>
      </c>
      <c r="K198" s="10">
        <f t="shared" si="22"/>
        <v>256593.15999999997</v>
      </c>
      <c r="L198" s="78">
        <v>215411.89</v>
      </c>
      <c r="M198" s="11"/>
      <c r="N198" s="21">
        <f t="shared" si="23"/>
        <v>0</v>
      </c>
      <c r="O198" s="423">
        <v>21132.320000000007</v>
      </c>
      <c r="P198" s="21">
        <f t="shared" si="24"/>
        <v>-1.0000000009313226E-2</v>
      </c>
      <c r="Q198" s="1">
        <v>277725.48</v>
      </c>
      <c r="R198" s="457">
        <f t="shared" si="26"/>
        <v>256593.15999999997</v>
      </c>
    </row>
    <row r="199" spans="2:18" ht="15.6">
      <c r="B199" s="82" t="s">
        <v>176</v>
      </c>
      <c r="C199" s="78">
        <v>96460.990000000049</v>
      </c>
      <c r="D199" s="78">
        <v>0</v>
      </c>
      <c r="E199" s="78">
        <v>387432.1</v>
      </c>
      <c r="F199" s="78">
        <f t="shared" si="25"/>
        <v>483893.09</v>
      </c>
      <c r="G199" s="78">
        <v>406182.22</v>
      </c>
      <c r="H199" s="6"/>
      <c r="I199" s="78">
        <v>529832.38</v>
      </c>
      <c r="J199" s="78">
        <v>45939.29</v>
      </c>
      <c r="K199" s="10">
        <f t="shared" si="22"/>
        <v>483893.09</v>
      </c>
      <c r="L199" s="78">
        <v>406182.22</v>
      </c>
      <c r="M199" s="11"/>
      <c r="N199" s="21">
        <f t="shared" si="23"/>
        <v>0</v>
      </c>
      <c r="O199" s="277">
        <v>3709.109999999986</v>
      </c>
      <c r="P199" s="21">
        <f t="shared" si="24"/>
        <v>0</v>
      </c>
      <c r="Q199" s="1">
        <v>100170.10000000003</v>
      </c>
      <c r="R199" s="457">
        <f t="shared" si="26"/>
        <v>96460.990000000049</v>
      </c>
    </row>
    <row r="200" spans="2:18" ht="15.6">
      <c r="B200" s="82" t="s">
        <v>177</v>
      </c>
      <c r="C200" s="78">
        <v>144516.19000000006</v>
      </c>
      <c r="D200" s="78">
        <v>0</v>
      </c>
      <c r="E200" s="78">
        <v>619886.22</v>
      </c>
      <c r="F200" s="78">
        <f t="shared" si="25"/>
        <v>764402.41</v>
      </c>
      <c r="G200" s="78">
        <v>613623.46</v>
      </c>
      <c r="H200" s="6"/>
      <c r="I200" s="78">
        <v>821884.53</v>
      </c>
      <c r="J200" s="78">
        <v>57482.12</v>
      </c>
      <c r="K200" s="10">
        <f t="shared" si="22"/>
        <v>764402.41</v>
      </c>
      <c r="L200" s="78">
        <v>613623.46</v>
      </c>
      <c r="M200" s="11"/>
      <c r="N200" s="21">
        <f t="shared" si="23"/>
        <v>0</v>
      </c>
      <c r="O200" s="277">
        <v>4220.8699999999953</v>
      </c>
      <c r="P200" s="21">
        <f t="shared" si="24"/>
        <v>0</v>
      </c>
      <c r="Q200" s="1">
        <v>148737.06000000006</v>
      </c>
      <c r="R200" s="457">
        <f t="shared" si="26"/>
        <v>144516.19000000006</v>
      </c>
    </row>
    <row r="201" spans="2:18" ht="15.6">
      <c r="B201" s="82" t="s">
        <v>178</v>
      </c>
      <c r="C201" s="78">
        <v>34469.840000000026</v>
      </c>
      <c r="D201" s="78">
        <v>0</v>
      </c>
      <c r="E201" s="78">
        <v>393893.48</v>
      </c>
      <c r="F201" s="78">
        <f t="shared" si="25"/>
        <v>428363.32</v>
      </c>
      <c r="G201" s="78">
        <v>322479.93</v>
      </c>
      <c r="H201" s="6"/>
      <c r="I201" s="78">
        <v>456343.82</v>
      </c>
      <c r="J201" s="78">
        <v>27980.5</v>
      </c>
      <c r="K201" s="10">
        <f t="shared" si="22"/>
        <v>428363.32</v>
      </c>
      <c r="L201" s="78">
        <v>322479.93</v>
      </c>
      <c r="M201" s="11"/>
      <c r="N201" s="21">
        <f t="shared" si="23"/>
        <v>0</v>
      </c>
      <c r="O201" s="277">
        <v>1814.5299999999697</v>
      </c>
      <c r="P201" s="21">
        <f t="shared" si="24"/>
        <v>0</v>
      </c>
      <c r="Q201" s="1">
        <v>36284.369999999995</v>
      </c>
      <c r="R201" s="457">
        <f t="shared" si="26"/>
        <v>34469.840000000026</v>
      </c>
    </row>
    <row r="202" spans="2:18" ht="15.6">
      <c r="B202" s="82" t="s">
        <v>179</v>
      </c>
      <c r="C202" s="78">
        <v>416.29000000003725</v>
      </c>
      <c r="D202" s="78">
        <v>0</v>
      </c>
      <c r="E202" s="78">
        <v>532838.87</v>
      </c>
      <c r="F202" s="78">
        <f t="shared" si="25"/>
        <v>533255.16</v>
      </c>
      <c r="G202" s="78">
        <v>436669.45</v>
      </c>
      <c r="H202" s="6"/>
      <c r="I202" s="78">
        <v>580895.26</v>
      </c>
      <c r="J202" s="78">
        <v>47640.1</v>
      </c>
      <c r="K202" s="10">
        <f t="shared" si="22"/>
        <v>533255.16</v>
      </c>
      <c r="L202" s="78">
        <v>436669.43</v>
      </c>
      <c r="M202" s="11"/>
      <c r="N202" s="21">
        <f t="shared" si="23"/>
        <v>0</v>
      </c>
      <c r="O202" s="277">
        <v>2719.3099999999395</v>
      </c>
      <c r="P202" s="21">
        <f t="shared" si="24"/>
        <v>2.0000000018626451E-2</v>
      </c>
      <c r="Q202" s="1">
        <v>3135.5999999999767</v>
      </c>
      <c r="R202" s="457">
        <f t="shared" si="26"/>
        <v>416.29000000003725</v>
      </c>
    </row>
    <row r="203" spans="2:18" ht="15.6">
      <c r="B203" s="82" t="s">
        <v>181</v>
      </c>
      <c r="C203" s="78">
        <v>22990.879999999976</v>
      </c>
      <c r="D203" s="78">
        <v>0</v>
      </c>
      <c r="E203" s="78">
        <v>231193.15</v>
      </c>
      <c r="F203" s="78">
        <f t="shared" si="25"/>
        <v>254184.02999999997</v>
      </c>
      <c r="G203" s="78">
        <v>219769.55</v>
      </c>
      <c r="H203" s="6"/>
      <c r="I203" s="78">
        <v>280848.34999999998</v>
      </c>
      <c r="J203" s="78">
        <v>26664.32</v>
      </c>
      <c r="K203" s="10">
        <f t="shared" si="22"/>
        <v>254184.02999999997</v>
      </c>
      <c r="L203" s="78">
        <v>219769.57</v>
      </c>
      <c r="M203" s="11"/>
      <c r="N203" s="21">
        <f t="shared" si="23"/>
        <v>0</v>
      </c>
      <c r="O203" s="277">
        <v>1697.5000000000291</v>
      </c>
      <c r="P203" s="21">
        <f t="shared" si="24"/>
        <v>-2.0000000018626451E-2</v>
      </c>
      <c r="Q203" s="1">
        <v>24688.380000000005</v>
      </c>
      <c r="R203" s="457">
        <f t="shared" si="26"/>
        <v>22990.879999999976</v>
      </c>
    </row>
    <row r="204" spans="2:18" ht="15.6">
      <c r="B204" s="82" t="s">
        <v>182</v>
      </c>
      <c r="C204" s="78">
        <v>25185.72</v>
      </c>
      <c r="D204" s="78">
        <v>0</v>
      </c>
      <c r="E204" s="78">
        <v>139204.35999999999</v>
      </c>
      <c r="F204" s="78">
        <f t="shared" si="25"/>
        <v>164390.07999999999</v>
      </c>
      <c r="G204" s="78">
        <v>138888.75</v>
      </c>
      <c r="H204" s="6"/>
      <c r="I204" s="78">
        <v>182694.58</v>
      </c>
      <c r="J204" s="78">
        <v>18304.5</v>
      </c>
      <c r="K204" s="10">
        <f t="shared" si="22"/>
        <v>164390.07999999999</v>
      </c>
      <c r="L204" s="78">
        <v>138888.74</v>
      </c>
      <c r="M204" s="11"/>
      <c r="N204" s="21">
        <f t="shared" si="23"/>
        <v>0</v>
      </c>
      <c r="O204" s="277">
        <v>701.01000000000931</v>
      </c>
      <c r="P204" s="21">
        <f t="shared" si="24"/>
        <v>1.0000000009313226E-2</v>
      </c>
      <c r="Q204" s="1">
        <v>25886.73000000001</v>
      </c>
      <c r="R204" s="457">
        <f t="shared" si="26"/>
        <v>25185.72</v>
      </c>
    </row>
    <row r="205" spans="2:18" ht="15.6">
      <c r="B205" s="82" t="s">
        <v>187</v>
      </c>
      <c r="C205" s="78">
        <v>69222.800000000017</v>
      </c>
      <c r="D205" s="78">
        <v>0</v>
      </c>
      <c r="E205" s="78">
        <v>192203.5</v>
      </c>
      <c r="F205" s="78">
        <f t="shared" si="25"/>
        <v>261426.30000000002</v>
      </c>
      <c r="G205" s="78">
        <v>214048.77</v>
      </c>
      <c r="H205" s="6"/>
      <c r="I205" s="78">
        <v>286549.95</v>
      </c>
      <c r="J205" s="78">
        <v>25123.65</v>
      </c>
      <c r="K205" s="10">
        <f t="shared" si="22"/>
        <v>261426.30000000002</v>
      </c>
      <c r="L205" s="78">
        <v>214048.77</v>
      </c>
      <c r="M205" s="11"/>
      <c r="N205" s="21">
        <f t="shared" si="23"/>
        <v>0</v>
      </c>
      <c r="O205" s="277">
        <v>1059.1499999999942</v>
      </c>
      <c r="P205" s="22">
        <f t="shared" si="24"/>
        <v>0</v>
      </c>
      <c r="Q205" s="1">
        <v>70281.950000000012</v>
      </c>
      <c r="R205" s="457">
        <f t="shared" si="26"/>
        <v>69222.800000000017</v>
      </c>
    </row>
    <row r="206" spans="2:18" ht="15.6">
      <c r="B206" s="82" t="s">
        <v>233</v>
      </c>
      <c r="C206" s="78">
        <v>77093.780000000028</v>
      </c>
      <c r="D206" s="78">
        <v>0</v>
      </c>
      <c r="E206" s="78">
        <v>514668.02</v>
      </c>
      <c r="F206" s="78">
        <f t="shared" si="25"/>
        <v>591761.80000000005</v>
      </c>
      <c r="G206" s="78">
        <v>494791.82</v>
      </c>
      <c r="H206" s="6"/>
      <c r="I206" s="78">
        <v>636819.93000000005</v>
      </c>
      <c r="J206" s="78">
        <v>45058.13</v>
      </c>
      <c r="K206" s="10">
        <f t="shared" si="22"/>
        <v>591761.80000000005</v>
      </c>
      <c r="L206" s="78">
        <v>494791.74</v>
      </c>
      <c r="M206" s="11"/>
      <c r="N206" s="21">
        <f t="shared" si="23"/>
        <v>0</v>
      </c>
      <c r="O206" s="277">
        <v>2192.9399999999441</v>
      </c>
      <c r="P206" s="22">
        <f t="shared" si="24"/>
        <v>8.0000000016298145E-2</v>
      </c>
      <c r="Q206" s="1">
        <v>79286.719999999972</v>
      </c>
      <c r="R206" s="457">
        <f t="shared" si="26"/>
        <v>77093.780000000028</v>
      </c>
    </row>
    <row r="207" spans="2:18" ht="15.6">
      <c r="B207" s="84" t="s">
        <v>240</v>
      </c>
      <c r="C207" s="78">
        <v>108023.07000000007</v>
      </c>
      <c r="D207" s="78">
        <v>0</v>
      </c>
      <c r="E207" s="78">
        <v>518957.72</v>
      </c>
      <c r="F207" s="78">
        <f t="shared" si="25"/>
        <v>626980.79</v>
      </c>
      <c r="G207" s="78">
        <v>518367.48</v>
      </c>
      <c r="H207" s="6"/>
      <c r="I207" s="78">
        <v>680607.51</v>
      </c>
      <c r="J207" s="78">
        <v>53626.720000000001</v>
      </c>
      <c r="K207" s="10">
        <f t="shared" si="22"/>
        <v>626980.79</v>
      </c>
      <c r="L207" s="78">
        <v>518367.44</v>
      </c>
      <c r="M207" s="11"/>
      <c r="N207" s="22">
        <f t="shared" si="23"/>
        <v>0</v>
      </c>
      <c r="O207" s="277">
        <v>4441.75</v>
      </c>
      <c r="P207" s="22">
        <f t="shared" si="24"/>
        <v>3.9999999979045242E-2</v>
      </c>
      <c r="Q207" s="1">
        <v>112464.82000000007</v>
      </c>
      <c r="R207" s="457">
        <f t="shared" si="26"/>
        <v>108023.07000000007</v>
      </c>
    </row>
    <row r="208" spans="2:18" ht="15.6">
      <c r="B208" s="84" t="s">
        <v>245</v>
      </c>
      <c r="C208" s="78">
        <v>0</v>
      </c>
      <c r="D208" s="78"/>
      <c r="E208" s="78"/>
      <c r="F208" s="78">
        <f t="shared" si="25"/>
        <v>0</v>
      </c>
      <c r="G208" s="78"/>
      <c r="H208" s="6"/>
      <c r="I208" s="78"/>
      <c r="J208" s="78"/>
      <c r="K208" s="10">
        <f t="shared" si="22"/>
        <v>0</v>
      </c>
      <c r="L208" s="78"/>
      <c r="M208" s="11"/>
      <c r="N208" s="22">
        <f t="shared" si="23"/>
        <v>0</v>
      </c>
      <c r="O208" s="277">
        <v>0</v>
      </c>
      <c r="P208" s="22">
        <f t="shared" si="24"/>
        <v>0</v>
      </c>
      <c r="Q208" s="1">
        <v>0</v>
      </c>
      <c r="R208" s="457">
        <f t="shared" si="26"/>
        <v>0</v>
      </c>
    </row>
    <row r="209" spans="2:18" ht="15.6">
      <c r="B209" s="441" t="s">
        <v>357</v>
      </c>
      <c r="C209" s="78">
        <f>2276148.89-D209-E209-49193.24</f>
        <v>2097718.2600000002</v>
      </c>
      <c r="D209" s="78">
        <v>45066.59</v>
      </c>
      <c r="E209" s="78">
        <v>84170.8</v>
      </c>
      <c r="F209" s="78">
        <f>C209+D209+E209</f>
        <v>2226955.65</v>
      </c>
      <c r="G209" s="78">
        <v>1704329.73</v>
      </c>
      <c r="H209" s="588"/>
      <c r="I209" s="78">
        <v>2288358.9300000002</v>
      </c>
      <c r="J209" s="78">
        <v>61403.28</v>
      </c>
      <c r="K209" s="10">
        <f>I209-J209</f>
        <v>2226955.6500000004</v>
      </c>
      <c r="L209" s="78">
        <v>1704329.73</v>
      </c>
      <c r="M209" s="11"/>
      <c r="N209" s="22">
        <f>F209-K209</f>
        <v>0</v>
      </c>
      <c r="O209" s="277">
        <v>49193.239999999758</v>
      </c>
      <c r="P209" s="22">
        <f>G209-L209</f>
        <v>0</v>
      </c>
      <c r="Q209" s="1">
        <v>526752.5700000003</v>
      </c>
      <c r="R209" s="457">
        <f t="shared" si="26"/>
        <v>477559.33000000054</v>
      </c>
    </row>
    <row r="210" spans="2:18" ht="15.6">
      <c r="B210" s="441" t="s">
        <v>362</v>
      </c>
      <c r="C210" s="78">
        <v>97142.599999999977</v>
      </c>
      <c r="D210" s="78">
        <v>0</v>
      </c>
      <c r="E210" s="78">
        <v>532185.38</v>
      </c>
      <c r="F210" s="78">
        <f>C210+D210+E210</f>
        <v>629327.98</v>
      </c>
      <c r="G210" s="78">
        <v>523148.23</v>
      </c>
      <c r="H210" s="6"/>
      <c r="I210" s="78">
        <v>664522.03</v>
      </c>
      <c r="J210" s="78">
        <v>35194.050000000003</v>
      </c>
      <c r="K210" s="10">
        <f>I210-J210</f>
        <v>629327.98</v>
      </c>
      <c r="L210" s="78">
        <v>523148.23</v>
      </c>
      <c r="M210" s="11"/>
      <c r="N210" s="22">
        <f>F210-K210</f>
        <v>0</v>
      </c>
      <c r="O210" s="277">
        <v>2759.4000000000233</v>
      </c>
      <c r="P210" s="22">
        <f>G210-L210</f>
        <v>0</v>
      </c>
      <c r="Q210" s="1">
        <v>99902</v>
      </c>
      <c r="R210" s="457">
        <f t="shared" si="26"/>
        <v>97142.599999999977</v>
      </c>
    </row>
    <row r="211" spans="2:18" ht="16.2" thickBot="1">
      <c r="B211" s="441" t="s">
        <v>361</v>
      </c>
      <c r="C211" s="78">
        <f>599982.21-D211-E211-4958.3</f>
        <v>104981.59999999996</v>
      </c>
      <c r="D211" s="78">
        <v>49.5</v>
      </c>
      <c r="E211" s="78">
        <v>489992.81</v>
      </c>
      <c r="F211" s="78">
        <f>C211+D211+E211</f>
        <v>595023.90999999992</v>
      </c>
      <c r="G211" s="78">
        <v>500386.52</v>
      </c>
      <c r="H211" s="6"/>
      <c r="I211" s="78">
        <v>649398.56999999995</v>
      </c>
      <c r="J211" s="78">
        <v>54374.66</v>
      </c>
      <c r="K211" s="10">
        <f>I211-J211</f>
        <v>595023.90999999992</v>
      </c>
      <c r="L211" s="78">
        <v>500386.52</v>
      </c>
      <c r="M211" s="11">
        <f>5046.71-88.41</f>
        <v>4958.3</v>
      </c>
      <c r="N211" s="22">
        <f>F211-K211</f>
        <v>0</v>
      </c>
      <c r="O211" s="277">
        <v>8349.6899999999441</v>
      </c>
      <c r="P211" s="22">
        <f>G211-L211</f>
        <v>0</v>
      </c>
      <c r="Q211" s="1">
        <v>109939.89999999997</v>
      </c>
      <c r="R211" s="457">
        <f t="shared" si="26"/>
        <v>101590.21000000002</v>
      </c>
    </row>
    <row r="212" spans="2:18" ht="16.2" thickBot="1">
      <c r="B212" s="83" t="s">
        <v>194</v>
      </c>
      <c r="C212" s="92">
        <f t="shared" ref="C212:O212" si="27">SUM(C183:C211)</f>
        <v>28365614.770000007</v>
      </c>
      <c r="D212" s="92">
        <f t="shared" si="27"/>
        <v>3763696.4800000009</v>
      </c>
      <c r="E212" s="92">
        <f t="shared" si="27"/>
        <v>18942384.859999996</v>
      </c>
      <c r="F212" s="92">
        <f t="shared" si="27"/>
        <v>51071696.109999985</v>
      </c>
      <c r="G212" s="92">
        <f t="shared" si="27"/>
        <v>41196777.289999999</v>
      </c>
      <c r="H212" s="92">
        <f t="shared" si="27"/>
        <v>0</v>
      </c>
      <c r="I212" s="92">
        <f t="shared" si="27"/>
        <v>53842834.399999991</v>
      </c>
      <c r="J212" s="92">
        <f t="shared" si="27"/>
        <v>2771138.2899999996</v>
      </c>
      <c r="K212" s="92">
        <f t="shared" si="27"/>
        <v>51071696.109999985</v>
      </c>
      <c r="L212" s="92">
        <f t="shared" si="27"/>
        <v>41196730.490000002</v>
      </c>
      <c r="M212" s="92">
        <f t="shared" si="27"/>
        <v>41651.020000000004</v>
      </c>
      <c r="N212" s="92">
        <f t="shared" si="27"/>
        <v>0</v>
      </c>
      <c r="O212" s="92">
        <f t="shared" si="27"/>
        <v>848713.73999999848</v>
      </c>
      <c r="P212" s="92">
        <f>SUM(P183:P211)</f>
        <v>46.799999999930151</v>
      </c>
    </row>
    <row r="213" spans="2:18">
      <c r="O213" s="1">
        <v>53842892.399999999</v>
      </c>
    </row>
    <row r="214" spans="2:18">
      <c r="O214" s="1">
        <f>O213+O212</f>
        <v>54691606.140000001</v>
      </c>
    </row>
    <row r="215" spans="2:18" ht="13.8" thickBot="1">
      <c r="O215" s="1">
        <v>54573339.789999999</v>
      </c>
    </row>
    <row r="216" spans="2:18" ht="21.6" thickBot="1">
      <c r="B216" s="637" t="s">
        <v>161</v>
      </c>
      <c r="C216" s="638"/>
      <c r="D216" s="638"/>
      <c r="E216" s="638"/>
      <c r="F216" s="638"/>
      <c r="G216" s="639"/>
      <c r="I216" s="640" t="s">
        <v>149</v>
      </c>
      <c r="J216" s="641"/>
      <c r="K216" s="641"/>
      <c r="L216" s="642"/>
      <c r="M216" s="49"/>
      <c r="N216" s="23"/>
      <c r="O216" s="423">
        <f>O214-O215</f>
        <v>118266.35000000149</v>
      </c>
      <c r="P216" s="23"/>
    </row>
    <row r="217" spans="2:18" ht="16.2" thickBot="1">
      <c r="B217" s="77" t="s">
        <v>34</v>
      </c>
      <c r="C217" s="80" t="s">
        <v>115</v>
      </c>
      <c r="D217" s="80" t="s">
        <v>21</v>
      </c>
      <c r="E217" s="80" t="s">
        <v>116</v>
      </c>
      <c r="F217" s="80" t="s">
        <v>162</v>
      </c>
      <c r="G217" s="81" t="s">
        <v>163</v>
      </c>
      <c r="H217" s="48" t="s">
        <v>6</v>
      </c>
      <c r="I217" s="26" t="s">
        <v>114</v>
      </c>
      <c r="J217" s="24" t="s">
        <v>164</v>
      </c>
      <c r="K217" s="24" t="s">
        <v>165</v>
      </c>
      <c r="L217" s="25" t="s">
        <v>166</v>
      </c>
      <c r="M217" s="85"/>
      <c r="N217" s="27" t="s">
        <v>167</v>
      </c>
      <c r="O217" s="423"/>
      <c r="P217" s="27" t="s">
        <v>168</v>
      </c>
    </row>
    <row r="218" spans="2:18" ht="15.6">
      <c r="B218" s="82" t="s">
        <v>36</v>
      </c>
      <c r="C218" s="78">
        <v>4185966.05</v>
      </c>
      <c r="D218" s="78">
        <v>668506.5</v>
      </c>
      <c r="E218" s="78">
        <v>1241652.06</v>
      </c>
      <c r="F218" s="78">
        <f>C218+D218+E218</f>
        <v>6096124.6099999994</v>
      </c>
      <c r="G218" s="78">
        <v>4883642.3899999997</v>
      </c>
      <c r="H218" s="302">
        <v>1993602.9099999997</v>
      </c>
      <c r="I218" s="78">
        <v>6405407.7800000003</v>
      </c>
      <c r="J218" s="78">
        <v>309283.17</v>
      </c>
      <c r="K218" s="10">
        <f t="shared" ref="K218:K243" si="28">I218-J218</f>
        <v>6096124.6100000003</v>
      </c>
      <c r="L218" s="78">
        <v>4883642.38</v>
      </c>
      <c r="M218" s="303">
        <v>106025.36000000034</v>
      </c>
      <c r="N218" s="21">
        <f t="shared" ref="N218:N243" si="29">F218-K218</f>
        <v>0</v>
      </c>
      <c r="O218" s="423"/>
      <c r="P218" s="21">
        <f t="shared" ref="P218:P243" si="30">G218-L218</f>
        <v>9.9999997764825821E-3</v>
      </c>
    </row>
    <row r="219" spans="2:18" ht="15.6">
      <c r="B219" s="82" t="s">
        <v>9</v>
      </c>
      <c r="C219" s="78">
        <v>3082150.6100000003</v>
      </c>
      <c r="D219" s="78">
        <v>1527866.39</v>
      </c>
      <c r="E219" s="78">
        <v>567048.12</v>
      </c>
      <c r="F219" s="78">
        <f t="shared" ref="F219:F243" si="31">C219+D219+E219</f>
        <v>5177065.12</v>
      </c>
      <c r="G219" s="78">
        <v>4122722.99</v>
      </c>
      <c r="H219" s="302">
        <v>1528351.27</v>
      </c>
      <c r="I219" s="78">
        <v>5407444.2400000002</v>
      </c>
      <c r="J219" s="78">
        <v>230379.12</v>
      </c>
      <c r="K219" s="10">
        <f t="shared" si="28"/>
        <v>5177065.12</v>
      </c>
      <c r="L219" s="78">
        <v>4122722.99</v>
      </c>
      <c r="M219" s="303">
        <v>84958.370000000112</v>
      </c>
      <c r="N219" s="21">
        <f t="shared" si="29"/>
        <v>0</v>
      </c>
      <c r="O219" s="423"/>
      <c r="P219" s="21">
        <f t="shared" si="30"/>
        <v>0</v>
      </c>
    </row>
    <row r="220" spans="2:18" ht="15.6">
      <c r="B220" s="82" t="s">
        <v>25</v>
      </c>
      <c r="C220" s="78">
        <v>1579307.7299999997</v>
      </c>
      <c r="D220" s="78">
        <v>489333.06</v>
      </c>
      <c r="E220" s="78">
        <v>1754610.59</v>
      </c>
      <c r="F220" s="78">
        <f t="shared" si="31"/>
        <v>3823251.38</v>
      </c>
      <c r="G220" s="78">
        <v>3136323.52</v>
      </c>
      <c r="H220" s="302">
        <v>1204832.7600000002</v>
      </c>
      <c r="I220" s="78">
        <v>4079974.52</v>
      </c>
      <c r="J220" s="78">
        <v>256723.14</v>
      </c>
      <c r="K220" s="10">
        <f t="shared" si="28"/>
        <v>3823251.38</v>
      </c>
      <c r="L220" s="78">
        <v>3136323.52</v>
      </c>
      <c r="M220" s="303">
        <v>43289.290000000037</v>
      </c>
      <c r="N220" s="21">
        <f t="shared" si="29"/>
        <v>0</v>
      </c>
      <c r="O220" s="423"/>
      <c r="P220" s="21">
        <f t="shared" si="30"/>
        <v>0</v>
      </c>
    </row>
    <row r="221" spans="2:18" ht="15.6">
      <c r="B221" s="82" t="s">
        <v>160</v>
      </c>
      <c r="C221" s="78">
        <v>5228586.7</v>
      </c>
      <c r="D221" s="78">
        <v>39259.01</v>
      </c>
      <c r="E221" s="78">
        <v>2869338.01</v>
      </c>
      <c r="F221" s="78">
        <f t="shared" si="31"/>
        <v>8137183.7199999997</v>
      </c>
      <c r="G221" s="78">
        <v>6600106.9699999997</v>
      </c>
      <c r="H221" s="302">
        <v>1194684.8500000001</v>
      </c>
      <c r="I221" s="78">
        <v>8542424.6600000001</v>
      </c>
      <c r="J221" s="78">
        <v>405240.94</v>
      </c>
      <c r="K221" s="10">
        <f t="shared" si="28"/>
        <v>8137183.7199999997</v>
      </c>
      <c r="L221" s="78">
        <v>6600106.9900000002</v>
      </c>
      <c r="M221" s="303">
        <v>108633.03000000026</v>
      </c>
      <c r="N221" s="21">
        <f t="shared" si="29"/>
        <v>0</v>
      </c>
      <c r="O221" s="423"/>
      <c r="P221" s="290">
        <f t="shared" si="30"/>
        <v>-2.0000000484287739E-2</v>
      </c>
    </row>
    <row r="222" spans="2:18" ht="15.6">
      <c r="B222" s="82" t="s">
        <v>139</v>
      </c>
      <c r="C222" s="78">
        <v>14657.340000000084</v>
      </c>
      <c r="D222" s="78">
        <v>0</v>
      </c>
      <c r="E222" s="78">
        <v>2062911.33</v>
      </c>
      <c r="F222" s="78">
        <f t="shared" si="31"/>
        <v>2077568.6700000002</v>
      </c>
      <c r="G222" s="78">
        <v>1778614.12</v>
      </c>
      <c r="H222" s="302">
        <v>95967.98</v>
      </c>
      <c r="I222" s="78">
        <v>2257676.12</v>
      </c>
      <c r="J222" s="78">
        <v>180107.45</v>
      </c>
      <c r="K222" s="10">
        <f t="shared" si="28"/>
        <v>2077568.6700000002</v>
      </c>
      <c r="L222" s="78">
        <v>1778614.12</v>
      </c>
      <c r="M222" s="303">
        <v>3257.1599999999162</v>
      </c>
      <c r="N222" s="21">
        <f t="shared" si="29"/>
        <v>0</v>
      </c>
      <c r="O222" s="423"/>
      <c r="P222" s="290">
        <f t="shared" si="30"/>
        <v>0</v>
      </c>
    </row>
    <row r="223" spans="2:18" ht="15.6">
      <c r="B223" s="82" t="s">
        <v>37</v>
      </c>
      <c r="C223" s="78">
        <v>23672.369999999995</v>
      </c>
      <c r="D223" s="78">
        <v>0</v>
      </c>
      <c r="E223" s="78">
        <v>449584.33</v>
      </c>
      <c r="F223" s="78">
        <f t="shared" si="31"/>
        <v>473256.7</v>
      </c>
      <c r="G223" s="78">
        <v>408942.65</v>
      </c>
      <c r="H223" s="302">
        <v>45359.39</v>
      </c>
      <c r="I223" s="78">
        <v>516923.5</v>
      </c>
      <c r="J223" s="78">
        <v>43666.8</v>
      </c>
      <c r="K223" s="10">
        <f t="shared" si="28"/>
        <v>473256.7</v>
      </c>
      <c r="L223" s="78">
        <v>408942.63</v>
      </c>
      <c r="M223" s="303">
        <v>2489.4699999999721</v>
      </c>
      <c r="N223" s="21">
        <f t="shared" si="29"/>
        <v>0</v>
      </c>
      <c r="O223" s="423"/>
      <c r="P223" s="21">
        <f t="shared" si="30"/>
        <v>2.0000000018626451E-2</v>
      </c>
    </row>
    <row r="224" spans="2:18" ht="15.6">
      <c r="B224" s="82" t="s">
        <v>133</v>
      </c>
      <c r="C224" s="78">
        <v>32661.279999999999</v>
      </c>
      <c r="D224" s="78">
        <v>0</v>
      </c>
      <c r="E224" s="78">
        <v>250944.6</v>
      </c>
      <c r="F224" s="78">
        <f t="shared" si="31"/>
        <v>283605.88</v>
      </c>
      <c r="G224" s="78">
        <v>244978.27</v>
      </c>
      <c r="H224" s="302">
        <v>9119.32</v>
      </c>
      <c r="I224" s="78">
        <v>314133.84000000003</v>
      </c>
      <c r="J224" s="78">
        <v>30527.96</v>
      </c>
      <c r="K224" s="10">
        <f t="shared" si="28"/>
        <v>283605.88</v>
      </c>
      <c r="L224" s="78">
        <v>244793.9</v>
      </c>
      <c r="M224" s="303">
        <v>920.36999999999534</v>
      </c>
      <c r="N224" s="21">
        <f t="shared" si="29"/>
        <v>0</v>
      </c>
      <c r="O224" s="423"/>
      <c r="P224" s="21">
        <f t="shared" si="30"/>
        <v>184.36999999999534</v>
      </c>
    </row>
    <row r="225" spans="2:16" ht="15.6">
      <c r="B225" s="82" t="s">
        <v>123</v>
      </c>
      <c r="C225" s="78">
        <v>21508.479999999981</v>
      </c>
      <c r="D225" s="78">
        <v>0</v>
      </c>
      <c r="E225" s="78">
        <v>498759.09</v>
      </c>
      <c r="F225" s="78">
        <f t="shared" si="31"/>
        <v>520267.57</v>
      </c>
      <c r="G225" s="78">
        <v>445860.41</v>
      </c>
      <c r="H225" s="302">
        <v>724859.88</v>
      </c>
      <c r="I225" s="78">
        <v>577797.26</v>
      </c>
      <c r="J225" s="78">
        <v>57529.69</v>
      </c>
      <c r="K225" s="10">
        <f t="shared" si="28"/>
        <v>520267.57</v>
      </c>
      <c r="L225" s="78">
        <v>445860.4</v>
      </c>
      <c r="M225" s="303">
        <v>2290.609999999986</v>
      </c>
      <c r="N225" s="21">
        <f t="shared" si="29"/>
        <v>0</v>
      </c>
      <c r="O225" s="423"/>
      <c r="P225" s="21">
        <f t="shared" si="30"/>
        <v>9.9999999511055648E-3</v>
      </c>
    </row>
    <row r="226" spans="2:16" ht="15.6">
      <c r="B226" s="82" t="s">
        <v>145</v>
      </c>
      <c r="C226" s="78">
        <v>812266.62999999989</v>
      </c>
      <c r="D226" s="78">
        <v>4353.95</v>
      </c>
      <c r="E226" s="78">
        <v>1187813.4099999999</v>
      </c>
      <c r="F226" s="78">
        <f t="shared" si="31"/>
        <v>2004433.9899999998</v>
      </c>
      <c r="G226" s="78">
        <v>1662373.76</v>
      </c>
      <c r="H226" s="302">
        <v>42438.65</v>
      </c>
      <c r="I226" s="78">
        <v>2152783.7799999998</v>
      </c>
      <c r="J226" s="78">
        <v>148349.79</v>
      </c>
      <c r="K226" s="10">
        <f t="shared" si="28"/>
        <v>2004433.9899999998</v>
      </c>
      <c r="L226" s="78">
        <v>1662373.53</v>
      </c>
      <c r="M226" s="303">
        <v>32498.500000000233</v>
      </c>
      <c r="N226" s="21">
        <f t="shared" si="29"/>
        <v>0</v>
      </c>
      <c r="O226" s="423"/>
      <c r="P226" s="21">
        <f t="shared" si="30"/>
        <v>0.22999999998137355</v>
      </c>
    </row>
    <row r="227" spans="2:16" ht="15.6">
      <c r="B227" s="82" t="s">
        <v>124</v>
      </c>
      <c r="C227" s="78">
        <v>243417.90000000002</v>
      </c>
      <c r="D227" s="78">
        <v>0</v>
      </c>
      <c r="E227" s="78">
        <v>217439.13</v>
      </c>
      <c r="F227" s="78">
        <f t="shared" si="31"/>
        <v>460857.03</v>
      </c>
      <c r="G227" s="78">
        <v>375059.53</v>
      </c>
      <c r="H227" s="302">
        <v>13287.98</v>
      </c>
      <c r="I227" s="78">
        <v>502834.62</v>
      </c>
      <c r="J227" s="78">
        <v>41977.59</v>
      </c>
      <c r="K227" s="10">
        <f t="shared" si="28"/>
        <v>460857.03</v>
      </c>
      <c r="L227" s="78">
        <v>375059.36</v>
      </c>
      <c r="M227" s="303">
        <v>1883.2999999999884</v>
      </c>
      <c r="N227" s="21">
        <f t="shared" si="29"/>
        <v>0</v>
      </c>
      <c r="O227" s="423"/>
      <c r="P227" s="21">
        <f t="shared" si="30"/>
        <v>0.17000000004190952</v>
      </c>
    </row>
    <row r="228" spans="2:16" ht="15.6">
      <c r="B228" s="82" t="s">
        <v>169</v>
      </c>
      <c r="C228" s="78">
        <v>2623506.8700000006</v>
      </c>
      <c r="D228" s="78">
        <v>9179.76</v>
      </c>
      <c r="E228" s="78">
        <v>1180634.01</v>
      </c>
      <c r="F228" s="78">
        <f t="shared" si="31"/>
        <v>3813320.6400000006</v>
      </c>
      <c r="G228" s="78">
        <v>3093187.88</v>
      </c>
      <c r="H228" s="302">
        <v>351820.96</v>
      </c>
      <c r="I228" s="78">
        <v>3966926.58</v>
      </c>
      <c r="J228" s="78">
        <v>153605.94</v>
      </c>
      <c r="K228" s="10">
        <f t="shared" si="28"/>
        <v>3813320.64</v>
      </c>
      <c r="L228" s="78">
        <v>3093187.42</v>
      </c>
      <c r="M228" s="303">
        <v>61133.289999999572</v>
      </c>
      <c r="N228" s="21">
        <f t="shared" si="29"/>
        <v>0</v>
      </c>
      <c r="O228" s="423"/>
      <c r="P228" s="21">
        <f t="shared" si="30"/>
        <v>0.4599999999627471</v>
      </c>
    </row>
    <row r="229" spans="2:16" ht="15.6">
      <c r="B229" s="82" t="s">
        <v>243</v>
      </c>
      <c r="C229" s="78">
        <v>1555392.06</v>
      </c>
      <c r="D229" s="78">
        <v>55248.09</v>
      </c>
      <c r="E229" s="78">
        <v>679200</v>
      </c>
      <c r="F229" s="78">
        <f t="shared" si="31"/>
        <v>2289840.1500000004</v>
      </c>
      <c r="G229" s="78">
        <v>1809858.27</v>
      </c>
      <c r="H229" s="302">
        <v>76778.680000000008</v>
      </c>
      <c r="I229" s="78">
        <v>2371689.17</v>
      </c>
      <c r="J229" s="78">
        <v>81849.02</v>
      </c>
      <c r="K229" s="10">
        <f t="shared" si="28"/>
        <v>2289840.15</v>
      </c>
      <c r="L229" s="78">
        <v>1809858.27</v>
      </c>
      <c r="M229" s="303">
        <v>42230.930000000168</v>
      </c>
      <c r="N229" s="21">
        <f t="shared" si="29"/>
        <v>0</v>
      </c>
      <c r="O229" s="423"/>
      <c r="P229" s="21">
        <f t="shared" si="30"/>
        <v>0</v>
      </c>
    </row>
    <row r="230" spans="2:16" ht="15.6">
      <c r="B230" s="82" t="s">
        <v>175</v>
      </c>
      <c r="C230" s="78">
        <v>4002342.83</v>
      </c>
      <c r="D230" s="78">
        <v>884226.28</v>
      </c>
      <c r="E230" s="78">
        <v>1292049.04</v>
      </c>
      <c r="F230" s="78">
        <f t="shared" si="31"/>
        <v>6178618.1500000004</v>
      </c>
      <c r="G230" s="78">
        <v>4811493.2</v>
      </c>
      <c r="H230" s="302">
        <v>737587.92</v>
      </c>
      <c r="I230" s="78">
        <v>6360270.9800000004</v>
      </c>
      <c r="J230" s="78">
        <v>181652.83</v>
      </c>
      <c r="K230" s="10">
        <f t="shared" si="28"/>
        <v>6178618.1500000004</v>
      </c>
      <c r="L230" s="78">
        <v>4811493.2</v>
      </c>
      <c r="M230" s="303">
        <v>89747.159999999218</v>
      </c>
      <c r="N230" s="21">
        <f t="shared" si="29"/>
        <v>0</v>
      </c>
      <c r="O230" s="423"/>
      <c r="P230" s="21">
        <f t="shared" si="30"/>
        <v>0</v>
      </c>
    </row>
    <row r="231" spans="2:16" ht="15.6">
      <c r="B231" s="82" t="s">
        <v>170</v>
      </c>
      <c r="C231" s="78">
        <v>803954.77999999991</v>
      </c>
      <c r="D231" s="78">
        <v>78467.53</v>
      </c>
      <c r="E231" s="78">
        <v>31190.91</v>
      </c>
      <c r="F231" s="78">
        <f t="shared" si="31"/>
        <v>913613.22</v>
      </c>
      <c r="G231" s="78">
        <v>687045.93</v>
      </c>
      <c r="H231" s="302">
        <v>518401.91</v>
      </c>
      <c r="I231" s="78">
        <v>917985.21</v>
      </c>
      <c r="J231" s="78">
        <v>4371.99</v>
      </c>
      <c r="K231" s="10">
        <f t="shared" si="28"/>
        <v>913613.22</v>
      </c>
      <c r="L231" s="78">
        <v>687045.2</v>
      </c>
      <c r="M231" s="303">
        <v>17918.369999999995</v>
      </c>
      <c r="N231" s="21">
        <f t="shared" si="29"/>
        <v>0</v>
      </c>
      <c r="O231" s="423"/>
      <c r="P231" s="21">
        <f t="shared" si="30"/>
        <v>0.73000000009778887</v>
      </c>
    </row>
    <row r="232" spans="2:16" ht="15.6">
      <c r="B232" s="82" t="s">
        <v>203</v>
      </c>
      <c r="C232" s="78">
        <v>1813528.52</v>
      </c>
      <c r="D232" s="78">
        <v>61400.02</v>
      </c>
      <c r="E232" s="78">
        <v>673452.96</v>
      </c>
      <c r="F232" s="78">
        <f t="shared" si="31"/>
        <v>2548381.5</v>
      </c>
      <c r="G232" s="78">
        <v>2046850.53</v>
      </c>
      <c r="H232" s="302">
        <v>1611355.4299999997</v>
      </c>
      <c r="I232" s="78">
        <v>2671742.56</v>
      </c>
      <c r="J232" s="78">
        <v>123361.06</v>
      </c>
      <c r="K232" s="10">
        <f t="shared" si="28"/>
        <v>2548381.5</v>
      </c>
      <c r="L232" s="78">
        <v>2046850.53</v>
      </c>
      <c r="M232" s="303">
        <v>47579.680000000168</v>
      </c>
      <c r="N232" s="21">
        <f t="shared" si="29"/>
        <v>0</v>
      </c>
      <c r="O232" s="423"/>
      <c r="P232" s="21">
        <f t="shared" si="30"/>
        <v>0</v>
      </c>
    </row>
    <row r="233" spans="2:16" ht="15.6">
      <c r="B233" s="82" t="s">
        <v>172</v>
      </c>
      <c r="C233" s="78">
        <v>295822.5</v>
      </c>
      <c r="D233" s="78">
        <v>0</v>
      </c>
      <c r="E233" s="78">
        <v>0</v>
      </c>
      <c r="F233" s="78">
        <f t="shared" si="31"/>
        <v>295822.5</v>
      </c>
      <c r="G233" s="78">
        <v>248945.89</v>
      </c>
      <c r="H233" s="302">
        <v>476099.79</v>
      </c>
      <c r="I233" s="78">
        <v>341478.45</v>
      </c>
      <c r="J233" s="78">
        <v>45655.95</v>
      </c>
      <c r="K233" s="10">
        <f t="shared" si="28"/>
        <v>295822.5</v>
      </c>
      <c r="L233" s="78">
        <v>248945.89</v>
      </c>
      <c r="M233" s="303">
        <v>23739.450000000012</v>
      </c>
      <c r="N233" s="21">
        <f t="shared" si="29"/>
        <v>0</v>
      </c>
      <c r="O233" s="423"/>
      <c r="P233" s="21">
        <f t="shared" si="30"/>
        <v>0</v>
      </c>
    </row>
    <row r="234" spans="2:16" ht="15.6">
      <c r="B234" s="82" t="s">
        <v>176</v>
      </c>
      <c r="C234" s="78">
        <v>73041.829999999958</v>
      </c>
      <c r="D234" s="78">
        <v>0</v>
      </c>
      <c r="E234" s="78">
        <v>375321.28</v>
      </c>
      <c r="F234" s="78">
        <f t="shared" si="31"/>
        <v>448363.11</v>
      </c>
      <c r="G234" s="78">
        <v>375586.53</v>
      </c>
      <c r="H234" s="302">
        <v>503255.84</v>
      </c>
      <c r="I234" s="78">
        <v>493172.83</v>
      </c>
      <c r="J234" s="78">
        <v>44809.72</v>
      </c>
      <c r="K234" s="10">
        <f t="shared" si="28"/>
        <v>448363.11</v>
      </c>
      <c r="L234" s="78">
        <v>375586.51</v>
      </c>
      <c r="M234" s="303">
        <v>3126.7399999999907</v>
      </c>
      <c r="N234" s="21">
        <f t="shared" si="29"/>
        <v>0</v>
      </c>
      <c r="O234" s="423"/>
      <c r="P234" s="21">
        <f t="shared" si="30"/>
        <v>2.0000000018626451E-2</v>
      </c>
    </row>
    <row r="235" spans="2:16" ht="15.6">
      <c r="B235" s="82" t="s">
        <v>177</v>
      </c>
      <c r="C235" s="78">
        <v>153365.76000000001</v>
      </c>
      <c r="D235" s="78">
        <v>0</v>
      </c>
      <c r="E235" s="78">
        <v>572737.63</v>
      </c>
      <c r="F235" s="78">
        <f t="shared" si="31"/>
        <v>726103.39</v>
      </c>
      <c r="G235" s="78">
        <v>587585.55000000005</v>
      </c>
      <c r="H235" s="302">
        <v>64354.2</v>
      </c>
      <c r="I235" s="78">
        <v>786280.27</v>
      </c>
      <c r="J235" s="78">
        <v>60176.88</v>
      </c>
      <c r="K235" s="10">
        <f t="shared" si="28"/>
        <v>726103.39</v>
      </c>
      <c r="L235" s="78">
        <v>587585.55000000005</v>
      </c>
      <c r="M235" s="303">
        <v>5177.3399999999674</v>
      </c>
      <c r="N235" s="21">
        <f t="shared" si="29"/>
        <v>0</v>
      </c>
      <c r="O235" s="423"/>
      <c r="P235" s="21">
        <f t="shared" si="30"/>
        <v>0</v>
      </c>
    </row>
    <row r="236" spans="2:16" ht="15.6">
      <c r="B236" s="82" t="s">
        <v>178</v>
      </c>
      <c r="C236" s="78">
        <v>5135.1599999999744</v>
      </c>
      <c r="D236" s="78">
        <v>0</v>
      </c>
      <c r="E236" s="78">
        <v>341487.96</v>
      </c>
      <c r="F236" s="78">
        <f t="shared" si="31"/>
        <v>346623.12</v>
      </c>
      <c r="G236" s="78">
        <v>298481.57</v>
      </c>
      <c r="H236" s="302">
        <v>106702.25</v>
      </c>
      <c r="I236" s="78">
        <v>379215.57</v>
      </c>
      <c r="J236" s="78">
        <v>32592.45</v>
      </c>
      <c r="K236" s="10">
        <f t="shared" si="28"/>
        <v>346623.12</v>
      </c>
      <c r="L236" s="78">
        <v>298481.57</v>
      </c>
      <c r="M236" s="303">
        <v>2145.8400000000256</v>
      </c>
      <c r="N236" s="21">
        <f t="shared" si="29"/>
        <v>0</v>
      </c>
      <c r="O236" s="423"/>
      <c r="P236" s="21">
        <f t="shared" si="30"/>
        <v>0</v>
      </c>
    </row>
    <row r="237" spans="2:16" ht="15.6">
      <c r="B237" s="82" t="s">
        <v>179</v>
      </c>
      <c r="C237" s="78">
        <v>57245.459999999846</v>
      </c>
      <c r="D237" s="78">
        <v>0</v>
      </c>
      <c r="E237" s="78">
        <v>640242.42000000004</v>
      </c>
      <c r="F237" s="78">
        <f t="shared" si="31"/>
        <v>697487.87999999989</v>
      </c>
      <c r="G237" s="78">
        <v>587489.86</v>
      </c>
      <c r="H237" s="302">
        <v>13244.96</v>
      </c>
      <c r="I237" s="78">
        <v>768752.19</v>
      </c>
      <c r="J237" s="78">
        <v>71264.31</v>
      </c>
      <c r="K237" s="10">
        <f t="shared" si="28"/>
        <v>697487.87999999989</v>
      </c>
      <c r="L237" s="78">
        <v>587489.88</v>
      </c>
      <c r="M237" s="303">
        <v>3350.2200000000885</v>
      </c>
      <c r="N237" s="21">
        <f t="shared" si="29"/>
        <v>0</v>
      </c>
      <c r="O237" s="423"/>
      <c r="P237" s="21">
        <f t="shared" si="30"/>
        <v>-2.0000000018626451E-2</v>
      </c>
    </row>
    <row r="238" spans="2:16" ht="15.6">
      <c r="B238" s="82" t="s">
        <v>181</v>
      </c>
      <c r="C238" s="78">
        <v>11495.330000000016</v>
      </c>
      <c r="D238" s="78">
        <v>0</v>
      </c>
      <c r="E238" s="78">
        <v>329881.36</v>
      </c>
      <c r="F238" s="78">
        <f t="shared" si="31"/>
        <v>341376.69</v>
      </c>
      <c r="G238" s="78">
        <v>300947.46999999997</v>
      </c>
      <c r="H238" s="302">
        <v>0</v>
      </c>
      <c r="I238" s="78">
        <v>372723.09</v>
      </c>
      <c r="J238" s="78">
        <v>31346.400000000001</v>
      </c>
      <c r="K238" s="10">
        <f t="shared" si="28"/>
        <v>341376.69</v>
      </c>
      <c r="L238" s="78">
        <v>300947.48</v>
      </c>
      <c r="M238" s="303">
        <v>1618.640000000014</v>
      </c>
      <c r="N238" s="21">
        <f t="shared" si="29"/>
        <v>0</v>
      </c>
      <c r="O238" s="423"/>
      <c r="P238" s="21">
        <f t="shared" si="30"/>
        <v>-1.0000000009313226E-2</v>
      </c>
    </row>
    <row r="239" spans="2:16" ht="15.6">
      <c r="B239" s="82" t="s">
        <v>182</v>
      </c>
      <c r="C239" s="78">
        <v>33648.469999999972</v>
      </c>
      <c r="D239" s="78">
        <v>0</v>
      </c>
      <c r="E239" s="78">
        <v>155671.92000000001</v>
      </c>
      <c r="F239" s="78">
        <f t="shared" si="31"/>
        <v>189320.38999999998</v>
      </c>
      <c r="G239" s="78">
        <v>160718.73000000001</v>
      </c>
      <c r="H239" s="302">
        <v>1283655</v>
      </c>
      <c r="I239" s="78">
        <v>210878.96</v>
      </c>
      <c r="J239" s="78">
        <v>21558.57</v>
      </c>
      <c r="K239" s="10">
        <f t="shared" si="28"/>
        <v>189320.38999999998</v>
      </c>
      <c r="L239" s="78">
        <v>160718.72</v>
      </c>
      <c r="M239" s="304">
        <v>748.17000000001281</v>
      </c>
      <c r="N239" s="21">
        <f t="shared" si="29"/>
        <v>0</v>
      </c>
      <c r="O239" s="423"/>
      <c r="P239" s="21">
        <f t="shared" si="30"/>
        <v>1.0000000009313226E-2</v>
      </c>
    </row>
    <row r="240" spans="2:16" ht="15.6">
      <c r="B240" s="82" t="s">
        <v>187</v>
      </c>
      <c r="C240" s="78">
        <v>67573.749999999971</v>
      </c>
      <c r="D240" s="78">
        <v>0</v>
      </c>
      <c r="E240" s="78">
        <v>208751.85</v>
      </c>
      <c r="F240" s="78">
        <f t="shared" si="31"/>
        <v>276325.59999999998</v>
      </c>
      <c r="G240" s="78">
        <v>223690.31</v>
      </c>
      <c r="H240" s="302">
        <v>14056.33</v>
      </c>
      <c r="I240" s="78">
        <v>304742.03999999998</v>
      </c>
      <c r="J240" s="78">
        <v>28416.44</v>
      </c>
      <c r="K240" s="10">
        <f t="shared" si="28"/>
        <v>276325.59999999998</v>
      </c>
      <c r="L240" s="78">
        <v>223690.31</v>
      </c>
      <c r="M240" s="303">
        <v>1228.5800000000163</v>
      </c>
      <c r="N240" s="21">
        <f t="shared" si="29"/>
        <v>0</v>
      </c>
      <c r="O240" s="423"/>
      <c r="P240" s="22">
        <f t="shared" si="30"/>
        <v>0</v>
      </c>
    </row>
    <row r="241" spans="2:16" ht="15.6">
      <c r="B241" s="82" t="s">
        <v>233</v>
      </c>
      <c r="C241" s="78">
        <v>70270.989999999991</v>
      </c>
      <c r="D241" s="78">
        <v>0</v>
      </c>
      <c r="E241" s="78">
        <v>573748.16</v>
      </c>
      <c r="F241" s="78">
        <f t="shared" si="31"/>
        <v>644019.15</v>
      </c>
      <c r="G241" s="78">
        <v>545437.47</v>
      </c>
      <c r="H241" s="302">
        <v>59031.75</v>
      </c>
      <c r="I241" s="78">
        <v>695600.53</v>
      </c>
      <c r="J241" s="78">
        <v>51581.38</v>
      </c>
      <c r="K241" s="10">
        <f t="shared" si="28"/>
        <v>644019.15</v>
      </c>
      <c r="L241" s="78">
        <v>545437.46</v>
      </c>
      <c r="M241" s="303">
        <v>2258.390000000014</v>
      </c>
      <c r="N241" s="21">
        <f t="shared" si="29"/>
        <v>0</v>
      </c>
      <c r="O241" s="423"/>
      <c r="P241" s="22">
        <f t="shared" si="30"/>
        <v>1.0000000009313226E-2</v>
      </c>
    </row>
    <row r="242" spans="2:16" ht="15.6">
      <c r="B242" s="84" t="s">
        <v>240</v>
      </c>
      <c r="C242" s="78">
        <v>117708.55999999994</v>
      </c>
      <c r="D242" s="78">
        <v>0</v>
      </c>
      <c r="E242" s="78">
        <v>741456.52</v>
      </c>
      <c r="F242" s="78">
        <f t="shared" si="31"/>
        <v>859165.08</v>
      </c>
      <c r="G242" s="78">
        <v>742220.16</v>
      </c>
      <c r="H242" s="302">
        <v>89523.41</v>
      </c>
      <c r="I242" s="78">
        <v>937865.49</v>
      </c>
      <c r="J242" s="78">
        <v>78700.41</v>
      </c>
      <c r="K242" s="10">
        <f t="shared" si="28"/>
        <v>859165.08</v>
      </c>
      <c r="L242" s="78">
        <v>742220.14</v>
      </c>
      <c r="M242" s="303">
        <v>5272.9300000000512</v>
      </c>
      <c r="N242" s="22">
        <f t="shared" si="29"/>
        <v>0</v>
      </c>
      <c r="O242" s="423"/>
      <c r="P242" s="22">
        <f t="shared" si="30"/>
        <v>2.0000000018626451E-2</v>
      </c>
    </row>
    <row r="243" spans="2:16" ht="15.6">
      <c r="B243" s="84" t="s">
        <v>245</v>
      </c>
      <c r="C243" s="78">
        <v>0</v>
      </c>
      <c r="D243" s="78">
        <v>0</v>
      </c>
      <c r="E243" s="78">
        <v>0</v>
      </c>
      <c r="F243" s="78">
        <f t="shared" si="31"/>
        <v>0</v>
      </c>
      <c r="G243" s="78">
        <v>0</v>
      </c>
      <c r="H243" s="302">
        <v>311969.26</v>
      </c>
      <c r="I243" s="78"/>
      <c r="J243" s="78"/>
      <c r="K243" s="10">
        <f t="shared" si="28"/>
        <v>0</v>
      </c>
      <c r="L243" s="78"/>
      <c r="M243" s="303">
        <v>0</v>
      </c>
      <c r="N243" s="22">
        <f t="shared" si="29"/>
        <v>0</v>
      </c>
      <c r="O243" s="423"/>
      <c r="P243" s="22">
        <f t="shared" si="30"/>
        <v>0</v>
      </c>
    </row>
    <row r="244" spans="2:16" ht="15.6">
      <c r="B244" s="441" t="s">
        <v>357</v>
      </c>
      <c r="C244" s="78">
        <f>2596517.63+641.68</f>
        <v>2597159.31</v>
      </c>
      <c r="D244" s="78">
        <v>99065.23</v>
      </c>
      <c r="E244" s="78">
        <v>149762.41</v>
      </c>
      <c r="F244" s="78">
        <f>C244+D244+E244</f>
        <v>2845986.95</v>
      </c>
      <c r="G244" s="78">
        <v>2203643.06</v>
      </c>
      <c r="H244" s="302">
        <v>311970.26</v>
      </c>
      <c r="I244" s="78">
        <v>2919934.58</v>
      </c>
      <c r="J244" s="78">
        <v>73947.63</v>
      </c>
      <c r="K244" s="10">
        <f>I244-J244</f>
        <v>2845986.95</v>
      </c>
      <c r="L244" s="78">
        <v>2203643.06</v>
      </c>
      <c r="M244" s="303">
        <f>64663.1200000001+641.68</f>
        <v>65304.800000000097</v>
      </c>
      <c r="N244" s="22">
        <f>F244-K244</f>
        <v>0</v>
      </c>
      <c r="O244" s="423"/>
      <c r="P244" s="22">
        <f>G244-L244</f>
        <v>0</v>
      </c>
    </row>
    <row r="245" spans="2:16" ht="15.6">
      <c r="B245" s="441" t="s">
        <v>362</v>
      </c>
      <c r="C245" s="78">
        <v>72147.079999999958</v>
      </c>
      <c r="D245" s="78">
        <v>0</v>
      </c>
      <c r="E245" s="78">
        <v>461519.6</v>
      </c>
      <c r="F245" s="78">
        <f>C245+D245+E245</f>
        <v>533666.67999999993</v>
      </c>
      <c r="G245" s="78">
        <v>426133.3</v>
      </c>
      <c r="H245" s="302">
        <v>311971.26</v>
      </c>
      <c r="I245" s="78">
        <v>565475.71</v>
      </c>
      <c r="J245" s="78">
        <v>31809.03</v>
      </c>
      <c r="K245" s="10">
        <f>I245-J245</f>
        <v>533666.67999999993</v>
      </c>
      <c r="L245" s="78">
        <v>426133.3</v>
      </c>
      <c r="M245" s="303">
        <v>2784.890000000014</v>
      </c>
      <c r="N245" s="22">
        <f>F245-K245</f>
        <v>0</v>
      </c>
      <c r="O245" s="423"/>
      <c r="P245" s="22">
        <f>G245-L245</f>
        <v>0</v>
      </c>
    </row>
    <row r="246" spans="2:16" ht="16.2" thickBot="1">
      <c r="B246" s="441" t="s">
        <v>361</v>
      </c>
      <c r="C246" s="78">
        <v>165125.31000000006</v>
      </c>
      <c r="D246" s="78">
        <v>0</v>
      </c>
      <c r="E246" s="78">
        <v>727270.49</v>
      </c>
      <c r="F246" s="78">
        <f>C246+D246+E246</f>
        <v>892395.8</v>
      </c>
      <c r="G246" s="78">
        <v>669801.81999999995</v>
      </c>
      <c r="H246" s="302">
        <v>311972.26</v>
      </c>
      <c r="I246" s="78">
        <v>965684.63</v>
      </c>
      <c r="J246" s="78">
        <v>73288.83</v>
      </c>
      <c r="K246" s="10">
        <f>I246-J246</f>
        <v>892395.8</v>
      </c>
      <c r="L246" s="78">
        <v>669801.71</v>
      </c>
      <c r="M246" s="303">
        <v>5035.7199999999721</v>
      </c>
      <c r="N246" s="22">
        <f>F246-K246</f>
        <v>0</v>
      </c>
      <c r="O246" s="423"/>
      <c r="P246" s="22">
        <f>G246-L246</f>
        <v>0.10999999998603016</v>
      </c>
    </row>
    <row r="247" spans="2:16" ht="16.2" thickBot="1">
      <c r="B247" s="83" t="s">
        <v>194</v>
      </c>
      <c r="C247" s="92">
        <f>SUM(C218:C246)</f>
        <v>29742659.659999985</v>
      </c>
      <c r="D247" s="92">
        <f>SUM(D218:D246)</f>
        <v>3916905.8199999989</v>
      </c>
      <c r="E247" s="92">
        <f>SUM(E218:E246)</f>
        <v>20234479.190000005</v>
      </c>
      <c r="F247" s="92">
        <f>SUM(F218:F246)</f>
        <v>53894044.669999994</v>
      </c>
      <c r="G247" s="92">
        <f>SUM(G218:G246)</f>
        <v>43477742.139999993</v>
      </c>
      <c r="H247" s="88"/>
      <c r="I247" s="92">
        <f>SUM(I218:I246)</f>
        <v>56787819.160000026</v>
      </c>
      <c r="J247" s="92">
        <f t="shared" ref="J247:P247" si="32">SUM(J218:J246)</f>
        <v>2893774.49</v>
      </c>
      <c r="K247" s="92">
        <f t="shared" si="32"/>
        <v>53894044.669999994</v>
      </c>
      <c r="L247" s="92">
        <f t="shared" si="32"/>
        <v>43477556.020000003</v>
      </c>
      <c r="M247" s="92">
        <f>SUM(M218:M246)</f>
        <v>766646.60000000021</v>
      </c>
      <c r="N247" s="92">
        <f t="shared" si="32"/>
        <v>0</v>
      </c>
      <c r="O247" s="92">
        <f t="shared" si="32"/>
        <v>0</v>
      </c>
      <c r="P247" s="92">
        <f t="shared" si="32"/>
        <v>186.11999999935506</v>
      </c>
    </row>
    <row r="248" spans="2:16">
      <c r="C248" s="1">
        <f>+(54659407.91-20234479.19-3916905.82)-C247</f>
        <v>765363.24000001326</v>
      </c>
      <c r="D248" s="1">
        <f>3916905.82-D247</f>
        <v>0</v>
      </c>
      <c r="E248" s="1">
        <f>20234479.19-E247</f>
        <v>0</v>
      </c>
      <c r="J248" s="457"/>
    </row>
    <row r="250" spans="2:16" ht="13.8" thickBot="1"/>
    <row r="251" spans="2:16" ht="21.6" thickBot="1">
      <c r="B251" s="637" t="s">
        <v>161</v>
      </c>
      <c r="C251" s="638"/>
      <c r="D251" s="638"/>
      <c r="E251" s="638"/>
      <c r="F251" s="638"/>
      <c r="G251" s="639"/>
      <c r="I251" s="640" t="s">
        <v>149</v>
      </c>
      <c r="J251" s="641"/>
      <c r="K251" s="641"/>
      <c r="L251" s="642"/>
      <c r="M251" s="49"/>
      <c r="N251" s="23"/>
      <c r="O251" s="423"/>
      <c r="P251" s="23"/>
    </row>
    <row r="252" spans="2:16" ht="16.2" thickBot="1">
      <c r="B252" s="77" t="s">
        <v>34</v>
      </c>
      <c r="C252" s="80" t="s">
        <v>115</v>
      </c>
      <c r="D252" s="80" t="s">
        <v>21</v>
      </c>
      <c r="E252" s="80" t="s">
        <v>116</v>
      </c>
      <c r="F252" s="80" t="s">
        <v>162</v>
      </c>
      <c r="G252" s="81" t="s">
        <v>163</v>
      </c>
      <c r="H252" s="48" t="s">
        <v>281</v>
      </c>
      <c r="I252" s="26" t="s">
        <v>114</v>
      </c>
      <c r="J252" s="24" t="s">
        <v>164</v>
      </c>
      <c r="K252" s="24" t="s">
        <v>165</v>
      </c>
      <c r="L252" s="25" t="s">
        <v>166</v>
      </c>
      <c r="M252" s="85"/>
      <c r="N252" s="27" t="s">
        <v>167</v>
      </c>
      <c r="O252" s="423"/>
      <c r="P252" s="27" t="s">
        <v>168</v>
      </c>
    </row>
    <row r="253" spans="2:16" ht="15.6">
      <c r="B253" s="82" t="s">
        <v>36</v>
      </c>
      <c r="C253" s="78">
        <v>4835066.8299999991</v>
      </c>
      <c r="D253" s="78">
        <v>653473.9</v>
      </c>
      <c r="E253" s="78">
        <v>1371989.49</v>
      </c>
      <c r="F253" s="78">
        <f>C253+D253+E253</f>
        <v>6860530.2199999997</v>
      </c>
      <c r="G253" s="78">
        <v>5509887.4299999997</v>
      </c>
      <c r="H253" s="339"/>
      <c r="I253" s="78">
        <v>7159939.1699999999</v>
      </c>
      <c r="J253" s="78">
        <v>299408.95</v>
      </c>
      <c r="K253" s="10">
        <f t="shared" ref="K253:K277" si="33">I253-J253</f>
        <v>6860530.2199999997</v>
      </c>
      <c r="L253" s="78">
        <v>5509486.0599999996</v>
      </c>
      <c r="M253" s="303">
        <v>113058.86000000034</v>
      </c>
      <c r="N253" s="21">
        <f t="shared" ref="N253:N281" si="34">F253-K253</f>
        <v>0</v>
      </c>
      <c r="O253" s="423"/>
      <c r="P253" s="46">
        <f t="shared" ref="P253:P281" si="35">G253-L253</f>
        <v>401.37000000011176</v>
      </c>
    </row>
    <row r="254" spans="2:16" ht="15.6">
      <c r="B254" s="82" t="s">
        <v>9</v>
      </c>
      <c r="C254" s="78">
        <v>3467970.7899999996</v>
      </c>
      <c r="D254" s="78">
        <v>1482569.79</v>
      </c>
      <c r="E254" s="78">
        <v>451680.68</v>
      </c>
      <c r="F254" s="78">
        <f t="shared" ref="F254:F277" si="36">C254+D254+E254</f>
        <v>5402221.2599999998</v>
      </c>
      <c r="G254" s="78">
        <v>4294453.5599999996</v>
      </c>
      <c r="H254" s="339"/>
      <c r="I254" s="78">
        <v>5629779.1699999999</v>
      </c>
      <c r="J254" s="78">
        <v>227557.91</v>
      </c>
      <c r="K254" s="10">
        <f t="shared" si="33"/>
        <v>5402221.2599999998</v>
      </c>
      <c r="L254" s="78">
        <v>4294453.5599999996</v>
      </c>
      <c r="M254" s="303">
        <v>89425.339999999851</v>
      </c>
      <c r="N254" s="21">
        <f t="shared" si="34"/>
        <v>0</v>
      </c>
      <c r="O254" s="423"/>
      <c r="P254" s="21">
        <f t="shared" si="35"/>
        <v>0</v>
      </c>
    </row>
    <row r="255" spans="2:16" ht="15.6">
      <c r="B255" s="82" t="s">
        <v>25</v>
      </c>
      <c r="C255" s="78">
        <v>1398602.4</v>
      </c>
      <c r="D255" s="78">
        <v>325156.46000000002</v>
      </c>
      <c r="E255" s="78">
        <v>1817656</v>
      </c>
      <c r="F255" s="78">
        <f t="shared" si="36"/>
        <v>3541414.86</v>
      </c>
      <c r="G255" s="78">
        <v>2881267.68</v>
      </c>
      <c r="H255" s="339"/>
      <c r="I255" s="78">
        <v>3788740.48</v>
      </c>
      <c r="J255" s="78">
        <v>247325.62</v>
      </c>
      <c r="K255" s="10">
        <f t="shared" si="33"/>
        <v>3541414.86</v>
      </c>
      <c r="L255" s="78">
        <v>2881267.68</v>
      </c>
      <c r="M255" s="303">
        <v>32104.260000000242</v>
      </c>
      <c r="N255" s="21">
        <f t="shared" si="34"/>
        <v>0</v>
      </c>
      <c r="O255" s="423"/>
      <c r="P255" s="21">
        <f t="shared" si="35"/>
        <v>0</v>
      </c>
    </row>
    <row r="256" spans="2:16" ht="15.6">
      <c r="B256" s="82" t="s">
        <v>160</v>
      </c>
      <c r="C256" s="78">
        <v>5856948.6899999995</v>
      </c>
      <c r="D256" s="78">
        <v>32827.839999999997</v>
      </c>
      <c r="E256" s="78">
        <v>2532262.5699999998</v>
      </c>
      <c r="F256" s="78">
        <f t="shared" si="36"/>
        <v>8422039.0999999996</v>
      </c>
      <c r="G256" s="78">
        <v>6854824.1500000004</v>
      </c>
      <c r="H256" s="339"/>
      <c r="I256" s="78">
        <v>8797594.6500000004</v>
      </c>
      <c r="J256" s="78">
        <v>375555.55</v>
      </c>
      <c r="K256" s="10">
        <f t="shared" si="33"/>
        <v>8422039.0999999996</v>
      </c>
      <c r="L256" s="78">
        <v>6854824.1399999997</v>
      </c>
      <c r="M256" s="303">
        <v>107131.5700000003</v>
      </c>
      <c r="N256" s="21">
        <f t="shared" si="34"/>
        <v>0</v>
      </c>
      <c r="O256" s="423"/>
      <c r="P256" s="290">
        <f t="shared" si="35"/>
        <v>1.0000000707805157E-2</v>
      </c>
    </row>
    <row r="257" spans="2:16" ht="15.6">
      <c r="B257" s="82" t="s">
        <v>139</v>
      </c>
      <c r="C257" s="78">
        <v>21317.09999999974</v>
      </c>
      <c r="D257" s="78">
        <v>0</v>
      </c>
      <c r="E257" s="78">
        <v>2084336.68</v>
      </c>
      <c r="F257" s="78">
        <f t="shared" si="36"/>
        <v>2105653.7799999998</v>
      </c>
      <c r="G257" s="78">
        <v>1787608.59</v>
      </c>
      <c r="H257" s="339"/>
      <c r="I257" s="78">
        <v>2287570.7999999998</v>
      </c>
      <c r="J257" s="78">
        <v>181917.02</v>
      </c>
      <c r="K257" s="10">
        <f t="shared" si="33"/>
        <v>2105653.7799999998</v>
      </c>
      <c r="L257" s="78">
        <v>1787608.58</v>
      </c>
      <c r="M257" s="303">
        <v>6139.7800000002608</v>
      </c>
      <c r="N257" s="21">
        <f t="shared" si="34"/>
        <v>0</v>
      </c>
      <c r="O257" s="423"/>
      <c r="P257" s="290">
        <f t="shared" si="35"/>
        <v>1.0000000009313226E-2</v>
      </c>
    </row>
    <row r="258" spans="2:16" ht="15.6">
      <c r="B258" s="82" t="s">
        <v>37</v>
      </c>
      <c r="C258" s="78">
        <v>31888.210000000021</v>
      </c>
      <c r="D258" s="78">
        <v>0</v>
      </c>
      <c r="E258" s="78">
        <v>501316.34</v>
      </c>
      <c r="F258" s="78">
        <f t="shared" si="36"/>
        <v>533204.55000000005</v>
      </c>
      <c r="G258" s="78">
        <v>463003.36</v>
      </c>
      <c r="H258" s="339"/>
      <c r="I258" s="78">
        <v>586435.75</v>
      </c>
      <c r="J258" s="78">
        <v>53231.199999999997</v>
      </c>
      <c r="K258" s="10">
        <f t="shared" si="33"/>
        <v>533204.55000000005</v>
      </c>
      <c r="L258" s="78">
        <v>463003.36</v>
      </c>
      <c r="M258" s="303">
        <v>3592.1300000000047</v>
      </c>
      <c r="N258" s="21">
        <f t="shared" si="34"/>
        <v>0</v>
      </c>
      <c r="O258" s="423"/>
      <c r="P258" s="21">
        <f t="shared" si="35"/>
        <v>0</v>
      </c>
    </row>
    <row r="259" spans="2:16" ht="15.6">
      <c r="B259" s="82" t="s">
        <v>133</v>
      </c>
      <c r="C259" s="78">
        <v>18877.200000000033</v>
      </c>
      <c r="D259" s="78">
        <v>0</v>
      </c>
      <c r="E259" s="78">
        <v>254514.61</v>
      </c>
      <c r="F259" s="78">
        <f t="shared" si="36"/>
        <v>273391.81</v>
      </c>
      <c r="G259" s="78">
        <v>235602.18</v>
      </c>
      <c r="H259" s="339"/>
      <c r="I259" s="78">
        <v>305282.67</v>
      </c>
      <c r="J259" s="78">
        <v>31890.86</v>
      </c>
      <c r="K259" s="10">
        <f t="shared" si="33"/>
        <v>273391.81</v>
      </c>
      <c r="L259" s="78">
        <v>235602.2</v>
      </c>
      <c r="M259" s="303">
        <v>949.3399999999674</v>
      </c>
      <c r="N259" s="21">
        <f t="shared" si="34"/>
        <v>0</v>
      </c>
      <c r="O259" s="423"/>
      <c r="P259" s="21">
        <f t="shared" si="35"/>
        <v>-2.0000000018626451E-2</v>
      </c>
    </row>
    <row r="260" spans="2:16" ht="15.6">
      <c r="B260" s="82" t="s">
        <v>123</v>
      </c>
      <c r="C260" s="78">
        <v>19938.929999999993</v>
      </c>
      <c r="D260" s="78">
        <v>0</v>
      </c>
      <c r="E260" s="78">
        <v>485131.66</v>
      </c>
      <c r="F260" s="78">
        <f t="shared" si="36"/>
        <v>505070.58999999997</v>
      </c>
      <c r="G260" s="78">
        <v>434841.93</v>
      </c>
      <c r="H260" s="339"/>
      <c r="I260" s="78">
        <v>560109.09</v>
      </c>
      <c r="J260" s="78">
        <v>55038.5</v>
      </c>
      <c r="K260" s="10">
        <f t="shared" si="33"/>
        <v>505070.58999999997</v>
      </c>
      <c r="L260" s="78">
        <v>434841.96</v>
      </c>
      <c r="M260" s="303">
        <v>2518.2300000000396</v>
      </c>
      <c r="N260" s="21">
        <f t="shared" si="34"/>
        <v>0</v>
      </c>
      <c r="O260" s="423"/>
      <c r="P260" s="21">
        <f t="shared" si="35"/>
        <v>-3.0000000027939677E-2</v>
      </c>
    </row>
    <row r="261" spans="2:16" ht="15.6">
      <c r="B261" s="82" t="s">
        <v>145</v>
      </c>
      <c r="C261" s="78">
        <v>941454.91999999993</v>
      </c>
      <c r="D261" s="78">
        <v>2943.65</v>
      </c>
      <c r="E261" s="78">
        <v>1481024.71</v>
      </c>
      <c r="F261" s="78">
        <f t="shared" si="36"/>
        <v>2425423.2799999998</v>
      </c>
      <c r="G261" s="78">
        <v>2001187.9</v>
      </c>
      <c r="H261" s="339"/>
      <c r="I261" s="78">
        <v>2574829.94</v>
      </c>
      <c r="J261" s="78">
        <v>149406.66</v>
      </c>
      <c r="K261" s="10">
        <f t="shared" si="33"/>
        <v>2425423.2799999998</v>
      </c>
      <c r="L261" s="78">
        <v>2001187.86</v>
      </c>
      <c r="M261" s="303">
        <v>30462.800000000279</v>
      </c>
      <c r="N261" s="21">
        <f t="shared" si="34"/>
        <v>0</v>
      </c>
      <c r="O261" s="423"/>
      <c r="P261" s="21">
        <f t="shared" si="35"/>
        <v>3.9999999804422259E-2</v>
      </c>
    </row>
    <row r="262" spans="2:16" ht="15.6">
      <c r="B262" s="82" t="s">
        <v>124</v>
      </c>
      <c r="C262" s="78">
        <v>197220.28999999998</v>
      </c>
      <c r="D262" s="78">
        <v>0</v>
      </c>
      <c r="E262" s="78">
        <v>195948.86</v>
      </c>
      <c r="F262" s="78">
        <f t="shared" si="36"/>
        <v>393169.14999999997</v>
      </c>
      <c r="G262" s="78">
        <v>334113</v>
      </c>
      <c r="H262" s="339"/>
      <c r="I262" s="78">
        <v>429008.3</v>
      </c>
      <c r="J262" s="78">
        <v>35839.15</v>
      </c>
      <c r="K262" s="10">
        <f t="shared" si="33"/>
        <v>393169.14999999997</v>
      </c>
      <c r="L262" s="78">
        <v>334112.98</v>
      </c>
      <c r="M262" s="303">
        <v>2384.2700000000186</v>
      </c>
      <c r="N262" s="21">
        <f t="shared" si="34"/>
        <v>0</v>
      </c>
      <c r="O262" s="423"/>
      <c r="P262" s="21">
        <f t="shared" si="35"/>
        <v>2.0000000018626451E-2</v>
      </c>
    </row>
    <row r="263" spans="2:16" ht="15.6">
      <c r="B263" s="82" t="s">
        <v>169</v>
      </c>
      <c r="C263" s="78">
        <v>2703204.63</v>
      </c>
      <c r="D263" s="78">
        <v>9366.39</v>
      </c>
      <c r="E263" s="78">
        <v>1245052.1200000001</v>
      </c>
      <c r="F263" s="78">
        <f t="shared" si="36"/>
        <v>3957623.14</v>
      </c>
      <c r="G263" s="78">
        <v>3203375.77</v>
      </c>
      <c r="H263" s="339"/>
      <c r="I263" s="78">
        <v>4119117.99</v>
      </c>
      <c r="J263" s="78">
        <v>161494.85</v>
      </c>
      <c r="K263" s="10">
        <f t="shared" si="33"/>
        <v>3957623.14</v>
      </c>
      <c r="L263" s="78">
        <v>3203375.68</v>
      </c>
      <c r="M263" s="303">
        <v>60357.520000000019</v>
      </c>
      <c r="N263" s="21">
        <f t="shared" si="34"/>
        <v>0</v>
      </c>
      <c r="O263" s="423"/>
      <c r="P263" s="21">
        <f t="shared" si="35"/>
        <v>8.9999999850988388E-2</v>
      </c>
    </row>
    <row r="264" spans="2:16" ht="15.6">
      <c r="B264" s="82" t="s">
        <v>243</v>
      </c>
      <c r="C264" s="78">
        <v>1763587.5899999999</v>
      </c>
      <c r="D264" s="78">
        <v>79576.58</v>
      </c>
      <c r="E264" s="78">
        <v>629432.29</v>
      </c>
      <c r="F264" s="78">
        <f t="shared" si="36"/>
        <v>2472596.46</v>
      </c>
      <c r="G264" s="78">
        <v>1959308.79</v>
      </c>
      <c r="H264" s="339"/>
      <c r="I264" s="78">
        <v>2548964.0099999998</v>
      </c>
      <c r="J264" s="78">
        <v>76367.55</v>
      </c>
      <c r="K264" s="10">
        <f t="shared" si="33"/>
        <v>2472596.46</v>
      </c>
      <c r="L264" s="78">
        <v>1959308.79</v>
      </c>
      <c r="M264" s="303">
        <v>42432.370000000112</v>
      </c>
      <c r="N264" s="21">
        <f t="shared" si="34"/>
        <v>0</v>
      </c>
      <c r="O264" s="423"/>
      <c r="P264" s="21">
        <f t="shared" si="35"/>
        <v>0</v>
      </c>
    </row>
    <row r="265" spans="2:16" ht="15.6">
      <c r="B265" s="82" t="s">
        <v>175</v>
      </c>
      <c r="C265" s="78">
        <v>4404386.3899999997</v>
      </c>
      <c r="D265" s="78">
        <v>997368.4</v>
      </c>
      <c r="E265" s="78">
        <v>886926.85</v>
      </c>
      <c r="F265" s="78">
        <f t="shared" si="36"/>
        <v>6288681.6399999997</v>
      </c>
      <c r="G265" s="78">
        <v>4920386.49</v>
      </c>
      <c r="H265" s="339"/>
      <c r="I265" s="78">
        <v>6464724.7699999996</v>
      </c>
      <c r="J265" s="78">
        <v>176043.13</v>
      </c>
      <c r="K265" s="10">
        <f t="shared" si="33"/>
        <v>6288681.6399999997</v>
      </c>
      <c r="L265" s="78">
        <v>4920386.49</v>
      </c>
      <c r="M265" s="303">
        <v>104705.61000000034</v>
      </c>
      <c r="N265" s="21">
        <f t="shared" si="34"/>
        <v>0</v>
      </c>
      <c r="O265" s="423"/>
      <c r="P265" s="21">
        <f t="shared" si="35"/>
        <v>0</v>
      </c>
    </row>
    <row r="266" spans="2:16" ht="15.6">
      <c r="B266" s="82" t="s">
        <v>170</v>
      </c>
      <c r="C266" s="78">
        <v>853967.06</v>
      </c>
      <c r="D266" s="78">
        <v>135743.44</v>
      </c>
      <c r="E266" s="78">
        <v>43004.99</v>
      </c>
      <c r="F266" s="78">
        <f t="shared" si="36"/>
        <v>1032715.49</v>
      </c>
      <c r="G266" s="78">
        <v>776458.58</v>
      </c>
      <c r="H266" s="339"/>
      <c r="I266" s="78">
        <v>1037762.99</v>
      </c>
      <c r="J266" s="78">
        <v>5047.5</v>
      </c>
      <c r="K266" s="10">
        <f t="shared" si="33"/>
        <v>1032715.49</v>
      </c>
      <c r="L266" s="78">
        <v>776458.03</v>
      </c>
      <c r="M266" s="303">
        <v>19876.429999999935</v>
      </c>
      <c r="N266" s="21">
        <f t="shared" si="34"/>
        <v>0</v>
      </c>
      <c r="O266" s="423"/>
      <c r="P266" s="21">
        <f t="shared" si="35"/>
        <v>0.54999999993015081</v>
      </c>
    </row>
    <row r="267" spans="2:16" ht="15.6">
      <c r="B267" s="82" t="s">
        <v>203</v>
      </c>
      <c r="C267" s="78">
        <v>1936967.87</v>
      </c>
      <c r="D267" s="78">
        <v>56720.36</v>
      </c>
      <c r="E267" s="78">
        <v>631667.23</v>
      </c>
      <c r="F267" s="78">
        <f t="shared" si="36"/>
        <v>2625355.46</v>
      </c>
      <c r="G267" s="78">
        <v>2103029.54</v>
      </c>
      <c r="H267" s="339"/>
      <c r="I267" s="78">
        <v>2746099.53</v>
      </c>
      <c r="J267" s="78">
        <v>120744.07</v>
      </c>
      <c r="K267" s="10">
        <f t="shared" si="33"/>
        <v>2625355.46</v>
      </c>
      <c r="L267" s="78">
        <v>2103029.54</v>
      </c>
      <c r="M267" s="303">
        <v>55186.589999999851</v>
      </c>
      <c r="N267" s="21">
        <f t="shared" si="34"/>
        <v>0</v>
      </c>
      <c r="O267" s="423"/>
      <c r="P267" s="21">
        <f t="shared" si="35"/>
        <v>0</v>
      </c>
    </row>
    <row r="268" spans="2:16" ht="15.6">
      <c r="B268" s="82" t="s">
        <v>172</v>
      </c>
      <c r="C268" s="78">
        <v>471113.09</v>
      </c>
      <c r="D268" s="78">
        <v>0</v>
      </c>
      <c r="E268" s="78">
        <v>0</v>
      </c>
      <c r="F268" s="78">
        <f t="shared" si="36"/>
        <v>471113.09</v>
      </c>
      <c r="G268" s="78">
        <v>401887.01</v>
      </c>
      <c r="H268" s="339"/>
      <c r="I268" s="78">
        <v>542770.04</v>
      </c>
      <c r="J268" s="78">
        <v>71656.95</v>
      </c>
      <c r="K268" s="10">
        <f t="shared" si="33"/>
        <v>471113.09</v>
      </c>
      <c r="L268" s="78">
        <v>401887.03</v>
      </c>
      <c r="M268" s="303">
        <v>30441.859999999986</v>
      </c>
      <c r="N268" s="21">
        <f t="shared" si="34"/>
        <v>0</v>
      </c>
      <c r="O268" s="423"/>
      <c r="P268" s="21">
        <f t="shared" si="35"/>
        <v>-2.0000000018626451E-2</v>
      </c>
    </row>
    <row r="269" spans="2:16" ht="15.6">
      <c r="B269" s="82" t="s">
        <v>176</v>
      </c>
      <c r="C269" s="78">
        <v>151698.63999999996</v>
      </c>
      <c r="D269" s="78">
        <v>0</v>
      </c>
      <c r="E269" s="78">
        <v>371224.38</v>
      </c>
      <c r="F269" s="78">
        <f t="shared" si="36"/>
        <v>522923.01999999996</v>
      </c>
      <c r="G269" s="78">
        <v>451023.68</v>
      </c>
      <c r="H269" s="339"/>
      <c r="I269" s="78">
        <v>571016.18999999994</v>
      </c>
      <c r="J269" s="78">
        <v>48093.17</v>
      </c>
      <c r="K269" s="10">
        <f t="shared" si="33"/>
        <v>522923.01999999996</v>
      </c>
      <c r="L269" s="78">
        <v>451023.72</v>
      </c>
      <c r="M269" s="303">
        <v>3333.7900000000955</v>
      </c>
      <c r="N269" s="21">
        <f t="shared" si="34"/>
        <v>0</v>
      </c>
      <c r="O269" s="423"/>
      <c r="P269" s="21">
        <f t="shared" si="35"/>
        <v>-3.9999999979045242E-2</v>
      </c>
    </row>
    <row r="270" spans="2:16" ht="15.6">
      <c r="B270" s="82" t="s">
        <v>177</v>
      </c>
      <c r="C270" s="78">
        <v>136035.49</v>
      </c>
      <c r="D270" s="78">
        <v>0</v>
      </c>
      <c r="E270" s="78">
        <v>533226.63</v>
      </c>
      <c r="F270" s="78">
        <f t="shared" si="36"/>
        <v>669262.12</v>
      </c>
      <c r="G270" s="78">
        <v>548936.93000000005</v>
      </c>
      <c r="H270" s="339"/>
      <c r="I270" s="78">
        <v>724590.11</v>
      </c>
      <c r="J270" s="78">
        <v>55327.99</v>
      </c>
      <c r="K270" s="10">
        <f t="shared" si="33"/>
        <v>669262.12</v>
      </c>
      <c r="L270" s="78">
        <v>548936.93000000005</v>
      </c>
      <c r="M270" s="303">
        <v>4514.8800000000047</v>
      </c>
      <c r="N270" s="21">
        <f t="shared" si="34"/>
        <v>0</v>
      </c>
      <c r="O270" s="423"/>
      <c r="P270" s="21">
        <f t="shared" si="35"/>
        <v>0</v>
      </c>
    </row>
    <row r="271" spans="2:16" ht="15.6">
      <c r="B271" s="82" t="s">
        <v>178</v>
      </c>
      <c r="C271" s="78">
        <v>-124.86999999999534</v>
      </c>
      <c r="D271" s="78">
        <v>0</v>
      </c>
      <c r="E271" s="78">
        <v>400673.6</v>
      </c>
      <c r="F271" s="78">
        <f t="shared" si="36"/>
        <v>400548.73</v>
      </c>
      <c r="G271" s="78">
        <v>342411.86</v>
      </c>
      <c r="H271" s="339"/>
      <c r="I271" s="78">
        <v>430765.56</v>
      </c>
      <c r="J271" s="78">
        <v>30216.83</v>
      </c>
      <c r="K271" s="10">
        <f t="shared" si="33"/>
        <v>400548.73</v>
      </c>
      <c r="L271" s="78">
        <v>342411.86</v>
      </c>
      <c r="M271" s="303">
        <v>2073.2300000000396</v>
      </c>
      <c r="N271" s="21">
        <f t="shared" si="34"/>
        <v>0</v>
      </c>
      <c r="O271" s="423"/>
      <c r="P271" s="21">
        <f t="shared" si="35"/>
        <v>0</v>
      </c>
    </row>
    <row r="272" spans="2:16" ht="15.6">
      <c r="B272" s="82" t="s">
        <v>179</v>
      </c>
      <c r="C272" s="78">
        <v>2238.0599999999395</v>
      </c>
      <c r="D272" s="78">
        <v>0</v>
      </c>
      <c r="E272" s="78">
        <v>619687.97</v>
      </c>
      <c r="F272" s="78">
        <f t="shared" si="36"/>
        <v>621926.02999999991</v>
      </c>
      <c r="G272" s="78">
        <v>533019.09</v>
      </c>
      <c r="H272" s="339"/>
      <c r="I272" s="78">
        <v>685056.07</v>
      </c>
      <c r="J272" s="78">
        <v>63130.04</v>
      </c>
      <c r="K272" s="10">
        <f t="shared" si="33"/>
        <v>621926.02999999991</v>
      </c>
      <c r="L272" s="78">
        <v>533019.09</v>
      </c>
      <c r="M272" s="303">
        <v>3181.0100000001257</v>
      </c>
      <c r="N272" s="21">
        <f t="shared" si="34"/>
        <v>0</v>
      </c>
      <c r="O272" s="423"/>
      <c r="P272" s="21">
        <f t="shared" si="35"/>
        <v>0</v>
      </c>
    </row>
    <row r="273" spans="2:16" ht="15.6">
      <c r="B273" s="82" t="s">
        <v>181</v>
      </c>
      <c r="C273" s="78">
        <v>22067.849999999977</v>
      </c>
      <c r="D273" s="78">
        <v>0</v>
      </c>
      <c r="E273" s="78">
        <v>369258.36</v>
      </c>
      <c r="F273" s="78">
        <f t="shared" si="36"/>
        <v>391326.20999999996</v>
      </c>
      <c r="G273" s="78">
        <v>341536.27</v>
      </c>
      <c r="H273" s="339"/>
      <c r="I273" s="78">
        <v>428194.87</v>
      </c>
      <c r="J273" s="78">
        <v>36868.660000000003</v>
      </c>
      <c r="K273" s="10">
        <f t="shared" si="33"/>
        <v>391326.20999999996</v>
      </c>
      <c r="L273" s="78">
        <v>341536.25</v>
      </c>
      <c r="M273" s="303">
        <v>1813.2500000000582</v>
      </c>
      <c r="N273" s="21">
        <f t="shared" si="34"/>
        <v>0</v>
      </c>
      <c r="O273" s="423"/>
      <c r="P273" s="21">
        <f t="shared" si="35"/>
        <v>2.0000000018626451E-2</v>
      </c>
    </row>
    <row r="274" spans="2:16" ht="15.6">
      <c r="B274" s="82" t="s">
        <v>182</v>
      </c>
      <c r="C274" s="78">
        <v>21541.359999999986</v>
      </c>
      <c r="D274" s="78">
        <v>0</v>
      </c>
      <c r="E274" s="78">
        <v>164459.63</v>
      </c>
      <c r="F274" s="78">
        <f t="shared" si="36"/>
        <v>186000.99</v>
      </c>
      <c r="G274" s="78">
        <v>161536.95999999999</v>
      </c>
      <c r="H274" s="339"/>
      <c r="I274" s="78">
        <v>209234.88</v>
      </c>
      <c r="J274" s="78">
        <v>23233.89</v>
      </c>
      <c r="K274" s="10">
        <f t="shared" si="33"/>
        <v>186000.99</v>
      </c>
      <c r="L274" s="78">
        <v>161536.95999999999</v>
      </c>
      <c r="M274" s="304">
        <v>655.39000000001397</v>
      </c>
      <c r="N274" s="21">
        <f t="shared" si="34"/>
        <v>0</v>
      </c>
      <c r="O274" s="423"/>
      <c r="P274" s="21">
        <f t="shared" si="35"/>
        <v>0</v>
      </c>
    </row>
    <row r="275" spans="2:16" ht="15.6">
      <c r="B275" s="82" t="s">
        <v>187</v>
      </c>
      <c r="C275" s="78">
        <v>65514.050000000017</v>
      </c>
      <c r="D275" s="78">
        <v>0</v>
      </c>
      <c r="E275" s="78">
        <v>222991.02</v>
      </c>
      <c r="F275" s="78">
        <f t="shared" si="36"/>
        <v>288505.07</v>
      </c>
      <c r="G275" s="78">
        <v>231585.07</v>
      </c>
      <c r="H275" s="339"/>
      <c r="I275" s="78">
        <v>320758.15000000002</v>
      </c>
      <c r="J275" s="78">
        <v>32253.08</v>
      </c>
      <c r="K275" s="10">
        <f t="shared" si="33"/>
        <v>288505.07</v>
      </c>
      <c r="L275" s="78">
        <v>231585.07</v>
      </c>
      <c r="M275" s="303">
        <v>1068.8499999999767</v>
      </c>
      <c r="N275" s="21">
        <f t="shared" si="34"/>
        <v>0</v>
      </c>
      <c r="O275" s="423"/>
      <c r="P275" s="22">
        <f t="shared" si="35"/>
        <v>0</v>
      </c>
    </row>
    <row r="276" spans="2:16" ht="15.6">
      <c r="B276" s="82" t="s">
        <v>233</v>
      </c>
      <c r="C276" s="78">
        <v>49883.770000000019</v>
      </c>
      <c r="D276" s="78">
        <v>0</v>
      </c>
      <c r="E276" s="78">
        <v>635942.42000000004</v>
      </c>
      <c r="F276" s="78">
        <f t="shared" si="36"/>
        <v>685826.19000000006</v>
      </c>
      <c r="G276" s="78">
        <v>580895.19999999995</v>
      </c>
      <c r="H276" s="339"/>
      <c r="I276" s="78">
        <v>731871.77</v>
      </c>
      <c r="J276" s="78">
        <v>46045.58</v>
      </c>
      <c r="K276" s="10">
        <f t="shared" si="33"/>
        <v>685826.19000000006</v>
      </c>
      <c r="L276" s="78">
        <v>580895.16</v>
      </c>
      <c r="M276" s="303">
        <v>2237.6699999999255</v>
      </c>
      <c r="N276" s="21">
        <f t="shared" si="34"/>
        <v>0</v>
      </c>
      <c r="O276" s="423"/>
      <c r="P276" s="22">
        <f t="shared" si="35"/>
        <v>3.9999999920837581E-2</v>
      </c>
    </row>
    <row r="277" spans="2:16" ht="15.6">
      <c r="B277" s="84" t="s">
        <v>240</v>
      </c>
      <c r="C277" s="78">
        <v>114621.15999999992</v>
      </c>
      <c r="D277" s="78">
        <v>0</v>
      </c>
      <c r="E277" s="78">
        <v>723729.05</v>
      </c>
      <c r="F277" s="78">
        <f t="shared" si="36"/>
        <v>838350.21</v>
      </c>
      <c r="G277" s="78">
        <v>714873.89</v>
      </c>
      <c r="H277" s="339"/>
      <c r="I277" s="78">
        <v>911247.7</v>
      </c>
      <c r="J277" s="78">
        <v>72897.490000000005</v>
      </c>
      <c r="K277" s="10">
        <f t="shared" si="33"/>
        <v>838350.21</v>
      </c>
      <c r="L277" s="78">
        <v>714873.86</v>
      </c>
      <c r="M277" s="303">
        <v>6529.140000000014</v>
      </c>
      <c r="N277" s="22">
        <f t="shared" si="34"/>
        <v>0</v>
      </c>
      <c r="O277" s="423"/>
      <c r="P277" s="22">
        <f t="shared" si="35"/>
        <v>3.0000000027939677E-2</v>
      </c>
    </row>
    <row r="278" spans="2:16" ht="15.6">
      <c r="B278" s="84" t="s">
        <v>245</v>
      </c>
      <c r="C278" s="78">
        <v>0</v>
      </c>
      <c r="D278" s="78"/>
      <c r="E278" s="78"/>
      <c r="F278" s="78">
        <f>C278+D278+E278</f>
        <v>0</v>
      </c>
      <c r="G278" s="78"/>
      <c r="H278" s="339"/>
      <c r="I278" s="78"/>
      <c r="J278" s="78"/>
      <c r="K278" s="10">
        <f>I278-J278</f>
        <v>0</v>
      </c>
      <c r="L278" s="78"/>
      <c r="M278" s="303">
        <v>0</v>
      </c>
      <c r="N278" s="22">
        <f t="shared" si="34"/>
        <v>0</v>
      </c>
      <c r="O278" s="423"/>
      <c r="P278" s="22">
        <f t="shared" si="35"/>
        <v>0</v>
      </c>
    </row>
    <row r="279" spans="2:16" ht="15.6">
      <c r="B279" s="441" t="s">
        <v>357</v>
      </c>
      <c r="C279" s="522">
        <v>2823780.13</v>
      </c>
      <c r="D279" s="522">
        <v>99400.35</v>
      </c>
      <c r="E279" s="522">
        <v>117808.21</v>
      </c>
      <c r="F279" s="78">
        <f>C279+D279+E279</f>
        <v>3040988.69</v>
      </c>
      <c r="G279" s="522">
        <v>2288601.2400000002</v>
      </c>
      <c r="H279" s="339"/>
      <c r="I279" s="522">
        <v>3097524.39</v>
      </c>
      <c r="J279" s="522">
        <v>56535.7</v>
      </c>
      <c r="K279" s="10">
        <f>I279-J279</f>
        <v>3040988.69</v>
      </c>
      <c r="L279" s="522">
        <v>2288601.2400000002</v>
      </c>
      <c r="M279" s="303">
        <v>13394.669999999925</v>
      </c>
      <c r="N279" s="22">
        <f t="shared" si="34"/>
        <v>0</v>
      </c>
      <c r="O279" s="423"/>
      <c r="P279" s="22">
        <f t="shared" si="35"/>
        <v>0</v>
      </c>
    </row>
    <row r="280" spans="2:16" ht="15.6">
      <c r="B280" s="441" t="s">
        <v>362</v>
      </c>
      <c r="C280" s="522">
        <v>94078.219999999972</v>
      </c>
      <c r="D280" s="522">
        <v>0</v>
      </c>
      <c r="E280" s="522">
        <v>525713.66</v>
      </c>
      <c r="F280" s="78">
        <f>C280+D280+E280</f>
        <v>619791.88</v>
      </c>
      <c r="G280" s="522">
        <v>503702.9</v>
      </c>
      <c r="H280" s="339"/>
      <c r="I280" s="522">
        <v>654382.37</v>
      </c>
      <c r="J280" s="522">
        <v>34590.49</v>
      </c>
      <c r="K280" s="10">
        <f>I280-J280</f>
        <v>619791.88</v>
      </c>
      <c r="L280" s="522">
        <v>503069.35</v>
      </c>
      <c r="M280" s="303">
        <v>-31503.439999999944</v>
      </c>
      <c r="N280" s="22">
        <f t="shared" si="34"/>
        <v>0</v>
      </c>
      <c r="O280" s="423"/>
      <c r="P280" s="347">
        <f t="shared" si="35"/>
        <v>633.55000000004657</v>
      </c>
    </row>
    <row r="281" spans="2:16" ht="16.2" thickBot="1">
      <c r="B281" s="441" t="s">
        <v>361</v>
      </c>
      <c r="C281" s="522">
        <v>98646.789999999921</v>
      </c>
      <c r="D281" s="522">
        <v>0</v>
      </c>
      <c r="E281" s="522">
        <v>579208.87</v>
      </c>
      <c r="F281" s="78">
        <f>C281+D281+E281</f>
        <v>677855.65999999992</v>
      </c>
      <c r="G281" s="522">
        <v>580392.93000000005</v>
      </c>
      <c r="H281" s="339"/>
      <c r="I281" s="522">
        <v>745919.32</v>
      </c>
      <c r="J281" s="522">
        <v>68063.66</v>
      </c>
      <c r="K281" s="10">
        <f>I281-J281</f>
        <v>677855.65999999992</v>
      </c>
      <c r="L281" s="522">
        <v>580392.86</v>
      </c>
      <c r="M281" s="303">
        <v>4757.0600000000559</v>
      </c>
      <c r="N281" s="22">
        <f t="shared" si="34"/>
        <v>0</v>
      </c>
      <c r="O281" s="423"/>
      <c r="P281" s="22">
        <f t="shared" si="35"/>
        <v>7.000000006519258E-2</v>
      </c>
    </row>
    <row r="282" spans="2:16" ht="16.2" thickBot="1">
      <c r="B282" s="83" t="s">
        <v>194</v>
      </c>
      <c r="C282" s="92">
        <f t="shared" ref="C282:P282" si="37">SUM(C253:C281)</f>
        <v>32502492.639999993</v>
      </c>
      <c r="D282" s="92">
        <f t="shared" si="37"/>
        <v>3875147.1599999997</v>
      </c>
      <c r="E282" s="92">
        <f t="shared" si="37"/>
        <v>19875868.880000003</v>
      </c>
      <c r="F282" s="92">
        <f t="shared" si="37"/>
        <v>56253508.68</v>
      </c>
      <c r="G282" s="92">
        <f t="shared" si="37"/>
        <v>45439751.980000004</v>
      </c>
      <c r="H282" s="92">
        <f t="shared" si="37"/>
        <v>0</v>
      </c>
      <c r="I282" s="92">
        <f t="shared" si="37"/>
        <v>59089290.730000012</v>
      </c>
      <c r="J282" s="92">
        <f t="shared" si="37"/>
        <v>2835782.0500000017</v>
      </c>
      <c r="K282" s="92">
        <f t="shared" si="37"/>
        <v>56253508.68</v>
      </c>
      <c r="L282" s="92">
        <f t="shared" si="37"/>
        <v>45438716.289999999</v>
      </c>
      <c r="M282" s="92">
        <f t="shared" si="37"/>
        <v>712822.46000000194</v>
      </c>
      <c r="N282" s="92">
        <f t="shared" si="37"/>
        <v>0</v>
      </c>
      <c r="O282" s="92">
        <f t="shared" si="37"/>
        <v>0</v>
      </c>
      <c r="P282" s="92">
        <f t="shared" si="37"/>
        <v>1035.690000000468</v>
      </c>
    </row>
    <row r="283" spans="2:16">
      <c r="C283" s="1">
        <f>57057457.33-3875147.16-19875868.85-C282</f>
        <v>803948.68000000715</v>
      </c>
      <c r="D283" s="1">
        <f>3875147.16-D282</f>
        <v>0</v>
      </c>
      <c r="E283" s="1">
        <f>19875868.85-E282</f>
        <v>-3.0000001192092896E-2</v>
      </c>
      <c r="F283" s="1">
        <f>57057457.33-F282</f>
        <v>803948.64999999851</v>
      </c>
    </row>
    <row r="285" spans="2:16" ht="13.8" thickBot="1"/>
    <row r="286" spans="2:16" ht="21.6" thickBot="1">
      <c r="B286" s="637" t="s">
        <v>161</v>
      </c>
      <c r="C286" s="638"/>
      <c r="D286" s="638"/>
      <c r="E286" s="638"/>
      <c r="F286" s="638"/>
      <c r="G286" s="639"/>
      <c r="I286" s="640" t="s">
        <v>149</v>
      </c>
      <c r="J286" s="641"/>
      <c r="K286" s="641"/>
      <c r="L286" s="642"/>
      <c r="M286" s="49"/>
      <c r="N286" s="23"/>
      <c r="O286" s="423"/>
      <c r="P286" s="23"/>
    </row>
    <row r="287" spans="2:16" ht="16.2" thickBot="1">
      <c r="B287" s="77" t="s">
        <v>34</v>
      </c>
      <c r="C287" s="80" t="s">
        <v>115</v>
      </c>
      <c r="D287" s="80" t="s">
        <v>21</v>
      </c>
      <c r="E287" s="80" t="s">
        <v>116</v>
      </c>
      <c r="F287" s="80" t="s">
        <v>162</v>
      </c>
      <c r="G287" s="81" t="s">
        <v>163</v>
      </c>
      <c r="H287" s="48" t="s">
        <v>8</v>
      </c>
      <c r="I287" s="26" t="s">
        <v>114</v>
      </c>
      <c r="J287" s="24" t="s">
        <v>164</v>
      </c>
      <c r="K287" s="24" t="s">
        <v>165</v>
      </c>
      <c r="L287" s="25" t="s">
        <v>166</v>
      </c>
      <c r="M287" s="85"/>
      <c r="N287" s="27" t="s">
        <v>167</v>
      </c>
      <c r="O287" s="423"/>
      <c r="P287" s="27" t="s">
        <v>168</v>
      </c>
    </row>
    <row r="288" spans="2:16" ht="15.6">
      <c r="B288" s="101" t="s">
        <v>36</v>
      </c>
      <c r="C288" s="102">
        <v>4505534.6099999994</v>
      </c>
      <c r="D288" s="102">
        <v>651093.14</v>
      </c>
      <c r="E288" s="102">
        <v>1817721.61</v>
      </c>
      <c r="F288" s="102">
        <f>C288+D288+E288</f>
        <v>6974349.3599999994</v>
      </c>
      <c r="G288" s="102">
        <v>5611199.7800000003</v>
      </c>
      <c r="H288" s="348"/>
      <c r="I288" s="102">
        <v>7257019.2699999996</v>
      </c>
      <c r="J288" s="102">
        <v>282669.90999999997</v>
      </c>
      <c r="K288" s="45">
        <f t="shared" ref="K288:K313" si="38">I288-J288</f>
        <v>6974349.3599999994</v>
      </c>
      <c r="L288" s="102">
        <v>5611199.7800000003</v>
      </c>
      <c r="M288" s="349"/>
      <c r="N288" s="46">
        <f t="shared" ref="N288:N313" si="39">F288-K288</f>
        <v>0</v>
      </c>
      <c r="O288" s="527"/>
      <c r="P288" s="46">
        <f t="shared" ref="P288:P313" si="40">G288-L288</f>
        <v>0</v>
      </c>
    </row>
    <row r="289" spans="2:16" ht="15.6">
      <c r="B289" s="82" t="s">
        <v>9</v>
      </c>
      <c r="C289" s="78">
        <v>3066311.4999999995</v>
      </c>
      <c r="D289" s="78">
        <v>1553561.46</v>
      </c>
      <c r="E289" s="78">
        <v>464927.19</v>
      </c>
      <c r="F289" s="78">
        <f t="shared" ref="F289:F313" si="41">C289+D289+E289</f>
        <v>5084800.1499999994</v>
      </c>
      <c r="G289" s="78">
        <v>4034129.21</v>
      </c>
      <c r="H289" s="339"/>
      <c r="I289" s="78">
        <v>5297711.93</v>
      </c>
      <c r="J289" s="78">
        <v>212911.78</v>
      </c>
      <c r="K289" s="10">
        <f t="shared" si="38"/>
        <v>5084800.1499999994</v>
      </c>
      <c r="L289" s="78">
        <v>4034129.21</v>
      </c>
      <c r="M289" s="303"/>
      <c r="N289" s="21">
        <f t="shared" si="39"/>
        <v>0</v>
      </c>
      <c r="O289" s="527"/>
      <c r="P289" s="21">
        <f t="shared" si="40"/>
        <v>0</v>
      </c>
    </row>
    <row r="290" spans="2:16" ht="15.6">
      <c r="B290" s="82" t="s">
        <v>25</v>
      </c>
      <c r="C290" s="78">
        <v>4800.59</v>
      </c>
      <c r="D290" s="78">
        <v>0</v>
      </c>
      <c r="E290" s="78">
        <v>4394.3599999999997</v>
      </c>
      <c r="F290" s="78">
        <f t="shared" si="41"/>
        <v>9194.9500000000007</v>
      </c>
      <c r="G290" s="78">
        <v>8201.6200000000008</v>
      </c>
      <c r="H290" s="339"/>
      <c r="I290" s="78">
        <v>8920.5</v>
      </c>
      <c r="J290" s="78">
        <v>-274.45</v>
      </c>
      <c r="K290" s="10">
        <f t="shared" si="38"/>
        <v>9194.9500000000007</v>
      </c>
      <c r="L290" s="78">
        <v>8201.6200000000008</v>
      </c>
      <c r="M290" s="303"/>
      <c r="N290" s="21">
        <f t="shared" si="39"/>
        <v>0</v>
      </c>
      <c r="O290" s="527"/>
      <c r="P290" s="21">
        <f t="shared" si="40"/>
        <v>0</v>
      </c>
    </row>
    <row r="291" spans="2:16" ht="15.6">
      <c r="B291" s="82" t="s">
        <v>160</v>
      </c>
      <c r="C291" s="78">
        <v>5083204.6199999992</v>
      </c>
      <c r="D291" s="78">
        <v>33383.629999999997</v>
      </c>
      <c r="E291" s="78">
        <v>2542432.4900000002</v>
      </c>
      <c r="F291" s="78">
        <f t="shared" si="41"/>
        <v>7659020.7399999993</v>
      </c>
      <c r="G291" s="78">
        <v>6242404.3099999996</v>
      </c>
      <c r="H291" s="339"/>
      <c r="I291" s="78">
        <v>7991236.0199999996</v>
      </c>
      <c r="J291" s="78">
        <v>332215.28000000003</v>
      </c>
      <c r="K291" s="10">
        <f t="shared" si="38"/>
        <v>7659020.7399999993</v>
      </c>
      <c r="L291" s="78">
        <v>6242404.25</v>
      </c>
      <c r="M291" s="303"/>
      <c r="N291" s="21">
        <f t="shared" si="39"/>
        <v>0</v>
      </c>
      <c r="O291" s="527"/>
      <c r="P291" s="290">
        <f t="shared" si="40"/>
        <v>5.9999999590218067E-2</v>
      </c>
    </row>
    <row r="292" spans="2:16" ht="15.6">
      <c r="B292" s="82" t="s">
        <v>139</v>
      </c>
      <c r="C292" s="78">
        <v>11360.969999999888</v>
      </c>
      <c r="D292" s="78">
        <v>0</v>
      </c>
      <c r="E292" s="78">
        <v>1879123.54</v>
      </c>
      <c r="F292" s="78">
        <f t="shared" si="41"/>
        <v>1890484.51</v>
      </c>
      <c r="G292" s="78">
        <v>1645964.34</v>
      </c>
      <c r="H292" s="339"/>
      <c r="I292" s="78">
        <v>2069460</v>
      </c>
      <c r="J292" s="78">
        <v>178975.49</v>
      </c>
      <c r="K292" s="10">
        <f t="shared" si="38"/>
        <v>1890484.51</v>
      </c>
      <c r="L292" s="78">
        <v>1645964.36</v>
      </c>
      <c r="M292" s="303"/>
      <c r="N292" s="21">
        <f t="shared" si="39"/>
        <v>0</v>
      </c>
      <c r="O292" s="527"/>
      <c r="P292" s="290">
        <f t="shared" si="40"/>
        <v>-2.0000000018626451E-2</v>
      </c>
    </row>
    <row r="293" spans="2:16" ht="15.6">
      <c r="B293" s="101" t="s">
        <v>37</v>
      </c>
      <c r="C293" s="102">
        <v>40273.440000000061</v>
      </c>
      <c r="D293" s="102">
        <v>0</v>
      </c>
      <c r="E293" s="102">
        <v>474390.66</v>
      </c>
      <c r="F293" s="102">
        <f t="shared" si="41"/>
        <v>514664.10000000003</v>
      </c>
      <c r="G293" s="102">
        <v>446632.37</v>
      </c>
      <c r="H293" s="348"/>
      <c r="I293" s="102">
        <v>566107.89</v>
      </c>
      <c r="J293" s="102">
        <v>51443.79</v>
      </c>
      <c r="K293" s="45">
        <f t="shared" si="38"/>
        <v>514664.10000000003</v>
      </c>
      <c r="L293" s="102">
        <v>446632.38</v>
      </c>
      <c r="M293" s="349"/>
      <c r="N293" s="46">
        <f t="shared" si="39"/>
        <v>0</v>
      </c>
      <c r="O293" s="527"/>
      <c r="P293" s="46">
        <f t="shared" si="40"/>
        <v>-1.0000000009313226E-2</v>
      </c>
    </row>
    <row r="294" spans="2:16" ht="15.6">
      <c r="B294" s="82" t="s">
        <v>133</v>
      </c>
      <c r="C294" s="78">
        <v>24242.339999999997</v>
      </c>
      <c r="D294" s="78">
        <v>0</v>
      </c>
      <c r="E294" s="78">
        <v>249686.23</v>
      </c>
      <c r="F294" s="78">
        <f t="shared" si="41"/>
        <v>273928.57</v>
      </c>
      <c r="G294" s="78">
        <v>235171.13</v>
      </c>
      <c r="H294" s="339"/>
      <c r="I294" s="78">
        <v>305477.21000000002</v>
      </c>
      <c r="J294" s="78">
        <v>31548.639999999999</v>
      </c>
      <c r="K294" s="10">
        <f t="shared" si="38"/>
        <v>273928.57</v>
      </c>
      <c r="L294" s="78">
        <v>235171.11</v>
      </c>
      <c r="M294" s="303"/>
      <c r="N294" s="21">
        <f t="shared" si="39"/>
        <v>0</v>
      </c>
      <c r="O294" s="527"/>
      <c r="P294" s="21">
        <f t="shared" si="40"/>
        <v>2.0000000018626451E-2</v>
      </c>
    </row>
    <row r="295" spans="2:16" ht="15.6">
      <c r="B295" s="82" t="s">
        <v>123</v>
      </c>
      <c r="C295" s="78">
        <v>10042.52999999997</v>
      </c>
      <c r="D295" s="78">
        <v>0</v>
      </c>
      <c r="E295" s="78">
        <v>357044.83</v>
      </c>
      <c r="F295" s="78">
        <f t="shared" si="41"/>
        <v>367087.35999999999</v>
      </c>
      <c r="G295" s="78">
        <v>318613.48</v>
      </c>
      <c r="H295" s="339"/>
      <c r="I295" s="78">
        <v>413345.92</v>
      </c>
      <c r="J295" s="78">
        <v>46258.559999999998</v>
      </c>
      <c r="K295" s="10">
        <f t="shared" si="38"/>
        <v>367087.35999999999</v>
      </c>
      <c r="L295" s="78">
        <v>318613.48</v>
      </c>
      <c r="M295" s="303"/>
      <c r="N295" s="21">
        <f t="shared" si="39"/>
        <v>0</v>
      </c>
      <c r="O295" s="527"/>
      <c r="P295" s="21">
        <f t="shared" si="40"/>
        <v>0</v>
      </c>
    </row>
    <row r="296" spans="2:16" ht="15.6">
      <c r="B296" s="82" t="s">
        <v>145</v>
      </c>
      <c r="C296" s="78">
        <v>837872.22999999975</v>
      </c>
      <c r="D296" s="78">
        <v>2993.98</v>
      </c>
      <c r="E296" s="78">
        <v>1540402.36</v>
      </c>
      <c r="F296" s="78">
        <f t="shared" si="41"/>
        <v>2381268.5699999998</v>
      </c>
      <c r="G296" s="78">
        <v>1952987.69</v>
      </c>
      <c r="H296" s="339"/>
      <c r="I296" s="78">
        <v>2551473.2999999998</v>
      </c>
      <c r="J296" s="78">
        <v>170204.73</v>
      </c>
      <c r="K296" s="10">
        <f t="shared" si="38"/>
        <v>2381268.5699999998</v>
      </c>
      <c r="L296" s="78">
        <v>1952987.41</v>
      </c>
      <c r="M296" s="303"/>
      <c r="N296" s="21">
        <f t="shared" si="39"/>
        <v>0</v>
      </c>
      <c r="O296" s="527"/>
      <c r="P296" s="21">
        <f t="shared" si="40"/>
        <v>0.28000000002793968</v>
      </c>
    </row>
    <row r="297" spans="2:16" ht="15.6">
      <c r="B297" s="82" t="s">
        <v>124</v>
      </c>
      <c r="C297" s="78">
        <v>234836.15000000002</v>
      </c>
      <c r="D297" s="78">
        <v>0</v>
      </c>
      <c r="E297" s="78">
        <v>473558.98</v>
      </c>
      <c r="F297" s="78">
        <f t="shared" si="41"/>
        <v>708395.13</v>
      </c>
      <c r="G297" s="78">
        <v>596737.71</v>
      </c>
      <c r="H297" s="339"/>
      <c r="I297" s="78">
        <v>779997.47</v>
      </c>
      <c r="J297" s="78">
        <v>71602.34</v>
      </c>
      <c r="K297" s="10">
        <f t="shared" si="38"/>
        <v>708395.13</v>
      </c>
      <c r="L297" s="78">
        <v>596737.78</v>
      </c>
      <c r="M297" s="303"/>
      <c r="N297" s="21">
        <f t="shared" si="39"/>
        <v>0</v>
      </c>
      <c r="O297" s="527"/>
      <c r="P297" s="21">
        <f t="shared" si="40"/>
        <v>-7.000000006519258E-2</v>
      </c>
    </row>
    <row r="298" spans="2:16" ht="15.6">
      <c r="B298" s="82" t="s">
        <v>169</v>
      </c>
      <c r="C298" s="78">
        <v>2386060.2400000002</v>
      </c>
      <c r="D298" s="78">
        <v>4723.03</v>
      </c>
      <c r="E298" s="78">
        <v>1152277.08</v>
      </c>
      <c r="F298" s="78">
        <f t="shared" si="41"/>
        <v>3543060.35</v>
      </c>
      <c r="G298" s="78">
        <v>2857247.39</v>
      </c>
      <c r="H298" s="339"/>
      <c r="I298" s="78">
        <v>3671877.18</v>
      </c>
      <c r="J298" s="78">
        <v>128816.83</v>
      </c>
      <c r="K298" s="10">
        <f t="shared" si="38"/>
        <v>3543060.35</v>
      </c>
      <c r="L298" s="78">
        <v>2857247.25</v>
      </c>
      <c r="M298" s="303"/>
      <c r="N298" s="21">
        <f t="shared" si="39"/>
        <v>0</v>
      </c>
      <c r="O298" s="527"/>
      <c r="P298" s="21">
        <f t="shared" si="40"/>
        <v>0.14000000013038516</v>
      </c>
    </row>
    <row r="299" spans="2:16" ht="15.6">
      <c r="B299" s="82" t="s">
        <v>243</v>
      </c>
      <c r="C299" s="78">
        <v>1785889.63</v>
      </c>
      <c r="D299" s="78">
        <v>84232.71</v>
      </c>
      <c r="E299" s="78">
        <v>926679.61</v>
      </c>
      <c r="F299" s="78">
        <f t="shared" si="41"/>
        <v>2796801.9499999997</v>
      </c>
      <c r="G299" s="78">
        <v>2282228.85</v>
      </c>
      <c r="H299" s="339"/>
      <c r="I299" s="78">
        <v>2878081.3</v>
      </c>
      <c r="J299" s="78">
        <v>81279.350000000006</v>
      </c>
      <c r="K299" s="10">
        <f t="shared" si="38"/>
        <v>2796801.9499999997</v>
      </c>
      <c r="L299" s="78">
        <v>2282228.85</v>
      </c>
      <c r="M299" s="303"/>
      <c r="N299" s="21">
        <f t="shared" si="39"/>
        <v>0</v>
      </c>
      <c r="O299" s="527"/>
      <c r="P299" s="21">
        <f t="shared" si="40"/>
        <v>0</v>
      </c>
    </row>
    <row r="300" spans="2:16" ht="15.6">
      <c r="B300" s="82" t="s">
        <v>175</v>
      </c>
      <c r="C300" s="78">
        <v>4284154.8800000008</v>
      </c>
      <c r="D300" s="78">
        <v>1026793.23</v>
      </c>
      <c r="E300" s="78">
        <v>887736.89</v>
      </c>
      <c r="F300" s="78">
        <f t="shared" si="41"/>
        <v>6198685.0000000009</v>
      </c>
      <c r="G300" s="78">
        <v>4846244.3499999996</v>
      </c>
      <c r="H300" s="339"/>
      <c r="I300" s="78">
        <v>6372764.3099999996</v>
      </c>
      <c r="J300" s="78">
        <v>174079.31</v>
      </c>
      <c r="K300" s="10">
        <f t="shared" si="38"/>
        <v>6198685</v>
      </c>
      <c r="L300" s="78">
        <v>4846244.3499999996</v>
      </c>
      <c r="M300" s="303"/>
      <c r="N300" s="21">
        <f t="shared" si="39"/>
        <v>0</v>
      </c>
      <c r="O300" s="527"/>
      <c r="P300" s="21">
        <f t="shared" si="40"/>
        <v>0</v>
      </c>
    </row>
    <row r="301" spans="2:16" ht="15.6">
      <c r="B301" s="82" t="s">
        <v>170</v>
      </c>
      <c r="C301" s="78">
        <v>761307.5199999999</v>
      </c>
      <c r="D301" s="78">
        <v>94919.8</v>
      </c>
      <c r="E301" s="78">
        <v>38659.410000000003</v>
      </c>
      <c r="F301" s="78">
        <f t="shared" si="41"/>
        <v>894886.73</v>
      </c>
      <c r="G301" s="78">
        <v>671247.17</v>
      </c>
      <c r="H301" s="339"/>
      <c r="I301" s="78">
        <v>900298</v>
      </c>
      <c r="J301" s="78">
        <v>5411.27</v>
      </c>
      <c r="K301" s="10">
        <f t="shared" si="38"/>
        <v>894886.73</v>
      </c>
      <c r="L301" s="78">
        <v>671247.1</v>
      </c>
      <c r="M301" s="303"/>
      <c r="N301" s="21">
        <f t="shared" si="39"/>
        <v>0</v>
      </c>
      <c r="O301" s="527"/>
      <c r="P301" s="21">
        <f t="shared" si="40"/>
        <v>7.000000006519258E-2</v>
      </c>
    </row>
    <row r="302" spans="2:16" ht="15.6">
      <c r="B302" s="82" t="s">
        <v>203</v>
      </c>
      <c r="C302" s="78">
        <v>1898377.6200000006</v>
      </c>
      <c r="D302" s="78">
        <v>383770.22</v>
      </c>
      <c r="E302" s="78">
        <v>1726705</v>
      </c>
      <c r="F302" s="78">
        <f t="shared" si="41"/>
        <v>4008852.8400000008</v>
      </c>
      <c r="G302" s="78">
        <v>3264292.12</v>
      </c>
      <c r="H302" s="339"/>
      <c r="I302" s="78">
        <v>4269404.7</v>
      </c>
      <c r="J302" s="78">
        <v>260551.86</v>
      </c>
      <c r="K302" s="10">
        <f t="shared" si="38"/>
        <v>4008852.8400000003</v>
      </c>
      <c r="L302" s="78">
        <v>3264292.12</v>
      </c>
      <c r="M302" s="303"/>
      <c r="N302" s="21">
        <f t="shared" si="39"/>
        <v>0</v>
      </c>
      <c r="O302" s="527"/>
      <c r="P302" s="21">
        <f t="shared" si="40"/>
        <v>0</v>
      </c>
    </row>
    <row r="303" spans="2:16" ht="15.6">
      <c r="B303" s="82" t="s">
        <v>172</v>
      </c>
      <c r="C303" s="78">
        <v>323628.51999999996</v>
      </c>
      <c r="D303" s="78">
        <v>0</v>
      </c>
      <c r="E303" s="78">
        <v>0</v>
      </c>
      <c r="F303" s="78">
        <f t="shared" si="41"/>
        <v>323628.51999999996</v>
      </c>
      <c r="G303" s="78">
        <v>279412.36</v>
      </c>
      <c r="H303" s="339"/>
      <c r="I303" s="78">
        <v>373399.54</v>
      </c>
      <c r="J303" s="78">
        <v>49771.02</v>
      </c>
      <c r="K303" s="10">
        <f t="shared" si="38"/>
        <v>323628.51999999996</v>
      </c>
      <c r="L303" s="78">
        <v>279412.36</v>
      </c>
      <c r="M303" s="303"/>
      <c r="N303" s="21">
        <f t="shared" si="39"/>
        <v>0</v>
      </c>
      <c r="O303" s="527"/>
      <c r="P303" s="21">
        <f t="shared" si="40"/>
        <v>0</v>
      </c>
    </row>
    <row r="304" spans="2:16" ht="15.6">
      <c r="B304" s="82" t="s">
        <v>176</v>
      </c>
      <c r="C304" s="78">
        <v>75831.860000000044</v>
      </c>
      <c r="D304" s="78">
        <v>0</v>
      </c>
      <c r="E304" s="78">
        <v>435924.67</v>
      </c>
      <c r="F304" s="78">
        <f t="shared" si="41"/>
        <v>511756.53</v>
      </c>
      <c r="G304" s="78">
        <v>418421.52</v>
      </c>
      <c r="H304" s="339"/>
      <c r="I304" s="78">
        <v>560270.26</v>
      </c>
      <c r="J304" s="78">
        <v>48513.73</v>
      </c>
      <c r="K304" s="10">
        <f t="shared" si="38"/>
        <v>511756.53</v>
      </c>
      <c r="L304" s="78">
        <v>418421.53</v>
      </c>
      <c r="M304" s="303"/>
      <c r="N304" s="21">
        <f t="shared" si="39"/>
        <v>0</v>
      </c>
      <c r="O304" s="527"/>
      <c r="P304" s="21">
        <f t="shared" si="40"/>
        <v>-1.0000000009313226E-2</v>
      </c>
    </row>
    <row r="305" spans="2:16" ht="15.6">
      <c r="B305" s="82" t="s">
        <v>177</v>
      </c>
      <c r="C305" s="78">
        <v>118022.26000000001</v>
      </c>
      <c r="D305" s="78">
        <v>0</v>
      </c>
      <c r="E305" s="78">
        <v>636052.56999999995</v>
      </c>
      <c r="F305" s="78">
        <f t="shared" si="41"/>
        <v>754074.83</v>
      </c>
      <c r="G305" s="78">
        <v>618821.27</v>
      </c>
      <c r="H305" s="339"/>
      <c r="I305" s="78">
        <v>817893.1</v>
      </c>
      <c r="J305" s="78">
        <v>63818.27</v>
      </c>
      <c r="K305" s="10">
        <f t="shared" si="38"/>
        <v>754074.83</v>
      </c>
      <c r="L305" s="78">
        <v>618821.27</v>
      </c>
      <c r="M305" s="303"/>
      <c r="N305" s="21">
        <f t="shared" si="39"/>
        <v>0</v>
      </c>
      <c r="O305" s="527"/>
      <c r="P305" s="21">
        <f t="shared" si="40"/>
        <v>0</v>
      </c>
    </row>
    <row r="306" spans="2:16" ht="15.6">
      <c r="B306" s="82" t="s">
        <v>178</v>
      </c>
      <c r="C306" s="78">
        <v>10050.719999999972</v>
      </c>
      <c r="D306" s="78">
        <v>0</v>
      </c>
      <c r="E306" s="78">
        <v>418311.26</v>
      </c>
      <c r="F306" s="78">
        <f t="shared" si="41"/>
        <v>428361.98</v>
      </c>
      <c r="G306" s="78">
        <v>353241.5</v>
      </c>
      <c r="H306" s="339"/>
      <c r="I306" s="78">
        <v>458143.86</v>
      </c>
      <c r="J306" s="78">
        <v>29781.88</v>
      </c>
      <c r="K306" s="10">
        <f t="shared" si="38"/>
        <v>428361.98</v>
      </c>
      <c r="L306" s="78">
        <v>353241.5</v>
      </c>
      <c r="M306" s="303"/>
      <c r="N306" s="21">
        <f t="shared" si="39"/>
        <v>0</v>
      </c>
      <c r="O306" s="527"/>
      <c r="P306" s="21">
        <f t="shared" si="40"/>
        <v>0</v>
      </c>
    </row>
    <row r="307" spans="2:16" ht="15.6">
      <c r="B307" s="82" t="s">
        <v>179</v>
      </c>
      <c r="C307" s="78">
        <v>102454.62</v>
      </c>
      <c r="D307" s="78"/>
      <c r="E307" s="78">
        <v>595000.85</v>
      </c>
      <c r="F307" s="78">
        <f t="shared" si="41"/>
        <v>697455.47</v>
      </c>
      <c r="G307" s="78">
        <v>588827.39</v>
      </c>
      <c r="H307" s="339"/>
      <c r="I307" s="78">
        <v>773099.26</v>
      </c>
      <c r="J307" s="78">
        <v>75643.789999999994</v>
      </c>
      <c r="K307" s="10">
        <f t="shared" si="38"/>
        <v>697455.47</v>
      </c>
      <c r="L307" s="78">
        <v>588827.4</v>
      </c>
      <c r="M307" s="303"/>
      <c r="N307" s="21">
        <f t="shared" si="39"/>
        <v>0</v>
      </c>
      <c r="O307" s="527"/>
      <c r="P307" s="21">
        <f t="shared" si="40"/>
        <v>-1.0000000009313226E-2</v>
      </c>
    </row>
    <row r="308" spans="2:16" ht="15.6">
      <c r="B308" s="82" t="s">
        <v>181</v>
      </c>
      <c r="C308" s="78">
        <v>16001.650000000023</v>
      </c>
      <c r="D308" s="78">
        <v>0</v>
      </c>
      <c r="E308" s="78">
        <v>354681.35</v>
      </c>
      <c r="F308" s="78">
        <f t="shared" si="41"/>
        <v>370683</v>
      </c>
      <c r="G308" s="78">
        <v>319682.84000000003</v>
      </c>
      <c r="H308" s="339"/>
      <c r="I308" s="78">
        <v>410428.86</v>
      </c>
      <c r="J308" s="78">
        <v>39745.86</v>
      </c>
      <c r="K308" s="10">
        <f t="shared" si="38"/>
        <v>370683</v>
      </c>
      <c r="L308" s="78">
        <v>319682.86</v>
      </c>
      <c r="M308" s="303"/>
      <c r="N308" s="21">
        <f t="shared" si="39"/>
        <v>0</v>
      </c>
      <c r="O308" s="527"/>
      <c r="P308" s="21">
        <f t="shared" si="40"/>
        <v>-1.9999999960418791E-2</v>
      </c>
    </row>
    <row r="309" spans="2:16" ht="15.6">
      <c r="B309" s="82" t="s">
        <v>182</v>
      </c>
      <c r="C309" s="78">
        <v>34126.139999999992</v>
      </c>
      <c r="D309" s="78">
        <v>0</v>
      </c>
      <c r="E309" s="78">
        <v>138316.28</v>
      </c>
      <c r="F309" s="78">
        <f t="shared" si="41"/>
        <v>172442.41999999998</v>
      </c>
      <c r="G309" s="78">
        <v>149196.42000000001</v>
      </c>
      <c r="H309" s="339"/>
      <c r="I309" s="78">
        <v>193979.02</v>
      </c>
      <c r="J309" s="78">
        <v>21536.6</v>
      </c>
      <c r="K309" s="10">
        <f t="shared" si="38"/>
        <v>172442.41999999998</v>
      </c>
      <c r="L309" s="78">
        <v>149196.42000000001</v>
      </c>
      <c r="M309" s="304"/>
      <c r="N309" s="21">
        <f t="shared" si="39"/>
        <v>0</v>
      </c>
      <c r="O309" s="527"/>
      <c r="P309" s="21">
        <f t="shared" si="40"/>
        <v>0</v>
      </c>
    </row>
    <row r="310" spans="2:16" ht="15.6">
      <c r="B310" s="101" t="s">
        <v>187</v>
      </c>
      <c r="C310" s="102">
        <v>65604.28999999995</v>
      </c>
      <c r="D310" s="102"/>
      <c r="E310" s="102">
        <v>209551.76</v>
      </c>
      <c r="F310" s="102">
        <f t="shared" si="41"/>
        <v>275156.04999999993</v>
      </c>
      <c r="G310" s="102">
        <v>220973.85</v>
      </c>
      <c r="H310" s="348"/>
      <c r="I310" s="102">
        <v>305988.71999999997</v>
      </c>
      <c r="J310" s="102">
        <v>30832.67</v>
      </c>
      <c r="K310" s="45">
        <f t="shared" si="38"/>
        <v>275156.05</v>
      </c>
      <c r="L310" s="102">
        <v>220973.85</v>
      </c>
      <c r="M310" s="349"/>
      <c r="N310" s="46">
        <f t="shared" si="39"/>
        <v>0</v>
      </c>
      <c r="O310" s="527"/>
      <c r="P310" s="347">
        <f t="shared" si="40"/>
        <v>0</v>
      </c>
    </row>
    <row r="311" spans="2:16" ht="15.6">
      <c r="B311" s="82" t="s">
        <v>233</v>
      </c>
      <c r="C311" s="78">
        <v>104680.38</v>
      </c>
      <c r="D311" s="78">
        <v>0</v>
      </c>
      <c r="E311" s="78">
        <v>646251.36</v>
      </c>
      <c r="F311" s="78">
        <f t="shared" si="41"/>
        <v>750931.74</v>
      </c>
      <c r="G311" s="78">
        <v>638812.28</v>
      </c>
      <c r="H311" s="339"/>
      <c r="I311" s="78">
        <v>816516.74</v>
      </c>
      <c r="J311" s="78">
        <v>65585</v>
      </c>
      <c r="K311" s="10">
        <f t="shared" si="38"/>
        <v>750931.74</v>
      </c>
      <c r="L311" s="78">
        <v>638812.31999999995</v>
      </c>
      <c r="M311" s="303"/>
      <c r="N311" s="21">
        <f t="shared" si="39"/>
        <v>0</v>
      </c>
      <c r="O311" s="527"/>
      <c r="P311" s="22">
        <f t="shared" si="40"/>
        <v>-3.9999999920837581E-2</v>
      </c>
    </row>
    <row r="312" spans="2:16" ht="15.6">
      <c r="B312" s="84" t="s">
        <v>240</v>
      </c>
      <c r="C312" s="78">
        <v>120987.58000000007</v>
      </c>
      <c r="D312" s="78">
        <v>0</v>
      </c>
      <c r="E312" s="78">
        <v>559544.16</v>
      </c>
      <c r="F312" s="78">
        <f t="shared" si="41"/>
        <v>680531.74000000011</v>
      </c>
      <c r="G312" s="78">
        <v>572458.67000000004</v>
      </c>
      <c r="H312" s="339"/>
      <c r="I312" s="78">
        <v>738772.31</v>
      </c>
      <c r="J312" s="78">
        <v>58240.57</v>
      </c>
      <c r="K312" s="10">
        <f t="shared" si="38"/>
        <v>680531.74000000011</v>
      </c>
      <c r="L312" s="78">
        <v>572458.66</v>
      </c>
      <c r="M312" s="303"/>
      <c r="N312" s="22">
        <f t="shared" si="39"/>
        <v>0</v>
      </c>
      <c r="O312" s="527"/>
      <c r="P312" s="22">
        <f t="shared" si="40"/>
        <v>1.0000000009313226E-2</v>
      </c>
    </row>
    <row r="313" spans="2:16" ht="15.6">
      <c r="B313" s="84" t="s">
        <v>245</v>
      </c>
      <c r="C313" s="78">
        <v>0</v>
      </c>
      <c r="D313" s="78"/>
      <c r="E313" s="78"/>
      <c r="F313" s="78">
        <f t="shared" si="41"/>
        <v>0</v>
      </c>
      <c r="G313" s="78"/>
      <c r="H313" s="339"/>
      <c r="I313" s="78"/>
      <c r="J313" s="78"/>
      <c r="K313" s="10">
        <f t="shared" si="38"/>
        <v>0</v>
      </c>
      <c r="L313" s="78"/>
      <c r="M313" s="303"/>
      <c r="N313" s="22">
        <f t="shared" si="39"/>
        <v>0</v>
      </c>
      <c r="O313" s="527"/>
      <c r="P313" s="22">
        <f t="shared" si="40"/>
        <v>0</v>
      </c>
    </row>
    <row r="314" spans="2:16" ht="15.6">
      <c r="B314" s="441" t="s">
        <v>357</v>
      </c>
      <c r="C314" s="78">
        <v>2691633.9899999998</v>
      </c>
      <c r="D314" s="78">
        <v>174262.98</v>
      </c>
      <c r="E314" s="78">
        <v>154747.31</v>
      </c>
      <c r="F314" s="78">
        <f>C314+D314+E314</f>
        <v>3020644.28</v>
      </c>
      <c r="G314" s="78">
        <v>2279914.67</v>
      </c>
      <c r="H314" s="339"/>
      <c r="I314" s="78">
        <v>3062836.65</v>
      </c>
      <c r="J314" s="78">
        <v>42192.37</v>
      </c>
      <c r="K314" s="10">
        <f>I314-J314</f>
        <v>3020644.28</v>
      </c>
      <c r="L314" s="78">
        <v>2279914.67</v>
      </c>
      <c r="M314" s="303"/>
      <c r="N314" s="22">
        <f>F314-K314</f>
        <v>0</v>
      </c>
      <c r="O314" s="527"/>
      <c r="P314" s="22">
        <f>G314-L314</f>
        <v>0</v>
      </c>
    </row>
    <row r="315" spans="2:16" ht="15.6">
      <c r="B315" s="441" t="s">
        <v>362</v>
      </c>
      <c r="C315" s="78">
        <v>97083.139999999956</v>
      </c>
      <c r="D315" s="78">
        <v>0</v>
      </c>
      <c r="E315" s="78">
        <v>512225.33</v>
      </c>
      <c r="F315" s="78">
        <f>C315+D315+E315</f>
        <v>609308.47</v>
      </c>
      <c r="G315" s="78">
        <v>492562.17</v>
      </c>
      <c r="H315" s="339"/>
      <c r="I315" s="78">
        <v>652539.91</v>
      </c>
      <c r="J315" s="78">
        <v>43231.44</v>
      </c>
      <c r="K315" s="10">
        <f>I315-J315</f>
        <v>609308.47</v>
      </c>
      <c r="L315" s="78">
        <v>492562.17</v>
      </c>
      <c r="M315" s="303"/>
      <c r="N315" s="22">
        <f>F315-K315</f>
        <v>0</v>
      </c>
      <c r="O315" s="527"/>
      <c r="P315" s="22">
        <f>G315-L315</f>
        <v>0</v>
      </c>
    </row>
    <row r="316" spans="2:16" ht="16.2" thickBot="1">
      <c r="B316" s="441" t="s">
        <v>361</v>
      </c>
      <c r="C316" s="78">
        <v>100680.37</v>
      </c>
      <c r="D316" s="78">
        <v>0</v>
      </c>
      <c r="E316" s="78">
        <v>569210.93000000005</v>
      </c>
      <c r="F316" s="78">
        <f>C316+D316+E316</f>
        <v>669891.30000000005</v>
      </c>
      <c r="G316" s="78">
        <v>570251.76</v>
      </c>
      <c r="H316" s="339"/>
      <c r="I316" s="78">
        <v>738018.37</v>
      </c>
      <c r="J316" s="78">
        <v>68127.070000000007</v>
      </c>
      <c r="K316" s="10">
        <f>I316-J316</f>
        <v>669891.30000000005</v>
      </c>
      <c r="L316" s="78">
        <v>570251.68999999994</v>
      </c>
      <c r="M316" s="303"/>
      <c r="N316" s="22">
        <f>F316-K316</f>
        <v>0</v>
      </c>
      <c r="O316" s="527"/>
      <c r="P316" s="22">
        <f>G316-L316</f>
        <v>7.000000006519258E-2</v>
      </c>
    </row>
    <row r="317" spans="2:16" ht="16.2" thickBot="1">
      <c r="B317" s="83" t="s">
        <v>194</v>
      </c>
      <c r="C317" s="92">
        <f>SUM(C288:C316)</f>
        <v>28795054.389999993</v>
      </c>
      <c r="D317" s="92">
        <f t="shared" ref="D317:P317" si="42">SUM(D288:D316)</f>
        <v>4009734.1799999992</v>
      </c>
      <c r="E317" s="92">
        <f t="shared" si="42"/>
        <v>19765558.07</v>
      </c>
      <c r="F317" s="92">
        <f t="shared" si="42"/>
        <v>52570346.640000001</v>
      </c>
      <c r="G317" s="92">
        <f t="shared" si="42"/>
        <v>42515878.220000021</v>
      </c>
      <c r="H317" s="92">
        <f t="shared" si="42"/>
        <v>0</v>
      </c>
      <c r="I317" s="92">
        <f t="shared" si="42"/>
        <v>55235061.600000001</v>
      </c>
      <c r="J317" s="92">
        <f t="shared" si="42"/>
        <v>2664714.96</v>
      </c>
      <c r="K317" s="92">
        <f t="shared" si="42"/>
        <v>52570346.639999993</v>
      </c>
      <c r="L317" s="92">
        <f t="shared" si="42"/>
        <v>42515877.75</v>
      </c>
      <c r="M317" s="92">
        <f t="shared" si="42"/>
        <v>0</v>
      </c>
      <c r="N317" s="92">
        <f t="shared" si="42"/>
        <v>0</v>
      </c>
      <c r="O317" s="92">
        <f t="shared" si="42"/>
        <v>0</v>
      </c>
      <c r="P317" s="92">
        <f t="shared" si="42"/>
        <v>0.46999999991385266</v>
      </c>
    </row>
    <row r="318" spans="2:16" ht="15.6">
      <c r="I318" s="457"/>
      <c r="J318" s="457"/>
      <c r="L318" s="457"/>
      <c r="N318" s="526"/>
    </row>
    <row r="320" spans="2:16" ht="13.8" thickBot="1"/>
    <row r="321" spans="2:16" ht="21.6" thickBot="1">
      <c r="B321" s="637" t="s">
        <v>161</v>
      </c>
      <c r="C321" s="638"/>
      <c r="D321" s="638"/>
      <c r="E321" s="638"/>
      <c r="F321" s="638"/>
      <c r="G321" s="639"/>
      <c r="I321" s="640" t="s">
        <v>149</v>
      </c>
      <c r="J321" s="641"/>
      <c r="K321" s="641"/>
      <c r="L321" s="642"/>
      <c r="M321" s="49"/>
      <c r="N321" s="23"/>
      <c r="O321" s="423"/>
      <c r="P321" s="23"/>
    </row>
    <row r="322" spans="2:16" ht="16.2" thickBot="1">
      <c r="B322" s="77" t="s">
        <v>34</v>
      </c>
      <c r="C322" s="80" t="s">
        <v>115</v>
      </c>
      <c r="D322" s="80" t="s">
        <v>21</v>
      </c>
      <c r="E322" s="80" t="s">
        <v>116</v>
      </c>
      <c r="F322" s="80" t="s">
        <v>162</v>
      </c>
      <c r="G322" s="81" t="s">
        <v>163</v>
      </c>
      <c r="H322" s="48" t="s">
        <v>24</v>
      </c>
      <c r="I322" s="26" t="s">
        <v>114</v>
      </c>
      <c r="J322" s="24" t="s">
        <v>164</v>
      </c>
      <c r="K322" s="24" t="s">
        <v>165</v>
      </c>
      <c r="L322" s="25" t="s">
        <v>166</v>
      </c>
      <c r="M322" s="85"/>
      <c r="N322" s="27" t="s">
        <v>167</v>
      </c>
      <c r="O322" s="423"/>
      <c r="P322" s="27" t="s">
        <v>168</v>
      </c>
    </row>
    <row r="323" spans="2:16" ht="15.6">
      <c r="B323" s="543" t="s">
        <v>36</v>
      </c>
      <c r="C323" s="78">
        <v>4705280.62</v>
      </c>
      <c r="D323" s="78">
        <v>837640.09</v>
      </c>
      <c r="E323" s="78">
        <v>1949631.84</v>
      </c>
      <c r="F323" s="78">
        <f t="shared" ref="F323:F351" si="43">C323+D323+E323</f>
        <v>7492552.5499999998</v>
      </c>
      <c r="G323" s="78">
        <v>5952483.0499999998</v>
      </c>
      <c r="H323" s="398">
        <f t="shared" ref="H323:H329" si="44">C323-M323</f>
        <v>4584287.57</v>
      </c>
      <c r="I323" s="78">
        <v>7797981.0800000001</v>
      </c>
      <c r="J323" s="78">
        <v>305428.53000000003</v>
      </c>
      <c r="K323" s="10">
        <f t="shared" ref="K323:K351" si="45">I323-J323</f>
        <v>7492552.5499999998</v>
      </c>
      <c r="L323" s="78">
        <v>5952639.2599999998</v>
      </c>
      <c r="M323" s="406">
        <v>120993.04999999981</v>
      </c>
      <c r="N323" s="21">
        <f t="shared" ref="N323:N351" si="46">F323-K323</f>
        <v>0</v>
      </c>
      <c r="O323" s="423">
        <f>C323-N323</f>
        <v>4705280.62</v>
      </c>
      <c r="P323" s="21">
        <f t="shared" ref="P323:P351" si="47">G323-L323</f>
        <v>-156.20999999996275</v>
      </c>
    </row>
    <row r="324" spans="2:16" ht="15.6">
      <c r="B324" s="543" t="s">
        <v>9</v>
      </c>
      <c r="C324" s="78">
        <v>3659880.54</v>
      </c>
      <c r="D324" s="78">
        <v>1633411.42</v>
      </c>
      <c r="E324" s="78">
        <v>411909.74</v>
      </c>
      <c r="F324" s="78">
        <f t="shared" si="43"/>
        <v>5705201.7000000002</v>
      </c>
      <c r="G324" s="78">
        <v>4526093.79</v>
      </c>
      <c r="H324" s="398">
        <f t="shared" si="44"/>
        <v>3556516.8100000005</v>
      </c>
      <c r="I324" s="78">
        <v>5934134.4100000001</v>
      </c>
      <c r="J324" s="78">
        <v>228932.71</v>
      </c>
      <c r="K324" s="10">
        <f t="shared" si="45"/>
        <v>5705201.7000000002</v>
      </c>
      <c r="L324" s="78">
        <v>4525279.4000000004</v>
      </c>
      <c r="M324" s="406">
        <v>103363.72999999952</v>
      </c>
      <c r="N324" s="21">
        <f t="shared" si="46"/>
        <v>0</v>
      </c>
      <c r="O324" s="423">
        <f t="shared" ref="O324:O351" si="48">C324-N324</f>
        <v>3659880.54</v>
      </c>
      <c r="P324" s="21">
        <f t="shared" si="47"/>
        <v>814.38999999966472</v>
      </c>
    </row>
    <row r="325" spans="2:16" ht="15.6">
      <c r="B325" s="543" t="s">
        <v>37</v>
      </c>
      <c r="C325" s="78">
        <v>29414.599999999977</v>
      </c>
      <c r="D325" s="78">
        <v>0</v>
      </c>
      <c r="E325" s="78">
        <v>561708.62</v>
      </c>
      <c r="F325" s="78">
        <f t="shared" si="43"/>
        <v>591123.22</v>
      </c>
      <c r="G325" s="78">
        <v>509394.86</v>
      </c>
      <c r="H325" s="398">
        <f t="shared" si="44"/>
        <v>25987.209999999963</v>
      </c>
      <c r="I325" s="78">
        <v>648161.01</v>
      </c>
      <c r="J325" s="78">
        <v>57037.79</v>
      </c>
      <c r="K325" s="10">
        <f t="shared" si="45"/>
        <v>591123.22</v>
      </c>
      <c r="L325" s="78">
        <v>509300.8</v>
      </c>
      <c r="M325" s="406">
        <v>3427.390000000014</v>
      </c>
      <c r="N325" s="21">
        <f t="shared" si="46"/>
        <v>0</v>
      </c>
      <c r="O325" s="423">
        <f t="shared" si="48"/>
        <v>29414.599999999977</v>
      </c>
      <c r="P325" s="21">
        <f t="shared" si="47"/>
        <v>94.059999999997672</v>
      </c>
    </row>
    <row r="326" spans="2:16" ht="15.6">
      <c r="B326" s="543" t="s">
        <v>175</v>
      </c>
      <c r="C326" s="78">
        <v>4747417.59</v>
      </c>
      <c r="D326" s="78">
        <v>1191147.3700000001</v>
      </c>
      <c r="E326" s="78">
        <v>1068261.95</v>
      </c>
      <c r="F326" s="78">
        <f t="shared" si="43"/>
        <v>7006826.9100000001</v>
      </c>
      <c r="G326" s="78">
        <v>5478347.71</v>
      </c>
      <c r="H326" s="398">
        <f t="shared" si="44"/>
        <v>4628006.67</v>
      </c>
      <c r="I326" s="78">
        <v>7192556.3200000003</v>
      </c>
      <c r="J326" s="78">
        <v>185729.41</v>
      </c>
      <c r="K326" s="10">
        <f t="shared" si="45"/>
        <v>7006826.9100000001</v>
      </c>
      <c r="L326" s="78">
        <v>5478297.4800000004</v>
      </c>
      <c r="M326" s="406">
        <v>119410.91999999993</v>
      </c>
      <c r="N326" s="21">
        <f t="shared" si="46"/>
        <v>0</v>
      </c>
      <c r="O326" s="423">
        <f t="shared" si="48"/>
        <v>4747417.59</v>
      </c>
      <c r="P326" s="21">
        <f t="shared" si="47"/>
        <v>50.229999999515712</v>
      </c>
    </row>
    <row r="327" spans="2:16" ht="15.6">
      <c r="B327" s="543" t="s">
        <v>25</v>
      </c>
      <c r="C327" s="78">
        <v>1396156.6500000001</v>
      </c>
      <c r="D327" s="78">
        <v>309976.28000000003</v>
      </c>
      <c r="E327" s="78">
        <v>1091080.6399999999</v>
      </c>
      <c r="F327" s="78">
        <f t="shared" si="43"/>
        <v>2797213.5700000003</v>
      </c>
      <c r="G327" s="78">
        <v>2232120.6</v>
      </c>
      <c r="H327" s="398">
        <f t="shared" si="44"/>
        <v>1368785.2200000004</v>
      </c>
      <c r="I327" s="78">
        <v>2959326.62</v>
      </c>
      <c r="J327" s="78">
        <v>162113.04999999999</v>
      </c>
      <c r="K327" s="10">
        <f t="shared" si="45"/>
        <v>2797213.5700000003</v>
      </c>
      <c r="L327" s="78">
        <v>2232095.2400000002</v>
      </c>
      <c r="M327" s="406">
        <v>27371.429999999702</v>
      </c>
      <c r="N327" s="21">
        <f t="shared" si="46"/>
        <v>0</v>
      </c>
      <c r="O327" s="423">
        <f t="shared" si="48"/>
        <v>1396156.6500000001</v>
      </c>
      <c r="P327" s="21">
        <f t="shared" si="47"/>
        <v>25.359999999869615</v>
      </c>
    </row>
    <row r="328" spans="2:16" ht="15.6">
      <c r="B328" s="543" t="s">
        <v>243</v>
      </c>
      <c r="C328" s="78">
        <v>2012115.1600000001</v>
      </c>
      <c r="D328" s="78">
        <v>138105.66</v>
      </c>
      <c r="E328" s="78">
        <v>806288.02</v>
      </c>
      <c r="F328" s="78">
        <f t="shared" si="43"/>
        <v>2956508.8400000003</v>
      </c>
      <c r="G328" s="78">
        <v>2369632.5099999998</v>
      </c>
      <c r="H328" s="398">
        <f t="shared" si="44"/>
        <v>1964823.2500000005</v>
      </c>
      <c r="I328" s="78">
        <v>3051994.45</v>
      </c>
      <c r="J328" s="78">
        <v>95485.61</v>
      </c>
      <c r="K328" s="10">
        <f t="shared" si="45"/>
        <v>2956508.8400000003</v>
      </c>
      <c r="L328" s="78">
        <v>2369612.64</v>
      </c>
      <c r="M328" s="406">
        <v>47291.909999999683</v>
      </c>
      <c r="N328" s="21">
        <f t="shared" si="46"/>
        <v>0</v>
      </c>
      <c r="O328" s="423">
        <f t="shared" si="48"/>
        <v>2012115.1600000001</v>
      </c>
      <c r="P328" s="21">
        <f t="shared" si="47"/>
        <v>19.869999999646097</v>
      </c>
    </row>
    <row r="329" spans="2:16" ht="15.6">
      <c r="B329" s="543" t="s">
        <v>160</v>
      </c>
      <c r="C329" s="78">
        <v>5763435.7699999996</v>
      </c>
      <c r="D329" s="78">
        <v>34164.99</v>
      </c>
      <c r="E329" s="78">
        <v>2600037.33</v>
      </c>
      <c r="F329" s="78">
        <f t="shared" si="43"/>
        <v>8397638.0899999999</v>
      </c>
      <c r="G329" s="78">
        <v>6844902.0899999999</v>
      </c>
      <c r="H329" s="398">
        <f t="shared" si="44"/>
        <v>5650128.0899999999</v>
      </c>
      <c r="I329" s="78">
        <v>8743340.7599999998</v>
      </c>
      <c r="J329" s="78">
        <v>345702.67</v>
      </c>
      <c r="K329" s="10">
        <f t="shared" si="45"/>
        <v>8397638.0899999999</v>
      </c>
      <c r="L329" s="78">
        <v>6844885.0800000001</v>
      </c>
      <c r="M329" s="406">
        <v>113307.6799999997</v>
      </c>
      <c r="N329" s="21">
        <f t="shared" si="46"/>
        <v>0</v>
      </c>
      <c r="O329" s="423">
        <f t="shared" si="48"/>
        <v>5763435.7699999996</v>
      </c>
      <c r="P329" s="290">
        <f t="shared" si="47"/>
        <v>17.009999999776483</v>
      </c>
    </row>
    <row r="330" spans="2:16" ht="15.6">
      <c r="B330" s="543" t="s">
        <v>357</v>
      </c>
      <c r="C330" s="78">
        <v>3459079.11</v>
      </c>
      <c r="D330" s="78">
        <v>383997.61</v>
      </c>
      <c r="E330" s="78">
        <v>199587.51</v>
      </c>
      <c r="F330" s="78">
        <f t="shared" si="43"/>
        <v>4042664.2299999995</v>
      </c>
      <c r="G330" s="78">
        <v>3142243.61</v>
      </c>
      <c r="H330" s="398"/>
      <c r="I330" s="78">
        <v>4097238.03</v>
      </c>
      <c r="J330" s="78">
        <v>54573.8</v>
      </c>
      <c r="K330" s="10">
        <f t="shared" si="45"/>
        <v>4042664.23</v>
      </c>
      <c r="L330" s="78">
        <v>3142231.3</v>
      </c>
      <c r="M330" s="406">
        <v>79712.83000000054</v>
      </c>
      <c r="N330" s="21">
        <f t="shared" si="46"/>
        <v>0</v>
      </c>
      <c r="O330" s="423">
        <f t="shared" si="48"/>
        <v>3459079.11</v>
      </c>
      <c r="P330" s="21">
        <f t="shared" si="47"/>
        <v>12.310000000055879</v>
      </c>
    </row>
    <row r="331" spans="2:16" ht="15.6">
      <c r="B331" s="82" t="s">
        <v>145</v>
      </c>
      <c r="C331" s="78">
        <v>934951.84999999986</v>
      </c>
      <c r="D331" s="78">
        <v>3320</v>
      </c>
      <c r="E331" s="78">
        <v>1542058.59</v>
      </c>
      <c r="F331" s="78">
        <f t="shared" si="43"/>
        <v>2480330.44</v>
      </c>
      <c r="G331" s="78">
        <v>2029274.09</v>
      </c>
      <c r="H331" s="398">
        <f>C331-M331</f>
        <v>901641.22999999975</v>
      </c>
      <c r="I331" s="78">
        <v>2666919.09</v>
      </c>
      <c r="J331" s="78">
        <v>186588.65</v>
      </c>
      <c r="K331" s="10">
        <f t="shared" si="45"/>
        <v>2480330.44</v>
      </c>
      <c r="L331" s="78">
        <v>2029268.78</v>
      </c>
      <c r="M331" s="406">
        <v>33310.620000000112</v>
      </c>
      <c r="N331" s="21">
        <f t="shared" si="46"/>
        <v>0</v>
      </c>
      <c r="O331" s="423">
        <f t="shared" si="48"/>
        <v>934951.84999999986</v>
      </c>
      <c r="P331" s="21">
        <f t="shared" si="47"/>
        <v>5.3100000000558794</v>
      </c>
    </row>
    <row r="332" spans="2:16" ht="15.6">
      <c r="B332" s="82" t="s">
        <v>240</v>
      </c>
      <c r="C332" s="78">
        <v>153090.06999999995</v>
      </c>
      <c r="D332" s="78">
        <v>0</v>
      </c>
      <c r="E332" s="78">
        <v>656539.06999999995</v>
      </c>
      <c r="F332" s="78">
        <f t="shared" si="43"/>
        <v>809629.1399999999</v>
      </c>
      <c r="G332" s="78">
        <v>704984.26</v>
      </c>
      <c r="H332" s="398">
        <f>C332-M332</f>
        <v>146664.37999999989</v>
      </c>
      <c r="I332" s="78">
        <v>887241.33</v>
      </c>
      <c r="J332" s="78">
        <v>77612.19</v>
      </c>
      <c r="K332" s="10">
        <f t="shared" si="45"/>
        <v>809629.1399999999</v>
      </c>
      <c r="L332" s="78">
        <v>704979.33</v>
      </c>
      <c r="M332" s="406">
        <v>6425.6900000000605</v>
      </c>
      <c r="N332" s="21">
        <f t="shared" si="46"/>
        <v>0</v>
      </c>
      <c r="O332" s="423">
        <f t="shared" si="48"/>
        <v>153090.06999999995</v>
      </c>
      <c r="P332" s="21">
        <f t="shared" si="47"/>
        <v>4.9300000000512227</v>
      </c>
    </row>
    <row r="333" spans="2:16" ht="15.6">
      <c r="B333" s="82" t="s">
        <v>362</v>
      </c>
      <c r="C333" s="78">
        <v>83263.929999999935</v>
      </c>
      <c r="D333" s="78">
        <v>0</v>
      </c>
      <c r="E333" s="78">
        <v>545587.16</v>
      </c>
      <c r="F333" s="78">
        <f t="shared" si="43"/>
        <v>628851.09</v>
      </c>
      <c r="G333" s="78">
        <v>509810.22</v>
      </c>
      <c r="H333" s="398"/>
      <c r="I333" s="78">
        <v>665731.36</v>
      </c>
      <c r="J333" s="78">
        <v>36880.269999999997</v>
      </c>
      <c r="K333" s="10">
        <f t="shared" si="45"/>
        <v>628851.09</v>
      </c>
      <c r="L333" s="78">
        <v>509805.33</v>
      </c>
      <c r="M333" s="406">
        <v>3499.640000000014</v>
      </c>
      <c r="N333" s="21">
        <f t="shared" si="46"/>
        <v>0</v>
      </c>
      <c r="O333" s="423">
        <f t="shared" si="48"/>
        <v>83263.929999999935</v>
      </c>
      <c r="P333" s="21">
        <f t="shared" si="47"/>
        <v>4.8899999999557622</v>
      </c>
    </row>
    <row r="334" spans="2:16" ht="15.6">
      <c r="B334" s="82" t="s">
        <v>123</v>
      </c>
      <c r="C334" s="78">
        <v>14040.660000000003</v>
      </c>
      <c r="D334" s="78">
        <v>0</v>
      </c>
      <c r="E334" s="78">
        <v>147781.34</v>
      </c>
      <c r="F334" s="78">
        <f t="shared" si="43"/>
        <v>161822</v>
      </c>
      <c r="G334" s="78">
        <v>141445.26999999999</v>
      </c>
      <c r="H334" s="398">
        <f t="shared" ref="H334:H350" si="49">C334-M334</f>
        <v>13160.860000000015</v>
      </c>
      <c r="I334" s="78">
        <v>184619.77</v>
      </c>
      <c r="J334" s="78">
        <v>22797.77</v>
      </c>
      <c r="K334" s="10">
        <f t="shared" si="45"/>
        <v>161822</v>
      </c>
      <c r="L334" s="78">
        <v>141444.53</v>
      </c>
      <c r="M334" s="406">
        <v>879.79999999998836</v>
      </c>
      <c r="N334" s="21">
        <f t="shared" si="46"/>
        <v>0</v>
      </c>
      <c r="O334" s="423">
        <f t="shared" si="48"/>
        <v>14040.660000000003</v>
      </c>
      <c r="P334" s="21">
        <f t="shared" si="47"/>
        <v>0.73999999999068677</v>
      </c>
    </row>
    <row r="335" spans="2:16" ht="15.6">
      <c r="B335" s="82" t="s">
        <v>133</v>
      </c>
      <c r="C335" s="78">
        <v>51193.239999999991</v>
      </c>
      <c r="D335" s="78">
        <v>0</v>
      </c>
      <c r="E335" s="78">
        <v>254520.64</v>
      </c>
      <c r="F335" s="78">
        <f t="shared" si="43"/>
        <v>305713.88</v>
      </c>
      <c r="G335" s="78">
        <v>263460.75</v>
      </c>
      <c r="H335" s="398">
        <f t="shared" si="49"/>
        <v>50224.549999999988</v>
      </c>
      <c r="I335" s="78">
        <v>338575</v>
      </c>
      <c r="J335" s="78">
        <v>32861.120000000003</v>
      </c>
      <c r="K335" s="10">
        <f t="shared" si="45"/>
        <v>305713.88</v>
      </c>
      <c r="L335" s="78">
        <v>263460.75</v>
      </c>
      <c r="M335" s="406">
        <v>968.69000000000233</v>
      </c>
      <c r="N335" s="21">
        <f t="shared" si="46"/>
        <v>0</v>
      </c>
      <c r="O335" s="423">
        <f t="shared" si="48"/>
        <v>51193.239999999991</v>
      </c>
      <c r="P335" s="21">
        <f t="shared" si="47"/>
        <v>0</v>
      </c>
    </row>
    <row r="336" spans="2:16" ht="15.6">
      <c r="B336" s="82" t="s">
        <v>178</v>
      </c>
      <c r="C336" s="78">
        <v>15735.700000000012</v>
      </c>
      <c r="D336" s="78">
        <v>0</v>
      </c>
      <c r="E336" s="78">
        <v>375387.1</v>
      </c>
      <c r="F336" s="78">
        <f t="shared" si="43"/>
        <v>391122.8</v>
      </c>
      <c r="G336" s="78">
        <v>334218.71999999997</v>
      </c>
      <c r="H336" s="398">
        <f t="shared" si="49"/>
        <v>13612.489999999991</v>
      </c>
      <c r="I336" s="78">
        <v>423490.89</v>
      </c>
      <c r="J336" s="78">
        <v>32368.09</v>
      </c>
      <c r="K336" s="10">
        <f t="shared" si="45"/>
        <v>391122.8</v>
      </c>
      <c r="L336" s="78">
        <v>334218.71999999997</v>
      </c>
      <c r="M336" s="406">
        <v>2123.210000000021</v>
      </c>
      <c r="N336" s="21">
        <f t="shared" si="46"/>
        <v>0</v>
      </c>
      <c r="O336" s="423">
        <f t="shared" si="48"/>
        <v>15735.700000000012</v>
      </c>
      <c r="P336" s="21">
        <f t="shared" si="47"/>
        <v>0</v>
      </c>
    </row>
    <row r="337" spans="2:16" ht="15.6">
      <c r="B337" s="82" t="s">
        <v>245</v>
      </c>
      <c r="C337" s="78">
        <v>0</v>
      </c>
      <c r="D337" s="78"/>
      <c r="E337" s="78"/>
      <c r="F337" s="78">
        <f t="shared" si="43"/>
        <v>0</v>
      </c>
      <c r="G337" s="78"/>
      <c r="H337" s="398">
        <f t="shared" si="49"/>
        <v>0</v>
      </c>
      <c r="I337" s="78"/>
      <c r="J337" s="78"/>
      <c r="K337" s="10">
        <f t="shared" si="45"/>
        <v>0</v>
      </c>
      <c r="L337" s="78"/>
      <c r="M337" s="406">
        <v>0</v>
      </c>
      <c r="N337" s="21">
        <f t="shared" si="46"/>
        <v>0</v>
      </c>
      <c r="O337" s="423">
        <f t="shared" si="48"/>
        <v>0</v>
      </c>
      <c r="P337" s="21">
        <f t="shared" si="47"/>
        <v>0</v>
      </c>
    </row>
    <row r="338" spans="2:16" ht="15.6">
      <c r="B338" s="82" t="s">
        <v>181</v>
      </c>
      <c r="C338" s="78">
        <v>53037.169999999984</v>
      </c>
      <c r="D338" s="78">
        <v>0</v>
      </c>
      <c r="E338" s="78">
        <v>297174.43</v>
      </c>
      <c r="F338" s="78">
        <f t="shared" si="43"/>
        <v>350211.6</v>
      </c>
      <c r="G338" s="78">
        <v>299021.03999999998</v>
      </c>
      <c r="H338" s="398">
        <f t="shared" si="49"/>
        <v>51209.509999999951</v>
      </c>
      <c r="I338" s="78">
        <v>385384.72</v>
      </c>
      <c r="J338" s="78">
        <v>35173.120000000003</v>
      </c>
      <c r="K338" s="10">
        <f t="shared" si="45"/>
        <v>350211.6</v>
      </c>
      <c r="L338" s="78">
        <v>299021.06</v>
      </c>
      <c r="M338" s="406">
        <v>1827.6600000000326</v>
      </c>
      <c r="N338" s="21">
        <f t="shared" si="46"/>
        <v>0</v>
      </c>
      <c r="O338" s="423">
        <f t="shared" si="48"/>
        <v>53037.169999999984</v>
      </c>
      <c r="P338" s="21">
        <f t="shared" si="47"/>
        <v>-2.0000000018626451E-2</v>
      </c>
    </row>
    <row r="339" spans="2:16" ht="15.6">
      <c r="B339" s="82" t="s">
        <v>182</v>
      </c>
      <c r="C339" s="78">
        <v>68887.070000000007</v>
      </c>
      <c r="D339" s="78">
        <v>0</v>
      </c>
      <c r="E339" s="78">
        <v>179503.68</v>
      </c>
      <c r="F339" s="78">
        <f t="shared" si="43"/>
        <v>248390.75</v>
      </c>
      <c r="G339" s="78">
        <v>217195.06</v>
      </c>
      <c r="H339" s="398">
        <f t="shared" si="49"/>
        <v>67746.330000000016</v>
      </c>
      <c r="I339" s="78">
        <v>285250.62</v>
      </c>
      <c r="J339" s="78">
        <v>36859.870000000003</v>
      </c>
      <c r="K339" s="10">
        <f t="shared" si="45"/>
        <v>248390.75</v>
      </c>
      <c r="L339" s="78">
        <v>217195.22</v>
      </c>
      <c r="M339" s="406">
        <v>1140.7399999999907</v>
      </c>
      <c r="N339" s="21">
        <f t="shared" si="46"/>
        <v>0</v>
      </c>
      <c r="O339" s="423">
        <f t="shared" si="48"/>
        <v>68887.070000000007</v>
      </c>
      <c r="P339" s="21">
        <f t="shared" si="47"/>
        <v>-0.16000000000349246</v>
      </c>
    </row>
    <row r="340" spans="2:16" ht="15.6">
      <c r="B340" s="82" t="s">
        <v>187</v>
      </c>
      <c r="C340" s="78">
        <v>65469.670000000013</v>
      </c>
      <c r="D340" s="78">
        <v>0</v>
      </c>
      <c r="E340" s="78">
        <v>236590.96</v>
      </c>
      <c r="F340" s="78">
        <f t="shared" si="43"/>
        <v>302060.63</v>
      </c>
      <c r="G340" s="78">
        <v>245867.91</v>
      </c>
      <c r="H340" s="398">
        <f t="shared" si="49"/>
        <v>64355.440000000031</v>
      </c>
      <c r="I340" s="78">
        <v>335840.47</v>
      </c>
      <c r="J340" s="78">
        <v>33779.839999999997</v>
      </c>
      <c r="K340" s="10">
        <f t="shared" si="45"/>
        <v>302060.63</v>
      </c>
      <c r="L340" s="78">
        <v>245868.14</v>
      </c>
      <c r="M340" s="406">
        <v>1114.2299999999814</v>
      </c>
      <c r="N340" s="21">
        <f t="shared" si="46"/>
        <v>0</v>
      </c>
      <c r="O340" s="423">
        <f t="shared" si="48"/>
        <v>65469.670000000013</v>
      </c>
      <c r="P340" s="21">
        <f t="shared" si="47"/>
        <v>-0.23000000001047738</v>
      </c>
    </row>
    <row r="341" spans="2:16" ht="15.6">
      <c r="B341" s="82" t="s">
        <v>172</v>
      </c>
      <c r="C341" s="78">
        <v>413650.85</v>
      </c>
      <c r="D341" s="78">
        <v>0</v>
      </c>
      <c r="E341" s="78">
        <v>0</v>
      </c>
      <c r="F341" s="78">
        <f t="shared" si="43"/>
        <v>413650.85</v>
      </c>
      <c r="G341" s="78">
        <v>358143.25</v>
      </c>
      <c r="H341" s="398">
        <f t="shared" si="49"/>
        <v>381538.06999999995</v>
      </c>
      <c r="I341" s="78">
        <v>477299.22</v>
      </c>
      <c r="J341" s="78">
        <v>63648.37</v>
      </c>
      <c r="K341" s="10">
        <f t="shared" si="45"/>
        <v>413650.85</v>
      </c>
      <c r="L341" s="78">
        <v>358143.5</v>
      </c>
      <c r="M341" s="406">
        <v>32112.780000000028</v>
      </c>
      <c r="N341" s="21">
        <f t="shared" si="46"/>
        <v>0</v>
      </c>
      <c r="O341" s="423">
        <f t="shared" si="48"/>
        <v>413650.85</v>
      </c>
      <c r="P341" s="21">
        <f t="shared" si="47"/>
        <v>-0.25</v>
      </c>
    </row>
    <row r="342" spans="2:16" ht="15.6">
      <c r="B342" s="82" t="s">
        <v>233</v>
      </c>
      <c r="C342" s="78">
        <v>63689.970000000088</v>
      </c>
      <c r="D342" s="78">
        <v>0</v>
      </c>
      <c r="E342" s="78">
        <v>541204.6</v>
      </c>
      <c r="F342" s="78">
        <f t="shared" si="43"/>
        <v>604894.57000000007</v>
      </c>
      <c r="G342" s="78">
        <v>501767.28</v>
      </c>
      <c r="H342" s="398">
        <f t="shared" si="49"/>
        <v>61275.60000000021</v>
      </c>
      <c r="I342" s="78">
        <v>646476.30000000005</v>
      </c>
      <c r="J342" s="78">
        <v>41581.730000000003</v>
      </c>
      <c r="K342" s="10">
        <f t="shared" si="45"/>
        <v>604894.57000000007</v>
      </c>
      <c r="L342" s="78">
        <v>501767.54</v>
      </c>
      <c r="M342" s="406">
        <v>2414.3699999998789</v>
      </c>
      <c r="N342" s="21">
        <f t="shared" si="46"/>
        <v>0</v>
      </c>
      <c r="O342" s="423">
        <f t="shared" si="48"/>
        <v>63689.970000000088</v>
      </c>
      <c r="P342" s="21">
        <f t="shared" si="47"/>
        <v>-0.25999999995110556</v>
      </c>
    </row>
    <row r="343" spans="2:16" ht="15.6">
      <c r="B343" s="82" t="s">
        <v>179</v>
      </c>
      <c r="C343" s="78">
        <v>54440.75</v>
      </c>
      <c r="D343" s="78">
        <v>0</v>
      </c>
      <c r="E343" s="78">
        <v>643321.81000000006</v>
      </c>
      <c r="F343" s="78">
        <f t="shared" si="43"/>
        <v>697762.56</v>
      </c>
      <c r="G343" s="78">
        <v>594033.62</v>
      </c>
      <c r="H343" s="398">
        <f t="shared" si="49"/>
        <v>51123.760000000009</v>
      </c>
      <c r="I343" s="78">
        <v>772008.31</v>
      </c>
      <c r="J343" s="78">
        <v>74245.75</v>
      </c>
      <c r="K343" s="10">
        <f t="shared" si="45"/>
        <v>697762.56</v>
      </c>
      <c r="L343" s="78">
        <v>594034.04</v>
      </c>
      <c r="M343" s="406">
        <v>3316.9899999999907</v>
      </c>
      <c r="N343" s="21">
        <f t="shared" si="46"/>
        <v>0</v>
      </c>
      <c r="O343" s="423">
        <f t="shared" si="48"/>
        <v>54440.75</v>
      </c>
      <c r="P343" s="21">
        <f t="shared" si="47"/>
        <v>-0.42000000004190952</v>
      </c>
    </row>
    <row r="344" spans="2:16" ht="15.6">
      <c r="B344" s="82" t="s">
        <v>139</v>
      </c>
      <c r="C344" s="78">
        <v>22469.009999999776</v>
      </c>
      <c r="D344" s="78">
        <v>0</v>
      </c>
      <c r="E344" s="78">
        <v>2211696.04</v>
      </c>
      <c r="F344" s="78">
        <f t="shared" si="43"/>
        <v>2234165.0499999998</v>
      </c>
      <c r="G344" s="78">
        <v>1893912.5</v>
      </c>
      <c r="H344" s="398">
        <f t="shared" si="49"/>
        <v>17400.719999999739</v>
      </c>
      <c r="I344" s="78">
        <v>2463073.8199999998</v>
      </c>
      <c r="J344" s="78">
        <v>228908.77</v>
      </c>
      <c r="K344" s="10">
        <f t="shared" si="45"/>
        <v>2234165.0499999998</v>
      </c>
      <c r="L344" s="78">
        <v>1893913.06</v>
      </c>
      <c r="M344" s="406">
        <v>5068.2900000000373</v>
      </c>
      <c r="N344" s="21">
        <f t="shared" si="46"/>
        <v>0</v>
      </c>
      <c r="O344" s="423">
        <f t="shared" si="48"/>
        <v>22469.009999999776</v>
      </c>
      <c r="P344" s="542">
        <f t="shared" si="47"/>
        <v>-0.56000000005587935</v>
      </c>
    </row>
    <row r="345" spans="2:16" ht="15.6">
      <c r="B345" s="82" t="s">
        <v>177</v>
      </c>
      <c r="C345" s="78">
        <v>127451.85999999999</v>
      </c>
      <c r="D345" s="78">
        <v>0</v>
      </c>
      <c r="E345" s="78">
        <v>514326.36</v>
      </c>
      <c r="F345" s="78">
        <f t="shared" si="43"/>
        <v>641778.22</v>
      </c>
      <c r="G345" s="78">
        <v>537998.81000000006</v>
      </c>
      <c r="H345" s="398">
        <f t="shared" si="49"/>
        <v>122847.87</v>
      </c>
      <c r="I345" s="78">
        <v>698714.76</v>
      </c>
      <c r="J345" s="78">
        <v>56936.54</v>
      </c>
      <c r="K345" s="10">
        <f t="shared" si="45"/>
        <v>641778.22</v>
      </c>
      <c r="L345" s="78">
        <v>538000.88</v>
      </c>
      <c r="M345" s="406">
        <v>4603.9899999999907</v>
      </c>
      <c r="N345" s="21">
        <f t="shared" si="46"/>
        <v>0</v>
      </c>
      <c r="O345" s="423">
        <f t="shared" si="48"/>
        <v>127451.85999999999</v>
      </c>
      <c r="P345" s="22">
        <f t="shared" si="47"/>
        <v>-2.0699999999487773</v>
      </c>
    </row>
    <row r="346" spans="2:16" ht="15.6">
      <c r="B346" s="84" t="s">
        <v>203</v>
      </c>
      <c r="C346" s="78">
        <v>1734542.9700000004</v>
      </c>
      <c r="D346" s="78">
        <v>97651.17</v>
      </c>
      <c r="E346" s="78">
        <v>1024658.3</v>
      </c>
      <c r="F346" s="78">
        <f t="shared" si="43"/>
        <v>2856852.4400000004</v>
      </c>
      <c r="G346" s="78">
        <v>2312380.75</v>
      </c>
      <c r="H346" s="398">
        <f t="shared" si="49"/>
        <v>1694264.4700000009</v>
      </c>
      <c r="I346" s="78">
        <v>3023443.7</v>
      </c>
      <c r="J346" s="78">
        <v>166591.26</v>
      </c>
      <c r="K346" s="10">
        <f t="shared" si="45"/>
        <v>2856852.4400000004</v>
      </c>
      <c r="L346" s="78">
        <v>2312384.39</v>
      </c>
      <c r="M346" s="406">
        <v>40278.499999999534</v>
      </c>
      <c r="N346" s="22">
        <f t="shared" si="46"/>
        <v>0</v>
      </c>
      <c r="O346" s="423">
        <f t="shared" si="48"/>
        <v>1734542.9700000004</v>
      </c>
      <c r="P346" s="22">
        <f t="shared" si="47"/>
        <v>-3.6400000001303852</v>
      </c>
    </row>
    <row r="347" spans="2:16" ht="15.6">
      <c r="B347" s="84" t="s">
        <v>124</v>
      </c>
      <c r="C347" s="78">
        <v>179325.50000000012</v>
      </c>
      <c r="D347" s="78">
        <v>879.3</v>
      </c>
      <c r="E347" s="78">
        <v>377468.89</v>
      </c>
      <c r="F347" s="78">
        <f t="shared" si="43"/>
        <v>557673.69000000018</v>
      </c>
      <c r="G347" s="78">
        <v>478902.25</v>
      </c>
      <c r="H347" s="398">
        <f t="shared" si="49"/>
        <v>176538.77000000025</v>
      </c>
      <c r="I347" s="78">
        <v>612610.54</v>
      </c>
      <c r="J347" s="78">
        <v>54936.85</v>
      </c>
      <c r="K347" s="10">
        <f t="shared" si="45"/>
        <v>557673.69000000006</v>
      </c>
      <c r="L347" s="78">
        <v>478907.37</v>
      </c>
      <c r="M347" s="406">
        <v>2786.729999999865</v>
      </c>
      <c r="N347" s="22">
        <f t="shared" si="46"/>
        <v>0</v>
      </c>
      <c r="O347" s="423">
        <f t="shared" si="48"/>
        <v>179325.50000000012</v>
      </c>
      <c r="P347" s="22">
        <f t="shared" si="47"/>
        <v>-5.1199999999953434</v>
      </c>
    </row>
    <row r="348" spans="2:16" ht="15.6">
      <c r="B348" s="441" t="s">
        <v>176</v>
      </c>
      <c r="C348" s="522">
        <v>103501.26000000001</v>
      </c>
      <c r="D348" s="522">
        <v>0</v>
      </c>
      <c r="E348" s="522">
        <v>429628.37</v>
      </c>
      <c r="F348" s="78">
        <f t="shared" si="43"/>
        <v>533129.63</v>
      </c>
      <c r="G348" s="522">
        <v>449043.76</v>
      </c>
      <c r="H348" s="398">
        <f t="shared" si="49"/>
        <v>100498.03000000003</v>
      </c>
      <c r="I348" s="522">
        <v>584388.75</v>
      </c>
      <c r="J348" s="522">
        <v>51259.12</v>
      </c>
      <c r="K348" s="10">
        <f t="shared" si="45"/>
        <v>533129.63</v>
      </c>
      <c r="L348" s="522">
        <v>449048.99</v>
      </c>
      <c r="M348" s="406">
        <v>3003.2299999999814</v>
      </c>
      <c r="N348" s="22">
        <f t="shared" si="46"/>
        <v>0</v>
      </c>
      <c r="O348" s="423">
        <f t="shared" si="48"/>
        <v>103501.26000000001</v>
      </c>
      <c r="P348" s="22">
        <f t="shared" si="47"/>
        <v>-5.2299999999813735</v>
      </c>
    </row>
    <row r="349" spans="2:16" ht="15.6">
      <c r="B349" s="441" t="s">
        <v>170</v>
      </c>
      <c r="C349" s="522">
        <v>593024.74000000011</v>
      </c>
      <c r="D349" s="522">
        <v>49666.1</v>
      </c>
      <c r="E349" s="522">
        <v>33921.360000000001</v>
      </c>
      <c r="F349" s="78">
        <f t="shared" si="43"/>
        <v>676612.20000000007</v>
      </c>
      <c r="G349" s="522">
        <v>505385.48</v>
      </c>
      <c r="H349" s="398">
        <f t="shared" si="49"/>
        <v>580368.62000000023</v>
      </c>
      <c r="I349" s="522">
        <v>681800.65</v>
      </c>
      <c r="J349" s="522">
        <v>5188.45</v>
      </c>
      <c r="K349" s="10">
        <f t="shared" si="45"/>
        <v>676612.20000000007</v>
      </c>
      <c r="L349" s="522">
        <v>505394.67</v>
      </c>
      <c r="M349" s="406">
        <v>12656.119999999879</v>
      </c>
      <c r="N349" s="22">
        <f t="shared" si="46"/>
        <v>0</v>
      </c>
      <c r="O349" s="423">
        <f t="shared" si="48"/>
        <v>593024.74000000011</v>
      </c>
      <c r="P349" s="22">
        <f t="shared" si="47"/>
        <v>-9.1900000000023283</v>
      </c>
    </row>
    <row r="350" spans="2:16" ht="16.2" thickBot="1">
      <c r="B350" s="441" t="s">
        <v>169</v>
      </c>
      <c r="C350" s="522">
        <v>2496887.8400000003</v>
      </c>
      <c r="D350" s="522">
        <v>9682.2800000000007</v>
      </c>
      <c r="E350" s="522">
        <v>1137778.77</v>
      </c>
      <c r="F350" s="78">
        <f t="shared" si="43"/>
        <v>3644348.89</v>
      </c>
      <c r="G350" s="522">
        <v>2884181.38</v>
      </c>
      <c r="H350" s="398">
        <f t="shared" si="49"/>
        <v>2441726.6900000004</v>
      </c>
      <c r="I350" s="522">
        <v>3793281.31</v>
      </c>
      <c r="J350" s="522">
        <v>148932.42000000001</v>
      </c>
      <c r="K350" s="10">
        <f t="shared" si="45"/>
        <v>3644348.89</v>
      </c>
      <c r="L350" s="522">
        <v>2884197.66</v>
      </c>
      <c r="M350" s="406">
        <v>55161.149999999907</v>
      </c>
      <c r="N350" s="22">
        <f t="shared" si="46"/>
        <v>0</v>
      </c>
      <c r="O350" s="423">
        <f t="shared" si="48"/>
        <v>2496887.8400000003</v>
      </c>
      <c r="P350" s="22">
        <f t="shared" si="47"/>
        <v>-16.28000000026077</v>
      </c>
    </row>
    <row r="351" spans="2:16" ht="16.5" customHeight="1" thickBot="1">
      <c r="B351" s="83" t="s">
        <v>361</v>
      </c>
      <c r="C351" s="539">
        <v>102972.92000000004</v>
      </c>
      <c r="D351" s="539">
        <v>57.6</v>
      </c>
      <c r="E351" s="539">
        <v>571096.24</v>
      </c>
      <c r="F351" s="539">
        <f t="shared" si="43"/>
        <v>674126.76</v>
      </c>
      <c r="G351" s="539">
        <v>572719.66</v>
      </c>
      <c r="H351" s="398"/>
      <c r="I351" s="539">
        <v>744389.44</v>
      </c>
      <c r="J351" s="539">
        <v>70262.679999999993</v>
      </c>
      <c r="K351" s="540">
        <f t="shared" si="45"/>
        <v>674126.76</v>
      </c>
      <c r="L351" s="539">
        <v>572780.52</v>
      </c>
      <c r="M351" s="541">
        <v>4041.9899999999907</v>
      </c>
      <c r="N351" s="540">
        <f t="shared" si="46"/>
        <v>0</v>
      </c>
      <c r="O351" s="423">
        <f t="shared" si="48"/>
        <v>102972.92000000004</v>
      </c>
      <c r="P351" s="540">
        <f t="shared" si="47"/>
        <v>-60.85999999998603</v>
      </c>
    </row>
    <row r="352" spans="2:16" ht="16.2" thickBot="1">
      <c r="B352" s="83" t="s">
        <v>194</v>
      </c>
      <c r="C352" s="92">
        <f>SUM(C323:C351)</f>
        <v>33104407.070000004</v>
      </c>
      <c r="D352" s="92">
        <f t="shared" ref="D352:P352" si="50">SUM(D323:D351)</f>
        <v>4689699.87</v>
      </c>
      <c r="E352" s="92">
        <f t="shared" si="50"/>
        <v>20408749.359999999</v>
      </c>
      <c r="F352" s="92">
        <f t="shared" si="50"/>
        <v>58202856.300000004</v>
      </c>
      <c r="G352" s="92">
        <f t="shared" si="50"/>
        <v>46888964.279999994</v>
      </c>
      <c r="H352" s="92">
        <f t="shared" si="50"/>
        <v>28714732.210000008</v>
      </c>
      <c r="I352" s="92">
        <f t="shared" si="50"/>
        <v>61095272.729999989</v>
      </c>
      <c r="J352" s="92">
        <f t="shared" si="50"/>
        <v>2892416.4300000016</v>
      </c>
      <c r="K352" s="92">
        <f t="shared" si="50"/>
        <v>58202856.300000004</v>
      </c>
      <c r="L352" s="92">
        <f t="shared" si="50"/>
        <v>46888175.680000015</v>
      </c>
      <c r="M352" s="92">
        <f t="shared" si="50"/>
        <v>831613.35999999801</v>
      </c>
      <c r="N352" s="92">
        <f t="shared" si="50"/>
        <v>0</v>
      </c>
      <c r="O352" s="92">
        <f t="shared" si="50"/>
        <v>33104407.070000004</v>
      </c>
      <c r="P352" s="92">
        <f t="shared" si="50"/>
        <v>788.59999999823049</v>
      </c>
    </row>
    <row r="353" spans="2:16">
      <c r="C353" s="1">
        <f>59034469.66-20408749.36-4689999.87-C351</f>
        <v>33832747.509999998</v>
      </c>
      <c r="D353" s="1">
        <f>4689999.87-D351</f>
        <v>4689942.2700000005</v>
      </c>
      <c r="E353" s="1">
        <f>20408749.36-E351</f>
        <v>19837653.120000001</v>
      </c>
      <c r="I353" s="457">
        <f>61095272.73-I352</f>
        <v>0</v>
      </c>
      <c r="J353" s="457">
        <f>2892416.43-J352</f>
        <v>0</v>
      </c>
      <c r="L353" s="457">
        <f>46888175.68-L352</f>
        <v>0</v>
      </c>
    </row>
    <row r="355" spans="2:16" ht="13.8" thickBot="1"/>
    <row r="356" spans="2:16" ht="21.6" thickBot="1">
      <c r="B356" s="637" t="s">
        <v>161</v>
      </c>
      <c r="C356" s="638"/>
      <c r="D356" s="638"/>
      <c r="E356" s="638"/>
      <c r="F356" s="638"/>
      <c r="G356" s="639"/>
      <c r="I356" s="640" t="s">
        <v>149</v>
      </c>
      <c r="J356" s="641"/>
      <c r="K356" s="641"/>
      <c r="L356" s="642"/>
      <c r="M356" s="49"/>
      <c r="N356" s="23"/>
      <c r="O356" s="423"/>
      <c r="P356" s="23"/>
    </row>
    <row r="357" spans="2:16" ht="16.2" thickBot="1">
      <c r="B357" s="77" t="s">
        <v>34</v>
      </c>
      <c r="C357" s="80" t="s">
        <v>115</v>
      </c>
      <c r="D357" s="80" t="s">
        <v>21</v>
      </c>
      <c r="E357" s="80" t="s">
        <v>116</v>
      </c>
      <c r="F357" s="80" t="s">
        <v>162</v>
      </c>
      <c r="G357" s="81" t="s">
        <v>163</v>
      </c>
      <c r="H357" s="48" t="s">
        <v>10</v>
      </c>
      <c r="I357" s="26" t="s">
        <v>114</v>
      </c>
      <c r="J357" s="24" t="s">
        <v>164</v>
      </c>
      <c r="K357" s="24" t="s">
        <v>165</v>
      </c>
      <c r="L357" s="25" t="s">
        <v>166</v>
      </c>
      <c r="M357" s="85"/>
      <c r="N357" s="27" t="s">
        <v>167</v>
      </c>
      <c r="O357" s="423"/>
      <c r="P357" s="27" t="s">
        <v>168</v>
      </c>
    </row>
    <row r="358" spans="2:16" ht="15.6">
      <c r="B358" s="82" t="s">
        <v>36</v>
      </c>
      <c r="C358" s="78">
        <v>4700429.7299999995</v>
      </c>
      <c r="D358" s="78">
        <v>751344.31</v>
      </c>
      <c r="E358" s="78">
        <v>1533385.23</v>
      </c>
      <c r="F358" s="78">
        <f>C358+D358+E358</f>
        <v>6985159.2699999996</v>
      </c>
      <c r="G358" s="78">
        <v>5564289.3799999999</v>
      </c>
      <c r="H358" s="398">
        <v>2346092.41</v>
      </c>
      <c r="I358" s="78">
        <v>7275327.9800000004</v>
      </c>
      <c r="J358" s="78">
        <v>290168.71000000002</v>
      </c>
      <c r="K358" s="10">
        <f t="shared" ref="K358:K385" si="51">I358-J358</f>
        <v>6985159.2700000005</v>
      </c>
      <c r="L358" s="78">
        <v>5564222</v>
      </c>
      <c r="M358" s="412">
        <v>104248.11000000034</v>
      </c>
      <c r="N358" s="21">
        <f t="shared" ref="N358:N385" si="52">F358-K358</f>
        <v>0</v>
      </c>
      <c r="O358" s="423">
        <f>C358-N358</f>
        <v>4700429.7299999995</v>
      </c>
      <c r="P358" s="21">
        <f t="shared" ref="P358:P385" si="53">G358-L358</f>
        <v>67.379999999888241</v>
      </c>
    </row>
    <row r="359" spans="2:16" ht="15.6">
      <c r="B359" s="82" t="s">
        <v>9</v>
      </c>
      <c r="C359" s="78">
        <v>3840488.1999999993</v>
      </c>
      <c r="D359" s="78">
        <v>1775363.91</v>
      </c>
      <c r="E359" s="78">
        <v>442635</v>
      </c>
      <c r="F359" s="78">
        <f t="shared" ref="F359:F385" si="54">C359+D359+E359</f>
        <v>6058487.1099999994</v>
      </c>
      <c r="G359" s="78">
        <v>4775533.34</v>
      </c>
      <c r="H359" s="398">
        <v>1805349.3199999998</v>
      </c>
      <c r="I359" s="78">
        <v>6285149.0899999999</v>
      </c>
      <c r="J359" s="78">
        <v>226661.98</v>
      </c>
      <c r="K359" s="10">
        <f t="shared" si="51"/>
        <v>6058487.1099999994</v>
      </c>
      <c r="L359" s="78">
        <v>4775535.6900000004</v>
      </c>
      <c r="M359" s="412">
        <v>91530.520000000484</v>
      </c>
      <c r="N359" s="21">
        <f t="shared" si="52"/>
        <v>0</v>
      </c>
      <c r="O359" s="423">
        <f t="shared" ref="O359:O385" si="55">C359-N359</f>
        <v>3840488.1999999993</v>
      </c>
      <c r="P359" s="21">
        <f t="shared" si="53"/>
        <v>-2.3500000005587935</v>
      </c>
    </row>
    <row r="360" spans="2:16" ht="15.6">
      <c r="B360" s="82" t="s">
        <v>25</v>
      </c>
      <c r="C360" s="78">
        <v>2076269.0799999996</v>
      </c>
      <c r="D360" s="78">
        <v>367237.34</v>
      </c>
      <c r="E360" s="78">
        <v>1370779.82</v>
      </c>
      <c r="F360" s="78">
        <f t="shared" si="54"/>
        <v>3814286.2399999993</v>
      </c>
      <c r="G360" s="78">
        <v>3064909.07</v>
      </c>
      <c r="H360" s="398">
        <v>1218662.8899999999</v>
      </c>
      <c r="I360" s="78">
        <v>4021119.03</v>
      </c>
      <c r="J360" s="78">
        <v>206832.79</v>
      </c>
      <c r="K360" s="10">
        <f t="shared" si="51"/>
        <v>3814286.2399999998</v>
      </c>
      <c r="L360" s="78">
        <v>3064911</v>
      </c>
      <c r="M360" s="412">
        <v>43611.990000000689</v>
      </c>
      <c r="N360" s="21">
        <f t="shared" si="52"/>
        <v>0</v>
      </c>
      <c r="O360" s="423">
        <f t="shared" si="55"/>
        <v>2076269.0799999996</v>
      </c>
      <c r="P360" s="21">
        <f t="shared" si="53"/>
        <v>-1.9300000001676381</v>
      </c>
    </row>
    <row r="361" spans="2:16" ht="15.6">
      <c r="B361" s="82" t="s">
        <v>160</v>
      </c>
      <c r="C361" s="78">
        <v>5941090.9199999999</v>
      </c>
      <c r="D361" s="78">
        <v>21738.74</v>
      </c>
      <c r="E361" s="78">
        <v>2507801.83</v>
      </c>
      <c r="F361" s="78">
        <f t="shared" si="54"/>
        <v>8470631.4900000002</v>
      </c>
      <c r="G361" s="78">
        <v>6931652.8300000001</v>
      </c>
      <c r="H361" s="398">
        <v>2306172.7200000002</v>
      </c>
      <c r="I361" s="78">
        <v>8826228.9700000007</v>
      </c>
      <c r="J361" s="78">
        <v>355597.48</v>
      </c>
      <c r="K361" s="10">
        <f t="shared" si="51"/>
        <v>8470631.4900000002</v>
      </c>
      <c r="L361" s="78">
        <v>6931653.1100000003</v>
      </c>
      <c r="M361" s="412">
        <v>104299.69999999925</v>
      </c>
      <c r="N361" s="21">
        <f t="shared" si="52"/>
        <v>0</v>
      </c>
      <c r="O361" s="423">
        <f t="shared" si="55"/>
        <v>5941090.9199999999</v>
      </c>
      <c r="P361" s="290">
        <f t="shared" si="53"/>
        <v>-0.28000000026077032</v>
      </c>
    </row>
    <row r="362" spans="2:16" ht="15.6">
      <c r="B362" s="82" t="s">
        <v>139</v>
      </c>
      <c r="C362" s="78">
        <v>40387.690000000075</v>
      </c>
      <c r="D362" s="78">
        <v>0</v>
      </c>
      <c r="E362" s="78">
        <v>1992967.38</v>
      </c>
      <c r="F362" s="78">
        <f>C362+D362+E362</f>
        <v>2033355.07</v>
      </c>
      <c r="G362" s="78">
        <v>1772017.81</v>
      </c>
      <c r="H362" s="398">
        <v>124904.95999999999</v>
      </c>
      <c r="I362" s="78">
        <v>2223050.02</v>
      </c>
      <c r="J362" s="78">
        <v>189694.95</v>
      </c>
      <c r="K362" s="10">
        <f t="shared" si="51"/>
        <v>2033355.07</v>
      </c>
      <c r="L362" s="78">
        <v>1772017.34</v>
      </c>
      <c r="M362" s="412">
        <v>2949.1699999999255</v>
      </c>
      <c r="N362" s="21">
        <f t="shared" si="52"/>
        <v>0</v>
      </c>
      <c r="O362" s="423">
        <f t="shared" si="55"/>
        <v>40387.690000000075</v>
      </c>
      <c r="P362" s="290">
        <f t="shared" si="53"/>
        <v>0.46999999997206032</v>
      </c>
    </row>
    <row r="363" spans="2:16" ht="15.6">
      <c r="B363" s="82" t="s">
        <v>37</v>
      </c>
      <c r="C363" s="78">
        <v>51206.219999999972</v>
      </c>
      <c r="D363" s="78">
        <v>0</v>
      </c>
      <c r="E363" s="78">
        <v>592217.65</v>
      </c>
      <c r="F363" s="78">
        <f t="shared" si="54"/>
        <v>643423.87</v>
      </c>
      <c r="G363" s="78">
        <v>555019.46</v>
      </c>
      <c r="H363" s="398">
        <v>71377.930000000008</v>
      </c>
      <c r="I363" s="78">
        <v>703798.24</v>
      </c>
      <c r="J363" s="78">
        <v>60374.37</v>
      </c>
      <c r="K363" s="10">
        <f t="shared" si="51"/>
        <v>643423.87</v>
      </c>
      <c r="L363" s="78">
        <v>555019.44999999995</v>
      </c>
      <c r="M363" s="412">
        <v>4545.6600000000326</v>
      </c>
      <c r="N363" s="21">
        <f t="shared" si="52"/>
        <v>0</v>
      </c>
      <c r="O363" s="423">
        <f t="shared" si="55"/>
        <v>51206.219999999972</v>
      </c>
      <c r="P363" s="21">
        <f t="shared" si="53"/>
        <v>1.0000000009313226E-2</v>
      </c>
    </row>
    <row r="364" spans="2:16" ht="15.6">
      <c r="B364" s="82" t="s">
        <v>133</v>
      </c>
      <c r="C364" s="78">
        <v>-489.10000000003492</v>
      </c>
      <c r="D364" s="78">
        <v>26024.78</v>
      </c>
      <c r="E364" s="78">
        <v>255906.98</v>
      </c>
      <c r="F364" s="78">
        <f t="shared" si="54"/>
        <v>281442.65999999997</v>
      </c>
      <c r="G364" s="78">
        <v>242922.13</v>
      </c>
      <c r="H364" s="398">
        <v>80934.17</v>
      </c>
      <c r="I364" s="78">
        <v>311540.67</v>
      </c>
      <c r="J364" s="78">
        <v>30098.01</v>
      </c>
      <c r="K364" s="10">
        <f t="shared" si="51"/>
        <v>281442.65999999997</v>
      </c>
      <c r="L364" s="78">
        <v>242922.13</v>
      </c>
      <c r="M364" s="412">
        <v>489.10000000003492</v>
      </c>
      <c r="N364" s="21">
        <f t="shared" si="52"/>
        <v>0</v>
      </c>
      <c r="O364" s="423">
        <f t="shared" si="55"/>
        <v>-489.10000000003492</v>
      </c>
      <c r="P364" s="21">
        <f t="shared" si="53"/>
        <v>0</v>
      </c>
    </row>
    <row r="365" spans="2:16" ht="15.6">
      <c r="B365" s="82" t="s">
        <v>203</v>
      </c>
      <c r="C365" s="78">
        <v>1814758.0199999998</v>
      </c>
      <c r="D365" s="78">
        <v>83953.81</v>
      </c>
      <c r="E365" s="78">
        <v>600146.72</v>
      </c>
      <c r="F365" s="78">
        <f t="shared" si="54"/>
        <v>2498858.5499999998</v>
      </c>
      <c r="G365" s="78">
        <v>1984801.89</v>
      </c>
      <c r="H365" s="398">
        <v>946529.35</v>
      </c>
      <c r="I365" s="78">
        <v>2619404.13</v>
      </c>
      <c r="J365" s="78">
        <v>120545.58</v>
      </c>
      <c r="K365" s="10">
        <f t="shared" si="51"/>
        <v>2498858.5499999998</v>
      </c>
      <c r="L365" s="78">
        <v>1984801.87</v>
      </c>
      <c r="M365" s="412">
        <v>39245.700000000186</v>
      </c>
      <c r="N365" s="21">
        <f t="shared" si="52"/>
        <v>0</v>
      </c>
      <c r="O365" s="423">
        <f t="shared" si="55"/>
        <v>1814758.0199999998</v>
      </c>
      <c r="P365" s="21">
        <f t="shared" si="53"/>
        <v>1.9999999785795808E-2</v>
      </c>
    </row>
    <row r="366" spans="2:16" ht="15.6">
      <c r="B366" s="82" t="s">
        <v>233</v>
      </c>
      <c r="C366" s="78">
        <v>39168.830000000075</v>
      </c>
      <c r="D366" s="78">
        <v>0</v>
      </c>
      <c r="E366" s="78">
        <v>570477.68999999994</v>
      </c>
      <c r="F366" s="78">
        <f t="shared" si="54"/>
        <v>609646.52</v>
      </c>
      <c r="G366" s="78">
        <v>504203.47</v>
      </c>
      <c r="H366" s="398">
        <v>45496.42</v>
      </c>
      <c r="I366" s="78">
        <v>653065.89</v>
      </c>
      <c r="J366" s="78">
        <v>43419.37</v>
      </c>
      <c r="K366" s="10">
        <f t="shared" si="51"/>
        <v>609646.52</v>
      </c>
      <c r="L366" s="78">
        <v>504203.44</v>
      </c>
      <c r="M366" s="412">
        <v>2111.6799999999348</v>
      </c>
      <c r="N366" s="21">
        <f t="shared" si="52"/>
        <v>0</v>
      </c>
      <c r="O366" s="423">
        <f t="shared" si="55"/>
        <v>39168.830000000075</v>
      </c>
      <c r="P366" s="21">
        <f t="shared" si="53"/>
        <v>2.9999999969732016E-2</v>
      </c>
    </row>
    <row r="367" spans="2:16" ht="15.6">
      <c r="B367" s="82" t="s">
        <v>123</v>
      </c>
      <c r="C367" s="78">
        <v>17070.579999999998</v>
      </c>
      <c r="D367" s="78">
        <v>0</v>
      </c>
      <c r="E367" s="78">
        <v>146979.38</v>
      </c>
      <c r="F367" s="78">
        <f t="shared" si="54"/>
        <v>164049.96</v>
      </c>
      <c r="G367" s="78">
        <v>142780.73000000001</v>
      </c>
      <c r="H367" s="398">
        <v>16917.09</v>
      </c>
      <c r="I367" s="78">
        <v>186376.24</v>
      </c>
      <c r="J367" s="78">
        <v>22326.28</v>
      </c>
      <c r="K367" s="10">
        <f t="shared" si="51"/>
        <v>164049.96</v>
      </c>
      <c r="L367" s="78">
        <v>142780.76</v>
      </c>
      <c r="M367" s="412">
        <v>847.75</v>
      </c>
      <c r="N367" s="21">
        <f t="shared" si="52"/>
        <v>0</v>
      </c>
      <c r="O367" s="423">
        <f t="shared" si="55"/>
        <v>17070.579999999998</v>
      </c>
      <c r="P367" s="21">
        <f t="shared" si="53"/>
        <v>-2.9999999998835847E-2</v>
      </c>
    </row>
    <row r="368" spans="2:16" ht="15.6">
      <c r="B368" s="82" t="s">
        <v>145</v>
      </c>
      <c r="C368" s="78">
        <v>965790.24999999977</v>
      </c>
      <c r="D368" s="78">
        <v>1226.71</v>
      </c>
      <c r="E368" s="78">
        <v>1701051.24</v>
      </c>
      <c r="F368" s="78">
        <f t="shared" si="54"/>
        <v>2668068.1999999997</v>
      </c>
      <c r="G368" s="78">
        <v>2165750.19</v>
      </c>
      <c r="H368" s="398">
        <v>419174.88</v>
      </c>
      <c r="I368" s="78">
        <v>2840426.76</v>
      </c>
      <c r="J368" s="78">
        <v>172358.56</v>
      </c>
      <c r="K368" s="10">
        <f t="shared" si="51"/>
        <v>2668068.1999999997</v>
      </c>
      <c r="L368" s="78">
        <v>2165758.2999999998</v>
      </c>
      <c r="M368" s="412">
        <v>31267.630000000354</v>
      </c>
      <c r="N368" s="21">
        <f t="shared" si="52"/>
        <v>0</v>
      </c>
      <c r="O368" s="423">
        <f t="shared" si="55"/>
        <v>965790.24999999977</v>
      </c>
      <c r="P368" s="21">
        <f t="shared" si="53"/>
        <v>-8.1099999998696148</v>
      </c>
    </row>
    <row r="369" spans="2:16" ht="15.6">
      <c r="B369" s="82" t="s">
        <v>124</v>
      </c>
      <c r="C369" s="78">
        <v>219358.45000000007</v>
      </c>
      <c r="D369" s="78">
        <v>0</v>
      </c>
      <c r="E369" s="78">
        <v>378245.13</v>
      </c>
      <c r="F369" s="78">
        <f t="shared" si="54"/>
        <v>597603.58000000007</v>
      </c>
      <c r="G369" s="78">
        <v>510693.6</v>
      </c>
      <c r="H369" s="398">
        <v>112085.62000000001</v>
      </c>
      <c r="I369" s="78">
        <v>653475.16</v>
      </c>
      <c r="J369" s="78">
        <v>55871.58</v>
      </c>
      <c r="K369" s="10">
        <f t="shared" si="51"/>
        <v>597603.58000000007</v>
      </c>
      <c r="L369" s="78">
        <v>510693.6</v>
      </c>
      <c r="M369" s="412">
        <v>2868.7099999999627</v>
      </c>
      <c r="N369" s="21">
        <f t="shared" si="52"/>
        <v>0</v>
      </c>
      <c r="O369" s="423">
        <f t="shared" si="55"/>
        <v>219358.45000000007</v>
      </c>
      <c r="P369" s="21">
        <f t="shared" si="53"/>
        <v>0</v>
      </c>
    </row>
    <row r="370" spans="2:16" ht="15.6">
      <c r="B370" s="82" t="s">
        <v>169</v>
      </c>
      <c r="C370" s="78">
        <v>2217335.5900000003</v>
      </c>
      <c r="D370" s="78">
        <v>1434.9</v>
      </c>
      <c r="E370" s="78">
        <v>908946.95</v>
      </c>
      <c r="F370" s="78">
        <f t="shared" si="54"/>
        <v>3127717.4400000004</v>
      </c>
      <c r="G370" s="78">
        <v>2482702.81</v>
      </c>
      <c r="H370" s="398">
        <v>1220712.3</v>
      </c>
      <c r="I370" s="78">
        <v>3257459.94</v>
      </c>
      <c r="J370" s="78">
        <v>129742.5</v>
      </c>
      <c r="K370" s="10">
        <f t="shared" si="51"/>
        <v>3127717.44</v>
      </c>
      <c r="L370" s="78">
        <v>2482703.06</v>
      </c>
      <c r="M370" s="412">
        <v>43539.180000000168</v>
      </c>
      <c r="N370" s="21">
        <f t="shared" si="52"/>
        <v>0</v>
      </c>
      <c r="O370" s="423">
        <f t="shared" si="55"/>
        <v>2217335.5900000003</v>
      </c>
      <c r="P370" s="21">
        <f t="shared" si="53"/>
        <v>-0.25</v>
      </c>
    </row>
    <row r="371" spans="2:16" ht="15.6">
      <c r="B371" s="82" t="s">
        <v>243</v>
      </c>
      <c r="C371" s="78">
        <v>1967069.9499999997</v>
      </c>
      <c r="D371" s="78">
        <v>238383.35</v>
      </c>
      <c r="E371" s="78">
        <v>634258.87</v>
      </c>
      <c r="F371" s="78">
        <f t="shared" si="54"/>
        <v>2839712.17</v>
      </c>
      <c r="G371" s="78">
        <v>2261363.5099999998</v>
      </c>
      <c r="H371" s="398">
        <v>698546.98</v>
      </c>
      <c r="I371" s="78">
        <v>2930805.8</v>
      </c>
      <c r="J371" s="78">
        <v>91093.63</v>
      </c>
      <c r="K371" s="10">
        <f t="shared" si="51"/>
        <v>2839712.17</v>
      </c>
      <c r="L371" s="78">
        <v>2261370.0099999998</v>
      </c>
      <c r="M371" s="412">
        <v>44537.129999999888</v>
      </c>
      <c r="N371" s="21">
        <f t="shared" si="52"/>
        <v>0</v>
      </c>
      <c r="O371" s="423">
        <f t="shared" si="55"/>
        <v>1967069.9499999997</v>
      </c>
      <c r="P371" s="21">
        <f t="shared" si="53"/>
        <v>-6.5</v>
      </c>
    </row>
    <row r="372" spans="2:16" ht="15.6">
      <c r="B372" s="82" t="s">
        <v>175</v>
      </c>
      <c r="C372" s="78">
        <v>4955129.3199999994</v>
      </c>
      <c r="D372" s="78">
        <v>1155572.73</v>
      </c>
      <c r="E372" s="78">
        <v>849408.24</v>
      </c>
      <c r="F372" s="78">
        <f t="shared" si="54"/>
        <v>6960110.2899999991</v>
      </c>
      <c r="G372" s="78">
        <v>5491144.4100000001</v>
      </c>
      <c r="H372" s="398">
        <v>2123462.2000000002</v>
      </c>
      <c r="I372" s="78">
        <v>7145701.1799999997</v>
      </c>
      <c r="J372" s="78">
        <v>185590.89</v>
      </c>
      <c r="K372" s="10">
        <f t="shared" si="51"/>
        <v>6960110.29</v>
      </c>
      <c r="L372" s="78">
        <v>5490783.0599999996</v>
      </c>
      <c r="M372" s="412">
        <v>109468.97999999952</v>
      </c>
      <c r="N372" s="21">
        <f t="shared" si="52"/>
        <v>0</v>
      </c>
      <c r="O372" s="423">
        <f t="shared" si="55"/>
        <v>4955129.3199999994</v>
      </c>
      <c r="P372" s="21">
        <f t="shared" si="53"/>
        <v>361.35000000055879</v>
      </c>
    </row>
    <row r="373" spans="2:16" ht="15.6">
      <c r="B373" s="82" t="s">
        <v>170</v>
      </c>
      <c r="C373" s="78">
        <v>528388.41</v>
      </c>
      <c r="D373" s="78">
        <v>31594.79</v>
      </c>
      <c r="E373" s="78">
        <v>31783.599999999999</v>
      </c>
      <c r="F373" s="78">
        <f t="shared" si="54"/>
        <v>591766.80000000005</v>
      </c>
      <c r="G373" s="78">
        <v>441954.33</v>
      </c>
      <c r="H373" s="398">
        <v>339808.62</v>
      </c>
      <c r="I373" s="78">
        <v>596708.87</v>
      </c>
      <c r="J373" s="78">
        <v>4942.07</v>
      </c>
      <c r="K373" s="10">
        <f t="shared" si="51"/>
        <v>591766.80000000005</v>
      </c>
      <c r="L373" s="78">
        <v>441954.36</v>
      </c>
      <c r="M373" s="412">
        <v>9665.8199999999488</v>
      </c>
      <c r="N373" s="21">
        <f t="shared" si="52"/>
        <v>0</v>
      </c>
      <c r="O373" s="423">
        <f t="shared" si="55"/>
        <v>528388.41</v>
      </c>
      <c r="P373" s="21">
        <f t="shared" si="53"/>
        <v>-2.9999999969732016E-2</v>
      </c>
    </row>
    <row r="374" spans="2:16" ht="15.6">
      <c r="B374" s="82" t="s">
        <v>172</v>
      </c>
      <c r="C374" s="78">
        <f>873871.22-69093.48</f>
        <v>804777.74</v>
      </c>
      <c r="D374" s="78">
        <v>0</v>
      </c>
      <c r="E374" s="78">
        <v>0</v>
      </c>
      <c r="F374" s="78">
        <f t="shared" si="54"/>
        <v>804777.74</v>
      </c>
      <c r="G374" s="78">
        <v>702767.37</v>
      </c>
      <c r="H374" s="398">
        <v>651282.91</v>
      </c>
      <c r="I374" s="78">
        <v>929511.47</v>
      </c>
      <c r="J374" s="78">
        <v>124733.73</v>
      </c>
      <c r="K374" s="10">
        <f t="shared" si="51"/>
        <v>804777.74</v>
      </c>
      <c r="L374" s="78">
        <v>702767.37</v>
      </c>
      <c r="M374" s="412">
        <v>69889.209999999963</v>
      </c>
      <c r="N374" s="21">
        <f t="shared" si="52"/>
        <v>0</v>
      </c>
      <c r="O374" s="423">
        <f t="shared" si="55"/>
        <v>804777.74</v>
      </c>
      <c r="P374" s="21">
        <f t="shared" si="53"/>
        <v>0</v>
      </c>
    </row>
    <row r="375" spans="2:16" ht="15.6">
      <c r="B375" s="82" t="s">
        <v>176</v>
      </c>
      <c r="C375" s="78">
        <v>91639.349999999977</v>
      </c>
      <c r="D375" s="78">
        <v>0</v>
      </c>
      <c r="E375" s="78">
        <v>470623.27</v>
      </c>
      <c r="F375" s="78">
        <f t="shared" si="54"/>
        <v>562262.62</v>
      </c>
      <c r="G375" s="78">
        <v>473045.88</v>
      </c>
      <c r="H375" s="398">
        <v>52118.380000000005</v>
      </c>
      <c r="I375" s="78">
        <v>616229.41</v>
      </c>
      <c r="J375" s="78">
        <v>53966.79</v>
      </c>
      <c r="K375" s="10">
        <f t="shared" si="51"/>
        <v>562262.62</v>
      </c>
      <c r="L375" s="78">
        <v>473045.86</v>
      </c>
      <c r="M375" s="412">
        <v>2953.2099999999627</v>
      </c>
      <c r="N375" s="21">
        <f t="shared" si="52"/>
        <v>0</v>
      </c>
      <c r="O375" s="423">
        <f t="shared" si="55"/>
        <v>91639.349999999977</v>
      </c>
      <c r="P375" s="21">
        <f t="shared" si="53"/>
        <v>2.0000000018626451E-2</v>
      </c>
    </row>
    <row r="376" spans="2:16" ht="15.6">
      <c r="B376" s="82" t="s">
        <v>177</v>
      </c>
      <c r="C376" s="78">
        <v>117904.95000000007</v>
      </c>
      <c r="D376" s="78">
        <v>0</v>
      </c>
      <c r="E376" s="78">
        <v>628962.81999999995</v>
      </c>
      <c r="F376" s="78">
        <f t="shared" si="54"/>
        <v>746867.77</v>
      </c>
      <c r="G376" s="78">
        <v>628400.24</v>
      </c>
      <c r="H376" s="398">
        <v>104712.82</v>
      </c>
      <c r="I376" s="78">
        <v>807196.3</v>
      </c>
      <c r="J376" s="78">
        <v>60328.53</v>
      </c>
      <c r="K376" s="10">
        <f t="shared" si="51"/>
        <v>746867.77</v>
      </c>
      <c r="L376" s="78">
        <v>628400.27</v>
      </c>
      <c r="M376" s="412">
        <v>4150.8699999999953</v>
      </c>
      <c r="N376" s="21">
        <f t="shared" si="52"/>
        <v>0</v>
      </c>
      <c r="O376" s="423">
        <f t="shared" si="55"/>
        <v>117904.95000000007</v>
      </c>
      <c r="P376" s="21">
        <f t="shared" si="53"/>
        <v>-3.0000000027939677E-2</v>
      </c>
    </row>
    <row r="377" spans="2:16" ht="15.6">
      <c r="B377" s="82" t="s">
        <v>178</v>
      </c>
      <c r="C377" s="78">
        <v>10685.75</v>
      </c>
      <c r="D377" s="78">
        <v>0</v>
      </c>
      <c r="E377" s="78">
        <v>404070.23</v>
      </c>
      <c r="F377" s="78">
        <f t="shared" si="54"/>
        <v>414755.98</v>
      </c>
      <c r="G377" s="78">
        <v>344160.34</v>
      </c>
      <c r="H377" s="398">
        <v>14266.63</v>
      </c>
      <c r="I377" s="78">
        <v>441568.99</v>
      </c>
      <c r="J377" s="78">
        <v>26813.01</v>
      </c>
      <c r="K377" s="10">
        <f t="shared" si="51"/>
        <v>414755.98</v>
      </c>
      <c r="L377" s="78">
        <v>344149.29</v>
      </c>
      <c r="M377" s="412">
        <v>1738.6900000000023</v>
      </c>
      <c r="N377" s="21">
        <f t="shared" si="52"/>
        <v>0</v>
      </c>
      <c r="O377" s="423">
        <f t="shared" si="55"/>
        <v>10685.75</v>
      </c>
      <c r="P377" s="21">
        <f t="shared" si="53"/>
        <v>11.050000000046566</v>
      </c>
    </row>
    <row r="378" spans="2:16" ht="15.6">
      <c r="B378" s="82" t="s">
        <v>179</v>
      </c>
      <c r="C378" s="78">
        <v>-616.0100000000466</v>
      </c>
      <c r="D378" s="78">
        <v>0</v>
      </c>
      <c r="E378" s="78">
        <v>652705.68999999994</v>
      </c>
      <c r="F378" s="78">
        <f t="shared" si="54"/>
        <v>652089.67999999993</v>
      </c>
      <c r="G378" s="78">
        <v>556941.11</v>
      </c>
      <c r="H378" s="398">
        <v>0</v>
      </c>
      <c r="I378" s="78">
        <v>718930.07</v>
      </c>
      <c r="J378" s="78">
        <v>66840.39</v>
      </c>
      <c r="K378" s="10">
        <f t="shared" si="51"/>
        <v>652089.67999999993</v>
      </c>
      <c r="L378" s="78">
        <v>556940.98</v>
      </c>
      <c r="M378" s="412">
        <v>2994.8000000000466</v>
      </c>
      <c r="N378" s="21">
        <f t="shared" si="52"/>
        <v>0</v>
      </c>
      <c r="O378" s="423">
        <f t="shared" si="55"/>
        <v>-616.0100000000466</v>
      </c>
      <c r="P378" s="21">
        <f t="shared" si="53"/>
        <v>0.13000000000465661</v>
      </c>
    </row>
    <row r="379" spans="2:16" ht="15.6">
      <c r="B379" s="82" t="s">
        <v>181</v>
      </c>
      <c r="C379" s="78">
        <v>11015.650000000049</v>
      </c>
      <c r="D379" s="78">
        <v>0</v>
      </c>
      <c r="E379" s="78">
        <v>323105.8</v>
      </c>
      <c r="F379" s="78">
        <f t="shared" si="54"/>
        <v>334121.45</v>
      </c>
      <c r="G379" s="78">
        <v>286753.78999999998</v>
      </c>
      <c r="H379" s="398">
        <v>22356.7</v>
      </c>
      <c r="I379" s="78">
        <v>369003</v>
      </c>
      <c r="J379" s="78">
        <v>34881.550000000003</v>
      </c>
      <c r="K379" s="10">
        <f t="shared" si="51"/>
        <v>334121.45</v>
      </c>
      <c r="L379" s="78">
        <v>286753.76</v>
      </c>
      <c r="M379" s="412">
        <v>1355.2599999999511</v>
      </c>
      <c r="N379" s="21">
        <f t="shared" si="52"/>
        <v>0</v>
      </c>
      <c r="O379" s="423">
        <f t="shared" si="55"/>
        <v>11015.650000000049</v>
      </c>
      <c r="P379" s="21">
        <f t="shared" si="53"/>
        <v>2.9999999969732016E-2</v>
      </c>
    </row>
    <row r="380" spans="2:16" ht="15.6">
      <c r="B380" s="82" t="s">
        <v>182</v>
      </c>
      <c r="C380" s="78">
        <v>28563.510000000009</v>
      </c>
      <c r="D380" s="78">
        <v>0</v>
      </c>
      <c r="E380" s="78">
        <v>163245.96</v>
      </c>
      <c r="F380" s="78">
        <f t="shared" si="54"/>
        <v>191809.47</v>
      </c>
      <c r="G380" s="78">
        <v>165853.35</v>
      </c>
      <c r="H380" s="398">
        <v>16671.75</v>
      </c>
      <c r="I380" s="78">
        <v>215990.98</v>
      </c>
      <c r="J380" s="78">
        <v>24181.51</v>
      </c>
      <c r="K380" s="10">
        <f t="shared" si="51"/>
        <v>191809.47</v>
      </c>
      <c r="L380" s="78">
        <v>165853.35999999999</v>
      </c>
      <c r="M380" s="412">
        <v>786.04000000000815</v>
      </c>
      <c r="N380" s="21">
        <f t="shared" si="52"/>
        <v>0</v>
      </c>
      <c r="O380" s="423">
        <f t="shared" si="55"/>
        <v>28563.510000000009</v>
      </c>
      <c r="P380" s="22">
        <f t="shared" si="53"/>
        <v>-9.9999999802093953E-3</v>
      </c>
    </row>
    <row r="381" spans="2:16" ht="15.6">
      <c r="B381" s="82" t="s">
        <v>187</v>
      </c>
      <c r="C381" s="78">
        <v>70499.570000000007</v>
      </c>
      <c r="D381" s="78">
        <v>0</v>
      </c>
      <c r="E381" s="78">
        <v>229234.43</v>
      </c>
      <c r="F381" s="78">
        <f t="shared" si="54"/>
        <v>299734</v>
      </c>
      <c r="G381" s="78">
        <v>239054.45</v>
      </c>
      <c r="H381" s="398">
        <v>59400</v>
      </c>
      <c r="I381" s="78">
        <v>327867.15000000002</v>
      </c>
      <c r="J381" s="78">
        <v>28133.15</v>
      </c>
      <c r="K381" s="10">
        <f t="shared" si="51"/>
        <v>299734</v>
      </c>
      <c r="L381" s="78">
        <v>239054.5</v>
      </c>
      <c r="M381" s="412">
        <v>958.22999999998137</v>
      </c>
      <c r="N381" s="21">
        <f t="shared" si="52"/>
        <v>0</v>
      </c>
      <c r="O381" s="423">
        <f t="shared" si="55"/>
        <v>70499.570000000007</v>
      </c>
      <c r="P381" s="22">
        <f t="shared" si="53"/>
        <v>-4.9999999988358468E-2</v>
      </c>
    </row>
    <row r="382" spans="2:16" ht="15.6">
      <c r="B382" s="84" t="s">
        <v>240</v>
      </c>
      <c r="C382" s="78">
        <v>139440.99</v>
      </c>
      <c r="D382" s="78">
        <v>0</v>
      </c>
      <c r="E382" s="78">
        <v>763400.96</v>
      </c>
      <c r="F382" s="78">
        <f t="shared" si="54"/>
        <v>902841.95</v>
      </c>
      <c r="G382" s="78">
        <v>783845.1</v>
      </c>
      <c r="H382" s="398">
        <v>103184.78</v>
      </c>
      <c r="I382" s="78">
        <v>989958.35</v>
      </c>
      <c r="J382" s="78">
        <v>87116.4</v>
      </c>
      <c r="K382" s="10">
        <f t="shared" si="51"/>
        <v>902841.95</v>
      </c>
      <c r="L382" s="78">
        <v>783845.18</v>
      </c>
      <c r="M382" s="412">
        <v>6666.2800000000279</v>
      </c>
      <c r="N382" s="22">
        <f t="shared" si="52"/>
        <v>0</v>
      </c>
      <c r="O382" s="423">
        <f t="shared" si="55"/>
        <v>139440.99</v>
      </c>
      <c r="P382" s="22">
        <f t="shared" si="53"/>
        <v>-8.0000000074505806E-2</v>
      </c>
    </row>
    <row r="383" spans="2:16" ht="15.6">
      <c r="B383" s="84" t="s">
        <v>357</v>
      </c>
      <c r="C383" s="78">
        <v>2909057.32</v>
      </c>
      <c r="D383" s="78">
        <v>450539.45</v>
      </c>
      <c r="E383" s="78">
        <v>261841.25</v>
      </c>
      <c r="F383" s="78">
        <f t="shared" si="54"/>
        <v>3621438.02</v>
      </c>
      <c r="G383" s="78">
        <v>2795222.19</v>
      </c>
      <c r="H383" s="398">
        <v>99.42</v>
      </c>
      <c r="I383" s="78">
        <v>3672437.21</v>
      </c>
      <c r="J383" s="78">
        <v>50999.19</v>
      </c>
      <c r="K383" s="10">
        <f t="shared" si="51"/>
        <v>3621438.02</v>
      </c>
      <c r="L383" s="78">
        <v>2795222.19</v>
      </c>
      <c r="M383" s="412">
        <v>60974.020000000019</v>
      </c>
      <c r="N383" s="22">
        <f t="shared" si="52"/>
        <v>0</v>
      </c>
      <c r="O383" s="423">
        <f t="shared" si="55"/>
        <v>2909057.32</v>
      </c>
      <c r="P383" s="22">
        <f t="shared" si="53"/>
        <v>0</v>
      </c>
    </row>
    <row r="384" spans="2:16" ht="15.6">
      <c r="B384" s="441" t="s">
        <v>362</v>
      </c>
      <c r="C384" s="522">
        <v>111824.39000000006</v>
      </c>
      <c r="D384" s="522">
        <v>0</v>
      </c>
      <c r="E384" s="522">
        <v>546476.67000000004</v>
      </c>
      <c r="F384" s="78">
        <f t="shared" si="54"/>
        <v>658301.06000000006</v>
      </c>
      <c r="G384" s="522">
        <v>537108.87</v>
      </c>
      <c r="H384" s="398"/>
      <c r="I384" s="522">
        <v>704564.14</v>
      </c>
      <c r="J384" s="522">
        <v>46263.08</v>
      </c>
      <c r="K384" s="10">
        <f t="shared" si="51"/>
        <v>658301.06000000006</v>
      </c>
      <c r="L384" s="522">
        <v>537113.57999999996</v>
      </c>
      <c r="M384" s="412">
        <v>5641.0599999999395</v>
      </c>
      <c r="N384" s="22">
        <f t="shared" si="52"/>
        <v>0</v>
      </c>
      <c r="O384" s="423">
        <f t="shared" si="55"/>
        <v>111824.39000000006</v>
      </c>
      <c r="P384" s="22">
        <f t="shared" si="53"/>
        <v>-4.7099999999627471</v>
      </c>
    </row>
    <row r="385" spans="2:16" ht="16.2" thickBot="1">
      <c r="B385" s="441" t="s">
        <v>361</v>
      </c>
      <c r="C385" s="522">
        <v>101598.72000000009</v>
      </c>
      <c r="D385" s="522">
        <v>0</v>
      </c>
      <c r="E385" s="522">
        <v>757830.22</v>
      </c>
      <c r="F385" s="78">
        <f t="shared" si="54"/>
        <v>859428.94000000006</v>
      </c>
      <c r="G385" s="522">
        <v>713440.73</v>
      </c>
      <c r="H385" s="398"/>
      <c r="I385" s="522">
        <v>947065.29</v>
      </c>
      <c r="J385" s="522">
        <v>87636.35</v>
      </c>
      <c r="K385" s="10">
        <f t="shared" si="51"/>
        <v>859428.94000000006</v>
      </c>
      <c r="L385" s="522">
        <v>713443.83</v>
      </c>
      <c r="M385" s="412">
        <v>6040.0599999999395</v>
      </c>
      <c r="N385" s="22">
        <f t="shared" si="52"/>
        <v>0</v>
      </c>
      <c r="O385" s="423">
        <f t="shared" si="55"/>
        <v>101598.72000000009</v>
      </c>
      <c r="P385" s="22">
        <f t="shared" si="53"/>
        <v>-3.0999999999767169</v>
      </c>
    </row>
    <row r="386" spans="2:16" ht="16.2" thickBot="1">
      <c r="B386" s="83" t="s">
        <v>194</v>
      </c>
      <c r="C386" s="92">
        <f>SUM(C358:C385)</f>
        <v>33769844.069999993</v>
      </c>
      <c r="D386" s="92">
        <f t="shared" ref="D386:P386" si="56">SUM(D358:D385)</f>
        <v>4904414.82</v>
      </c>
      <c r="E386" s="92">
        <f t="shared" si="56"/>
        <v>19718489.010000002</v>
      </c>
      <c r="F386" s="92">
        <f t="shared" si="56"/>
        <v>58392747.900000006</v>
      </c>
      <c r="G386" s="92">
        <f t="shared" si="56"/>
        <v>47118332.379999995</v>
      </c>
      <c r="H386" s="92">
        <f t="shared" si="56"/>
        <v>14900321.250000002</v>
      </c>
      <c r="I386" s="92">
        <f t="shared" si="56"/>
        <v>61269960.329999976</v>
      </c>
      <c r="J386" s="92">
        <f t="shared" si="56"/>
        <v>2877212.4299999997</v>
      </c>
      <c r="K386" s="92">
        <f t="shared" si="56"/>
        <v>58392747.900000006</v>
      </c>
      <c r="L386" s="92">
        <f t="shared" si="56"/>
        <v>47117919.349999994</v>
      </c>
      <c r="M386" s="92">
        <f t="shared" si="56"/>
        <v>799374.56000000052</v>
      </c>
      <c r="N386" s="92">
        <f t="shared" si="56"/>
        <v>0</v>
      </c>
      <c r="O386" s="92">
        <f t="shared" si="56"/>
        <v>33769844.069999993</v>
      </c>
      <c r="P386" s="92">
        <f t="shared" si="56"/>
        <v>413.02999999938766</v>
      </c>
    </row>
    <row r="389" spans="2:16" ht="13.8" thickBot="1"/>
    <row r="390" spans="2:16" ht="21.6" thickBot="1">
      <c r="B390" s="637" t="s">
        <v>161</v>
      </c>
      <c r="C390" s="638"/>
      <c r="D390" s="638"/>
      <c r="E390" s="638"/>
      <c r="F390" s="638"/>
      <c r="G390" s="639"/>
      <c r="I390" s="640" t="s">
        <v>149</v>
      </c>
      <c r="J390" s="641"/>
      <c r="K390" s="641"/>
      <c r="L390" s="642"/>
      <c r="M390" s="49"/>
      <c r="N390" s="23"/>
      <c r="O390" s="423"/>
      <c r="P390" s="23"/>
    </row>
    <row r="391" spans="2:16" ht="16.2" thickBot="1">
      <c r="B391" s="77" t="s">
        <v>34</v>
      </c>
      <c r="C391" s="80" t="s">
        <v>115</v>
      </c>
      <c r="D391" s="80" t="s">
        <v>21</v>
      </c>
      <c r="E391" s="80" t="s">
        <v>116</v>
      </c>
      <c r="F391" s="80" t="s">
        <v>162</v>
      </c>
      <c r="G391" s="81" t="s">
        <v>163</v>
      </c>
      <c r="H391" s="48" t="s">
        <v>11</v>
      </c>
      <c r="I391" s="26" t="s">
        <v>114</v>
      </c>
      <c r="J391" s="24" t="s">
        <v>164</v>
      </c>
      <c r="K391" s="24" t="s">
        <v>165</v>
      </c>
      <c r="L391" s="25" t="s">
        <v>166</v>
      </c>
      <c r="M391" s="85"/>
      <c r="N391" s="27" t="s">
        <v>167</v>
      </c>
      <c r="O391" s="423"/>
      <c r="P391" s="27" t="s">
        <v>168</v>
      </c>
    </row>
    <row r="392" spans="2:16" ht="15.6">
      <c r="B392" s="82" t="s">
        <v>36</v>
      </c>
      <c r="C392" s="78">
        <v>5046522.8</v>
      </c>
      <c r="D392" s="78">
        <v>817456.55</v>
      </c>
      <c r="E392" s="78">
        <v>1846173.61</v>
      </c>
      <c r="F392" s="78">
        <f>C392+D392+E392</f>
        <v>7710152.96</v>
      </c>
      <c r="G392" s="78">
        <v>6048284.29</v>
      </c>
      <c r="H392" s="398"/>
      <c r="I392" s="78">
        <v>7995057.5499999998</v>
      </c>
      <c r="J392" s="78">
        <v>284904.59000000003</v>
      </c>
      <c r="K392" s="10">
        <f t="shared" ref="K392:K419" si="57">I392-J392</f>
        <v>7710152.96</v>
      </c>
      <c r="L392" s="78">
        <v>6048273.4699999997</v>
      </c>
      <c r="M392" s="412">
        <v>114806.66000000015</v>
      </c>
      <c r="N392" s="21">
        <f t="shared" ref="N392:N419" si="58">F392-K392</f>
        <v>0</v>
      </c>
      <c r="O392" s="423"/>
      <c r="P392" s="21">
        <f t="shared" ref="P392:P419" si="59">G392-L392</f>
        <v>10.820000000298023</v>
      </c>
    </row>
    <row r="393" spans="2:16" ht="15.6">
      <c r="B393" s="82" t="s">
        <v>9</v>
      </c>
      <c r="C393" s="78">
        <v>4120623.2700000005</v>
      </c>
      <c r="D393" s="78">
        <v>1862674.99</v>
      </c>
      <c r="E393" s="78">
        <v>493189.55</v>
      </c>
      <c r="F393" s="78">
        <f>C393+D393+E393</f>
        <v>6476487.8100000005</v>
      </c>
      <c r="G393" s="78">
        <v>5106109.12</v>
      </c>
      <c r="H393" s="398"/>
      <c r="I393" s="78">
        <v>6712051.9500000002</v>
      </c>
      <c r="J393" s="78">
        <v>235564.14</v>
      </c>
      <c r="K393" s="10">
        <f t="shared" si="57"/>
        <v>6476487.8100000005</v>
      </c>
      <c r="L393" s="78">
        <v>5105721.21</v>
      </c>
      <c r="M393" s="412">
        <v>97031.329999999143</v>
      </c>
      <c r="N393" s="21">
        <f t="shared" si="58"/>
        <v>0</v>
      </c>
      <c r="O393" s="423"/>
      <c r="P393" s="21">
        <f t="shared" si="59"/>
        <v>387.91000000014901</v>
      </c>
    </row>
    <row r="394" spans="2:16" ht="15.6">
      <c r="B394" s="82" t="s">
        <v>25</v>
      </c>
      <c r="C394" s="78">
        <v>1904279.78</v>
      </c>
      <c r="D394" s="78">
        <v>574509.80000000005</v>
      </c>
      <c r="E394" s="78">
        <v>1676253.09</v>
      </c>
      <c r="F394" s="78">
        <f>C394+D394+E394</f>
        <v>4155042.67</v>
      </c>
      <c r="G394" s="78">
        <v>3283878.3</v>
      </c>
      <c r="H394" s="398"/>
      <c r="I394" s="78">
        <v>4388202.55</v>
      </c>
      <c r="J394" s="78">
        <v>233159.88</v>
      </c>
      <c r="K394" s="10">
        <f t="shared" si="57"/>
        <v>4155042.67</v>
      </c>
      <c r="L394" s="78">
        <v>3283960.49</v>
      </c>
      <c r="M394" s="412">
        <v>46172.19000000041</v>
      </c>
      <c r="N394" s="21">
        <f t="shared" si="58"/>
        <v>0</v>
      </c>
      <c r="O394" s="423"/>
      <c r="P394" s="21">
        <f t="shared" si="59"/>
        <v>-82.190000000409782</v>
      </c>
    </row>
    <row r="395" spans="2:16" ht="15.6">
      <c r="B395" s="82" t="s">
        <v>160</v>
      </c>
      <c r="C395" s="78">
        <v>5251205.8200000012</v>
      </c>
      <c r="D395" s="78">
        <v>28080.61</v>
      </c>
      <c r="E395" s="78">
        <v>2826363.24</v>
      </c>
      <c r="F395" s="78">
        <f>C395+D395+E395</f>
        <v>8105649.6700000018</v>
      </c>
      <c r="G395" s="78">
        <v>7032877.3700000001</v>
      </c>
      <c r="H395" s="398"/>
      <c r="I395" s="78">
        <v>8409403.7100000009</v>
      </c>
      <c r="J395" s="78">
        <v>303754.03999999998</v>
      </c>
      <c r="K395" s="10">
        <f t="shared" si="57"/>
        <v>8105649.6700000009</v>
      </c>
      <c r="L395" s="78">
        <v>6592423.1600000001</v>
      </c>
      <c r="M395" s="412">
        <v>628227.25999999885</v>
      </c>
      <c r="N395" s="21">
        <f t="shared" si="58"/>
        <v>0</v>
      </c>
      <c r="O395" s="423"/>
      <c r="P395" s="290">
        <f t="shared" si="59"/>
        <v>440454.20999999996</v>
      </c>
    </row>
    <row r="396" spans="2:16" ht="15.6">
      <c r="B396" s="82" t="s">
        <v>139</v>
      </c>
      <c r="C396" s="78">
        <v>7172.8800000000738</v>
      </c>
      <c r="D396" s="78">
        <v>0</v>
      </c>
      <c r="E396" s="78">
        <v>2301950.1</v>
      </c>
      <c r="F396" s="78">
        <f>C396+D396+E396</f>
        <v>2309122.98</v>
      </c>
      <c r="G396" s="78">
        <v>1984671.21</v>
      </c>
      <c r="H396" s="398"/>
      <c r="I396" s="78">
        <v>2548246.56</v>
      </c>
      <c r="J396" s="78">
        <v>239123.58</v>
      </c>
      <c r="K396" s="10">
        <f t="shared" si="57"/>
        <v>2309122.98</v>
      </c>
      <c r="L396" s="78">
        <v>1984670.68</v>
      </c>
      <c r="M396" s="412">
        <v>7969.9199999999255</v>
      </c>
      <c r="N396" s="21">
        <f t="shared" si="58"/>
        <v>0</v>
      </c>
      <c r="O396" s="423"/>
      <c r="P396" s="290">
        <f t="shared" si="59"/>
        <v>0.53000000002793968</v>
      </c>
    </row>
    <row r="397" spans="2:16" ht="15.6">
      <c r="B397" s="82" t="s">
        <v>37</v>
      </c>
      <c r="C397" s="78">
        <v>35777.85999999987</v>
      </c>
      <c r="D397" s="78">
        <v>0</v>
      </c>
      <c r="E397" s="78">
        <v>696617.66</v>
      </c>
      <c r="F397" s="78">
        <f t="shared" ref="F397:F419" si="60">C397+D397+E397</f>
        <v>732395.5199999999</v>
      </c>
      <c r="G397" s="78">
        <v>630091.28</v>
      </c>
      <c r="H397" s="398"/>
      <c r="I397" s="78">
        <v>798446.69</v>
      </c>
      <c r="J397" s="78">
        <v>66051.17</v>
      </c>
      <c r="K397" s="10">
        <f t="shared" si="57"/>
        <v>732395.5199999999</v>
      </c>
      <c r="L397" s="78">
        <v>630090.94999999995</v>
      </c>
      <c r="M397" s="412">
        <v>3940.5700000000652</v>
      </c>
      <c r="N397" s="21">
        <f t="shared" si="58"/>
        <v>0</v>
      </c>
      <c r="O397" s="423"/>
      <c r="P397" s="21">
        <f t="shared" si="59"/>
        <v>0.33000000007450581</v>
      </c>
    </row>
    <row r="398" spans="2:16" ht="15.6">
      <c r="B398" s="82" t="s">
        <v>133</v>
      </c>
      <c r="C398" s="78">
        <v>39723.810000000085</v>
      </c>
      <c r="D398" s="78">
        <v>0</v>
      </c>
      <c r="E398" s="78">
        <v>327497.90999999997</v>
      </c>
      <c r="F398" s="78">
        <f t="shared" si="60"/>
        <v>367221.72000000009</v>
      </c>
      <c r="G398" s="78">
        <v>316133.17</v>
      </c>
      <c r="H398" s="398"/>
      <c r="I398" s="78">
        <v>407426.02</v>
      </c>
      <c r="J398" s="78">
        <v>40204.300000000003</v>
      </c>
      <c r="K398" s="10">
        <f t="shared" si="57"/>
        <v>367221.72000000003</v>
      </c>
      <c r="L398" s="78">
        <v>316133.87</v>
      </c>
      <c r="M398" s="412">
        <v>1099.9699999999139</v>
      </c>
      <c r="N398" s="21">
        <f t="shared" si="58"/>
        <v>0</v>
      </c>
      <c r="O398" s="423"/>
      <c r="P398" s="21">
        <f t="shared" si="59"/>
        <v>-0.70000000001164153</v>
      </c>
    </row>
    <row r="399" spans="2:16" ht="15.6">
      <c r="B399" s="82" t="s">
        <v>203</v>
      </c>
      <c r="C399" s="78">
        <v>1877377.94</v>
      </c>
      <c r="D399" s="78">
        <v>57922.7</v>
      </c>
      <c r="E399" s="78">
        <v>679031</v>
      </c>
      <c r="F399" s="78">
        <f t="shared" si="60"/>
        <v>2614331.6399999997</v>
      </c>
      <c r="G399" s="78">
        <v>2083470.83</v>
      </c>
      <c r="H399" s="398"/>
      <c r="I399" s="78">
        <v>2749048.04</v>
      </c>
      <c r="J399" s="78">
        <v>134716.4</v>
      </c>
      <c r="K399" s="10">
        <f t="shared" si="57"/>
        <v>2614331.64</v>
      </c>
      <c r="L399" s="78">
        <v>2083459.93</v>
      </c>
      <c r="M399" s="412">
        <v>42131.649999999907</v>
      </c>
      <c r="N399" s="21">
        <f t="shared" si="58"/>
        <v>0</v>
      </c>
      <c r="O399" s="423"/>
      <c r="P399" s="21">
        <f t="shared" si="59"/>
        <v>10.900000000139698</v>
      </c>
    </row>
    <row r="400" spans="2:16" ht="15.6">
      <c r="B400" s="82" t="s">
        <v>233</v>
      </c>
      <c r="C400" s="78">
        <v>63035.579999999958</v>
      </c>
      <c r="D400" s="78">
        <v>0</v>
      </c>
      <c r="E400" s="78">
        <v>535097.06000000006</v>
      </c>
      <c r="F400" s="78">
        <f t="shared" si="60"/>
        <v>598132.64</v>
      </c>
      <c r="G400" s="78">
        <v>499978.65</v>
      </c>
      <c r="H400" s="398"/>
      <c r="I400" s="78">
        <v>645171.5</v>
      </c>
      <c r="J400" s="78">
        <v>47038.86</v>
      </c>
      <c r="K400" s="10">
        <f t="shared" si="57"/>
        <v>598132.64</v>
      </c>
      <c r="L400" s="78">
        <v>500030.02</v>
      </c>
      <c r="M400" s="412">
        <v>1625.5499999999302</v>
      </c>
      <c r="N400" s="21">
        <f t="shared" si="58"/>
        <v>0</v>
      </c>
      <c r="O400" s="423"/>
      <c r="P400" s="21">
        <f t="shared" si="59"/>
        <v>-51.369999999995343</v>
      </c>
    </row>
    <row r="401" spans="2:16" ht="15.6">
      <c r="B401" s="82" t="s">
        <v>123</v>
      </c>
      <c r="C401" s="78">
        <v>5951.6299999999756</v>
      </c>
      <c r="D401" s="78">
        <v>0</v>
      </c>
      <c r="E401" s="78">
        <v>171735.98</v>
      </c>
      <c r="F401" s="78">
        <f t="shared" si="60"/>
        <v>177687.61</v>
      </c>
      <c r="G401" s="78">
        <v>156394.25</v>
      </c>
      <c r="H401" s="398"/>
      <c r="I401" s="78">
        <v>201914.02</v>
      </c>
      <c r="J401" s="78">
        <v>24226.41</v>
      </c>
      <c r="K401" s="10">
        <f t="shared" si="57"/>
        <v>177687.61</v>
      </c>
      <c r="L401" s="78">
        <v>156393.9</v>
      </c>
      <c r="M401" s="412">
        <v>1144.9300000000221</v>
      </c>
      <c r="N401" s="21">
        <f t="shared" si="58"/>
        <v>0</v>
      </c>
      <c r="O401" s="423"/>
      <c r="P401" s="21">
        <f t="shared" si="59"/>
        <v>0.35000000000582077</v>
      </c>
    </row>
    <row r="402" spans="2:16" ht="15.6">
      <c r="B402" s="82" t="s">
        <v>145</v>
      </c>
      <c r="C402" s="78">
        <v>1100015.8800000001</v>
      </c>
      <c r="D402" s="78">
        <v>1731.3</v>
      </c>
      <c r="E402" s="78">
        <v>1665084.49</v>
      </c>
      <c r="F402" s="78">
        <f t="shared" si="60"/>
        <v>2766831.67</v>
      </c>
      <c r="G402" s="78">
        <v>2192515.36</v>
      </c>
      <c r="H402" s="398"/>
      <c r="I402" s="78">
        <v>2946056.35</v>
      </c>
      <c r="J402" s="78">
        <v>179224.68</v>
      </c>
      <c r="K402" s="10">
        <f t="shared" si="57"/>
        <v>2766831.67</v>
      </c>
      <c r="L402" s="78">
        <v>2192599.7400000002</v>
      </c>
      <c r="M402" s="412">
        <v>34753.200000000186</v>
      </c>
      <c r="N402" s="21">
        <f t="shared" si="58"/>
        <v>0</v>
      </c>
      <c r="O402" s="423"/>
      <c r="P402" s="21">
        <f t="shared" si="59"/>
        <v>-84.380000000353903</v>
      </c>
    </row>
    <row r="403" spans="2:16" ht="15.6">
      <c r="B403" s="82" t="s">
        <v>124</v>
      </c>
      <c r="C403" s="78">
        <v>178079.82</v>
      </c>
      <c r="D403" s="78">
        <v>0</v>
      </c>
      <c r="E403" s="78">
        <v>494900.43</v>
      </c>
      <c r="F403" s="78">
        <f t="shared" si="60"/>
        <v>672980.25</v>
      </c>
      <c r="G403" s="78">
        <v>577484.44999999995</v>
      </c>
      <c r="H403" s="398"/>
      <c r="I403" s="78">
        <v>740563.38</v>
      </c>
      <c r="J403" s="78">
        <v>67583.13</v>
      </c>
      <c r="K403" s="10">
        <f t="shared" si="57"/>
        <v>672980.25</v>
      </c>
      <c r="L403" s="78">
        <v>577462.04</v>
      </c>
      <c r="M403" s="412">
        <v>3258.9599999999627</v>
      </c>
      <c r="N403" s="21">
        <f t="shared" si="58"/>
        <v>0</v>
      </c>
      <c r="O403" s="423"/>
      <c r="P403" s="21">
        <f t="shared" si="59"/>
        <v>22.409999999916181</v>
      </c>
    </row>
    <row r="404" spans="2:16" ht="15.6">
      <c r="B404" s="82" t="s">
        <v>169</v>
      </c>
      <c r="C404" s="78">
        <v>2671307.7400000002</v>
      </c>
      <c r="D404" s="78">
        <v>852.01</v>
      </c>
      <c r="E404" s="78">
        <v>1216716.57</v>
      </c>
      <c r="F404" s="78">
        <f t="shared" si="60"/>
        <v>3888876.3200000003</v>
      </c>
      <c r="G404" s="78">
        <v>3095027.23</v>
      </c>
      <c r="H404" s="398"/>
      <c r="I404" s="78">
        <v>4017423.22</v>
      </c>
      <c r="J404" s="78">
        <v>128546.9</v>
      </c>
      <c r="K404" s="10">
        <f t="shared" si="57"/>
        <v>3888876.3200000003</v>
      </c>
      <c r="L404" s="78">
        <v>3097288.51</v>
      </c>
      <c r="M404" s="412">
        <v>58300.889999999665</v>
      </c>
      <c r="N404" s="21">
        <f t="shared" si="58"/>
        <v>0</v>
      </c>
      <c r="O404" s="423"/>
      <c r="P404" s="21">
        <f t="shared" si="59"/>
        <v>-2261.2799999997951</v>
      </c>
    </row>
    <row r="405" spans="2:16" ht="15.6">
      <c r="B405" s="82" t="s">
        <v>243</v>
      </c>
      <c r="C405" s="78">
        <v>2047349.55</v>
      </c>
      <c r="D405" s="78">
        <v>180229.63</v>
      </c>
      <c r="E405" s="78">
        <v>782818.01</v>
      </c>
      <c r="F405" s="78">
        <f t="shared" si="60"/>
        <v>3010397.1900000004</v>
      </c>
      <c r="G405" s="78">
        <v>2411409.2000000002</v>
      </c>
      <c r="H405" s="398"/>
      <c r="I405" s="78">
        <v>3098119.77</v>
      </c>
      <c r="J405" s="78">
        <v>87722.58</v>
      </c>
      <c r="K405" s="10">
        <f t="shared" si="57"/>
        <v>3010397.19</v>
      </c>
      <c r="L405" s="78">
        <v>2411627.38</v>
      </c>
      <c r="M405" s="412">
        <v>47546.970000000205</v>
      </c>
      <c r="N405" s="21">
        <f t="shared" si="58"/>
        <v>0</v>
      </c>
      <c r="O405" s="423"/>
      <c r="P405" s="21">
        <f t="shared" si="59"/>
        <v>-218.17999999970198</v>
      </c>
    </row>
    <row r="406" spans="2:16" ht="15.6">
      <c r="B406" s="82" t="s">
        <v>175</v>
      </c>
      <c r="C406" s="78">
        <v>5126415.2300000004</v>
      </c>
      <c r="D406" s="78">
        <v>1159154.68</v>
      </c>
      <c r="E406" s="78">
        <v>1195753.6200000001</v>
      </c>
      <c r="F406" s="78">
        <f t="shared" si="60"/>
        <v>7481323.5300000003</v>
      </c>
      <c r="G406" s="78">
        <v>5881337.9100000001</v>
      </c>
      <c r="H406" s="398"/>
      <c r="I406" s="78">
        <v>7663313.0700000003</v>
      </c>
      <c r="J406" s="78">
        <v>181989.54</v>
      </c>
      <c r="K406" s="10">
        <f t="shared" si="57"/>
        <v>7481323.5300000003</v>
      </c>
      <c r="L406" s="78">
        <v>5881231.5899999999</v>
      </c>
      <c r="M406" s="412">
        <v>116212.76999999955</v>
      </c>
      <c r="N406" s="21">
        <f t="shared" si="58"/>
        <v>0</v>
      </c>
      <c r="O406" s="423"/>
      <c r="P406" s="21">
        <f t="shared" si="59"/>
        <v>106.32000000029802</v>
      </c>
    </row>
    <row r="407" spans="2:16" ht="15.6">
      <c r="B407" s="82" t="s">
        <v>170</v>
      </c>
      <c r="C407" s="78">
        <v>638176.97000000009</v>
      </c>
      <c r="D407" s="78">
        <v>42014.45</v>
      </c>
      <c r="E407" s="78">
        <v>32273.86</v>
      </c>
      <c r="F407" s="78">
        <f t="shared" si="60"/>
        <v>712465.28</v>
      </c>
      <c r="G407" s="78">
        <v>533837.88</v>
      </c>
      <c r="H407" s="398"/>
      <c r="I407" s="78">
        <v>716454.9</v>
      </c>
      <c r="J407" s="78">
        <v>3989.62</v>
      </c>
      <c r="K407" s="10">
        <f t="shared" si="57"/>
        <v>712465.28</v>
      </c>
      <c r="L407" s="78">
        <v>533809.54</v>
      </c>
      <c r="M407" s="412">
        <v>9868.6599999999162</v>
      </c>
      <c r="N407" s="21">
        <f t="shared" si="58"/>
        <v>0</v>
      </c>
      <c r="O407" s="423"/>
      <c r="P407" s="21">
        <f t="shared" si="59"/>
        <v>28.339999999967404</v>
      </c>
    </row>
    <row r="408" spans="2:16" ht="15.6">
      <c r="B408" s="82" t="s">
        <v>172</v>
      </c>
      <c r="C408" s="78">
        <v>247614.91999999998</v>
      </c>
      <c r="D408" s="78">
        <v>0</v>
      </c>
      <c r="E408" s="78">
        <v>0</v>
      </c>
      <c r="F408" s="78">
        <f t="shared" si="60"/>
        <v>247614.91999999998</v>
      </c>
      <c r="G408" s="78">
        <v>206943.9</v>
      </c>
      <c r="H408" s="398"/>
      <c r="I408" s="78">
        <v>285417.46999999997</v>
      </c>
      <c r="J408" s="78">
        <v>37802.550000000003</v>
      </c>
      <c r="K408" s="10">
        <f t="shared" si="57"/>
        <v>247614.91999999998</v>
      </c>
      <c r="L408" s="78">
        <v>206944.04</v>
      </c>
      <c r="M408" s="412">
        <v>16982.929999999993</v>
      </c>
      <c r="N408" s="21">
        <f t="shared" si="58"/>
        <v>0</v>
      </c>
      <c r="O408" s="423"/>
      <c r="P408" s="21">
        <f t="shared" si="59"/>
        <v>-0.14000000001396984</v>
      </c>
    </row>
    <row r="409" spans="2:16" ht="15.6">
      <c r="B409" s="82" t="s">
        <v>176</v>
      </c>
      <c r="C409" s="78">
        <v>125903.56000000006</v>
      </c>
      <c r="D409" s="78">
        <v>0</v>
      </c>
      <c r="E409" s="78">
        <v>413838.63</v>
      </c>
      <c r="F409" s="78">
        <f t="shared" si="60"/>
        <v>539742.19000000006</v>
      </c>
      <c r="G409" s="78">
        <v>457662.5</v>
      </c>
      <c r="H409" s="398"/>
      <c r="I409" s="78">
        <v>595200.17000000004</v>
      </c>
      <c r="J409" s="78">
        <v>55457.98</v>
      </c>
      <c r="K409" s="10">
        <f t="shared" si="57"/>
        <v>539742.19000000006</v>
      </c>
      <c r="L409" s="78">
        <v>457681.83</v>
      </c>
      <c r="M409" s="412">
        <v>3460.3799999998882</v>
      </c>
      <c r="N409" s="21">
        <f t="shared" si="58"/>
        <v>0</v>
      </c>
      <c r="O409" s="423"/>
      <c r="P409" s="21">
        <f t="shared" si="59"/>
        <v>-19.330000000016298</v>
      </c>
    </row>
    <row r="410" spans="2:16" ht="15.6">
      <c r="B410" s="82" t="s">
        <v>177</v>
      </c>
      <c r="C410" s="78">
        <v>128269.98999999999</v>
      </c>
      <c r="D410" s="78">
        <v>0</v>
      </c>
      <c r="E410" s="78">
        <v>649042.27</v>
      </c>
      <c r="F410" s="78">
        <f t="shared" si="60"/>
        <v>777312.26</v>
      </c>
      <c r="G410" s="78">
        <v>649167.81999999995</v>
      </c>
      <c r="H410" s="398"/>
      <c r="I410" s="78">
        <v>844966.99</v>
      </c>
      <c r="J410" s="78">
        <v>67654.73</v>
      </c>
      <c r="K410" s="10">
        <f t="shared" si="57"/>
        <v>777312.26</v>
      </c>
      <c r="L410" s="78">
        <v>649168.36</v>
      </c>
      <c r="M410" s="412">
        <v>5865.359999999986</v>
      </c>
      <c r="N410" s="21">
        <f t="shared" si="58"/>
        <v>0</v>
      </c>
      <c r="O410" s="423"/>
      <c r="P410" s="21">
        <f t="shared" si="59"/>
        <v>-0.5400000000372529</v>
      </c>
    </row>
    <row r="411" spans="2:16" ht="15.6">
      <c r="B411" s="82" t="s">
        <v>178</v>
      </c>
      <c r="C411" s="78">
        <v>5374.9399999999441</v>
      </c>
      <c r="D411" s="78">
        <v>0</v>
      </c>
      <c r="E411" s="78">
        <v>513400.7</v>
      </c>
      <c r="F411" s="78">
        <f t="shared" si="60"/>
        <v>518775.63999999996</v>
      </c>
      <c r="G411" s="78">
        <v>423943.13</v>
      </c>
      <c r="H411" s="398"/>
      <c r="I411" s="78">
        <v>549783.68999999994</v>
      </c>
      <c r="J411" s="78">
        <v>31008.05</v>
      </c>
      <c r="K411" s="10">
        <f t="shared" si="57"/>
        <v>518775.63999999996</v>
      </c>
      <c r="L411" s="78">
        <v>423947.55</v>
      </c>
      <c r="M411" s="412">
        <v>2319.210000000021</v>
      </c>
      <c r="N411" s="21">
        <f t="shared" si="58"/>
        <v>0</v>
      </c>
      <c r="O411" s="423"/>
      <c r="P411" s="21">
        <f t="shared" si="59"/>
        <v>-4.4199999999837019</v>
      </c>
    </row>
    <row r="412" spans="2:16" ht="15.6">
      <c r="B412" s="82" t="s">
        <v>179</v>
      </c>
      <c r="C412" s="78">
        <v>6812.3499999999767</v>
      </c>
      <c r="D412" s="78">
        <v>0</v>
      </c>
      <c r="E412" s="78">
        <v>740688.88</v>
      </c>
      <c r="F412" s="78">
        <f t="shared" si="60"/>
        <v>747501.23</v>
      </c>
      <c r="G412" s="78">
        <v>635415.1</v>
      </c>
      <c r="H412" s="398"/>
      <c r="I412" s="78">
        <v>822642.6</v>
      </c>
      <c r="J412" s="78">
        <v>75141.37</v>
      </c>
      <c r="K412" s="10">
        <f t="shared" si="57"/>
        <v>747501.23</v>
      </c>
      <c r="L412" s="78">
        <v>635402.67000000004</v>
      </c>
      <c r="M412" s="412">
        <v>2680.8000000000466</v>
      </c>
      <c r="N412" s="21">
        <f t="shared" si="58"/>
        <v>0</v>
      </c>
      <c r="O412" s="423"/>
      <c r="P412" s="21">
        <f t="shared" si="59"/>
        <v>12.429999999934807</v>
      </c>
    </row>
    <row r="413" spans="2:16" ht="15.6">
      <c r="B413" s="82" t="s">
        <v>181</v>
      </c>
      <c r="C413" s="78">
        <v>1712.9400000000142</v>
      </c>
      <c r="D413" s="78">
        <v>0</v>
      </c>
      <c r="E413" s="78">
        <v>255798.88</v>
      </c>
      <c r="F413" s="78">
        <f t="shared" si="60"/>
        <v>257511.82</v>
      </c>
      <c r="G413" s="78">
        <v>227275</v>
      </c>
      <c r="H413" s="398"/>
      <c r="I413" s="78">
        <v>278715</v>
      </c>
      <c r="J413" s="78">
        <v>21203.18</v>
      </c>
      <c r="K413" s="10">
        <f t="shared" si="57"/>
        <v>257511.82</v>
      </c>
      <c r="L413" s="78">
        <v>227275.31</v>
      </c>
      <c r="M413" s="412">
        <v>637.60999999998603</v>
      </c>
      <c r="N413" s="21">
        <f t="shared" si="58"/>
        <v>0</v>
      </c>
      <c r="O413" s="423"/>
      <c r="P413" s="21">
        <f t="shared" si="59"/>
        <v>-0.30999999999767169</v>
      </c>
    </row>
    <row r="414" spans="2:16" ht="15.6">
      <c r="B414" s="82" t="s">
        <v>182</v>
      </c>
      <c r="C414" s="78">
        <v>8552.4499999999989</v>
      </c>
      <c r="D414" s="78">
        <v>0</v>
      </c>
      <c r="E414" s="78">
        <v>40768.82</v>
      </c>
      <c r="F414" s="78">
        <f t="shared" si="60"/>
        <v>49321.27</v>
      </c>
      <c r="G414" s="78">
        <v>43452.83</v>
      </c>
      <c r="H414" s="398"/>
      <c r="I414" s="78">
        <v>56128.27</v>
      </c>
      <c r="J414" s="78">
        <v>6807</v>
      </c>
      <c r="K414" s="10">
        <f t="shared" si="57"/>
        <v>49321.27</v>
      </c>
      <c r="L414" s="78">
        <v>43452.91</v>
      </c>
      <c r="M414" s="412">
        <v>333.61000000000058</v>
      </c>
      <c r="N414" s="21">
        <f t="shared" si="58"/>
        <v>0</v>
      </c>
      <c r="O414" s="423"/>
      <c r="P414" s="22">
        <f t="shared" si="59"/>
        <v>-8.000000000174623E-2</v>
      </c>
    </row>
    <row r="415" spans="2:16" ht="15.6">
      <c r="B415" s="82" t="s">
        <v>187</v>
      </c>
      <c r="C415" s="78">
        <v>70434.499999999942</v>
      </c>
      <c r="D415" s="78">
        <v>0</v>
      </c>
      <c r="E415" s="78">
        <v>228298.89</v>
      </c>
      <c r="F415" s="78">
        <f t="shared" si="60"/>
        <v>298733.38999999996</v>
      </c>
      <c r="G415" s="78">
        <v>242354.67</v>
      </c>
      <c r="H415" s="398"/>
      <c r="I415" s="78">
        <v>327014.15999999997</v>
      </c>
      <c r="J415" s="78">
        <v>28280.77</v>
      </c>
      <c r="K415" s="10">
        <f t="shared" si="57"/>
        <v>298733.38999999996</v>
      </c>
      <c r="L415" s="78">
        <v>242354.79</v>
      </c>
      <c r="M415" s="412">
        <v>1023.3000000000466</v>
      </c>
      <c r="N415" s="21">
        <f t="shared" si="58"/>
        <v>0</v>
      </c>
      <c r="O415" s="423"/>
      <c r="P415" s="22">
        <f t="shared" si="59"/>
        <v>-0.11999999999534339</v>
      </c>
    </row>
    <row r="416" spans="2:16" ht="15.6">
      <c r="B416" s="84" t="s">
        <v>240</v>
      </c>
      <c r="C416" s="78">
        <v>194684.29000000007</v>
      </c>
      <c r="D416" s="78">
        <v>0</v>
      </c>
      <c r="E416" s="78">
        <v>1064044.1499999999</v>
      </c>
      <c r="F416" s="78">
        <f t="shared" si="60"/>
        <v>1258728.44</v>
      </c>
      <c r="G416" s="78">
        <v>1095741.76</v>
      </c>
      <c r="H416" s="398"/>
      <c r="I416" s="78">
        <v>1385098.31</v>
      </c>
      <c r="J416" s="78">
        <v>126369.87</v>
      </c>
      <c r="K416" s="10">
        <f t="shared" si="57"/>
        <v>1258728.44</v>
      </c>
      <c r="L416" s="78">
        <v>1095742.23</v>
      </c>
      <c r="M416" s="412">
        <v>5666.4299999999348</v>
      </c>
      <c r="N416" s="22">
        <f t="shared" si="58"/>
        <v>0</v>
      </c>
      <c r="O416" s="423"/>
      <c r="P416" s="22">
        <f t="shared" si="59"/>
        <v>-0.46999999997206032</v>
      </c>
    </row>
    <row r="417" spans="2:16" ht="15.6">
      <c r="B417" s="84" t="s">
        <v>357</v>
      </c>
      <c r="C417" s="78">
        <v>3004583.73</v>
      </c>
      <c r="D417" s="78">
        <v>496278.64</v>
      </c>
      <c r="E417" s="78">
        <v>345791.9</v>
      </c>
      <c r="F417" s="78">
        <f t="shared" si="60"/>
        <v>3846654.27</v>
      </c>
      <c r="G417" s="78">
        <v>3020531.71</v>
      </c>
      <c r="H417" s="398"/>
      <c r="I417" s="78">
        <v>3894900.21</v>
      </c>
      <c r="J417" s="78">
        <v>48245.94</v>
      </c>
      <c r="K417" s="10">
        <f t="shared" si="57"/>
        <v>3846654.27</v>
      </c>
      <c r="L417" s="78">
        <v>3020516.38</v>
      </c>
      <c r="M417" s="412">
        <v>61852.529999999795</v>
      </c>
      <c r="N417" s="22">
        <f t="shared" si="58"/>
        <v>0</v>
      </c>
      <c r="O417" s="423"/>
      <c r="P417" s="22">
        <f t="shared" si="59"/>
        <v>15.330000000074506</v>
      </c>
    </row>
    <row r="418" spans="2:16" ht="15.6">
      <c r="B418" s="441" t="s">
        <v>362</v>
      </c>
      <c r="C418" s="522">
        <v>107883.99000000011</v>
      </c>
      <c r="D418" s="522">
        <v>0</v>
      </c>
      <c r="E418" s="522">
        <v>951118.07</v>
      </c>
      <c r="F418" s="78">
        <f t="shared" si="60"/>
        <v>1059002.06</v>
      </c>
      <c r="G418" s="522">
        <v>641433.51</v>
      </c>
      <c r="H418" s="398"/>
      <c r="I418" s="522">
        <v>1105523.25</v>
      </c>
      <c r="J418" s="522">
        <v>46521.19</v>
      </c>
      <c r="K418" s="10">
        <f t="shared" si="57"/>
        <v>1059002.06</v>
      </c>
      <c r="L418" s="522">
        <v>641455.21</v>
      </c>
      <c r="M418" s="412">
        <v>3749.5</v>
      </c>
      <c r="N418" s="22">
        <f t="shared" si="58"/>
        <v>0</v>
      </c>
      <c r="O418" s="423"/>
      <c r="P418" s="22">
        <f t="shared" si="59"/>
        <v>-21.699999999953434</v>
      </c>
    </row>
    <row r="419" spans="2:16" ht="16.2" thickBot="1">
      <c r="B419" s="441" t="s">
        <v>361</v>
      </c>
      <c r="C419" s="522">
        <v>87647.229999999981</v>
      </c>
      <c r="D419" s="522">
        <v>0</v>
      </c>
      <c r="E419" s="522">
        <v>737869.27</v>
      </c>
      <c r="F419" s="78">
        <f t="shared" si="60"/>
        <v>825516.5</v>
      </c>
      <c r="G419" s="522">
        <v>702334.75</v>
      </c>
      <c r="H419" s="398"/>
      <c r="I419" s="522">
        <v>919287.72</v>
      </c>
      <c r="J419" s="522">
        <v>93771.22</v>
      </c>
      <c r="K419" s="10">
        <f t="shared" si="57"/>
        <v>825516.5</v>
      </c>
      <c r="L419" s="522">
        <v>702176.82</v>
      </c>
      <c r="M419" s="412">
        <v>4865.4699999999721</v>
      </c>
      <c r="N419" s="22">
        <f t="shared" si="58"/>
        <v>0</v>
      </c>
      <c r="O419" s="423"/>
      <c r="P419" s="22">
        <f t="shared" si="59"/>
        <v>157.93000000005122</v>
      </c>
    </row>
    <row r="420" spans="2:16" ht="16.2" thickBot="1">
      <c r="B420" s="83" t="s">
        <v>194</v>
      </c>
      <c r="C420" s="92">
        <f>SUM(C392:C419)</f>
        <v>34102491.450000003</v>
      </c>
      <c r="D420" s="92">
        <f t="shared" ref="D420:P420" si="61">SUM(D392:D419)</f>
        <v>5220905.3599999994</v>
      </c>
      <c r="E420" s="92">
        <f t="shared" si="61"/>
        <v>22882116.639999993</v>
      </c>
      <c r="F420" s="92">
        <f t="shared" si="61"/>
        <v>62205513.450000003</v>
      </c>
      <c r="G420" s="92">
        <f t="shared" si="61"/>
        <v>50179757.180000007</v>
      </c>
      <c r="H420" s="92">
        <f t="shared" si="61"/>
        <v>0</v>
      </c>
      <c r="I420" s="92">
        <f t="shared" si="61"/>
        <v>65101577.120000012</v>
      </c>
      <c r="J420" s="92">
        <f t="shared" si="61"/>
        <v>2896063.6700000004</v>
      </c>
      <c r="K420" s="92">
        <f t="shared" si="61"/>
        <v>62205513.450000003</v>
      </c>
      <c r="L420" s="92">
        <f t="shared" si="61"/>
        <v>49741294.579999991</v>
      </c>
      <c r="M420" s="92">
        <f t="shared" si="61"/>
        <v>1323528.6099999975</v>
      </c>
      <c r="N420" s="92">
        <f t="shared" si="61"/>
        <v>0</v>
      </c>
      <c r="O420" s="92">
        <f t="shared" si="61"/>
        <v>0</v>
      </c>
      <c r="P420" s="92">
        <f t="shared" si="61"/>
        <v>438462.60000000068</v>
      </c>
    </row>
    <row r="421" spans="2:16">
      <c r="C421" s="1">
        <f>63529042.06-E420-D420-C420</f>
        <v>1323528.6100000069</v>
      </c>
      <c r="D421" s="1">
        <f>5220905.36-D420</f>
        <v>0</v>
      </c>
      <c r="E421" s="1">
        <f>22882116.64-E420</f>
        <v>0</v>
      </c>
      <c r="F421" s="1">
        <f>63529042.06-F420</f>
        <v>1323528.6099999994</v>
      </c>
      <c r="I421" s="457">
        <f>65101577.12-I420</f>
        <v>0</v>
      </c>
      <c r="J421" s="457">
        <f>2896063.67-J420</f>
        <v>0</v>
      </c>
      <c r="L421" s="457">
        <f>49741294.58-L420</f>
        <v>0</v>
      </c>
    </row>
  </sheetData>
  <mergeCells count="24">
    <mergeCell ref="B286:G286"/>
    <mergeCell ref="I286:L286"/>
    <mergeCell ref="B251:G251"/>
    <mergeCell ref="I251:L251"/>
    <mergeCell ref="B390:G390"/>
    <mergeCell ref="I390:L390"/>
    <mergeCell ref="B356:G356"/>
    <mergeCell ref="I356:L356"/>
    <mergeCell ref="B321:G321"/>
    <mergeCell ref="I321:L321"/>
    <mergeCell ref="B6:G6"/>
    <mergeCell ref="I6:L6"/>
    <mergeCell ref="B41:G41"/>
    <mergeCell ref="I41:L41"/>
    <mergeCell ref="B216:G216"/>
    <mergeCell ref="I216:L216"/>
    <mergeCell ref="B77:G77"/>
    <mergeCell ref="I77:L77"/>
    <mergeCell ref="B181:G181"/>
    <mergeCell ref="I181:L181"/>
    <mergeCell ref="B146:G146"/>
    <mergeCell ref="I146:L146"/>
    <mergeCell ref="B111:G111"/>
    <mergeCell ref="I111:L111"/>
  </mergeCells>
  <pageMargins left="0.17" right="0.26" top="0.75" bottom="0.75" header="0.3" footer="0.3"/>
  <pageSetup paperSize="9" scale="1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0">
    <tabColor rgb="FF800080"/>
  </sheetPr>
  <dimension ref="B2:Y3247"/>
  <sheetViews>
    <sheetView rightToLeft="1" workbookViewId="0"/>
  </sheetViews>
  <sheetFormatPr defaultRowHeight="13.2"/>
  <cols>
    <col min="1" max="1" width="5.33203125" customWidth="1"/>
    <col min="2" max="2" width="48" customWidth="1"/>
    <col min="3" max="3" width="22" bestFit="1" customWidth="1"/>
    <col min="4" max="4" width="22.44140625" bestFit="1" customWidth="1"/>
    <col min="5" max="5" width="22" bestFit="1" customWidth="1"/>
    <col min="6" max="6" width="22.44140625" bestFit="1" customWidth="1"/>
    <col min="7" max="9" width="23.33203125" bestFit="1" customWidth="1"/>
    <col min="10" max="10" width="25.109375" bestFit="1" customWidth="1"/>
    <col min="11" max="11" width="24.5546875" bestFit="1" customWidth="1"/>
    <col min="12" max="13" width="21.109375" bestFit="1" customWidth="1"/>
    <col min="14" max="14" width="25.109375" bestFit="1" customWidth="1"/>
    <col min="15" max="15" width="25.5546875" bestFit="1" customWidth="1"/>
    <col min="16" max="16" width="15.5546875" bestFit="1" customWidth="1"/>
  </cols>
  <sheetData>
    <row r="2" spans="2:15" ht="54.6" customHeight="1"/>
    <row r="3" spans="2:15" ht="13.8" thickBot="1"/>
    <row r="4" spans="2:15" ht="30.6" thickTop="1">
      <c r="B4" s="646" t="s">
        <v>138</v>
      </c>
      <c r="C4" s="647"/>
      <c r="D4" s="647"/>
      <c r="E4" s="647"/>
      <c r="F4" s="647"/>
      <c r="G4" s="647"/>
      <c r="H4" s="647"/>
      <c r="I4" s="647"/>
      <c r="J4" s="647"/>
      <c r="K4" s="647"/>
      <c r="L4" s="647"/>
      <c r="M4" s="647"/>
      <c r="N4" s="647"/>
      <c r="O4" s="648"/>
    </row>
    <row r="5" spans="2:15" ht="17.399999999999999">
      <c r="B5" s="295" t="s">
        <v>23</v>
      </c>
      <c r="C5" s="295" t="s">
        <v>0</v>
      </c>
      <c r="D5" s="295" t="s">
        <v>1</v>
      </c>
      <c r="E5" s="295" t="s">
        <v>2</v>
      </c>
      <c r="F5" s="295" t="s">
        <v>3</v>
      </c>
      <c r="G5" s="295" t="s">
        <v>4</v>
      </c>
      <c r="H5" s="295" t="s">
        <v>5</v>
      </c>
      <c r="I5" s="295" t="s">
        <v>6</v>
      </c>
      <c r="J5" s="295" t="s">
        <v>7</v>
      </c>
      <c r="K5" s="295" t="s">
        <v>8</v>
      </c>
      <c r="L5" s="295" t="s">
        <v>9</v>
      </c>
      <c r="M5" s="295" t="s">
        <v>10</v>
      </c>
      <c r="N5" s="295" t="s">
        <v>11</v>
      </c>
      <c r="O5" s="295" t="s">
        <v>18</v>
      </c>
    </row>
    <row r="6" spans="2:15" ht="17.399999999999999">
      <c r="B6" s="291" t="s">
        <v>40</v>
      </c>
      <c r="C6" s="292">
        <f>'تقرير المصروفات حسب الشهر'!D10</f>
        <v>853477.34</v>
      </c>
      <c r="D6" s="292" t="e">
        <f>#REF!</f>
        <v>#REF!</v>
      </c>
      <c r="E6" s="292" t="e">
        <f>#REF!</f>
        <v>#REF!</v>
      </c>
      <c r="F6" s="292" t="e">
        <f>#REF!</f>
        <v>#REF!</v>
      </c>
      <c r="G6" s="292" t="e">
        <f>#REF!</f>
        <v>#REF!</v>
      </c>
      <c r="H6" s="292" t="e">
        <f>#REF!</f>
        <v>#REF!</v>
      </c>
      <c r="I6" s="292">
        <f>'تقرير المصروفات حسب الشهر'!D763</f>
        <v>1108595.69</v>
      </c>
      <c r="J6" s="292">
        <f>'تقرير المصروفات حسب الشهر'!D890</f>
        <v>1266314.54</v>
      </c>
      <c r="K6" s="292">
        <f>'تقرير المصروفات حسب الشهر'!D1017</f>
        <v>1184810.3999999999</v>
      </c>
      <c r="L6" s="292">
        <f>IFERROR(VLOOKUP(B6,'تقرير المصروفات حسب الشهر'!$C$1143:$AD$1254,2,FALSE),0)</f>
        <v>1313118.58</v>
      </c>
      <c r="M6" s="292">
        <f>IFERROR(VLOOKUP(B6,'تقرير المصروفات حسب الشهر'!$C$1270:$AD$1381,2,FALSE),0)</f>
        <v>1305040.6399999999</v>
      </c>
      <c r="N6" s="292" t="e">
        <f>#REF!</f>
        <v>#REF!</v>
      </c>
      <c r="O6" s="296" t="e">
        <f>SUM(C6:N6)</f>
        <v>#REF!</v>
      </c>
    </row>
    <row r="7" spans="2:15" ht="17.399999999999999">
      <c r="B7" s="291" t="s">
        <v>41</v>
      </c>
      <c r="C7" s="292">
        <f>'تقرير المصروفات حسب الشهر'!D11</f>
        <v>0</v>
      </c>
      <c r="D7" s="292" t="e">
        <f>#REF!</f>
        <v>#REF!</v>
      </c>
      <c r="E7" s="292" t="e">
        <f>#REF!</f>
        <v>#REF!</v>
      </c>
      <c r="F7" s="292" t="e">
        <f>#REF!</f>
        <v>#REF!</v>
      </c>
      <c r="G7" s="292" t="e">
        <f>#REF!</f>
        <v>#REF!</v>
      </c>
      <c r="H7" s="292" t="e">
        <f>#REF!</f>
        <v>#REF!</v>
      </c>
      <c r="I7" s="292">
        <f>'تقرير المصروفات حسب الشهر'!D764</f>
        <v>0</v>
      </c>
      <c r="J7" s="292">
        <f>'تقرير المصروفات حسب الشهر'!D891</f>
        <v>0</v>
      </c>
      <c r="K7" s="292">
        <f>'تقرير المصروفات حسب الشهر'!D1018</f>
        <v>0</v>
      </c>
      <c r="L7" s="292">
        <f>IFERROR(VLOOKUP(B7,'تقرير المصروفات حسب الشهر'!$C$1143:$AD$1254,2,FALSE),0)</f>
        <v>0</v>
      </c>
      <c r="M7" s="292">
        <f>IFERROR(VLOOKUP(B7,'تقرير المصروفات حسب الشهر'!$C$1270:$AD$1381,2,FALSE),0)</f>
        <v>0</v>
      </c>
      <c r="N7" s="292" t="e">
        <f>#REF!</f>
        <v>#REF!</v>
      </c>
      <c r="O7" s="296" t="e">
        <f t="shared" ref="O7:O70" si="0">SUM(C7:N7)</f>
        <v>#REF!</v>
      </c>
    </row>
    <row r="8" spans="2:15" ht="17.399999999999999">
      <c r="B8" s="291" t="s">
        <v>26</v>
      </c>
      <c r="C8" s="292">
        <f>'تقرير المصروفات حسب الشهر'!D12</f>
        <v>2925</v>
      </c>
      <c r="D8" s="292" t="e">
        <f>#REF!</f>
        <v>#REF!</v>
      </c>
      <c r="E8" s="292" t="e">
        <f>#REF!</f>
        <v>#REF!</v>
      </c>
      <c r="F8" s="292" t="e">
        <f>#REF!</f>
        <v>#REF!</v>
      </c>
      <c r="G8" s="292" t="e">
        <f>#REF!</f>
        <v>#REF!</v>
      </c>
      <c r="H8" s="292" t="e">
        <f>#REF!</f>
        <v>#REF!</v>
      </c>
      <c r="I8" s="292">
        <f>'تقرير المصروفات حسب الشهر'!D765</f>
        <v>18677</v>
      </c>
      <c r="J8" s="292">
        <f>'تقرير المصروفات حسب الشهر'!D892</f>
        <v>12995</v>
      </c>
      <c r="K8" s="292">
        <f>'تقرير المصروفات حسب الشهر'!D1019</f>
        <v>11244</v>
      </c>
      <c r="L8" s="292">
        <f>IFERROR(VLOOKUP(B8,'تقرير المصروفات حسب الشهر'!$C$1143:$AD$1254,2,FALSE),0)</f>
        <v>42424.75</v>
      </c>
      <c r="M8" s="292">
        <f>IFERROR(VLOOKUP(B8,'تقرير المصروفات حسب الشهر'!$C$1270:$AD$1381,2,FALSE),0)</f>
        <v>16611</v>
      </c>
      <c r="N8" s="292" t="e">
        <f>#REF!</f>
        <v>#REF!</v>
      </c>
      <c r="O8" s="296" t="e">
        <f t="shared" si="0"/>
        <v>#REF!</v>
      </c>
    </row>
    <row r="9" spans="2:15" ht="17.399999999999999">
      <c r="B9" s="291" t="s">
        <v>27</v>
      </c>
      <c r="C9" s="292">
        <f>'تقرير المصروفات حسب الشهر'!D13</f>
        <v>0</v>
      </c>
      <c r="D9" s="292" t="e">
        <f>#REF!</f>
        <v>#REF!</v>
      </c>
      <c r="E9" s="292" t="e">
        <f>#REF!</f>
        <v>#REF!</v>
      </c>
      <c r="F9" s="292" t="e">
        <f>#REF!</f>
        <v>#REF!</v>
      </c>
      <c r="G9" s="292" t="e">
        <f>#REF!</f>
        <v>#REF!</v>
      </c>
      <c r="H9" s="292" t="e">
        <f>#REF!</f>
        <v>#REF!</v>
      </c>
      <c r="I9" s="292">
        <f>'تقرير المصروفات حسب الشهر'!D766</f>
        <v>306</v>
      </c>
      <c r="J9" s="292">
        <f>'تقرير المصروفات حسب الشهر'!D893</f>
        <v>0</v>
      </c>
      <c r="K9" s="292">
        <f>'تقرير المصروفات حسب الشهر'!D1020</f>
        <v>0</v>
      </c>
      <c r="L9" s="292">
        <f>IFERROR(VLOOKUP(B9,'تقرير المصروفات حسب الشهر'!$C$1143:$AD$1254,2,FALSE),0)</f>
        <v>0</v>
      </c>
      <c r="M9" s="292">
        <f>IFERROR(VLOOKUP(B9,'تقرير المصروفات حسب الشهر'!$C$1270:$AD$1381,2,FALSE),0)</f>
        <v>0</v>
      </c>
      <c r="N9" s="292" t="e">
        <f>#REF!</f>
        <v>#REF!</v>
      </c>
      <c r="O9" s="296" t="e">
        <f t="shared" si="0"/>
        <v>#REF!</v>
      </c>
    </row>
    <row r="10" spans="2:15" ht="17.399999999999999">
      <c r="B10" s="291" t="s">
        <v>42</v>
      </c>
      <c r="C10" s="292">
        <f>'تقرير المصروفات حسب الشهر'!D14</f>
        <v>700</v>
      </c>
      <c r="D10" s="292" t="e">
        <f>#REF!</f>
        <v>#REF!</v>
      </c>
      <c r="E10" s="292" t="e">
        <f>#REF!</f>
        <v>#REF!</v>
      </c>
      <c r="F10" s="292" t="e">
        <f>#REF!</f>
        <v>#REF!</v>
      </c>
      <c r="G10" s="292" t="e">
        <f>#REF!</f>
        <v>#REF!</v>
      </c>
      <c r="H10" s="292" t="e">
        <f>#REF!</f>
        <v>#REF!</v>
      </c>
      <c r="I10" s="292">
        <f>'تقرير المصروفات حسب الشهر'!D767</f>
        <v>0</v>
      </c>
      <c r="J10" s="292">
        <f>'تقرير المصروفات حسب الشهر'!D894</f>
        <v>0</v>
      </c>
      <c r="K10" s="292">
        <f>'تقرير المصروفات حسب الشهر'!D1021</f>
        <v>0</v>
      </c>
      <c r="L10" s="292">
        <f>IFERROR(VLOOKUP(B10,'تقرير المصروفات حسب الشهر'!$C$1143:$AD$1254,2,FALSE),0)</f>
        <v>920</v>
      </c>
      <c r="M10" s="292">
        <f>IFERROR(VLOOKUP(B10,'تقرير المصروفات حسب الشهر'!$C$1270:$AD$1381,2,FALSE),0)</f>
        <v>600</v>
      </c>
      <c r="N10" s="292" t="e">
        <f>#REF!</f>
        <v>#REF!</v>
      </c>
      <c r="O10" s="296" t="e">
        <f t="shared" si="0"/>
        <v>#REF!</v>
      </c>
    </row>
    <row r="11" spans="2:15" ht="17.399999999999999">
      <c r="B11" s="291" t="s">
        <v>43</v>
      </c>
      <c r="C11" s="292">
        <f>'تقرير المصروفات حسب الشهر'!D15</f>
        <v>0</v>
      </c>
      <c r="D11" s="292" t="e">
        <f>#REF!</f>
        <v>#REF!</v>
      </c>
      <c r="E11" s="292" t="e">
        <f>#REF!</f>
        <v>#REF!</v>
      </c>
      <c r="F11" s="292" t="e">
        <f>#REF!</f>
        <v>#REF!</v>
      </c>
      <c r="G11" s="292" t="e">
        <f>#REF!</f>
        <v>#REF!</v>
      </c>
      <c r="H11" s="292" t="e">
        <f>#REF!</f>
        <v>#REF!</v>
      </c>
      <c r="I11" s="292">
        <f>'تقرير المصروفات حسب الشهر'!D768</f>
        <v>0</v>
      </c>
      <c r="J11" s="292">
        <f>'تقرير المصروفات حسب الشهر'!D895</f>
        <v>0</v>
      </c>
      <c r="K11" s="292">
        <f>'تقرير المصروفات حسب الشهر'!D1022</f>
        <v>0</v>
      </c>
      <c r="L11" s="292">
        <f>IFERROR(VLOOKUP(B11,'تقرير المصروفات حسب الشهر'!$C$1143:$AD$1254,2,FALSE),0)</f>
        <v>0</v>
      </c>
      <c r="M11" s="292">
        <f>IFERROR(VLOOKUP(B11,'تقرير المصروفات حسب الشهر'!$C$1270:$AD$1381,2,FALSE),0)</f>
        <v>0</v>
      </c>
      <c r="N11" s="292" t="e">
        <f>#REF!</f>
        <v>#REF!</v>
      </c>
      <c r="O11" s="296" t="e">
        <f t="shared" si="0"/>
        <v>#REF!</v>
      </c>
    </row>
    <row r="12" spans="2:15" ht="17.399999999999999">
      <c r="B12" s="291" t="s">
        <v>44</v>
      </c>
      <c r="C12" s="292">
        <f>'تقرير المصروفات حسب الشهر'!D16</f>
        <v>100000</v>
      </c>
      <c r="D12" s="292" t="e">
        <f>#REF!</f>
        <v>#REF!</v>
      </c>
      <c r="E12" s="292" t="e">
        <f>#REF!</f>
        <v>#REF!</v>
      </c>
      <c r="F12" s="292" t="e">
        <f>#REF!</f>
        <v>#REF!</v>
      </c>
      <c r="G12" s="292" t="e">
        <f>#REF!</f>
        <v>#REF!</v>
      </c>
      <c r="H12" s="292" t="e">
        <f>#REF!</f>
        <v>#REF!</v>
      </c>
      <c r="I12" s="292">
        <f>'تقرير المصروفات حسب الشهر'!D769</f>
        <v>100000</v>
      </c>
      <c r="J12" s="292">
        <f>'تقرير المصروفات حسب الشهر'!D896</f>
        <v>100000</v>
      </c>
      <c r="K12" s="292">
        <f>'تقرير المصروفات حسب الشهر'!D1023</f>
        <v>100000</v>
      </c>
      <c r="L12" s="292">
        <f>IFERROR(VLOOKUP(B12,'تقرير المصروفات حسب الشهر'!$C$1143:$AD$1254,2,FALSE),0)</f>
        <v>100000</v>
      </c>
      <c r="M12" s="292">
        <f>IFERROR(VLOOKUP(B12,'تقرير المصروفات حسب الشهر'!$C$1270:$AD$1381,2,FALSE),0)</f>
        <v>50000</v>
      </c>
      <c r="N12" s="292" t="e">
        <f>#REF!</f>
        <v>#REF!</v>
      </c>
      <c r="O12" s="296" t="e">
        <f t="shared" si="0"/>
        <v>#REF!</v>
      </c>
    </row>
    <row r="13" spans="2:15" ht="17.399999999999999">
      <c r="B13" s="291" t="s">
        <v>45</v>
      </c>
      <c r="C13" s="292">
        <f>'تقرير المصروفات حسب الشهر'!D17</f>
        <v>40610</v>
      </c>
      <c r="D13" s="292" t="e">
        <f>#REF!</f>
        <v>#REF!</v>
      </c>
      <c r="E13" s="292" t="e">
        <f>#REF!</f>
        <v>#REF!</v>
      </c>
      <c r="F13" s="292" t="e">
        <f>#REF!</f>
        <v>#REF!</v>
      </c>
      <c r="G13" s="292" t="e">
        <f>#REF!</f>
        <v>#REF!</v>
      </c>
      <c r="H13" s="292" t="e">
        <f>#REF!</f>
        <v>#REF!</v>
      </c>
      <c r="I13" s="292">
        <f>'تقرير المصروفات حسب الشهر'!D770</f>
        <v>41900</v>
      </c>
      <c r="J13" s="292">
        <f>'تقرير المصروفات حسب الشهر'!D897</f>
        <v>41900</v>
      </c>
      <c r="K13" s="292">
        <f>'تقرير المصروفات حسب الشهر'!D1024</f>
        <v>43220</v>
      </c>
      <c r="L13" s="292">
        <f>IFERROR(VLOOKUP(B13,'تقرير المصروفات حسب الشهر'!$C$1143:$AD$1254,2,FALSE),0)</f>
        <v>41900</v>
      </c>
      <c r="M13" s="292">
        <f>IFERROR(VLOOKUP(B13,'تقرير المصروفات حسب الشهر'!$C$1270:$AD$1381,2,FALSE),0)</f>
        <v>43330</v>
      </c>
      <c r="N13" s="292" t="e">
        <f>#REF!</f>
        <v>#REF!</v>
      </c>
      <c r="O13" s="296" t="e">
        <f t="shared" si="0"/>
        <v>#REF!</v>
      </c>
    </row>
    <row r="14" spans="2:15" ht="17.399999999999999">
      <c r="B14" s="291" t="s">
        <v>156</v>
      </c>
      <c r="C14" s="292">
        <f>'تقرير المصروفات حسب الشهر'!D18</f>
        <v>1255</v>
      </c>
      <c r="D14" s="292" t="e">
        <f>#REF!</f>
        <v>#REF!</v>
      </c>
      <c r="E14" s="292" t="e">
        <f>#REF!</f>
        <v>#REF!</v>
      </c>
      <c r="F14" s="292" t="e">
        <f>#REF!</f>
        <v>#REF!</v>
      </c>
      <c r="G14" s="292" t="e">
        <f>#REF!</f>
        <v>#REF!</v>
      </c>
      <c r="H14" s="292" t="e">
        <f>#REF!</f>
        <v>#REF!</v>
      </c>
      <c r="I14" s="292">
        <f>'تقرير المصروفات حسب الشهر'!D771</f>
        <v>1123</v>
      </c>
      <c r="J14" s="292">
        <f>'تقرير المصروفات حسب الشهر'!D898</f>
        <v>12220</v>
      </c>
      <c r="K14" s="292">
        <f>'تقرير المصروفات حسب الشهر'!D1025</f>
        <v>1000</v>
      </c>
      <c r="L14" s="292">
        <f>IFERROR(VLOOKUP(B14,'تقرير المصروفات حسب الشهر'!$C$1143:$AD$1254,2,FALSE),0)</f>
        <v>1000</v>
      </c>
      <c r="M14" s="292">
        <f>IFERROR(VLOOKUP(B14,'تقرير المصروفات حسب الشهر'!$C$1270:$AD$1381,2,FALSE),0)</f>
        <v>1650</v>
      </c>
      <c r="N14" s="292" t="e">
        <f>#REF!</f>
        <v>#REF!</v>
      </c>
      <c r="O14" s="296" t="e">
        <f t="shared" si="0"/>
        <v>#REF!</v>
      </c>
    </row>
    <row r="15" spans="2:15" ht="17.399999999999999">
      <c r="B15" s="291" t="s">
        <v>46</v>
      </c>
      <c r="C15" s="292">
        <f>'تقرير المصروفات حسب الشهر'!D19</f>
        <v>11807.53</v>
      </c>
      <c r="D15" s="292" t="e">
        <f>#REF!</f>
        <v>#REF!</v>
      </c>
      <c r="E15" s="292" t="e">
        <f>#REF!</f>
        <v>#REF!</v>
      </c>
      <c r="F15" s="292" t="e">
        <f>#REF!</f>
        <v>#REF!</v>
      </c>
      <c r="G15" s="292" t="e">
        <f>#REF!</f>
        <v>#REF!</v>
      </c>
      <c r="H15" s="292" t="e">
        <f>#REF!</f>
        <v>#REF!</v>
      </c>
      <c r="I15" s="292">
        <f>'تقرير المصروفات حسب الشهر'!D772</f>
        <v>12253.64</v>
      </c>
      <c r="J15" s="292">
        <f>'تقرير المصروفات حسب الشهر'!D899</f>
        <v>12260.68</v>
      </c>
      <c r="K15" s="292">
        <f>'تقرير المصروفات حسب الشهر'!D1026</f>
        <v>12138.8</v>
      </c>
      <c r="L15" s="292">
        <f>IFERROR(VLOOKUP(B15,'تقرير المصروفات حسب الشهر'!$C$1143:$AD$1254,2,FALSE),0)</f>
        <v>12580.61</v>
      </c>
      <c r="M15" s="292">
        <f>IFERROR(VLOOKUP(B15,'تقرير المصروفات حسب الشهر'!$C$1270:$AD$1381,2,FALSE),0)</f>
        <v>12579.97</v>
      </c>
      <c r="N15" s="292" t="e">
        <f>#REF!</f>
        <v>#REF!</v>
      </c>
      <c r="O15" s="296" t="e">
        <f t="shared" si="0"/>
        <v>#REF!</v>
      </c>
    </row>
    <row r="16" spans="2:15" ht="17.399999999999999">
      <c r="B16" s="291" t="s">
        <v>47</v>
      </c>
      <c r="C16" s="292">
        <f>'تقرير المصروفات حسب الشهر'!D20</f>
        <v>0</v>
      </c>
      <c r="D16" s="292" t="e">
        <f>#REF!</f>
        <v>#REF!</v>
      </c>
      <c r="E16" s="292" t="e">
        <f>#REF!</f>
        <v>#REF!</v>
      </c>
      <c r="F16" s="292" t="e">
        <f>#REF!</f>
        <v>#REF!</v>
      </c>
      <c r="G16" s="292" t="e">
        <f>#REF!</f>
        <v>#REF!</v>
      </c>
      <c r="H16" s="292" t="e">
        <f>#REF!</f>
        <v>#REF!</v>
      </c>
      <c r="I16" s="292">
        <f>'تقرير المصروفات حسب الشهر'!D773</f>
        <v>275</v>
      </c>
      <c r="J16" s="292">
        <f>'تقرير المصروفات حسب الشهر'!D900</f>
        <v>0</v>
      </c>
      <c r="K16" s="292">
        <f>'تقرير المصروفات حسب الشهر'!D1027</f>
        <v>0</v>
      </c>
      <c r="L16" s="292">
        <f>IFERROR(VLOOKUP(B16,'تقرير المصروفات حسب الشهر'!$C$1143:$AD$1254,2,FALSE),0)</f>
        <v>0</v>
      </c>
      <c r="M16" s="292">
        <f>IFERROR(VLOOKUP(B16,'تقرير المصروفات حسب الشهر'!$C$1270:$AD$1381,2,FALSE),0)</f>
        <v>0</v>
      </c>
      <c r="N16" s="292" t="e">
        <f>#REF!</f>
        <v>#REF!</v>
      </c>
      <c r="O16" s="296" t="e">
        <f t="shared" si="0"/>
        <v>#REF!</v>
      </c>
    </row>
    <row r="17" spans="2:15" ht="17.399999999999999">
      <c r="B17" s="291" t="s">
        <v>48</v>
      </c>
      <c r="C17" s="292">
        <f>'تقرير المصروفات حسب الشهر'!D21</f>
        <v>1000</v>
      </c>
      <c r="D17" s="292" t="e">
        <f>#REF!</f>
        <v>#REF!</v>
      </c>
      <c r="E17" s="292" t="e">
        <f>#REF!</f>
        <v>#REF!</v>
      </c>
      <c r="F17" s="292" t="e">
        <f>#REF!</f>
        <v>#REF!</v>
      </c>
      <c r="G17" s="292" t="e">
        <f>#REF!</f>
        <v>#REF!</v>
      </c>
      <c r="H17" s="292" t="e">
        <f>#REF!</f>
        <v>#REF!</v>
      </c>
      <c r="I17" s="292">
        <f>'تقرير المصروفات حسب الشهر'!D774</f>
        <v>26085</v>
      </c>
      <c r="J17" s="292">
        <f>'تقرير المصروفات حسب الشهر'!D901</f>
        <v>4698</v>
      </c>
      <c r="K17" s="292">
        <f>'تقرير المصروفات حسب الشهر'!D1028</f>
        <v>8555</v>
      </c>
      <c r="L17" s="292">
        <f>IFERROR(VLOOKUP(B17,'تقرير المصروفات حسب الشهر'!$C$1143:$AD$1254,2,FALSE),0)</f>
        <v>31872</v>
      </c>
      <c r="M17" s="292">
        <f>IFERROR(VLOOKUP(B17,'تقرير المصروفات حسب الشهر'!$C$1270:$AD$1381,2,FALSE),0)</f>
        <v>1900</v>
      </c>
      <c r="N17" s="292" t="e">
        <f>#REF!</f>
        <v>#REF!</v>
      </c>
      <c r="O17" s="296" t="e">
        <f t="shared" si="0"/>
        <v>#REF!</v>
      </c>
    </row>
    <row r="18" spans="2:15" ht="17.399999999999999">
      <c r="B18" s="291" t="s">
        <v>49</v>
      </c>
      <c r="C18" s="292">
        <f>'تقرير المصروفات حسب الشهر'!D22</f>
        <v>5246.47</v>
      </c>
      <c r="D18" s="292" t="e">
        <f>#REF!</f>
        <v>#REF!</v>
      </c>
      <c r="E18" s="292" t="e">
        <f>#REF!</f>
        <v>#REF!</v>
      </c>
      <c r="F18" s="292" t="e">
        <f>#REF!</f>
        <v>#REF!</v>
      </c>
      <c r="G18" s="292" t="e">
        <f>#REF!</f>
        <v>#REF!</v>
      </c>
      <c r="H18" s="292" t="e">
        <f>#REF!</f>
        <v>#REF!</v>
      </c>
      <c r="I18" s="292">
        <f>'تقرير المصروفات حسب الشهر'!D775</f>
        <v>5245</v>
      </c>
      <c r="J18" s="292">
        <f>'تقرير المصروفات حسب الشهر'!D902</f>
        <v>8733</v>
      </c>
      <c r="K18" s="292">
        <f>'تقرير المصروفات حسب الشهر'!D1029</f>
        <v>31783</v>
      </c>
      <c r="L18" s="292">
        <f>IFERROR(VLOOKUP(B18,'تقرير المصروفات حسب الشهر'!$C$1143:$AD$1254,2,FALSE),0)</f>
        <v>8707</v>
      </c>
      <c r="M18" s="292">
        <f>IFERROR(VLOOKUP(B18,'تقرير المصروفات حسب الشهر'!$C$1270:$AD$1381,2,FALSE),0)</f>
        <v>10290</v>
      </c>
      <c r="N18" s="292" t="e">
        <f>#REF!</f>
        <v>#REF!</v>
      </c>
      <c r="O18" s="296" t="e">
        <f t="shared" si="0"/>
        <v>#REF!</v>
      </c>
    </row>
    <row r="19" spans="2:15" ht="17.399999999999999">
      <c r="B19" s="291" t="s">
        <v>158</v>
      </c>
      <c r="C19" s="292">
        <f>'تقرير المصروفات حسب الشهر'!D23</f>
        <v>2180</v>
      </c>
      <c r="D19" s="292" t="e">
        <f>#REF!</f>
        <v>#REF!</v>
      </c>
      <c r="E19" s="292" t="e">
        <f>#REF!</f>
        <v>#REF!</v>
      </c>
      <c r="F19" s="292" t="e">
        <f>#REF!</f>
        <v>#REF!</v>
      </c>
      <c r="G19" s="292" t="e">
        <f>#REF!</f>
        <v>#REF!</v>
      </c>
      <c r="H19" s="292" t="e">
        <f>#REF!</f>
        <v>#REF!</v>
      </c>
      <c r="I19" s="292">
        <f>'تقرير المصروفات حسب الشهر'!D776</f>
        <v>1268</v>
      </c>
      <c r="J19" s="292">
        <f>'تقرير المصروفات حسب الشهر'!D903</f>
        <v>34084</v>
      </c>
      <c r="K19" s="292">
        <f>'تقرير المصروفات حسب الشهر'!D1030</f>
        <v>460</v>
      </c>
      <c r="L19" s="292">
        <f>IFERROR(VLOOKUP(B19,'تقرير المصروفات حسب الشهر'!$C$1143:$AD$1254,2,FALSE),0)</f>
        <v>420</v>
      </c>
      <c r="M19" s="292">
        <f>IFERROR(VLOOKUP(B19,'تقرير المصروفات حسب الشهر'!$C$1270:$AD$1381,2,FALSE),0)</f>
        <v>17956</v>
      </c>
      <c r="N19" s="292" t="e">
        <f>#REF!</f>
        <v>#REF!</v>
      </c>
      <c r="O19" s="296" t="e">
        <f t="shared" si="0"/>
        <v>#REF!</v>
      </c>
    </row>
    <row r="20" spans="2:15" ht="17.399999999999999">
      <c r="B20" s="291" t="s">
        <v>50</v>
      </c>
      <c r="C20" s="292">
        <f>'تقرير المصروفات حسب الشهر'!D24</f>
        <v>750</v>
      </c>
      <c r="D20" s="292" t="e">
        <f>#REF!</f>
        <v>#REF!</v>
      </c>
      <c r="E20" s="292" t="e">
        <f>#REF!</f>
        <v>#REF!</v>
      </c>
      <c r="F20" s="292" t="e">
        <f>#REF!</f>
        <v>#REF!</v>
      </c>
      <c r="G20" s="292" t="e">
        <f>#REF!</f>
        <v>#REF!</v>
      </c>
      <c r="H20" s="292" t="e">
        <f>#REF!</f>
        <v>#REF!</v>
      </c>
      <c r="I20" s="292">
        <f>'تقرير المصروفات حسب الشهر'!D777</f>
        <v>0</v>
      </c>
      <c r="J20" s="292">
        <f>'تقرير المصروفات حسب الشهر'!D904</f>
        <v>4620</v>
      </c>
      <c r="K20" s="292">
        <f>'تقرير المصروفات حسب الشهر'!D1031</f>
        <v>0</v>
      </c>
      <c r="L20" s="292">
        <f>IFERROR(VLOOKUP(B20,'تقرير المصروفات حسب الشهر'!$C$1143:$AD$1254,2,FALSE),0)</f>
        <v>4620</v>
      </c>
      <c r="M20" s="292">
        <f>IFERROR(VLOOKUP(B20,'تقرير المصروفات حسب الشهر'!$C$1270:$AD$1381,2,FALSE),0)</f>
        <v>0</v>
      </c>
      <c r="N20" s="292" t="e">
        <f>#REF!</f>
        <v>#REF!</v>
      </c>
      <c r="O20" s="296" t="e">
        <f t="shared" si="0"/>
        <v>#REF!</v>
      </c>
    </row>
    <row r="21" spans="2:15" ht="17.399999999999999">
      <c r="B21" s="291" t="s">
        <v>51</v>
      </c>
      <c r="C21" s="292">
        <f>'تقرير المصروفات حسب الشهر'!D25</f>
        <v>0</v>
      </c>
      <c r="D21" s="292" t="e">
        <f>#REF!</f>
        <v>#REF!</v>
      </c>
      <c r="E21" s="292" t="e">
        <f>#REF!</f>
        <v>#REF!</v>
      </c>
      <c r="F21" s="292" t="e">
        <f>#REF!</f>
        <v>#REF!</v>
      </c>
      <c r="G21" s="292" t="e">
        <f>#REF!</f>
        <v>#REF!</v>
      </c>
      <c r="H21" s="292" t="e">
        <f>#REF!</f>
        <v>#REF!</v>
      </c>
      <c r="I21" s="292">
        <f>'تقرير المصروفات حسب الشهر'!D778</f>
        <v>0</v>
      </c>
      <c r="J21" s="292">
        <f>'تقرير المصروفات حسب الشهر'!D905</f>
        <v>0</v>
      </c>
      <c r="K21" s="292">
        <f>'تقرير المصروفات حسب الشهر'!D1032</f>
        <v>0</v>
      </c>
      <c r="L21" s="292">
        <f>IFERROR(VLOOKUP(B21,'تقرير المصروفات حسب الشهر'!$C$1143:$AD$1254,2,FALSE),0)</f>
        <v>0</v>
      </c>
      <c r="M21" s="292">
        <f>IFERROR(VLOOKUP(B21,'تقرير المصروفات حسب الشهر'!$C$1270:$AD$1381,2,FALSE),0)</f>
        <v>0</v>
      </c>
      <c r="N21" s="292" t="e">
        <f>#REF!</f>
        <v>#REF!</v>
      </c>
      <c r="O21" s="296" t="e">
        <f t="shared" si="0"/>
        <v>#REF!</v>
      </c>
    </row>
    <row r="22" spans="2:15" ht="17.399999999999999">
      <c r="B22" s="291" t="s">
        <v>52</v>
      </c>
      <c r="C22" s="292">
        <f>'تقرير المصروفات حسب الشهر'!D26</f>
        <v>0</v>
      </c>
      <c r="D22" s="292" t="e">
        <f>#REF!</f>
        <v>#REF!</v>
      </c>
      <c r="E22" s="292" t="e">
        <f>#REF!</f>
        <v>#REF!</v>
      </c>
      <c r="F22" s="292" t="e">
        <f>#REF!</f>
        <v>#REF!</v>
      </c>
      <c r="G22" s="292" t="e">
        <f>#REF!</f>
        <v>#REF!</v>
      </c>
      <c r="H22" s="292" t="e">
        <f>#REF!</f>
        <v>#REF!</v>
      </c>
      <c r="I22" s="292">
        <f>'تقرير المصروفات حسب الشهر'!D779</f>
        <v>0</v>
      </c>
      <c r="J22" s="292">
        <f>'تقرير المصروفات حسب الشهر'!D906</f>
        <v>0</v>
      </c>
      <c r="K22" s="292">
        <f>'تقرير المصروفات حسب الشهر'!D1033</f>
        <v>0</v>
      </c>
      <c r="L22" s="292">
        <f>IFERROR(VLOOKUP(B22,'تقرير المصروفات حسب الشهر'!$C$1143:$AD$1254,2,FALSE),0)</f>
        <v>0</v>
      </c>
      <c r="M22" s="292">
        <f>IFERROR(VLOOKUP(B22,'تقرير المصروفات حسب الشهر'!$C$1270:$AD$1381,2,FALSE),0)</f>
        <v>0</v>
      </c>
      <c r="N22" s="292" t="e">
        <f>#REF!</f>
        <v>#REF!</v>
      </c>
      <c r="O22" s="296" t="e">
        <f t="shared" si="0"/>
        <v>#REF!</v>
      </c>
    </row>
    <row r="23" spans="2:15" ht="17.399999999999999">
      <c r="B23" s="291" t="s">
        <v>174</v>
      </c>
      <c r="C23" s="292">
        <f>'تقرير المصروفات حسب الشهر'!D27</f>
        <v>410</v>
      </c>
      <c r="D23" s="292" t="e">
        <f>#REF!</f>
        <v>#REF!</v>
      </c>
      <c r="E23" s="292" t="e">
        <f>#REF!</f>
        <v>#REF!</v>
      </c>
      <c r="F23" s="292" t="e">
        <f>#REF!</f>
        <v>#REF!</v>
      </c>
      <c r="G23" s="292" t="e">
        <f>#REF!</f>
        <v>#REF!</v>
      </c>
      <c r="H23" s="292" t="e">
        <f>#REF!</f>
        <v>#REF!</v>
      </c>
      <c r="I23" s="292">
        <f>'تقرير المصروفات حسب الشهر'!D780</f>
        <v>10000</v>
      </c>
      <c r="J23" s="292">
        <f>'تقرير المصروفات حسب الشهر'!D907</f>
        <v>9420</v>
      </c>
      <c r="K23" s="292">
        <f>'تقرير المصروفات حسب الشهر'!D1034</f>
        <v>1100</v>
      </c>
      <c r="L23" s="292">
        <f>IFERROR(VLOOKUP(B23,'تقرير المصروفات حسب الشهر'!$C$1143:$AD$1254,2,FALSE),0)</f>
        <v>1700</v>
      </c>
      <c r="M23" s="292">
        <f>IFERROR(VLOOKUP(B23,'تقرير المصروفات حسب الشهر'!$C$1270:$AD$1381,2,FALSE),0)</f>
        <v>250</v>
      </c>
      <c r="N23" s="292" t="e">
        <f>#REF!</f>
        <v>#REF!</v>
      </c>
      <c r="O23" s="296" t="e">
        <f t="shared" si="0"/>
        <v>#REF!</v>
      </c>
    </row>
    <row r="24" spans="2:15" ht="17.399999999999999">
      <c r="B24" s="291" t="s">
        <v>53</v>
      </c>
      <c r="C24" s="292">
        <f>'تقرير المصروفات حسب الشهر'!D28</f>
        <v>4400</v>
      </c>
      <c r="D24" s="292" t="e">
        <f>#REF!</f>
        <v>#REF!</v>
      </c>
      <c r="E24" s="292" t="e">
        <f>#REF!</f>
        <v>#REF!</v>
      </c>
      <c r="F24" s="292" t="e">
        <f>#REF!</f>
        <v>#REF!</v>
      </c>
      <c r="G24" s="292" t="e">
        <f>#REF!</f>
        <v>#REF!</v>
      </c>
      <c r="H24" s="292" t="e">
        <f>#REF!</f>
        <v>#REF!</v>
      </c>
      <c r="I24" s="292">
        <f>'تقرير المصروفات حسب الشهر'!D781</f>
        <v>18352</v>
      </c>
      <c r="J24" s="292">
        <f>'تقرير المصروفات حسب الشهر'!D908</f>
        <v>16516</v>
      </c>
      <c r="K24" s="292">
        <f>'تقرير المصروفات حسب الشهر'!D1035</f>
        <v>48200</v>
      </c>
      <c r="L24" s="292">
        <f>IFERROR(VLOOKUP(B24,'تقرير المصروفات حسب الشهر'!$C$1143:$AD$1254,2,FALSE),0)</f>
        <v>3500</v>
      </c>
      <c r="M24" s="292">
        <f>IFERROR(VLOOKUP(B24,'تقرير المصروفات حسب الشهر'!$C$1270:$AD$1381,2,FALSE),0)</f>
        <v>5270</v>
      </c>
      <c r="N24" s="292" t="e">
        <f>#REF!</f>
        <v>#REF!</v>
      </c>
      <c r="O24" s="296" t="e">
        <f t="shared" si="0"/>
        <v>#REF!</v>
      </c>
    </row>
    <row r="25" spans="2:15" ht="17.399999999999999">
      <c r="B25" s="291" t="s">
        <v>191</v>
      </c>
      <c r="C25" s="292">
        <f>'تقرير المصروفات حسب الشهر'!D29</f>
        <v>54790.58</v>
      </c>
      <c r="D25" s="292" t="e">
        <f>#REF!</f>
        <v>#REF!</v>
      </c>
      <c r="E25" s="292" t="e">
        <f>#REF!</f>
        <v>#REF!</v>
      </c>
      <c r="F25" s="292" t="e">
        <f>#REF!</f>
        <v>#REF!</v>
      </c>
      <c r="G25" s="292" t="e">
        <f>#REF!</f>
        <v>#REF!</v>
      </c>
      <c r="H25" s="292" t="e">
        <f>#REF!</f>
        <v>#REF!</v>
      </c>
      <c r="I25" s="292">
        <f>'تقرير المصروفات حسب الشهر'!D782</f>
        <v>61995.77</v>
      </c>
      <c r="J25" s="292">
        <f>'تقرير المصروفات حسب الشهر'!D909</f>
        <v>70347.5</v>
      </c>
      <c r="K25" s="292">
        <f>'تقرير المصروفات حسب الشهر'!D1036</f>
        <v>112535.73</v>
      </c>
      <c r="L25" s="292">
        <f>IFERROR(VLOOKUP(B25,'تقرير المصروفات حسب الشهر'!$C$1143:$AD$1254,2,FALSE),0)</f>
        <v>44384.25</v>
      </c>
      <c r="M25" s="292">
        <f>IFERROR(VLOOKUP(B25,'تقرير المصروفات حسب الشهر'!$C$1270:$AD$1381,2,FALSE),0)</f>
        <v>51427.37</v>
      </c>
      <c r="N25" s="292" t="e">
        <f>#REF!</f>
        <v>#REF!</v>
      </c>
      <c r="O25" s="296" t="e">
        <f t="shared" si="0"/>
        <v>#REF!</v>
      </c>
    </row>
    <row r="26" spans="2:15" ht="17.399999999999999">
      <c r="B26" s="291" t="s">
        <v>29</v>
      </c>
      <c r="C26" s="292">
        <f>'تقرير المصروفات حسب الشهر'!D30</f>
        <v>0</v>
      </c>
      <c r="D26" s="292" t="e">
        <f>#REF!</f>
        <v>#REF!</v>
      </c>
      <c r="E26" s="292" t="e">
        <f>#REF!</f>
        <v>#REF!</v>
      </c>
      <c r="F26" s="292" t="e">
        <f>#REF!</f>
        <v>#REF!</v>
      </c>
      <c r="G26" s="292" t="e">
        <f>#REF!</f>
        <v>#REF!</v>
      </c>
      <c r="H26" s="292" t="e">
        <f>#REF!</f>
        <v>#REF!</v>
      </c>
      <c r="I26" s="292">
        <f>'تقرير المصروفات حسب الشهر'!D783</f>
        <v>232</v>
      </c>
      <c r="J26" s="292">
        <f>'تقرير المصروفات حسب الشهر'!D910</f>
        <v>0</v>
      </c>
      <c r="K26" s="292">
        <f>'تقرير المصروفات حسب الشهر'!D1037</f>
        <v>185</v>
      </c>
      <c r="L26" s="292">
        <f>IFERROR(VLOOKUP(B26,'تقرير المصروفات حسب الشهر'!$C$1143:$AD$1254,2,FALSE),0)</f>
        <v>55</v>
      </c>
      <c r="M26" s="292">
        <f>IFERROR(VLOOKUP(B26,'تقرير المصروفات حسب الشهر'!$C$1270:$AD$1381,2,FALSE),0)</f>
        <v>0</v>
      </c>
      <c r="N26" s="292" t="e">
        <f>#REF!</f>
        <v>#REF!</v>
      </c>
      <c r="O26" s="296" t="e">
        <f t="shared" si="0"/>
        <v>#REF!</v>
      </c>
    </row>
    <row r="27" spans="2:15" ht="17.399999999999999">
      <c r="B27" s="291" t="s">
        <v>54</v>
      </c>
      <c r="C27" s="292">
        <f>'تقرير المصروفات حسب الشهر'!D31</f>
        <v>0</v>
      </c>
      <c r="D27" s="292" t="e">
        <f>#REF!</f>
        <v>#REF!</v>
      </c>
      <c r="E27" s="292" t="e">
        <f>#REF!</f>
        <v>#REF!</v>
      </c>
      <c r="F27" s="292" t="e">
        <f>#REF!</f>
        <v>#REF!</v>
      </c>
      <c r="G27" s="292" t="e">
        <f>#REF!</f>
        <v>#REF!</v>
      </c>
      <c r="H27" s="292" t="e">
        <f>#REF!</f>
        <v>#REF!</v>
      </c>
      <c r="I27" s="292">
        <f>'تقرير المصروفات حسب الشهر'!D784</f>
        <v>0</v>
      </c>
      <c r="J27" s="292">
        <f>'تقرير المصروفات حسب الشهر'!D911</f>
        <v>0</v>
      </c>
      <c r="K27" s="292">
        <f>'تقرير المصروفات حسب الشهر'!D1038</f>
        <v>0</v>
      </c>
      <c r="L27" s="292">
        <f>IFERROR(VLOOKUP(B27,'تقرير المصروفات حسب الشهر'!$C$1143:$AD$1254,2,FALSE),0)</f>
        <v>0</v>
      </c>
      <c r="M27" s="292">
        <f>IFERROR(VLOOKUP(B27,'تقرير المصروفات حسب الشهر'!$C$1270:$AD$1381,2,FALSE),0)</f>
        <v>0</v>
      </c>
      <c r="N27" s="292" t="e">
        <f>#REF!</f>
        <v>#REF!</v>
      </c>
      <c r="O27" s="296" t="e">
        <f t="shared" si="0"/>
        <v>#REF!</v>
      </c>
    </row>
    <row r="28" spans="2:15" ht="17.399999999999999">
      <c r="B28" s="291" t="s">
        <v>31</v>
      </c>
      <c r="C28" s="292">
        <f>'تقرير المصروفات حسب الشهر'!D32</f>
        <v>1203</v>
      </c>
      <c r="D28" s="292" t="e">
        <f>#REF!</f>
        <v>#REF!</v>
      </c>
      <c r="E28" s="292" t="e">
        <f>#REF!</f>
        <v>#REF!</v>
      </c>
      <c r="F28" s="292" t="e">
        <f>#REF!</f>
        <v>#REF!</v>
      </c>
      <c r="G28" s="292" t="e">
        <f>#REF!</f>
        <v>#REF!</v>
      </c>
      <c r="H28" s="292" t="e">
        <f>#REF!</f>
        <v>#REF!</v>
      </c>
      <c r="I28" s="292">
        <f>'تقرير المصروفات حسب الشهر'!D785</f>
        <v>850</v>
      </c>
      <c r="J28" s="292">
        <f>'تقرير المصروفات حسب الشهر'!D912</f>
        <v>321</v>
      </c>
      <c r="K28" s="292">
        <f>'تقرير المصروفات حسب الشهر'!D1039</f>
        <v>1540.41</v>
      </c>
      <c r="L28" s="292">
        <f>IFERROR(VLOOKUP(B28,'تقرير المصروفات حسب الشهر'!$C$1143:$AD$1254,2,FALSE),0)</f>
        <v>638</v>
      </c>
      <c r="M28" s="292">
        <f>IFERROR(VLOOKUP(B28,'تقرير المصروفات حسب الشهر'!$C$1270:$AD$1381,2,FALSE),0)</f>
        <v>625</v>
      </c>
      <c r="N28" s="292" t="e">
        <f>#REF!</f>
        <v>#REF!</v>
      </c>
      <c r="O28" s="296" t="e">
        <f t="shared" si="0"/>
        <v>#REF!</v>
      </c>
    </row>
    <row r="29" spans="2:15" ht="17.399999999999999">
      <c r="B29" s="291" t="s">
        <v>55</v>
      </c>
      <c r="C29" s="292">
        <f>'تقرير المصروفات حسب الشهر'!D33</f>
        <v>100</v>
      </c>
      <c r="D29" s="292" t="e">
        <f>#REF!</f>
        <v>#REF!</v>
      </c>
      <c r="E29" s="292" t="e">
        <f>#REF!</f>
        <v>#REF!</v>
      </c>
      <c r="F29" s="292" t="e">
        <f>#REF!</f>
        <v>#REF!</v>
      </c>
      <c r="G29" s="292" t="e">
        <f>#REF!</f>
        <v>#REF!</v>
      </c>
      <c r="H29" s="292" t="e">
        <f>#REF!</f>
        <v>#REF!</v>
      </c>
      <c r="I29" s="292">
        <f>'تقرير المصروفات حسب الشهر'!D786</f>
        <v>155</v>
      </c>
      <c r="J29" s="292">
        <f>'تقرير المصروفات حسب الشهر'!D913</f>
        <v>100</v>
      </c>
      <c r="K29" s="292">
        <f>'تقرير المصروفات حسب الشهر'!D1040</f>
        <v>165</v>
      </c>
      <c r="L29" s="292">
        <f>IFERROR(VLOOKUP(B29,'تقرير المصروفات حسب الشهر'!$C$1143:$AD$1254,2,FALSE),0)</f>
        <v>100</v>
      </c>
      <c r="M29" s="292">
        <f>IFERROR(VLOOKUP(B29,'تقرير المصروفات حسب الشهر'!$C$1270:$AD$1381,2,FALSE),0)</f>
        <v>0</v>
      </c>
      <c r="N29" s="292" t="e">
        <f>#REF!</f>
        <v>#REF!</v>
      </c>
      <c r="O29" s="296" t="e">
        <f t="shared" si="0"/>
        <v>#REF!</v>
      </c>
    </row>
    <row r="30" spans="2:15" ht="17.399999999999999">
      <c r="B30" s="291" t="s">
        <v>56</v>
      </c>
      <c r="C30" s="292">
        <f>'تقرير المصروفات حسب الشهر'!D34</f>
        <v>393.97</v>
      </c>
      <c r="D30" s="292" t="e">
        <f>#REF!</f>
        <v>#REF!</v>
      </c>
      <c r="E30" s="292" t="e">
        <f>#REF!</f>
        <v>#REF!</v>
      </c>
      <c r="F30" s="292" t="e">
        <f>#REF!</f>
        <v>#REF!</v>
      </c>
      <c r="G30" s="292" t="e">
        <f>#REF!</f>
        <v>#REF!</v>
      </c>
      <c r="H30" s="292" t="e">
        <f>#REF!</f>
        <v>#REF!</v>
      </c>
      <c r="I30" s="292">
        <f>'تقرير المصروفات حسب الشهر'!D787</f>
        <v>393.97</v>
      </c>
      <c r="J30" s="292">
        <f>'تقرير المصروفات حسب الشهر'!D914</f>
        <v>393.97</v>
      </c>
      <c r="K30" s="292">
        <f>'تقرير المصروفات حسب الشهر'!D1041</f>
        <v>393.97</v>
      </c>
      <c r="L30" s="292">
        <f>IFERROR(VLOOKUP(B30,'تقرير المصروفات حسب الشهر'!$C$1143:$AD$1254,2,FALSE),0)</f>
        <v>393.97</v>
      </c>
      <c r="M30" s="292">
        <f>IFERROR(VLOOKUP(B30,'تقرير المصروفات حسب الشهر'!$C$1270:$AD$1381,2,FALSE),0)</f>
        <v>393.97</v>
      </c>
      <c r="N30" s="292" t="e">
        <f>#REF!</f>
        <v>#REF!</v>
      </c>
      <c r="O30" s="296" t="e">
        <f t="shared" si="0"/>
        <v>#REF!</v>
      </c>
    </row>
    <row r="31" spans="2:15" ht="17.399999999999999">
      <c r="B31" s="291" t="s">
        <v>57</v>
      </c>
      <c r="C31" s="292">
        <f>'تقرير المصروفات حسب الشهر'!D35</f>
        <v>0</v>
      </c>
      <c r="D31" s="292" t="e">
        <f>#REF!</f>
        <v>#REF!</v>
      </c>
      <c r="E31" s="292" t="e">
        <f>#REF!</f>
        <v>#REF!</v>
      </c>
      <c r="F31" s="292" t="e">
        <f>#REF!</f>
        <v>#REF!</v>
      </c>
      <c r="G31" s="292" t="e">
        <f>#REF!</f>
        <v>#REF!</v>
      </c>
      <c r="H31" s="292" t="e">
        <f>#REF!</f>
        <v>#REF!</v>
      </c>
      <c r="I31" s="292">
        <f>'تقرير المصروفات حسب الشهر'!D788</f>
        <v>2600</v>
      </c>
      <c r="J31" s="292">
        <f>'تقرير المصروفات حسب الشهر'!D915</f>
        <v>1950</v>
      </c>
      <c r="K31" s="292">
        <f>'تقرير المصروفات حسب الشهر'!D1042</f>
        <v>0</v>
      </c>
      <c r="L31" s="292">
        <f>IFERROR(VLOOKUP(B31,'تقرير المصروفات حسب الشهر'!$C$1143:$AD$1254,2,FALSE),0)</f>
        <v>4050</v>
      </c>
      <c r="M31" s="292">
        <f>IFERROR(VLOOKUP(B31,'تقرير المصروفات حسب الشهر'!$C$1270:$AD$1381,2,FALSE),0)</f>
        <v>2100</v>
      </c>
      <c r="N31" s="292" t="e">
        <f>#REF!</f>
        <v>#REF!</v>
      </c>
      <c r="O31" s="296" t="e">
        <f t="shared" si="0"/>
        <v>#REF!</v>
      </c>
    </row>
    <row r="32" spans="2:15" ht="17.399999999999999">
      <c r="B32" s="291" t="s">
        <v>58</v>
      </c>
      <c r="C32" s="292">
        <f>'تقرير المصروفات حسب الشهر'!D36</f>
        <v>4005</v>
      </c>
      <c r="D32" s="292" t="e">
        <f>#REF!</f>
        <v>#REF!</v>
      </c>
      <c r="E32" s="292" t="e">
        <f>#REF!</f>
        <v>#REF!</v>
      </c>
      <c r="F32" s="292" t="e">
        <f>#REF!</f>
        <v>#REF!</v>
      </c>
      <c r="G32" s="292" t="e">
        <f>#REF!</f>
        <v>#REF!</v>
      </c>
      <c r="H32" s="292" t="e">
        <f>#REF!</f>
        <v>#REF!</v>
      </c>
      <c r="I32" s="292">
        <f>'تقرير المصروفات حسب الشهر'!D789</f>
        <v>1425</v>
      </c>
      <c r="J32" s="292">
        <f>'تقرير المصروفات حسب الشهر'!D916</f>
        <v>0</v>
      </c>
      <c r="K32" s="292">
        <f>'تقرير المصروفات حسب الشهر'!D1043</f>
        <v>0</v>
      </c>
      <c r="L32" s="292">
        <f>IFERROR(VLOOKUP(B32,'تقرير المصروفات حسب الشهر'!$C$1143:$AD$1254,2,FALSE),0)</f>
        <v>5410</v>
      </c>
      <c r="M32" s="292">
        <f>IFERROR(VLOOKUP(B32,'تقرير المصروفات حسب الشهر'!$C$1270:$AD$1381,2,FALSE),0)</f>
        <v>0</v>
      </c>
      <c r="N32" s="292" t="e">
        <f>#REF!</f>
        <v>#REF!</v>
      </c>
      <c r="O32" s="296" t="e">
        <f t="shared" si="0"/>
        <v>#REF!</v>
      </c>
    </row>
    <row r="33" spans="2:15" ht="17.399999999999999">
      <c r="B33" s="291" t="s">
        <v>59</v>
      </c>
      <c r="C33" s="292">
        <f>'تقرير المصروفات حسب الشهر'!D37</f>
        <v>0</v>
      </c>
      <c r="D33" s="292" t="e">
        <f>#REF!</f>
        <v>#REF!</v>
      </c>
      <c r="E33" s="292" t="e">
        <f>#REF!</f>
        <v>#REF!</v>
      </c>
      <c r="F33" s="292" t="e">
        <f>#REF!</f>
        <v>#REF!</v>
      </c>
      <c r="G33" s="292" t="e">
        <f>#REF!</f>
        <v>#REF!</v>
      </c>
      <c r="H33" s="292" t="e">
        <f>#REF!</f>
        <v>#REF!</v>
      </c>
      <c r="I33" s="292">
        <f>'تقرير المصروفات حسب الشهر'!D790</f>
        <v>0</v>
      </c>
      <c r="J33" s="292">
        <f>'تقرير المصروفات حسب الشهر'!D917</f>
        <v>0</v>
      </c>
      <c r="K33" s="292">
        <f>'تقرير المصروفات حسب الشهر'!D1044</f>
        <v>0</v>
      </c>
      <c r="L33" s="292">
        <f>IFERROR(VLOOKUP(B33,'تقرير المصروفات حسب الشهر'!$C$1143:$AD$1254,2,FALSE),0)</f>
        <v>510</v>
      </c>
      <c r="M33" s="292">
        <f>IFERROR(VLOOKUP(B33,'تقرير المصروفات حسب الشهر'!$C$1270:$AD$1381,2,FALSE),0)</f>
        <v>350</v>
      </c>
      <c r="N33" s="292" t="e">
        <f>#REF!</f>
        <v>#REF!</v>
      </c>
      <c r="O33" s="296" t="e">
        <f t="shared" si="0"/>
        <v>#REF!</v>
      </c>
    </row>
    <row r="34" spans="2:15" ht="17.399999999999999">
      <c r="B34" s="291" t="s">
        <v>60</v>
      </c>
      <c r="C34" s="292">
        <f>'تقرير المصروفات حسب الشهر'!D38</f>
        <v>0</v>
      </c>
      <c r="D34" s="292" t="e">
        <f>#REF!</f>
        <v>#REF!</v>
      </c>
      <c r="E34" s="292" t="e">
        <f>#REF!</f>
        <v>#REF!</v>
      </c>
      <c r="F34" s="292" t="e">
        <f>#REF!</f>
        <v>#REF!</v>
      </c>
      <c r="G34" s="292" t="e">
        <f>#REF!</f>
        <v>#REF!</v>
      </c>
      <c r="H34" s="292" t="e">
        <f>#REF!</f>
        <v>#REF!</v>
      </c>
      <c r="I34" s="292">
        <f>'تقرير المصروفات حسب الشهر'!D791</f>
        <v>0</v>
      </c>
      <c r="J34" s="292">
        <f>'تقرير المصروفات حسب الشهر'!D918</f>
        <v>0</v>
      </c>
      <c r="K34" s="292">
        <f>'تقرير المصروفات حسب الشهر'!D1045</f>
        <v>0</v>
      </c>
      <c r="L34" s="292">
        <f>IFERROR(VLOOKUP(B34,'تقرير المصروفات حسب الشهر'!$C$1143:$AD$1254,2,FALSE),0)</f>
        <v>0</v>
      </c>
      <c r="M34" s="292">
        <f>IFERROR(VLOOKUP(B34,'تقرير المصروفات حسب الشهر'!$C$1270:$AD$1381,2,FALSE),0)</f>
        <v>0</v>
      </c>
      <c r="N34" s="292" t="e">
        <f>#REF!</f>
        <v>#REF!</v>
      </c>
      <c r="O34" s="296" t="e">
        <f t="shared" si="0"/>
        <v>#REF!</v>
      </c>
    </row>
    <row r="35" spans="2:15" ht="17.399999999999999">
      <c r="B35" s="291" t="s">
        <v>61</v>
      </c>
      <c r="C35" s="292">
        <f>'تقرير المصروفات حسب الشهر'!D39</f>
        <v>11050</v>
      </c>
      <c r="D35" s="292" t="e">
        <f>#REF!</f>
        <v>#REF!</v>
      </c>
      <c r="E35" s="292" t="e">
        <f>#REF!</f>
        <v>#REF!</v>
      </c>
      <c r="F35" s="292" t="e">
        <f>#REF!</f>
        <v>#REF!</v>
      </c>
      <c r="G35" s="292" t="e">
        <f>#REF!</f>
        <v>#REF!</v>
      </c>
      <c r="H35" s="292" t="e">
        <f>#REF!</f>
        <v>#REF!</v>
      </c>
      <c r="I35" s="292">
        <f>'تقرير المصروفات حسب الشهر'!D792</f>
        <v>13000</v>
      </c>
      <c r="J35" s="292">
        <f>'تقرير المصروفات حسب الشهر'!D919</f>
        <v>2390</v>
      </c>
      <c r="K35" s="292">
        <f>'تقرير المصروفات حسب الشهر'!D1046</f>
        <v>1950</v>
      </c>
      <c r="L35" s="292">
        <f>IFERROR(VLOOKUP(B35,'تقرير المصروفات حسب الشهر'!$C$1143:$AD$1254,2,FALSE),0)</f>
        <v>1950</v>
      </c>
      <c r="M35" s="292">
        <f>IFERROR(VLOOKUP(B35,'تقرير المصروفات حسب الشهر'!$C$1270:$AD$1381,2,FALSE),0)</f>
        <v>2020</v>
      </c>
      <c r="N35" s="292" t="e">
        <f>#REF!</f>
        <v>#REF!</v>
      </c>
      <c r="O35" s="296" t="e">
        <f t="shared" si="0"/>
        <v>#REF!</v>
      </c>
    </row>
    <row r="36" spans="2:15" ht="17.399999999999999">
      <c r="B36" s="291" t="s">
        <v>62</v>
      </c>
      <c r="C36" s="292">
        <f>'تقرير المصروفات حسب الشهر'!D40</f>
        <v>110738</v>
      </c>
      <c r="D36" s="292" t="e">
        <f>#REF!</f>
        <v>#REF!</v>
      </c>
      <c r="E36" s="292" t="e">
        <f>#REF!</f>
        <v>#REF!</v>
      </c>
      <c r="F36" s="292" t="e">
        <f>#REF!</f>
        <v>#REF!</v>
      </c>
      <c r="G36" s="292" t="e">
        <f>#REF!</f>
        <v>#REF!</v>
      </c>
      <c r="H36" s="292" t="e">
        <f>#REF!</f>
        <v>#REF!</v>
      </c>
      <c r="I36" s="292">
        <f>'تقرير المصروفات حسب الشهر'!D793</f>
        <v>33388</v>
      </c>
      <c r="J36" s="292">
        <f>'تقرير المصروفات حسب الشهر'!D920</f>
        <v>20800</v>
      </c>
      <c r="K36" s="292">
        <f>'تقرير المصروفات حسب الشهر'!D1047</f>
        <v>15000</v>
      </c>
      <c r="L36" s="292">
        <f>IFERROR(VLOOKUP(B36,'تقرير المصروفات حسب الشهر'!$C$1143:$AD$1254,2,FALSE),0)</f>
        <v>57575</v>
      </c>
      <c r="M36" s="292">
        <f>IFERROR(VLOOKUP(B36,'تقرير المصروفات حسب الشهر'!$C$1270:$AD$1381,2,FALSE),0)</f>
        <v>20150</v>
      </c>
      <c r="N36" s="292" t="e">
        <f>#REF!</f>
        <v>#REF!</v>
      </c>
      <c r="O36" s="296" t="e">
        <f t="shared" si="0"/>
        <v>#REF!</v>
      </c>
    </row>
    <row r="37" spans="2:15" ht="17.399999999999999">
      <c r="B37" s="291" t="s">
        <v>63</v>
      </c>
      <c r="C37" s="292">
        <f>'تقرير المصروفات حسب الشهر'!D41</f>
        <v>0</v>
      </c>
      <c r="D37" s="292" t="e">
        <f>#REF!</f>
        <v>#REF!</v>
      </c>
      <c r="E37" s="292" t="e">
        <f>#REF!</f>
        <v>#REF!</v>
      </c>
      <c r="F37" s="292" t="e">
        <f>#REF!</f>
        <v>#REF!</v>
      </c>
      <c r="G37" s="292" t="e">
        <f>#REF!</f>
        <v>#REF!</v>
      </c>
      <c r="H37" s="292" t="e">
        <f>#REF!</f>
        <v>#REF!</v>
      </c>
      <c r="I37" s="292">
        <f>'تقرير المصروفات حسب الشهر'!D794</f>
        <v>0</v>
      </c>
      <c r="J37" s="292">
        <f>'تقرير المصروفات حسب الشهر'!D921</f>
        <v>3000</v>
      </c>
      <c r="K37" s="292">
        <f>'تقرير المصروفات حسب الشهر'!D1048</f>
        <v>0</v>
      </c>
      <c r="L37" s="292">
        <f>IFERROR(VLOOKUP(B37,'تقرير المصروفات حسب الشهر'!$C$1143:$AD$1254,2,FALSE),0)</f>
        <v>0</v>
      </c>
      <c r="M37" s="292">
        <f>IFERROR(VLOOKUP(B37,'تقرير المصروفات حسب الشهر'!$C$1270:$AD$1381,2,FALSE),0)</f>
        <v>0</v>
      </c>
      <c r="N37" s="292" t="e">
        <f>#REF!</f>
        <v>#REF!</v>
      </c>
      <c r="O37" s="296" t="e">
        <f t="shared" si="0"/>
        <v>#REF!</v>
      </c>
    </row>
    <row r="38" spans="2:15" ht="17.399999999999999">
      <c r="B38" s="291" t="s">
        <v>64</v>
      </c>
      <c r="C38" s="292">
        <f>'تقرير المصروفات حسب الشهر'!D42</f>
        <v>0</v>
      </c>
      <c r="D38" s="292" t="e">
        <f>#REF!</f>
        <v>#REF!</v>
      </c>
      <c r="E38" s="292" t="e">
        <f>#REF!</f>
        <v>#REF!</v>
      </c>
      <c r="F38" s="292" t="e">
        <f>#REF!</f>
        <v>#REF!</v>
      </c>
      <c r="G38" s="292" t="e">
        <f>#REF!</f>
        <v>#REF!</v>
      </c>
      <c r="H38" s="292" t="e">
        <f>#REF!</f>
        <v>#REF!</v>
      </c>
      <c r="I38" s="292">
        <f>'تقرير المصروفات حسب الشهر'!D795</f>
        <v>9000</v>
      </c>
      <c r="J38" s="292">
        <f>'تقرير المصروفات حسب الشهر'!D922</f>
        <v>4500</v>
      </c>
      <c r="K38" s="292">
        <f>'تقرير المصروفات حسب الشهر'!D1049</f>
        <v>0</v>
      </c>
      <c r="L38" s="292">
        <f>IFERROR(VLOOKUP(B38,'تقرير المصروفات حسب الشهر'!$C$1143:$AD$1254,2,FALSE),0)</f>
        <v>5000</v>
      </c>
      <c r="M38" s="292">
        <f>IFERROR(VLOOKUP(B38,'تقرير المصروفات حسب الشهر'!$C$1270:$AD$1381,2,FALSE),0)</f>
        <v>5000</v>
      </c>
      <c r="N38" s="292" t="e">
        <f>#REF!</f>
        <v>#REF!</v>
      </c>
      <c r="O38" s="296" t="e">
        <f t="shared" si="0"/>
        <v>#REF!</v>
      </c>
    </row>
    <row r="39" spans="2:15" ht="17.399999999999999">
      <c r="B39" s="291" t="s">
        <v>28</v>
      </c>
      <c r="C39" s="292">
        <f>'تقرير المصروفات حسب الشهر'!D43</f>
        <v>15290</v>
      </c>
      <c r="D39" s="292" t="e">
        <f>#REF!</f>
        <v>#REF!</v>
      </c>
      <c r="E39" s="292" t="e">
        <f>#REF!</f>
        <v>#REF!</v>
      </c>
      <c r="F39" s="292" t="e">
        <f>#REF!</f>
        <v>#REF!</v>
      </c>
      <c r="G39" s="292" t="e">
        <f>#REF!</f>
        <v>#REF!</v>
      </c>
      <c r="H39" s="292" t="e">
        <f>#REF!</f>
        <v>#REF!</v>
      </c>
      <c r="I39" s="292">
        <f>'تقرير المصروفات حسب الشهر'!D796</f>
        <v>5090</v>
      </c>
      <c r="J39" s="292">
        <f>'تقرير المصروفات حسب الشهر'!D923</f>
        <v>4700</v>
      </c>
      <c r="K39" s="292">
        <f>'تقرير المصروفات حسب الشهر'!D1050</f>
        <v>12350</v>
      </c>
      <c r="L39" s="292">
        <f>IFERROR(VLOOKUP(B39,'تقرير المصروفات حسب الشهر'!$C$1143:$AD$1254,2,FALSE),0)</f>
        <v>7730</v>
      </c>
      <c r="M39" s="292">
        <f>IFERROR(VLOOKUP(B39,'تقرير المصروفات حسب الشهر'!$C$1270:$AD$1381,2,FALSE),0)</f>
        <v>5130</v>
      </c>
      <c r="N39" s="292" t="e">
        <f>#REF!</f>
        <v>#REF!</v>
      </c>
      <c r="O39" s="296" t="e">
        <f t="shared" si="0"/>
        <v>#REF!</v>
      </c>
    </row>
    <row r="40" spans="2:15" ht="17.399999999999999">
      <c r="B40" s="291" t="s">
        <v>157</v>
      </c>
      <c r="C40" s="292">
        <f>'تقرير المصروفات حسب الشهر'!D44</f>
        <v>0</v>
      </c>
      <c r="D40" s="292" t="e">
        <f>#REF!</f>
        <v>#REF!</v>
      </c>
      <c r="E40" s="292" t="e">
        <f>#REF!</f>
        <v>#REF!</v>
      </c>
      <c r="F40" s="292" t="e">
        <f>#REF!</f>
        <v>#REF!</v>
      </c>
      <c r="G40" s="292" t="e">
        <f>#REF!</f>
        <v>#REF!</v>
      </c>
      <c r="H40" s="292" t="e">
        <f>#REF!</f>
        <v>#REF!</v>
      </c>
      <c r="I40" s="292">
        <f>'تقرير المصروفات حسب الشهر'!D797</f>
        <v>0</v>
      </c>
      <c r="J40" s="292">
        <f>'تقرير المصروفات حسب الشهر'!D924</f>
        <v>0</v>
      </c>
      <c r="K40" s="292">
        <f>'تقرير المصروفات حسب الشهر'!D1051</f>
        <v>0</v>
      </c>
      <c r="L40" s="292">
        <f>IFERROR(VLOOKUP(B40,'تقرير المصروفات حسب الشهر'!$C$1143:$AD$1254,2,FALSE),0)</f>
        <v>0</v>
      </c>
      <c r="M40" s="292">
        <f>IFERROR(VLOOKUP(B40,'تقرير المصروفات حسب الشهر'!$C$1270:$AD$1381,2,FALSE),0)</f>
        <v>0</v>
      </c>
      <c r="N40" s="292" t="e">
        <f>#REF!</f>
        <v>#REF!</v>
      </c>
      <c r="O40" s="296" t="e">
        <f t="shared" si="0"/>
        <v>#REF!</v>
      </c>
    </row>
    <row r="41" spans="2:15" ht="17.399999999999999">
      <c r="B41" s="291" t="s">
        <v>65</v>
      </c>
      <c r="C41" s="292">
        <f>'تقرير المصروفات حسب الشهر'!D45</f>
        <v>8000</v>
      </c>
      <c r="D41" s="292" t="e">
        <f>#REF!</f>
        <v>#REF!</v>
      </c>
      <c r="E41" s="292" t="e">
        <f>#REF!</f>
        <v>#REF!</v>
      </c>
      <c r="F41" s="292" t="e">
        <f>#REF!</f>
        <v>#REF!</v>
      </c>
      <c r="G41" s="292" t="e">
        <f>#REF!</f>
        <v>#REF!</v>
      </c>
      <c r="H41" s="292" t="e">
        <f>#REF!</f>
        <v>#REF!</v>
      </c>
      <c r="I41" s="292">
        <f>'تقرير المصروفات حسب الشهر'!D798</f>
        <v>8000</v>
      </c>
      <c r="J41" s="292">
        <f>'تقرير المصروفات حسب الشهر'!D925</f>
        <v>13000</v>
      </c>
      <c r="K41" s="292">
        <f>'تقرير المصروفات حسب الشهر'!D1052</f>
        <v>8000</v>
      </c>
      <c r="L41" s="292">
        <f>IFERROR(VLOOKUP(B41,'تقرير المصروفات حسب الشهر'!$C$1143:$AD$1254,2,FALSE),0)</f>
        <v>18000</v>
      </c>
      <c r="M41" s="292">
        <f>IFERROR(VLOOKUP(B41,'تقرير المصروفات حسب الشهر'!$C$1270:$AD$1381,2,FALSE),0)</f>
        <v>58000</v>
      </c>
      <c r="N41" s="292" t="e">
        <f>#REF!</f>
        <v>#REF!</v>
      </c>
      <c r="O41" s="296" t="e">
        <f t="shared" si="0"/>
        <v>#REF!</v>
      </c>
    </row>
    <row r="42" spans="2:15" ht="17.399999999999999">
      <c r="B42" s="291" t="s">
        <v>66</v>
      </c>
      <c r="C42" s="292">
        <f>'تقرير المصروفات حسب الشهر'!D46</f>
        <v>0</v>
      </c>
      <c r="D42" s="292" t="e">
        <f>#REF!</f>
        <v>#REF!</v>
      </c>
      <c r="E42" s="292" t="e">
        <f>#REF!</f>
        <v>#REF!</v>
      </c>
      <c r="F42" s="292" t="e">
        <f>#REF!</f>
        <v>#REF!</v>
      </c>
      <c r="G42" s="292" t="e">
        <f>#REF!</f>
        <v>#REF!</v>
      </c>
      <c r="H42" s="292" t="e">
        <f>#REF!</f>
        <v>#REF!</v>
      </c>
      <c r="I42" s="292">
        <f>'تقرير المصروفات حسب الشهر'!D799</f>
        <v>0</v>
      </c>
      <c r="J42" s="292">
        <f>'تقرير المصروفات حسب الشهر'!D926</f>
        <v>0</v>
      </c>
      <c r="K42" s="292">
        <f>'تقرير المصروفات حسب الشهر'!D1053</f>
        <v>0</v>
      </c>
      <c r="L42" s="292">
        <f>IFERROR(VLOOKUP(B42,'تقرير المصروفات حسب الشهر'!$C$1143:$AD$1254,2,FALSE),0)</f>
        <v>0</v>
      </c>
      <c r="M42" s="292">
        <f>IFERROR(VLOOKUP(B42,'تقرير المصروفات حسب الشهر'!$C$1270:$AD$1381,2,FALSE),0)</f>
        <v>0</v>
      </c>
      <c r="N42" s="292" t="e">
        <f>#REF!</f>
        <v>#REF!</v>
      </c>
      <c r="O42" s="296" t="e">
        <f t="shared" si="0"/>
        <v>#REF!</v>
      </c>
    </row>
    <row r="43" spans="2:15" ht="17.399999999999999">
      <c r="B43" s="291" t="s">
        <v>30</v>
      </c>
      <c r="C43" s="292">
        <f>'تقرير المصروفات حسب الشهر'!D47</f>
        <v>22351.98</v>
      </c>
      <c r="D43" s="292" t="e">
        <f>#REF!</f>
        <v>#REF!</v>
      </c>
      <c r="E43" s="292" t="e">
        <f>#REF!</f>
        <v>#REF!</v>
      </c>
      <c r="F43" s="292" t="e">
        <f>#REF!</f>
        <v>#REF!</v>
      </c>
      <c r="G43" s="292" t="e">
        <f>#REF!</f>
        <v>#REF!</v>
      </c>
      <c r="H43" s="292" t="e">
        <f>#REF!</f>
        <v>#REF!</v>
      </c>
      <c r="I43" s="292">
        <f>'تقرير المصروفات حسب الشهر'!D800</f>
        <v>28684.880000000001</v>
      </c>
      <c r="J43" s="292">
        <f>'تقرير المصروفات حسب الشهر'!D927</f>
        <v>14143.99</v>
      </c>
      <c r="K43" s="292">
        <f>'تقرير المصروفات حسب الشهر'!D1054</f>
        <v>31034.48</v>
      </c>
      <c r="L43" s="292">
        <f>IFERROR(VLOOKUP(B43,'تقرير المصروفات حسب الشهر'!$C$1143:$AD$1254,2,FALSE),0)</f>
        <v>12095.26</v>
      </c>
      <c r="M43" s="292">
        <f>IFERROR(VLOOKUP(B43,'تقرير المصروفات حسب الشهر'!$C$1270:$AD$1381,2,FALSE),0)</f>
        <v>8031.16</v>
      </c>
      <c r="N43" s="292" t="e">
        <f>#REF!</f>
        <v>#REF!</v>
      </c>
      <c r="O43" s="296" t="e">
        <f t="shared" si="0"/>
        <v>#REF!</v>
      </c>
    </row>
    <row r="44" spans="2:15" ht="17.399999999999999">
      <c r="B44" s="291" t="s">
        <v>67</v>
      </c>
      <c r="C44" s="292">
        <f>'تقرير المصروفات حسب الشهر'!D48</f>
        <v>0</v>
      </c>
      <c r="D44" s="292" t="e">
        <f>#REF!</f>
        <v>#REF!</v>
      </c>
      <c r="E44" s="292" t="e">
        <f>#REF!</f>
        <v>#REF!</v>
      </c>
      <c r="F44" s="292" t="e">
        <f>#REF!</f>
        <v>#REF!</v>
      </c>
      <c r="G44" s="292" t="e">
        <f>#REF!</f>
        <v>#REF!</v>
      </c>
      <c r="H44" s="292" t="e">
        <f>#REF!</f>
        <v>#REF!</v>
      </c>
      <c r="I44" s="292">
        <f>'تقرير المصروفات حسب الشهر'!D801</f>
        <v>0</v>
      </c>
      <c r="J44" s="292">
        <f>'تقرير المصروفات حسب الشهر'!D928</f>
        <v>39912</v>
      </c>
      <c r="K44" s="292">
        <f>'تقرير المصروفات حسب الشهر'!D1055</f>
        <v>0</v>
      </c>
      <c r="L44" s="292">
        <f>IFERROR(VLOOKUP(B44,'تقرير المصروفات حسب الشهر'!$C$1143:$AD$1254,2,FALSE),0)</f>
        <v>3100</v>
      </c>
      <c r="M44" s="292">
        <f>IFERROR(VLOOKUP(B44,'تقرير المصروفات حسب الشهر'!$C$1270:$AD$1381,2,FALSE),0)</f>
        <v>0</v>
      </c>
      <c r="N44" s="292" t="e">
        <f>#REF!</f>
        <v>#REF!</v>
      </c>
      <c r="O44" s="296" t="e">
        <f t="shared" si="0"/>
        <v>#REF!</v>
      </c>
    </row>
    <row r="45" spans="2:15" ht="17.399999999999999">
      <c r="B45" s="291" t="s">
        <v>111</v>
      </c>
      <c r="C45" s="292">
        <f>'تقرير المصروفات حسب الشهر'!D49</f>
        <v>100</v>
      </c>
      <c r="D45" s="292" t="e">
        <f>#REF!</f>
        <v>#REF!</v>
      </c>
      <c r="E45" s="292" t="e">
        <f>#REF!</f>
        <v>#REF!</v>
      </c>
      <c r="F45" s="292" t="e">
        <f>#REF!</f>
        <v>#REF!</v>
      </c>
      <c r="G45" s="292" t="e">
        <f>#REF!</f>
        <v>#REF!</v>
      </c>
      <c r="H45" s="292" t="e">
        <f>#REF!</f>
        <v>#REF!</v>
      </c>
      <c r="I45" s="292">
        <f>'تقرير المصروفات حسب الشهر'!D802</f>
        <v>0</v>
      </c>
      <c r="J45" s="292">
        <f>'تقرير المصروفات حسب الشهر'!D929</f>
        <v>400</v>
      </c>
      <c r="K45" s="292">
        <f>'تقرير المصروفات حسب الشهر'!D1056</f>
        <v>1550</v>
      </c>
      <c r="L45" s="292">
        <f>IFERROR(VLOOKUP(B45,'تقرير المصروفات حسب الشهر'!$C$1143:$AD$1254,2,FALSE),0)</f>
        <v>0</v>
      </c>
      <c r="M45" s="292">
        <f>IFERROR(VLOOKUP(B45,'تقرير المصروفات حسب الشهر'!$C$1270:$AD$1381,2,FALSE),0)</f>
        <v>2445</v>
      </c>
      <c r="N45" s="292" t="e">
        <f>#REF!</f>
        <v>#REF!</v>
      </c>
      <c r="O45" s="296" t="e">
        <f t="shared" si="0"/>
        <v>#REF!</v>
      </c>
    </row>
    <row r="46" spans="2:15" ht="17.399999999999999">
      <c r="B46" s="291" t="s">
        <v>68</v>
      </c>
      <c r="C46" s="292">
        <f>'تقرير المصروفات حسب الشهر'!D50</f>
        <v>0</v>
      </c>
      <c r="D46" s="292" t="e">
        <f>#REF!</f>
        <v>#REF!</v>
      </c>
      <c r="E46" s="292" t="e">
        <f>#REF!</f>
        <v>#REF!</v>
      </c>
      <c r="F46" s="292" t="e">
        <f>#REF!</f>
        <v>#REF!</v>
      </c>
      <c r="G46" s="292" t="e">
        <f>#REF!</f>
        <v>#REF!</v>
      </c>
      <c r="H46" s="292" t="e">
        <f>#REF!</f>
        <v>#REF!</v>
      </c>
      <c r="I46" s="292">
        <f>'تقرير المصروفات حسب الشهر'!D803</f>
        <v>0</v>
      </c>
      <c r="J46" s="292">
        <f>'تقرير المصروفات حسب الشهر'!D930</f>
        <v>0</v>
      </c>
      <c r="K46" s="292">
        <f>'تقرير المصروفات حسب الشهر'!D1057</f>
        <v>0</v>
      </c>
      <c r="L46" s="292">
        <f>IFERROR(VLOOKUP(B46,'تقرير المصروفات حسب الشهر'!$C$1143:$AD$1254,2,FALSE),0)</f>
        <v>0</v>
      </c>
      <c r="M46" s="292">
        <f>IFERROR(VLOOKUP(B46,'تقرير المصروفات حسب الشهر'!$C$1270:$AD$1381,2,FALSE),0)</f>
        <v>0</v>
      </c>
      <c r="N46" s="292" t="e">
        <f>#REF!</f>
        <v>#REF!</v>
      </c>
      <c r="O46" s="296" t="e">
        <f t="shared" si="0"/>
        <v>#REF!</v>
      </c>
    </row>
    <row r="47" spans="2:15" ht="17.399999999999999">
      <c r="B47" s="291" t="s">
        <v>69</v>
      </c>
      <c r="C47" s="292">
        <f>'تقرير المصروفات حسب الشهر'!D51</f>
        <v>0</v>
      </c>
      <c r="D47" s="292" t="e">
        <f>#REF!</f>
        <v>#REF!</v>
      </c>
      <c r="E47" s="292" t="e">
        <f>#REF!</f>
        <v>#REF!</v>
      </c>
      <c r="F47" s="292" t="e">
        <f>#REF!</f>
        <v>#REF!</v>
      </c>
      <c r="G47" s="292" t="e">
        <f>#REF!</f>
        <v>#REF!</v>
      </c>
      <c r="H47" s="292" t="e">
        <f>#REF!</f>
        <v>#REF!</v>
      </c>
      <c r="I47" s="292">
        <f>'تقرير المصروفات حسب الشهر'!D804</f>
        <v>0</v>
      </c>
      <c r="J47" s="292">
        <f>'تقرير المصروفات حسب الشهر'!D931</f>
        <v>0</v>
      </c>
      <c r="K47" s="292">
        <f>'تقرير المصروفات حسب الشهر'!D1058</f>
        <v>0</v>
      </c>
      <c r="L47" s="292">
        <f>IFERROR(VLOOKUP(B47,'تقرير المصروفات حسب الشهر'!$C$1143:$AD$1254,2,FALSE),0)</f>
        <v>0</v>
      </c>
      <c r="M47" s="292">
        <f>IFERROR(VLOOKUP(B47,'تقرير المصروفات حسب الشهر'!$C$1270:$AD$1381,2,FALSE),0)</f>
        <v>0</v>
      </c>
      <c r="N47" s="292" t="e">
        <f>#REF!</f>
        <v>#REF!</v>
      </c>
      <c r="O47" s="296" t="e">
        <f t="shared" si="0"/>
        <v>#REF!</v>
      </c>
    </row>
    <row r="48" spans="2:15" ht="17.399999999999999">
      <c r="B48" s="291" t="s">
        <v>70</v>
      </c>
      <c r="C48" s="292">
        <f>'تقرير المصروفات حسب الشهر'!D52</f>
        <v>5655</v>
      </c>
      <c r="D48" s="292" t="e">
        <f>#REF!</f>
        <v>#REF!</v>
      </c>
      <c r="E48" s="292" t="e">
        <f>#REF!</f>
        <v>#REF!</v>
      </c>
      <c r="F48" s="292" t="e">
        <f>#REF!</f>
        <v>#REF!</v>
      </c>
      <c r="G48" s="292" t="e">
        <f>#REF!</f>
        <v>#REF!</v>
      </c>
      <c r="H48" s="292" t="e">
        <f>#REF!</f>
        <v>#REF!</v>
      </c>
      <c r="I48" s="292">
        <f>'تقرير المصروفات حسب الشهر'!D805</f>
        <v>1955</v>
      </c>
      <c r="J48" s="292">
        <f>'تقرير المصروفات حسب الشهر'!D932</f>
        <v>6660</v>
      </c>
      <c r="K48" s="292">
        <f>'تقرير المصروفات حسب الشهر'!D1059</f>
        <v>2510</v>
      </c>
      <c r="L48" s="292">
        <f>IFERROR(VLOOKUP(B48,'تقرير المصروفات حسب الشهر'!$C$1143:$AD$1254,2,FALSE),0)</f>
        <v>2080</v>
      </c>
      <c r="M48" s="292">
        <f>IFERROR(VLOOKUP(B48,'تقرير المصروفات حسب الشهر'!$C$1270:$AD$1381,2,FALSE),0)</f>
        <v>610</v>
      </c>
      <c r="N48" s="292" t="e">
        <f>#REF!</f>
        <v>#REF!</v>
      </c>
      <c r="O48" s="296" t="e">
        <f t="shared" si="0"/>
        <v>#REF!</v>
      </c>
    </row>
    <row r="49" spans="2:15" ht="17.399999999999999">
      <c r="B49" s="291" t="s">
        <v>71</v>
      </c>
      <c r="C49" s="292">
        <f>'تقرير المصروفات حسب الشهر'!D53</f>
        <v>0</v>
      </c>
      <c r="D49" s="292" t="e">
        <f>#REF!</f>
        <v>#REF!</v>
      </c>
      <c r="E49" s="292" t="e">
        <f>#REF!</f>
        <v>#REF!</v>
      </c>
      <c r="F49" s="292" t="e">
        <f>#REF!</f>
        <v>#REF!</v>
      </c>
      <c r="G49" s="292" t="e">
        <f>#REF!</f>
        <v>#REF!</v>
      </c>
      <c r="H49" s="292" t="e">
        <f>#REF!</f>
        <v>#REF!</v>
      </c>
      <c r="I49" s="292">
        <f>'تقرير المصروفات حسب الشهر'!D806</f>
        <v>0</v>
      </c>
      <c r="J49" s="292">
        <f>'تقرير المصروفات حسب الشهر'!D933</f>
        <v>0</v>
      </c>
      <c r="K49" s="292">
        <f>'تقرير المصروفات حسب الشهر'!D1060</f>
        <v>0</v>
      </c>
      <c r="L49" s="292">
        <f>IFERROR(VLOOKUP(B49,'تقرير المصروفات حسب الشهر'!$C$1143:$AD$1254,2,FALSE),0)</f>
        <v>0</v>
      </c>
      <c r="M49" s="292">
        <f>IFERROR(VLOOKUP(B49,'تقرير المصروفات حسب الشهر'!$C$1270:$AD$1381,2,FALSE),0)</f>
        <v>0</v>
      </c>
      <c r="N49" s="292" t="e">
        <f>#REF!</f>
        <v>#REF!</v>
      </c>
      <c r="O49" s="296" t="e">
        <f t="shared" si="0"/>
        <v>#REF!</v>
      </c>
    </row>
    <row r="50" spans="2:15" ht="17.399999999999999">
      <c r="B50" s="291" t="s">
        <v>159</v>
      </c>
      <c r="C50" s="292">
        <f>'تقرير المصروفات حسب الشهر'!D54</f>
        <v>15200</v>
      </c>
      <c r="D50" s="292" t="e">
        <f>#REF!</f>
        <v>#REF!</v>
      </c>
      <c r="E50" s="292" t="e">
        <f>#REF!</f>
        <v>#REF!</v>
      </c>
      <c r="F50" s="292" t="e">
        <f>#REF!</f>
        <v>#REF!</v>
      </c>
      <c r="G50" s="292" t="e">
        <f>#REF!</f>
        <v>#REF!</v>
      </c>
      <c r="H50" s="292" t="e">
        <f>#REF!</f>
        <v>#REF!</v>
      </c>
      <c r="I50" s="292">
        <f>'تقرير المصروفات حسب الشهر'!D807</f>
        <v>18755</v>
      </c>
      <c r="J50" s="292">
        <f>'تقرير المصروفات حسب الشهر'!D934</f>
        <v>22715</v>
      </c>
      <c r="K50" s="292">
        <f>'تقرير المصروفات حسب الشهر'!D1061</f>
        <v>22310</v>
      </c>
      <c r="L50" s="292">
        <f>IFERROR(VLOOKUP(B50,'تقرير المصروفات حسب الشهر'!$C$1143:$AD$1254,2,FALSE),0)</f>
        <v>20840</v>
      </c>
      <c r="M50" s="292">
        <f>IFERROR(VLOOKUP(B50,'تقرير المصروفات حسب الشهر'!$C$1270:$AD$1381,2,FALSE),0)</f>
        <v>18085</v>
      </c>
      <c r="N50" s="292" t="e">
        <f>#REF!</f>
        <v>#REF!</v>
      </c>
      <c r="O50" s="296" t="e">
        <f t="shared" si="0"/>
        <v>#REF!</v>
      </c>
    </row>
    <row r="51" spans="2:15" ht="17.399999999999999">
      <c r="B51" s="291" t="s">
        <v>72</v>
      </c>
      <c r="C51" s="292">
        <f>'تقرير المصروفات حسب الشهر'!D55</f>
        <v>6000</v>
      </c>
      <c r="D51" s="292" t="e">
        <f>#REF!</f>
        <v>#REF!</v>
      </c>
      <c r="E51" s="292" t="e">
        <f>#REF!</f>
        <v>#REF!</v>
      </c>
      <c r="F51" s="292" t="e">
        <f>#REF!</f>
        <v>#REF!</v>
      </c>
      <c r="G51" s="292" t="e">
        <f>#REF!</f>
        <v>#REF!</v>
      </c>
      <c r="H51" s="292" t="e">
        <f>#REF!</f>
        <v>#REF!</v>
      </c>
      <c r="I51" s="292">
        <f>'تقرير المصروفات حسب الشهر'!D808</f>
        <v>0</v>
      </c>
      <c r="J51" s="292">
        <f>'تقرير المصروفات حسب الشهر'!D935</f>
        <v>7050</v>
      </c>
      <c r="K51" s="292">
        <f>'تقرير المصروفات حسب الشهر'!D1062</f>
        <v>6000</v>
      </c>
      <c r="L51" s="292">
        <f>IFERROR(VLOOKUP(B51,'تقرير المصروفات حسب الشهر'!$C$1143:$AD$1254,2,FALSE),0)</f>
        <v>6000</v>
      </c>
      <c r="M51" s="292">
        <f>IFERROR(VLOOKUP(B51,'تقرير المصروفات حسب الشهر'!$C$1270:$AD$1381,2,FALSE),0)</f>
        <v>7050</v>
      </c>
      <c r="N51" s="292" t="e">
        <f>#REF!</f>
        <v>#REF!</v>
      </c>
      <c r="O51" s="296" t="e">
        <f t="shared" si="0"/>
        <v>#REF!</v>
      </c>
    </row>
    <row r="52" spans="2:15" ht="17.399999999999999">
      <c r="B52" s="291" t="s">
        <v>73</v>
      </c>
      <c r="C52" s="292">
        <f>'تقرير المصروفات حسب الشهر'!D56</f>
        <v>0</v>
      </c>
      <c r="D52" s="292" t="e">
        <f>#REF!</f>
        <v>#REF!</v>
      </c>
      <c r="E52" s="292" t="e">
        <f>#REF!</f>
        <v>#REF!</v>
      </c>
      <c r="F52" s="292" t="e">
        <f>#REF!</f>
        <v>#REF!</v>
      </c>
      <c r="G52" s="292" t="e">
        <f>#REF!</f>
        <v>#REF!</v>
      </c>
      <c r="H52" s="292" t="e">
        <f>#REF!</f>
        <v>#REF!</v>
      </c>
      <c r="I52" s="292">
        <f>'تقرير المصروفات حسب الشهر'!D809</f>
        <v>0</v>
      </c>
      <c r="J52" s="292">
        <f>'تقرير المصروفات حسب الشهر'!D936</f>
        <v>0</v>
      </c>
      <c r="K52" s="292">
        <f>'تقرير المصروفات حسب الشهر'!D1063</f>
        <v>0</v>
      </c>
      <c r="L52" s="292">
        <f>IFERROR(VLOOKUP(B52,'تقرير المصروفات حسب الشهر'!$C$1143:$AD$1254,2,FALSE),0)</f>
        <v>0</v>
      </c>
      <c r="M52" s="292">
        <f>IFERROR(VLOOKUP(B52,'تقرير المصروفات حسب الشهر'!$C$1270:$AD$1381,2,FALSE),0)</f>
        <v>0</v>
      </c>
      <c r="N52" s="292" t="e">
        <f>#REF!</f>
        <v>#REF!</v>
      </c>
      <c r="O52" s="296" t="e">
        <f t="shared" si="0"/>
        <v>#REF!</v>
      </c>
    </row>
    <row r="53" spans="2:15" ht="17.399999999999999">
      <c r="B53" s="291" t="s">
        <v>74</v>
      </c>
      <c r="C53" s="292">
        <f>'تقرير المصروفات حسب الشهر'!D57</f>
        <v>0</v>
      </c>
      <c r="D53" s="292" t="e">
        <f>#REF!</f>
        <v>#REF!</v>
      </c>
      <c r="E53" s="292" t="e">
        <f>#REF!</f>
        <v>#REF!</v>
      </c>
      <c r="F53" s="292" t="e">
        <f>#REF!</f>
        <v>#REF!</v>
      </c>
      <c r="G53" s="292" t="e">
        <f>#REF!</f>
        <v>#REF!</v>
      </c>
      <c r="H53" s="292" t="e">
        <f>#REF!</f>
        <v>#REF!</v>
      </c>
      <c r="I53" s="292">
        <f>'تقرير المصروفات حسب الشهر'!D810</f>
        <v>9015</v>
      </c>
      <c r="J53" s="292">
        <f>'تقرير المصروفات حسب الشهر'!D937</f>
        <v>45331</v>
      </c>
      <c r="K53" s="292">
        <f>'تقرير المصروفات حسب الشهر'!D1064</f>
        <v>1750</v>
      </c>
      <c r="L53" s="292">
        <f>IFERROR(VLOOKUP(B53,'تقرير المصروفات حسب الشهر'!$C$1143:$AD$1254,2,FALSE),0)</f>
        <v>0</v>
      </c>
      <c r="M53" s="292">
        <f>IFERROR(VLOOKUP(B53,'تقرير المصروفات حسب الشهر'!$C$1270:$AD$1381,2,FALSE),0)</f>
        <v>0</v>
      </c>
      <c r="N53" s="292" t="e">
        <f>#REF!</f>
        <v>#REF!</v>
      </c>
      <c r="O53" s="296" t="e">
        <f t="shared" si="0"/>
        <v>#REF!</v>
      </c>
    </row>
    <row r="54" spans="2:15" ht="17.399999999999999">
      <c r="B54" s="291" t="s">
        <v>246</v>
      </c>
      <c r="C54" s="292">
        <f>'تقرير المصروفات حسب الشهر'!D58</f>
        <v>1300</v>
      </c>
      <c r="D54" s="292" t="e">
        <f>#REF!</f>
        <v>#REF!</v>
      </c>
      <c r="E54" s="292" t="e">
        <f>#REF!</f>
        <v>#REF!</v>
      </c>
      <c r="F54" s="292" t="e">
        <f>#REF!</f>
        <v>#REF!</v>
      </c>
      <c r="G54" s="292" t="e">
        <f>#REF!</f>
        <v>#REF!</v>
      </c>
      <c r="H54" s="292" t="e">
        <f>#REF!</f>
        <v>#REF!</v>
      </c>
      <c r="I54" s="292">
        <f>'تقرير المصروفات حسب الشهر'!D811</f>
        <v>0</v>
      </c>
      <c r="J54" s="292">
        <f>'تقرير المصروفات حسب الشهر'!D938</f>
        <v>0</v>
      </c>
      <c r="K54" s="292">
        <f>'تقرير المصروفات حسب الشهر'!D1065</f>
        <v>0</v>
      </c>
      <c r="L54" s="292">
        <f>IFERROR(VLOOKUP(B54,'تقرير المصروفات حسب الشهر'!$C$1143:$AD$1254,2,FALSE),0)</f>
        <v>1000</v>
      </c>
      <c r="M54" s="292">
        <f>IFERROR(VLOOKUP(B54,'تقرير المصروفات حسب الشهر'!$C$1270:$AD$1381,2,FALSE),0)</f>
        <v>6255</v>
      </c>
      <c r="N54" s="292" t="e">
        <f>#REF!</f>
        <v>#REF!</v>
      </c>
      <c r="O54" s="296" t="e">
        <f t="shared" si="0"/>
        <v>#REF!</v>
      </c>
    </row>
    <row r="55" spans="2:15" ht="17.399999999999999">
      <c r="B55" s="291" t="s">
        <v>75</v>
      </c>
      <c r="C55" s="292">
        <f>'تقرير المصروفات حسب الشهر'!D59</f>
        <v>8285</v>
      </c>
      <c r="D55" s="292" t="e">
        <f>#REF!</f>
        <v>#REF!</v>
      </c>
      <c r="E55" s="292" t="e">
        <f>#REF!</f>
        <v>#REF!</v>
      </c>
      <c r="F55" s="292" t="e">
        <f>#REF!</f>
        <v>#REF!</v>
      </c>
      <c r="G55" s="292" t="e">
        <f>#REF!</f>
        <v>#REF!</v>
      </c>
      <c r="H55" s="292" t="e">
        <f>#REF!</f>
        <v>#REF!</v>
      </c>
      <c r="I55" s="292">
        <f>'تقرير المصروفات حسب الشهر'!D812</f>
        <v>0</v>
      </c>
      <c r="J55" s="292">
        <f>'تقرير المصروفات حسب الشهر'!D939</f>
        <v>0</v>
      </c>
      <c r="K55" s="292">
        <f>'تقرير المصروفات حسب الشهر'!D1066</f>
        <v>0</v>
      </c>
      <c r="L55" s="292">
        <f>IFERROR(VLOOKUP(B55,'تقرير المصروفات حسب الشهر'!$C$1143:$AD$1254,2,FALSE),0)</f>
        <v>0</v>
      </c>
      <c r="M55" s="292">
        <f>IFERROR(VLOOKUP(B55,'تقرير المصروفات حسب الشهر'!$C$1270:$AD$1381,2,FALSE),0)</f>
        <v>0</v>
      </c>
      <c r="N55" s="292" t="e">
        <f>#REF!</f>
        <v>#REF!</v>
      </c>
      <c r="O55" s="296" t="e">
        <f t="shared" si="0"/>
        <v>#REF!</v>
      </c>
    </row>
    <row r="56" spans="2:15" ht="17.399999999999999">
      <c r="B56" s="291" t="s">
        <v>76</v>
      </c>
      <c r="C56" s="292">
        <f>'تقرير المصروفات حسب الشهر'!D60</f>
        <v>0</v>
      </c>
      <c r="D56" s="292" t="e">
        <f>#REF!</f>
        <v>#REF!</v>
      </c>
      <c r="E56" s="292" t="e">
        <f>#REF!</f>
        <v>#REF!</v>
      </c>
      <c r="F56" s="292" t="e">
        <f>#REF!</f>
        <v>#REF!</v>
      </c>
      <c r="G56" s="292" t="e">
        <f>#REF!</f>
        <v>#REF!</v>
      </c>
      <c r="H56" s="292" t="e">
        <f>#REF!</f>
        <v>#REF!</v>
      </c>
      <c r="I56" s="292">
        <f>'تقرير المصروفات حسب الشهر'!D813</f>
        <v>0</v>
      </c>
      <c r="J56" s="292">
        <f>'تقرير المصروفات حسب الشهر'!D940</f>
        <v>0</v>
      </c>
      <c r="K56" s="292">
        <f>'تقرير المصروفات حسب الشهر'!D1067</f>
        <v>0</v>
      </c>
      <c r="L56" s="292">
        <f>IFERROR(VLOOKUP(B56,'تقرير المصروفات حسب الشهر'!$C$1143:$AD$1254,2,FALSE),0)</f>
        <v>0</v>
      </c>
      <c r="M56" s="292">
        <f>IFERROR(VLOOKUP(B56,'تقرير المصروفات حسب الشهر'!$C$1270:$AD$1381,2,FALSE),0)</f>
        <v>0</v>
      </c>
      <c r="N56" s="292" t="e">
        <f>#REF!</f>
        <v>#REF!</v>
      </c>
      <c r="O56" s="296" t="e">
        <f t="shared" si="0"/>
        <v>#REF!</v>
      </c>
    </row>
    <row r="57" spans="2:15" ht="17.399999999999999">
      <c r="B57" s="291" t="s">
        <v>77</v>
      </c>
      <c r="C57" s="292">
        <f>'تقرير المصروفات حسب الشهر'!D61</f>
        <v>0</v>
      </c>
      <c r="D57" s="292" t="e">
        <f>#REF!</f>
        <v>#REF!</v>
      </c>
      <c r="E57" s="292" t="e">
        <f>#REF!</f>
        <v>#REF!</v>
      </c>
      <c r="F57" s="292" t="e">
        <f>#REF!</f>
        <v>#REF!</v>
      </c>
      <c r="G57" s="292" t="e">
        <f>#REF!</f>
        <v>#REF!</v>
      </c>
      <c r="H57" s="292" t="e">
        <f>#REF!</f>
        <v>#REF!</v>
      </c>
      <c r="I57" s="292">
        <f>'تقرير المصروفات حسب الشهر'!D814</f>
        <v>0</v>
      </c>
      <c r="J57" s="292">
        <f>'تقرير المصروفات حسب الشهر'!D941</f>
        <v>0</v>
      </c>
      <c r="K57" s="292">
        <f>'تقرير المصروفات حسب الشهر'!D1068</f>
        <v>0</v>
      </c>
      <c r="L57" s="292">
        <f>IFERROR(VLOOKUP(B57,'تقرير المصروفات حسب الشهر'!$C$1143:$AD$1254,2,FALSE),0)</f>
        <v>0</v>
      </c>
      <c r="M57" s="292">
        <f>IFERROR(VLOOKUP(B57,'تقرير المصروفات حسب الشهر'!$C$1270:$AD$1381,2,FALSE),0)</f>
        <v>0</v>
      </c>
      <c r="N57" s="292" t="e">
        <f>#REF!</f>
        <v>#REF!</v>
      </c>
      <c r="O57" s="296" t="e">
        <f t="shared" si="0"/>
        <v>#REF!</v>
      </c>
    </row>
    <row r="58" spans="2:15" ht="17.399999999999999">
      <c r="B58" s="291" t="s">
        <v>78</v>
      </c>
      <c r="C58" s="292">
        <f>'تقرير المصروفات حسب الشهر'!D62</f>
        <v>0</v>
      </c>
      <c r="D58" s="292" t="e">
        <f>#REF!</f>
        <v>#REF!</v>
      </c>
      <c r="E58" s="292" t="e">
        <f>#REF!</f>
        <v>#REF!</v>
      </c>
      <c r="F58" s="292" t="e">
        <f>#REF!</f>
        <v>#REF!</v>
      </c>
      <c r="G58" s="292" t="e">
        <f>#REF!</f>
        <v>#REF!</v>
      </c>
      <c r="H58" s="292" t="e">
        <f>#REF!</f>
        <v>#REF!</v>
      </c>
      <c r="I58" s="292">
        <f>'تقرير المصروفات حسب الشهر'!D815</f>
        <v>0</v>
      </c>
      <c r="J58" s="292">
        <f>'تقرير المصروفات حسب الشهر'!D942</f>
        <v>0</v>
      </c>
      <c r="K58" s="292">
        <f>'تقرير المصروفات حسب الشهر'!D1069</f>
        <v>0</v>
      </c>
      <c r="L58" s="292">
        <f>IFERROR(VLOOKUP(B58,'تقرير المصروفات حسب الشهر'!$C$1143:$AD$1254,2,FALSE),0)</f>
        <v>0</v>
      </c>
      <c r="M58" s="292">
        <f>IFERROR(VLOOKUP(B58,'تقرير المصروفات حسب الشهر'!$C$1270:$AD$1381,2,FALSE),0)</f>
        <v>0</v>
      </c>
      <c r="N58" s="292" t="e">
        <f>#REF!</f>
        <v>#REF!</v>
      </c>
      <c r="O58" s="296" t="e">
        <f t="shared" si="0"/>
        <v>#REF!</v>
      </c>
    </row>
    <row r="59" spans="2:15" ht="17.399999999999999">
      <c r="B59" s="291" t="s">
        <v>79</v>
      </c>
      <c r="C59" s="292">
        <f>'تقرير المصروفات حسب الشهر'!D63</f>
        <v>0</v>
      </c>
      <c r="D59" s="292" t="e">
        <f>#REF!</f>
        <v>#REF!</v>
      </c>
      <c r="E59" s="292" t="e">
        <f>#REF!</f>
        <v>#REF!</v>
      </c>
      <c r="F59" s="292" t="e">
        <f>#REF!</f>
        <v>#REF!</v>
      </c>
      <c r="G59" s="292" t="e">
        <f>#REF!</f>
        <v>#REF!</v>
      </c>
      <c r="H59" s="292" t="e">
        <f>#REF!</f>
        <v>#REF!</v>
      </c>
      <c r="I59" s="292">
        <f>'تقرير المصروفات حسب الشهر'!D816</f>
        <v>0</v>
      </c>
      <c r="J59" s="292">
        <f>'تقرير المصروفات حسب الشهر'!D943</f>
        <v>0</v>
      </c>
      <c r="K59" s="292">
        <f>'تقرير المصروفات حسب الشهر'!D1070</f>
        <v>0</v>
      </c>
      <c r="L59" s="292">
        <f>IFERROR(VLOOKUP(B59,'تقرير المصروفات حسب الشهر'!$C$1143:$AD$1254,2,FALSE),0)</f>
        <v>0</v>
      </c>
      <c r="M59" s="292">
        <f>IFERROR(VLOOKUP(B59,'تقرير المصروفات حسب الشهر'!$C$1270:$AD$1381,2,FALSE),0)</f>
        <v>0</v>
      </c>
      <c r="N59" s="292" t="e">
        <f>#REF!</f>
        <v>#REF!</v>
      </c>
      <c r="O59" s="296" t="e">
        <f t="shared" si="0"/>
        <v>#REF!</v>
      </c>
    </row>
    <row r="60" spans="2:15" ht="17.399999999999999">
      <c r="B60" s="291" t="s">
        <v>80</v>
      </c>
      <c r="C60" s="292">
        <f>'تقرير المصروفات حسب الشهر'!D64</f>
        <v>0</v>
      </c>
      <c r="D60" s="292" t="e">
        <f>#REF!</f>
        <v>#REF!</v>
      </c>
      <c r="E60" s="292" t="e">
        <f>#REF!</f>
        <v>#REF!</v>
      </c>
      <c r="F60" s="292" t="e">
        <f>#REF!</f>
        <v>#REF!</v>
      </c>
      <c r="G60" s="292" t="e">
        <f>#REF!</f>
        <v>#REF!</v>
      </c>
      <c r="H60" s="292" t="e">
        <f>#REF!</f>
        <v>#REF!</v>
      </c>
      <c r="I60" s="292">
        <f>'تقرير المصروفات حسب الشهر'!D817</f>
        <v>0</v>
      </c>
      <c r="J60" s="292">
        <f>'تقرير المصروفات حسب الشهر'!D944</f>
        <v>0</v>
      </c>
      <c r="K60" s="292">
        <f>'تقرير المصروفات حسب الشهر'!D1071</f>
        <v>0</v>
      </c>
      <c r="L60" s="292">
        <f>IFERROR(VLOOKUP(B60,'تقرير المصروفات حسب الشهر'!$C$1143:$AD$1254,2,FALSE),0)</f>
        <v>0</v>
      </c>
      <c r="M60" s="292">
        <f>IFERROR(VLOOKUP(B60,'تقرير المصروفات حسب الشهر'!$C$1270:$AD$1381,2,FALSE),0)</f>
        <v>0</v>
      </c>
      <c r="N60" s="292" t="e">
        <f>#REF!</f>
        <v>#REF!</v>
      </c>
      <c r="O60" s="296" t="e">
        <f t="shared" si="0"/>
        <v>#REF!</v>
      </c>
    </row>
    <row r="61" spans="2:15" ht="17.399999999999999">
      <c r="B61" s="291" t="s">
        <v>81</v>
      </c>
      <c r="C61" s="292">
        <f>'تقرير المصروفات حسب الشهر'!D65</f>
        <v>0</v>
      </c>
      <c r="D61" s="292" t="e">
        <f>#REF!</f>
        <v>#REF!</v>
      </c>
      <c r="E61" s="292" t="e">
        <f>#REF!</f>
        <v>#REF!</v>
      </c>
      <c r="F61" s="292" t="e">
        <f>#REF!</f>
        <v>#REF!</v>
      </c>
      <c r="G61" s="292" t="e">
        <f>#REF!</f>
        <v>#REF!</v>
      </c>
      <c r="H61" s="292" t="e">
        <f>#REF!</f>
        <v>#REF!</v>
      </c>
      <c r="I61" s="292">
        <f>'تقرير المصروفات حسب الشهر'!D818</f>
        <v>0</v>
      </c>
      <c r="J61" s="292">
        <f>'تقرير المصروفات حسب الشهر'!D945</f>
        <v>0</v>
      </c>
      <c r="K61" s="292">
        <f>'تقرير المصروفات حسب الشهر'!D1072</f>
        <v>0</v>
      </c>
      <c r="L61" s="292">
        <f>IFERROR(VLOOKUP(B61,'تقرير المصروفات حسب الشهر'!$C$1143:$AD$1254,2,FALSE),0)</f>
        <v>0</v>
      </c>
      <c r="M61" s="292">
        <f>IFERROR(VLOOKUP(B61,'تقرير المصروفات حسب الشهر'!$C$1270:$AD$1381,2,FALSE),0)</f>
        <v>0</v>
      </c>
      <c r="N61" s="292" t="e">
        <f>#REF!</f>
        <v>#REF!</v>
      </c>
      <c r="O61" s="296" t="e">
        <f t="shared" si="0"/>
        <v>#REF!</v>
      </c>
    </row>
    <row r="62" spans="2:15" ht="17.399999999999999">
      <c r="B62" s="291" t="s">
        <v>82</v>
      </c>
      <c r="C62" s="292">
        <f>'تقرير المصروفات حسب الشهر'!D66</f>
        <v>0</v>
      </c>
      <c r="D62" s="292" t="e">
        <f>#REF!</f>
        <v>#REF!</v>
      </c>
      <c r="E62" s="292" t="e">
        <f>#REF!</f>
        <v>#REF!</v>
      </c>
      <c r="F62" s="292" t="e">
        <f>#REF!</f>
        <v>#REF!</v>
      </c>
      <c r="G62" s="292" t="e">
        <f>#REF!</f>
        <v>#REF!</v>
      </c>
      <c r="H62" s="292" t="e">
        <f>#REF!</f>
        <v>#REF!</v>
      </c>
      <c r="I62" s="292">
        <f>'تقرير المصروفات حسب الشهر'!D819</f>
        <v>0</v>
      </c>
      <c r="J62" s="292">
        <f>'تقرير المصروفات حسب الشهر'!D946</f>
        <v>0</v>
      </c>
      <c r="K62" s="292">
        <f>'تقرير المصروفات حسب الشهر'!D1073</f>
        <v>0</v>
      </c>
      <c r="L62" s="292">
        <f>IFERROR(VLOOKUP(B62,'تقرير المصروفات حسب الشهر'!$C$1143:$AD$1254,2,FALSE),0)</f>
        <v>0</v>
      </c>
      <c r="M62" s="292">
        <f>IFERROR(VLOOKUP(B62,'تقرير المصروفات حسب الشهر'!$C$1270:$AD$1381,2,FALSE),0)</f>
        <v>0</v>
      </c>
      <c r="N62" s="292" t="e">
        <f>#REF!</f>
        <v>#REF!</v>
      </c>
      <c r="O62" s="296" t="e">
        <f t="shared" si="0"/>
        <v>#REF!</v>
      </c>
    </row>
    <row r="63" spans="2:15" ht="17.399999999999999">
      <c r="B63" s="291" t="s">
        <v>83</v>
      </c>
      <c r="C63" s="292">
        <f>'تقرير المصروفات حسب الشهر'!D67</f>
        <v>0</v>
      </c>
      <c r="D63" s="292" t="e">
        <f>#REF!</f>
        <v>#REF!</v>
      </c>
      <c r="E63" s="292" t="e">
        <f>#REF!</f>
        <v>#REF!</v>
      </c>
      <c r="F63" s="292" t="e">
        <f>#REF!</f>
        <v>#REF!</v>
      </c>
      <c r="G63" s="292" t="e">
        <f>#REF!</f>
        <v>#REF!</v>
      </c>
      <c r="H63" s="292" t="e">
        <f>#REF!</f>
        <v>#REF!</v>
      </c>
      <c r="I63" s="292">
        <f>'تقرير المصروفات حسب الشهر'!D820</f>
        <v>0</v>
      </c>
      <c r="J63" s="292">
        <f>'تقرير المصروفات حسب الشهر'!D947</f>
        <v>0</v>
      </c>
      <c r="K63" s="292">
        <f>'تقرير المصروفات حسب الشهر'!D1074</f>
        <v>0</v>
      </c>
      <c r="L63" s="292">
        <f>IFERROR(VLOOKUP(B63,'تقرير المصروفات حسب الشهر'!$C$1143:$AD$1254,2,FALSE),0)</f>
        <v>0</v>
      </c>
      <c r="M63" s="292">
        <f>IFERROR(VLOOKUP(B63,'تقرير المصروفات حسب الشهر'!$C$1270:$AD$1381,2,FALSE),0)</f>
        <v>0</v>
      </c>
      <c r="N63" s="292" t="e">
        <f>#REF!</f>
        <v>#REF!</v>
      </c>
      <c r="O63" s="296" t="e">
        <f t="shared" si="0"/>
        <v>#REF!</v>
      </c>
    </row>
    <row r="64" spans="2:15" ht="17.399999999999999">
      <c r="B64" s="291" t="s">
        <v>84</v>
      </c>
      <c r="C64" s="292">
        <f>'تقرير المصروفات حسب الشهر'!D68</f>
        <v>0</v>
      </c>
      <c r="D64" s="292" t="e">
        <f>#REF!</f>
        <v>#REF!</v>
      </c>
      <c r="E64" s="292" t="e">
        <f>#REF!</f>
        <v>#REF!</v>
      </c>
      <c r="F64" s="292" t="e">
        <f>#REF!</f>
        <v>#REF!</v>
      </c>
      <c r="G64" s="292" t="e">
        <f>#REF!</f>
        <v>#REF!</v>
      </c>
      <c r="H64" s="292" t="e">
        <f>#REF!</f>
        <v>#REF!</v>
      </c>
      <c r="I64" s="292">
        <f>'تقرير المصروفات حسب الشهر'!D821</f>
        <v>49605</v>
      </c>
      <c r="J64" s="292">
        <f>'تقرير المصروفات حسب الشهر'!D948</f>
        <v>300</v>
      </c>
      <c r="K64" s="292">
        <f>'تقرير المصروفات حسب الشهر'!D1075</f>
        <v>0</v>
      </c>
      <c r="L64" s="292">
        <f>IFERROR(VLOOKUP(B64,'تقرير المصروفات حسب الشهر'!$C$1143:$AD$1254,2,FALSE),0)</f>
        <v>0</v>
      </c>
      <c r="M64" s="292">
        <f>IFERROR(VLOOKUP(B64,'تقرير المصروفات حسب الشهر'!$C$1270:$AD$1381,2,FALSE),0)</f>
        <v>0</v>
      </c>
      <c r="N64" s="292" t="e">
        <f>#REF!</f>
        <v>#REF!</v>
      </c>
      <c r="O64" s="296" t="e">
        <f t="shared" si="0"/>
        <v>#REF!</v>
      </c>
    </row>
    <row r="65" spans="2:25" ht="17.399999999999999">
      <c r="B65" s="291" t="s">
        <v>85</v>
      </c>
      <c r="C65" s="292">
        <f>'تقرير المصروفات حسب الشهر'!D69</f>
        <v>0</v>
      </c>
      <c r="D65" s="292" t="e">
        <f>#REF!</f>
        <v>#REF!</v>
      </c>
      <c r="E65" s="292" t="e">
        <f>#REF!</f>
        <v>#REF!</v>
      </c>
      <c r="F65" s="292" t="e">
        <f>#REF!</f>
        <v>#REF!</v>
      </c>
      <c r="G65" s="292" t="e">
        <f>#REF!</f>
        <v>#REF!</v>
      </c>
      <c r="H65" s="292" t="e">
        <f>#REF!</f>
        <v>#REF!</v>
      </c>
      <c r="I65" s="292">
        <f>'تقرير المصروفات حسب الشهر'!D822</f>
        <v>0</v>
      </c>
      <c r="J65" s="292">
        <f>'تقرير المصروفات حسب الشهر'!D949</f>
        <v>0</v>
      </c>
      <c r="K65" s="292">
        <f>'تقرير المصروفات حسب الشهر'!D1076</f>
        <v>0</v>
      </c>
      <c r="L65" s="292">
        <f>IFERROR(VLOOKUP(B65,'تقرير المصروفات حسب الشهر'!$C$1143:$AD$1254,2,FALSE),0)</f>
        <v>0</v>
      </c>
      <c r="M65" s="292">
        <f>IFERROR(VLOOKUP(B65,'تقرير المصروفات حسب الشهر'!$C$1270:$AD$1381,2,FALSE),0)</f>
        <v>0</v>
      </c>
      <c r="N65" s="292" t="e">
        <f>#REF!</f>
        <v>#REF!</v>
      </c>
      <c r="O65" s="296" t="e">
        <f t="shared" si="0"/>
        <v>#REF!</v>
      </c>
    </row>
    <row r="66" spans="2:25" ht="17.399999999999999">
      <c r="B66" s="291" t="s">
        <v>86</v>
      </c>
      <c r="C66" s="292">
        <f>'تقرير المصروفات حسب الشهر'!D70</f>
        <v>0</v>
      </c>
      <c r="D66" s="292" t="e">
        <f>#REF!</f>
        <v>#REF!</v>
      </c>
      <c r="E66" s="292" t="e">
        <f>#REF!</f>
        <v>#REF!</v>
      </c>
      <c r="F66" s="292" t="e">
        <f>#REF!</f>
        <v>#REF!</v>
      </c>
      <c r="G66" s="292" t="e">
        <f>#REF!</f>
        <v>#REF!</v>
      </c>
      <c r="H66" s="292" t="e">
        <f>#REF!</f>
        <v>#REF!</v>
      </c>
      <c r="I66" s="292">
        <f>'تقرير المصروفات حسب الشهر'!D823</f>
        <v>4500</v>
      </c>
      <c r="J66" s="292">
        <f>'تقرير المصروفات حسب الشهر'!D950</f>
        <v>0</v>
      </c>
      <c r="K66" s="292">
        <f>'تقرير المصروفات حسب الشهر'!D1077</f>
        <v>0</v>
      </c>
      <c r="L66" s="292">
        <f>IFERROR(VLOOKUP(B66,'تقرير المصروفات حسب الشهر'!$C$1143:$AD$1254,2,FALSE),0)</f>
        <v>0</v>
      </c>
      <c r="M66" s="292">
        <f>IFERROR(VLOOKUP(B66,'تقرير المصروفات حسب الشهر'!$C$1270:$AD$1381,2,FALSE),0)</f>
        <v>0</v>
      </c>
      <c r="N66" s="292" t="e">
        <f>#REF!</f>
        <v>#REF!</v>
      </c>
      <c r="O66" s="296" t="e">
        <f t="shared" si="0"/>
        <v>#REF!</v>
      </c>
    </row>
    <row r="67" spans="2:25" ht="17.399999999999999">
      <c r="B67" s="291" t="s">
        <v>87</v>
      </c>
      <c r="C67" s="292">
        <f>'تقرير المصروفات حسب الشهر'!D71</f>
        <v>0</v>
      </c>
      <c r="D67" s="292" t="e">
        <f>#REF!</f>
        <v>#REF!</v>
      </c>
      <c r="E67" s="292" t="e">
        <f>#REF!</f>
        <v>#REF!</v>
      </c>
      <c r="F67" s="292" t="e">
        <f>#REF!</f>
        <v>#REF!</v>
      </c>
      <c r="G67" s="292" t="e">
        <f>#REF!</f>
        <v>#REF!</v>
      </c>
      <c r="H67" s="292" t="e">
        <f>#REF!</f>
        <v>#REF!</v>
      </c>
      <c r="I67" s="292">
        <f>'تقرير المصروفات حسب الشهر'!D824</f>
        <v>0</v>
      </c>
      <c r="J67" s="292">
        <f>'تقرير المصروفات حسب الشهر'!D951</f>
        <v>0</v>
      </c>
      <c r="K67" s="292">
        <f>'تقرير المصروفات حسب الشهر'!D1078</f>
        <v>0</v>
      </c>
      <c r="L67" s="292">
        <f>IFERROR(VLOOKUP(B67,'تقرير المصروفات حسب الشهر'!$C$1143:$AD$1254,2,FALSE),0)</f>
        <v>0</v>
      </c>
      <c r="M67" s="292">
        <f>IFERROR(VLOOKUP(B67,'تقرير المصروفات حسب الشهر'!$C$1270:$AD$1381,2,FALSE),0)</f>
        <v>0</v>
      </c>
      <c r="N67" s="292" t="e">
        <f>#REF!</f>
        <v>#REF!</v>
      </c>
      <c r="O67" s="296" t="e">
        <f t="shared" si="0"/>
        <v>#REF!</v>
      </c>
    </row>
    <row r="68" spans="2:25" ht="17.399999999999999">
      <c r="B68" s="291" t="s">
        <v>88</v>
      </c>
      <c r="C68" s="292">
        <f>'تقرير المصروفات حسب الشهر'!D72</f>
        <v>0</v>
      </c>
      <c r="D68" s="292" t="e">
        <f>#REF!</f>
        <v>#REF!</v>
      </c>
      <c r="E68" s="292" t="e">
        <f>#REF!</f>
        <v>#REF!</v>
      </c>
      <c r="F68" s="292" t="e">
        <f>#REF!</f>
        <v>#REF!</v>
      </c>
      <c r="G68" s="292" t="e">
        <f>#REF!</f>
        <v>#REF!</v>
      </c>
      <c r="H68" s="292" t="e">
        <f>#REF!</f>
        <v>#REF!</v>
      </c>
      <c r="I68" s="292">
        <f>'تقرير المصروفات حسب الشهر'!D825</f>
        <v>155565</v>
      </c>
      <c r="J68" s="292">
        <f>'تقرير المصروفات حسب الشهر'!D952</f>
        <v>154970</v>
      </c>
      <c r="K68" s="292">
        <f>'تقرير المصروفات حسب الشهر'!D1079</f>
        <v>85921</v>
      </c>
      <c r="L68" s="292">
        <f>IFERROR(VLOOKUP(B68,'تقرير المصروفات حسب الشهر'!$C$1143:$AD$1254,2,FALSE),0)</f>
        <v>0</v>
      </c>
      <c r="M68" s="292">
        <f>IFERROR(VLOOKUP(B68,'تقرير المصروفات حسب الشهر'!$C$1270:$AD$1381,2,FALSE),0)</f>
        <v>0</v>
      </c>
      <c r="N68" s="292" t="e">
        <f>#REF!</f>
        <v>#REF!</v>
      </c>
      <c r="O68" s="296" t="e">
        <f t="shared" si="0"/>
        <v>#REF!</v>
      </c>
    </row>
    <row r="69" spans="2:25" ht="17.399999999999999">
      <c r="B69" s="291" t="s">
        <v>89</v>
      </c>
      <c r="C69" s="292">
        <f>'تقرير المصروفات حسب الشهر'!D73</f>
        <v>65883</v>
      </c>
      <c r="D69" s="292" t="e">
        <f>#REF!</f>
        <v>#REF!</v>
      </c>
      <c r="E69" s="292" t="e">
        <f>#REF!</f>
        <v>#REF!</v>
      </c>
      <c r="F69" s="292" t="e">
        <f>#REF!</f>
        <v>#REF!</v>
      </c>
      <c r="G69" s="292" t="e">
        <f>#REF!</f>
        <v>#REF!</v>
      </c>
      <c r="H69" s="292" t="e">
        <f>#REF!</f>
        <v>#REF!</v>
      </c>
      <c r="I69" s="292">
        <f>'تقرير المصروفات حسب الشهر'!D826</f>
        <v>979</v>
      </c>
      <c r="J69" s="292">
        <f>'تقرير المصروفات حسب الشهر'!D953</f>
        <v>12019.4</v>
      </c>
      <c r="K69" s="292">
        <f>'تقرير المصروفات حسب الشهر'!D1080</f>
        <v>9090</v>
      </c>
      <c r="L69" s="292">
        <f>IFERROR(VLOOKUP(B69,'تقرير المصروفات حسب الشهر'!$C$1143:$AD$1254,2,FALSE),0)</f>
        <v>100</v>
      </c>
      <c r="M69" s="292">
        <f>IFERROR(VLOOKUP(B69,'تقرير المصروفات حسب الشهر'!$C$1270:$AD$1381,2,FALSE),0)</f>
        <v>0</v>
      </c>
      <c r="N69" s="292" t="e">
        <f>#REF!</f>
        <v>#REF!</v>
      </c>
      <c r="O69" s="296" t="e">
        <f t="shared" si="0"/>
        <v>#REF!</v>
      </c>
    </row>
    <row r="70" spans="2:25" ht="17.399999999999999">
      <c r="B70" s="291" t="s">
        <v>33</v>
      </c>
      <c r="C70" s="292">
        <f>'تقرير المصروفات حسب الشهر'!D74</f>
        <v>2735</v>
      </c>
      <c r="D70" s="292" t="e">
        <f>#REF!</f>
        <v>#REF!</v>
      </c>
      <c r="E70" s="292" t="e">
        <f>#REF!</f>
        <v>#REF!</v>
      </c>
      <c r="F70" s="292" t="e">
        <f>#REF!</f>
        <v>#REF!</v>
      </c>
      <c r="G70" s="292" t="e">
        <f>#REF!</f>
        <v>#REF!</v>
      </c>
      <c r="H70" s="292" t="e">
        <f>#REF!</f>
        <v>#REF!</v>
      </c>
      <c r="I70" s="292">
        <f>'تقرير المصروفات حسب الشهر'!D827</f>
        <v>0</v>
      </c>
      <c r="J70" s="292">
        <f>'تقرير المصروفات حسب الشهر'!D954</f>
        <v>0</v>
      </c>
      <c r="K70" s="292">
        <f>'تقرير المصروفات حسب الشهر'!D1081</f>
        <v>0</v>
      </c>
      <c r="L70" s="292">
        <f>IFERROR(VLOOKUP(B70,'تقرير المصروفات حسب الشهر'!$C$1143:$AD$1254,2,FALSE),0)</f>
        <v>950</v>
      </c>
      <c r="M70" s="292">
        <f>IFERROR(VLOOKUP(B70,'تقرير المصروفات حسب الشهر'!$C$1270:$AD$1381,2,FALSE),0)</f>
        <v>367.25</v>
      </c>
      <c r="N70" s="292" t="e">
        <f>#REF!</f>
        <v>#REF!</v>
      </c>
      <c r="O70" s="296" t="e">
        <f t="shared" si="0"/>
        <v>#REF!</v>
      </c>
    </row>
    <row r="71" spans="2:25" ht="27.6">
      <c r="B71" s="291" t="s">
        <v>90</v>
      </c>
      <c r="C71" s="292">
        <f>'تقرير المصروفات حسب الشهر'!D75</f>
        <v>0</v>
      </c>
      <c r="D71" s="292" t="e">
        <f>#REF!</f>
        <v>#REF!</v>
      </c>
      <c r="E71" s="292" t="e">
        <f>#REF!</f>
        <v>#REF!</v>
      </c>
      <c r="F71" s="292" t="e">
        <f>#REF!</f>
        <v>#REF!</v>
      </c>
      <c r="G71" s="292" t="e">
        <f>#REF!</f>
        <v>#REF!</v>
      </c>
      <c r="H71" s="292" t="e">
        <f>#REF!</f>
        <v>#REF!</v>
      </c>
      <c r="I71" s="292">
        <f>'تقرير المصروفات حسب الشهر'!D828</f>
        <v>0</v>
      </c>
      <c r="J71" s="292">
        <f>'تقرير المصروفات حسب الشهر'!D955</f>
        <v>550</v>
      </c>
      <c r="K71" s="292">
        <f>'تقرير المصروفات حسب الشهر'!D1082</f>
        <v>184472.5</v>
      </c>
      <c r="L71" s="292">
        <f>IFERROR(VLOOKUP(B71,'تقرير المصروفات حسب الشهر'!$C$1143:$AD$1254,2,FALSE),0)</f>
        <v>0</v>
      </c>
      <c r="M71" s="292">
        <f>IFERROR(VLOOKUP(B71,'تقرير المصروفات حسب الشهر'!$C$1270:$AD$1381,2,FALSE),0)</f>
        <v>0</v>
      </c>
      <c r="N71" s="292" t="e">
        <f>#REF!</f>
        <v>#REF!</v>
      </c>
      <c r="O71" s="296" t="e">
        <f t="shared" ref="O71:O115" si="1">SUM(C71:N71)</f>
        <v>#REF!</v>
      </c>
      <c r="Y71" s="15"/>
    </row>
    <row r="72" spans="2:25" ht="17.399999999999999">
      <c r="B72" s="291" t="s">
        <v>91</v>
      </c>
      <c r="C72" s="292">
        <f>'تقرير المصروفات حسب الشهر'!D76</f>
        <v>0</v>
      </c>
      <c r="D72" s="292" t="e">
        <f>#REF!</f>
        <v>#REF!</v>
      </c>
      <c r="E72" s="292" t="e">
        <f>#REF!</f>
        <v>#REF!</v>
      </c>
      <c r="F72" s="292" t="e">
        <f>#REF!</f>
        <v>#REF!</v>
      </c>
      <c r="G72" s="292" t="e">
        <f>#REF!</f>
        <v>#REF!</v>
      </c>
      <c r="H72" s="292" t="e">
        <f>#REF!</f>
        <v>#REF!</v>
      </c>
      <c r="I72" s="292">
        <f>'تقرير المصروفات حسب الشهر'!D829</f>
        <v>0</v>
      </c>
      <c r="J72" s="292">
        <f>'تقرير المصروفات حسب الشهر'!D956</f>
        <v>0</v>
      </c>
      <c r="K72" s="292">
        <f>'تقرير المصروفات حسب الشهر'!D1083</f>
        <v>0</v>
      </c>
      <c r="L72" s="292">
        <f>IFERROR(VLOOKUP(B72,'تقرير المصروفات حسب الشهر'!$C$1143:$AD$1254,2,FALSE),0)</f>
        <v>0</v>
      </c>
      <c r="M72" s="292">
        <f>IFERROR(VLOOKUP(B72,'تقرير المصروفات حسب الشهر'!$C$1270:$AD$1381,2,FALSE),0)</f>
        <v>0</v>
      </c>
      <c r="N72" s="292" t="e">
        <f>#REF!</f>
        <v>#REF!</v>
      </c>
      <c r="O72" s="296" t="e">
        <f t="shared" si="1"/>
        <v>#REF!</v>
      </c>
    </row>
    <row r="73" spans="2:25" ht="17.399999999999999">
      <c r="B73" s="291" t="s">
        <v>92</v>
      </c>
      <c r="C73" s="292">
        <f>'تقرير المصروفات حسب الشهر'!D77</f>
        <v>0</v>
      </c>
      <c r="D73" s="292" t="e">
        <f>#REF!</f>
        <v>#REF!</v>
      </c>
      <c r="E73" s="292" t="e">
        <f>#REF!</f>
        <v>#REF!</v>
      </c>
      <c r="F73" s="292" t="e">
        <f>#REF!</f>
        <v>#REF!</v>
      </c>
      <c r="G73" s="292" t="e">
        <f>#REF!</f>
        <v>#REF!</v>
      </c>
      <c r="H73" s="292" t="e">
        <f>#REF!</f>
        <v>#REF!</v>
      </c>
      <c r="I73" s="292">
        <f>'تقرير المصروفات حسب الشهر'!D830</f>
        <v>0</v>
      </c>
      <c r="J73" s="292">
        <f>'تقرير المصروفات حسب الشهر'!D957</f>
        <v>0</v>
      </c>
      <c r="K73" s="292">
        <f>'تقرير المصروفات حسب الشهر'!D1084</f>
        <v>0</v>
      </c>
      <c r="L73" s="292">
        <f>IFERROR(VLOOKUP(B73,'تقرير المصروفات حسب الشهر'!$C$1143:$AD$1254,2,FALSE),0)</f>
        <v>0</v>
      </c>
      <c r="M73" s="292">
        <f>IFERROR(VLOOKUP(B73,'تقرير المصروفات حسب الشهر'!$C$1270:$AD$1381,2,FALSE),0)</f>
        <v>0</v>
      </c>
      <c r="N73" s="292" t="e">
        <f>#REF!</f>
        <v>#REF!</v>
      </c>
      <c r="O73" s="296" t="e">
        <f t="shared" si="1"/>
        <v>#REF!</v>
      </c>
    </row>
    <row r="74" spans="2:25" ht="17.399999999999999">
      <c r="B74" s="291" t="s">
        <v>93</v>
      </c>
      <c r="C74" s="292">
        <f>'تقرير المصروفات حسب الشهر'!D78</f>
        <v>0</v>
      </c>
      <c r="D74" s="292" t="e">
        <f>#REF!</f>
        <v>#REF!</v>
      </c>
      <c r="E74" s="292" t="e">
        <f>#REF!</f>
        <v>#REF!</v>
      </c>
      <c r="F74" s="292" t="e">
        <f>#REF!</f>
        <v>#REF!</v>
      </c>
      <c r="G74" s="292" t="e">
        <f>#REF!</f>
        <v>#REF!</v>
      </c>
      <c r="H74" s="292" t="e">
        <f>#REF!</f>
        <v>#REF!</v>
      </c>
      <c r="I74" s="292">
        <f>'تقرير المصروفات حسب الشهر'!D831</f>
        <v>159735</v>
      </c>
      <c r="J74" s="292">
        <f>'تقرير المصروفات حسب الشهر'!D958</f>
        <v>158880</v>
      </c>
      <c r="K74" s="292">
        <f>'تقرير المصروفات حسب الشهر'!D1085</f>
        <v>158835</v>
      </c>
      <c r="L74" s="292">
        <f>IFERROR(VLOOKUP(B74,'تقرير المصروفات حسب الشهر'!$C$1143:$AD$1254,2,FALSE),0)</f>
        <v>0</v>
      </c>
      <c r="M74" s="292">
        <f>IFERROR(VLOOKUP(B74,'تقرير المصروفات حسب الشهر'!$C$1270:$AD$1381,2,FALSE),0)</f>
        <v>0</v>
      </c>
      <c r="N74" s="292" t="e">
        <f>#REF!</f>
        <v>#REF!</v>
      </c>
      <c r="O74" s="296" t="e">
        <f t="shared" si="1"/>
        <v>#REF!</v>
      </c>
    </row>
    <row r="75" spans="2:25" ht="17.399999999999999">
      <c r="B75" s="291" t="s">
        <v>94</v>
      </c>
      <c r="C75" s="292">
        <f>'تقرير المصروفات حسب الشهر'!D79</f>
        <v>232905</v>
      </c>
      <c r="D75" s="292" t="e">
        <f>#REF!</f>
        <v>#REF!</v>
      </c>
      <c r="E75" s="292" t="e">
        <f>#REF!</f>
        <v>#REF!</v>
      </c>
      <c r="F75" s="292" t="e">
        <f>#REF!</f>
        <v>#REF!</v>
      </c>
      <c r="G75" s="292" t="e">
        <f>#REF!</f>
        <v>#REF!</v>
      </c>
      <c r="H75" s="292" t="e">
        <f>#REF!</f>
        <v>#REF!</v>
      </c>
      <c r="I75" s="292">
        <f>'تقرير المصروفات حسب الشهر'!D832</f>
        <v>0</v>
      </c>
      <c r="J75" s="292">
        <f>'تقرير المصروفات حسب الشهر'!D959</f>
        <v>0</v>
      </c>
      <c r="K75" s="292">
        <f>'تقرير المصروفات حسب الشهر'!D1086</f>
        <v>0</v>
      </c>
      <c r="L75" s="292">
        <f>IFERROR(VLOOKUP(B75,'تقرير المصروفات حسب الشهر'!$C$1143:$AD$1254,2,FALSE),0)</f>
        <v>158650</v>
      </c>
      <c r="M75" s="292">
        <f>IFERROR(VLOOKUP(B75,'تقرير المصروفات حسب الشهر'!$C$1270:$AD$1381,2,FALSE),0)</f>
        <v>225280</v>
      </c>
      <c r="N75" s="292" t="e">
        <f>#REF!</f>
        <v>#REF!</v>
      </c>
      <c r="O75" s="296" t="e">
        <f t="shared" si="1"/>
        <v>#REF!</v>
      </c>
    </row>
    <row r="76" spans="2:25" ht="17.399999999999999">
      <c r="B76" s="291" t="s">
        <v>95</v>
      </c>
      <c r="C76" s="292">
        <f>'تقرير المصروفات حسب الشهر'!D80</f>
        <v>9500</v>
      </c>
      <c r="D76" s="292" t="e">
        <f>#REF!</f>
        <v>#REF!</v>
      </c>
      <c r="E76" s="292" t="e">
        <f>#REF!</f>
        <v>#REF!</v>
      </c>
      <c r="F76" s="292" t="e">
        <f>#REF!</f>
        <v>#REF!</v>
      </c>
      <c r="G76" s="292" t="e">
        <f>#REF!</f>
        <v>#REF!</v>
      </c>
      <c r="H76" s="292" t="e">
        <f>#REF!</f>
        <v>#REF!</v>
      </c>
      <c r="I76" s="292">
        <f>'تقرير المصروفات حسب الشهر'!D833</f>
        <v>668</v>
      </c>
      <c r="J76" s="292">
        <f>'تقرير المصروفات حسب الشهر'!D960</f>
        <v>1331.8</v>
      </c>
      <c r="K76" s="292">
        <f>'تقرير المصروفات حسب الشهر'!D1087</f>
        <v>0</v>
      </c>
      <c r="L76" s="292">
        <f>IFERROR(VLOOKUP(B76,'تقرير المصروفات حسب الشهر'!$C$1143:$AD$1254,2,FALSE),0)</f>
        <v>0</v>
      </c>
      <c r="M76" s="292">
        <f>IFERROR(VLOOKUP(B76,'تقرير المصروفات حسب الشهر'!$C$1270:$AD$1381,2,FALSE),0)</f>
        <v>970</v>
      </c>
      <c r="N76" s="292" t="e">
        <f>#REF!</f>
        <v>#REF!</v>
      </c>
      <c r="O76" s="296" t="e">
        <f t="shared" si="1"/>
        <v>#REF!</v>
      </c>
    </row>
    <row r="77" spans="2:25" ht="17.399999999999999">
      <c r="B77" s="291" t="s">
        <v>96</v>
      </c>
      <c r="C77" s="292">
        <f>'تقرير المصروفات حسب الشهر'!D81</f>
        <v>0</v>
      </c>
      <c r="D77" s="292" t="e">
        <f>#REF!</f>
        <v>#REF!</v>
      </c>
      <c r="E77" s="292" t="e">
        <f>#REF!</f>
        <v>#REF!</v>
      </c>
      <c r="F77" s="292" t="e">
        <f>#REF!</f>
        <v>#REF!</v>
      </c>
      <c r="G77" s="292" t="e">
        <f>#REF!</f>
        <v>#REF!</v>
      </c>
      <c r="H77" s="292" t="e">
        <f>#REF!</f>
        <v>#REF!</v>
      </c>
      <c r="I77" s="292">
        <f>'تقرير المصروفات حسب الشهر'!D834</f>
        <v>4476.2700000000004</v>
      </c>
      <c r="J77" s="292">
        <f>'تقرير المصروفات حسب الشهر'!D961</f>
        <v>9303.75</v>
      </c>
      <c r="K77" s="292">
        <f>'تقرير المصروفات حسب الشهر'!D1088</f>
        <v>2327.8200000000002</v>
      </c>
      <c r="L77" s="292">
        <f>IFERROR(VLOOKUP(B77,'تقرير المصروفات حسب الشهر'!$C$1143:$AD$1254,2,FALSE),0)</f>
        <v>0</v>
      </c>
      <c r="M77" s="292">
        <f>IFERROR(VLOOKUP(B77,'تقرير المصروفات حسب الشهر'!$C$1270:$AD$1381,2,FALSE),0)</f>
        <v>0</v>
      </c>
      <c r="N77" s="292" t="e">
        <f>#REF!</f>
        <v>#REF!</v>
      </c>
      <c r="O77" s="296" t="e">
        <f t="shared" si="1"/>
        <v>#REF!</v>
      </c>
    </row>
    <row r="78" spans="2:25" ht="17.399999999999999">
      <c r="B78" s="291" t="s">
        <v>97</v>
      </c>
      <c r="C78" s="292">
        <f>'تقرير المصروفات حسب الشهر'!D82</f>
        <v>4137.2</v>
      </c>
      <c r="D78" s="292" t="e">
        <f>#REF!</f>
        <v>#REF!</v>
      </c>
      <c r="E78" s="292" t="e">
        <f>#REF!</f>
        <v>#REF!</v>
      </c>
      <c r="F78" s="292" t="e">
        <f>#REF!</f>
        <v>#REF!</v>
      </c>
      <c r="G78" s="292" t="e">
        <f>#REF!</f>
        <v>#REF!</v>
      </c>
      <c r="H78" s="292" t="e">
        <f>#REF!</f>
        <v>#REF!</v>
      </c>
      <c r="I78" s="292">
        <f>'تقرير المصروفات حسب الشهر'!D835</f>
        <v>3000</v>
      </c>
      <c r="J78" s="292">
        <f>'تقرير المصروفات حسب الشهر'!D962</f>
        <v>18250</v>
      </c>
      <c r="K78" s="292">
        <f>'تقرير المصروفات حسب الشهر'!D1089</f>
        <v>2130</v>
      </c>
      <c r="L78" s="292">
        <f>IFERROR(VLOOKUP(B78,'تقرير المصروفات حسب الشهر'!$C$1143:$AD$1254,2,FALSE),0)</f>
        <v>2327.8200000000002</v>
      </c>
      <c r="M78" s="292">
        <f>IFERROR(VLOOKUP(B78,'تقرير المصروفات حسب الشهر'!$C$1270:$AD$1381,2,FALSE),0)</f>
        <v>20886.48</v>
      </c>
      <c r="N78" s="292" t="e">
        <f>#REF!</f>
        <v>#REF!</v>
      </c>
      <c r="O78" s="296" t="e">
        <f t="shared" si="1"/>
        <v>#REF!</v>
      </c>
    </row>
    <row r="79" spans="2:25" ht="17.399999999999999">
      <c r="B79" s="291" t="s">
        <v>192</v>
      </c>
      <c r="C79" s="292">
        <f>'تقرير المصروفات حسب الشهر'!D83</f>
        <v>6500</v>
      </c>
      <c r="D79" s="292" t="e">
        <f>#REF!</f>
        <v>#REF!</v>
      </c>
      <c r="E79" s="292" t="e">
        <f>#REF!</f>
        <v>#REF!</v>
      </c>
      <c r="F79" s="292" t="e">
        <f>#REF!</f>
        <v>#REF!</v>
      </c>
      <c r="G79" s="292" t="e">
        <f>#REF!</f>
        <v>#REF!</v>
      </c>
      <c r="H79" s="292" t="e">
        <f>#REF!</f>
        <v>#REF!</v>
      </c>
      <c r="I79" s="292">
        <f>'تقرير المصروفات حسب الشهر'!D836</f>
        <v>0</v>
      </c>
      <c r="J79" s="292">
        <f>'تقرير المصروفات حسب الشهر'!D963</f>
        <v>0</v>
      </c>
      <c r="K79" s="292">
        <f>'تقرير المصروفات حسب الشهر'!D1090</f>
        <v>0</v>
      </c>
      <c r="L79" s="292">
        <f>IFERROR(VLOOKUP(B79,'تقرير المصروفات حسب الشهر'!$C$1143:$AD$1254,2,FALSE),0)</f>
        <v>2565</v>
      </c>
      <c r="M79" s="292">
        <f>IFERROR(VLOOKUP(B79,'تقرير المصروفات حسب الشهر'!$C$1270:$AD$1381,2,FALSE),0)</f>
        <v>1065</v>
      </c>
      <c r="N79" s="292" t="e">
        <f>#REF!</f>
        <v>#REF!</v>
      </c>
      <c r="O79" s="296" t="e">
        <f t="shared" si="1"/>
        <v>#REF!</v>
      </c>
    </row>
    <row r="80" spans="2:25" ht="17.399999999999999">
      <c r="B80" s="291" t="s">
        <v>98</v>
      </c>
      <c r="C80" s="292">
        <f>'تقرير المصروفات حسب الشهر'!D84</f>
        <v>0</v>
      </c>
      <c r="D80" s="292" t="e">
        <f>#REF!</f>
        <v>#REF!</v>
      </c>
      <c r="E80" s="292" t="e">
        <f>#REF!</f>
        <v>#REF!</v>
      </c>
      <c r="F80" s="292" t="e">
        <f>#REF!</f>
        <v>#REF!</v>
      </c>
      <c r="G80" s="292" t="e">
        <f>#REF!</f>
        <v>#REF!</v>
      </c>
      <c r="H80" s="292" t="e">
        <f>#REF!</f>
        <v>#REF!</v>
      </c>
      <c r="I80" s="292">
        <f>'تقرير المصروفات حسب الشهر'!D837</f>
        <v>6433.05</v>
      </c>
      <c r="J80" s="292">
        <f>'تقرير المصروفات حسب الشهر'!D964</f>
        <v>6433.05</v>
      </c>
      <c r="K80" s="292">
        <f>'تقرير المصروفات حسب الشهر'!D1091</f>
        <v>6433.05</v>
      </c>
      <c r="L80" s="292">
        <f>IFERROR(VLOOKUP(B80,'تقرير المصروفات حسب الشهر'!$C$1143:$AD$1254,2,FALSE),0)</f>
        <v>0</v>
      </c>
      <c r="M80" s="292">
        <f>IFERROR(VLOOKUP(B80,'تقرير المصروفات حسب الشهر'!$C$1270:$AD$1381,2,FALSE),0)</f>
        <v>0</v>
      </c>
      <c r="N80" s="292" t="e">
        <f>#REF!</f>
        <v>#REF!</v>
      </c>
      <c r="O80" s="296" t="e">
        <f t="shared" si="1"/>
        <v>#REF!</v>
      </c>
    </row>
    <row r="81" spans="2:15" ht="17.399999999999999">
      <c r="B81" s="291" t="s">
        <v>99</v>
      </c>
      <c r="C81" s="292">
        <f>'تقرير المصروفات حسب الشهر'!D85</f>
        <v>6433.05</v>
      </c>
      <c r="D81" s="292" t="e">
        <f>#REF!</f>
        <v>#REF!</v>
      </c>
      <c r="E81" s="292" t="e">
        <f>#REF!</f>
        <v>#REF!</v>
      </c>
      <c r="F81" s="292" t="e">
        <f>#REF!</f>
        <v>#REF!</v>
      </c>
      <c r="G81" s="292" t="e">
        <f>#REF!</f>
        <v>#REF!</v>
      </c>
      <c r="H81" s="292" t="e">
        <f>#REF!</f>
        <v>#REF!</v>
      </c>
      <c r="I81" s="292">
        <f>'تقرير المصروفات حسب الشهر'!D838</f>
        <v>1610.47</v>
      </c>
      <c r="J81" s="292">
        <f>'تقرير المصروفات حسب الشهر'!D965</f>
        <v>1610.47</v>
      </c>
      <c r="K81" s="292">
        <f>'تقرير المصروفات حسب الشهر'!D1092</f>
        <v>1509.37</v>
      </c>
      <c r="L81" s="292">
        <f>IFERROR(VLOOKUP(B81,'تقرير المصروفات حسب الشهر'!$C$1143:$AD$1254,2,FALSE),0)</f>
        <v>6433.05</v>
      </c>
      <c r="M81" s="292">
        <f>IFERROR(VLOOKUP(B81,'تقرير المصروفات حسب الشهر'!$C$1270:$AD$1381,2,FALSE),0)</f>
        <v>6433.05</v>
      </c>
      <c r="N81" s="292" t="e">
        <f>#REF!</f>
        <v>#REF!</v>
      </c>
      <c r="O81" s="296" t="e">
        <f t="shared" si="1"/>
        <v>#REF!</v>
      </c>
    </row>
    <row r="82" spans="2:15" ht="17.399999999999999">
      <c r="B82" s="291" t="s">
        <v>100</v>
      </c>
      <c r="C82" s="292">
        <f>'تقرير المصروفات حسب الشهر'!D86</f>
        <v>1896.25</v>
      </c>
      <c r="D82" s="292" t="e">
        <f>#REF!</f>
        <v>#REF!</v>
      </c>
      <c r="E82" s="292" t="e">
        <f>#REF!</f>
        <v>#REF!</v>
      </c>
      <c r="F82" s="292" t="e">
        <f>#REF!</f>
        <v>#REF!</v>
      </c>
      <c r="G82" s="292" t="e">
        <f>#REF!</f>
        <v>#REF!</v>
      </c>
      <c r="H82" s="292" t="e">
        <f>#REF!</f>
        <v>#REF!</v>
      </c>
      <c r="I82" s="292">
        <f>'تقرير المصروفات حسب الشهر'!D839</f>
        <v>112.5</v>
      </c>
      <c r="J82" s="292">
        <f>'تقرير المصروفات حسب الشهر'!D966</f>
        <v>112.5</v>
      </c>
      <c r="K82" s="292">
        <f>'تقرير المصروفات حسب الشهر'!D1093</f>
        <v>112.5</v>
      </c>
      <c r="L82" s="292">
        <f>IFERROR(VLOOKUP(B82,'تقرير المصروفات حسب الشهر'!$C$1143:$AD$1254,2,FALSE),0)</f>
        <v>1509.37</v>
      </c>
      <c r="M82" s="292">
        <f>IFERROR(VLOOKUP(B82,'تقرير المصروفات حسب الشهر'!$C$1270:$AD$1381,2,FALSE),0)</f>
        <v>1482.97</v>
      </c>
      <c r="N82" s="292" t="e">
        <f>#REF!</f>
        <v>#REF!</v>
      </c>
      <c r="O82" s="296" t="e">
        <f t="shared" si="1"/>
        <v>#REF!</v>
      </c>
    </row>
    <row r="83" spans="2:15" ht="17.399999999999999">
      <c r="B83" s="291" t="s">
        <v>101</v>
      </c>
      <c r="C83" s="292">
        <f>'تقرير المصروفات حسب الشهر'!D87</f>
        <v>907.16</v>
      </c>
      <c r="D83" s="292" t="e">
        <f>#REF!</f>
        <v>#REF!</v>
      </c>
      <c r="E83" s="292" t="e">
        <f>#REF!</f>
        <v>#REF!</v>
      </c>
      <c r="F83" s="292" t="e">
        <f>#REF!</f>
        <v>#REF!</v>
      </c>
      <c r="G83" s="292" t="e">
        <f>#REF!</f>
        <v>#REF!</v>
      </c>
      <c r="H83" s="292" t="e">
        <f>#REF!</f>
        <v>#REF!</v>
      </c>
      <c r="I83" s="292">
        <f>'تقرير المصروفات حسب الشهر'!D840</f>
        <v>21345.85</v>
      </c>
      <c r="J83" s="292">
        <f>'تقرير المصروفات حسب الشهر'!D967</f>
        <v>22622.85</v>
      </c>
      <c r="K83" s="292">
        <f>'تقرير المصروفات حسب الشهر'!D1094</f>
        <v>23448.97</v>
      </c>
      <c r="L83" s="292">
        <f>IFERROR(VLOOKUP(B83,'تقرير المصروفات حسب الشهر'!$C$1143:$AD$1254,2,FALSE),0)</f>
        <v>112.5</v>
      </c>
      <c r="M83" s="292">
        <f>IFERROR(VLOOKUP(B83,'تقرير المصروفات حسب الشهر'!$C$1270:$AD$1381,2,FALSE),0)</f>
        <v>112.5</v>
      </c>
      <c r="N83" s="292" t="e">
        <f>#REF!</f>
        <v>#REF!</v>
      </c>
      <c r="O83" s="296" t="e">
        <f t="shared" si="1"/>
        <v>#REF!</v>
      </c>
    </row>
    <row r="84" spans="2:15" ht="17.399999999999999">
      <c r="B84" s="291" t="s">
        <v>102</v>
      </c>
      <c r="C84" s="292">
        <f>'تقرير المصروفات حسب الشهر'!D88</f>
        <v>18878.52</v>
      </c>
      <c r="D84" s="292" t="e">
        <f>#REF!</f>
        <v>#REF!</v>
      </c>
      <c r="E84" s="292" t="e">
        <f>#REF!</f>
        <v>#REF!</v>
      </c>
      <c r="F84" s="292" t="e">
        <f>#REF!</f>
        <v>#REF!</v>
      </c>
      <c r="G84" s="292" t="e">
        <f>#REF!</f>
        <v>#REF!</v>
      </c>
      <c r="H84" s="292" t="e">
        <f>#REF!</f>
        <v>#REF!</v>
      </c>
      <c r="I84" s="292">
        <f>'تقرير المصروفات حسب الشهر'!D841</f>
        <v>3301.12</v>
      </c>
      <c r="J84" s="292">
        <f>'تقرير المصروفات حسب الشهر'!D968</f>
        <v>3192.6</v>
      </c>
      <c r="K84" s="292">
        <f>'تقرير المصروفات حسب الشهر'!D1095</f>
        <v>2905.47</v>
      </c>
      <c r="L84" s="292">
        <f>IFERROR(VLOOKUP(B84,'تقرير المصروفات حسب الشهر'!$C$1143:$AD$1254,2,FALSE),0)</f>
        <v>24102.63</v>
      </c>
      <c r="M84" s="292">
        <f>IFERROR(VLOOKUP(B84,'تقرير المصروفات حسب الشهر'!$C$1270:$AD$1381,2,FALSE),0)</f>
        <v>24248.84</v>
      </c>
      <c r="N84" s="292" t="e">
        <f>#REF!</f>
        <v>#REF!</v>
      </c>
      <c r="O84" s="296" t="e">
        <f t="shared" si="1"/>
        <v>#REF!</v>
      </c>
    </row>
    <row r="85" spans="2:15" ht="17.399999999999999">
      <c r="B85" s="291" t="s">
        <v>103</v>
      </c>
      <c r="C85" s="292">
        <f>'تقرير المصروفات حسب الشهر'!D89</f>
        <v>3301.12</v>
      </c>
      <c r="D85" s="292" t="e">
        <f>#REF!</f>
        <v>#REF!</v>
      </c>
      <c r="E85" s="292" t="e">
        <f>#REF!</f>
        <v>#REF!</v>
      </c>
      <c r="F85" s="292" t="e">
        <f>#REF!</f>
        <v>#REF!</v>
      </c>
      <c r="G85" s="292" t="e">
        <f>#REF!</f>
        <v>#REF!</v>
      </c>
      <c r="H85" s="292" t="e">
        <f>#REF!</f>
        <v>#REF!</v>
      </c>
      <c r="I85" s="292">
        <f>'تقرير المصروفات حسب الشهر'!D842</f>
        <v>5157.38</v>
      </c>
      <c r="J85" s="292">
        <f>'تقرير المصروفات حسب الشهر'!D969</f>
        <v>5225.29</v>
      </c>
      <c r="K85" s="292">
        <f>'تقرير المصروفات حسب الشهر'!D1096</f>
        <v>5278.23</v>
      </c>
      <c r="L85" s="292">
        <f>IFERROR(VLOOKUP(B85,'تقرير المصروفات حسب الشهر'!$C$1143:$AD$1254,2,FALSE),0)</f>
        <v>2905.47</v>
      </c>
      <c r="M85" s="292">
        <f>IFERROR(VLOOKUP(B85,'تقرير المصروفات حسب الشهر'!$C$1270:$AD$1381,2,FALSE),0)</f>
        <v>2905.47</v>
      </c>
      <c r="N85" s="292" t="e">
        <f>#REF!</f>
        <v>#REF!</v>
      </c>
      <c r="O85" s="296" t="e">
        <f t="shared" si="1"/>
        <v>#REF!</v>
      </c>
    </row>
    <row r="86" spans="2:15" ht="17.399999999999999">
      <c r="B86" s="291" t="s">
        <v>104</v>
      </c>
      <c r="C86" s="292">
        <f>'تقرير المصروفات حسب الشهر'!D90</f>
        <v>2350.1999999999998</v>
      </c>
      <c r="D86" s="292" t="e">
        <f>#REF!</f>
        <v>#REF!</v>
      </c>
      <c r="E86" s="292" t="e">
        <f>#REF!</f>
        <v>#REF!</v>
      </c>
      <c r="F86" s="292" t="e">
        <f>#REF!</f>
        <v>#REF!</v>
      </c>
      <c r="G86" s="292" t="e">
        <f>#REF!</f>
        <v>#REF!</v>
      </c>
      <c r="H86" s="292" t="e">
        <f>#REF!</f>
        <v>#REF!</v>
      </c>
      <c r="I86" s="292">
        <f>'تقرير المصروفات حسب الشهر'!D843</f>
        <v>1007.92</v>
      </c>
      <c r="J86" s="292">
        <f>'تقرير المصروفات حسب الشهر'!D970</f>
        <v>1236.8499999999999</v>
      </c>
      <c r="K86" s="292">
        <f>'تقرير المصروفات حسب الشهر'!D1097</f>
        <v>1080.49</v>
      </c>
      <c r="L86" s="292">
        <f>IFERROR(VLOOKUP(B86,'تقرير المصروفات حسب الشهر'!$C$1143:$AD$1254,2,FALSE),0)</f>
        <v>5450.33</v>
      </c>
      <c r="M86" s="292">
        <f>IFERROR(VLOOKUP(B86,'تقرير المصروفات حسب الشهر'!$C$1270:$AD$1381,2,FALSE),0)</f>
        <v>8100.84</v>
      </c>
      <c r="N86" s="292" t="e">
        <f>#REF!</f>
        <v>#REF!</v>
      </c>
      <c r="O86" s="296" t="e">
        <f t="shared" si="1"/>
        <v>#REF!</v>
      </c>
    </row>
    <row r="87" spans="2:15" ht="17.399999999999999">
      <c r="B87" s="291" t="s">
        <v>105</v>
      </c>
      <c r="C87" s="292">
        <f>'تقرير المصروفات حسب الشهر'!D91</f>
        <v>1419.88</v>
      </c>
      <c r="D87" s="292" t="e">
        <f>#REF!</f>
        <v>#REF!</v>
      </c>
      <c r="E87" s="292" t="e">
        <f>#REF!</f>
        <v>#REF!</v>
      </c>
      <c r="F87" s="292" t="e">
        <f>#REF!</f>
        <v>#REF!</v>
      </c>
      <c r="G87" s="292" t="e">
        <f>#REF!</f>
        <v>#REF!</v>
      </c>
      <c r="H87" s="292" t="e">
        <f>#REF!</f>
        <v>#REF!</v>
      </c>
      <c r="I87" s="292">
        <f>'تقرير المصروفات حسب الشهر'!D844</f>
        <v>0</v>
      </c>
      <c r="J87" s="292">
        <f>'تقرير المصروفات حسب الشهر'!D971</f>
        <v>0</v>
      </c>
      <c r="K87" s="292">
        <f>'تقرير المصروفات حسب الشهر'!D1098</f>
        <v>0</v>
      </c>
      <c r="L87" s="292">
        <f>IFERROR(VLOOKUP(B87,'تقرير المصروفات حسب الشهر'!$C$1143:$AD$1254,2,FALSE),0)</f>
        <v>1247.57</v>
      </c>
      <c r="M87" s="292">
        <f>IFERROR(VLOOKUP(B87,'تقرير المصروفات حسب الشهر'!$C$1270:$AD$1381,2,FALSE),0)</f>
        <v>1692.87</v>
      </c>
      <c r="N87" s="292" t="e">
        <f>#REF!</f>
        <v>#REF!</v>
      </c>
      <c r="O87" s="296" t="e">
        <f t="shared" si="1"/>
        <v>#REF!</v>
      </c>
    </row>
    <row r="88" spans="2:15" ht="17.399999999999999">
      <c r="B88" s="291" t="s">
        <v>106</v>
      </c>
      <c r="C88" s="292">
        <f>'تقرير المصروفات حسب الشهر'!D92</f>
        <v>0</v>
      </c>
      <c r="D88" s="292" t="e">
        <f>#REF!</f>
        <v>#REF!</v>
      </c>
      <c r="E88" s="292" t="e">
        <f>#REF!</f>
        <v>#REF!</v>
      </c>
      <c r="F88" s="292" t="e">
        <f>#REF!</f>
        <v>#REF!</v>
      </c>
      <c r="G88" s="292" t="e">
        <f>#REF!</f>
        <v>#REF!</v>
      </c>
      <c r="H88" s="292" t="e">
        <f>#REF!</f>
        <v>#REF!</v>
      </c>
      <c r="I88" s="292">
        <f>'تقرير المصروفات حسب الشهر'!D845</f>
        <v>0</v>
      </c>
      <c r="J88" s="292">
        <f>'تقرير المصروفات حسب الشهر'!D972</f>
        <v>0</v>
      </c>
      <c r="K88" s="292">
        <f>'تقرير المصروفات حسب الشهر'!D1099</f>
        <v>0</v>
      </c>
      <c r="L88" s="292">
        <f>IFERROR(VLOOKUP(B88,'تقرير المصروفات حسب الشهر'!$C$1143:$AD$1254,2,FALSE),0)</f>
        <v>0</v>
      </c>
      <c r="M88" s="292">
        <f>IFERROR(VLOOKUP(B88,'تقرير المصروفات حسب الشهر'!$C$1270:$AD$1381,2,FALSE),0)</f>
        <v>0</v>
      </c>
      <c r="N88" s="292" t="e">
        <f>#REF!</f>
        <v>#REF!</v>
      </c>
      <c r="O88" s="296" t="e">
        <f t="shared" si="1"/>
        <v>#REF!</v>
      </c>
    </row>
    <row r="89" spans="2:15" ht="17.399999999999999">
      <c r="B89" s="291" t="s">
        <v>107</v>
      </c>
      <c r="C89" s="292">
        <f>'تقرير المصروفات حسب الشهر'!D93</f>
        <v>0</v>
      </c>
      <c r="D89" s="292" t="e">
        <f>#REF!</f>
        <v>#REF!</v>
      </c>
      <c r="E89" s="292" t="e">
        <f>#REF!</f>
        <v>#REF!</v>
      </c>
      <c r="F89" s="292" t="e">
        <f>#REF!</f>
        <v>#REF!</v>
      </c>
      <c r="G89" s="292" t="e">
        <f>#REF!</f>
        <v>#REF!</v>
      </c>
      <c r="H89" s="292" t="e">
        <f>#REF!</f>
        <v>#REF!</v>
      </c>
      <c r="I89" s="292">
        <f>'تقرير المصروفات حسب الشهر'!D846</f>
        <v>0</v>
      </c>
      <c r="J89" s="292">
        <f>'تقرير المصروفات حسب الشهر'!D973</f>
        <v>0</v>
      </c>
      <c r="K89" s="292">
        <f>'تقرير المصروفات حسب الشهر'!D1100</f>
        <v>0</v>
      </c>
      <c r="L89" s="292">
        <f>IFERROR(VLOOKUP(B89,'تقرير المصروفات حسب الشهر'!$C$1143:$AD$1254,2,FALSE),0)</f>
        <v>0</v>
      </c>
      <c r="M89" s="292">
        <f>IFERROR(VLOOKUP(B89,'تقرير المصروفات حسب الشهر'!$C$1270:$AD$1381,2,FALSE),0)</f>
        <v>0</v>
      </c>
      <c r="N89" s="292" t="e">
        <f>#REF!</f>
        <v>#REF!</v>
      </c>
      <c r="O89" s="296" t="e">
        <f t="shared" si="1"/>
        <v>#REF!</v>
      </c>
    </row>
    <row r="90" spans="2:15" ht="17.399999999999999">
      <c r="B90" s="291" t="s">
        <v>108</v>
      </c>
      <c r="C90" s="292">
        <f>'تقرير المصروفات حسب الشهر'!D94</f>
        <v>0</v>
      </c>
      <c r="D90" s="292" t="e">
        <f>#REF!</f>
        <v>#REF!</v>
      </c>
      <c r="E90" s="292" t="e">
        <f>#REF!</f>
        <v>#REF!</v>
      </c>
      <c r="F90" s="292" t="e">
        <f>#REF!</f>
        <v>#REF!</v>
      </c>
      <c r="G90" s="292" t="e">
        <f>#REF!</f>
        <v>#REF!</v>
      </c>
      <c r="H90" s="292" t="e">
        <f>#REF!</f>
        <v>#REF!</v>
      </c>
      <c r="I90" s="292">
        <f>'تقرير المصروفات حسب الشهر'!D847</f>
        <v>0</v>
      </c>
      <c r="J90" s="292">
        <f>'تقرير المصروفات حسب الشهر'!D974</f>
        <v>0</v>
      </c>
      <c r="K90" s="292">
        <f>'تقرير المصروفات حسب الشهر'!D1101</f>
        <v>0</v>
      </c>
      <c r="L90" s="292">
        <f>IFERROR(VLOOKUP(B90,'تقرير المصروفات حسب الشهر'!$C$1143:$AD$1254,2,FALSE),0)</f>
        <v>0</v>
      </c>
      <c r="M90" s="292">
        <f>IFERROR(VLOOKUP(B90,'تقرير المصروفات حسب الشهر'!$C$1270:$AD$1381,2,FALSE),0)</f>
        <v>0</v>
      </c>
      <c r="N90" s="292" t="e">
        <f>#REF!</f>
        <v>#REF!</v>
      </c>
      <c r="O90" s="296" t="e">
        <f t="shared" si="1"/>
        <v>#REF!</v>
      </c>
    </row>
    <row r="91" spans="2:15" ht="17.399999999999999">
      <c r="B91" s="291" t="s">
        <v>109</v>
      </c>
      <c r="C91" s="292">
        <f>'تقرير المصروفات حسب الشهر'!D95</f>
        <v>0</v>
      </c>
      <c r="D91" s="292" t="e">
        <f>#REF!</f>
        <v>#REF!</v>
      </c>
      <c r="E91" s="292" t="e">
        <f>#REF!</f>
        <v>#REF!</v>
      </c>
      <c r="F91" s="292" t="e">
        <f>#REF!</f>
        <v>#REF!</v>
      </c>
      <c r="G91" s="292" t="e">
        <f>#REF!</f>
        <v>#REF!</v>
      </c>
      <c r="H91" s="292" t="e">
        <f>#REF!</f>
        <v>#REF!</v>
      </c>
      <c r="I91" s="292">
        <f>'تقرير المصروفات حسب الشهر'!D848</f>
        <v>0</v>
      </c>
      <c r="J91" s="292">
        <f>'تقرير المصروفات حسب الشهر'!D975</f>
        <v>0</v>
      </c>
      <c r="K91" s="292">
        <f>'تقرير المصروفات حسب الشهر'!D1102</f>
        <v>0</v>
      </c>
      <c r="L91" s="292">
        <f>IFERROR(VLOOKUP(B91,'تقرير المصروفات حسب الشهر'!$C$1143:$AD$1254,2,FALSE),0)</f>
        <v>0</v>
      </c>
      <c r="M91" s="292">
        <f>IFERROR(VLOOKUP(B91,'تقرير المصروفات حسب الشهر'!$C$1270:$AD$1381,2,FALSE),0)</f>
        <v>0</v>
      </c>
      <c r="N91" s="292" t="e">
        <f>#REF!</f>
        <v>#REF!</v>
      </c>
      <c r="O91" s="296" t="e">
        <f t="shared" si="1"/>
        <v>#REF!</v>
      </c>
    </row>
    <row r="92" spans="2:15" ht="17.399999999999999">
      <c r="B92" s="291" t="s">
        <v>110</v>
      </c>
      <c r="C92" s="292">
        <f>'تقرير المصروفات حسب الشهر'!D96</f>
        <v>0</v>
      </c>
      <c r="D92" s="292" t="e">
        <f>#REF!</f>
        <v>#REF!</v>
      </c>
      <c r="E92" s="292" t="e">
        <f>#REF!</f>
        <v>#REF!</v>
      </c>
      <c r="F92" s="292" t="e">
        <f>#REF!</f>
        <v>#REF!</v>
      </c>
      <c r="G92" s="292" t="e">
        <f>#REF!</f>
        <v>#REF!</v>
      </c>
      <c r="H92" s="292" t="e">
        <f>#REF!</f>
        <v>#REF!</v>
      </c>
      <c r="I92" s="292">
        <f>'تقرير المصروفات حسب الشهر'!D849</f>
        <v>0</v>
      </c>
      <c r="J92" s="292">
        <f>'تقرير المصروفات حسب الشهر'!D976</f>
        <v>7207.5</v>
      </c>
      <c r="K92" s="292">
        <f>'تقرير المصروفات حسب الشهر'!D1103</f>
        <v>0</v>
      </c>
      <c r="L92" s="292">
        <f>IFERROR(VLOOKUP(B92,'تقرير المصروفات حسب الشهر'!$C$1143:$AD$1254,2,FALSE),0)</f>
        <v>0</v>
      </c>
      <c r="M92" s="292">
        <f>IFERROR(VLOOKUP(B92,'تقرير المصروفات حسب الشهر'!$C$1270:$AD$1381,2,FALSE),0)</f>
        <v>0</v>
      </c>
      <c r="N92" s="292" t="e">
        <f>#REF!</f>
        <v>#REF!</v>
      </c>
      <c r="O92" s="296" t="e">
        <f t="shared" si="1"/>
        <v>#REF!</v>
      </c>
    </row>
    <row r="93" spans="2:15" ht="17.399999999999999">
      <c r="B93" s="291" t="s">
        <v>112</v>
      </c>
      <c r="C93" s="292">
        <f>'تقرير المصروفات حسب الشهر'!D97</f>
        <v>0</v>
      </c>
      <c r="D93" s="292" t="e">
        <f>#REF!</f>
        <v>#REF!</v>
      </c>
      <c r="E93" s="292" t="e">
        <f>#REF!</f>
        <v>#REF!</v>
      </c>
      <c r="F93" s="292" t="e">
        <f>#REF!</f>
        <v>#REF!</v>
      </c>
      <c r="G93" s="292" t="e">
        <f>#REF!</f>
        <v>#REF!</v>
      </c>
      <c r="H93" s="292" t="e">
        <f>#REF!</f>
        <v>#REF!</v>
      </c>
      <c r="I93" s="292">
        <f>'تقرير المصروفات حسب الشهر'!D850</f>
        <v>58399.12</v>
      </c>
      <c r="J93" s="292">
        <f>'تقرير المصروفات حسب الشهر'!D977</f>
        <v>0</v>
      </c>
      <c r="K93" s="292">
        <f>'تقرير المصروفات حسب الشهر'!D1104</f>
        <v>0</v>
      </c>
      <c r="L93" s="292">
        <f>IFERROR(VLOOKUP(B93,'تقرير المصروفات حسب الشهر'!$C$1143:$AD$1254,2,FALSE),0)</f>
        <v>0</v>
      </c>
      <c r="M93" s="292">
        <f>IFERROR(VLOOKUP(B93,'تقرير المصروفات حسب الشهر'!$C$1270:$AD$1381,2,FALSE),0)</f>
        <v>107089.69</v>
      </c>
      <c r="N93" s="292" t="e">
        <f>#REF!</f>
        <v>#REF!</v>
      </c>
      <c r="O93" s="296" t="e">
        <f t="shared" si="1"/>
        <v>#REF!</v>
      </c>
    </row>
    <row r="94" spans="2:15" ht="17.399999999999999">
      <c r="B94" s="291" t="s">
        <v>113</v>
      </c>
      <c r="C94" s="292">
        <f>'تقرير المصروفات حسب الشهر'!D98</f>
        <v>0</v>
      </c>
      <c r="D94" s="292" t="e">
        <f>#REF!</f>
        <v>#REF!</v>
      </c>
      <c r="E94" s="292" t="e">
        <f>#REF!</f>
        <v>#REF!</v>
      </c>
      <c r="F94" s="292" t="e">
        <f>#REF!</f>
        <v>#REF!</v>
      </c>
      <c r="G94" s="292" t="e">
        <f>#REF!</f>
        <v>#REF!</v>
      </c>
      <c r="H94" s="292" t="e">
        <f>#REF!</f>
        <v>#REF!</v>
      </c>
      <c r="I94" s="292">
        <f>'تقرير المصروفات حسب الشهر'!D851</f>
        <v>0</v>
      </c>
      <c r="J94" s="292">
        <f>'تقرير المصروفات حسب الشهر'!D978</f>
        <v>0</v>
      </c>
      <c r="K94" s="292">
        <f>'تقرير المصروفات حسب الشهر'!D1105</f>
        <v>0</v>
      </c>
      <c r="L94" s="292">
        <f>IFERROR(VLOOKUP(B94,'تقرير المصروفات حسب الشهر'!$C$1143:$AD$1254,2,FALSE),0)</f>
        <v>0</v>
      </c>
      <c r="M94" s="292">
        <f>IFERROR(VLOOKUP(B94,'تقرير المصروفات حسب الشهر'!$C$1270:$AD$1381,2,FALSE),0)</f>
        <v>108048.61</v>
      </c>
      <c r="N94" s="292" t="e">
        <f>#REF!</f>
        <v>#REF!</v>
      </c>
      <c r="O94" s="296" t="e">
        <f t="shared" si="1"/>
        <v>#REF!</v>
      </c>
    </row>
    <row r="95" spans="2:15" ht="17.399999999999999">
      <c r="B95" s="291" t="s">
        <v>137</v>
      </c>
      <c r="C95" s="292">
        <f>'تقرير المصروفات حسب الشهر'!D99</f>
        <v>0</v>
      </c>
      <c r="D95" s="292" t="e">
        <f>#REF!</f>
        <v>#REF!</v>
      </c>
      <c r="E95" s="292" t="e">
        <f>#REF!</f>
        <v>#REF!</v>
      </c>
      <c r="F95" s="292" t="e">
        <f>#REF!</f>
        <v>#REF!</v>
      </c>
      <c r="G95" s="292" t="e">
        <f>#REF!</f>
        <v>#REF!</v>
      </c>
      <c r="H95" s="292" t="e">
        <f>#REF!</f>
        <v>#REF!</v>
      </c>
      <c r="I95" s="292">
        <f>'تقرير المصروفات حسب الشهر'!D852</f>
        <v>0</v>
      </c>
      <c r="J95" s="292">
        <f>'تقرير المصروفات حسب الشهر'!D979</f>
        <v>0</v>
      </c>
      <c r="K95" s="292">
        <f>'تقرير المصروفات حسب الشهر'!D1106</f>
        <v>0</v>
      </c>
      <c r="L95" s="292">
        <f>IFERROR(VLOOKUP(B95,'تقرير المصروفات حسب الشهر'!$C$1143:$AD$1254,2,FALSE),0)</f>
        <v>0</v>
      </c>
      <c r="M95" s="292">
        <f>IFERROR(VLOOKUP(B95,'تقرير المصروفات حسب الشهر'!$C$1270:$AD$1381,2,FALSE),0)</f>
        <v>0</v>
      </c>
      <c r="N95" s="292" t="e">
        <f>#REF!</f>
        <v>#REF!</v>
      </c>
      <c r="O95" s="296" t="e">
        <f t="shared" si="1"/>
        <v>#REF!</v>
      </c>
    </row>
    <row r="96" spans="2:15" ht="17.399999999999999">
      <c r="B96" s="291" t="s">
        <v>140</v>
      </c>
      <c r="C96" s="292">
        <f>'تقرير المصروفات حسب الشهر'!D100</f>
        <v>62284.62</v>
      </c>
      <c r="D96" s="292" t="e">
        <f>#REF!</f>
        <v>#REF!</v>
      </c>
      <c r="E96" s="292" t="e">
        <f>#REF!</f>
        <v>#REF!</v>
      </c>
      <c r="F96" s="292" t="e">
        <f>#REF!</f>
        <v>#REF!</v>
      </c>
      <c r="G96" s="292" t="e">
        <f>#REF!</f>
        <v>#REF!</v>
      </c>
      <c r="H96" s="292" t="e">
        <f>#REF!</f>
        <v>#REF!</v>
      </c>
      <c r="I96" s="292">
        <f>'تقرير المصروفات حسب الشهر'!D853</f>
        <v>0</v>
      </c>
      <c r="J96" s="292">
        <f>'تقرير المصروفات حسب الشهر'!D980</f>
        <v>0</v>
      </c>
      <c r="K96" s="292">
        <f>'تقرير المصروفات حسب الشهر'!D1107</f>
        <v>0</v>
      </c>
      <c r="L96" s="292">
        <f>IFERROR(VLOOKUP(B96,'تقرير المصروفات حسب الشهر'!$C$1143:$AD$1254,2,FALSE),0)</f>
        <v>0</v>
      </c>
      <c r="M96" s="292">
        <f>IFERROR(VLOOKUP(B96,'تقرير المصروفات حسب الشهر'!$C$1270:$AD$1381,2,FALSE),0)</f>
        <v>0</v>
      </c>
      <c r="N96" s="292" t="e">
        <f>#REF!</f>
        <v>#REF!</v>
      </c>
      <c r="O96" s="296" t="e">
        <f t="shared" si="1"/>
        <v>#REF!</v>
      </c>
    </row>
    <row r="97" spans="2:15" ht="17.399999999999999">
      <c r="B97" s="291" t="s">
        <v>141</v>
      </c>
      <c r="C97" s="292">
        <f>'تقرير المصروفات حسب الشهر'!D101</f>
        <v>0</v>
      </c>
      <c r="D97" s="292" t="e">
        <f>#REF!</f>
        <v>#REF!</v>
      </c>
      <c r="E97" s="292" t="e">
        <f>#REF!</f>
        <v>#REF!</v>
      </c>
      <c r="F97" s="292" t="e">
        <f>#REF!</f>
        <v>#REF!</v>
      </c>
      <c r="G97" s="292" t="e">
        <f>#REF!</f>
        <v>#REF!</v>
      </c>
      <c r="H97" s="292" t="e">
        <f>#REF!</f>
        <v>#REF!</v>
      </c>
      <c r="I97" s="292">
        <f>'تقرير المصروفات حسب الشهر'!D854</f>
        <v>500</v>
      </c>
      <c r="J97" s="292">
        <f>'تقرير المصروفات حسب الشهر'!D981</f>
        <v>500</v>
      </c>
      <c r="K97" s="292">
        <f>'تقرير المصروفات حسب الشهر'!D1108</f>
        <v>0</v>
      </c>
      <c r="L97" s="292">
        <f>IFERROR(VLOOKUP(B97,'تقرير المصروفات حسب الشهر'!$C$1143:$AD$1254,2,FALSE),0)</f>
        <v>0</v>
      </c>
      <c r="M97" s="292">
        <f>IFERROR(VLOOKUP(B97,'تقرير المصروفات حسب الشهر'!$C$1270:$AD$1381,2,FALSE),0)</f>
        <v>0</v>
      </c>
      <c r="N97" s="292" t="e">
        <f>#REF!</f>
        <v>#REF!</v>
      </c>
      <c r="O97" s="296" t="e">
        <f t="shared" si="1"/>
        <v>#REF!</v>
      </c>
    </row>
    <row r="98" spans="2:15" ht="17.399999999999999">
      <c r="B98" s="291" t="s">
        <v>193</v>
      </c>
      <c r="C98" s="292">
        <f>'تقرير المصروفات حسب الشهر'!D102</f>
        <v>500</v>
      </c>
      <c r="D98" s="292" t="e">
        <f>#REF!</f>
        <v>#REF!</v>
      </c>
      <c r="E98" s="292" t="e">
        <f>#REF!</f>
        <v>#REF!</v>
      </c>
      <c r="F98" s="292" t="e">
        <f>#REF!</f>
        <v>#REF!</v>
      </c>
      <c r="G98" s="292" t="e">
        <f>#REF!</f>
        <v>#REF!</v>
      </c>
      <c r="H98" s="292" t="e">
        <f>#REF!</f>
        <v>#REF!</v>
      </c>
      <c r="I98" s="292">
        <f>'تقرير المصروفات حسب الشهر'!D855</f>
        <v>0</v>
      </c>
      <c r="J98" s="292">
        <f>'تقرير المصروفات حسب الشهر'!D982</f>
        <v>0</v>
      </c>
      <c r="K98" s="292">
        <f>'تقرير المصروفات حسب الشهر'!D1109</f>
        <v>0</v>
      </c>
      <c r="L98" s="292">
        <f>IFERROR(VLOOKUP(B98,'تقرير المصروفات حسب الشهر'!$C$1143:$AD$1254,2,FALSE),0)</f>
        <v>500</v>
      </c>
      <c r="M98" s="292">
        <f>IFERROR(VLOOKUP(B98,'تقرير المصروفات حسب الشهر'!$C$1270:$AD$1381,2,FALSE),0)</f>
        <v>500</v>
      </c>
      <c r="N98" s="292" t="e">
        <f>#REF!</f>
        <v>#REF!</v>
      </c>
      <c r="O98" s="296" t="e">
        <f t="shared" si="1"/>
        <v>#REF!</v>
      </c>
    </row>
    <row r="99" spans="2:15" ht="17.399999999999999">
      <c r="B99" s="291" t="s">
        <v>148</v>
      </c>
      <c r="C99" s="292">
        <f>'تقرير المصروفات حسب الشهر'!D103</f>
        <v>0</v>
      </c>
      <c r="D99" s="292" t="e">
        <f>#REF!</f>
        <v>#REF!</v>
      </c>
      <c r="E99" s="292" t="e">
        <f>#REF!</f>
        <v>#REF!</v>
      </c>
      <c r="F99" s="292" t="e">
        <f>#REF!</f>
        <v>#REF!</v>
      </c>
      <c r="G99" s="292" t="e">
        <f>#REF!</f>
        <v>#REF!</v>
      </c>
      <c r="H99" s="292" t="e">
        <f>#REF!</f>
        <v>#REF!</v>
      </c>
      <c r="I99" s="292">
        <f>'تقرير المصروفات حسب الشهر'!D856</f>
        <v>0</v>
      </c>
      <c r="J99" s="292">
        <f>'تقرير المصروفات حسب الشهر'!D983</f>
        <v>0</v>
      </c>
      <c r="K99" s="292">
        <f>'تقرير المصروفات حسب الشهر'!D1110</f>
        <v>0</v>
      </c>
      <c r="L99" s="292">
        <f>IFERROR(VLOOKUP(B99,'تقرير المصروفات حسب الشهر'!$C$1143:$AD$1254,2,FALSE),0)</f>
        <v>0</v>
      </c>
      <c r="M99" s="292">
        <f>IFERROR(VLOOKUP(B99,'تقرير المصروفات حسب الشهر'!$C$1270:$AD$1381,2,FALSE),0)</f>
        <v>0</v>
      </c>
      <c r="N99" s="292" t="e">
        <f>#REF!</f>
        <v>#REF!</v>
      </c>
      <c r="O99" s="296" t="e">
        <f t="shared" si="1"/>
        <v>#REF!</v>
      </c>
    </row>
    <row r="100" spans="2:15" ht="17.399999999999999">
      <c r="B100" s="291" t="s">
        <v>186</v>
      </c>
      <c r="C100" s="292">
        <f>'تقرير المصروفات حسب الشهر'!D104</f>
        <v>0</v>
      </c>
      <c r="D100" s="292" t="e">
        <f>#REF!</f>
        <v>#REF!</v>
      </c>
      <c r="E100" s="292" t="e">
        <f>#REF!</f>
        <v>#REF!</v>
      </c>
      <c r="F100" s="292" t="e">
        <f>#REF!</f>
        <v>#REF!</v>
      </c>
      <c r="G100" s="292" t="e">
        <f>#REF!</f>
        <v>#REF!</v>
      </c>
      <c r="H100" s="292" t="e">
        <f>#REF!</f>
        <v>#REF!</v>
      </c>
      <c r="I100" s="292">
        <f>'تقرير المصروفات حسب الشهر'!D857</f>
        <v>0</v>
      </c>
      <c r="J100" s="292">
        <f>'تقرير المصروفات حسب الشهر'!D984</f>
        <v>0</v>
      </c>
      <c r="K100" s="292">
        <f>'تقرير المصروفات حسب الشهر'!D1111</f>
        <v>0</v>
      </c>
      <c r="L100" s="292">
        <f>IFERROR(VLOOKUP(B100,'تقرير المصروفات حسب الشهر'!$C$1143:$AD$1254,2,FALSE),0)</f>
        <v>0</v>
      </c>
      <c r="M100" s="292">
        <f>IFERROR(VLOOKUP(B100,'تقرير المصروفات حسب الشهر'!$C$1270:$AD$1381,2,FALSE),0)</f>
        <v>0</v>
      </c>
      <c r="N100" s="292" t="e">
        <f>#REF!</f>
        <v>#REF!</v>
      </c>
      <c r="O100" s="296" t="e">
        <f t="shared" si="1"/>
        <v>#REF!</v>
      </c>
    </row>
    <row r="101" spans="2:15" ht="17.399999999999999">
      <c r="B101" s="291" t="s">
        <v>171</v>
      </c>
      <c r="C101" s="292">
        <f>'تقرير المصروفات حسب الشهر'!D105</f>
        <v>0</v>
      </c>
      <c r="D101" s="292" t="e">
        <f>#REF!</f>
        <v>#REF!</v>
      </c>
      <c r="E101" s="292" t="e">
        <f>#REF!</f>
        <v>#REF!</v>
      </c>
      <c r="F101" s="292" t="e">
        <f>#REF!</f>
        <v>#REF!</v>
      </c>
      <c r="G101" s="292" t="e">
        <f>#REF!</f>
        <v>#REF!</v>
      </c>
      <c r="H101" s="292" t="e">
        <f>#REF!</f>
        <v>#REF!</v>
      </c>
      <c r="I101" s="292">
        <f>'تقرير المصروفات حسب الشهر'!D858</f>
        <v>0</v>
      </c>
      <c r="J101" s="292">
        <f>'تقرير المصروفات حسب الشهر'!D985</f>
        <v>0</v>
      </c>
      <c r="K101" s="292">
        <f>'تقرير المصروفات حسب الشهر'!D1112</f>
        <v>0</v>
      </c>
      <c r="L101" s="292">
        <f>IFERROR(VLOOKUP(B101,'تقرير المصروفات حسب الشهر'!$C$1143:$AD$1254,2,FALSE),0)</f>
        <v>0</v>
      </c>
      <c r="M101" s="292">
        <f>IFERROR(VLOOKUP(B101,'تقرير المصروفات حسب الشهر'!$C$1270:$AD$1381,2,FALSE),0)</f>
        <v>0</v>
      </c>
      <c r="N101" s="292" t="e">
        <f>#REF!</f>
        <v>#REF!</v>
      </c>
      <c r="O101" s="296" t="e">
        <f t="shared" si="1"/>
        <v>#REF!</v>
      </c>
    </row>
    <row r="102" spans="2:15" ht="17.399999999999999">
      <c r="B102" s="291" t="s">
        <v>180</v>
      </c>
      <c r="C102" s="292">
        <f>'تقرير المصروفات حسب الشهر'!D106</f>
        <v>0</v>
      </c>
      <c r="D102" s="292" t="e">
        <f>#REF!</f>
        <v>#REF!</v>
      </c>
      <c r="E102" s="292" t="e">
        <f>#REF!</f>
        <v>#REF!</v>
      </c>
      <c r="F102" s="292" t="e">
        <f>#REF!</f>
        <v>#REF!</v>
      </c>
      <c r="G102" s="292" t="e">
        <f>#REF!</f>
        <v>#REF!</v>
      </c>
      <c r="H102" s="292" t="e">
        <f>#REF!</f>
        <v>#REF!</v>
      </c>
      <c r="I102" s="292">
        <f>'تقرير المصروفات حسب الشهر'!D859</f>
        <v>0</v>
      </c>
      <c r="J102" s="292">
        <f>'تقرير المصروفات حسب الشهر'!D986</f>
        <v>0</v>
      </c>
      <c r="K102" s="292">
        <f>'تقرير المصروفات حسب الشهر'!D1113</f>
        <v>0</v>
      </c>
      <c r="L102" s="292">
        <f>IFERROR(VLOOKUP(B102,'تقرير المصروفات حسب الشهر'!$C$1143:$AD$1254,2,FALSE),0)</f>
        <v>0</v>
      </c>
      <c r="M102" s="292">
        <f>IFERROR(VLOOKUP(B102,'تقرير المصروفات حسب الشهر'!$C$1270:$AD$1381,2,FALSE),0)</f>
        <v>0</v>
      </c>
      <c r="N102" s="292" t="e">
        <f>#REF!</f>
        <v>#REF!</v>
      </c>
      <c r="O102" s="296" t="e">
        <f t="shared" si="1"/>
        <v>#REF!</v>
      </c>
    </row>
    <row r="103" spans="2:15" ht="17.399999999999999">
      <c r="B103" s="291" t="s">
        <v>183</v>
      </c>
      <c r="C103" s="292">
        <f>'تقرير المصروفات حسب الشهر'!D107</f>
        <v>0</v>
      </c>
      <c r="D103" s="292" t="e">
        <f>#REF!</f>
        <v>#REF!</v>
      </c>
      <c r="E103" s="292" t="e">
        <f>#REF!</f>
        <v>#REF!</v>
      </c>
      <c r="F103" s="292" t="e">
        <f>#REF!</f>
        <v>#REF!</v>
      </c>
      <c r="G103" s="292" t="e">
        <f>#REF!</f>
        <v>#REF!</v>
      </c>
      <c r="H103" s="292" t="e">
        <f>#REF!</f>
        <v>#REF!</v>
      </c>
      <c r="I103" s="292">
        <f>'تقرير المصروفات حسب الشهر'!D860</f>
        <v>17814</v>
      </c>
      <c r="J103" s="292">
        <f>'تقرير المصروفات حسب الشهر'!D987</f>
        <v>14221.44</v>
      </c>
      <c r="K103" s="292">
        <f>'تقرير المصروفات حسب الشهر'!D1114</f>
        <v>13890.18</v>
      </c>
      <c r="L103" s="292">
        <f>IFERROR(VLOOKUP(B103,'تقرير المصروفات حسب الشهر'!$C$1143:$AD$1254,2,FALSE),0)</f>
        <v>0</v>
      </c>
      <c r="M103" s="292">
        <f>IFERROR(VLOOKUP(B103,'تقرير المصروفات حسب الشهر'!$C$1270:$AD$1381,2,FALSE),0)</f>
        <v>0</v>
      </c>
      <c r="N103" s="292" t="e">
        <f>#REF!</f>
        <v>#REF!</v>
      </c>
      <c r="O103" s="296" t="e">
        <f t="shared" si="1"/>
        <v>#REF!</v>
      </c>
    </row>
    <row r="104" spans="2:15" ht="17.399999999999999">
      <c r="B104" s="291" t="s">
        <v>195</v>
      </c>
      <c r="C104" s="292">
        <f>'تقرير المصروفات حسب الشهر'!D108</f>
        <v>17814</v>
      </c>
      <c r="D104" s="292" t="e">
        <f>#REF!</f>
        <v>#REF!</v>
      </c>
      <c r="E104" s="292" t="e">
        <f>#REF!</f>
        <v>#REF!</v>
      </c>
      <c r="F104" s="292" t="e">
        <f>#REF!</f>
        <v>#REF!</v>
      </c>
      <c r="G104" s="292" t="e">
        <f>#REF!</f>
        <v>#REF!</v>
      </c>
      <c r="H104" s="292" t="e">
        <f>#REF!</f>
        <v>#REF!</v>
      </c>
      <c r="I104" s="292">
        <f>'تقرير المصروفات حسب الشهر'!D861</f>
        <v>24551.279999999999</v>
      </c>
      <c r="J104" s="292">
        <f>'تقرير المصروفات حسب الشهر'!D988</f>
        <v>10898.01</v>
      </c>
      <c r="K104" s="292">
        <f>'تقرير المصروفات حسب الشهر'!D1115</f>
        <v>10583.22</v>
      </c>
      <c r="L104" s="292">
        <f>IFERROR(VLOOKUP(B104,'تقرير المصروفات حسب الشهر'!$C$1143:$AD$1254,2,FALSE),0)</f>
        <v>13553.66</v>
      </c>
      <c r="M104" s="292">
        <f>IFERROR(VLOOKUP(B104,'تقرير المصروفات حسب الشهر'!$C$1270:$AD$1381,2,FALSE),0)</f>
        <v>13211.8</v>
      </c>
      <c r="N104" s="292" t="e">
        <f>#REF!</f>
        <v>#REF!</v>
      </c>
      <c r="O104" s="296" t="e">
        <f t="shared" si="1"/>
        <v>#REF!</v>
      </c>
    </row>
    <row r="105" spans="2:15" ht="17.399999999999999">
      <c r="B105" s="291" t="s">
        <v>189</v>
      </c>
      <c r="C105" s="292">
        <f>'تقرير المصروفات حسب الشهر'!D109</f>
        <v>16217.28</v>
      </c>
      <c r="D105" s="292" t="e">
        <f>#REF!</f>
        <v>#REF!</v>
      </c>
      <c r="E105" s="292" t="e">
        <f>#REF!</f>
        <v>#REF!</v>
      </c>
      <c r="F105" s="292" t="e">
        <f>#REF!</f>
        <v>#REF!</v>
      </c>
      <c r="G105" s="292" t="e">
        <f>#REF!</f>
        <v>#REF!</v>
      </c>
      <c r="H105" s="292" t="e">
        <f>#REF!</f>
        <v>#REF!</v>
      </c>
      <c r="I105" s="292">
        <f>'تقرير المصروفات حسب الشهر'!D862</f>
        <v>119616.69</v>
      </c>
      <c r="J105" s="292">
        <f>'تقرير المصروفات حسب الشهر'!D989</f>
        <v>13853.56</v>
      </c>
      <c r="K105" s="292">
        <f>'تقرير المصروفات حسب الشهر'!D1116</f>
        <v>13147</v>
      </c>
      <c r="L105" s="292">
        <f>IFERROR(VLOOKUP(B105,'تقرير المصروفات حسب الشهر'!$C$1143:$AD$1254,2,FALSE),0)</f>
        <v>10263.68</v>
      </c>
      <c r="M105" s="292">
        <f>IFERROR(VLOOKUP(B105,'تقرير المصروفات حسب الشهر'!$C$1270:$AD$1381,2,FALSE),0)</f>
        <v>9939.33</v>
      </c>
      <c r="N105" s="292" t="e">
        <f>#REF!</f>
        <v>#REF!</v>
      </c>
      <c r="O105" s="296" t="e">
        <f t="shared" si="1"/>
        <v>#REF!</v>
      </c>
    </row>
    <row r="106" spans="2:15" ht="17.399999999999999">
      <c r="B106" s="291" t="s">
        <v>188</v>
      </c>
      <c r="C106" s="292">
        <f>'تقرير المصروفات حسب الشهر'!D110</f>
        <v>32715.46</v>
      </c>
      <c r="D106" s="292" t="e">
        <f>#REF!</f>
        <v>#REF!</v>
      </c>
      <c r="E106" s="292" t="e">
        <f>#REF!</f>
        <v>#REF!</v>
      </c>
      <c r="F106" s="292" t="e">
        <f>#REF!</f>
        <v>#REF!</v>
      </c>
      <c r="G106" s="292" t="e">
        <f>#REF!</f>
        <v>#REF!</v>
      </c>
      <c r="H106" s="292" t="e">
        <f>#REF!</f>
        <v>#REF!</v>
      </c>
      <c r="I106" s="292">
        <f>'تقرير المصروفات حسب الشهر'!D863</f>
        <v>52696.19</v>
      </c>
      <c r="J106" s="292">
        <f>'تقرير المصروفات حسب الشهر'!D990</f>
        <v>39957.35</v>
      </c>
      <c r="K106" s="292">
        <f>'تقرير المصروفات حسب الشهر'!D1117</f>
        <v>38899.43</v>
      </c>
      <c r="L106" s="292">
        <f>IFERROR(VLOOKUP(B106,'تقرير المصروفات حسب الشهر'!$C$1143:$AD$1254,2,FALSE),0)</f>
        <v>12428.04</v>
      </c>
      <c r="M106" s="292">
        <f>IFERROR(VLOOKUP(B106,'تقرير المصروفات حسب الشهر'!$C$1270:$AD$1381,2,FALSE),0)</f>
        <v>11696.48</v>
      </c>
      <c r="N106" s="292" t="e">
        <f>#REF!</f>
        <v>#REF!</v>
      </c>
      <c r="O106" s="296" t="e">
        <f t="shared" si="1"/>
        <v>#REF!</v>
      </c>
    </row>
    <row r="107" spans="2:15" ht="17.399999999999999">
      <c r="B107" s="291" t="s">
        <v>196</v>
      </c>
      <c r="C107" s="292">
        <f>'تقرير المصروفات حسب الشهر'!D111</f>
        <v>57468.78</v>
      </c>
      <c r="D107" s="292" t="e">
        <f>#REF!</f>
        <v>#REF!</v>
      </c>
      <c r="E107" s="292" t="e">
        <f>#REF!</f>
        <v>#REF!</v>
      </c>
      <c r="F107" s="292" t="e">
        <f>#REF!</f>
        <v>#REF!</v>
      </c>
      <c r="G107" s="292" t="e">
        <f>#REF!</f>
        <v>#REF!</v>
      </c>
      <c r="H107" s="292" t="e">
        <f>#REF!</f>
        <v>#REF!</v>
      </c>
      <c r="I107" s="292">
        <f>'تقرير المصروفات حسب الشهر'!D864</f>
        <v>0</v>
      </c>
      <c r="J107" s="292">
        <f>'تقرير المصروفات حسب الشهر'!D991</f>
        <v>82534.89</v>
      </c>
      <c r="K107" s="292">
        <f>'تقرير المصروفات حسب الشهر'!D1118</f>
        <v>75935.81</v>
      </c>
      <c r="L107" s="292">
        <f>IFERROR(VLOOKUP(B107,'تقرير المصروفات حسب الشهر'!$C$1143:$AD$1254,2,FALSE),0)</f>
        <v>38465.22</v>
      </c>
      <c r="M107" s="292">
        <f>IFERROR(VLOOKUP(B107,'تقرير المصروفات حسب الشهر'!$C$1270:$AD$1381,2,FALSE),0)</f>
        <v>37382.58</v>
      </c>
      <c r="N107" s="292" t="e">
        <f>#REF!</f>
        <v>#REF!</v>
      </c>
      <c r="O107" s="296" t="e">
        <f t="shared" si="1"/>
        <v>#REF!</v>
      </c>
    </row>
    <row r="108" spans="2:15" ht="17.399999999999999">
      <c r="B108" s="291" t="s">
        <v>197</v>
      </c>
      <c r="C108" s="292">
        <f>'تقرير المصروفات حسب الشهر'!D112</f>
        <v>88117.95</v>
      </c>
      <c r="D108" s="292" t="e">
        <f>#REF!</f>
        <v>#REF!</v>
      </c>
      <c r="E108" s="292" t="e">
        <f>#REF!</f>
        <v>#REF!</v>
      </c>
      <c r="F108" s="292" t="e">
        <f>#REF!</f>
        <v>#REF!</v>
      </c>
      <c r="G108" s="292" t="e">
        <f>#REF!</f>
        <v>#REF!</v>
      </c>
      <c r="H108" s="292" t="e">
        <f>#REF!</f>
        <v>#REF!</v>
      </c>
      <c r="I108" s="292">
        <f>'تقرير المصروفات حسب الشهر'!D865</f>
        <v>0</v>
      </c>
      <c r="J108" s="292">
        <f>'تقرير المصروفات حسب الشهر'!D992</f>
        <v>21286.6</v>
      </c>
      <c r="K108" s="292">
        <f>'تقرير المصروفات حسب الشهر'!D1119</f>
        <v>20500.68</v>
      </c>
      <c r="L108" s="292">
        <f>IFERROR(VLOOKUP(B108,'تقرير المصروفات حسب الشهر'!$C$1143:$AD$1254,2,FALSE),0)</f>
        <v>0</v>
      </c>
      <c r="M108" s="292">
        <f>IFERROR(VLOOKUP(B108,'تقرير المصروفات حسب الشهر'!$C$1270:$AD$1381,2,FALSE),0)</f>
        <v>141515.57</v>
      </c>
      <c r="N108" s="292" t="e">
        <f>#REF!</f>
        <v>#REF!</v>
      </c>
      <c r="O108" s="296" t="e">
        <f t="shared" si="1"/>
        <v>#REF!</v>
      </c>
    </row>
    <row r="109" spans="2:15" ht="17.399999999999999">
      <c r="B109" s="291" t="s">
        <v>198</v>
      </c>
      <c r="C109" s="292">
        <f>'تقرير المصروفات حسب الشهر'!D113</f>
        <v>45418.64</v>
      </c>
      <c r="D109" s="292" t="e">
        <f>#REF!</f>
        <v>#REF!</v>
      </c>
      <c r="E109" s="292" t="e">
        <f>#REF!</f>
        <v>#REF!</v>
      </c>
      <c r="F109" s="292" t="e">
        <f>#REF!</f>
        <v>#REF!</v>
      </c>
      <c r="G109" s="292" t="e">
        <f>#REF!</f>
        <v>#REF!</v>
      </c>
      <c r="H109" s="292" t="e">
        <f>#REF!</f>
        <v>#REF!</v>
      </c>
      <c r="I109" s="292">
        <f>'تقرير المصروفات حسب الشهر'!D866</f>
        <v>20328.900000000001</v>
      </c>
      <c r="J109" s="292">
        <f>'تقرير المصروفات حسب الشهر'!D993</f>
        <v>13882.9</v>
      </c>
      <c r="K109" s="292">
        <f>'تقرير المصروفات حسب الشهر'!D1120</f>
        <v>13451.93</v>
      </c>
      <c r="L109" s="292">
        <f>IFERROR(VLOOKUP(B109,'تقرير المصروفات حسب الشهر'!$C$1143:$AD$1254,2,FALSE),0)</f>
        <v>19703.32</v>
      </c>
      <c r="M109" s="292">
        <f>IFERROR(VLOOKUP(B109,'تقرير المصروفات حسب الشهر'!$C$1270:$AD$1381,2,FALSE),0)</f>
        <v>18894.37</v>
      </c>
      <c r="N109" s="292" t="e">
        <f>#REF!</f>
        <v>#REF!</v>
      </c>
      <c r="O109" s="296" t="e">
        <f t="shared" si="1"/>
        <v>#REF!</v>
      </c>
    </row>
    <row r="110" spans="2:15" ht="17.399999999999999">
      <c r="B110" s="291" t="s">
        <v>201</v>
      </c>
      <c r="C110" s="292">
        <f>'تقرير المصروفات حسب الشهر'!D114</f>
        <v>20328.900000000001</v>
      </c>
      <c r="D110" s="292" t="e">
        <f>#REF!</f>
        <v>#REF!</v>
      </c>
      <c r="E110" s="292" t="e">
        <f>#REF!</f>
        <v>#REF!</v>
      </c>
      <c r="F110" s="292" t="e">
        <f>#REF!</f>
        <v>#REF!</v>
      </c>
      <c r="G110" s="292" t="e">
        <f>#REF!</f>
        <v>#REF!</v>
      </c>
      <c r="H110" s="292" t="e">
        <f>#REF!</f>
        <v>#REF!</v>
      </c>
      <c r="I110" s="292">
        <f>'تقرير المصروفات حسب الشهر'!D867</f>
        <v>31885.69</v>
      </c>
      <c r="J110" s="292">
        <f>'تقرير المصروفات حسب الشهر'!D994</f>
        <v>20439.990000000002</v>
      </c>
      <c r="K110" s="292">
        <f>'تقرير المصروفات حسب الشهر'!D1121</f>
        <v>19795.14</v>
      </c>
      <c r="L110" s="292">
        <f>IFERROR(VLOOKUP(B110,'تقرير المصروفات حسب الشهر'!$C$1143:$AD$1254,2,FALSE),0)</f>
        <v>13013.79</v>
      </c>
      <c r="M110" s="292">
        <f>IFERROR(VLOOKUP(B110,'تقرير المصروفات حسب الشهر'!$C$1270:$AD$1381,2,FALSE),0)</f>
        <v>12568.34</v>
      </c>
      <c r="N110" s="292" t="e">
        <f>#REF!</f>
        <v>#REF!</v>
      </c>
      <c r="O110" s="296" t="e">
        <f t="shared" si="1"/>
        <v>#REF!</v>
      </c>
    </row>
    <row r="111" spans="2:15" ht="17.399999999999999">
      <c r="B111" s="291" t="s">
        <v>202</v>
      </c>
      <c r="C111" s="292">
        <f>'تقرير المصروفات حسب الشهر'!D115</f>
        <v>31885.69</v>
      </c>
      <c r="D111" s="292" t="e">
        <f>#REF!</f>
        <v>#REF!</v>
      </c>
      <c r="E111" s="292" t="e">
        <f>#REF!</f>
        <v>#REF!</v>
      </c>
      <c r="F111" s="292" t="e">
        <f>#REF!</f>
        <v>#REF!</v>
      </c>
      <c r="G111" s="292" t="e">
        <f>#REF!</f>
        <v>#REF!</v>
      </c>
      <c r="H111" s="292" t="e">
        <f>#REF!</f>
        <v>#REF!</v>
      </c>
      <c r="I111" s="292">
        <f>'تقرير المصروفات حسب الشهر'!D868</f>
        <v>20793.88</v>
      </c>
      <c r="J111" s="292">
        <f>'تقرير المصروفات حسب الشهر'!D995</f>
        <v>14549.09</v>
      </c>
      <c r="K111" s="292">
        <f>'تقرير المصروفات حسب الشهر'!D1122</f>
        <v>14119.39</v>
      </c>
      <c r="L111" s="292">
        <f>IFERROR(VLOOKUP(B111,'تقرير المصروفات حسب الشهر'!$C$1143:$AD$1254,2,FALSE),0)</f>
        <v>19139.599999999999</v>
      </c>
      <c r="M111" s="292">
        <f>IFERROR(VLOOKUP(B111,'تقرير المصروفات حسب الشهر'!$C$1270:$AD$1381,2,FALSE),0)</f>
        <v>18473.21</v>
      </c>
      <c r="N111" s="292" t="e">
        <f>#REF!</f>
        <v>#REF!</v>
      </c>
      <c r="O111" s="296" t="e">
        <f t="shared" si="1"/>
        <v>#REF!</v>
      </c>
    </row>
    <row r="112" spans="2:15" ht="17.399999999999999">
      <c r="B112" s="291" t="s">
        <v>206</v>
      </c>
      <c r="C112" s="292">
        <f>'تقرير المصروفات حسب الشهر'!D116</f>
        <v>20793.88</v>
      </c>
      <c r="D112" s="292" t="e">
        <f>#REF!</f>
        <v>#REF!</v>
      </c>
      <c r="E112" s="292" t="e">
        <f>#REF!</f>
        <v>#REF!</v>
      </c>
      <c r="F112" s="292" t="e">
        <f>#REF!</f>
        <v>#REF!</v>
      </c>
      <c r="G112" s="292" t="e">
        <f>#REF!</f>
        <v>#REF!</v>
      </c>
      <c r="H112" s="292" t="e">
        <f>#REF!</f>
        <v>#REF!</v>
      </c>
      <c r="I112" s="292">
        <f>'تقرير المصروفات حسب الشهر'!D869</f>
        <v>11400</v>
      </c>
      <c r="J112" s="292">
        <f>'تقرير المصروفات حسب الشهر'!D996</f>
        <v>11400</v>
      </c>
      <c r="K112" s="292">
        <f>'تقرير المصروفات حسب الشهر'!D1123</f>
        <v>11400</v>
      </c>
      <c r="L112" s="292">
        <f>IFERROR(VLOOKUP(B112,'تقرير المصروفات حسب الشهر'!$C$1143:$AD$1254,2,FALSE),0)</f>
        <v>13682.43</v>
      </c>
      <c r="M112" s="292">
        <f>IFERROR(VLOOKUP(B112,'تقرير المصروفات حسب الشهر'!$C$1270:$AD$1381,2,FALSE),0)</f>
        <v>13238.09</v>
      </c>
      <c r="N112" s="292" t="e">
        <f>#REF!</f>
        <v>#REF!</v>
      </c>
      <c r="O112" s="296" t="e">
        <f t="shared" si="1"/>
        <v>#REF!</v>
      </c>
    </row>
    <row r="113" spans="2:15" ht="17.399999999999999">
      <c r="B113" s="291" t="s">
        <v>207</v>
      </c>
      <c r="C113" s="292">
        <f>'تقرير المصروفات حسب الشهر'!D117</f>
        <v>10537.5</v>
      </c>
      <c r="D113" s="292" t="e">
        <f>#REF!</f>
        <v>#REF!</v>
      </c>
      <c r="E113" s="292" t="e">
        <f>#REF!</f>
        <v>#REF!</v>
      </c>
      <c r="F113" s="292" t="e">
        <f>#REF!</f>
        <v>#REF!</v>
      </c>
      <c r="G113" s="292" t="e">
        <f>#REF!</f>
        <v>#REF!</v>
      </c>
      <c r="H113" s="292" t="e">
        <f>#REF!</f>
        <v>#REF!</v>
      </c>
      <c r="I113" s="292">
        <f>'تقرير المصروفات حسب الشهر'!D870</f>
        <v>22914.91</v>
      </c>
      <c r="J113" s="292">
        <f>'تقرير المصروفات حسب الشهر'!D997</f>
        <v>20335.79</v>
      </c>
      <c r="K113" s="292">
        <f>'تقرير المصروفات حسب الشهر'!D1124</f>
        <v>20092.849999999999</v>
      </c>
      <c r="L113" s="292">
        <f>IFERROR(VLOOKUP(B113,'تقرير المصروفات حسب الشهر'!$C$1143:$AD$1254,2,FALSE),0)</f>
        <v>11400</v>
      </c>
      <c r="M113" s="292">
        <f>IFERROR(VLOOKUP(B113,'تقرير المصروفات حسب الشهر'!$C$1270:$AD$1381,2,FALSE),0)</f>
        <v>11831.25</v>
      </c>
      <c r="N113" s="292" t="e">
        <f>#REF!</f>
        <v>#REF!</v>
      </c>
      <c r="O113" s="296" t="e">
        <f t="shared" si="1"/>
        <v>#REF!</v>
      </c>
    </row>
    <row r="114" spans="2:15" ht="17.399999999999999">
      <c r="B114" s="291" t="s">
        <v>208</v>
      </c>
      <c r="C114" s="292">
        <f>'تقرير المصروفات حسب الشهر'!D118</f>
        <v>22944.91</v>
      </c>
      <c r="D114" s="292" t="e">
        <f>#REF!</f>
        <v>#REF!</v>
      </c>
      <c r="E114" s="292" t="e">
        <f>#REF!</f>
        <v>#REF!</v>
      </c>
      <c r="F114" s="292" t="e">
        <f>#REF!</f>
        <v>#REF!</v>
      </c>
      <c r="G114" s="292" t="e">
        <f>#REF!</f>
        <v>#REF!</v>
      </c>
      <c r="H114" s="292" t="e">
        <f>#REF!</f>
        <v>#REF!</v>
      </c>
      <c r="I114" s="292">
        <f>'تقرير المصروفات حسب الشهر'!D871</f>
        <v>24094.78</v>
      </c>
      <c r="J114" s="292">
        <f>'تقرير المصروفات حسب الشهر'!D998</f>
        <v>19385.650000000001</v>
      </c>
      <c r="K114" s="292">
        <f>'تقرير المصروفات حسب الشهر'!D1125</f>
        <v>18941.97</v>
      </c>
      <c r="L114" s="292">
        <f>IFERROR(VLOOKUP(B114,'تقرير المصروفات حسب الشهر'!$C$1143:$AD$1254,2,FALSE),0)</f>
        <v>19845.650000000001</v>
      </c>
      <c r="M114" s="292">
        <f>IFERROR(VLOOKUP(B114,'تقرير المصروفات حسب الشهر'!$C$1270:$AD$1381,2,FALSE),0)</f>
        <v>19594.13</v>
      </c>
      <c r="N114" s="292" t="e">
        <f>#REF!</f>
        <v>#REF!</v>
      </c>
      <c r="O114" s="296" t="e">
        <f t="shared" si="1"/>
        <v>#REF!</v>
      </c>
    </row>
    <row r="115" spans="2:15" ht="17.399999999999999">
      <c r="B115" s="291" t="s">
        <v>236</v>
      </c>
      <c r="C115" s="292">
        <f>'تقرير المصروفات حسب الشهر'!D119</f>
        <v>24094.78</v>
      </c>
      <c r="D115" s="292"/>
      <c r="E115" s="292"/>
      <c r="F115" s="292"/>
      <c r="G115" s="292"/>
      <c r="H115" s="292" t="e">
        <f>#REF!</f>
        <v>#REF!</v>
      </c>
      <c r="I115" s="292">
        <f>'تقرير المصروفات حسب الشهر'!D872</f>
        <v>10000</v>
      </c>
      <c r="J115" s="292">
        <f>'تقرير المصروفات حسب الشهر'!D999</f>
        <v>500</v>
      </c>
      <c r="K115" s="292">
        <f>'تقرير المصروفات حسب الشهر'!D1126</f>
        <v>0</v>
      </c>
      <c r="L115" s="292">
        <f>IFERROR(VLOOKUP(B115,'تقرير المصروفات حسب الشهر'!$C$1143:$AD$1254,2,FALSE),0)</f>
        <v>18489.740000000002</v>
      </c>
      <c r="M115" s="292">
        <f>IFERROR(VLOOKUP(B115,'تقرير المصروفات حسب الشهر'!$C$1270:$AD$1381,2,FALSE),0)</f>
        <v>18028.79</v>
      </c>
      <c r="N115" s="292"/>
      <c r="O115" s="296" t="e">
        <f t="shared" si="1"/>
        <v>#REF!</v>
      </c>
    </row>
    <row r="116" spans="2:15" ht="17.399999999999999">
      <c r="B116" s="291" t="s">
        <v>209</v>
      </c>
      <c r="C116" s="292">
        <f>'تقرير المصروفات حسب الشهر'!D120</f>
        <v>18700</v>
      </c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6"/>
    </row>
    <row r="117" spans="2:15" ht="17.399999999999999">
      <c r="B117" s="291" t="s">
        <v>360</v>
      </c>
      <c r="C117" s="292">
        <f>'تقرير المصروفات حسب الشهر'!D121</f>
        <v>0</v>
      </c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6"/>
    </row>
    <row r="118" spans="2:15" ht="21">
      <c r="B118" s="293" t="s">
        <v>18</v>
      </c>
      <c r="C118" s="294">
        <f>SUM(C6:C117)</f>
        <v>2115892.6399999992</v>
      </c>
      <c r="D118" s="294" t="e">
        <f t="shared" ref="D118:O118" si="2">SUM(D6:D115)</f>
        <v>#REF!</v>
      </c>
      <c r="E118" s="294" t="e">
        <f t="shared" si="2"/>
        <v>#REF!</v>
      </c>
      <c r="F118" s="294" t="e">
        <f t="shared" si="2"/>
        <v>#REF!</v>
      </c>
      <c r="G118" s="294" t="e">
        <f t="shared" si="2"/>
        <v>#REF!</v>
      </c>
      <c r="H118" s="294" t="e">
        <f t="shared" si="2"/>
        <v>#REF!</v>
      </c>
      <c r="I118" s="294">
        <f t="shared" si="2"/>
        <v>2371111.9499999997</v>
      </c>
      <c r="J118" s="294">
        <f t="shared" si="2"/>
        <v>2468467.0100000002</v>
      </c>
      <c r="K118" s="294">
        <f t="shared" si="2"/>
        <v>2414087.7900000019</v>
      </c>
      <c r="L118" s="294">
        <f t="shared" si="2"/>
        <v>2150513.2900000005</v>
      </c>
      <c r="M118" s="294">
        <f t="shared" si="2"/>
        <v>2488707.6199999996</v>
      </c>
      <c r="N118" s="294" t="e">
        <f t="shared" si="2"/>
        <v>#REF!</v>
      </c>
      <c r="O118" s="294" t="e">
        <f t="shared" si="2"/>
        <v>#REF!</v>
      </c>
    </row>
    <row r="120" spans="2:15" ht="13.8" thickBot="1"/>
    <row r="121" spans="2:15" ht="30.6" thickTop="1">
      <c r="B121" s="646" t="s">
        <v>211</v>
      </c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</row>
    <row r="122" spans="2:15" ht="17.399999999999999">
      <c r="B122" s="295" t="s">
        <v>23</v>
      </c>
      <c r="C122" s="295" t="s">
        <v>0</v>
      </c>
      <c r="D122" s="295" t="s">
        <v>1</v>
      </c>
      <c r="E122" s="295" t="s">
        <v>2</v>
      </c>
      <c r="F122" s="295" t="s">
        <v>3</v>
      </c>
      <c r="G122" s="295" t="s">
        <v>4</v>
      </c>
      <c r="H122" s="295" t="s">
        <v>5</v>
      </c>
      <c r="I122" s="295" t="s">
        <v>6</v>
      </c>
      <c r="J122" s="295" t="s">
        <v>7</v>
      </c>
      <c r="K122" s="295" t="s">
        <v>8</v>
      </c>
      <c r="L122" s="295" t="s">
        <v>9</v>
      </c>
      <c r="M122" s="295" t="s">
        <v>10</v>
      </c>
      <c r="N122" s="295" t="s">
        <v>11</v>
      </c>
      <c r="O122" s="295" t="s">
        <v>18</v>
      </c>
    </row>
    <row r="123" spans="2:15" ht="17.399999999999999">
      <c r="B123" s="291" t="s">
        <v>40</v>
      </c>
      <c r="C123" s="292">
        <f>'تقرير المصروفات حسب الشهر'!E10</f>
        <v>0</v>
      </c>
      <c r="D123" s="292" t="e">
        <f>#REF!</f>
        <v>#REF!</v>
      </c>
      <c r="E123" s="292" t="e">
        <f>#REF!</f>
        <v>#REF!</v>
      </c>
      <c r="F123" s="292" t="e">
        <f>#REF!</f>
        <v>#REF!</v>
      </c>
      <c r="G123" s="292" t="e">
        <f>#REF!</f>
        <v>#REF!</v>
      </c>
      <c r="H123" s="292" t="e">
        <f>#REF!</f>
        <v>#REF!</v>
      </c>
      <c r="I123" s="292">
        <f>'تقرير المصروفات حسب الشهر'!E763</f>
        <v>0</v>
      </c>
      <c r="J123" s="292">
        <f>'تقرير المصروفات حسب الشهر'!E890</f>
        <v>0</v>
      </c>
      <c r="K123" s="292">
        <f>'تقرير المصروفات حسب الشهر'!E1017</f>
        <v>0</v>
      </c>
      <c r="L123" s="292">
        <f>IFERROR(VLOOKUP(B123,'تقرير المصروفات حسب الشهر'!$C$1143:$AD$1254,3,FALSE),0)</f>
        <v>0</v>
      </c>
      <c r="M123" s="292">
        <f>IFERROR(VLOOKUP(B123,'تقرير المصروفات حسب الشهر'!$C$1270:$AD$1381,3,FALSE),0)</f>
        <v>0</v>
      </c>
      <c r="N123" s="292" t="e">
        <f>#REF!</f>
        <v>#REF!</v>
      </c>
      <c r="O123" s="296" t="e">
        <f>SUM(C123:N123)</f>
        <v>#REF!</v>
      </c>
    </row>
    <row r="124" spans="2:15" ht="17.399999999999999">
      <c r="B124" s="291" t="s">
        <v>41</v>
      </c>
      <c r="C124" s="292">
        <f>'تقرير المصروفات حسب الشهر'!E11</f>
        <v>247832.65</v>
      </c>
      <c r="D124" s="292" t="e">
        <f>#REF!</f>
        <v>#REF!</v>
      </c>
      <c r="E124" s="292" t="e">
        <f>#REF!</f>
        <v>#REF!</v>
      </c>
      <c r="F124" s="292" t="e">
        <f>#REF!</f>
        <v>#REF!</v>
      </c>
      <c r="G124" s="292" t="e">
        <f>#REF!</f>
        <v>#REF!</v>
      </c>
      <c r="H124" s="292" t="e">
        <f>#REF!</f>
        <v>#REF!</v>
      </c>
      <c r="I124" s="292">
        <f>'تقرير المصروفات حسب الشهر'!E764</f>
        <v>324699.23</v>
      </c>
      <c r="J124" s="292">
        <f>'تقرير المصروفات حسب الشهر'!E891</f>
        <v>323117.12</v>
      </c>
      <c r="K124" s="292">
        <f>'تقرير المصروفات حسب الشهر'!E1018</f>
        <v>366497.25</v>
      </c>
      <c r="L124" s="292">
        <f>IFERROR(VLOOKUP(B124,'تقرير المصروفات حسب الشهر'!$C$1143:$AD$1254,3,FALSE),0)</f>
        <v>370937.50999999995</v>
      </c>
      <c r="M124" s="292">
        <f>IFERROR(VLOOKUP(B124,'تقرير المصروفات حسب الشهر'!$C$1270:$AD$1381,3,FALSE),0)</f>
        <v>386501.24</v>
      </c>
      <c r="N124" s="292" t="e">
        <f>#REF!</f>
        <v>#REF!</v>
      </c>
      <c r="O124" s="296" t="e">
        <f t="shared" ref="O124:O187" si="3">SUM(C124:N124)</f>
        <v>#REF!</v>
      </c>
    </row>
    <row r="125" spans="2:15" ht="17.399999999999999">
      <c r="B125" s="291" t="s">
        <v>26</v>
      </c>
      <c r="C125" s="292">
        <f>'تقرير المصروفات حسب الشهر'!E12</f>
        <v>6809</v>
      </c>
      <c r="D125" s="292" t="e">
        <f>#REF!</f>
        <v>#REF!</v>
      </c>
      <c r="E125" s="292" t="e">
        <f>#REF!</f>
        <v>#REF!</v>
      </c>
      <c r="F125" s="292" t="e">
        <f>#REF!</f>
        <v>#REF!</v>
      </c>
      <c r="G125" s="292" t="e">
        <f>#REF!</f>
        <v>#REF!</v>
      </c>
      <c r="H125" s="292" t="e">
        <f>#REF!</f>
        <v>#REF!</v>
      </c>
      <c r="I125" s="292">
        <f>'تقرير المصروفات حسب الشهر'!E765</f>
        <v>5313</v>
      </c>
      <c r="J125" s="292">
        <f>'تقرير المصروفات حسب الشهر'!E892</f>
        <v>7215</v>
      </c>
      <c r="K125" s="292">
        <f>'تقرير المصروفات حسب الشهر'!E1019</f>
        <v>8346</v>
      </c>
      <c r="L125" s="292">
        <f>IFERROR(VLOOKUP(B125,'تقرير المصروفات حسب الشهر'!$C$1143:$AD$1254,3,FALSE),0)</f>
        <v>7871</v>
      </c>
      <c r="M125" s="292">
        <f>IFERROR(VLOOKUP(B125,'تقرير المصروفات حسب الشهر'!$C$1270:$AD$1381,3,FALSE),0)</f>
        <v>5587</v>
      </c>
      <c r="N125" s="292" t="e">
        <f>#REF!</f>
        <v>#REF!</v>
      </c>
      <c r="O125" s="296" t="e">
        <f t="shared" si="3"/>
        <v>#REF!</v>
      </c>
    </row>
    <row r="126" spans="2:15" ht="17.399999999999999">
      <c r="B126" s="291" t="s">
        <v>27</v>
      </c>
      <c r="C126" s="292">
        <f>'تقرير المصروفات حسب الشهر'!E13</f>
        <v>200</v>
      </c>
      <c r="D126" s="292" t="e">
        <f>#REF!</f>
        <v>#REF!</v>
      </c>
      <c r="E126" s="292" t="e">
        <f>#REF!</f>
        <v>#REF!</v>
      </c>
      <c r="F126" s="292" t="e">
        <f>#REF!</f>
        <v>#REF!</v>
      </c>
      <c r="G126" s="292" t="e">
        <f>#REF!</f>
        <v>#REF!</v>
      </c>
      <c r="H126" s="292" t="e">
        <f>#REF!</f>
        <v>#REF!</v>
      </c>
      <c r="I126" s="292">
        <f>'تقرير المصروفات حسب الشهر'!E766</f>
        <v>0</v>
      </c>
      <c r="J126" s="292">
        <f>'تقرير المصروفات حسب الشهر'!E893</f>
        <v>569</v>
      </c>
      <c r="K126" s="292">
        <f>'تقرير المصروفات حسب الشهر'!E1020</f>
        <v>490</v>
      </c>
      <c r="L126" s="292">
        <f>IFERROR(VLOOKUP(B126,'تقرير المصروفات حسب الشهر'!$C$1143:$AD$1254,3,FALSE),0)</f>
        <v>500</v>
      </c>
      <c r="M126" s="292">
        <f>IFERROR(VLOOKUP(B126,'تقرير المصروفات حسب الشهر'!$C$1270:$AD$1381,3,FALSE),0)</f>
        <v>842</v>
      </c>
      <c r="N126" s="292" t="e">
        <f>#REF!</f>
        <v>#REF!</v>
      </c>
      <c r="O126" s="296" t="e">
        <f t="shared" si="3"/>
        <v>#REF!</v>
      </c>
    </row>
    <row r="127" spans="2:15" ht="17.399999999999999">
      <c r="B127" s="291" t="s">
        <v>42</v>
      </c>
      <c r="C127" s="292">
        <f>'تقرير المصروفات حسب الشهر'!E14</f>
        <v>500</v>
      </c>
      <c r="D127" s="292" t="e">
        <f>#REF!</f>
        <v>#REF!</v>
      </c>
      <c r="E127" s="292" t="e">
        <f>#REF!</f>
        <v>#REF!</v>
      </c>
      <c r="F127" s="292" t="e">
        <f>#REF!</f>
        <v>#REF!</v>
      </c>
      <c r="G127" s="292" t="e">
        <f>#REF!</f>
        <v>#REF!</v>
      </c>
      <c r="H127" s="292" t="e">
        <f>#REF!</f>
        <v>#REF!</v>
      </c>
      <c r="I127" s="292">
        <f>'تقرير المصروفات حسب الشهر'!E767</f>
        <v>0</v>
      </c>
      <c r="J127" s="292">
        <f>'تقرير المصروفات حسب الشهر'!E894</f>
        <v>0</v>
      </c>
      <c r="K127" s="292">
        <f>'تقرير المصروفات حسب الشهر'!E1021</f>
        <v>0</v>
      </c>
      <c r="L127" s="292">
        <f>IFERROR(VLOOKUP(B127,'تقرير المصروفات حسب الشهر'!$C$1143:$AD$1254,3,FALSE),0)</f>
        <v>0</v>
      </c>
      <c r="M127" s="292">
        <f>IFERROR(VLOOKUP(B127,'تقرير المصروفات حسب الشهر'!$C$1270:$AD$1381,3,FALSE),0)</f>
        <v>400</v>
      </c>
      <c r="N127" s="292" t="e">
        <f>#REF!</f>
        <v>#REF!</v>
      </c>
      <c r="O127" s="296" t="e">
        <f t="shared" si="3"/>
        <v>#REF!</v>
      </c>
    </row>
    <row r="128" spans="2:15" ht="17.399999999999999">
      <c r="B128" s="291" t="s">
        <v>43</v>
      </c>
      <c r="C128" s="292">
        <f>'تقرير المصروفات حسب الشهر'!E15</f>
        <v>100000</v>
      </c>
      <c r="D128" s="292" t="e">
        <f>#REF!</f>
        <v>#REF!</v>
      </c>
      <c r="E128" s="292" t="e">
        <f>#REF!</f>
        <v>#REF!</v>
      </c>
      <c r="F128" s="292" t="e">
        <f>#REF!</f>
        <v>#REF!</v>
      </c>
      <c r="G128" s="292" t="e">
        <f>#REF!</f>
        <v>#REF!</v>
      </c>
      <c r="H128" s="292" t="e">
        <f>#REF!</f>
        <v>#REF!</v>
      </c>
      <c r="I128" s="292">
        <f>'تقرير المصروفات حسب الشهر'!E768</f>
        <v>100000</v>
      </c>
      <c r="J128" s="292">
        <f>'تقرير المصروفات حسب الشهر'!E895</f>
        <v>100000</v>
      </c>
      <c r="K128" s="292">
        <f>'تقرير المصروفات حسب الشهر'!E1022</f>
        <v>100000</v>
      </c>
      <c r="L128" s="292">
        <f>IFERROR(VLOOKUP(B128,'تقرير المصروفات حسب الشهر'!$C$1143:$AD$1254,3,FALSE),0)</f>
        <v>100000</v>
      </c>
      <c r="M128" s="292">
        <f>IFERROR(VLOOKUP(B128,'تقرير المصروفات حسب الشهر'!$C$1270:$AD$1381,3,FALSE),0)</f>
        <v>170000</v>
      </c>
      <c r="N128" s="292" t="e">
        <f>#REF!</f>
        <v>#REF!</v>
      </c>
      <c r="O128" s="296" t="e">
        <f t="shared" si="3"/>
        <v>#REF!</v>
      </c>
    </row>
    <row r="129" spans="2:15" ht="17.399999999999999">
      <c r="B129" s="291" t="s">
        <v>44</v>
      </c>
      <c r="C129" s="292">
        <f>'تقرير المصروفات حسب الشهر'!E16</f>
        <v>0</v>
      </c>
      <c r="D129" s="292" t="e">
        <f>#REF!</f>
        <v>#REF!</v>
      </c>
      <c r="E129" s="292" t="e">
        <f>#REF!</f>
        <v>#REF!</v>
      </c>
      <c r="F129" s="292" t="e">
        <f>#REF!</f>
        <v>#REF!</v>
      </c>
      <c r="G129" s="292" t="e">
        <f>#REF!</f>
        <v>#REF!</v>
      </c>
      <c r="H129" s="292" t="e">
        <f>#REF!</f>
        <v>#REF!</v>
      </c>
      <c r="I129" s="292">
        <f>'تقرير المصروفات حسب الشهر'!E769</f>
        <v>0</v>
      </c>
      <c r="J129" s="292">
        <f>'تقرير المصروفات حسب الشهر'!E896</f>
        <v>0</v>
      </c>
      <c r="K129" s="292">
        <f>'تقرير المصروفات حسب الشهر'!E1023</f>
        <v>0</v>
      </c>
      <c r="L129" s="292">
        <f>IFERROR(VLOOKUP(B129,'تقرير المصروفات حسب الشهر'!$C$1143:$AD$1254,3,FALSE),0)</f>
        <v>0</v>
      </c>
      <c r="M129" s="292">
        <f>IFERROR(VLOOKUP(B129,'تقرير المصروفات حسب الشهر'!$C$1270:$AD$1381,3,FALSE),0)</f>
        <v>0</v>
      </c>
      <c r="N129" s="292" t="e">
        <f>#REF!</f>
        <v>#REF!</v>
      </c>
      <c r="O129" s="296" t="e">
        <f t="shared" si="3"/>
        <v>#REF!</v>
      </c>
    </row>
    <row r="130" spans="2:15" ht="17.399999999999999">
      <c r="B130" s="291" t="s">
        <v>45</v>
      </c>
      <c r="C130" s="292">
        <f>'تقرير المصروفات حسب الشهر'!E17</f>
        <v>0</v>
      </c>
      <c r="D130" s="292" t="e">
        <f>#REF!</f>
        <v>#REF!</v>
      </c>
      <c r="E130" s="292" t="e">
        <f>#REF!</f>
        <v>#REF!</v>
      </c>
      <c r="F130" s="292" t="e">
        <f>#REF!</f>
        <v>#REF!</v>
      </c>
      <c r="G130" s="292" t="e">
        <f>#REF!</f>
        <v>#REF!</v>
      </c>
      <c r="H130" s="292" t="e">
        <f>#REF!</f>
        <v>#REF!</v>
      </c>
      <c r="I130" s="292">
        <f>'تقرير المصروفات حسب الشهر'!E770</f>
        <v>0</v>
      </c>
      <c r="J130" s="292">
        <f>'تقرير المصروفات حسب الشهر'!E897</f>
        <v>0</v>
      </c>
      <c r="K130" s="292">
        <f>'تقرير المصروفات حسب الشهر'!E1024</f>
        <v>0</v>
      </c>
      <c r="L130" s="292">
        <f>IFERROR(VLOOKUP(B130,'تقرير المصروفات حسب الشهر'!$C$1143:$AD$1254,3,FALSE),0)</f>
        <v>0</v>
      </c>
      <c r="M130" s="292">
        <f>IFERROR(VLOOKUP(B130,'تقرير المصروفات حسب الشهر'!$C$1270:$AD$1381,3,FALSE),0)</f>
        <v>0</v>
      </c>
      <c r="N130" s="292" t="e">
        <f>#REF!</f>
        <v>#REF!</v>
      </c>
      <c r="O130" s="296" t="e">
        <f t="shared" si="3"/>
        <v>#REF!</v>
      </c>
    </row>
    <row r="131" spans="2:15" ht="17.399999999999999">
      <c r="B131" s="291" t="s">
        <v>156</v>
      </c>
      <c r="C131" s="292">
        <f>'تقرير المصروفات حسب الشهر'!E18</f>
        <v>0</v>
      </c>
      <c r="D131" s="292" t="e">
        <f>#REF!</f>
        <v>#REF!</v>
      </c>
      <c r="E131" s="292" t="e">
        <f>#REF!</f>
        <v>#REF!</v>
      </c>
      <c r="F131" s="292" t="e">
        <f>#REF!</f>
        <v>#REF!</v>
      </c>
      <c r="G131" s="292" t="e">
        <f>#REF!</f>
        <v>#REF!</v>
      </c>
      <c r="H131" s="292" t="e">
        <f>#REF!</f>
        <v>#REF!</v>
      </c>
      <c r="I131" s="292">
        <f>'تقرير المصروفات حسب الشهر'!E771</f>
        <v>70</v>
      </c>
      <c r="J131" s="292">
        <f>'تقرير المصروفات حسب الشهر'!E898</f>
        <v>0</v>
      </c>
      <c r="K131" s="292">
        <f>'تقرير المصروفات حسب الشهر'!E1025</f>
        <v>80</v>
      </c>
      <c r="L131" s="292">
        <f>IFERROR(VLOOKUP(B131,'تقرير المصروفات حسب الشهر'!$C$1143:$AD$1254,3,FALSE),0)</f>
        <v>967.5</v>
      </c>
      <c r="M131" s="292">
        <f>IFERROR(VLOOKUP(B131,'تقرير المصروفات حسب الشهر'!$C$1270:$AD$1381,3,FALSE),0)</f>
        <v>0</v>
      </c>
      <c r="N131" s="292" t="e">
        <f>#REF!</f>
        <v>#REF!</v>
      </c>
      <c r="O131" s="296" t="e">
        <f t="shared" si="3"/>
        <v>#REF!</v>
      </c>
    </row>
    <row r="132" spans="2:15" ht="17.399999999999999">
      <c r="B132" s="291" t="s">
        <v>46</v>
      </c>
      <c r="C132" s="292">
        <f>'تقرير المصروفات حسب الشهر'!E19</f>
        <v>783.54</v>
      </c>
      <c r="D132" s="292" t="e">
        <f>#REF!</f>
        <v>#REF!</v>
      </c>
      <c r="E132" s="292" t="e">
        <f>#REF!</f>
        <v>#REF!</v>
      </c>
      <c r="F132" s="292" t="e">
        <f>#REF!</f>
        <v>#REF!</v>
      </c>
      <c r="G132" s="292" t="e">
        <f>#REF!</f>
        <v>#REF!</v>
      </c>
      <c r="H132" s="292" t="e">
        <f>#REF!</f>
        <v>#REF!</v>
      </c>
      <c r="I132" s="292">
        <f>'تقرير المصروفات حسب الشهر'!E772</f>
        <v>721.98</v>
      </c>
      <c r="J132" s="292">
        <f>'تقرير المصروفات حسب الشهر'!E899</f>
        <v>721.98</v>
      </c>
      <c r="K132" s="292">
        <f>'تقرير المصروفات حسب الشهر'!E1026</f>
        <v>871.98</v>
      </c>
      <c r="L132" s="292">
        <f>IFERROR(VLOOKUP(B132,'تقرير المصروفات حسب الشهر'!$C$1143:$AD$1254,3,FALSE),0)</f>
        <v>721.98</v>
      </c>
      <c r="M132" s="292">
        <f>IFERROR(VLOOKUP(B132,'تقرير المصروفات حسب الشهر'!$C$1270:$AD$1381,3,FALSE),0)</f>
        <v>1071.98</v>
      </c>
      <c r="N132" s="292" t="e">
        <f>#REF!</f>
        <v>#REF!</v>
      </c>
      <c r="O132" s="296" t="e">
        <f t="shared" si="3"/>
        <v>#REF!</v>
      </c>
    </row>
    <row r="133" spans="2:15" ht="17.399999999999999">
      <c r="B133" s="291" t="s">
        <v>47</v>
      </c>
      <c r="C133" s="292">
        <f>'تقرير المصروفات حسب الشهر'!E20</f>
        <v>0</v>
      </c>
      <c r="D133" s="292" t="e">
        <f>#REF!</f>
        <v>#REF!</v>
      </c>
      <c r="E133" s="292" t="e">
        <f>#REF!</f>
        <v>#REF!</v>
      </c>
      <c r="F133" s="292" t="e">
        <f>#REF!</f>
        <v>#REF!</v>
      </c>
      <c r="G133" s="292" t="e">
        <f>#REF!</f>
        <v>#REF!</v>
      </c>
      <c r="H133" s="292" t="e">
        <f>#REF!</f>
        <v>#REF!</v>
      </c>
      <c r="I133" s="292">
        <f>'تقرير المصروفات حسب الشهر'!E773</f>
        <v>0</v>
      </c>
      <c r="J133" s="292">
        <f>'تقرير المصروفات حسب الشهر'!E900</f>
        <v>0</v>
      </c>
      <c r="K133" s="292">
        <f>'تقرير المصروفات حسب الشهر'!E1027</f>
        <v>0</v>
      </c>
      <c r="L133" s="292">
        <f>IFERROR(VLOOKUP(B133,'تقرير المصروفات حسب الشهر'!$C$1143:$AD$1254,3,FALSE),0)</f>
        <v>0</v>
      </c>
      <c r="M133" s="292">
        <f>IFERROR(VLOOKUP(B133,'تقرير المصروفات حسب الشهر'!$C$1270:$AD$1381,3,FALSE),0)</f>
        <v>0</v>
      </c>
      <c r="N133" s="292" t="e">
        <f>#REF!</f>
        <v>#REF!</v>
      </c>
      <c r="O133" s="296" t="e">
        <f t="shared" si="3"/>
        <v>#REF!</v>
      </c>
    </row>
    <row r="134" spans="2:15" ht="17.399999999999999">
      <c r="B134" s="291" t="s">
        <v>48</v>
      </c>
      <c r="C134" s="292">
        <f>'تقرير المصروفات حسب الشهر'!E21</f>
        <v>1500</v>
      </c>
      <c r="D134" s="292" t="e">
        <f>#REF!</f>
        <v>#REF!</v>
      </c>
      <c r="E134" s="292" t="e">
        <f>#REF!</f>
        <v>#REF!</v>
      </c>
      <c r="F134" s="292" t="e">
        <f>#REF!</f>
        <v>#REF!</v>
      </c>
      <c r="G134" s="292" t="e">
        <f>#REF!</f>
        <v>#REF!</v>
      </c>
      <c r="H134" s="292" t="e">
        <f>#REF!</f>
        <v>#REF!</v>
      </c>
      <c r="I134" s="292">
        <f>'تقرير المصروفات حسب الشهر'!E774</f>
        <v>2200</v>
      </c>
      <c r="J134" s="292">
        <f>'تقرير المصروفات حسب الشهر'!E901</f>
        <v>0</v>
      </c>
      <c r="K134" s="292">
        <f>'تقرير المصروفات حسب الشهر'!E1028</f>
        <v>500</v>
      </c>
      <c r="L134" s="292">
        <f>IFERROR(VLOOKUP(B134,'تقرير المصروفات حسب الشهر'!$C$1143:$AD$1254,3,FALSE),0)</f>
        <v>0</v>
      </c>
      <c r="M134" s="292">
        <f>IFERROR(VLOOKUP(B134,'تقرير المصروفات حسب الشهر'!$C$1270:$AD$1381,3,FALSE),0)</f>
        <v>1150</v>
      </c>
      <c r="N134" s="292" t="e">
        <f>#REF!</f>
        <v>#REF!</v>
      </c>
      <c r="O134" s="296" t="e">
        <f t="shared" si="3"/>
        <v>#REF!</v>
      </c>
    </row>
    <row r="135" spans="2:15" ht="17.399999999999999">
      <c r="B135" s="291" t="s">
        <v>49</v>
      </c>
      <c r="C135" s="292">
        <f>'تقرير المصروفات حسب الشهر'!E22</f>
        <v>0</v>
      </c>
      <c r="D135" s="292" t="e">
        <f>#REF!</f>
        <v>#REF!</v>
      </c>
      <c r="E135" s="292" t="e">
        <f>#REF!</f>
        <v>#REF!</v>
      </c>
      <c r="F135" s="292" t="e">
        <f>#REF!</f>
        <v>#REF!</v>
      </c>
      <c r="G135" s="292" t="e">
        <f>#REF!</f>
        <v>#REF!</v>
      </c>
      <c r="H135" s="292" t="e">
        <f>#REF!</f>
        <v>#REF!</v>
      </c>
      <c r="I135" s="292">
        <f>'تقرير المصروفات حسب الشهر'!E775</f>
        <v>0</v>
      </c>
      <c r="J135" s="292">
        <f>'تقرير المصروفات حسب الشهر'!E902</f>
        <v>0</v>
      </c>
      <c r="K135" s="292">
        <f>'تقرير المصروفات حسب الشهر'!E1029</f>
        <v>0</v>
      </c>
      <c r="L135" s="292">
        <f>IFERROR(VLOOKUP(B135,'تقرير المصروفات حسب الشهر'!$C$1143:$AD$1254,3,FALSE),0)</f>
        <v>0</v>
      </c>
      <c r="M135" s="292">
        <f>IFERROR(VLOOKUP(B135,'تقرير المصروفات حسب الشهر'!$C$1270:$AD$1381,3,FALSE),0)</f>
        <v>0</v>
      </c>
      <c r="N135" s="292" t="e">
        <f>#REF!</f>
        <v>#REF!</v>
      </c>
      <c r="O135" s="296" t="e">
        <f t="shared" si="3"/>
        <v>#REF!</v>
      </c>
    </row>
    <row r="136" spans="2:15" ht="17.399999999999999">
      <c r="B136" s="291" t="s">
        <v>158</v>
      </c>
      <c r="C136" s="292">
        <f>'تقرير المصروفات حسب الشهر'!E23</f>
        <v>2830</v>
      </c>
      <c r="D136" s="292" t="e">
        <f>#REF!</f>
        <v>#REF!</v>
      </c>
      <c r="E136" s="292" t="e">
        <f>#REF!</f>
        <v>#REF!</v>
      </c>
      <c r="F136" s="292" t="e">
        <f>#REF!</f>
        <v>#REF!</v>
      </c>
      <c r="G136" s="292" t="e">
        <f>#REF!</f>
        <v>#REF!</v>
      </c>
      <c r="H136" s="292" t="e">
        <f>#REF!</f>
        <v>#REF!</v>
      </c>
      <c r="I136" s="292">
        <f>'تقرير المصروفات حسب الشهر'!E776</f>
        <v>2500</v>
      </c>
      <c r="J136" s="292">
        <f>'تقرير المصروفات حسب الشهر'!E903</f>
        <v>2500</v>
      </c>
      <c r="K136" s="292">
        <f>'تقرير المصروفات حسب الشهر'!E1030</f>
        <v>2500</v>
      </c>
      <c r="L136" s="292">
        <f>IFERROR(VLOOKUP(B136,'تقرير المصروفات حسب الشهر'!$C$1143:$AD$1254,3,FALSE),0)</f>
        <v>2500</v>
      </c>
      <c r="M136" s="292">
        <f>IFERROR(VLOOKUP(B136,'تقرير المصروفات حسب الشهر'!$C$1270:$AD$1381,3,FALSE),0)</f>
        <v>7410</v>
      </c>
      <c r="N136" s="292" t="e">
        <f>#REF!</f>
        <v>#REF!</v>
      </c>
      <c r="O136" s="296" t="e">
        <f t="shared" si="3"/>
        <v>#REF!</v>
      </c>
    </row>
    <row r="137" spans="2:15" ht="17.399999999999999">
      <c r="B137" s="291" t="s">
        <v>50</v>
      </c>
      <c r="C137" s="292">
        <f>'تقرير المصروفات حسب الشهر'!E24</f>
        <v>0</v>
      </c>
      <c r="D137" s="292" t="e">
        <f>#REF!</f>
        <v>#REF!</v>
      </c>
      <c r="E137" s="292" t="e">
        <f>#REF!</f>
        <v>#REF!</v>
      </c>
      <c r="F137" s="292" t="e">
        <f>#REF!</f>
        <v>#REF!</v>
      </c>
      <c r="G137" s="292" t="e">
        <f>#REF!</f>
        <v>#REF!</v>
      </c>
      <c r="H137" s="292" t="e">
        <f>#REF!</f>
        <v>#REF!</v>
      </c>
      <c r="I137" s="292">
        <f>'تقرير المصروفات حسب الشهر'!E777</f>
        <v>0</v>
      </c>
      <c r="J137" s="292">
        <f>'تقرير المصروفات حسب الشهر'!E904</f>
        <v>3080</v>
      </c>
      <c r="K137" s="292">
        <f>'تقرير المصروفات حسب الشهر'!E1031</f>
        <v>0</v>
      </c>
      <c r="L137" s="292">
        <f>IFERROR(VLOOKUP(B137,'تقرير المصروفات حسب الشهر'!$C$1143:$AD$1254,3,FALSE),0)</f>
        <v>1540</v>
      </c>
      <c r="M137" s="292">
        <f>IFERROR(VLOOKUP(B137,'تقرير المصروفات حسب الشهر'!$C$1270:$AD$1381,3,FALSE),0)</f>
        <v>0</v>
      </c>
      <c r="N137" s="292" t="e">
        <f>#REF!</f>
        <v>#REF!</v>
      </c>
      <c r="O137" s="296" t="e">
        <f t="shared" si="3"/>
        <v>#REF!</v>
      </c>
    </row>
    <row r="138" spans="2:15" ht="17.399999999999999">
      <c r="B138" s="291" t="s">
        <v>51</v>
      </c>
      <c r="C138" s="292">
        <f>'تقرير المصروفات حسب الشهر'!E25</f>
        <v>2250</v>
      </c>
      <c r="D138" s="292" t="e">
        <f>#REF!</f>
        <v>#REF!</v>
      </c>
      <c r="E138" s="292" t="e">
        <f>#REF!</f>
        <v>#REF!</v>
      </c>
      <c r="F138" s="292" t="e">
        <f>#REF!</f>
        <v>#REF!</v>
      </c>
      <c r="G138" s="292" t="e">
        <f>#REF!</f>
        <v>#REF!</v>
      </c>
      <c r="H138" s="292" t="e">
        <f>#REF!</f>
        <v>#REF!</v>
      </c>
      <c r="I138" s="292">
        <f>'تقرير المصروفات حسب الشهر'!E778</f>
        <v>0</v>
      </c>
      <c r="J138" s="292">
        <f>'تقرير المصروفات حسب الشهر'!E905</f>
        <v>4500</v>
      </c>
      <c r="K138" s="292">
        <f>'تقرير المصروفات حسب الشهر'!E1032</f>
        <v>0</v>
      </c>
      <c r="L138" s="292">
        <f>IFERROR(VLOOKUP(B138,'تقرير المصروفات حسب الشهر'!$C$1143:$AD$1254,3,FALSE),0)</f>
        <v>4500</v>
      </c>
      <c r="M138" s="292">
        <f>IFERROR(VLOOKUP(B138,'تقرير المصروفات حسب الشهر'!$C$1270:$AD$1381,3,FALSE),0)</f>
        <v>0</v>
      </c>
      <c r="N138" s="292" t="e">
        <f>#REF!</f>
        <v>#REF!</v>
      </c>
      <c r="O138" s="296" t="e">
        <f t="shared" si="3"/>
        <v>#REF!</v>
      </c>
    </row>
    <row r="139" spans="2:15" ht="17.399999999999999">
      <c r="B139" s="291" t="s">
        <v>52</v>
      </c>
      <c r="C139" s="292">
        <f>'تقرير المصروفات حسب الشهر'!E26</f>
        <v>0</v>
      </c>
      <c r="D139" s="292" t="e">
        <f>#REF!</f>
        <v>#REF!</v>
      </c>
      <c r="E139" s="292" t="e">
        <f>#REF!</f>
        <v>#REF!</v>
      </c>
      <c r="F139" s="292" t="e">
        <f>#REF!</f>
        <v>#REF!</v>
      </c>
      <c r="G139" s="292" t="e">
        <f>#REF!</f>
        <v>#REF!</v>
      </c>
      <c r="H139" s="292" t="e">
        <f>#REF!</f>
        <v>#REF!</v>
      </c>
      <c r="I139" s="292">
        <f>'تقرير المصروفات حسب الشهر'!E779</f>
        <v>0</v>
      </c>
      <c r="J139" s="292">
        <f>'تقرير المصروفات حسب الشهر'!E906</f>
        <v>0</v>
      </c>
      <c r="K139" s="292">
        <f>'تقرير المصروفات حسب الشهر'!E1033</f>
        <v>0</v>
      </c>
      <c r="L139" s="292">
        <f>IFERROR(VLOOKUP(B139,'تقرير المصروفات حسب الشهر'!$C$1143:$AD$1254,3,FALSE),0)</f>
        <v>0</v>
      </c>
      <c r="M139" s="292">
        <f>IFERROR(VLOOKUP(B139,'تقرير المصروفات حسب الشهر'!$C$1270:$AD$1381,3,FALSE),0)</f>
        <v>0</v>
      </c>
      <c r="N139" s="292" t="e">
        <f>#REF!</f>
        <v>#REF!</v>
      </c>
      <c r="O139" s="296" t="e">
        <f t="shared" si="3"/>
        <v>#REF!</v>
      </c>
    </row>
    <row r="140" spans="2:15" ht="17.399999999999999">
      <c r="B140" s="291" t="s">
        <v>174</v>
      </c>
      <c r="C140" s="292">
        <f>'تقرير المصروفات حسب الشهر'!E27</f>
        <v>4422.5</v>
      </c>
      <c r="D140" s="292" t="e">
        <f>#REF!</f>
        <v>#REF!</v>
      </c>
      <c r="E140" s="292" t="e">
        <f>#REF!</f>
        <v>#REF!</v>
      </c>
      <c r="F140" s="292" t="e">
        <f>#REF!</f>
        <v>#REF!</v>
      </c>
      <c r="G140" s="292" t="e">
        <f>#REF!</f>
        <v>#REF!</v>
      </c>
      <c r="H140" s="292" t="e">
        <f>#REF!</f>
        <v>#REF!</v>
      </c>
      <c r="I140" s="292">
        <f>'تقرير المصروفات حسب الشهر'!E780</f>
        <v>2478</v>
      </c>
      <c r="J140" s="292">
        <f>'تقرير المصروفات حسب الشهر'!E907</f>
        <v>2070</v>
      </c>
      <c r="K140" s="292">
        <f>'تقرير المصروفات حسب الشهر'!E1034</f>
        <v>1866</v>
      </c>
      <c r="L140" s="292">
        <f>IFERROR(VLOOKUP(B140,'تقرير المصروفات حسب الشهر'!$C$1143:$AD$1254,3,FALSE),0)</f>
        <v>1382</v>
      </c>
      <c r="M140" s="292">
        <f>IFERROR(VLOOKUP(B140,'تقرير المصروفات حسب الشهر'!$C$1270:$AD$1381,3,FALSE),0)</f>
        <v>2906</v>
      </c>
      <c r="N140" s="292" t="e">
        <f>#REF!</f>
        <v>#REF!</v>
      </c>
      <c r="O140" s="296" t="e">
        <f t="shared" si="3"/>
        <v>#REF!</v>
      </c>
    </row>
    <row r="141" spans="2:15" ht="17.399999999999999">
      <c r="B141" s="291" t="s">
        <v>53</v>
      </c>
      <c r="C141" s="292">
        <f>'تقرير المصروفات حسب الشهر'!E28</f>
        <v>250</v>
      </c>
      <c r="D141" s="292" t="e">
        <f>#REF!</f>
        <v>#REF!</v>
      </c>
      <c r="E141" s="292" t="e">
        <f>#REF!</f>
        <v>#REF!</v>
      </c>
      <c r="F141" s="292" t="e">
        <f>#REF!</f>
        <v>#REF!</v>
      </c>
      <c r="G141" s="292" t="e">
        <f>#REF!</f>
        <v>#REF!</v>
      </c>
      <c r="H141" s="292" t="e">
        <f>#REF!</f>
        <v>#REF!</v>
      </c>
      <c r="I141" s="292">
        <f>'تقرير المصروفات حسب الشهر'!E781</f>
        <v>0</v>
      </c>
      <c r="J141" s="292">
        <f>'تقرير المصروفات حسب الشهر'!E908</f>
        <v>1690</v>
      </c>
      <c r="K141" s="292">
        <f>'تقرير المصروفات حسب الشهر'!E1035</f>
        <v>5000</v>
      </c>
      <c r="L141" s="292">
        <f>IFERROR(VLOOKUP(B141,'تقرير المصروفات حسب الشهر'!$C$1143:$AD$1254,3,FALSE),0)</f>
        <v>100</v>
      </c>
      <c r="M141" s="292">
        <f>IFERROR(VLOOKUP(B141,'تقرير المصروفات حسب الشهر'!$C$1270:$AD$1381,3,FALSE),0)</f>
        <v>0</v>
      </c>
      <c r="N141" s="292" t="e">
        <f>#REF!</f>
        <v>#REF!</v>
      </c>
      <c r="O141" s="296" t="e">
        <f t="shared" si="3"/>
        <v>#REF!</v>
      </c>
    </row>
    <row r="142" spans="2:15" ht="17.399999999999999">
      <c r="B142" s="291" t="s">
        <v>191</v>
      </c>
      <c r="C142" s="292">
        <f>'تقرير المصروفات حسب الشهر'!E29</f>
        <v>0</v>
      </c>
      <c r="D142" s="292" t="e">
        <f>#REF!</f>
        <v>#REF!</v>
      </c>
      <c r="E142" s="292" t="e">
        <f>#REF!</f>
        <v>#REF!</v>
      </c>
      <c r="F142" s="292" t="e">
        <f>#REF!</f>
        <v>#REF!</v>
      </c>
      <c r="G142" s="292" t="e">
        <f>#REF!</f>
        <v>#REF!</v>
      </c>
      <c r="H142" s="292" t="e">
        <f>#REF!</f>
        <v>#REF!</v>
      </c>
      <c r="I142" s="292">
        <f>'تقرير المصروفات حسب الشهر'!E782</f>
        <v>0</v>
      </c>
      <c r="J142" s="292">
        <f>'تقرير المصروفات حسب الشهر'!E909</f>
        <v>0</v>
      </c>
      <c r="K142" s="292">
        <f>'تقرير المصروفات حسب الشهر'!E1036</f>
        <v>0</v>
      </c>
      <c r="L142" s="292">
        <f>IFERROR(VLOOKUP(B142,'تقرير المصروفات حسب الشهر'!$C$1143:$AD$1254,3,FALSE),0)</f>
        <v>0</v>
      </c>
      <c r="M142" s="292">
        <f>IFERROR(VLOOKUP(B142,'تقرير المصروفات حسب الشهر'!$C$1270:$AD$1381,3,FALSE),0)</f>
        <v>0</v>
      </c>
      <c r="N142" s="292" t="e">
        <f>#REF!</f>
        <v>#REF!</v>
      </c>
      <c r="O142" s="296" t="e">
        <f t="shared" si="3"/>
        <v>#REF!</v>
      </c>
    </row>
    <row r="143" spans="2:15" ht="17.399999999999999">
      <c r="B143" s="291" t="s">
        <v>29</v>
      </c>
      <c r="C143" s="292">
        <f>'تقرير المصروفات حسب الشهر'!E30</f>
        <v>0</v>
      </c>
      <c r="D143" s="292" t="e">
        <f>#REF!</f>
        <v>#REF!</v>
      </c>
      <c r="E143" s="292" t="e">
        <f>#REF!</f>
        <v>#REF!</v>
      </c>
      <c r="F143" s="292" t="e">
        <f>#REF!</f>
        <v>#REF!</v>
      </c>
      <c r="G143" s="292" t="e">
        <f>#REF!</f>
        <v>#REF!</v>
      </c>
      <c r="H143" s="292" t="e">
        <f>#REF!</f>
        <v>#REF!</v>
      </c>
      <c r="I143" s="292">
        <f>'تقرير المصروفات حسب الشهر'!E783</f>
        <v>0</v>
      </c>
      <c r="J143" s="292">
        <f>'تقرير المصروفات حسب الشهر'!E910</f>
        <v>0</v>
      </c>
      <c r="K143" s="292">
        <f>'تقرير المصروفات حسب الشهر'!E1037</f>
        <v>0</v>
      </c>
      <c r="L143" s="292">
        <f>IFERROR(VLOOKUP(B143,'تقرير المصروفات حسب الشهر'!$C$1143:$AD$1254,3,FALSE),0)</f>
        <v>85</v>
      </c>
      <c r="M143" s="292">
        <f>IFERROR(VLOOKUP(B143,'تقرير المصروفات حسب الشهر'!$C$1270:$AD$1381,3,FALSE),0)</f>
        <v>0</v>
      </c>
      <c r="N143" s="292" t="e">
        <f>#REF!</f>
        <v>#REF!</v>
      </c>
      <c r="O143" s="296" t="e">
        <f t="shared" si="3"/>
        <v>#REF!</v>
      </c>
    </row>
    <row r="144" spans="2:15" ht="17.399999999999999">
      <c r="B144" s="291" t="s">
        <v>54</v>
      </c>
      <c r="C144" s="292">
        <f>'تقرير المصروفات حسب الشهر'!E31</f>
        <v>0</v>
      </c>
      <c r="D144" s="292" t="e">
        <f>#REF!</f>
        <v>#REF!</v>
      </c>
      <c r="E144" s="292" t="e">
        <f>#REF!</f>
        <v>#REF!</v>
      </c>
      <c r="F144" s="292" t="e">
        <f>#REF!</f>
        <v>#REF!</v>
      </c>
      <c r="G144" s="292" t="e">
        <f>#REF!</f>
        <v>#REF!</v>
      </c>
      <c r="H144" s="292" t="e">
        <f>#REF!</f>
        <v>#REF!</v>
      </c>
      <c r="I144" s="292">
        <f>'تقرير المصروفات حسب الشهر'!E784</f>
        <v>0</v>
      </c>
      <c r="J144" s="292">
        <f>'تقرير المصروفات حسب الشهر'!E911</f>
        <v>0</v>
      </c>
      <c r="K144" s="292">
        <f>'تقرير المصروفات حسب الشهر'!E1038</f>
        <v>0</v>
      </c>
      <c r="L144" s="292">
        <f>IFERROR(VLOOKUP(B144,'تقرير المصروفات حسب الشهر'!$C$1143:$AD$1254,3,FALSE),0)</f>
        <v>0</v>
      </c>
      <c r="M144" s="292">
        <f>IFERROR(VLOOKUP(B144,'تقرير المصروفات حسب الشهر'!$C$1270:$AD$1381,3,FALSE),0)</f>
        <v>0</v>
      </c>
      <c r="N144" s="292" t="e">
        <f>#REF!</f>
        <v>#REF!</v>
      </c>
      <c r="O144" s="296" t="e">
        <f t="shared" si="3"/>
        <v>#REF!</v>
      </c>
    </row>
    <row r="145" spans="2:15" ht="17.399999999999999">
      <c r="B145" s="291" t="s">
        <v>31</v>
      </c>
      <c r="C145" s="292">
        <f>'تقرير المصروفات حسب الشهر'!E32</f>
        <v>70</v>
      </c>
      <c r="D145" s="292" t="e">
        <f>#REF!</f>
        <v>#REF!</v>
      </c>
      <c r="E145" s="292" t="e">
        <f>#REF!</f>
        <v>#REF!</v>
      </c>
      <c r="F145" s="292" t="e">
        <f>#REF!</f>
        <v>#REF!</v>
      </c>
      <c r="G145" s="292" t="e">
        <f>#REF!</f>
        <v>#REF!</v>
      </c>
      <c r="H145" s="292" t="e">
        <f>#REF!</f>
        <v>#REF!</v>
      </c>
      <c r="I145" s="292">
        <f>'تقرير المصروفات حسب الشهر'!E785</f>
        <v>410</v>
      </c>
      <c r="J145" s="292">
        <f>'تقرير المصروفات حسب الشهر'!E912</f>
        <v>535</v>
      </c>
      <c r="K145" s="292">
        <f>'تقرير المصروفات حسب الشهر'!E1039</f>
        <v>559</v>
      </c>
      <c r="L145" s="292">
        <f>IFERROR(VLOOKUP(B145,'تقرير المصروفات حسب الشهر'!$C$1143:$AD$1254,3,FALSE),0)</f>
        <v>155</v>
      </c>
      <c r="M145" s="292">
        <f>IFERROR(VLOOKUP(B145,'تقرير المصروفات حسب الشهر'!$C$1270:$AD$1381,3,FALSE),0)</f>
        <v>383.81</v>
      </c>
      <c r="N145" s="292" t="e">
        <f>#REF!</f>
        <v>#REF!</v>
      </c>
      <c r="O145" s="296" t="e">
        <f t="shared" si="3"/>
        <v>#REF!</v>
      </c>
    </row>
    <row r="146" spans="2:15" ht="17.399999999999999">
      <c r="B146" s="291" t="s">
        <v>55</v>
      </c>
      <c r="C146" s="292">
        <f>'تقرير المصروفات حسب الشهر'!E33</f>
        <v>75</v>
      </c>
      <c r="D146" s="292" t="e">
        <f>#REF!</f>
        <v>#REF!</v>
      </c>
      <c r="E146" s="292" t="e">
        <f>#REF!</f>
        <v>#REF!</v>
      </c>
      <c r="F146" s="292" t="e">
        <f>#REF!</f>
        <v>#REF!</v>
      </c>
      <c r="G146" s="292" t="e">
        <f>#REF!</f>
        <v>#REF!</v>
      </c>
      <c r="H146" s="292" t="e">
        <f>#REF!</f>
        <v>#REF!</v>
      </c>
      <c r="I146" s="292">
        <f>'تقرير المصروفات حسب الشهر'!E786</f>
        <v>150</v>
      </c>
      <c r="J146" s="292">
        <f>'تقرير المصروفات حسب الشهر'!E913</f>
        <v>0</v>
      </c>
      <c r="K146" s="292">
        <f>'تقرير المصروفات حسب الشهر'!E1040</f>
        <v>75</v>
      </c>
      <c r="L146" s="292">
        <f>IFERROR(VLOOKUP(B146,'تقرير المصروفات حسب الشهر'!$C$1143:$AD$1254,3,FALSE),0)</f>
        <v>75</v>
      </c>
      <c r="M146" s="292">
        <f>IFERROR(VLOOKUP(B146,'تقرير المصروفات حسب الشهر'!$C$1270:$AD$1381,3,FALSE),0)</f>
        <v>75</v>
      </c>
      <c r="N146" s="292" t="e">
        <f>#REF!</f>
        <v>#REF!</v>
      </c>
      <c r="O146" s="296" t="e">
        <f t="shared" si="3"/>
        <v>#REF!</v>
      </c>
    </row>
    <row r="147" spans="2:15" ht="17.399999999999999">
      <c r="B147" s="291" t="s">
        <v>56</v>
      </c>
      <c r="C147" s="292">
        <f>'تقرير المصروفات حسب الشهر'!E34</f>
        <v>217.24</v>
      </c>
      <c r="D147" s="292" t="e">
        <f>#REF!</f>
        <v>#REF!</v>
      </c>
      <c r="E147" s="292" t="e">
        <f>#REF!</f>
        <v>#REF!</v>
      </c>
      <c r="F147" s="292" t="e">
        <f>#REF!</f>
        <v>#REF!</v>
      </c>
      <c r="G147" s="292" t="e">
        <f>#REF!</f>
        <v>#REF!</v>
      </c>
      <c r="H147" s="292" t="e">
        <f>#REF!</f>
        <v>#REF!</v>
      </c>
      <c r="I147" s="292">
        <f>'تقرير المصروفات حسب الشهر'!E787</f>
        <v>217.24</v>
      </c>
      <c r="J147" s="292">
        <f>'تقرير المصروفات حسب الشهر'!E914</f>
        <v>217.24</v>
      </c>
      <c r="K147" s="292">
        <f>'تقرير المصروفات حسب الشهر'!E1041</f>
        <v>217.24</v>
      </c>
      <c r="L147" s="292">
        <f>IFERROR(VLOOKUP(B147,'تقرير المصروفات حسب الشهر'!$C$1143:$AD$1254,3,FALSE),0)</f>
        <v>217.24</v>
      </c>
      <c r="M147" s="292">
        <f>IFERROR(VLOOKUP(B147,'تقرير المصروفات حسب الشهر'!$C$1270:$AD$1381,3,FALSE),0)</f>
        <v>217.24</v>
      </c>
      <c r="N147" s="292" t="e">
        <f>#REF!</f>
        <v>#REF!</v>
      </c>
      <c r="O147" s="296" t="e">
        <f t="shared" si="3"/>
        <v>#REF!</v>
      </c>
    </row>
    <row r="148" spans="2:15" ht="17.399999999999999">
      <c r="B148" s="291" t="s">
        <v>57</v>
      </c>
      <c r="C148" s="292">
        <f>'تقرير المصروفات حسب الشهر'!E35</f>
        <v>0</v>
      </c>
      <c r="D148" s="292" t="e">
        <f>#REF!</f>
        <v>#REF!</v>
      </c>
      <c r="E148" s="292" t="e">
        <f>#REF!</f>
        <v>#REF!</v>
      </c>
      <c r="F148" s="292" t="e">
        <f>#REF!</f>
        <v>#REF!</v>
      </c>
      <c r="G148" s="292" t="e">
        <f>#REF!</f>
        <v>#REF!</v>
      </c>
      <c r="H148" s="292" t="e">
        <f>#REF!</f>
        <v>#REF!</v>
      </c>
      <c r="I148" s="292">
        <f>'تقرير المصروفات حسب الشهر'!E788</f>
        <v>300</v>
      </c>
      <c r="J148" s="292">
        <f>'تقرير المصروفات حسب الشهر'!E915</f>
        <v>300</v>
      </c>
      <c r="K148" s="292">
        <f>'تقرير المصروفات حسب الشهر'!E1042</f>
        <v>5205</v>
      </c>
      <c r="L148" s="292">
        <f>IFERROR(VLOOKUP(B148,'تقرير المصروفات حسب الشهر'!$C$1143:$AD$1254,3,FALSE),0)</f>
        <v>2575</v>
      </c>
      <c r="M148" s="292">
        <f>IFERROR(VLOOKUP(B148,'تقرير المصروفات حسب الشهر'!$C$1270:$AD$1381,3,FALSE),0)</f>
        <v>300</v>
      </c>
      <c r="N148" s="292" t="e">
        <f>#REF!</f>
        <v>#REF!</v>
      </c>
      <c r="O148" s="296" t="e">
        <f t="shared" si="3"/>
        <v>#REF!</v>
      </c>
    </row>
    <row r="149" spans="2:15" ht="17.399999999999999">
      <c r="B149" s="291" t="s">
        <v>58</v>
      </c>
      <c r="C149" s="292">
        <f>'تقرير المصروفات حسب الشهر'!E36</f>
        <v>50</v>
      </c>
      <c r="D149" s="292" t="e">
        <f>#REF!</f>
        <v>#REF!</v>
      </c>
      <c r="E149" s="292" t="e">
        <f>#REF!</f>
        <v>#REF!</v>
      </c>
      <c r="F149" s="292" t="e">
        <f>#REF!</f>
        <v>#REF!</v>
      </c>
      <c r="G149" s="292" t="e">
        <f>#REF!</f>
        <v>#REF!</v>
      </c>
      <c r="H149" s="292" t="e">
        <f>#REF!</f>
        <v>#REF!</v>
      </c>
      <c r="I149" s="292">
        <f>'تقرير المصروفات حسب الشهر'!E789</f>
        <v>0</v>
      </c>
      <c r="J149" s="292">
        <f>'تقرير المصروفات حسب الشهر'!E916</f>
        <v>0</v>
      </c>
      <c r="K149" s="292">
        <f>'تقرير المصروفات حسب الشهر'!E1043</f>
        <v>0</v>
      </c>
      <c r="L149" s="292">
        <f>IFERROR(VLOOKUP(B149,'تقرير المصروفات حسب الشهر'!$C$1143:$AD$1254,3,FALSE),0)</f>
        <v>5195</v>
      </c>
      <c r="M149" s="292">
        <f>IFERROR(VLOOKUP(B149,'تقرير المصروفات حسب الشهر'!$C$1270:$AD$1381,3,FALSE),0)</f>
        <v>0</v>
      </c>
      <c r="N149" s="292" t="e">
        <f>#REF!</f>
        <v>#REF!</v>
      </c>
      <c r="O149" s="296" t="e">
        <f t="shared" si="3"/>
        <v>#REF!</v>
      </c>
    </row>
    <row r="150" spans="2:15" ht="17.399999999999999">
      <c r="B150" s="291" t="s">
        <v>59</v>
      </c>
      <c r="C150" s="292">
        <f>'تقرير المصروفات حسب الشهر'!E37</f>
        <v>60</v>
      </c>
      <c r="D150" s="292" t="e">
        <f>#REF!</f>
        <v>#REF!</v>
      </c>
      <c r="E150" s="292" t="e">
        <f>#REF!</f>
        <v>#REF!</v>
      </c>
      <c r="F150" s="292" t="e">
        <f>#REF!</f>
        <v>#REF!</v>
      </c>
      <c r="G150" s="292" t="e">
        <f>#REF!</f>
        <v>#REF!</v>
      </c>
      <c r="H150" s="292" t="e">
        <f>#REF!</f>
        <v>#REF!</v>
      </c>
      <c r="I150" s="292">
        <f>'تقرير المصروفات حسب الشهر'!E790</f>
        <v>0</v>
      </c>
      <c r="J150" s="292">
        <f>'تقرير المصروفات حسب الشهر'!E917</f>
        <v>0</v>
      </c>
      <c r="K150" s="292">
        <f>'تقرير المصروفات حسب الشهر'!E1044</f>
        <v>0</v>
      </c>
      <c r="L150" s="292">
        <f>IFERROR(VLOOKUP(B150,'تقرير المصروفات حسب الشهر'!$C$1143:$AD$1254,3,FALSE),0)</f>
        <v>0</v>
      </c>
      <c r="M150" s="292">
        <f>IFERROR(VLOOKUP(B150,'تقرير المصروفات حسب الشهر'!$C$1270:$AD$1381,3,FALSE),0)</f>
        <v>0</v>
      </c>
      <c r="N150" s="292" t="e">
        <f>#REF!</f>
        <v>#REF!</v>
      </c>
      <c r="O150" s="296" t="e">
        <f t="shared" si="3"/>
        <v>#REF!</v>
      </c>
    </row>
    <row r="151" spans="2:15" ht="17.399999999999999">
      <c r="B151" s="291" t="s">
        <v>60</v>
      </c>
      <c r="C151" s="292">
        <f>'تقرير المصروفات حسب الشهر'!E38</f>
        <v>0</v>
      </c>
      <c r="D151" s="292" t="e">
        <f>#REF!</f>
        <v>#REF!</v>
      </c>
      <c r="E151" s="292" t="e">
        <f>#REF!</f>
        <v>#REF!</v>
      </c>
      <c r="F151" s="292" t="e">
        <f>#REF!</f>
        <v>#REF!</v>
      </c>
      <c r="G151" s="292" t="e">
        <f>#REF!</f>
        <v>#REF!</v>
      </c>
      <c r="H151" s="292" t="e">
        <f>#REF!</f>
        <v>#REF!</v>
      </c>
      <c r="I151" s="292">
        <f>'تقرير المصروفات حسب الشهر'!E791</f>
        <v>0</v>
      </c>
      <c r="J151" s="292">
        <f>'تقرير المصروفات حسب الشهر'!E918</f>
        <v>0</v>
      </c>
      <c r="K151" s="292">
        <f>'تقرير المصروفات حسب الشهر'!E1045</f>
        <v>0</v>
      </c>
      <c r="L151" s="292">
        <f>IFERROR(VLOOKUP(B151,'تقرير المصروفات حسب الشهر'!$C$1143:$AD$1254,3,FALSE),0)</f>
        <v>0</v>
      </c>
      <c r="M151" s="292">
        <f>IFERROR(VLOOKUP(B151,'تقرير المصروفات حسب الشهر'!$C$1270:$AD$1381,3,FALSE),0)</f>
        <v>0</v>
      </c>
      <c r="N151" s="292" t="e">
        <f>#REF!</f>
        <v>#REF!</v>
      </c>
      <c r="O151" s="296" t="e">
        <f t="shared" si="3"/>
        <v>#REF!</v>
      </c>
    </row>
    <row r="152" spans="2:15" ht="17.399999999999999">
      <c r="B152" s="291" t="s">
        <v>61</v>
      </c>
      <c r="C152" s="292">
        <f>'تقرير المصروفات حسب الشهر'!E39</f>
        <v>320</v>
      </c>
      <c r="D152" s="292" t="e">
        <f>#REF!</f>
        <v>#REF!</v>
      </c>
      <c r="E152" s="292" t="e">
        <f>#REF!</f>
        <v>#REF!</v>
      </c>
      <c r="F152" s="292" t="e">
        <f>#REF!</f>
        <v>#REF!</v>
      </c>
      <c r="G152" s="292" t="e">
        <f>#REF!</f>
        <v>#REF!</v>
      </c>
      <c r="H152" s="292" t="e">
        <f>#REF!</f>
        <v>#REF!</v>
      </c>
      <c r="I152" s="292">
        <f>'تقرير المصروفات حسب الشهر'!E792</f>
        <v>130</v>
      </c>
      <c r="J152" s="292">
        <f>'تقرير المصروفات حسب الشهر'!E919</f>
        <v>1610</v>
      </c>
      <c r="K152" s="292">
        <f>'تقرير المصروفات حسب الشهر'!E1046</f>
        <v>20</v>
      </c>
      <c r="L152" s="292">
        <f>IFERROR(VLOOKUP(B152,'تقرير المصروفات حسب الشهر'!$C$1143:$AD$1254,3,FALSE),0)</f>
        <v>2200</v>
      </c>
      <c r="M152" s="292">
        <f>IFERROR(VLOOKUP(B152,'تقرير المصروفات حسب الشهر'!$C$1270:$AD$1381,3,FALSE),0)</f>
        <v>1200</v>
      </c>
      <c r="N152" s="292" t="e">
        <f>#REF!</f>
        <v>#REF!</v>
      </c>
      <c r="O152" s="296" t="e">
        <f t="shared" si="3"/>
        <v>#REF!</v>
      </c>
    </row>
    <row r="153" spans="2:15" ht="17.399999999999999">
      <c r="B153" s="291" t="s">
        <v>62</v>
      </c>
      <c r="C153" s="292">
        <f>'تقرير المصروفات حسب الشهر'!E40</f>
        <v>2675</v>
      </c>
      <c r="D153" s="292" t="e">
        <f>#REF!</f>
        <v>#REF!</v>
      </c>
      <c r="E153" s="292" t="e">
        <f>#REF!</f>
        <v>#REF!</v>
      </c>
      <c r="F153" s="292" t="e">
        <f>#REF!</f>
        <v>#REF!</v>
      </c>
      <c r="G153" s="292" t="e">
        <f>#REF!</f>
        <v>#REF!</v>
      </c>
      <c r="H153" s="292" t="e">
        <f>#REF!</f>
        <v>#REF!</v>
      </c>
      <c r="I153" s="292">
        <f>'تقرير المصروفات حسب الشهر'!E793</f>
        <v>800</v>
      </c>
      <c r="J153" s="292">
        <f>'تقرير المصروفات حسب الشهر'!E920</f>
        <v>2885</v>
      </c>
      <c r="K153" s="292">
        <f>'تقرير المصروفات حسب الشهر'!E1047</f>
        <v>4475</v>
      </c>
      <c r="L153" s="292">
        <f>IFERROR(VLOOKUP(B153,'تقرير المصروفات حسب الشهر'!$C$1143:$AD$1254,3,FALSE),0)</f>
        <v>4510</v>
      </c>
      <c r="M153" s="292">
        <f>IFERROR(VLOOKUP(B153,'تقرير المصروفات حسب الشهر'!$C$1270:$AD$1381,3,FALSE),0)</f>
        <v>5225</v>
      </c>
      <c r="N153" s="292" t="e">
        <f>#REF!</f>
        <v>#REF!</v>
      </c>
      <c r="O153" s="296" t="e">
        <f t="shared" si="3"/>
        <v>#REF!</v>
      </c>
    </row>
    <row r="154" spans="2:15" ht="17.399999999999999">
      <c r="B154" s="291" t="s">
        <v>63</v>
      </c>
      <c r="C154" s="292">
        <f>'تقرير المصروفات حسب الشهر'!E41</f>
        <v>0</v>
      </c>
      <c r="D154" s="292" t="e">
        <f>#REF!</f>
        <v>#REF!</v>
      </c>
      <c r="E154" s="292" t="e">
        <f>#REF!</f>
        <v>#REF!</v>
      </c>
      <c r="F154" s="292" t="e">
        <f>#REF!</f>
        <v>#REF!</v>
      </c>
      <c r="G154" s="292" t="e">
        <f>#REF!</f>
        <v>#REF!</v>
      </c>
      <c r="H154" s="292" t="e">
        <f>#REF!</f>
        <v>#REF!</v>
      </c>
      <c r="I154" s="292">
        <f>'تقرير المصروفات حسب الشهر'!E794</f>
        <v>0</v>
      </c>
      <c r="J154" s="292">
        <f>'تقرير المصروفات حسب الشهر'!E921</f>
        <v>0</v>
      </c>
      <c r="K154" s="292">
        <f>'تقرير المصروفات حسب الشهر'!E1048</f>
        <v>0</v>
      </c>
      <c r="L154" s="292">
        <f>IFERROR(VLOOKUP(B154,'تقرير المصروفات حسب الشهر'!$C$1143:$AD$1254,3,FALSE),0)</f>
        <v>219.48</v>
      </c>
      <c r="M154" s="292">
        <f>IFERROR(VLOOKUP(B154,'تقرير المصروفات حسب الشهر'!$C$1270:$AD$1381,3,FALSE),0)</f>
        <v>0</v>
      </c>
      <c r="N154" s="292" t="e">
        <f>#REF!</f>
        <v>#REF!</v>
      </c>
      <c r="O154" s="296" t="e">
        <f t="shared" si="3"/>
        <v>#REF!</v>
      </c>
    </row>
    <row r="155" spans="2:15" ht="17.399999999999999">
      <c r="B155" s="291" t="s">
        <v>64</v>
      </c>
      <c r="C155" s="292">
        <f>'تقرير المصروفات حسب الشهر'!E42</f>
        <v>12300</v>
      </c>
      <c r="D155" s="292" t="e">
        <f>#REF!</f>
        <v>#REF!</v>
      </c>
      <c r="E155" s="292" t="e">
        <f>#REF!</f>
        <v>#REF!</v>
      </c>
      <c r="F155" s="292" t="e">
        <f>#REF!</f>
        <v>#REF!</v>
      </c>
      <c r="G155" s="292" t="e">
        <f>#REF!</f>
        <v>#REF!</v>
      </c>
      <c r="H155" s="292" t="e">
        <f>#REF!</f>
        <v>#REF!</v>
      </c>
      <c r="I155" s="292">
        <f>'تقرير المصروفات حسب الشهر'!E795</f>
        <v>18700</v>
      </c>
      <c r="J155" s="292">
        <f>'تقرير المصروفات حسب الشهر'!E922</f>
        <v>0</v>
      </c>
      <c r="K155" s="292">
        <f>'تقرير المصروفات حسب الشهر'!E1049</f>
        <v>21700</v>
      </c>
      <c r="L155" s="292">
        <f>IFERROR(VLOOKUP(B155,'تقرير المصروفات حسب الشهر'!$C$1143:$AD$1254,3,FALSE),0)</f>
        <v>10000</v>
      </c>
      <c r="M155" s="292">
        <f>IFERROR(VLOOKUP(B155,'تقرير المصروفات حسب الشهر'!$C$1270:$AD$1381,3,FALSE),0)</f>
        <v>0</v>
      </c>
      <c r="N155" s="292" t="e">
        <f>#REF!</f>
        <v>#REF!</v>
      </c>
      <c r="O155" s="296" t="e">
        <f t="shared" si="3"/>
        <v>#REF!</v>
      </c>
    </row>
    <row r="156" spans="2:15" ht="17.399999999999999">
      <c r="B156" s="291" t="s">
        <v>28</v>
      </c>
      <c r="C156" s="292">
        <f>'تقرير المصروفات حسب الشهر'!E43</f>
        <v>0</v>
      </c>
      <c r="D156" s="292" t="e">
        <f>#REF!</f>
        <v>#REF!</v>
      </c>
      <c r="E156" s="292" t="e">
        <f>#REF!</f>
        <v>#REF!</v>
      </c>
      <c r="F156" s="292" t="e">
        <f>#REF!</f>
        <v>#REF!</v>
      </c>
      <c r="G156" s="292" t="e">
        <f>#REF!</f>
        <v>#REF!</v>
      </c>
      <c r="H156" s="292" t="e">
        <f>#REF!</f>
        <v>#REF!</v>
      </c>
      <c r="I156" s="292">
        <f>'تقرير المصروفات حسب الشهر'!E796</f>
        <v>0</v>
      </c>
      <c r="J156" s="292">
        <f>'تقرير المصروفات حسب الشهر'!E923</f>
        <v>0</v>
      </c>
      <c r="K156" s="292">
        <f>'تقرير المصروفات حسب الشهر'!E1050</f>
        <v>0</v>
      </c>
      <c r="L156" s="292">
        <f>IFERROR(VLOOKUP(B156,'تقرير المصروفات حسب الشهر'!$C$1143:$AD$1254,3,FALSE),0)</f>
        <v>0</v>
      </c>
      <c r="M156" s="292">
        <f>IFERROR(VLOOKUP(B156,'تقرير المصروفات حسب الشهر'!$C$1270:$AD$1381,3,FALSE),0)</f>
        <v>0</v>
      </c>
      <c r="N156" s="292" t="e">
        <f>#REF!</f>
        <v>#REF!</v>
      </c>
      <c r="O156" s="296" t="e">
        <f t="shared" si="3"/>
        <v>#REF!</v>
      </c>
    </row>
    <row r="157" spans="2:15" ht="17.399999999999999">
      <c r="B157" s="291" t="s">
        <v>157</v>
      </c>
      <c r="C157" s="292">
        <f>'تقرير المصروفات حسب الشهر'!E44</f>
        <v>704.62</v>
      </c>
      <c r="D157" s="292" t="e">
        <f>#REF!</f>
        <v>#REF!</v>
      </c>
      <c r="E157" s="292" t="e">
        <f>#REF!</f>
        <v>#REF!</v>
      </c>
      <c r="F157" s="292" t="e">
        <f>#REF!</f>
        <v>#REF!</v>
      </c>
      <c r="G157" s="292" t="e">
        <f>#REF!</f>
        <v>#REF!</v>
      </c>
      <c r="H157" s="292" t="e">
        <f>#REF!</f>
        <v>#REF!</v>
      </c>
      <c r="I157" s="292">
        <f>'تقرير المصروفات حسب الشهر'!E797</f>
        <v>123</v>
      </c>
      <c r="J157" s="292">
        <f>'تقرير المصروفات حسب الشهر'!E924</f>
        <v>937.62</v>
      </c>
      <c r="K157" s="292">
        <f>'تقرير المصروفات حسب الشهر'!E1051</f>
        <v>823.33</v>
      </c>
      <c r="L157" s="292">
        <f>IFERROR(VLOOKUP(B157,'تقرير المصروفات حسب الشهر'!$C$1143:$AD$1254,3,FALSE),0)</f>
        <v>505.43</v>
      </c>
      <c r="M157" s="292">
        <f>IFERROR(VLOOKUP(B157,'تقرير المصروفات حسب الشهر'!$C$1270:$AD$1381,3,FALSE),0)</f>
        <v>0</v>
      </c>
      <c r="N157" s="292" t="e">
        <f>#REF!</f>
        <v>#REF!</v>
      </c>
      <c r="O157" s="296" t="e">
        <f t="shared" si="3"/>
        <v>#REF!</v>
      </c>
    </row>
    <row r="158" spans="2:15" ht="17.399999999999999">
      <c r="B158" s="291" t="s">
        <v>65</v>
      </c>
      <c r="C158" s="292">
        <f>'تقرير المصروفات حسب الشهر'!E45</f>
        <v>0</v>
      </c>
      <c r="D158" s="292" t="e">
        <f>#REF!</f>
        <v>#REF!</v>
      </c>
      <c r="E158" s="292" t="e">
        <f>#REF!</f>
        <v>#REF!</v>
      </c>
      <c r="F158" s="292" t="e">
        <f>#REF!</f>
        <v>#REF!</v>
      </c>
      <c r="G158" s="292" t="e">
        <f>#REF!</f>
        <v>#REF!</v>
      </c>
      <c r="H158" s="292" t="e">
        <f>#REF!</f>
        <v>#REF!</v>
      </c>
      <c r="I158" s="292">
        <f>'تقرير المصروفات حسب الشهر'!E798</f>
        <v>0</v>
      </c>
      <c r="J158" s="292">
        <f>'تقرير المصروفات حسب الشهر'!E925</f>
        <v>0</v>
      </c>
      <c r="K158" s="292">
        <f>'تقرير المصروفات حسب الشهر'!E1052</f>
        <v>0</v>
      </c>
      <c r="L158" s="292">
        <f>IFERROR(VLOOKUP(B158,'تقرير المصروفات حسب الشهر'!$C$1143:$AD$1254,3,FALSE),0)</f>
        <v>0</v>
      </c>
      <c r="M158" s="292">
        <f>IFERROR(VLOOKUP(B158,'تقرير المصروفات حسب الشهر'!$C$1270:$AD$1381,3,FALSE),0)</f>
        <v>0</v>
      </c>
      <c r="N158" s="292" t="e">
        <f>#REF!</f>
        <v>#REF!</v>
      </c>
      <c r="O158" s="296" t="e">
        <f t="shared" si="3"/>
        <v>#REF!</v>
      </c>
    </row>
    <row r="159" spans="2:15" ht="17.399999999999999">
      <c r="B159" s="291" t="s">
        <v>66</v>
      </c>
      <c r="C159" s="292">
        <f>'تقرير المصروفات حسب الشهر'!E46</f>
        <v>0</v>
      </c>
      <c r="D159" s="292" t="e">
        <f>#REF!</f>
        <v>#REF!</v>
      </c>
      <c r="E159" s="292" t="e">
        <f>#REF!</f>
        <v>#REF!</v>
      </c>
      <c r="F159" s="292" t="e">
        <f>#REF!</f>
        <v>#REF!</v>
      </c>
      <c r="G159" s="292" t="e">
        <f>#REF!</f>
        <v>#REF!</v>
      </c>
      <c r="H159" s="292" t="e">
        <f>#REF!</f>
        <v>#REF!</v>
      </c>
      <c r="I159" s="292">
        <f>'تقرير المصروفات حسب الشهر'!E799</f>
        <v>0</v>
      </c>
      <c r="J159" s="292">
        <f>'تقرير المصروفات حسب الشهر'!E926</f>
        <v>0</v>
      </c>
      <c r="K159" s="292">
        <f>'تقرير المصروفات حسب الشهر'!E1053</f>
        <v>0</v>
      </c>
      <c r="L159" s="292">
        <f>IFERROR(VLOOKUP(B159,'تقرير المصروفات حسب الشهر'!$C$1143:$AD$1254,3,FALSE),0)</f>
        <v>0</v>
      </c>
      <c r="M159" s="292">
        <f>IFERROR(VLOOKUP(B159,'تقرير المصروفات حسب الشهر'!$C$1270:$AD$1381,3,FALSE),0)</f>
        <v>0</v>
      </c>
      <c r="N159" s="292" t="e">
        <f>#REF!</f>
        <v>#REF!</v>
      </c>
      <c r="O159" s="296" t="e">
        <f t="shared" si="3"/>
        <v>#REF!</v>
      </c>
    </row>
    <row r="160" spans="2:15" ht="17.399999999999999">
      <c r="B160" s="291" t="s">
        <v>30</v>
      </c>
      <c r="C160" s="292">
        <f>'تقرير المصروفات حسب الشهر'!E47</f>
        <v>0</v>
      </c>
      <c r="D160" s="292" t="e">
        <f>#REF!</f>
        <v>#REF!</v>
      </c>
      <c r="E160" s="292" t="e">
        <f>#REF!</f>
        <v>#REF!</v>
      </c>
      <c r="F160" s="292" t="e">
        <f>#REF!</f>
        <v>#REF!</v>
      </c>
      <c r="G160" s="292" t="e">
        <f>#REF!</f>
        <v>#REF!</v>
      </c>
      <c r="H160" s="292" t="e">
        <f>#REF!</f>
        <v>#REF!</v>
      </c>
      <c r="I160" s="292">
        <f>'تقرير المصروفات حسب الشهر'!E800</f>
        <v>8777.25</v>
      </c>
      <c r="J160" s="292">
        <f>'تقرير المصروفات حسب الشهر'!E927</f>
        <v>0</v>
      </c>
      <c r="K160" s="292">
        <f>'تقرير المصروفات حسب الشهر'!E1054</f>
        <v>17800.25</v>
      </c>
      <c r="L160" s="292">
        <f>IFERROR(VLOOKUP(B160,'تقرير المصروفات حسب الشهر'!$C$1143:$AD$1254,3,FALSE),0)</f>
        <v>7888.25</v>
      </c>
      <c r="M160" s="292">
        <f>IFERROR(VLOOKUP(B160,'تقرير المصروفات حسب الشهر'!$C$1270:$AD$1381,3,FALSE),0)</f>
        <v>9888.25</v>
      </c>
      <c r="N160" s="292" t="e">
        <f>#REF!</f>
        <v>#REF!</v>
      </c>
      <c r="O160" s="296" t="e">
        <f t="shared" si="3"/>
        <v>#REF!</v>
      </c>
    </row>
    <row r="161" spans="2:15" ht="17.399999999999999">
      <c r="B161" s="291" t="s">
        <v>67</v>
      </c>
      <c r="C161" s="292">
        <f>'تقرير المصروفات حسب الشهر'!E48</f>
        <v>14040</v>
      </c>
      <c r="D161" s="292" t="e">
        <f>#REF!</f>
        <v>#REF!</v>
      </c>
      <c r="E161" s="292" t="e">
        <f>#REF!</f>
        <v>#REF!</v>
      </c>
      <c r="F161" s="292" t="e">
        <f>#REF!</f>
        <v>#REF!</v>
      </c>
      <c r="G161" s="292" t="e">
        <f>#REF!</f>
        <v>#REF!</v>
      </c>
      <c r="H161" s="292" t="e">
        <f>#REF!</f>
        <v>#REF!</v>
      </c>
      <c r="I161" s="292">
        <f>'تقرير المصروفات حسب الشهر'!E801</f>
        <v>0</v>
      </c>
      <c r="J161" s="292">
        <f>'تقرير المصروفات حسب الشهر'!E928</f>
        <v>20460</v>
      </c>
      <c r="K161" s="292">
        <f>'تقرير المصروفات حسب الشهر'!E1055</f>
        <v>0</v>
      </c>
      <c r="L161" s="292">
        <f>IFERROR(VLOOKUP(B161,'تقرير المصروفات حسب الشهر'!$C$1143:$AD$1254,3,FALSE),0)</f>
        <v>16830</v>
      </c>
      <c r="M161" s="292">
        <f>IFERROR(VLOOKUP(B161,'تقرير المصروفات حسب الشهر'!$C$1270:$AD$1381,3,FALSE),0)</f>
        <v>0</v>
      </c>
      <c r="N161" s="292" t="e">
        <f>#REF!</f>
        <v>#REF!</v>
      </c>
      <c r="O161" s="296" t="e">
        <f t="shared" si="3"/>
        <v>#REF!</v>
      </c>
    </row>
    <row r="162" spans="2:15" ht="17.399999999999999">
      <c r="B162" s="291" t="s">
        <v>111</v>
      </c>
      <c r="C162" s="292">
        <f>'تقرير المصروفات حسب الشهر'!E49</f>
        <v>500</v>
      </c>
      <c r="D162" s="292" t="e">
        <f>#REF!</f>
        <v>#REF!</v>
      </c>
      <c r="E162" s="292" t="e">
        <f>#REF!</f>
        <v>#REF!</v>
      </c>
      <c r="F162" s="292" t="e">
        <f>#REF!</f>
        <v>#REF!</v>
      </c>
      <c r="G162" s="292" t="e">
        <f>#REF!</f>
        <v>#REF!</v>
      </c>
      <c r="H162" s="292" t="e">
        <f>#REF!</f>
        <v>#REF!</v>
      </c>
      <c r="I162" s="292">
        <f>'تقرير المصروفات حسب الشهر'!E802</f>
        <v>300</v>
      </c>
      <c r="J162" s="292">
        <f>'تقرير المصروفات حسب الشهر'!E929</f>
        <v>400</v>
      </c>
      <c r="K162" s="292">
        <f>'تقرير المصروفات حسب الشهر'!E1056</f>
        <v>450</v>
      </c>
      <c r="L162" s="292">
        <f>IFERROR(VLOOKUP(B162,'تقرير المصروفات حسب الشهر'!$C$1143:$AD$1254,3,FALSE),0)</f>
        <v>200</v>
      </c>
      <c r="M162" s="292">
        <f>IFERROR(VLOOKUP(B162,'تقرير المصروفات حسب الشهر'!$C$1270:$AD$1381,3,FALSE),0)</f>
        <v>0</v>
      </c>
      <c r="N162" s="292" t="e">
        <f>#REF!</f>
        <v>#REF!</v>
      </c>
      <c r="O162" s="296" t="e">
        <f t="shared" si="3"/>
        <v>#REF!</v>
      </c>
    </row>
    <row r="163" spans="2:15" ht="17.399999999999999">
      <c r="B163" s="291" t="s">
        <v>68</v>
      </c>
      <c r="C163" s="292">
        <f>'تقرير المصروفات حسب الشهر'!E50</f>
        <v>0</v>
      </c>
      <c r="D163" s="292" t="e">
        <f>#REF!</f>
        <v>#REF!</v>
      </c>
      <c r="E163" s="292" t="e">
        <f>#REF!</f>
        <v>#REF!</v>
      </c>
      <c r="F163" s="292" t="e">
        <f>#REF!</f>
        <v>#REF!</v>
      </c>
      <c r="G163" s="292" t="e">
        <f>#REF!</f>
        <v>#REF!</v>
      </c>
      <c r="H163" s="292" t="e">
        <f>#REF!</f>
        <v>#REF!</v>
      </c>
      <c r="I163" s="292">
        <f>'تقرير المصروفات حسب الشهر'!E803</f>
        <v>0</v>
      </c>
      <c r="J163" s="292">
        <f>'تقرير المصروفات حسب الشهر'!E930</f>
        <v>0</v>
      </c>
      <c r="K163" s="292">
        <f>'تقرير المصروفات حسب الشهر'!E1057</f>
        <v>3608</v>
      </c>
      <c r="L163" s="292">
        <f>IFERROR(VLOOKUP(B163,'تقرير المصروفات حسب الشهر'!$C$1143:$AD$1254,3,FALSE),0)</f>
        <v>0</v>
      </c>
      <c r="M163" s="292">
        <f>IFERROR(VLOOKUP(B163,'تقرير المصروفات حسب الشهر'!$C$1270:$AD$1381,3,FALSE),0)</f>
        <v>0</v>
      </c>
      <c r="N163" s="292" t="e">
        <f>#REF!</f>
        <v>#REF!</v>
      </c>
      <c r="O163" s="296" t="e">
        <f t="shared" si="3"/>
        <v>#REF!</v>
      </c>
    </row>
    <row r="164" spans="2:15" ht="17.399999999999999">
      <c r="B164" s="291" t="s">
        <v>69</v>
      </c>
      <c r="C164" s="292">
        <f>'تقرير المصروفات حسب الشهر'!E51</f>
        <v>4000</v>
      </c>
      <c r="D164" s="292" t="e">
        <f>#REF!</f>
        <v>#REF!</v>
      </c>
      <c r="E164" s="292" t="e">
        <f>#REF!</f>
        <v>#REF!</v>
      </c>
      <c r="F164" s="292" t="e">
        <f>#REF!</f>
        <v>#REF!</v>
      </c>
      <c r="G164" s="292" t="e">
        <f>#REF!</f>
        <v>#REF!</v>
      </c>
      <c r="H164" s="292" t="e">
        <f>#REF!</f>
        <v>#REF!</v>
      </c>
      <c r="I164" s="292">
        <f>'تقرير المصروفات حسب الشهر'!E804</f>
        <v>1200</v>
      </c>
      <c r="J164" s="292">
        <f>'تقرير المصروفات حسب الشهر'!E931</f>
        <v>0</v>
      </c>
      <c r="K164" s="292">
        <f>'تقرير المصروفات حسب الشهر'!E1058</f>
        <v>0</v>
      </c>
      <c r="L164" s="292">
        <f>IFERROR(VLOOKUP(B164,'تقرير المصروفات حسب الشهر'!$C$1143:$AD$1254,3,FALSE),0)</f>
        <v>0</v>
      </c>
      <c r="M164" s="292">
        <f>IFERROR(VLOOKUP(B164,'تقرير المصروفات حسب الشهر'!$C$1270:$AD$1381,3,FALSE),0)</f>
        <v>700</v>
      </c>
      <c r="N164" s="292" t="e">
        <f>#REF!</f>
        <v>#REF!</v>
      </c>
      <c r="O164" s="296" t="e">
        <f t="shared" si="3"/>
        <v>#REF!</v>
      </c>
    </row>
    <row r="165" spans="2:15" ht="17.399999999999999">
      <c r="B165" s="291" t="s">
        <v>70</v>
      </c>
      <c r="C165" s="292">
        <f>'تقرير المصروفات حسب الشهر'!E52</f>
        <v>0</v>
      </c>
      <c r="D165" s="292" t="e">
        <f>#REF!</f>
        <v>#REF!</v>
      </c>
      <c r="E165" s="292" t="e">
        <f>#REF!</f>
        <v>#REF!</v>
      </c>
      <c r="F165" s="292" t="e">
        <f>#REF!</f>
        <v>#REF!</v>
      </c>
      <c r="G165" s="292" t="e">
        <f>#REF!</f>
        <v>#REF!</v>
      </c>
      <c r="H165" s="292" t="e">
        <f>#REF!</f>
        <v>#REF!</v>
      </c>
      <c r="I165" s="292">
        <f>'تقرير المصروفات حسب الشهر'!E805</f>
        <v>0</v>
      </c>
      <c r="J165" s="292">
        <f>'تقرير المصروفات حسب الشهر'!E932</f>
        <v>0</v>
      </c>
      <c r="K165" s="292">
        <f>'تقرير المصروفات حسب الشهر'!E1059</f>
        <v>1800</v>
      </c>
      <c r="L165" s="292">
        <f>IFERROR(VLOOKUP(B165,'تقرير المصروفات حسب الشهر'!$C$1143:$AD$1254,3,FALSE),0)</f>
        <v>0</v>
      </c>
      <c r="M165" s="292">
        <f>IFERROR(VLOOKUP(B165,'تقرير المصروفات حسب الشهر'!$C$1270:$AD$1381,3,FALSE),0)</f>
        <v>0</v>
      </c>
      <c r="N165" s="292" t="e">
        <f>#REF!</f>
        <v>#REF!</v>
      </c>
      <c r="O165" s="296" t="e">
        <f t="shared" si="3"/>
        <v>#REF!</v>
      </c>
    </row>
    <row r="166" spans="2:15" ht="17.399999999999999">
      <c r="B166" s="291" t="s">
        <v>71</v>
      </c>
      <c r="C166" s="292">
        <f>'تقرير المصروفات حسب الشهر'!E53</f>
        <v>0</v>
      </c>
      <c r="D166" s="292" t="e">
        <f>#REF!</f>
        <v>#REF!</v>
      </c>
      <c r="E166" s="292" t="e">
        <f>#REF!</f>
        <v>#REF!</v>
      </c>
      <c r="F166" s="292" t="e">
        <f>#REF!</f>
        <v>#REF!</v>
      </c>
      <c r="G166" s="292" t="e">
        <f>#REF!</f>
        <v>#REF!</v>
      </c>
      <c r="H166" s="292" t="e">
        <f>#REF!</f>
        <v>#REF!</v>
      </c>
      <c r="I166" s="292">
        <f>'تقرير المصروفات حسب الشهر'!E806</f>
        <v>0</v>
      </c>
      <c r="J166" s="292">
        <f>'تقرير المصروفات حسب الشهر'!E933</f>
        <v>0</v>
      </c>
      <c r="K166" s="292">
        <f>'تقرير المصروفات حسب الشهر'!E1060</f>
        <v>0</v>
      </c>
      <c r="L166" s="292">
        <f>IFERROR(VLOOKUP(B166,'تقرير المصروفات حسب الشهر'!$C$1143:$AD$1254,3,FALSE),0)</f>
        <v>0</v>
      </c>
      <c r="M166" s="292">
        <f>IFERROR(VLOOKUP(B166,'تقرير المصروفات حسب الشهر'!$C$1270:$AD$1381,3,FALSE),0)</f>
        <v>0</v>
      </c>
      <c r="N166" s="292" t="e">
        <f>#REF!</f>
        <v>#REF!</v>
      </c>
      <c r="O166" s="296" t="e">
        <f t="shared" si="3"/>
        <v>#REF!</v>
      </c>
    </row>
    <row r="167" spans="2:15" ht="17.399999999999999">
      <c r="B167" s="291" t="s">
        <v>159</v>
      </c>
      <c r="C167" s="292">
        <f>'تقرير المصروفات حسب الشهر'!E54</f>
        <v>0</v>
      </c>
      <c r="D167" s="292" t="e">
        <f>#REF!</f>
        <v>#REF!</v>
      </c>
      <c r="E167" s="292" t="e">
        <f>#REF!</f>
        <v>#REF!</v>
      </c>
      <c r="F167" s="292" t="e">
        <f>#REF!</f>
        <v>#REF!</v>
      </c>
      <c r="G167" s="292" t="e">
        <f>#REF!</f>
        <v>#REF!</v>
      </c>
      <c r="H167" s="292" t="e">
        <f>#REF!</f>
        <v>#REF!</v>
      </c>
      <c r="I167" s="292">
        <f>'تقرير المصروفات حسب الشهر'!E807</f>
        <v>0</v>
      </c>
      <c r="J167" s="292">
        <f>'تقرير المصروفات حسب الشهر'!E934</f>
        <v>0</v>
      </c>
      <c r="K167" s="292">
        <f>'تقرير المصروفات حسب الشهر'!E1061</f>
        <v>0</v>
      </c>
      <c r="L167" s="292">
        <f>IFERROR(VLOOKUP(B167,'تقرير المصروفات حسب الشهر'!$C$1143:$AD$1254,3,FALSE),0)</f>
        <v>0</v>
      </c>
      <c r="M167" s="292">
        <f>IFERROR(VLOOKUP(B167,'تقرير المصروفات حسب الشهر'!$C$1270:$AD$1381,3,FALSE),0)</f>
        <v>0</v>
      </c>
      <c r="N167" s="292" t="e">
        <f>#REF!</f>
        <v>#REF!</v>
      </c>
      <c r="O167" s="296" t="e">
        <f t="shared" si="3"/>
        <v>#REF!</v>
      </c>
    </row>
    <row r="168" spans="2:15" ht="17.399999999999999">
      <c r="B168" s="291" t="s">
        <v>72</v>
      </c>
      <c r="C168" s="292">
        <f>'تقرير المصروفات حسب الشهر'!E55</f>
        <v>0</v>
      </c>
      <c r="D168" s="292" t="e">
        <f>#REF!</f>
        <v>#REF!</v>
      </c>
      <c r="E168" s="292" t="e">
        <f>#REF!</f>
        <v>#REF!</v>
      </c>
      <c r="F168" s="292" t="e">
        <f>#REF!</f>
        <v>#REF!</v>
      </c>
      <c r="G168" s="292" t="e">
        <f>#REF!</f>
        <v>#REF!</v>
      </c>
      <c r="H168" s="292" t="e">
        <f>#REF!</f>
        <v>#REF!</v>
      </c>
      <c r="I168" s="292">
        <f>'تقرير المصروفات حسب الشهر'!E808</f>
        <v>0</v>
      </c>
      <c r="J168" s="292">
        <f>'تقرير المصروفات حسب الشهر'!E935</f>
        <v>0</v>
      </c>
      <c r="K168" s="292">
        <f>'تقرير المصروفات حسب الشهر'!E1062</f>
        <v>0</v>
      </c>
      <c r="L168" s="292">
        <f>IFERROR(VLOOKUP(B168,'تقرير المصروفات حسب الشهر'!$C$1143:$AD$1254,3,FALSE),0)</f>
        <v>0</v>
      </c>
      <c r="M168" s="292">
        <f>IFERROR(VLOOKUP(B168,'تقرير المصروفات حسب الشهر'!$C$1270:$AD$1381,3,FALSE),0)</f>
        <v>0</v>
      </c>
      <c r="N168" s="292" t="e">
        <f>#REF!</f>
        <v>#REF!</v>
      </c>
      <c r="O168" s="296" t="e">
        <f t="shared" si="3"/>
        <v>#REF!</v>
      </c>
    </row>
    <row r="169" spans="2:15" ht="17.399999999999999">
      <c r="B169" s="291" t="s">
        <v>73</v>
      </c>
      <c r="C169" s="292">
        <f>'تقرير المصروفات حسب الشهر'!E56</f>
        <v>0</v>
      </c>
      <c r="D169" s="292" t="e">
        <f>#REF!</f>
        <v>#REF!</v>
      </c>
      <c r="E169" s="292" t="e">
        <f>#REF!</f>
        <v>#REF!</v>
      </c>
      <c r="F169" s="292" t="e">
        <f>#REF!</f>
        <v>#REF!</v>
      </c>
      <c r="G169" s="292" t="e">
        <f>#REF!</f>
        <v>#REF!</v>
      </c>
      <c r="H169" s="292" t="e">
        <f>#REF!</f>
        <v>#REF!</v>
      </c>
      <c r="I169" s="292">
        <f>'تقرير المصروفات حسب الشهر'!E809</f>
        <v>0</v>
      </c>
      <c r="J169" s="292">
        <f>'تقرير المصروفات حسب الشهر'!E936</f>
        <v>0</v>
      </c>
      <c r="K169" s="292">
        <f>'تقرير المصروفات حسب الشهر'!E1063</f>
        <v>0</v>
      </c>
      <c r="L169" s="292">
        <f>IFERROR(VLOOKUP(B169,'تقرير المصروفات حسب الشهر'!$C$1143:$AD$1254,3,FALSE),0)</f>
        <v>0</v>
      </c>
      <c r="M169" s="292">
        <f>IFERROR(VLOOKUP(B169,'تقرير المصروفات حسب الشهر'!$C$1270:$AD$1381,3,FALSE),0)</f>
        <v>0</v>
      </c>
      <c r="N169" s="292" t="e">
        <f>#REF!</f>
        <v>#REF!</v>
      </c>
      <c r="O169" s="296" t="e">
        <f t="shared" si="3"/>
        <v>#REF!</v>
      </c>
    </row>
    <row r="170" spans="2:15" ht="17.399999999999999">
      <c r="B170" s="291" t="s">
        <v>74</v>
      </c>
      <c r="C170" s="292">
        <f>'تقرير المصروفات حسب الشهر'!E57</f>
        <v>0</v>
      </c>
      <c r="D170" s="292" t="e">
        <f>#REF!</f>
        <v>#REF!</v>
      </c>
      <c r="E170" s="292" t="e">
        <f>#REF!</f>
        <v>#REF!</v>
      </c>
      <c r="F170" s="292" t="e">
        <f>#REF!</f>
        <v>#REF!</v>
      </c>
      <c r="G170" s="292" t="e">
        <f>#REF!</f>
        <v>#REF!</v>
      </c>
      <c r="H170" s="292" t="e">
        <f>#REF!</f>
        <v>#REF!</v>
      </c>
      <c r="I170" s="292">
        <f>'تقرير المصروفات حسب الشهر'!E810</f>
        <v>0</v>
      </c>
      <c r="J170" s="292">
        <f>'تقرير المصروفات حسب الشهر'!E937</f>
        <v>0</v>
      </c>
      <c r="K170" s="292">
        <f>'تقرير المصروفات حسب الشهر'!E1064</f>
        <v>0</v>
      </c>
      <c r="L170" s="292">
        <f>IFERROR(VLOOKUP(B170,'تقرير المصروفات حسب الشهر'!$C$1143:$AD$1254,3,FALSE),0)</f>
        <v>0</v>
      </c>
      <c r="M170" s="292">
        <f>IFERROR(VLOOKUP(B170,'تقرير المصروفات حسب الشهر'!$C$1270:$AD$1381,3,FALSE),0)</f>
        <v>0</v>
      </c>
      <c r="N170" s="292" t="e">
        <f>#REF!</f>
        <v>#REF!</v>
      </c>
      <c r="O170" s="296" t="e">
        <f t="shared" si="3"/>
        <v>#REF!</v>
      </c>
    </row>
    <row r="171" spans="2:15" ht="17.399999999999999">
      <c r="B171" s="291" t="s">
        <v>246</v>
      </c>
      <c r="C171" s="292">
        <f>'تقرير المصروفات حسب الشهر'!E58</f>
        <v>0</v>
      </c>
      <c r="D171" s="292" t="e">
        <f>#REF!</f>
        <v>#REF!</v>
      </c>
      <c r="E171" s="292" t="e">
        <f>#REF!</f>
        <v>#REF!</v>
      </c>
      <c r="F171" s="292" t="e">
        <f>#REF!</f>
        <v>#REF!</v>
      </c>
      <c r="G171" s="292" t="e">
        <f>#REF!</f>
        <v>#REF!</v>
      </c>
      <c r="H171" s="292" t="e">
        <f>#REF!</f>
        <v>#REF!</v>
      </c>
      <c r="I171" s="292">
        <f>'تقرير المصروفات حسب الشهر'!E811</f>
        <v>0</v>
      </c>
      <c r="J171" s="292">
        <f>'تقرير المصروفات حسب الشهر'!E938</f>
        <v>0</v>
      </c>
      <c r="K171" s="292">
        <f>'تقرير المصروفات حسب الشهر'!E1065</f>
        <v>0</v>
      </c>
      <c r="L171" s="292">
        <f>IFERROR(VLOOKUP(B171,'تقرير المصروفات حسب الشهر'!$C$1143:$AD$1254,3,FALSE),0)</f>
        <v>0</v>
      </c>
      <c r="M171" s="292">
        <f>IFERROR(VLOOKUP(B171,'تقرير المصروفات حسب الشهر'!$C$1270:$AD$1381,3,FALSE),0)</f>
        <v>0</v>
      </c>
      <c r="N171" s="292" t="e">
        <f>#REF!</f>
        <v>#REF!</v>
      </c>
      <c r="O171" s="296" t="e">
        <f t="shared" si="3"/>
        <v>#REF!</v>
      </c>
    </row>
    <row r="172" spans="2:15" ht="17.399999999999999">
      <c r="B172" s="291" t="s">
        <v>75</v>
      </c>
      <c r="C172" s="292">
        <f>'تقرير المصروفات حسب الشهر'!E59</f>
        <v>0</v>
      </c>
      <c r="D172" s="292" t="e">
        <f>#REF!</f>
        <v>#REF!</v>
      </c>
      <c r="E172" s="292" t="e">
        <f>#REF!</f>
        <v>#REF!</v>
      </c>
      <c r="F172" s="292" t="e">
        <f>#REF!</f>
        <v>#REF!</v>
      </c>
      <c r="G172" s="292" t="e">
        <f>#REF!</f>
        <v>#REF!</v>
      </c>
      <c r="H172" s="292" t="e">
        <f>#REF!</f>
        <v>#REF!</v>
      </c>
      <c r="I172" s="292">
        <f>'تقرير المصروفات حسب الشهر'!E812</f>
        <v>0</v>
      </c>
      <c r="J172" s="292">
        <f>'تقرير المصروفات حسب الشهر'!E939</f>
        <v>0</v>
      </c>
      <c r="K172" s="292">
        <f>'تقرير المصروفات حسب الشهر'!E1066</f>
        <v>0</v>
      </c>
      <c r="L172" s="292">
        <f>IFERROR(VLOOKUP(B172,'تقرير المصروفات حسب الشهر'!$C$1143:$AD$1254,3,FALSE),0)</f>
        <v>0</v>
      </c>
      <c r="M172" s="292">
        <f>IFERROR(VLOOKUP(B172,'تقرير المصروفات حسب الشهر'!$C$1270:$AD$1381,3,FALSE),0)</f>
        <v>0</v>
      </c>
      <c r="N172" s="292" t="e">
        <f>#REF!</f>
        <v>#REF!</v>
      </c>
      <c r="O172" s="296" t="e">
        <f t="shared" si="3"/>
        <v>#REF!</v>
      </c>
    </row>
    <row r="173" spans="2:15" ht="17.399999999999999">
      <c r="B173" s="291" t="s">
        <v>76</v>
      </c>
      <c r="C173" s="292">
        <f>'تقرير المصروفات حسب الشهر'!E60</f>
        <v>0</v>
      </c>
      <c r="D173" s="292" t="e">
        <f>#REF!</f>
        <v>#REF!</v>
      </c>
      <c r="E173" s="292" t="e">
        <f>#REF!</f>
        <v>#REF!</v>
      </c>
      <c r="F173" s="292" t="e">
        <f>#REF!</f>
        <v>#REF!</v>
      </c>
      <c r="G173" s="292" t="e">
        <f>#REF!</f>
        <v>#REF!</v>
      </c>
      <c r="H173" s="292" t="e">
        <f>#REF!</f>
        <v>#REF!</v>
      </c>
      <c r="I173" s="292">
        <f>'تقرير المصروفات حسب الشهر'!E813</f>
        <v>0</v>
      </c>
      <c r="J173" s="292">
        <f>'تقرير المصروفات حسب الشهر'!E940</f>
        <v>0</v>
      </c>
      <c r="K173" s="292">
        <f>'تقرير المصروفات حسب الشهر'!E1067</f>
        <v>0</v>
      </c>
      <c r="L173" s="292">
        <f>IFERROR(VLOOKUP(B173,'تقرير المصروفات حسب الشهر'!$C$1143:$AD$1254,3,FALSE),0)</f>
        <v>0</v>
      </c>
      <c r="M173" s="292">
        <f>IFERROR(VLOOKUP(B173,'تقرير المصروفات حسب الشهر'!$C$1270:$AD$1381,3,FALSE),0)</f>
        <v>0</v>
      </c>
      <c r="N173" s="292" t="e">
        <f>#REF!</f>
        <v>#REF!</v>
      </c>
      <c r="O173" s="296" t="e">
        <f t="shared" si="3"/>
        <v>#REF!</v>
      </c>
    </row>
    <row r="174" spans="2:15" ht="17.399999999999999">
      <c r="B174" s="291" t="s">
        <v>77</v>
      </c>
      <c r="C174" s="292">
        <f>'تقرير المصروفات حسب الشهر'!E61</f>
        <v>0</v>
      </c>
      <c r="D174" s="292" t="e">
        <f>#REF!</f>
        <v>#REF!</v>
      </c>
      <c r="E174" s="292" t="e">
        <f>#REF!</f>
        <v>#REF!</v>
      </c>
      <c r="F174" s="292" t="e">
        <f>#REF!</f>
        <v>#REF!</v>
      </c>
      <c r="G174" s="292" t="e">
        <f>#REF!</f>
        <v>#REF!</v>
      </c>
      <c r="H174" s="292" t="e">
        <f>#REF!</f>
        <v>#REF!</v>
      </c>
      <c r="I174" s="292">
        <f>'تقرير المصروفات حسب الشهر'!E814</f>
        <v>0</v>
      </c>
      <c r="J174" s="292">
        <f>'تقرير المصروفات حسب الشهر'!E941</f>
        <v>0</v>
      </c>
      <c r="K174" s="292">
        <f>'تقرير المصروفات حسب الشهر'!E1068</f>
        <v>0</v>
      </c>
      <c r="L174" s="292">
        <f>IFERROR(VLOOKUP(B174,'تقرير المصروفات حسب الشهر'!$C$1143:$AD$1254,3,FALSE),0)</f>
        <v>0</v>
      </c>
      <c r="M174" s="292">
        <f>IFERROR(VLOOKUP(B174,'تقرير المصروفات حسب الشهر'!$C$1270:$AD$1381,3,FALSE),0)</f>
        <v>0</v>
      </c>
      <c r="N174" s="292" t="e">
        <f>#REF!</f>
        <v>#REF!</v>
      </c>
      <c r="O174" s="296" t="e">
        <f t="shared" si="3"/>
        <v>#REF!</v>
      </c>
    </row>
    <row r="175" spans="2:15" ht="17.399999999999999">
      <c r="B175" s="291" t="s">
        <v>78</v>
      </c>
      <c r="C175" s="292">
        <f>'تقرير المصروفات حسب الشهر'!E62</f>
        <v>0</v>
      </c>
      <c r="D175" s="292" t="e">
        <f>#REF!</f>
        <v>#REF!</v>
      </c>
      <c r="E175" s="292" t="e">
        <f>#REF!</f>
        <v>#REF!</v>
      </c>
      <c r="F175" s="292" t="e">
        <f>#REF!</f>
        <v>#REF!</v>
      </c>
      <c r="G175" s="292" t="e">
        <f>#REF!</f>
        <v>#REF!</v>
      </c>
      <c r="H175" s="292" t="e">
        <f>#REF!</f>
        <v>#REF!</v>
      </c>
      <c r="I175" s="292">
        <f>'تقرير المصروفات حسب الشهر'!E815</f>
        <v>0</v>
      </c>
      <c r="J175" s="292">
        <f>'تقرير المصروفات حسب الشهر'!E942</f>
        <v>0</v>
      </c>
      <c r="K175" s="292">
        <f>'تقرير المصروفات حسب الشهر'!E1069</f>
        <v>0</v>
      </c>
      <c r="L175" s="292">
        <f>IFERROR(VLOOKUP(B175,'تقرير المصروفات حسب الشهر'!$C$1143:$AD$1254,3,FALSE),0)</f>
        <v>0</v>
      </c>
      <c r="M175" s="292">
        <f>IFERROR(VLOOKUP(B175,'تقرير المصروفات حسب الشهر'!$C$1270:$AD$1381,3,FALSE),0)</f>
        <v>0</v>
      </c>
      <c r="N175" s="292" t="e">
        <f>#REF!</f>
        <v>#REF!</v>
      </c>
      <c r="O175" s="296" t="e">
        <f t="shared" si="3"/>
        <v>#REF!</v>
      </c>
    </row>
    <row r="176" spans="2:15" ht="17.399999999999999">
      <c r="B176" s="291" t="s">
        <v>79</v>
      </c>
      <c r="C176" s="292">
        <f>'تقرير المصروفات حسب الشهر'!E63</f>
        <v>0</v>
      </c>
      <c r="D176" s="292" t="e">
        <f>#REF!</f>
        <v>#REF!</v>
      </c>
      <c r="E176" s="292" t="e">
        <f>#REF!</f>
        <v>#REF!</v>
      </c>
      <c r="F176" s="292" t="e">
        <f>#REF!</f>
        <v>#REF!</v>
      </c>
      <c r="G176" s="292" t="e">
        <f>#REF!</f>
        <v>#REF!</v>
      </c>
      <c r="H176" s="292" t="e">
        <f>#REF!</f>
        <v>#REF!</v>
      </c>
      <c r="I176" s="292">
        <f>'تقرير المصروفات حسب الشهر'!E816</f>
        <v>0</v>
      </c>
      <c r="J176" s="292">
        <f>'تقرير المصروفات حسب الشهر'!E943</f>
        <v>0</v>
      </c>
      <c r="K176" s="292">
        <f>'تقرير المصروفات حسب الشهر'!E1070</f>
        <v>0</v>
      </c>
      <c r="L176" s="292">
        <f>IFERROR(VLOOKUP(B176,'تقرير المصروفات حسب الشهر'!$C$1143:$AD$1254,3,FALSE),0)</f>
        <v>0</v>
      </c>
      <c r="M176" s="292">
        <f>IFERROR(VLOOKUP(B176,'تقرير المصروفات حسب الشهر'!$C$1270:$AD$1381,3,FALSE),0)</f>
        <v>0</v>
      </c>
      <c r="N176" s="292" t="e">
        <f>#REF!</f>
        <v>#REF!</v>
      </c>
      <c r="O176" s="296" t="e">
        <f t="shared" si="3"/>
        <v>#REF!</v>
      </c>
    </row>
    <row r="177" spans="2:15" ht="17.399999999999999">
      <c r="B177" s="291" t="s">
        <v>80</v>
      </c>
      <c r="C177" s="292">
        <f>'تقرير المصروفات حسب الشهر'!E64</f>
        <v>0</v>
      </c>
      <c r="D177" s="292" t="e">
        <f>#REF!</f>
        <v>#REF!</v>
      </c>
      <c r="E177" s="292" t="e">
        <f>#REF!</f>
        <v>#REF!</v>
      </c>
      <c r="F177" s="292" t="e">
        <f>#REF!</f>
        <v>#REF!</v>
      </c>
      <c r="G177" s="292" t="e">
        <f>#REF!</f>
        <v>#REF!</v>
      </c>
      <c r="H177" s="292" t="e">
        <f>#REF!</f>
        <v>#REF!</v>
      </c>
      <c r="I177" s="292">
        <f>'تقرير المصروفات حسب الشهر'!E817</f>
        <v>0</v>
      </c>
      <c r="J177" s="292">
        <f>'تقرير المصروفات حسب الشهر'!E944</f>
        <v>0</v>
      </c>
      <c r="K177" s="292">
        <f>'تقرير المصروفات حسب الشهر'!E1071</f>
        <v>0</v>
      </c>
      <c r="L177" s="292">
        <f>IFERROR(VLOOKUP(B177,'تقرير المصروفات حسب الشهر'!$C$1143:$AD$1254,3,FALSE),0)</f>
        <v>0</v>
      </c>
      <c r="M177" s="292">
        <f>IFERROR(VLOOKUP(B177,'تقرير المصروفات حسب الشهر'!$C$1270:$AD$1381,3,FALSE),0)</f>
        <v>0</v>
      </c>
      <c r="N177" s="292" t="e">
        <f>#REF!</f>
        <v>#REF!</v>
      </c>
      <c r="O177" s="296" t="e">
        <f t="shared" si="3"/>
        <v>#REF!</v>
      </c>
    </row>
    <row r="178" spans="2:15" ht="17.399999999999999">
      <c r="B178" s="291" t="s">
        <v>81</v>
      </c>
      <c r="C178" s="292">
        <f>'تقرير المصروفات حسب الشهر'!E65</f>
        <v>0</v>
      </c>
      <c r="D178" s="292" t="e">
        <f>#REF!</f>
        <v>#REF!</v>
      </c>
      <c r="E178" s="292" t="e">
        <f>#REF!</f>
        <v>#REF!</v>
      </c>
      <c r="F178" s="292" t="e">
        <f>#REF!</f>
        <v>#REF!</v>
      </c>
      <c r="G178" s="292" t="e">
        <f>#REF!</f>
        <v>#REF!</v>
      </c>
      <c r="H178" s="292" t="e">
        <f>#REF!</f>
        <v>#REF!</v>
      </c>
      <c r="I178" s="292">
        <f>'تقرير المصروفات حسب الشهر'!E818</f>
        <v>0</v>
      </c>
      <c r="J178" s="292">
        <f>'تقرير المصروفات حسب الشهر'!E945</f>
        <v>0</v>
      </c>
      <c r="K178" s="292">
        <f>'تقرير المصروفات حسب الشهر'!E1072</f>
        <v>0</v>
      </c>
      <c r="L178" s="292">
        <f>IFERROR(VLOOKUP(B178,'تقرير المصروفات حسب الشهر'!$C$1143:$AD$1254,3,FALSE),0)</f>
        <v>0</v>
      </c>
      <c r="M178" s="292">
        <f>IFERROR(VLOOKUP(B178,'تقرير المصروفات حسب الشهر'!$C$1270:$AD$1381,3,FALSE),0)</f>
        <v>0</v>
      </c>
      <c r="N178" s="292" t="e">
        <f>#REF!</f>
        <v>#REF!</v>
      </c>
      <c r="O178" s="296" t="e">
        <f t="shared" si="3"/>
        <v>#REF!</v>
      </c>
    </row>
    <row r="179" spans="2:15" ht="17.399999999999999">
      <c r="B179" s="291" t="s">
        <v>82</v>
      </c>
      <c r="C179" s="292">
        <f>'تقرير المصروفات حسب الشهر'!E66</f>
        <v>0</v>
      </c>
      <c r="D179" s="292" t="e">
        <f>#REF!</f>
        <v>#REF!</v>
      </c>
      <c r="E179" s="292" t="e">
        <f>#REF!</f>
        <v>#REF!</v>
      </c>
      <c r="F179" s="292" t="e">
        <f>#REF!</f>
        <v>#REF!</v>
      </c>
      <c r="G179" s="292" t="e">
        <f>#REF!</f>
        <v>#REF!</v>
      </c>
      <c r="H179" s="292" t="e">
        <f>#REF!</f>
        <v>#REF!</v>
      </c>
      <c r="I179" s="292">
        <f>'تقرير المصروفات حسب الشهر'!E819</f>
        <v>0</v>
      </c>
      <c r="J179" s="292">
        <f>'تقرير المصروفات حسب الشهر'!E946</f>
        <v>0</v>
      </c>
      <c r="K179" s="292">
        <f>'تقرير المصروفات حسب الشهر'!E1073</f>
        <v>0</v>
      </c>
      <c r="L179" s="292">
        <f>IFERROR(VLOOKUP(B179,'تقرير المصروفات حسب الشهر'!$C$1143:$AD$1254,3,FALSE),0)</f>
        <v>0</v>
      </c>
      <c r="M179" s="292">
        <f>IFERROR(VLOOKUP(B179,'تقرير المصروفات حسب الشهر'!$C$1270:$AD$1381,3,FALSE),0)</f>
        <v>0</v>
      </c>
      <c r="N179" s="292" t="e">
        <f>#REF!</f>
        <v>#REF!</v>
      </c>
      <c r="O179" s="296" t="e">
        <f t="shared" si="3"/>
        <v>#REF!</v>
      </c>
    </row>
    <row r="180" spans="2:15" ht="17.399999999999999">
      <c r="B180" s="291" t="s">
        <v>83</v>
      </c>
      <c r="C180" s="292">
        <f>'تقرير المصروفات حسب الشهر'!E67</f>
        <v>0</v>
      </c>
      <c r="D180" s="292" t="e">
        <f>#REF!</f>
        <v>#REF!</v>
      </c>
      <c r="E180" s="292" t="e">
        <f>#REF!</f>
        <v>#REF!</v>
      </c>
      <c r="F180" s="292" t="e">
        <f>#REF!</f>
        <v>#REF!</v>
      </c>
      <c r="G180" s="292" t="e">
        <f>#REF!</f>
        <v>#REF!</v>
      </c>
      <c r="H180" s="292" t="e">
        <f>#REF!</f>
        <v>#REF!</v>
      </c>
      <c r="I180" s="292">
        <f>'تقرير المصروفات حسب الشهر'!E820</f>
        <v>0</v>
      </c>
      <c r="J180" s="292">
        <f>'تقرير المصروفات حسب الشهر'!E947</f>
        <v>0</v>
      </c>
      <c r="K180" s="292">
        <f>'تقرير المصروفات حسب الشهر'!E1074</f>
        <v>0</v>
      </c>
      <c r="L180" s="292">
        <f>IFERROR(VLOOKUP(B180,'تقرير المصروفات حسب الشهر'!$C$1143:$AD$1254,3,FALSE),0)</f>
        <v>0</v>
      </c>
      <c r="M180" s="292">
        <f>IFERROR(VLOOKUP(B180,'تقرير المصروفات حسب الشهر'!$C$1270:$AD$1381,3,FALSE),0)</f>
        <v>0</v>
      </c>
      <c r="N180" s="292" t="e">
        <f>#REF!</f>
        <v>#REF!</v>
      </c>
      <c r="O180" s="296" t="e">
        <f t="shared" si="3"/>
        <v>#REF!</v>
      </c>
    </row>
    <row r="181" spans="2:15" ht="17.399999999999999">
      <c r="B181" s="291" t="s">
        <v>84</v>
      </c>
      <c r="C181" s="292">
        <f>'تقرير المصروفات حسب الشهر'!E68</f>
        <v>0</v>
      </c>
      <c r="D181" s="292" t="e">
        <f>#REF!</f>
        <v>#REF!</v>
      </c>
      <c r="E181" s="292" t="e">
        <f>#REF!</f>
        <v>#REF!</v>
      </c>
      <c r="F181" s="292" t="e">
        <f>#REF!</f>
        <v>#REF!</v>
      </c>
      <c r="G181" s="292" t="e">
        <f>#REF!</f>
        <v>#REF!</v>
      </c>
      <c r="H181" s="292" t="e">
        <f>#REF!</f>
        <v>#REF!</v>
      </c>
      <c r="I181" s="292">
        <f>'تقرير المصروفات حسب الشهر'!E821</f>
        <v>6320</v>
      </c>
      <c r="J181" s="292">
        <f>'تقرير المصروفات حسب الشهر'!E948</f>
        <v>300</v>
      </c>
      <c r="K181" s="292">
        <f>'تقرير المصروفات حسب الشهر'!E1075</f>
        <v>0</v>
      </c>
      <c r="L181" s="292">
        <f>IFERROR(VLOOKUP(B181,'تقرير المصروفات حسب الشهر'!$C$1143:$AD$1254,3,FALSE),0)</f>
        <v>0</v>
      </c>
      <c r="M181" s="292">
        <f>IFERROR(VLOOKUP(B181,'تقرير المصروفات حسب الشهر'!$C$1270:$AD$1381,3,FALSE),0)</f>
        <v>0</v>
      </c>
      <c r="N181" s="292" t="e">
        <f>#REF!</f>
        <v>#REF!</v>
      </c>
      <c r="O181" s="296" t="e">
        <f t="shared" si="3"/>
        <v>#REF!</v>
      </c>
    </row>
    <row r="182" spans="2:15" ht="17.399999999999999">
      <c r="B182" s="291" t="s">
        <v>85</v>
      </c>
      <c r="C182" s="292">
        <f>'تقرير المصروفات حسب الشهر'!E69</f>
        <v>1316</v>
      </c>
      <c r="D182" s="292" t="e">
        <f>#REF!</f>
        <v>#REF!</v>
      </c>
      <c r="E182" s="292" t="e">
        <f>#REF!</f>
        <v>#REF!</v>
      </c>
      <c r="F182" s="292" t="e">
        <f>#REF!</f>
        <v>#REF!</v>
      </c>
      <c r="G182" s="292" t="e">
        <f>#REF!</f>
        <v>#REF!</v>
      </c>
      <c r="H182" s="292" t="e">
        <f>#REF!</f>
        <v>#REF!</v>
      </c>
      <c r="I182" s="292">
        <f>'تقرير المصروفات حسب الشهر'!E822</f>
        <v>0</v>
      </c>
      <c r="J182" s="292">
        <f>'تقرير المصروفات حسب الشهر'!E949</f>
        <v>0</v>
      </c>
      <c r="K182" s="292">
        <f>'تقرير المصروفات حسب الشهر'!E1076</f>
        <v>0</v>
      </c>
      <c r="L182" s="292">
        <f>IFERROR(VLOOKUP(B182,'تقرير المصروفات حسب الشهر'!$C$1143:$AD$1254,3,FALSE),0)</f>
        <v>200</v>
      </c>
      <c r="M182" s="292">
        <f>IFERROR(VLOOKUP(B182,'تقرير المصروفات حسب الشهر'!$C$1270:$AD$1381,3,FALSE),0)</f>
        <v>200</v>
      </c>
      <c r="N182" s="292" t="e">
        <f>#REF!</f>
        <v>#REF!</v>
      </c>
      <c r="O182" s="296" t="e">
        <f t="shared" si="3"/>
        <v>#REF!</v>
      </c>
    </row>
    <row r="183" spans="2:15" ht="17.399999999999999">
      <c r="B183" s="291" t="s">
        <v>86</v>
      </c>
      <c r="C183" s="292">
        <f>'تقرير المصروفات حسب الشهر'!E70</f>
        <v>0</v>
      </c>
      <c r="D183" s="292" t="e">
        <f>#REF!</f>
        <v>#REF!</v>
      </c>
      <c r="E183" s="292" t="e">
        <f>#REF!</f>
        <v>#REF!</v>
      </c>
      <c r="F183" s="292" t="e">
        <f>#REF!</f>
        <v>#REF!</v>
      </c>
      <c r="G183" s="292" t="e">
        <f>#REF!</f>
        <v>#REF!</v>
      </c>
      <c r="H183" s="292" t="e">
        <f>#REF!</f>
        <v>#REF!</v>
      </c>
      <c r="I183" s="292">
        <f>'تقرير المصروفات حسب الشهر'!E823</f>
        <v>0</v>
      </c>
      <c r="J183" s="292">
        <f>'تقرير المصروفات حسب الشهر'!E950</f>
        <v>0</v>
      </c>
      <c r="K183" s="292">
        <f>'تقرير المصروفات حسب الشهر'!E1077</f>
        <v>0</v>
      </c>
      <c r="L183" s="292">
        <f>IFERROR(VLOOKUP(B183,'تقرير المصروفات حسب الشهر'!$C$1143:$AD$1254,3,FALSE),0)</f>
        <v>0</v>
      </c>
      <c r="M183" s="292">
        <f>IFERROR(VLOOKUP(B183,'تقرير المصروفات حسب الشهر'!$C$1270:$AD$1381,3,FALSE),0)</f>
        <v>0</v>
      </c>
      <c r="N183" s="292" t="e">
        <f>#REF!</f>
        <v>#REF!</v>
      </c>
      <c r="O183" s="296" t="e">
        <f t="shared" si="3"/>
        <v>#REF!</v>
      </c>
    </row>
    <row r="184" spans="2:15" ht="17.399999999999999">
      <c r="B184" s="291" t="s">
        <v>87</v>
      </c>
      <c r="C184" s="292">
        <f>'تقرير المصروفات حسب الشهر'!E71</f>
        <v>0</v>
      </c>
      <c r="D184" s="292" t="e">
        <f>#REF!</f>
        <v>#REF!</v>
      </c>
      <c r="E184" s="292" t="e">
        <f>#REF!</f>
        <v>#REF!</v>
      </c>
      <c r="F184" s="292" t="e">
        <f>#REF!</f>
        <v>#REF!</v>
      </c>
      <c r="G184" s="292" t="e">
        <f>#REF!</f>
        <v>#REF!</v>
      </c>
      <c r="H184" s="292" t="e">
        <f>#REF!</f>
        <v>#REF!</v>
      </c>
      <c r="I184" s="292">
        <f>'تقرير المصروفات حسب الشهر'!E824</f>
        <v>0</v>
      </c>
      <c r="J184" s="292">
        <f>'تقرير المصروفات حسب الشهر'!E951</f>
        <v>0</v>
      </c>
      <c r="K184" s="292">
        <f>'تقرير المصروفات حسب الشهر'!E1078</f>
        <v>0</v>
      </c>
      <c r="L184" s="292">
        <f>IFERROR(VLOOKUP(B184,'تقرير المصروفات حسب الشهر'!$C$1143:$AD$1254,3,FALSE),0)</f>
        <v>0</v>
      </c>
      <c r="M184" s="292">
        <f>IFERROR(VLOOKUP(B184,'تقرير المصروفات حسب الشهر'!$C$1270:$AD$1381,3,FALSE),0)</f>
        <v>0</v>
      </c>
      <c r="N184" s="292" t="e">
        <f>#REF!</f>
        <v>#REF!</v>
      </c>
      <c r="O184" s="296" t="e">
        <f t="shared" si="3"/>
        <v>#REF!</v>
      </c>
    </row>
    <row r="185" spans="2:15" ht="17.399999999999999">
      <c r="B185" s="291" t="s">
        <v>88</v>
      </c>
      <c r="C185" s="292">
        <f>'تقرير المصروفات حسب الشهر'!E72</f>
        <v>0</v>
      </c>
      <c r="D185" s="292" t="e">
        <f>#REF!</f>
        <v>#REF!</v>
      </c>
      <c r="E185" s="292" t="e">
        <f>#REF!</f>
        <v>#REF!</v>
      </c>
      <c r="F185" s="292" t="e">
        <f>#REF!</f>
        <v>#REF!</v>
      </c>
      <c r="G185" s="292" t="e">
        <f>#REF!</f>
        <v>#REF!</v>
      </c>
      <c r="H185" s="292" t="e">
        <f>#REF!</f>
        <v>#REF!</v>
      </c>
      <c r="I185" s="292">
        <f>'تقرير المصروفات حسب الشهر'!E825</f>
        <v>0</v>
      </c>
      <c r="J185" s="292">
        <f>'تقرير المصروفات حسب الشهر'!E952</f>
        <v>0</v>
      </c>
      <c r="K185" s="292">
        <f>'تقرير المصروفات حسب الشهر'!E1079</f>
        <v>0</v>
      </c>
      <c r="L185" s="292">
        <f>IFERROR(VLOOKUP(B185,'تقرير المصروفات حسب الشهر'!$C$1143:$AD$1254,3,FALSE),0)</f>
        <v>0</v>
      </c>
      <c r="M185" s="292">
        <f>IFERROR(VLOOKUP(B185,'تقرير المصروفات حسب الشهر'!$C$1270:$AD$1381,3,FALSE),0)</f>
        <v>0</v>
      </c>
      <c r="N185" s="292" t="e">
        <f>#REF!</f>
        <v>#REF!</v>
      </c>
      <c r="O185" s="296" t="e">
        <f t="shared" si="3"/>
        <v>#REF!</v>
      </c>
    </row>
    <row r="186" spans="2:15" ht="17.399999999999999">
      <c r="B186" s="291" t="s">
        <v>89</v>
      </c>
      <c r="C186" s="292">
        <f>'تقرير المصروفات حسب الشهر'!E73</f>
        <v>0</v>
      </c>
      <c r="D186" s="292" t="e">
        <f>#REF!</f>
        <v>#REF!</v>
      </c>
      <c r="E186" s="292" t="e">
        <f>#REF!</f>
        <v>#REF!</v>
      </c>
      <c r="F186" s="292" t="e">
        <f>#REF!</f>
        <v>#REF!</v>
      </c>
      <c r="G186" s="292" t="e">
        <f>#REF!</f>
        <v>#REF!</v>
      </c>
      <c r="H186" s="292" t="e">
        <f>#REF!</f>
        <v>#REF!</v>
      </c>
      <c r="I186" s="292">
        <f>'تقرير المصروفات حسب الشهر'!E826</f>
        <v>979</v>
      </c>
      <c r="J186" s="292">
        <f>'تقرير المصروفات حسب الشهر'!E953</f>
        <v>6953.4</v>
      </c>
      <c r="K186" s="292">
        <f>'تقرير المصروفات حسب الشهر'!E1080</f>
        <v>1825</v>
      </c>
      <c r="L186" s="292">
        <f>IFERROR(VLOOKUP(B186,'تقرير المصروفات حسب الشهر'!$C$1143:$AD$1254,3,FALSE),0)</f>
        <v>0</v>
      </c>
      <c r="M186" s="292">
        <f>IFERROR(VLOOKUP(B186,'تقرير المصروفات حسب الشهر'!$C$1270:$AD$1381,3,FALSE),0)</f>
        <v>0</v>
      </c>
      <c r="N186" s="292" t="e">
        <f>#REF!</f>
        <v>#REF!</v>
      </c>
      <c r="O186" s="296" t="e">
        <f t="shared" si="3"/>
        <v>#REF!</v>
      </c>
    </row>
    <row r="187" spans="2:15" ht="17.399999999999999">
      <c r="B187" s="291" t="s">
        <v>33</v>
      </c>
      <c r="C187" s="292">
        <f>'تقرير المصروفات حسب الشهر'!E74</f>
        <v>313.56</v>
      </c>
      <c r="D187" s="292" t="e">
        <f>#REF!</f>
        <v>#REF!</v>
      </c>
      <c r="E187" s="292" t="e">
        <f>#REF!</f>
        <v>#REF!</v>
      </c>
      <c r="F187" s="292" t="e">
        <f>#REF!</f>
        <v>#REF!</v>
      </c>
      <c r="G187" s="292" t="e">
        <f>#REF!</f>
        <v>#REF!</v>
      </c>
      <c r="H187" s="292" t="e">
        <f>#REF!</f>
        <v>#REF!</v>
      </c>
      <c r="I187" s="292">
        <f>'تقرير المصروفات حسب الشهر'!E827</f>
        <v>0</v>
      </c>
      <c r="J187" s="292">
        <f>'تقرير المصروفات حسب الشهر'!E954</f>
        <v>0</v>
      </c>
      <c r="K187" s="292">
        <f>'تقرير المصروفات حسب الشهر'!E1081</f>
        <v>0</v>
      </c>
      <c r="L187" s="292">
        <f>IFERROR(VLOOKUP(B187,'تقرير المصروفات حسب الشهر'!$C$1143:$AD$1254,3,FALSE),0)</f>
        <v>1335.76</v>
      </c>
      <c r="M187" s="292">
        <f>IFERROR(VLOOKUP(B187,'تقرير المصروفات حسب الشهر'!$C$1270:$AD$1381,3,FALSE),0)</f>
        <v>6219.07</v>
      </c>
      <c r="N187" s="292" t="e">
        <f>#REF!</f>
        <v>#REF!</v>
      </c>
      <c r="O187" s="296" t="e">
        <f t="shared" si="3"/>
        <v>#REF!</v>
      </c>
    </row>
    <row r="188" spans="2:15" ht="17.399999999999999">
      <c r="B188" s="291" t="s">
        <v>90</v>
      </c>
      <c r="C188" s="292">
        <f>'تقرير المصروفات حسب الشهر'!E75</f>
        <v>0</v>
      </c>
      <c r="D188" s="292" t="e">
        <f>#REF!</f>
        <v>#REF!</v>
      </c>
      <c r="E188" s="292" t="e">
        <f>#REF!</f>
        <v>#REF!</v>
      </c>
      <c r="F188" s="292" t="e">
        <f>#REF!</f>
        <v>#REF!</v>
      </c>
      <c r="G188" s="292" t="e">
        <f>#REF!</f>
        <v>#REF!</v>
      </c>
      <c r="H188" s="292" t="e">
        <f>#REF!</f>
        <v>#REF!</v>
      </c>
      <c r="I188" s="292">
        <f>'تقرير المصروفات حسب الشهر'!E828</f>
        <v>0</v>
      </c>
      <c r="J188" s="292">
        <f>'تقرير المصروفات حسب الشهر'!E955</f>
        <v>0</v>
      </c>
      <c r="K188" s="292">
        <f>'تقرير المصروفات حسب الشهر'!E1082</f>
        <v>0</v>
      </c>
      <c r="L188" s="292">
        <f>IFERROR(VLOOKUP(B188,'تقرير المصروفات حسب الشهر'!$C$1143:$AD$1254,3,FALSE),0)</f>
        <v>0</v>
      </c>
      <c r="M188" s="292">
        <f>IFERROR(VLOOKUP(B188,'تقرير المصروفات حسب الشهر'!$C$1270:$AD$1381,3,FALSE),0)</f>
        <v>0</v>
      </c>
      <c r="N188" s="292" t="e">
        <f>#REF!</f>
        <v>#REF!</v>
      </c>
      <c r="O188" s="296" t="e">
        <f t="shared" ref="O188:O231" si="4">SUM(C188:N188)</f>
        <v>#REF!</v>
      </c>
    </row>
    <row r="189" spans="2:15" ht="17.399999999999999">
      <c r="B189" s="291" t="s">
        <v>91</v>
      </c>
      <c r="C189" s="292">
        <f>'تقرير المصروفات حسب الشهر'!E76</f>
        <v>0</v>
      </c>
      <c r="D189" s="292" t="e">
        <f>#REF!</f>
        <v>#REF!</v>
      </c>
      <c r="E189" s="292" t="e">
        <f>#REF!</f>
        <v>#REF!</v>
      </c>
      <c r="F189" s="292" t="e">
        <f>#REF!</f>
        <v>#REF!</v>
      </c>
      <c r="G189" s="292" t="e">
        <f>#REF!</f>
        <v>#REF!</v>
      </c>
      <c r="H189" s="292" t="e">
        <f>#REF!</f>
        <v>#REF!</v>
      </c>
      <c r="I189" s="292">
        <f>'تقرير المصروفات حسب الشهر'!E829</f>
        <v>0</v>
      </c>
      <c r="J189" s="292">
        <f>'تقرير المصروفات حسب الشهر'!E956</f>
        <v>0</v>
      </c>
      <c r="K189" s="292">
        <f>'تقرير المصروفات حسب الشهر'!E1083</f>
        <v>0</v>
      </c>
      <c r="L189" s="292">
        <f>IFERROR(VLOOKUP(B189,'تقرير المصروفات حسب الشهر'!$C$1143:$AD$1254,3,FALSE),0)</f>
        <v>0</v>
      </c>
      <c r="M189" s="292">
        <f>IFERROR(VLOOKUP(B189,'تقرير المصروفات حسب الشهر'!$C$1270:$AD$1381,3,FALSE),0)</f>
        <v>0</v>
      </c>
      <c r="N189" s="292" t="e">
        <f>#REF!</f>
        <v>#REF!</v>
      </c>
      <c r="O189" s="296" t="e">
        <f t="shared" si="4"/>
        <v>#REF!</v>
      </c>
    </row>
    <row r="190" spans="2:15" ht="17.399999999999999">
      <c r="B190" s="291" t="s">
        <v>92</v>
      </c>
      <c r="C190" s="292">
        <f>'تقرير المصروفات حسب الشهر'!E77</f>
        <v>0</v>
      </c>
      <c r="D190" s="292" t="e">
        <f>#REF!</f>
        <v>#REF!</v>
      </c>
      <c r="E190" s="292" t="e">
        <f>#REF!</f>
        <v>#REF!</v>
      </c>
      <c r="F190" s="292" t="e">
        <f>#REF!</f>
        <v>#REF!</v>
      </c>
      <c r="G190" s="292" t="e">
        <f>#REF!</f>
        <v>#REF!</v>
      </c>
      <c r="H190" s="292" t="e">
        <f>#REF!</f>
        <v>#REF!</v>
      </c>
      <c r="I190" s="292">
        <f>'تقرير المصروفات حسب الشهر'!E830</f>
        <v>0</v>
      </c>
      <c r="J190" s="292">
        <f>'تقرير المصروفات حسب الشهر'!E957</f>
        <v>0</v>
      </c>
      <c r="K190" s="292">
        <f>'تقرير المصروفات حسب الشهر'!E1084</f>
        <v>0</v>
      </c>
      <c r="L190" s="292">
        <f>IFERROR(VLOOKUP(B190,'تقرير المصروفات حسب الشهر'!$C$1143:$AD$1254,3,FALSE),0)</f>
        <v>0</v>
      </c>
      <c r="M190" s="292">
        <f>IFERROR(VLOOKUP(B190,'تقرير المصروفات حسب الشهر'!$C$1270:$AD$1381,3,FALSE),0)</f>
        <v>0</v>
      </c>
      <c r="N190" s="292" t="e">
        <f>#REF!</f>
        <v>#REF!</v>
      </c>
      <c r="O190" s="296" t="e">
        <f t="shared" si="4"/>
        <v>#REF!</v>
      </c>
    </row>
    <row r="191" spans="2:15" ht="17.399999999999999">
      <c r="B191" s="291" t="s">
        <v>93</v>
      </c>
      <c r="C191" s="292">
        <f>'تقرير المصروفات حسب الشهر'!E78</f>
        <v>0</v>
      </c>
      <c r="D191" s="292" t="e">
        <f>#REF!</f>
        <v>#REF!</v>
      </c>
      <c r="E191" s="292" t="e">
        <f>#REF!</f>
        <v>#REF!</v>
      </c>
      <c r="F191" s="292" t="e">
        <f>#REF!</f>
        <v>#REF!</v>
      </c>
      <c r="G191" s="292" t="e">
        <f>#REF!</f>
        <v>#REF!</v>
      </c>
      <c r="H191" s="292" t="e">
        <f>#REF!</f>
        <v>#REF!</v>
      </c>
      <c r="I191" s="292">
        <f>'تقرير المصروفات حسب الشهر'!E831</f>
        <v>9225</v>
      </c>
      <c r="J191" s="292">
        <f>'تقرير المصروفات حسب الشهر'!E958</f>
        <v>7160</v>
      </c>
      <c r="K191" s="292">
        <f>'تقرير المصروفات حسب الشهر'!E1085</f>
        <v>7715</v>
      </c>
      <c r="L191" s="292">
        <f>IFERROR(VLOOKUP(B191,'تقرير المصروفات حسب الشهر'!$C$1143:$AD$1254,3,FALSE),0)</f>
        <v>0</v>
      </c>
      <c r="M191" s="292">
        <f>IFERROR(VLOOKUP(B191,'تقرير المصروفات حسب الشهر'!$C$1270:$AD$1381,3,FALSE),0)</f>
        <v>0</v>
      </c>
      <c r="N191" s="292" t="e">
        <f>#REF!</f>
        <v>#REF!</v>
      </c>
      <c r="O191" s="296" t="e">
        <f t="shared" si="4"/>
        <v>#REF!</v>
      </c>
    </row>
    <row r="192" spans="2:15" ht="17.399999999999999">
      <c r="B192" s="291" t="s">
        <v>94</v>
      </c>
      <c r="C192" s="292">
        <f>'تقرير المصروفات حسب الشهر'!E79</f>
        <v>78615</v>
      </c>
      <c r="D192" s="292" t="e">
        <f>#REF!</f>
        <v>#REF!</v>
      </c>
      <c r="E192" s="292" t="e">
        <f>#REF!</f>
        <v>#REF!</v>
      </c>
      <c r="F192" s="292" t="e">
        <f>#REF!</f>
        <v>#REF!</v>
      </c>
      <c r="G192" s="292" t="e">
        <f>#REF!</f>
        <v>#REF!</v>
      </c>
      <c r="H192" s="292" t="e">
        <f>#REF!</f>
        <v>#REF!</v>
      </c>
      <c r="I192" s="292">
        <f>'تقرير المصروفات حسب الشهر'!E832</f>
        <v>0</v>
      </c>
      <c r="J192" s="292">
        <f>'تقرير المصروفات حسب الشهر'!E959</f>
        <v>1680</v>
      </c>
      <c r="K192" s="292">
        <f>'تقرير المصروفات حسب الشهر'!E1086</f>
        <v>0</v>
      </c>
      <c r="L192" s="292">
        <f>IFERROR(VLOOKUP(B192,'تقرير المصروفات حسب الشهر'!$C$1143:$AD$1254,3,FALSE),0)</f>
        <v>7035</v>
      </c>
      <c r="M192" s="292">
        <f>IFERROR(VLOOKUP(B192,'تقرير المصروفات حسب الشهر'!$C$1270:$AD$1381,3,FALSE),0)</f>
        <v>7520</v>
      </c>
      <c r="N192" s="292" t="e">
        <f>#REF!</f>
        <v>#REF!</v>
      </c>
      <c r="O192" s="296" t="e">
        <f t="shared" si="4"/>
        <v>#REF!</v>
      </c>
    </row>
    <row r="193" spans="2:15" ht="17.399999999999999">
      <c r="B193" s="291" t="s">
        <v>95</v>
      </c>
      <c r="C193" s="292">
        <f>'تقرير المصروفات حسب الشهر'!E80</f>
        <v>0</v>
      </c>
      <c r="D193" s="292" t="e">
        <f>#REF!</f>
        <v>#REF!</v>
      </c>
      <c r="E193" s="292" t="e">
        <f>#REF!</f>
        <v>#REF!</v>
      </c>
      <c r="F193" s="292" t="e">
        <f>#REF!</f>
        <v>#REF!</v>
      </c>
      <c r="G193" s="292" t="e">
        <f>#REF!</f>
        <v>#REF!</v>
      </c>
      <c r="H193" s="292" t="e">
        <f>#REF!</f>
        <v>#REF!</v>
      </c>
      <c r="I193" s="292">
        <f>'تقرير المصروفات حسب الشهر'!E833</f>
        <v>668</v>
      </c>
      <c r="J193" s="292">
        <f>'تقرير المصروفات حسب الشهر'!E960</f>
        <v>1331.8</v>
      </c>
      <c r="K193" s="292">
        <f>'تقرير المصروفات حسب الشهر'!E1087</f>
        <v>0</v>
      </c>
      <c r="L193" s="292">
        <f>IFERROR(VLOOKUP(B193,'تقرير المصروفات حسب الشهر'!$C$1143:$AD$1254,3,FALSE),0)</f>
        <v>0</v>
      </c>
      <c r="M193" s="292">
        <f>IFERROR(VLOOKUP(B193,'تقرير المصروفات حسب الشهر'!$C$1270:$AD$1381,3,FALSE),0)</f>
        <v>0</v>
      </c>
      <c r="N193" s="292" t="e">
        <f>#REF!</f>
        <v>#REF!</v>
      </c>
      <c r="O193" s="296" t="e">
        <f t="shared" si="4"/>
        <v>#REF!</v>
      </c>
    </row>
    <row r="194" spans="2:15" ht="17.399999999999999">
      <c r="B194" s="291" t="s">
        <v>96</v>
      </c>
      <c r="C194" s="292">
        <f>'تقرير المصروفات حسب الشهر'!E81</f>
        <v>0</v>
      </c>
      <c r="D194" s="292" t="e">
        <f>#REF!</f>
        <v>#REF!</v>
      </c>
      <c r="E194" s="292" t="e">
        <f>#REF!</f>
        <v>#REF!</v>
      </c>
      <c r="F194" s="292" t="e">
        <f>#REF!</f>
        <v>#REF!</v>
      </c>
      <c r="G194" s="292" t="e">
        <f>#REF!</f>
        <v>#REF!</v>
      </c>
      <c r="H194" s="292" t="e">
        <f>#REF!</f>
        <v>#REF!</v>
      </c>
      <c r="I194" s="292">
        <f>'تقرير المصروفات حسب الشهر'!E834</f>
        <v>0</v>
      </c>
      <c r="J194" s="292">
        <f>'تقرير المصروفات حسب الشهر'!E961</f>
        <v>0</v>
      </c>
      <c r="K194" s="292">
        <f>'تقرير المصروفات حسب الشهر'!E1088</f>
        <v>0</v>
      </c>
      <c r="L194" s="292">
        <f>IFERROR(VLOOKUP(B194,'تقرير المصروفات حسب الشهر'!$C$1143:$AD$1254,3,FALSE),0)</f>
        <v>0</v>
      </c>
      <c r="M194" s="292">
        <f>IFERROR(VLOOKUP(B194,'تقرير المصروفات حسب الشهر'!$C$1270:$AD$1381,3,FALSE),0)</f>
        <v>0</v>
      </c>
      <c r="N194" s="292" t="e">
        <f>#REF!</f>
        <v>#REF!</v>
      </c>
      <c r="O194" s="296" t="e">
        <f t="shared" si="4"/>
        <v>#REF!</v>
      </c>
    </row>
    <row r="195" spans="2:15" ht="17.399999999999999">
      <c r="B195" s="291" t="s">
        <v>97</v>
      </c>
      <c r="C195" s="292">
        <f>'تقرير المصروفات حسب الشهر'!E82</f>
        <v>0</v>
      </c>
      <c r="D195" s="292" t="e">
        <f>#REF!</f>
        <v>#REF!</v>
      </c>
      <c r="E195" s="292" t="e">
        <f>#REF!</f>
        <v>#REF!</v>
      </c>
      <c r="F195" s="292" t="e">
        <f>#REF!</f>
        <v>#REF!</v>
      </c>
      <c r="G195" s="292" t="e">
        <f>#REF!</f>
        <v>#REF!</v>
      </c>
      <c r="H195" s="292" t="e">
        <f>#REF!</f>
        <v>#REF!</v>
      </c>
      <c r="I195" s="292">
        <f>'تقرير المصروفات حسب الشهر'!E835</f>
        <v>0</v>
      </c>
      <c r="J195" s="292">
        <f>'تقرير المصروفات حسب الشهر'!E962</f>
        <v>0</v>
      </c>
      <c r="K195" s="292">
        <f>'تقرير المصروفات حسب الشهر'!E1089</f>
        <v>2130</v>
      </c>
      <c r="L195" s="292">
        <f>IFERROR(VLOOKUP(B195,'تقرير المصروفات حسب الشهر'!$C$1143:$AD$1254,3,FALSE),0)</f>
        <v>0</v>
      </c>
      <c r="M195" s="292">
        <f>IFERROR(VLOOKUP(B195,'تقرير المصروفات حسب الشهر'!$C$1270:$AD$1381,3,FALSE),0)</f>
        <v>0</v>
      </c>
      <c r="N195" s="292" t="e">
        <f>#REF!</f>
        <v>#REF!</v>
      </c>
      <c r="O195" s="296" t="e">
        <f t="shared" si="4"/>
        <v>#REF!</v>
      </c>
    </row>
    <row r="196" spans="2:15" ht="17.399999999999999">
      <c r="B196" s="291" t="s">
        <v>192</v>
      </c>
      <c r="C196" s="292">
        <f>'تقرير المصروفات حسب الشهر'!E83</f>
        <v>0</v>
      </c>
      <c r="D196" s="292" t="e">
        <f>#REF!</f>
        <v>#REF!</v>
      </c>
      <c r="E196" s="292" t="e">
        <f>#REF!</f>
        <v>#REF!</v>
      </c>
      <c r="F196" s="292" t="e">
        <f>#REF!</f>
        <v>#REF!</v>
      </c>
      <c r="G196" s="292" t="e">
        <f>#REF!</f>
        <v>#REF!</v>
      </c>
      <c r="H196" s="292" t="e">
        <f>#REF!</f>
        <v>#REF!</v>
      </c>
      <c r="I196" s="292">
        <f>'تقرير المصروفات حسب الشهر'!E836</f>
        <v>0</v>
      </c>
      <c r="J196" s="292">
        <f>'تقرير المصروفات حسب الشهر'!E963</f>
        <v>0</v>
      </c>
      <c r="K196" s="292">
        <f>'تقرير المصروفات حسب الشهر'!E1090</f>
        <v>0</v>
      </c>
      <c r="L196" s="292">
        <f>IFERROR(VLOOKUP(B196,'تقرير المصروفات حسب الشهر'!$C$1143:$AD$1254,3,FALSE),0)</f>
        <v>1065</v>
      </c>
      <c r="M196" s="292">
        <f>IFERROR(VLOOKUP(B196,'تقرير المصروفات حسب الشهر'!$C$1270:$AD$1381,3,FALSE),0)</f>
        <v>1065</v>
      </c>
      <c r="N196" s="292" t="e">
        <f>#REF!</f>
        <v>#REF!</v>
      </c>
      <c r="O196" s="296" t="e">
        <f t="shared" si="4"/>
        <v>#REF!</v>
      </c>
    </row>
    <row r="197" spans="2:15" ht="17.399999999999999">
      <c r="B197" s="291" t="s">
        <v>98</v>
      </c>
      <c r="C197" s="292">
        <f>'تقرير المصروفات حسب الشهر'!E84</f>
        <v>0</v>
      </c>
      <c r="D197" s="292" t="e">
        <f>#REF!</f>
        <v>#REF!</v>
      </c>
      <c r="E197" s="292" t="e">
        <f>#REF!</f>
        <v>#REF!</v>
      </c>
      <c r="F197" s="292" t="e">
        <f>#REF!</f>
        <v>#REF!</v>
      </c>
      <c r="G197" s="292" t="e">
        <f>#REF!</f>
        <v>#REF!</v>
      </c>
      <c r="H197" s="292" t="e">
        <f>#REF!</f>
        <v>#REF!</v>
      </c>
      <c r="I197" s="292">
        <f>'تقرير المصروفات حسب الشهر'!E837</f>
        <v>0</v>
      </c>
      <c r="J197" s="292">
        <f>'تقرير المصروفات حسب الشهر'!E964</f>
        <v>0</v>
      </c>
      <c r="K197" s="292">
        <f>'تقرير المصروفات حسب الشهر'!E1091</f>
        <v>0</v>
      </c>
      <c r="L197" s="292">
        <f>IFERROR(VLOOKUP(B197,'تقرير المصروفات حسب الشهر'!$C$1143:$AD$1254,3,FALSE),0)</f>
        <v>0</v>
      </c>
      <c r="M197" s="292">
        <f>IFERROR(VLOOKUP(B197,'تقرير المصروفات حسب الشهر'!$C$1270:$AD$1381,3,FALSE),0)</f>
        <v>0</v>
      </c>
      <c r="N197" s="292" t="e">
        <f>#REF!</f>
        <v>#REF!</v>
      </c>
      <c r="O197" s="296" t="e">
        <f t="shared" si="4"/>
        <v>#REF!</v>
      </c>
    </row>
    <row r="198" spans="2:15" ht="17.399999999999999">
      <c r="B198" s="291" t="s">
        <v>99</v>
      </c>
      <c r="C198" s="292">
        <f>'تقرير المصروفات حسب الشهر'!E85</f>
        <v>0</v>
      </c>
      <c r="D198" s="292" t="e">
        <f>#REF!</f>
        <v>#REF!</v>
      </c>
      <c r="E198" s="292" t="e">
        <f>#REF!</f>
        <v>#REF!</v>
      </c>
      <c r="F198" s="292" t="e">
        <f>#REF!</f>
        <v>#REF!</v>
      </c>
      <c r="G198" s="292" t="e">
        <f>#REF!</f>
        <v>#REF!</v>
      </c>
      <c r="H198" s="292" t="e">
        <f>#REF!</f>
        <v>#REF!</v>
      </c>
      <c r="I198" s="292">
        <f>'تقرير المصروفات حسب الشهر'!E838</f>
        <v>103.08</v>
      </c>
      <c r="J198" s="292">
        <f>'تقرير المصروفات حسب الشهر'!E965</f>
        <v>103.08</v>
      </c>
      <c r="K198" s="292">
        <f>'تقرير المصروفات حسب الشهر'!E1092</f>
        <v>103.08</v>
      </c>
      <c r="L198" s="292">
        <f>IFERROR(VLOOKUP(B198,'تقرير المصروفات حسب الشهر'!$C$1143:$AD$1254,3,FALSE),0)</f>
        <v>0</v>
      </c>
      <c r="M198" s="292">
        <f>IFERROR(VLOOKUP(B198,'تقرير المصروفات حسب الشهر'!$C$1270:$AD$1381,3,FALSE),0)</f>
        <v>0</v>
      </c>
      <c r="N198" s="292" t="e">
        <f>#REF!</f>
        <v>#REF!</v>
      </c>
      <c r="O198" s="296" t="e">
        <f t="shared" si="4"/>
        <v>#REF!</v>
      </c>
    </row>
    <row r="199" spans="2:15" ht="17.399999999999999">
      <c r="B199" s="291" t="s">
        <v>100</v>
      </c>
      <c r="C199" s="292">
        <f>'تقرير المصروفات حسب الشهر'!E86</f>
        <v>103.08</v>
      </c>
      <c r="D199" s="292" t="e">
        <f>#REF!</f>
        <v>#REF!</v>
      </c>
      <c r="E199" s="292" t="e">
        <f>#REF!</f>
        <v>#REF!</v>
      </c>
      <c r="F199" s="292" t="e">
        <f>#REF!</f>
        <v>#REF!</v>
      </c>
      <c r="G199" s="292" t="e">
        <f>#REF!</f>
        <v>#REF!</v>
      </c>
      <c r="H199" s="292" t="e">
        <f>#REF!</f>
        <v>#REF!</v>
      </c>
      <c r="I199" s="292">
        <f>'تقرير المصروفات حسب الشهر'!E839</f>
        <v>1065.6600000000001</v>
      </c>
      <c r="J199" s="292">
        <f>'تقرير المصروفات حسب الشهر'!E966</f>
        <v>1065.6600000000001</v>
      </c>
      <c r="K199" s="292">
        <f>'تقرير المصروفات حسب الشهر'!E1093</f>
        <v>1065.6600000000001</v>
      </c>
      <c r="L199" s="292">
        <f>IFERROR(VLOOKUP(B199,'تقرير المصروفات حسب الشهر'!$C$1143:$AD$1254,3,FALSE),0)</f>
        <v>103.08</v>
      </c>
      <c r="M199" s="292">
        <f>IFERROR(VLOOKUP(B199,'تقرير المصروفات حسب الشهر'!$C$1270:$AD$1381,3,FALSE),0)</f>
        <v>103.08</v>
      </c>
      <c r="N199" s="292" t="e">
        <f>#REF!</f>
        <v>#REF!</v>
      </c>
      <c r="O199" s="296" t="e">
        <f t="shared" si="4"/>
        <v>#REF!</v>
      </c>
    </row>
    <row r="200" spans="2:15" ht="17.399999999999999">
      <c r="B200" s="291" t="s">
        <v>101</v>
      </c>
      <c r="C200" s="292">
        <f>'تقرير المصروفات حسب الشهر'!E87</f>
        <v>1065.6600000000001</v>
      </c>
      <c r="D200" s="292" t="e">
        <f>#REF!</f>
        <v>#REF!</v>
      </c>
      <c r="E200" s="292" t="e">
        <f>#REF!</f>
        <v>#REF!</v>
      </c>
      <c r="F200" s="292" t="e">
        <f>#REF!</f>
        <v>#REF!</v>
      </c>
      <c r="G200" s="292" t="e">
        <f>#REF!</f>
        <v>#REF!</v>
      </c>
      <c r="H200" s="292" t="e">
        <f>#REF!</f>
        <v>#REF!</v>
      </c>
      <c r="I200" s="292">
        <f>'تقرير المصروفات حسب الشهر'!E840</f>
        <v>759.2</v>
      </c>
      <c r="J200" s="292">
        <f>'تقرير المصروفات حسب الشهر'!E967</f>
        <v>759.2</v>
      </c>
      <c r="K200" s="292">
        <f>'تقرير المصروفات حسب الشهر'!E1094</f>
        <v>779.2</v>
      </c>
      <c r="L200" s="292">
        <f>IFERROR(VLOOKUP(B200,'تقرير المصروفات حسب الشهر'!$C$1143:$AD$1254,3,FALSE),0)</f>
        <v>1065.6600000000001</v>
      </c>
      <c r="M200" s="292">
        <f>IFERROR(VLOOKUP(B200,'تقرير المصروفات حسب الشهر'!$C$1270:$AD$1381,3,FALSE),0)</f>
        <v>1065.6600000000001</v>
      </c>
      <c r="N200" s="292" t="e">
        <f>#REF!</f>
        <v>#REF!</v>
      </c>
      <c r="O200" s="296" t="e">
        <f t="shared" si="4"/>
        <v>#REF!</v>
      </c>
    </row>
    <row r="201" spans="2:15" ht="17.399999999999999">
      <c r="B201" s="291" t="s">
        <v>102</v>
      </c>
      <c r="C201" s="292">
        <f>'تقرير المصروفات حسب الشهر'!E88</f>
        <v>851.66</v>
      </c>
      <c r="D201" s="292" t="e">
        <f>#REF!</f>
        <v>#REF!</v>
      </c>
      <c r="E201" s="292" t="e">
        <f>#REF!</f>
        <v>#REF!</v>
      </c>
      <c r="F201" s="292" t="e">
        <f>#REF!</f>
        <v>#REF!</v>
      </c>
      <c r="G201" s="292" t="e">
        <f>#REF!</f>
        <v>#REF!</v>
      </c>
      <c r="H201" s="292" t="e">
        <f>#REF!</f>
        <v>#REF!</v>
      </c>
      <c r="I201" s="292">
        <f>'تقرير المصروفات حسب الشهر'!E841</f>
        <v>98.57</v>
      </c>
      <c r="J201" s="292">
        <f>'تقرير المصروفات حسب الشهر'!E968</f>
        <v>83.3</v>
      </c>
      <c r="K201" s="292">
        <f>'تقرير المصروفات حسب الشهر'!E1095</f>
        <v>45.13</v>
      </c>
      <c r="L201" s="292">
        <f>IFERROR(VLOOKUP(B201,'تقرير المصروفات حسب الشهر'!$C$1143:$AD$1254,3,FALSE),0)</f>
        <v>1185.6400000000001</v>
      </c>
      <c r="M201" s="292">
        <f>IFERROR(VLOOKUP(B201,'تقرير المصروفات حسب الشهر'!$C$1270:$AD$1381,3,FALSE),0)</f>
        <v>1185.49</v>
      </c>
      <c r="N201" s="292" t="e">
        <f>#REF!</f>
        <v>#REF!</v>
      </c>
      <c r="O201" s="296" t="e">
        <f t="shared" si="4"/>
        <v>#REF!</v>
      </c>
    </row>
    <row r="202" spans="2:15" ht="17.399999999999999">
      <c r="B202" s="291" t="s">
        <v>103</v>
      </c>
      <c r="C202" s="292">
        <f>'تقرير المصروفات حسب الشهر'!E89</f>
        <v>98.57</v>
      </c>
      <c r="D202" s="292" t="e">
        <f>#REF!</f>
        <v>#REF!</v>
      </c>
      <c r="E202" s="292" t="e">
        <f>#REF!</f>
        <v>#REF!</v>
      </c>
      <c r="F202" s="292" t="e">
        <f>#REF!</f>
        <v>#REF!</v>
      </c>
      <c r="G202" s="292" t="e">
        <f>#REF!</f>
        <v>#REF!</v>
      </c>
      <c r="H202" s="292" t="e">
        <f>#REF!</f>
        <v>#REF!</v>
      </c>
      <c r="I202" s="292">
        <f>'تقرير المصروفات حسب الشهر'!E842</f>
        <v>395</v>
      </c>
      <c r="J202" s="292">
        <f>'تقرير المصروفات حسب الشهر'!E969</f>
        <v>395</v>
      </c>
      <c r="K202" s="292">
        <f>'تقرير المصروفات حسب الشهر'!E1096</f>
        <v>394.98</v>
      </c>
      <c r="L202" s="292">
        <f>IFERROR(VLOOKUP(B202,'تقرير المصروفات حسب الشهر'!$C$1143:$AD$1254,3,FALSE),0)</f>
        <v>45.13</v>
      </c>
      <c r="M202" s="292">
        <f>IFERROR(VLOOKUP(B202,'تقرير المصروفات حسب الشهر'!$C$1270:$AD$1381,3,FALSE),0)</f>
        <v>45.07</v>
      </c>
      <c r="N202" s="292" t="e">
        <f>#REF!</f>
        <v>#REF!</v>
      </c>
      <c r="O202" s="296" t="e">
        <f t="shared" si="4"/>
        <v>#REF!</v>
      </c>
    </row>
    <row r="203" spans="2:15" ht="17.399999999999999">
      <c r="B203" s="291" t="s">
        <v>104</v>
      </c>
      <c r="C203" s="292">
        <f>'تقرير المصروفات حسب الشهر'!E90</f>
        <v>426.97</v>
      </c>
      <c r="D203" s="292" t="e">
        <f>#REF!</f>
        <v>#REF!</v>
      </c>
      <c r="E203" s="292" t="e">
        <f>#REF!</f>
        <v>#REF!</v>
      </c>
      <c r="F203" s="292" t="e">
        <f>#REF!</f>
        <v>#REF!</v>
      </c>
      <c r="G203" s="292" t="e">
        <f>#REF!</f>
        <v>#REF!</v>
      </c>
      <c r="H203" s="292" t="e">
        <f>#REF!</f>
        <v>#REF!</v>
      </c>
      <c r="I203" s="292">
        <f>'تقرير المصروفات حسب الشهر'!E843</f>
        <v>9026.67</v>
      </c>
      <c r="J203" s="292">
        <f>'تقرير المصروفات حسب الشهر'!E970</f>
        <v>9106.27</v>
      </c>
      <c r="K203" s="292">
        <f>'تقرير المصروفات حسب الشهر'!E1097</f>
        <v>9106.27</v>
      </c>
      <c r="L203" s="292">
        <f>IFERROR(VLOOKUP(B203,'تقرير المصروفات حسب الشهر'!$C$1143:$AD$1254,3,FALSE),0)</f>
        <v>683.34</v>
      </c>
      <c r="M203" s="292">
        <f>IFERROR(VLOOKUP(B203,'تقرير المصروفات حسب الشهر'!$C$1270:$AD$1381,3,FALSE),0)</f>
        <v>683.11</v>
      </c>
      <c r="N203" s="292" t="e">
        <f>#REF!</f>
        <v>#REF!</v>
      </c>
      <c r="O203" s="296" t="e">
        <f t="shared" si="4"/>
        <v>#REF!</v>
      </c>
    </row>
    <row r="204" spans="2:15" ht="17.399999999999999">
      <c r="B204" s="291" t="s">
        <v>105</v>
      </c>
      <c r="C204" s="292">
        <f>'تقرير المصروفات حسب الشهر'!E91</f>
        <v>8907.91</v>
      </c>
      <c r="D204" s="292" t="e">
        <f>#REF!</f>
        <v>#REF!</v>
      </c>
      <c r="E204" s="292" t="e">
        <f>#REF!</f>
        <v>#REF!</v>
      </c>
      <c r="F204" s="292" t="e">
        <f>#REF!</f>
        <v>#REF!</v>
      </c>
      <c r="G204" s="292" t="e">
        <f>#REF!</f>
        <v>#REF!</v>
      </c>
      <c r="H204" s="292" t="e">
        <f>#REF!</f>
        <v>#REF!</v>
      </c>
      <c r="I204" s="292">
        <f>'تقرير المصروفات حسب الشهر'!E844</f>
        <v>0</v>
      </c>
      <c r="J204" s="292">
        <f>'تقرير المصروفات حسب الشهر'!E971</f>
        <v>0</v>
      </c>
      <c r="K204" s="292">
        <f>'تقرير المصروفات حسب الشهر'!E1098</f>
        <v>0</v>
      </c>
      <c r="L204" s="292">
        <f>IFERROR(VLOOKUP(B204,'تقرير المصروفات حسب الشهر'!$C$1143:$AD$1254,3,FALSE),0)</f>
        <v>9106.27</v>
      </c>
      <c r="M204" s="292">
        <f>IFERROR(VLOOKUP(B204,'تقرير المصروفات حسب الشهر'!$C$1270:$AD$1381,3,FALSE),0)</f>
        <v>9106.11</v>
      </c>
      <c r="N204" s="292" t="e">
        <f>#REF!</f>
        <v>#REF!</v>
      </c>
      <c r="O204" s="296" t="e">
        <f t="shared" si="4"/>
        <v>#REF!</v>
      </c>
    </row>
    <row r="205" spans="2:15" ht="17.399999999999999">
      <c r="B205" s="291" t="s">
        <v>106</v>
      </c>
      <c r="C205" s="292">
        <f>'تقرير المصروفات حسب الشهر'!E92</f>
        <v>0</v>
      </c>
      <c r="D205" s="292" t="e">
        <f>#REF!</f>
        <v>#REF!</v>
      </c>
      <c r="E205" s="292" t="e">
        <f>#REF!</f>
        <v>#REF!</v>
      </c>
      <c r="F205" s="292" t="e">
        <f>#REF!</f>
        <v>#REF!</v>
      </c>
      <c r="G205" s="292" t="e">
        <f>#REF!</f>
        <v>#REF!</v>
      </c>
      <c r="H205" s="292" t="e">
        <f>#REF!</f>
        <v>#REF!</v>
      </c>
      <c r="I205" s="292">
        <f>'تقرير المصروفات حسب الشهر'!E845</f>
        <v>0</v>
      </c>
      <c r="J205" s="292">
        <f>'تقرير المصروفات حسب الشهر'!E972</f>
        <v>0</v>
      </c>
      <c r="K205" s="292">
        <f>'تقرير المصروفات حسب الشهر'!E1099</f>
        <v>0</v>
      </c>
      <c r="L205" s="292">
        <f>IFERROR(VLOOKUP(B205,'تقرير المصروفات حسب الشهر'!$C$1143:$AD$1254,3,FALSE),0)</f>
        <v>0</v>
      </c>
      <c r="M205" s="292">
        <f>IFERROR(VLOOKUP(B205,'تقرير المصروفات حسب الشهر'!$C$1270:$AD$1381,3,FALSE),0)</f>
        <v>0</v>
      </c>
      <c r="N205" s="292" t="e">
        <f>#REF!</f>
        <v>#REF!</v>
      </c>
      <c r="O205" s="296" t="e">
        <f t="shared" si="4"/>
        <v>#REF!</v>
      </c>
    </row>
    <row r="206" spans="2:15" ht="17.399999999999999">
      <c r="B206" s="291" t="s">
        <v>107</v>
      </c>
      <c r="C206" s="292">
        <f>'تقرير المصروفات حسب الشهر'!E93</f>
        <v>0</v>
      </c>
      <c r="D206" s="292" t="e">
        <f>#REF!</f>
        <v>#REF!</v>
      </c>
      <c r="E206" s="292" t="e">
        <f>#REF!</f>
        <v>#REF!</v>
      </c>
      <c r="F206" s="292" t="e">
        <f>#REF!</f>
        <v>#REF!</v>
      </c>
      <c r="G206" s="292" t="e">
        <f>#REF!</f>
        <v>#REF!</v>
      </c>
      <c r="H206" s="292" t="e">
        <f>#REF!</f>
        <v>#REF!</v>
      </c>
      <c r="I206" s="292">
        <f>'تقرير المصروفات حسب الشهر'!E846</f>
        <v>21467.759999999998</v>
      </c>
      <c r="J206" s="292">
        <f>'تقرير المصروفات حسب الشهر'!E973</f>
        <v>19234.48</v>
      </c>
      <c r="K206" s="292">
        <f>'تقرير المصروفات حسب الشهر'!E1100</f>
        <v>21484.86</v>
      </c>
      <c r="L206" s="292">
        <f>IFERROR(VLOOKUP(B206,'تقرير المصروفات حسب الشهر'!$C$1143:$AD$1254,3,FALSE),0)</f>
        <v>0</v>
      </c>
      <c r="M206" s="292">
        <f>IFERROR(VLOOKUP(B206,'تقرير المصروفات حسب الشهر'!$C$1270:$AD$1381,3,FALSE),0)</f>
        <v>0</v>
      </c>
      <c r="N206" s="292" t="e">
        <f>#REF!</f>
        <v>#REF!</v>
      </c>
      <c r="O206" s="296" t="e">
        <f t="shared" si="4"/>
        <v>#REF!</v>
      </c>
    </row>
    <row r="207" spans="2:15" ht="17.399999999999999">
      <c r="B207" s="291" t="s">
        <v>108</v>
      </c>
      <c r="C207" s="292">
        <f>'تقرير المصروفات حسب الشهر'!E94</f>
        <v>19130.5</v>
      </c>
      <c r="D207" s="292" t="e">
        <f>#REF!</f>
        <v>#REF!</v>
      </c>
      <c r="E207" s="292" t="e">
        <f>#REF!</f>
        <v>#REF!</v>
      </c>
      <c r="F207" s="292" t="e">
        <f>#REF!</f>
        <v>#REF!</v>
      </c>
      <c r="G207" s="292" t="e">
        <f>#REF!</f>
        <v>#REF!</v>
      </c>
      <c r="H207" s="292" t="e">
        <f>#REF!</f>
        <v>#REF!</v>
      </c>
      <c r="I207" s="292">
        <f>'تقرير المصروفات حسب الشهر'!E847</f>
        <v>0</v>
      </c>
      <c r="J207" s="292">
        <f>'تقرير المصروفات حسب الشهر'!E974</f>
        <v>0</v>
      </c>
      <c r="K207" s="292">
        <f>'تقرير المصروفات حسب الشهر'!E1101</f>
        <v>0</v>
      </c>
      <c r="L207" s="292">
        <f>IFERROR(VLOOKUP(B207,'تقرير المصروفات حسب الشهر'!$C$1143:$AD$1254,3,FALSE),0)</f>
        <v>23348.05</v>
      </c>
      <c r="M207" s="292">
        <f>IFERROR(VLOOKUP(B207,'تقرير المصروفات حسب الشهر'!$C$1270:$AD$1381,3,FALSE),0)</f>
        <v>19477.03</v>
      </c>
      <c r="N207" s="292" t="e">
        <f>#REF!</f>
        <v>#REF!</v>
      </c>
      <c r="O207" s="296" t="e">
        <f t="shared" si="4"/>
        <v>#REF!</v>
      </c>
    </row>
    <row r="208" spans="2:15" ht="17.399999999999999">
      <c r="B208" s="291" t="s">
        <v>109</v>
      </c>
      <c r="C208" s="292">
        <f>'تقرير المصروفات حسب الشهر'!E95</f>
        <v>0</v>
      </c>
      <c r="D208" s="292" t="e">
        <f>#REF!</f>
        <v>#REF!</v>
      </c>
      <c r="E208" s="292" t="e">
        <f>#REF!</f>
        <v>#REF!</v>
      </c>
      <c r="F208" s="292" t="e">
        <f>#REF!</f>
        <v>#REF!</v>
      </c>
      <c r="G208" s="292" t="e">
        <f>#REF!</f>
        <v>#REF!</v>
      </c>
      <c r="H208" s="292" t="e">
        <f>#REF!</f>
        <v>#REF!</v>
      </c>
      <c r="I208" s="292">
        <f>'تقرير المصروفات حسب الشهر'!E848</f>
        <v>0</v>
      </c>
      <c r="J208" s="292">
        <f>'تقرير المصروفات حسب الشهر'!E975</f>
        <v>0</v>
      </c>
      <c r="K208" s="292">
        <f>'تقرير المصروفات حسب الشهر'!E1102</f>
        <v>0</v>
      </c>
      <c r="L208" s="292">
        <f>IFERROR(VLOOKUP(B208,'تقرير المصروفات حسب الشهر'!$C$1143:$AD$1254,3,FALSE),0)</f>
        <v>0</v>
      </c>
      <c r="M208" s="292">
        <f>IFERROR(VLOOKUP(B208,'تقرير المصروفات حسب الشهر'!$C$1270:$AD$1381,3,FALSE),0)</f>
        <v>0</v>
      </c>
      <c r="N208" s="292" t="e">
        <f>#REF!</f>
        <v>#REF!</v>
      </c>
      <c r="O208" s="296" t="e">
        <f t="shared" si="4"/>
        <v>#REF!</v>
      </c>
    </row>
    <row r="209" spans="2:15" ht="17.399999999999999">
      <c r="B209" s="291" t="s">
        <v>110</v>
      </c>
      <c r="C209" s="292">
        <f>'تقرير المصروفات حسب الشهر'!E96</f>
        <v>0</v>
      </c>
      <c r="D209" s="292" t="e">
        <f>#REF!</f>
        <v>#REF!</v>
      </c>
      <c r="E209" s="292" t="e">
        <f>#REF!</f>
        <v>#REF!</v>
      </c>
      <c r="F209" s="292" t="e">
        <f>#REF!</f>
        <v>#REF!</v>
      </c>
      <c r="G209" s="292" t="e">
        <f>#REF!</f>
        <v>#REF!</v>
      </c>
      <c r="H209" s="292" t="e">
        <f>#REF!</f>
        <v>#REF!</v>
      </c>
      <c r="I209" s="292">
        <f>'تقرير المصروفات حسب الشهر'!E849</f>
        <v>0</v>
      </c>
      <c r="J209" s="292">
        <f>'تقرير المصروفات حسب الشهر'!E976</f>
        <v>0</v>
      </c>
      <c r="K209" s="292">
        <f>'تقرير المصروفات حسب الشهر'!E1103</f>
        <v>0</v>
      </c>
      <c r="L209" s="292">
        <f>IFERROR(VLOOKUP(B209,'تقرير المصروفات حسب الشهر'!$C$1143:$AD$1254,3,FALSE),0)</f>
        <v>0</v>
      </c>
      <c r="M209" s="292">
        <f>IFERROR(VLOOKUP(B209,'تقرير المصروفات حسب الشهر'!$C$1270:$AD$1381,3,FALSE),0)</f>
        <v>0</v>
      </c>
      <c r="N209" s="292" t="e">
        <f>#REF!</f>
        <v>#REF!</v>
      </c>
      <c r="O209" s="296" t="e">
        <f t="shared" si="4"/>
        <v>#REF!</v>
      </c>
    </row>
    <row r="210" spans="2:15" ht="17.399999999999999">
      <c r="B210" s="291" t="s">
        <v>112</v>
      </c>
      <c r="C210" s="292">
        <f>'تقرير المصروفات حسب الشهر'!E97</f>
        <v>0</v>
      </c>
      <c r="D210" s="292" t="e">
        <f>#REF!</f>
        <v>#REF!</v>
      </c>
      <c r="E210" s="292" t="e">
        <f>#REF!</f>
        <v>#REF!</v>
      </c>
      <c r="F210" s="292" t="e">
        <f>#REF!</f>
        <v>#REF!</v>
      </c>
      <c r="G210" s="292" t="e">
        <f>#REF!</f>
        <v>#REF!</v>
      </c>
      <c r="H210" s="292" t="e">
        <f>#REF!</f>
        <v>#REF!</v>
      </c>
      <c r="I210" s="292">
        <f>'تقرير المصروفات حسب الشهر'!E850</f>
        <v>41741.129999999997</v>
      </c>
      <c r="J210" s="292">
        <f>'تقرير المصروفات حسب الشهر'!E977</f>
        <v>0</v>
      </c>
      <c r="K210" s="292">
        <f>'تقرير المصروفات حسب الشهر'!E1104</f>
        <v>0</v>
      </c>
      <c r="L210" s="292">
        <f>IFERROR(VLOOKUP(B210,'تقرير المصروفات حسب الشهر'!$C$1143:$AD$1254,3,FALSE),0)</f>
        <v>0</v>
      </c>
      <c r="M210" s="292">
        <f>IFERROR(VLOOKUP(B210,'تقرير المصروفات حسب الشهر'!$C$1270:$AD$1381,3,FALSE),0)</f>
        <v>0</v>
      </c>
      <c r="N210" s="292" t="e">
        <f>#REF!</f>
        <v>#REF!</v>
      </c>
      <c r="O210" s="296" t="e">
        <f t="shared" si="4"/>
        <v>#REF!</v>
      </c>
    </row>
    <row r="211" spans="2:15" ht="17.399999999999999">
      <c r="B211" s="291" t="s">
        <v>113</v>
      </c>
      <c r="C211" s="292">
        <f>'تقرير المصروفات حسب الشهر'!E98</f>
        <v>15.82</v>
      </c>
      <c r="D211" s="292" t="e">
        <f>#REF!</f>
        <v>#REF!</v>
      </c>
      <c r="E211" s="292" t="e">
        <f>#REF!</f>
        <v>#REF!</v>
      </c>
      <c r="F211" s="292" t="e">
        <f>#REF!</f>
        <v>#REF!</v>
      </c>
      <c r="G211" s="292" t="e">
        <f>#REF!</f>
        <v>#REF!</v>
      </c>
      <c r="H211" s="292" t="e">
        <f>#REF!</f>
        <v>#REF!</v>
      </c>
      <c r="I211" s="292">
        <f>'تقرير المصروفات حسب الشهر'!E851</f>
        <v>0</v>
      </c>
      <c r="J211" s="292">
        <f>'تقرير المصروفات حسب الشهر'!E978</f>
        <v>0</v>
      </c>
      <c r="K211" s="292">
        <f>'تقرير المصروفات حسب الشهر'!E1105</f>
        <v>0</v>
      </c>
      <c r="L211" s="292">
        <f>IFERROR(VLOOKUP(B211,'تقرير المصروفات حسب الشهر'!$C$1143:$AD$1254,3,FALSE),0)</f>
        <v>0</v>
      </c>
      <c r="M211" s="292">
        <f>IFERROR(VLOOKUP(B211,'تقرير المصروفات حسب الشهر'!$C$1270:$AD$1381,3,FALSE),0)</f>
        <v>0</v>
      </c>
      <c r="N211" s="292" t="e">
        <f>#REF!</f>
        <v>#REF!</v>
      </c>
      <c r="O211" s="296" t="e">
        <f t="shared" si="4"/>
        <v>#REF!</v>
      </c>
    </row>
    <row r="212" spans="2:15" ht="17.399999999999999">
      <c r="B212" s="291" t="s">
        <v>137</v>
      </c>
      <c r="C212" s="292">
        <f>'تقرير المصروفات حسب الشهر'!E99</f>
        <v>0</v>
      </c>
      <c r="D212" s="292" t="e">
        <f>#REF!</f>
        <v>#REF!</v>
      </c>
      <c r="E212" s="292" t="e">
        <f>#REF!</f>
        <v>#REF!</v>
      </c>
      <c r="F212" s="292" t="e">
        <f>#REF!</f>
        <v>#REF!</v>
      </c>
      <c r="G212" s="292" t="e">
        <f>#REF!</f>
        <v>#REF!</v>
      </c>
      <c r="H212" s="292" t="e">
        <f>#REF!</f>
        <v>#REF!</v>
      </c>
      <c r="I212" s="292">
        <f>'تقرير المصروفات حسب الشهر'!E852</f>
        <v>0</v>
      </c>
      <c r="J212" s="292">
        <f>'تقرير المصروفات حسب الشهر'!E979</f>
        <v>0</v>
      </c>
      <c r="K212" s="292">
        <f>'تقرير المصروفات حسب الشهر'!E1106</f>
        <v>0</v>
      </c>
      <c r="L212" s="292">
        <f>IFERROR(VLOOKUP(B212,'تقرير المصروفات حسب الشهر'!$C$1143:$AD$1254,3,FALSE),0)</f>
        <v>0</v>
      </c>
      <c r="M212" s="292">
        <f>IFERROR(VLOOKUP(B212,'تقرير المصروفات حسب الشهر'!$C$1270:$AD$1381,3,FALSE),0)</f>
        <v>0</v>
      </c>
      <c r="N212" s="292" t="e">
        <f>#REF!</f>
        <v>#REF!</v>
      </c>
      <c r="O212" s="296" t="e">
        <f t="shared" si="4"/>
        <v>#REF!</v>
      </c>
    </row>
    <row r="213" spans="2:15" ht="17.399999999999999">
      <c r="B213" s="291" t="s">
        <v>140</v>
      </c>
      <c r="C213" s="292">
        <f>'تقرير المصروفات حسب الشهر'!E100</f>
        <v>1799</v>
      </c>
      <c r="D213" s="292" t="e">
        <f>#REF!</f>
        <v>#REF!</v>
      </c>
      <c r="E213" s="292" t="e">
        <f>#REF!</f>
        <v>#REF!</v>
      </c>
      <c r="F213" s="292" t="e">
        <f>#REF!</f>
        <v>#REF!</v>
      </c>
      <c r="G213" s="292" t="e">
        <f>#REF!</f>
        <v>#REF!</v>
      </c>
      <c r="H213" s="292" t="e">
        <f>#REF!</f>
        <v>#REF!</v>
      </c>
      <c r="I213" s="292">
        <f>'تقرير المصروفات حسب الشهر'!E853</f>
        <v>0</v>
      </c>
      <c r="J213" s="292">
        <f>'تقرير المصروفات حسب الشهر'!E980</f>
        <v>0</v>
      </c>
      <c r="K213" s="292">
        <f>'تقرير المصروفات حسب الشهر'!E1107</f>
        <v>0</v>
      </c>
      <c r="L213" s="292">
        <f>IFERROR(VLOOKUP(B213,'تقرير المصروفات حسب الشهر'!$C$1143:$AD$1254,3,FALSE),0)</f>
        <v>0</v>
      </c>
      <c r="M213" s="292">
        <f>IFERROR(VLOOKUP(B213,'تقرير المصروفات حسب الشهر'!$C$1270:$AD$1381,3,FALSE),0)</f>
        <v>0</v>
      </c>
      <c r="N213" s="292" t="e">
        <f>#REF!</f>
        <v>#REF!</v>
      </c>
      <c r="O213" s="296" t="e">
        <f t="shared" si="4"/>
        <v>#REF!</v>
      </c>
    </row>
    <row r="214" spans="2:15" ht="17.399999999999999">
      <c r="B214" s="291" t="s">
        <v>141</v>
      </c>
      <c r="C214" s="292">
        <f>'تقرير المصروفات حسب الشهر'!E101</f>
        <v>0</v>
      </c>
      <c r="D214" s="292" t="e">
        <f>#REF!</f>
        <v>#REF!</v>
      </c>
      <c r="E214" s="292" t="e">
        <f>#REF!</f>
        <v>#REF!</v>
      </c>
      <c r="F214" s="292" t="e">
        <f>#REF!</f>
        <v>#REF!</v>
      </c>
      <c r="G214" s="292" t="e">
        <f>#REF!</f>
        <v>#REF!</v>
      </c>
      <c r="H214" s="292" t="e">
        <f>#REF!</f>
        <v>#REF!</v>
      </c>
      <c r="I214" s="292">
        <f>'تقرير المصروفات حسب الشهر'!E854</f>
        <v>0</v>
      </c>
      <c r="J214" s="292">
        <f>'تقرير المصروفات حسب الشهر'!E981</f>
        <v>500</v>
      </c>
      <c r="K214" s="292">
        <f>'تقرير المصروفات حسب الشهر'!E1108</f>
        <v>1800</v>
      </c>
      <c r="L214" s="292">
        <f>IFERROR(VLOOKUP(B214,'تقرير المصروفات حسب الشهر'!$C$1143:$AD$1254,3,FALSE),0)</f>
        <v>0</v>
      </c>
      <c r="M214" s="292">
        <f>IFERROR(VLOOKUP(B214,'تقرير المصروفات حسب الشهر'!$C$1270:$AD$1381,3,FALSE),0)</f>
        <v>0</v>
      </c>
      <c r="N214" s="292" t="e">
        <f>#REF!</f>
        <v>#REF!</v>
      </c>
      <c r="O214" s="296" t="e">
        <f t="shared" si="4"/>
        <v>#REF!</v>
      </c>
    </row>
    <row r="215" spans="2:15" ht="17.399999999999999">
      <c r="B215" s="291" t="s">
        <v>193</v>
      </c>
      <c r="C215" s="292">
        <f>'تقرير المصروفات حسب الشهر'!E102</f>
        <v>0</v>
      </c>
      <c r="D215" s="292" t="e">
        <f>#REF!</f>
        <v>#REF!</v>
      </c>
      <c r="E215" s="292" t="e">
        <f>#REF!</f>
        <v>#REF!</v>
      </c>
      <c r="F215" s="292" t="e">
        <f>#REF!</f>
        <v>#REF!</v>
      </c>
      <c r="G215" s="292" t="e">
        <f>#REF!</f>
        <v>#REF!</v>
      </c>
      <c r="H215" s="292" t="e">
        <f>#REF!</f>
        <v>#REF!</v>
      </c>
      <c r="I215" s="292">
        <f>'تقرير المصروفات حسب الشهر'!E855</f>
        <v>0</v>
      </c>
      <c r="J215" s="292">
        <f>'تقرير المصروفات حسب الشهر'!E982</f>
        <v>0</v>
      </c>
      <c r="K215" s="292">
        <f>'تقرير المصروفات حسب الشهر'!E1109</f>
        <v>0</v>
      </c>
      <c r="L215" s="292">
        <f>IFERROR(VLOOKUP(B215,'تقرير المصروفات حسب الشهر'!$C$1143:$AD$1254,3,FALSE),0)</f>
        <v>6360</v>
      </c>
      <c r="M215" s="292">
        <f>IFERROR(VLOOKUP(B215,'تقرير المصروفات حسب الشهر'!$C$1270:$AD$1381,3,FALSE),0)</f>
        <v>6160</v>
      </c>
      <c r="N215" s="292" t="e">
        <f>#REF!</f>
        <v>#REF!</v>
      </c>
      <c r="O215" s="296" t="e">
        <f t="shared" si="4"/>
        <v>#REF!</v>
      </c>
    </row>
    <row r="216" spans="2:15" ht="17.399999999999999">
      <c r="B216" s="291" t="s">
        <v>148</v>
      </c>
      <c r="C216" s="292">
        <f>'تقرير المصروفات حسب الشهر'!E103</f>
        <v>0</v>
      </c>
      <c r="D216" s="292" t="e">
        <f>#REF!</f>
        <v>#REF!</v>
      </c>
      <c r="E216" s="292" t="e">
        <f>#REF!</f>
        <v>#REF!</v>
      </c>
      <c r="F216" s="292" t="e">
        <f>#REF!</f>
        <v>#REF!</v>
      </c>
      <c r="G216" s="292" t="e">
        <f>#REF!</f>
        <v>#REF!</v>
      </c>
      <c r="H216" s="292" t="e">
        <f>#REF!</f>
        <v>#REF!</v>
      </c>
      <c r="I216" s="292">
        <f>'تقرير المصروفات حسب الشهر'!E856</f>
        <v>0</v>
      </c>
      <c r="J216" s="292">
        <f>'تقرير المصروفات حسب الشهر'!E983</f>
        <v>0</v>
      </c>
      <c r="K216" s="292">
        <f>'تقرير المصروفات حسب الشهر'!E1110</f>
        <v>0</v>
      </c>
      <c r="L216" s="292">
        <f>IFERROR(VLOOKUP(B216,'تقرير المصروفات حسب الشهر'!$C$1143:$AD$1254,3,FALSE),0)</f>
        <v>0</v>
      </c>
      <c r="M216" s="292">
        <f>IFERROR(VLOOKUP(B216,'تقرير المصروفات حسب الشهر'!$C$1270:$AD$1381,3,FALSE),0)</f>
        <v>0</v>
      </c>
      <c r="N216" s="292" t="e">
        <f>#REF!</f>
        <v>#REF!</v>
      </c>
      <c r="O216" s="296" t="e">
        <f t="shared" si="4"/>
        <v>#REF!</v>
      </c>
    </row>
    <row r="217" spans="2:15" ht="17.399999999999999">
      <c r="B217" s="291" t="s">
        <v>186</v>
      </c>
      <c r="C217" s="292">
        <f>'تقرير المصروفات حسب الشهر'!E104</f>
        <v>0</v>
      </c>
      <c r="D217" s="292" t="e">
        <f>#REF!</f>
        <v>#REF!</v>
      </c>
      <c r="E217" s="292" t="e">
        <f>#REF!</f>
        <v>#REF!</v>
      </c>
      <c r="F217" s="292" t="e">
        <f>#REF!</f>
        <v>#REF!</v>
      </c>
      <c r="G217" s="292" t="e">
        <f>#REF!</f>
        <v>#REF!</v>
      </c>
      <c r="H217" s="292" t="e">
        <f>#REF!</f>
        <v>#REF!</v>
      </c>
      <c r="I217" s="292">
        <f>'تقرير المصروفات حسب الشهر'!E857</f>
        <v>0</v>
      </c>
      <c r="J217" s="292">
        <f>'تقرير المصروفات حسب الشهر'!E984</f>
        <v>0</v>
      </c>
      <c r="K217" s="292">
        <f>'تقرير المصروفات حسب الشهر'!E1111</f>
        <v>0</v>
      </c>
      <c r="L217" s="292">
        <f>IFERROR(VLOOKUP(B217,'تقرير المصروفات حسب الشهر'!$C$1143:$AD$1254,3,FALSE),0)</f>
        <v>0</v>
      </c>
      <c r="M217" s="292">
        <f>IFERROR(VLOOKUP(B217,'تقرير المصروفات حسب الشهر'!$C$1270:$AD$1381,3,FALSE),0)</f>
        <v>0</v>
      </c>
      <c r="N217" s="292" t="e">
        <f>#REF!</f>
        <v>#REF!</v>
      </c>
      <c r="O217" s="296" t="e">
        <f t="shared" si="4"/>
        <v>#REF!</v>
      </c>
    </row>
    <row r="218" spans="2:15" ht="17.399999999999999">
      <c r="B218" s="291" t="s">
        <v>171</v>
      </c>
      <c r="C218" s="292">
        <f>'تقرير المصروفات حسب الشهر'!E105</f>
        <v>0</v>
      </c>
      <c r="D218" s="292" t="e">
        <f>#REF!</f>
        <v>#REF!</v>
      </c>
      <c r="E218" s="292" t="e">
        <f>#REF!</f>
        <v>#REF!</v>
      </c>
      <c r="F218" s="292" t="e">
        <f>#REF!</f>
        <v>#REF!</v>
      </c>
      <c r="G218" s="292" t="e">
        <f>#REF!</f>
        <v>#REF!</v>
      </c>
      <c r="H218" s="292" t="e">
        <f>#REF!</f>
        <v>#REF!</v>
      </c>
      <c r="I218" s="292">
        <f>'تقرير المصروفات حسب الشهر'!E858</f>
        <v>0</v>
      </c>
      <c r="J218" s="292">
        <f>'تقرير المصروفات حسب الشهر'!E985</f>
        <v>0</v>
      </c>
      <c r="K218" s="292">
        <f>'تقرير المصروفات حسب الشهر'!E1112</f>
        <v>0</v>
      </c>
      <c r="L218" s="292">
        <f>IFERROR(VLOOKUP(B218,'تقرير المصروفات حسب الشهر'!$C$1143:$AD$1254,3,FALSE),0)</f>
        <v>0</v>
      </c>
      <c r="M218" s="292">
        <f>IFERROR(VLOOKUP(B218,'تقرير المصروفات حسب الشهر'!$C$1270:$AD$1381,3,FALSE),0)</f>
        <v>0</v>
      </c>
      <c r="N218" s="292" t="e">
        <f>#REF!</f>
        <v>#REF!</v>
      </c>
      <c r="O218" s="296" t="e">
        <f t="shared" si="4"/>
        <v>#REF!</v>
      </c>
    </row>
    <row r="219" spans="2:15" ht="17.399999999999999">
      <c r="B219" s="291" t="s">
        <v>180</v>
      </c>
      <c r="C219" s="292">
        <f>'تقرير المصروفات حسب الشهر'!E106</f>
        <v>0</v>
      </c>
      <c r="D219" s="292" t="e">
        <f>#REF!</f>
        <v>#REF!</v>
      </c>
      <c r="E219" s="292" t="e">
        <f>#REF!</f>
        <v>#REF!</v>
      </c>
      <c r="F219" s="292" t="e">
        <f>#REF!</f>
        <v>#REF!</v>
      </c>
      <c r="G219" s="292" t="e">
        <f>#REF!</f>
        <v>#REF!</v>
      </c>
      <c r="H219" s="292" t="e">
        <f>#REF!</f>
        <v>#REF!</v>
      </c>
      <c r="I219" s="292">
        <f>'تقرير المصروفات حسب الشهر'!E859</f>
        <v>2970</v>
      </c>
      <c r="J219" s="292">
        <f>'تقرير المصروفات حسب الشهر'!E986</f>
        <v>1640</v>
      </c>
      <c r="K219" s="292">
        <f>'تقرير المصروفات حسب الشهر'!E1113</f>
        <v>0</v>
      </c>
      <c r="L219" s="292">
        <f>IFERROR(VLOOKUP(B219,'تقرير المصروفات حسب الشهر'!$C$1143:$AD$1254,3,FALSE),0)</f>
        <v>0</v>
      </c>
      <c r="M219" s="292">
        <f>IFERROR(VLOOKUP(B219,'تقرير المصروفات حسب الشهر'!$C$1270:$AD$1381,3,FALSE),0)</f>
        <v>0</v>
      </c>
      <c r="N219" s="292" t="e">
        <f>#REF!</f>
        <v>#REF!</v>
      </c>
      <c r="O219" s="296" t="e">
        <f t="shared" si="4"/>
        <v>#REF!</v>
      </c>
    </row>
    <row r="220" spans="2:15" ht="17.399999999999999">
      <c r="B220" s="291" t="s">
        <v>183</v>
      </c>
      <c r="C220" s="292">
        <f>'تقرير المصروفات حسب الشهر'!E107</f>
        <v>0</v>
      </c>
      <c r="D220" s="292" t="e">
        <f>#REF!</f>
        <v>#REF!</v>
      </c>
      <c r="E220" s="292" t="e">
        <f>#REF!</f>
        <v>#REF!</v>
      </c>
      <c r="F220" s="292" t="e">
        <f>#REF!</f>
        <v>#REF!</v>
      </c>
      <c r="G220" s="292" t="e">
        <f>#REF!</f>
        <v>#REF!</v>
      </c>
      <c r="H220" s="292" t="e">
        <f>#REF!</f>
        <v>#REF!</v>
      </c>
      <c r="I220" s="292">
        <f>'تقرير المصروفات حسب الشهر'!E860</f>
        <v>0</v>
      </c>
      <c r="J220" s="292">
        <f>'تقرير المصروفات حسب الشهر'!E987</f>
        <v>0</v>
      </c>
      <c r="K220" s="292">
        <f>'تقرير المصروفات حسب الشهر'!E1114</f>
        <v>0</v>
      </c>
      <c r="L220" s="292">
        <f>IFERROR(VLOOKUP(B220,'تقرير المصروفات حسب الشهر'!$C$1143:$AD$1254,3,FALSE),0)</f>
        <v>0</v>
      </c>
      <c r="M220" s="292">
        <f>IFERROR(VLOOKUP(B220,'تقرير المصروفات حسب الشهر'!$C$1270:$AD$1381,3,FALSE),0)</f>
        <v>0</v>
      </c>
      <c r="N220" s="292" t="e">
        <f>#REF!</f>
        <v>#REF!</v>
      </c>
      <c r="O220" s="296" t="e">
        <f t="shared" si="4"/>
        <v>#REF!</v>
      </c>
    </row>
    <row r="221" spans="2:15" ht="17.399999999999999">
      <c r="B221" s="291" t="s">
        <v>195</v>
      </c>
      <c r="C221" s="292">
        <f>'تقرير المصروفات حسب الشهر'!E108</f>
        <v>0</v>
      </c>
      <c r="D221" s="292" t="e">
        <f>#REF!</f>
        <v>#REF!</v>
      </c>
      <c r="E221" s="292" t="e">
        <f>#REF!</f>
        <v>#REF!</v>
      </c>
      <c r="F221" s="292" t="e">
        <f>#REF!</f>
        <v>#REF!</v>
      </c>
      <c r="G221" s="292" t="e">
        <f>#REF!</f>
        <v>#REF!</v>
      </c>
      <c r="H221" s="292" t="e">
        <f>#REF!</f>
        <v>#REF!</v>
      </c>
      <c r="I221" s="292">
        <f>'تقرير المصروفات حسب الشهر'!E861</f>
        <v>0</v>
      </c>
      <c r="J221" s="292">
        <f>'تقرير المصروفات حسب الشهر'!E988</f>
        <v>0</v>
      </c>
      <c r="K221" s="292">
        <f>'تقرير المصروفات حسب الشهر'!E1115</f>
        <v>0</v>
      </c>
      <c r="L221" s="292">
        <f>IFERROR(VLOOKUP(B221,'تقرير المصروفات حسب الشهر'!$C$1143:$AD$1254,3,FALSE),0)</f>
        <v>0</v>
      </c>
      <c r="M221" s="292">
        <f>IFERROR(VLOOKUP(B221,'تقرير المصروفات حسب الشهر'!$C$1270:$AD$1381,3,FALSE),0)</f>
        <v>0</v>
      </c>
      <c r="N221" s="292" t="e">
        <f>#REF!</f>
        <v>#REF!</v>
      </c>
      <c r="O221" s="296" t="e">
        <f t="shared" si="4"/>
        <v>#REF!</v>
      </c>
    </row>
    <row r="222" spans="2:15" ht="17.399999999999999">
      <c r="B222" s="291" t="s">
        <v>189</v>
      </c>
      <c r="C222" s="292">
        <f>'تقرير المصروفات حسب الشهر'!E109</f>
        <v>0</v>
      </c>
      <c r="D222" s="292" t="e">
        <f>#REF!</f>
        <v>#REF!</v>
      </c>
      <c r="E222" s="292" t="e">
        <f>#REF!</f>
        <v>#REF!</v>
      </c>
      <c r="F222" s="292" t="e">
        <f>#REF!</f>
        <v>#REF!</v>
      </c>
      <c r="G222" s="292" t="e">
        <f>#REF!</f>
        <v>#REF!</v>
      </c>
      <c r="H222" s="292" t="e">
        <f>#REF!</f>
        <v>#REF!</v>
      </c>
      <c r="I222" s="292">
        <f>'تقرير المصروفات حسب الشهر'!E862</f>
        <v>0</v>
      </c>
      <c r="J222" s="292">
        <f>'تقرير المصروفات حسب الشهر'!E989</f>
        <v>0</v>
      </c>
      <c r="K222" s="292">
        <f>'تقرير المصروفات حسب الشهر'!E1116</f>
        <v>0</v>
      </c>
      <c r="L222" s="292">
        <f>IFERROR(VLOOKUP(B222,'تقرير المصروفات حسب الشهر'!$C$1143:$AD$1254,3,FALSE),0)</f>
        <v>0</v>
      </c>
      <c r="M222" s="292">
        <f>IFERROR(VLOOKUP(B222,'تقرير المصروفات حسب الشهر'!$C$1270:$AD$1381,3,FALSE),0)</f>
        <v>0</v>
      </c>
      <c r="N222" s="292" t="e">
        <f>#REF!</f>
        <v>#REF!</v>
      </c>
      <c r="O222" s="296" t="e">
        <f t="shared" si="4"/>
        <v>#REF!</v>
      </c>
    </row>
    <row r="223" spans="2:15" ht="17.399999999999999">
      <c r="B223" s="291" t="s">
        <v>188</v>
      </c>
      <c r="C223" s="292">
        <f>'تقرير المصروفات حسب الشهر'!E110</f>
        <v>0</v>
      </c>
      <c r="D223" s="292" t="e">
        <f>#REF!</f>
        <v>#REF!</v>
      </c>
      <c r="E223" s="292" t="e">
        <f>#REF!</f>
        <v>#REF!</v>
      </c>
      <c r="F223" s="292" t="e">
        <f>#REF!</f>
        <v>#REF!</v>
      </c>
      <c r="G223" s="292" t="e">
        <f>#REF!</f>
        <v>#REF!</v>
      </c>
      <c r="H223" s="292" t="e">
        <f>#REF!</f>
        <v>#REF!</v>
      </c>
      <c r="I223" s="292">
        <f>'تقرير المصروفات حسب الشهر'!E863</f>
        <v>0</v>
      </c>
      <c r="J223" s="292">
        <f>'تقرير المصروفات حسب الشهر'!E990</f>
        <v>0</v>
      </c>
      <c r="K223" s="292">
        <f>'تقرير المصروفات حسب الشهر'!E1117</f>
        <v>0</v>
      </c>
      <c r="L223" s="292">
        <f>IFERROR(VLOOKUP(B223,'تقرير المصروفات حسب الشهر'!$C$1143:$AD$1254,3,FALSE),0)</f>
        <v>0</v>
      </c>
      <c r="M223" s="292">
        <f>IFERROR(VLOOKUP(B223,'تقرير المصروفات حسب الشهر'!$C$1270:$AD$1381,3,FALSE),0)</f>
        <v>0</v>
      </c>
      <c r="N223" s="292" t="e">
        <f>#REF!</f>
        <v>#REF!</v>
      </c>
      <c r="O223" s="296" t="e">
        <f t="shared" si="4"/>
        <v>#REF!</v>
      </c>
    </row>
    <row r="224" spans="2:15" ht="17.399999999999999">
      <c r="B224" s="291" t="s">
        <v>196</v>
      </c>
      <c r="C224" s="292">
        <f>'تقرير المصروفات حسب الشهر'!E111</f>
        <v>0</v>
      </c>
      <c r="D224" s="292" t="e">
        <f>#REF!</f>
        <v>#REF!</v>
      </c>
      <c r="E224" s="292" t="e">
        <f>#REF!</f>
        <v>#REF!</v>
      </c>
      <c r="F224" s="292" t="e">
        <f>#REF!</f>
        <v>#REF!</v>
      </c>
      <c r="G224" s="292" t="e">
        <f>#REF!</f>
        <v>#REF!</v>
      </c>
      <c r="H224" s="292" t="e">
        <f>#REF!</f>
        <v>#REF!</v>
      </c>
      <c r="I224" s="292">
        <f>'تقرير المصروفات حسب الشهر'!E864</f>
        <v>0</v>
      </c>
      <c r="J224" s="292">
        <f>'تقرير المصروفات حسب الشهر'!E991</f>
        <v>0</v>
      </c>
      <c r="K224" s="292">
        <f>'تقرير المصروفات حسب الشهر'!E1118</f>
        <v>0</v>
      </c>
      <c r="L224" s="292">
        <f>IFERROR(VLOOKUP(B224,'تقرير المصروفات حسب الشهر'!$C$1143:$AD$1254,3,FALSE),0)</f>
        <v>0</v>
      </c>
      <c r="M224" s="292">
        <f>IFERROR(VLOOKUP(B224,'تقرير المصروفات حسب الشهر'!$C$1270:$AD$1381,3,FALSE),0)</f>
        <v>0</v>
      </c>
      <c r="N224" s="292" t="e">
        <f>#REF!</f>
        <v>#REF!</v>
      </c>
      <c r="O224" s="296" t="e">
        <f t="shared" si="4"/>
        <v>#REF!</v>
      </c>
    </row>
    <row r="225" spans="2:15" ht="17.399999999999999">
      <c r="B225" s="291" t="s">
        <v>197</v>
      </c>
      <c r="C225" s="292">
        <f>'تقرير المصروفات حسب الشهر'!E112</f>
        <v>0</v>
      </c>
      <c r="D225" s="292" t="e">
        <f>#REF!</f>
        <v>#REF!</v>
      </c>
      <c r="E225" s="292" t="e">
        <f>#REF!</f>
        <v>#REF!</v>
      </c>
      <c r="F225" s="292" t="e">
        <f>#REF!</f>
        <v>#REF!</v>
      </c>
      <c r="G225" s="292" t="e">
        <f>#REF!</f>
        <v>#REF!</v>
      </c>
      <c r="H225" s="292" t="e">
        <f>#REF!</f>
        <v>#REF!</v>
      </c>
      <c r="I225" s="292">
        <f>'تقرير المصروفات حسب الشهر'!E865</f>
        <v>0</v>
      </c>
      <c r="J225" s="292">
        <f>'تقرير المصروفات حسب الشهر'!E992</f>
        <v>0</v>
      </c>
      <c r="K225" s="292">
        <f>'تقرير المصروفات حسب الشهر'!E1119</f>
        <v>0</v>
      </c>
      <c r="L225" s="292">
        <f>IFERROR(VLOOKUP(B225,'تقرير المصروفات حسب الشهر'!$C$1143:$AD$1254,3,FALSE),0)</f>
        <v>0</v>
      </c>
      <c r="M225" s="292">
        <f>IFERROR(VLOOKUP(B225,'تقرير المصروفات حسب الشهر'!$C$1270:$AD$1381,3,FALSE),0)</f>
        <v>0</v>
      </c>
      <c r="N225" s="292" t="e">
        <f>#REF!</f>
        <v>#REF!</v>
      </c>
      <c r="O225" s="296" t="e">
        <f t="shared" si="4"/>
        <v>#REF!</v>
      </c>
    </row>
    <row r="226" spans="2:15" ht="17.399999999999999">
      <c r="B226" s="291" t="s">
        <v>198</v>
      </c>
      <c r="C226" s="292">
        <f>'تقرير المصروفات حسب الشهر'!E113</f>
        <v>0</v>
      </c>
      <c r="D226" s="292" t="e">
        <f>#REF!</f>
        <v>#REF!</v>
      </c>
      <c r="E226" s="292" t="e">
        <f>#REF!</f>
        <v>#REF!</v>
      </c>
      <c r="F226" s="292" t="e">
        <f>#REF!</f>
        <v>#REF!</v>
      </c>
      <c r="G226" s="292" t="e">
        <f>#REF!</f>
        <v>#REF!</v>
      </c>
      <c r="H226" s="292" t="e">
        <f>#REF!</f>
        <v>#REF!</v>
      </c>
      <c r="I226" s="292">
        <f>'تقرير المصروفات حسب الشهر'!E866</f>
        <v>0</v>
      </c>
      <c r="J226" s="292">
        <f>'تقرير المصروفات حسب الشهر'!E993</f>
        <v>0</v>
      </c>
      <c r="K226" s="292">
        <f>'تقرير المصروفات حسب الشهر'!E1120</f>
        <v>0</v>
      </c>
      <c r="L226" s="292">
        <f>IFERROR(VLOOKUP(B226,'تقرير المصروفات حسب الشهر'!$C$1143:$AD$1254,3,FALSE),0)</f>
        <v>0</v>
      </c>
      <c r="M226" s="292">
        <f>IFERROR(VLOOKUP(B226,'تقرير المصروفات حسب الشهر'!$C$1270:$AD$1381,3,FALSE),0)</f>
        <v>0</v>
      </c>
      <c r="N226" s="292" t="e">
        <f>#REF!</f>
        <v>#REF!</v>
      </c>
      <c r="O226" s="296" t="e">
        <f t="shared" si="4"/>
        <v>#REF!</v>
      </c>
    </row>
    <row r="227" spans="2:15" ht="17.399999999999999">
      <c r="B227" s="291" t="s">
        <v>201</v>
      </c>
      <c r="C227" s="292">
        <f>'تقرير المصروفات حسب الشهر'!E114</f>
        <v>0</v>
      </c>
      <c r="D227" s="292" t="e">
        <f>#REF!</f>
        <v>#REF!</v>
      </c>
      <c r="E227" s="292" t="e">
        <f>#REF!</f>
        <v>#REF!</v>
      </c>
      <c r="F227" s="292" t="e">
        <f>#REF!</f>
        <v>#REF!</v>
      </c>
      <c r="G227" s="292" t="e">
        <f>#REF!</f>
        <v>#REF!</v>
      </c>
      <c r="H227" s="292" t="e">
        <f>#REF!</f>
        <v>#REF!</v>
      </c>
      <c r="I227" s="292">
        <f>'تقرير المصروفات حسب الشهر'!E867</f>
        <v>0</v>
      </c>
      <c r="J227" s="292">
        <f>'تقرير المصروفات حسب الشهر'!E994</f>
        <v>0</v>
      </c>
      <c r="K227" s="292">
        <f>'تقرير المصروفات حسب الشهر'!E1121</f>
        <v>0</v>
      </c>
      <c r="L227" s="292">
        <f>IFERROR(VLOOKUP(B227,'تقرير المصروفات حسب الشهر'!$C$1143:$AD$1254,3,FALSE),0)</f>
        <v>0</v>
      </c>
      <c r="M227" s="292">
        <f>IFERROR(VLOOKUP(B227,'تقرير المصروفات حسب الشهر'!$C$1270:$AD$1381,3,FALSE),0)</f>
        <v>0</v>
      </c>
      <c r="N227" s="292" t="e">
        <f>#REF!</f>
        <v>#REF!</v>
      </c>
      <c r="O227" s="296" t="e">
        <f t="shared" si="4"/>
        <v>#REF!</v>
      </c>
    </row>
    <row r="228" spans="2:15" ht="17.399999999999999">
      <c r="B228" s="291" t="s">
        <v>202</v>
      </c>
      <c r="C228" s="292">
        <f>'تقرير المصروفات حسب الشهر'!E115</f>
        <v>0</v>
      </c>
      <c r="D228" s="292" t="e">
        <f>#REF!</f>
        <v>#REF!</v>
      </c>
      <c r="E228" s="292" t="e">
        <f>#REF!</f>
        <v>#REF!</v>
      </c>
      <c r="F228" s="292" t="e">
        <f>#REF!</f>
        <v>#REF!</v>
      </c>
      <c r="G228" s="292" t="e">
        <f>#REF!</f>
        <v>#REF!</v>
      </c>
      <c r="H228" s="292" t="e">
        <f>#REF!</f>
        <v>#REF!</v>
      </c>
      <c r="I228" s="292">
        <f>'تقرير المصروفات حسب الشهر'!E868</f>
        <v>0</v>
      </c>
      <c r="J228" s="292">
        <f>'تقرير المصروفات حسب الشهر'!E995</f>
        <v>0</v>
      </c>
      <c r="K228" s="292">
        <f>'تقرير المصروفات حسب الشهر'!E1122</f>
        <v>0</v>
      </c>
      <c r="L228" s="292">
        <f>IFERROR(VLOOKUP(B228,'تقرير المصروفات حسب الشهر'!$C$1143:$AD$1254,3,FALSE),0)</f>
        <v>0</v>
      </c>
      <c r="M228" s="292">
        <f>IFERROR(VLOOKUP(B228,'تقرير المصروفات حسب الشهر'!$C$1270:$AD$1381,3,FALSE),0)</f>
        <v>0</v>
      </c>
      <c r="N228" s="292" t="e">
        <f>#REF!</f>
        <v>#REF!</v>
      </c>
      <c r="O228" s="296" t="e">
        <f t="shared" si="4"/>
        <v>#REF!</v>
      </c>
    </row>
    <row r="229" spans="2:15" ht="17.399999999999999">
      <c r="B229" s="291" t="s">
        <v>206</v>
      </c>
      <c r="C229" s="292">
        <f>'تقرير المصروفات حسب الشهر'!E116</f>
        <v>0</v>
      </c>
      <c r="D229" s="292" t="e">
        <f>#REF!</f>
        <v>#REF!</v>
      </c>
      <c r="E229" s="292" t="e">
        <f>#REF!</f>
        <v>#REF!</v>
      </c>
      <c r="F229" s="292" t="e">
        <f>#REF!</f>
        <v>#REF!</v>
      </c>
      <c r="G229" s="292" t="e">
        <f>#REF!</f>
        <v>#REF!</v>
      </c>
      <c r="H229" s="292" t="e">
        <f>#REF!</f>
        <v>#REF!</v>
      </c>
      <c r="I229" s="292">
        <f>'تقرير المصروفات حسب الشهر'!E869</f>
        <v>3881.25</v>
      </c>
      <c r="J229" s="292">
        <f>'تقرير المصروفات حسب الشهر'!E996</f>
        <v>3881.25</v>
      </c>
      <c r="K229" s="292">
        <f>'تقرير المصروفات حسب الشهر'!E1123</f>
        <v>3881.25</v>
      </c>
      <c r="L229" s="292">
        <f>IFERROR(VLOOKUP(B229,'تقرير المصروفات حسب الشهر'!$C$1143:$AD$1254,3,FALSE),0)</f>
        <v>0</v>
      </c>
      <c r="M229" s="292">
        <f>IFERROR(VLOOKUP(B229,'تقرير المصروفات حسب الشهر'!$C$1270:$AD$1381,3,FALSE),0)</f>
        <v>0</v>
      </c>
      <c r="N229" s="292" t="e">
        <f>#REF!</f>
        <v>#REF!</v>
      </c>
      <c r="O229" s="296" t="e">
        <f t="shared" si="4"/>
        <v>#REF!</v>
      </c>
    </row>
    <row r="230" spans="2:15" ht="17.399999999999999">
      <c r="B230" s="291" t="s">
        <v>207</v>
      </c>
      <c r="C230" s="292">
        <f>'تقرير المصروفات حسب الشهر'!E117</f>
        <v>3018.75</v>
      </c>
      <c r="D230" s="292" t="e">
        <f>#REF!</f>
        <v>#REF!</v>
      </c>
      <c r="E230" s="292" t="e">
        <f>#REF!</f>
        <v>#REF!</v>
      </c>
      <c r="F230" s="292" t="e">
        <f>#REF!</f>
        <v>#REF!</v>
      </c>
      <c r="G230" s="292" t="e">
        <f>#REF!</f>
        <v>#REF!</v>
      </c>
      <c r="H230" s="292" t="e">
        <f>#REF!</f>
        <v>#REF!</v>
      </c>
      <c r="I230" s="292">
        <f>'تقرير المصروفات حسب الشهر'!E870</f>
        <v>0</v>
      </c>
      <c r="J230" s="292">
        <f>'تقرير المصروفات حسب الشهر'!E997</f>
        <v>0</v>
      </c>
      <c r="K230" s="292">
        <f>'تقرير المصروفات حسب الشهر'!E1124</f>
        <v>0</v>
      </c>
      <c r="L230" s="292">
        <f>IFERROR(VLOOKUP(B230,'تقرير المصروفات حسب الشهر'!$C$1143:$AD$1254,3,FALSE),0)</f>
        <v>3881.25</v>
      </c>
      <c r="M230" s="292">
        <f>IFERROR(VLOOKUP(B230,'تقرير المصروفات حسب الشهر'!$C$1270:$AD$1381,3,FALSE),0)</f>
        <v>3450</v>
      </c>
      <c r="N230" s="292" t="e">
        <f>#REF!</f>
        <v>#REF!</v>
      </c>
      <c r="O230" s="296" t="e">
        <f t="shared" si="4"/>
        <v>#REF!</v>
      </c>
    </row>
    <row r="231" spans="2:15" ht="17.399999999999999">
      <c r="B231" s="291" t="s">
        <v>208</v>
      </c>
      <c r="C231" s="292">
        <f>'تقرير المصروفات حسب الشهر'!E118</f>
        <v>0</v>
      </c>
      <c r="D231" s="292" t="e">
        <f>#REF!</f>
        <v>#REF!</v>
      </c>
      <c r="E231" s="292" t="e">
        <f>#REF!</f>
        <v>#REF!</v>
      </c>
      <c r="F231" s="292" t="e">
        <f>#REF!</f>
        <v>#REF!</v>
      </c>
      <c r="G231" s="292" t="e">
        <f>#REF!</f>
        <v>#REF!</v>
      </c>
      <c r="H231" s="292">
        <v>0</v>
      </c>
      <c r="I231" s="292">
        <f>'تقرير المصروفات حسب الشهر'!E871</f>
        <v>0</v>
      </c>
      <c r="J231" s="292">
        <f>'تقرير المصروفات حسب الشهر'!E998</f>
        <v>0</v>
      </c>
      <c r="K231" s="292">
        <f>'تقرير المصروفات حسب الشهر'!E1125</f>
        <v>0</v>
      </c>
      <c r="L231" s="292">
        <f>IFERROR(VLOOKUP(B231,'تقرير المصروفات حسب الشهر'!$C$1143:$AD$1254,3,FALSE),0)</f>
        <v>0</v>
      </c>
      <c r="M231" s="292">
        <f>IFERROR(VLOOKUP(B231,'تقرير المصروفات حسب الشهر'!$C$1270:$AD$1381,3,FALSE),0)</f>
        <v>0</v>
      </c>
      <c r="N231" s="292" t="e">
        <f>#REF!</f>
        <v>#REF!</v>
      </c>
      <c r="O231" s="296" t="e">
        <f t="shared" si="4"/>
        <v>#REF!</v>
      </c>
    </row>
    <row r="232" spans="2:15" ht="17.399999999999999">
      <c r="B232" s="291" t="s">
        <v>236</v>
      </c>
      <c r="C232" s="292">
        <f>'تقرير المصروفات حسب الشهر'!E119</f>
        <v>0</v>
      </c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6"/>
    </row>
    <row r="233" spans="2:15" ht="17.399999999999999">
      <c r="B233" s="291" t="s">
        <v>209</v>
      </c>
      <c r="C233" s="292">
        <f>'تقرير المصروفات حسب الشهر'!E120</f>
        <v>0</v>
      </c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6"/>
    </row>
    <row r="234" spans="2:15" ht="17.399999999999999">
      <c r="B234" s="291" t="s">
        <v>360</v>
      </c>
      <c r="C234" s="292">
        <f>'تقرير المصروفات حسب الشهر'!E121</f>
        <v>184724.06</v>
      </c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6"/>
    </row>
    <row r="235" spans="2:15" ht="17.399999999999999">
      <c r="B235" s="298" t="s">
        <v>360</v>
      </c>
      <c r="C235" s="299">
        <f>SUM(C123:C234)</f>
        <v>702776.08999999985</v>
      </c>
      <c r="D235" s="299" t="e">
        <f t="shared" ref="D235:O235" si="5">SUM(D123:D231)</f>
        <v>#REF!</v>
      </c>
      <c r="E235" s="299" t="e">
        <f t="shared" si="5"/>
        <v>#REF!</v>
      </c>
      <c r="F235" s="299" t="e">
        <f t="shared" si="5"/>
        <v>#REF!</v>
      </c>
      <c r="G235" s="299" t="e">
        <f t="shared" si="5"/>
        <v>#REF!</v>
      </c>
      <c r="H235" s="299" t="e">
        <f t="shared" si="5"/>
        <v>#REF!</v>
      </c>
      <c r="I235" s="299">
        <f t="shared" si="5"/>
        <v>567790.0199999999</v>
      </c>
      <c r="J235" s="299">
        <f t="shared" si="5"/>
        <v>527001.39999999991</v>
      </c>
      <c r="K235" s="299">
        <f t="shared" si="5"/>
        <v>593214.48</v>
      </c>
      <c r="L235" s="299">
        <f t="shared" si="5"/>
        <v>597089.56999999995</v>
      </c>
      <c r="M235" s="299">
        <f t="shared" si="5"/>
        <v>650137.1399999999</v>
      </c>
      <c r="N235" s="299" t="e">
        <f t="shared" si="5"/>
        <v>#REF!</v>
      </c>
      <c r="O235" s="299" t="e">
        <f t="shared" si="5"/>
        <v>#REF!</v>
      </c>
    </row>
    <row r="237" spans="2:15" ht="13.8" thickBot="1"/>
    <row r="238" spans="2:15" ht="30.6" thickTop="1">
      <c r="B238" s="646" t="s">
        <v>212</v>
      </c>
      <c r="C238" s="647"/>
      <c r="D238" s="647"/>
      <c r="E238" s="647"/>
      <c r="F238" s="647"/>
      <c r="G238" s="647"/>
      <c r="H238" s="647"/>
      <c r="I238" s="647"/>
      <c r="J238" s="647"/>
      <c r="K238" s="647"/>
      <c r="L238" s="647"/>
      <c r="M238" s="647"/>
      <c r="N238" s="647"/>
      <c r="O238" s="648"/>
    </row>
    <row r="239" spans="2:15" ht="17.399999999999999">
      <c r="B239" s="295" t="s">
        <v>23</v>
      </c>
      <c r="C239" s="295" t="s">
        <v>0</v>
      </c>
      <c r="D239" s="295" t="s">
        <v>1</v>
      </c>
      <c r="E239" s="295" t="s">
        <v>2</v>
      </c>
      <c r="F239" s="295" t="s">
        <v>3</v>
      </c>
      <c r="G239" s="295" t="s">
        <v>4</v>
      </c>
      <c r="H239" s="295" t="s">
        <v>5</v>
      </c>
      <c r="I239" s="295" t="s">
        <v>6</v>
      </c>
      <c r="J239" s="295" t="s">
        <v>7</v>
      </c>
      <c r="K239" s="295" t="s">
        <v>8</v>
      </c>
      <c r="L239" s="295" t="s">
        <v>9</v>
      </c>
      <c r="M239" s="295" t="s">
        <v>10</v>
      </c>
      <c r="N239" s="295" t="s">
        <v>11</v>
      </c>
      <c r="O239" s="295" t="s">
        <v>18</v>
      </c>
    </row>
    <row r="240" spans="2:15" ht="17.399999999999999">
      <c r="B240" s="291" t="s">
        <v>40</v>
      </c>
      <c r="C240" s="292">
        <f>'تقرير المصروفات حسب الشهر'!F10</f>
        <v>0</v>
      </c>
      <c r="D240" s="292" t="e">
        <f>#REF!</f>
        <v>#REF!</v>
      </c>
      <c r="E240" s="292" t="e">
        <f>#REF!</f>
        <v>#REF!</v>
      </c>
      <c r="F240" s="292" t="e">
        <f>#REF!</f>
        <v>#REF!</v>
      </c>
      <c r="G240" s="292" t="e">
        <f>#REF!</f>
        <v>#REF!</v>
      </c>
      <c r="H240" s="292" t="e">
        <f>#REF!</f>
        <v>#REF!</v>
      </c>
      <c r="I240" s="292">
        <f>'تقرير المصروفات حسب الشهر'!F763</f>
        <v>0</v>
      </c>
      <c r="J240" s="292">
        <f>'تقرير المصروفات حسب الشهر'!F890</f>
        <v>0</v>
      </c>
      <c r="K240" s="292">
        <f>'تقرير المصروفات حسب الشهر'!F1017</f>
        <v>0</v>
      </c>
      <c r="L240" s="292">
        <f>IFERROR(VLOOKUP(B240,'تقرير المصروفات حسب الشهر'!$C$1143:$AD$1254,4,FALSE),0)</f>
        <v>0</v>
      </c>
      <c r="M240" s="292">
        <f>IFERROR(VLOOKUP(B240,'تقرير المصروفات حسب الشهر'!$C$1270:$AD$1381,4,FALSE),0)</f>
        <v>0</v>
      </c>
      <c r="N240" s="292" t="e">
        <f>#REF!</f>
        <v>#REF!</v>
      </c>
      <c r="O240" s="296" t="e">
        <f>SUM(C240:N240)</f>
        <v>#REF!</v>
      </c>
    </row>
    <row r="241" spans="2:15" ht="17.399999999999999">
      <c r="B241" s="291" t="s">
        <v>41</v>
      </c>
      <c r="C241" s="292">
        <f>'تقرير المصروفات حسب الشهر'!F11</f>
        <v>227919.15000000002</v>
      </c>
      <c r="D241" s="292" t="e">
        <f>#REF!</f>
        <v>#REF!</v>
      </c>
      <c r="E241" s="292" t="e">
        <f>#REF!</f>
        <v>#REF!</v>
      </c>
      <c r="F241" s="292" t="e">
        <f>#REF!</f>
        <v>#REF!</v>
      </c>
      <c r="G241" s="292" t="e">
        <f>#REF!</f>
        <v>#REF!</v>
      </c>
      <c r="H241" s="292" t="e">
        <f>#REF!</f>
        <v>#REF!</v>
      </c>
      <c r="I241" s="292">
        <f>'تقرير المصروفات حسب الشهر'!F764</f>
        <v>349136.14</v>
      </c>
      <c r="J241" s="292">
        <f>'تقرير المصروفات حسب الشهر'!F891</f>
        <v>353162.63999999996</v>
      </c>
      <c r="K241" s="292">
        <f>'تقرير المصروفات حسب الشهر'!F1018</f>
        <v>354970.67</v>
      </c>
      <c r="L241" s="292">
        <f>IFERROR(VLOOKUP(B241,'تقرير المصروفات حسب الشهر'!$C$1143:$AD$1254,4,FALSE),0)</f>
        <v>359949.02</v>
      </c>
      <c r="M241" s="292">
        <f>IFERROR(VLOOKUP(B241,'تقرير المصروفات حسب الشهر'!$C$1270:$AD$1381,4,FALSE),0)</f>
        <v>389446.5</v>
      </c>
      <c r="N241" s="292" t="e">
        <f>#REF!</f>
        <v>#REF!</v>
      </c>
      <c r="O241" s="296" t="e">
        <f t="shared" ref="O241:O304" si="6">SUM(C241:N241)</f>
        <v>#REF!</v>
      </c>
    </row>
    <row r="242" spans="2:15" ht="17.399999999999999">
      <c r="B242" s="291" t="s">
        <v>26</v>
      </c>
      <c r="C242" s="292">
        <f>'تقرير المصروفات حسب الشهر'!F12</f>
        <v>3150</v>
      </c>
      <c r="D242" s="292" t="e">
        <f>#REF!</f>
        <v>#REF!</v>
      </c>
      <c r="E242" s="292" t="e">
        <f>#REF!</f>
        <v>#REF!</v>
      </c>
      <c r="F242" s="292" t="e">
        <f>#REF!</f>
        <v>#REF!</v>
      </c>
      <c r="G242" s="292" t="e">
        <f>#REF!</f>
        <v>#REF!</v>
      </c>
      <c r="H242" s="292" t="e">
        <f>#REF!</f>
        <v>#REF!</v>
      </c>
      <c r="I242" s="292">
        <f>'تقرير المصروفات حسب الشهر'!F765</f>
        <v>8115</v>
      </c>
      <c r="J242" s="292">
        <f>'تقرير المصروفات حسب الشهر'!F892</f>
        <v>8000</v>
      </c>
      <c r="K242" s="292">
        <f>'تقرير المصروفات حسب الشهر'!F1019</f>
        <v>7090</v>
      </c>
      <c r="L242" s="292">
        <f>IFERROR(VLOOKUP(B242,'تقرير المصروفات حسب الشهر'!$C$1143:$AD$1254,4,FALSE),0)</f>
        <v>5660</v>
      </c>
      <c r="M242" s="292">
        <f>IFERROR(VLOOKUP(B242,'تقرير المصروفات حسب الشهر'!$C$1270:$AD$1381,4,FALSE),0)</f>
        <v>3880</v>
      </c>
      <c r="N242" s="292" t="e">
        <f>#REF!</f>
        <v>#REF!</v>
      </c>
      <c r="O242" s="296" t="e">
        <f t="shared" si="6"/>
        <v>#REF!</v>
      </c>
    </row>
    <row r="243" spans="2:15" ht="17.399999999999999">
      <c r="B243" s="291" t="s">
        <v>27</v>
      </c>
      <c r="C243" s="292">
        <f>'تقرير المصروفات حسب الشهر'!F13</f>
        <v>0</v>
      </c>
      <c r="D243" s="292" t="e">
        <f>#REF!</f>
        <v>#REF!</v>
      </c>
      <c r="E243" s="292" t="e">
        <f>#REF!</f>
        <v>#REF!</v>
      </c>
      <c r="F243" s="292" t="e">
        <f>#REF!</f>
        <v>#REF!</v>
      </c>
      <c r="G243" s="292" t="e">
        <f>#REF!</f>
        <v>#REF!</v>
      </c>
      <c r="H243" s="292" t="e">
        <f>#REF!</f>
        <v>#REF!</v>
      </c>
      <c r="I243" s="292">
        <f>'تقرير المصروفات حسب الشهر'!F766</f>
        <v>0</v>
      </c>
      <c r="J243" s="292">
        <f>'تقرير المصروفات حسب الشهر'!F893</f>
        <v>0</v>
      </c>
      <c r="K243" s="292">
        <f>'تقرير المصروفات حسب الشهر'!F1020</f>
        <v>0</v>
      </c>
      <c r="L243" s="292">
        <f>IFERROR(VLOOKUP(B243,'تقرير المصروفات حسب الشهر'!$C$1143:$AD$1254,4,FALSE),0)</f>
        <v>0</v>
      </c>
      <c r="M243" s="292">
        <f>IFERROR(VLOOKUP(B243,'تقرير المصروفات حسب الشهر'!$C$1270:$AD$1381,4,FALSE),0)</f>
        <v>0</v>
      </c>
      <c r="N243" s="292" t="e">
        <f>#REF!</f>
        <v>#REF!</v>
      </c>
      <c r="O243" s="296" t="e">
        <f t="shared" si="6"/>
        <v>#REF!</v>
      </c>
    </row>
    <row r="244" spans="2:15" ht="17.399999999999999">
      <c r="B244" s="291" t="s">
        <v>42</v>
      </c>
      <c r="C244" s="292">
        <f>'تقرير المصروفات حسب الشهر'!F14</f>
        <v>150</v>
      </c>
      <c r="D244" s="292" t="e">
        <f>#REF!</f>
        <v>#REF!</v>
      </c>
      <c r="E244" s="292" t="e">
        <f>#REF!</f>
        <v>#REF!</v>
      </c>
      <c r="F244" s="292" t="e">
        <f>#REF!</f>
        <v>#REF!</v>
      </c>
      <c r="G244" s="292" t="e">
        <f>#REF!</f>
        <v>#REF!</v>
      </c>
      <c r="H244" s="292" t="e">
        <f>#REF!</f>
        <v>#REF!</v>
      </c>
      <c r="I244" s="292">
        <f>'تقرير المصروفات حسب الشهر'!F767</f>
        <v>0</v>
      </c>
      <c r="J244" s="292">
        <f>'تقرير المصروفات حسب الشهر'!F894</f>
        <v>0</v>
      </c>
      <c r="K244" s="292">
        <f>'تقرير المصروفات حسب الشهر'!F1021</f>
        <v>0</v>
      </c>
      <c r="L244" s="292">
        <f>IFERROR(VLOOKUP(B244,'تقرير المصروفات حسب الشهر'!$C$1143:$AD$1254,4,FALSE),0)</f>
        <v>0</v>
      </c>
      <c r="M244" s="292">
        <f>IFERROR(VLOOKUP(B244,'تقرير المصروفات حسب الشهر'!$C$1270:$AD$1381,4,FALSE),0)</f>
        <v>600</v>
      </c>
      <c r="N244" s="292" t="e">
        <f>#REF!</f>
        <v>#REF!</v>
      </c>
      <c r="O244" s="296" t="e">
        <f t="shared" si="6"/>
        <v>#REF!</v>
      </c>
    </row>
    <row r="245" spans="2:15" ht="17.399999999999999">
      <c r="B245" s="291" t="s">
        <v>43</v>
      </c>
      <c r="C245" s="292">
        <f>'تقرير المصروفات حسب الشهر'!F15</f>
        <v>100000</v>
      </c>
      <c r="D245" s="292" t="e">
        <f>#REF!</f>
        <v>#REF!</v>
      </c>
      <c r="E245" s="292" t="e">
        <f>#REF!</f>
        <v>#REF!</v>
      </c>
      <c r="F245" s="292" t="e">
        <f>#REF!</f>
        <v>#REF!</v>
      </c>
      <c r="G245" s="292" t="e">
        <f>#REF!</f>
        <v>#REF!</v>
      </c>
      <c r="H245" s="292" t="e">
        <f>#REF!</f>
        <v>#REF!</v>
      </c>
      <c r="I245" s="292">
        <f>'تقرير المصروفات حسب الشهر'!F768</f>
        <v>100000</v>
      </c>
      <c r="J245" s="292">
        <f>'تقرير المصروفات حسب الشهر'!F895</f>
        <v>100000</v>
      </c>
      <c r="K245" s="292">
        <f>'تقرير المصروفات حسب الشهر'!F1022</f>
        <v>100000</v>
      </c>
      <c r="L245" s="292">
        <f>IFERROR(VLOOKUP(B245,'تقرير المصروفات حسب الشهر'!$C$1143:$AD$1254,4,FALSE),0)</f>
        <v>100000</v>
      </c>
      <c r="M245" s="292">
        <f>IFERROR(VLOOKUP(B245,'تقرير المصروفات حسب الشهر'!$C$1270:$AD$1381,4,FALSE),0)</f>
        <v>170000</v>
      </c>
      <c r="N245" s="292" t="e">
        <f>#REF!</f>
        <v>#REF!</v>
      </c>
      <c r="O245" s="296" t="e">
        <f t="shared" si="6"/>
        <v>#REF!</v>
      </c>
    </row>
    <row r="246" spans="2:15" ht="17.399999999999999">
      <c r="B246" s="291" t="s">
        <v>44</v>
      </c>
      <c r="C246" s="292">
        <f>'تقرير المصروفات حسب الشهر'!F16</f>
        <v>0</v>
      </c>
      <c r="D246" s="292" t="e">
        <f>#REF!</f>
        <v>#REF!</v>
      </c>
      <c r="E246" s="292" t="e">
        <f>#REF!</f>
        <v>#REF!</v>
      </c>
      <c r="F246" s="292" t="e">
        <f>#REF!</f>
        <v>#REF!</v>
      </c>
      <c r="G246" s="292" t="e">
        <f>#REF!</f>
        <v>#REF!</v>
      </c>
      <c r="H246" s="292" t="e">
        <f>#REF!</f>
        <v>#REF!</v>
      </c>
      <c r="I246" s="292">
        <f>'تقرير المصروفات حسب الشهر'!F769</f>
        <v>0</v>
      </c>
      <c r="J246" s="292">
        <f>'تقرير المصروفات حسب الشهر'!F896</f>
        <v>0</v>
      </c>
      <c r="K246" s="292">
        <f>'تقرير المصروفات حسب الشهر'!F1023</f>
        <v>0</v>
      </c>
      <c r="L246" s="292">
        <f>IFERROR(VLOOKUP(B246,'تقرير المصروفات حسب الشهر'!$C$1143:$AD$1254,4,FALSE),0)</f>
        <v>0</v>
      </c>
      <c r="M246" s="292">
        <f>IFERROR(VLOOKUP(B246,'تقرير المصروفات حسب الشهر'!$C$1270:$AD$1381,4,FALSE),0)</f>
        <v>0</v>
      </c>
      <c r="N246" s="292" t="e">
        <f>#REF!</f>
        <v>#REF!</v>
      </c>
      <c r="O246" s="296" t="e">
        <f t="shared" si="6"/>
        <v>#REF!</v>
      </c>
    </row>
    <row r="247" spans="2:15" ht="17.399999999999999">
      <c r="B247" s="291" t="s">
        <v>45</v>
      </c>
      <c r="C247" s="292">
        <f>'تقرير المصروفات حسب الشهر'!F17</f>
        <v>26200</v>
      </c>
      <c r="D247" s="292" t="e">
        <f>#REF!</f>
        <v>#REF!</v>
      </c>
      <c r="E247" s="292" t="e">
        <f>#REF!</f>
        <v>#REF!</v>
      </c>
      <c r="F247" s="292" t="e">
        <f>#REF!</f>
        <v>#REF!</v>
      </c>
      <c r="G247" s="292" t="e">
        <f>#REF!</f>
        <v>#REF!</v>
      </c>
      <c r="H247" s="292" t="e">
        <f>#REF!</f>
        <v>#REF!</v>
      </c>
      <c r="I247" s="292">
        <f>'تقرير المصروفات حسب الشهر'!F770</f>
        <v>26200</v>
      </c>
      <c r="J247" s="292">
        <f>'تقرير المصروفات حسب الشهر'!F897</f>
        <v>26200</v>
      </c>
      <c r="K247" s="292">
        <f>'تقرير المصروفات حسب الشهر'!F1024</f>
        <v>26200</v>
      </c>
      <c r="L247" s="292">
        <f>IFERROR(VLOOKUP(B247,'تقرير المصروفات حسب الشهر'!$C$1143:$AD$1254,4,FALSE),0)</f>
        <v>26200</v>
      </c>
      <c r="M247" s="292">
        <f>IFERROR(VLOOKUP(B247,'تقرير المصروفات حسب الشهر'!$C$1270:$AD$1381,4,FALSE),0)</f>
        <v>27200</v>
      </c>
      <c r="N247" s="292" t="e">
        <f>#REF!</f>
        <v>#REF!</v>
      </c>
      <c r="O247" s="296" t="e">
        <f t="shared" si="6"/>
        <v>#REF!</v>
      </c>
    </row>
    <row r="248" spans="2:15" ht="17.399999999999999">
      <c r="B248" s="291" t="s">
        <v>156</v>
      </c>
      <c r="C248" s="292">
        <f>'تقرير المصروفات حسب الشهر'!F18</f>
        <v>0</v>
      </c>
      <c r="D248" s="292" t="e">
        <f>#REF!</f>
        <v>#REF!</v>
      </c>
      <c r="E248" s="292" t="e">
        <f>#REF!</f>
        <v>#REF!</v>
      </c>
      <c r="F248" s="292" t="e">
        <f>#REF!</f>
        <v>#REF!</v>
      </c>
      <c r="G248" s="292" t="e">
        <f>#REF!</f>
        <v>#REF!</v>
      </c>
      <c r="H248" s="292" t="e">
        <f>#REF!</f>
        <v>#REF!</v>
      </c>
      <c r="I248" s="292">
        <f>'تقرير المصروفات حسب الشهر'!F771</f>
        <v>65</v>
      </c>
      <c r="J248" s="292">
        <f>'تقرير المصروفات حسب الشهر'!F898</f>
        <v>0</v>
      </c>
      <c r="K248" s="292">
        <f>'تقرير المصروفات حسب الشهر'!F1025</f>
        <v>40</v>
      </c>
      <c r="L248" s="292">
        <f>IFERROR(VLOOKUP(B248,'تقرير المصروفات حسب الشهر'!$C$1143:$AD$1254,4,FALSE),0)</f>
        <v>1610.25</v>
      </c>
      <c r="M248" s="292">
        <f>IFERROR(VLOOKUP(B248,'تقرير المصروفات حسب الشهر'!$C$1270:$AD$1381,4,FALSE),0)</f>
        <v>0</v>
      </c>
      <c r="N248" s="292" t="e">
        <f>#REF!</f>
        <v>#REF!</v>
      </c>
      <c r="O248" s="296" t="e">
        <f t="shared" si="6"/>
        <v>#REF!</v>
      </c>
    </row>
    <row r="249" spans="2:15" ht="17.399999999999999">
      <c r="B249" s="291" t="s">
        <v>46</v>
      </c>
      <c r="C249" s="292">
        <f>'تقرير المصروفات حسب الشهر'!F19</f>
        <v>2006.17</v>
      </c>
      <c r="D249" s="292" t="e">
        <f>#REF!</f>
        <v>#REF!</v>
      </c>
      <c r="E249" s="292" t="e">
        <f>#REF!</f>
        <v>#REF!</v>
      </c>
      <c r="F249" s="292" t="e">
        <f>#REF!</f>
        <v>#REF!</v>
      </c>
      <c r="G249" s="292" t="e">
        <f>#REF!</f>
        <v>#REF!</v>
      </c>
      <c r="H249" s="292" t="e">
        <f>#REF!</f>
        <v>#REF!</v>
      </c>
      <c r="I249" s="292">
        <f>'تقرير المصروفات حسب الشهر'!F772</f>
        <v>1900</v>
      </c>
      <c r="J249" s="292">
        <f>'تقرير المصروفات حسب الشهر'!F899</f>
        <v>0</v>
      </c>
      <c r="K249" s="292">
        <f>'تقرير المصروفات حسب الشهر'!F1026</f>
        <v>160</v>
      </c>
      <c r="L249" s="292">
        <f>IFERROR(VLOOKUP(B249,'تقرير المصروفات حسب الشهر'!$C$1143:$AD$1254,4,FALSE),0)</f>
        <v>395</v>
      </c>
      <c r="M249" s="292">
        <f>IFERROR(VLOOKUP(B249,'تقرير المصروفات حسب الشهر'!$C$1270:$AD$1381,4,FALSE),0)</f>
        <v>670</v>
      </c>
      <c r="N249" s="292" t="e">
        <f>#REF!</f>
        <v>#REF!</v>
      </c>
      <c r="O249" s="296" t="e">
        <f t="shared" si="6"/>
        <v>#REF!</v>
      </c>
    </row>
    <row r="250" spans="2:15" ht="17.399999999999999">
      <c r="B250" s="291" t="s">
        <v>47</v>
      </c>
      <c r="C250" s="292">
        <f>'تقرير المصروفات حسب الشهر'!F20</f>
        <v>0</v>
      </c>
      <c r="D250" s="292" t="e">
        <f>#REF!</f>
        <v>#REF!</v>
      </c>
      <c r="E250" s="292" t="e">
        <f>#REF!</f>
        <v>#REF!</v>
      </c>
      <c r="F250" s="292" t="e">
        <f>#REF!</f>
        <v>#REF!</v>
      </c>
      <c r="G250" s="292" t="e">
        <f>#REF!</f>
        <v>#REF!</v>
      </c>
      <c r="H250" s="292" t="e">
        <f>#REF!</f>
        <v>#REF!</v>
      </c>
      <c r="I250" s="292">
        <f>'تقرير المصروفات حسب الشهر'!F773</f>
        <v>0</v>
      </c>
      <c r="J250" s="292">
        <f>'تقرير المصروفات حسب الشهر'!F900</f>
        <v>0</v>
      </c>
      <c r="K250" s="292">
        <f>'تقرير المصروفات حسب الشهر'!F1027</f>
        <v>0</v>
      </c>
      <c r="L250" s="292">
        <f>IFERROR(VLOOKUP(B250,'تقرير المصروفات حسب الشهر'!$C$1143:$AD$1254,4,FALSE),0)</f>
        <v>0</v>
      </c>
      <c r="M250" s="292">
        <f>IFERROR(VLOOKUP(B250,'تقرير المصروفات حسب الشهر'!$C$1270:$AD$1381,4,FALSE),0)</f>
        <v>0</v>
      </c>
      <c r="N250" s="292" t="e">
        <f>#REF!</f>
        <v>#REF!</v>
      </c>
      <c r="O250" s="296" t="e">
        <f t="shared" si="6"/>
        <v>#REF!</v>
      </c>
    </row>
    <row r="251" spans="2:15" ht="17.399999999999999">
      <c r="B251" s="291" t="s">
        <v>48</v>
      </c>
      <c r="C251" s="292">
        <f>'تقرير المصروفات حسب الشهر'!F21</f>
        <v>500</v>
      </c>
      <c r="D251" s="292" t="e">
        <f>#REF!</f>
        <v>#REF!</v>
      </c>
      <c r="E251" s="292" t="e">
        <f>#REF!</f>
        <v>#REF!</v>
      </c>
      <c r="F251" s="292" t="e">
        <f>#REF!</f>
        <v>#REF!</v>
      </c>
      <c r="G251" s="292" t="e">
        <f>#REF!</f>
        <v>#REF!</v>
      </c>
      <c r="H251" s="292" t="e">
        <f>#REF!</f>
        <v>#REF!</v>
      </c>
      <c r="I251" s="292">
        <f>'تقرير المصروفات حسب الشهر'!F774</f>
        <v>750</v>
      </c>
      <c r="J251" s="292">
        <f>'تقرير المصروفات حسب الشهر'!F901</f>
        <v>500</v>
      </c>
      <c r="K251" s="292">
        <f>'تقرير المصروفات حسب الشهر'!F1028</f>
        <v>500</v>
      </c>
      <c r="L251" s="292">
        <f>IFERROR(VLOOKUP(B251,'تقرير المصروفات حسب الشهر'!$C$1143:$AD$1254,4,FALSE),0)</f>
        <v>0</v>
      </c>
      <c r="M251" s="292">
        <f>IFERROR(VLOOKUP(B251,'تقرير المصروفات حسب الشهر'!$C$1270:$AD$1381,4,FALSE),0)</f>
        <v>900</v>
      </c>
      <c r="N251" s="292" t="e">
        <f>#REF!</f>
        <v>#REF!</v>
      </c>
      <c r="O251" s="296" t="e">
        <f t="shared" si="6"/>
        <v>#REF!</v>
      </c>
    </row>
    <row r="252" spans="2:15" ht="17.399999999999999">
      <c r="B252" s="291" t="s">
        <v>49</v>
      </c>
      <c r="C252" s="292">
        <f>'تقرير المصروفات حسب الشهر'!F22</f>
        <v>0</v>
      </c>
      <c r="D252" s="292" t="e">
        <f>#REF!</f>
        <v>#REF!</v>
      </c>
      <c r="E252" s="292" t="e">
        <f>#REF!</f>
        <v>#REF!</v>
      </c>
      <c r="F252" s="292" t="e">
        <f>#REF!</f>
        <v>#REF!</v>
      </c>
      <c r="G252" s="292" t="e">
        <f>#REF!</f>
        <v>#REF!</v>
      </c>
      <c r="H252" s="292" t="e">
        <f>#REF!</f>
        <v>#REF!</v>
      </c>
      <c r="I252" s="292">
        <f>'تقرير المصروفات حسب الشهر'!F775</f>
        <v>0</v>
      </c>
      <c r="J252" s="292">
        <f>'تقرير المصروفات حسب الشهر'!F902</f>
        <v>0</v>
      </c>
      <c r="K252" s="292">
        <f>'تقرير المصروفات حسب الشهر'!F1029</f>
        <v>0</v>
      </c>
      <c r="L252" s="292">
        <f>IFERROR(VLOOKUP(B252,'تقرير المصروفات حسب الشهر'!$C$1143:$AD$1254,4,FALSE),0)</f>
        <v>0</v>
      </c>
      <c r="M252" s="292">
        <f>IFERROR(VLOOKUP(B252,'تقرير المصروفات حسب الشهر'!$C$1270:$AD$1381,4,FALSE),0)</f>
        <v>0</v>
      </c>
      <c r="N252" s="292" t="e">
        <f>#REF!</f>
        <v>#REF!</v>
      </c>
      <c r="O252" s="296" t="e">
        <f t="shared" si="6"/>
        <v>#REF!</v>
      </c>
    </row>
    <row r="253" spans="2:15" ht="17.399999999999999">
      <c r="B253" s="291" t="s">
        <v>158</v>
      </c>
      <c r="C253" s="292">
        <f>'تقرير المصروفات حسب الشهر'!F23</f>
        <v>1030</v>
      </c>
      <c r="D253" s="292" t="e">
        <f>#REF!</f>
        <v>#REF!</v>
      </c>
      <c r="E253" s="292" t="e">
        <f>#REF!</f>
        <v>#REF!</v>
      </c>
      <c r="F253" s="292" t="e">
        <f>#REF!</f>
        <v>#REF!</v>
      </c>
      <c r="G253" s="292" t="e">
        <f>#REF!</f>
        <v>#REF!</v>
      </c>
      <c r="H253" s="292" t="e">
        <f>#REF!</f>
        <v>#REF!</v>
      </c>
      <c r="I253" s="292">
        <f>'تقرير المصروفات حسب الشهر'!F776</f>
        <v>1345</v>
      </c>
      <c r="J253" s="292">
        <f>'تقرير المصروفات حسب الشهر'!F903</f>
        <v>330</v>
      </c>
      <c r="K253" s="292">
        <f>'تقرير المصروفات حسب الشهر'!F1030</f>
        <v>1150</v>
      </c>
      <c r="L253" s="292">
        <f>IFERROR(VLOOKUP(B253,'تقرير المصروفات حسب الشهر'!$C$1143:$AD$1254,4,FALSE),0)</f>
        <v>0</v>
      </c>
      <c r="M253" s="292">
        <f>IFERROR(VLOOKUP(B253,'تقرير المصروفات حسب الشهر'!$C$1270:$AD$1381,4,FALSE),0)</f>
        <v>4910</v>
      </c>
      <c r="N253" s="292" t="e">
        <f>#REF!</f>
        <v>#REF!</v>
      </c>
      <c r="O253" s="296" t="e">
        <f t="shared" si="6"/>
        <v>#REF!</v>
      </c>
    </row>
    <row r="254" spans="2:15" ht="17.399999999999999">
      <c r="B254" s="291" t="s">
        <v>50</v>
      </c>
      <c r="C254" s="292">
        <f>'تقرير المصروفات حسب الشهر'!F24</f>
        <v>750</v>
      </c>
      <c r="D254" s="292" t="e">
        <f>#REF!</f>
        <v>#REF!</v>
      </c>
      <c r="E254" s="292" t="e">
        <f>#REF!</f>
        <v>#REF!</v>
      </c>
      <c r="F254" s="292" t="e">
        <f>#REF!</f>
        <v>#REF!</v>
      </c>
      <c r="G254" s="292" t="e">
        <f>#REF!</f>
        <v>#REF!</v>
      </c>
      <c r="H254" s="292" t="e">
        <f>#REF!</f>
        <v>#REF!</v>
      </c>
      <c r="I254" s="292">
        <f>'تقرير المصروفات حسب الشهر'!F777</f>
        <v>185</v>
      </c>
      <c r="J254" s="292">
        <f>'تقرير المصروفات حسب الشهر'!F904</f>
        <v>1540</v>
      </c>
      <c r="K254" s="292">
        <f>'تقرير المصروفات حسب الشهر'!F1031</f>
        <v>0</v>
      </c>
      <c r="L254" s="292">
        <f>IFERROR(VLOOKUP(B254,'تقرير المصروفات حسب الشهر'!$C$1143:$AD$1254,4,FALSE),0)</f>
        <v>1540</v>
      </c>
      <c r="M254" s="292">
        <f>IFERROR(VLOOKUP(B254,'تقرير المصروفات حسب الشهر'!$C$1270:$AD$1381,4,FALSE),0)</f>
        <v>0</v>
      </c>
      <c r="N254" s="292" t="e">
        <f>#REF!</f>
        <v>#REF!</v>
      </c>
      <c r="O254" s="296" t="e">
        <f t="shared" si="6"/>
        <v>#REF!</v>
      </c>
    </row>
    <row r="255" spans="2:15" ht="17.399999999999999">
      <c r="B255" s="291" t="s">
        <v>51</v>
      </c>
      <c r="C255" s="292">
        <f>'تقرير المصروفات حسب الشهر'!F25</f>
        <v>2250</v>
      </c>
      <c r="D255" s="292" t="e">
        <f>#REF!</f>
        <v>#REF!</v>
      </c>
      <c r="E255" s="292" t="e">
        <f>#REF!</f>
        <v>#REF!</v>
      </c>
      <c r="F255" s="292" t="e">
        <f>#REF!</f>
        <v>#REF!</v>
      </c>
      <c r="G255" s="292" t="e">
        <f>#REF!</f>
        <v>#REF!</v>
      </c>
      <c r="H255" s="292" t="e">
        <f>#REF!</f>
        <v>#REF!</v>
      </c>
      <c r="I255" s="292">
        <f>'تقرير المصروفات حسب الشهر'!F778</f>
        <v>0</v>
      </c>
      <c r="J255" s="292">
        <f>'تقرير المصروفات حسب الشهر'!F905</f>
        <v>6750</v>
      </c>
      <c r="K255" s="292">
        <f>'تقرير المصروفات حسب الشهر'!F1032</f>
        <v>0</v>
      </c>
      <c r="L255" s="292">
        <f>IFERROR(VLOOKUP(B255,'تقرير المصروفات حسب الشهر'!$C$1143:$AD$1254,4,FALSE),0)</f>
        <v>6750</v>
      </c>
      <c r="M255" s="292">
        <f>IFERROR(VLOOKUP(B255,'تقرير المصروفات حسب الشهر'!$C$1270:$AD$1381,4,FALSE),0)</f>
        <v>0</v>
      </c>
      <c r="N255" s="292" t="e">
        <f>#REF!</f>
        <v>#REF!</v>
      </c>
      <c r="O255" s="296" t="e">
        <f t="shared" si="6"/>
        <v>#REF!</v>
      </c>
    </row>
    <row r="256" spans="2:15" ht="17.399999999999999">
      <c r="B256" s="291" t="s">
        <v>52</v>
      </c>
      <c r="C256" s="292">
        <f>'تقرير المصروفات حسب الشهر'!F26</f>
        <v>0</v>
      </c>
      <c r="D256" s="292" t="e">
        <f>#REF!</f>
        <v>#REF!</v>
      </c>
      <c r="E256" s="292" t="e">
        <f>#REF!</f>
        <v>#REF!</v>
      </c>
      <c r="F256" s="292" t="e">
        <f>#REF!</f>
        <v>#REF!</v>
      </c>
      <c r="G256" s="292" t="e">
        <f>#REF!</f>
        <v>#REF!</v>
      </c>
      <c r="H256" s="292" t="e">
        <f>#REF!</f>
        <v>#REF!</v>
      </c>
      <c r="I256" s="292">
        <f>'تقرير المصروفات حسب الشهر'!F779</f>
        <v>0</v>
      </c>
      <c r="J256" s="292">
        <f>'تقرير المصروفات حسب الشهر'!F906</f>
        <v>0</v>
      </c>
      <c r="K256" s="292">
        <f>'تقرير المصروفات حسب الشهر'!F1033</f>
        <v>0</v>
      </c>
      <c r="L256" s="292">
        <f>IFERROR(VLOOKUP(B256,'تقرير المصروفات حسب الشهر'!$C$1143:$AD$1254,4,FALSE),0)</f>
        <v>0</v>
      </c>
      <c r="M256" s="292">
        <f>IFERROR(VLOOKUP(B256,'تقرير المصروفات حسب الشهر'!$C$1270:$AD$1381,4,FALSE),0)</f>
        <v>0</v>
      </c>
      <c r="N256" s="292" t="e">
        <f>#REF!</f>
        <v>#REF!</v>
      </c>
      <c r="O256" s="296" t="e">
        <f t="shared" si="6"/>
        <v>#REF!</v>
      </c>
    </row>
    <row r="257" spans="2:15" ht="17.399999999999999">
      <c r="B257" s="291" t="s">
        <v>174</v>
      </c>
      <c r="C257" s="292">
        <f>'تقرير المصروفات حسب الشهر'!F27</f>
        <v>4422.5</v>
      </c>
      <c r="D257" s="292" t="e">
        <f>#REF!</f>
        <v>#REF!</v>
      </c>
      <c r="E257" s="292" t="e">
        <f>#REF!</f>
        <v>#REF!</v>
      </c>
      <c r="F257" s="292" t="e">
        <f>#REF!</f>
        <v>#REF!</v>
      </c>
      <c r="G257" s="292" t="e">
        <f>#REF!</f>
        <v>#REF!</v>
      </c>
      <c r="H257" s="292" t="e">
        <f>#REF!</f>
        <v>#REF!</v>
      </c>
      <c r="I257" s="292">
        <f>'تقرير المصروفات حسب الشهر'!F780</f>
        <v>2478</v>
      </c>
      <c r="J257" s="292">
        <f>'تقرير المصروفات حسب الشهر'!F907</f>
        <v>2070</v>
      </c>
      <c r="K257" s="292">
        <f>'تقرير المصروفات حسب الشهر'!F1034</f>
        <v>1866</v>
      </c>
      <c r="L257" s="292">
        <f>IFERROR(VLOOKUP(B257,'تقرير المصروفات حسب الشهر'!$C$1143:$AD$1254,4,FALSE),0)</f>
        <v>1382</v>
      </c>
      <c r="M257" s="292">
        <f>IFERROR(VLOOKUP(B257,'تقرير المصروفات حسب الشهر'!$C$1270:$AD$1381,4,FALSE),0)</f>
        <v>2906</v>
      </c>
      <c r="N257" s="292" t="e">
        <f>#REF!</f>
        <v>#REF!</v>
      </c>
      <c r="O257" s="296" t="e">
        <f t="shared" si="6"/>
        <v>#REF!</v>
      </c>
    </row>
    <row r="258" spans="2:15" ht="17.399999999999999">
      <c r="B258" s="291" t="s">
        <v>53</v>
      </c>
      <c r="C258" s="292">
        <f>'تقرير المصروفات حسب الشهر'!F28</f>
        <v>0</v>
      </c>
      <c r="D258" s="292" t="e">
        <f>#REF!</f>
        <v>#REF!</v>
      </c>
      <c r="E258" s="292" t="e">
        <f>#REF!</f>
        <v>#REF!</v>
      </c>
      <c r="F258" s="292" t="e">
        <f>#REF!</f>
        <v>#REF!</v>
      </c>
      <c r="G258" s="292" t="e">
        <f>#REF!</f>
        <v>#REF!</v>
      </c>
      <c r="H258" s="292" t="e">
        <f>#REF!</f>
        <v>#REF!</v>
      </c>
      <c r="I258" s="292">
        <f>'تقرير المصروفات حسب الشهر'!F781</f>
        <v>0</v>
      </c>
      <c r="J258" s="292">
        <f>'تقرير المصروفات حسب الشهر'!F908</f>
        <v>0</v>
      </c>
      <c r="K258" s="292">
        <f>'تقرير المصروفات حسب الشهر'!F1035</f>
        <v>400</v>
      </c>
      <c r="L258" s="292">
        <f>IFERROR(VLOOKUP(B258,'تقرير المصروفات حسب الشهر'!$C$1143:$AD$1254,4,FALSE),0)</f>
        <v>0</v>
      </c>
      <c r="M258" s="292">
        <f>IFERROR(VLOOKUP(B258,'تقرير المصروفات حسب الشهر'!$C$1270:$AD$1381,4,FALSE),0)</f>
        <v>0</v>
      </c>
      <c r="N258" s="292" t="e">
        <f>#REF!</f>
        <v>#REF!</v>
      </c>
      <c r="O258" s="296" t="e">
        <f t="shared" si="6"/>
        <v>#REF!</v>
      </c>
    </row>
    <row r="259" spans="2:15" ht="17.399999999999999">
      <c r="B259" s="291" t="s">
        <v>191</v>
      </c>
      <c r="C259" s="292">
        <f>'تقرير المصروفات حسب الشهر'!F29</f>
        <v>1570.23</v>
      </c>
      <c r="D259" s="292" t="e">
        <f>#REF!</f>
        <v>#REF!</v>
      </c>
      <c r="E259" s="292" t="e">
        <f>#REF!</f>
        <v>#REF!</v>
      </c>
      <c r="F259" s="292" t="e">
        <f>#REF!</f>
        <v>#REF!</v>
      </c>
      <c r="G259" s="292" t="e">
        <f>#REF!</f>
        <v>#REF!</v>
      </c>
      <c r="H259" s="292" t="e">
        <f>#REF!</f>
        <v>#REF!</v>
      </c>
      <c r="I259" s="292">
        <f>'تقرير المصروفات حسب الشهر'!F782</f>
        <v>1574.86</v>
      </c>
      <c r="J259" s="292">
        <f>'تقرير المصروفات حسب الشهر'!F909</f>
        <v>699.41</v>
      </c>
      <c r="K259" s="292">
        <f>'تقرير المصروفات حسب الشهر'!F1036</f>
        <v>1911.4</v>
      </c>
      <c r="L259" s="292">
        <f>IFERROR(VLOOKUP(B259,'تقرير المصروفات حسب الشهر'!$C$1143:$AD$1254,4,FALSE),0)</f>
        <v>807.74</v>
      </c>
      <c r="M259" s="292">
        <f>IFERROR(VLOOKUP(B259,'تقرير المصروفات حسب الشهر'!$C$1270:$AD$1381,4,FALSE),0)</f>
        <v>986.79</v>
      </c>
      <c r="N259" s="292" t="e">
        <f>#REF!</f>
        <v>#REF!</v>
      </c>
      <c r="O259" s="296" t="e">
        <f t="shared" si="6"/>
        <v>#REF!</v>
      </c>
    </row>
    <row r="260" spans="2:15" ht="17.399999999999999">
      <c r="B260" s="291" t="s">
        <v>29</v>
      </c>
      <c r="C260" s="292">
        <f>'تقرير المصروفات حسب الشهر'!F30</f>
        <v>0</v>
      </c>
      <c r="D260" s="292" t="e">
        <f>#REF!</f>
        <v>#REF!</v>
      </c>
      <c r="E260" s="292" t="e">
        <f>#REF!</f>
        <v>#REF!</v>
      </c>
      <c r="F260" s="292" t="e">
        <f>#REF!</f>
        <v>#REF!</v>
      </c>
      <c r="G260" s="292" t="e">
        <f>#REF!</f>
        <v>#REF!</v>
      </c>
      <c r="H260" s="292" t="e">
        <f>#REF!</f>
        <v>#REF!</v>
      </c>
      <c r="I260" s="292">
        <f>'تقرير المصروفات حسب الشهر'!F783</f>
        <v>100</v>
      </c>
      <c r="J260" s="292">
        <f>'تقرير المصروفات حسب الشهر'!F910</f>
        <v>0</v>
      </c>
      <c r="K260" s="292">
        <f>'تقرير المصروفات حسب الشهر'!F1037</f>
        <v>0</v>
      </c>
      <c r="L260" s="292">
        <f>IFERROR(VLOOKUP(B260,'تقرير المصروفات حسب الشهر'!$C$1143:$AD$1254,4,FALSE),0)</f>
        <v>85</v>
      </c>
      <c r="M260" s="292">
        <f>IFERROR(VLOOKUP(B260,'تقرير المصروفات حسب الشهر'!$C$1270:$AD$1381,4,FALSE),0)</f>
        <v>0</v>
      </c>
      <c r="N260" s="292" t="e">
        <f>#REF!</f>
        <v>#REF!</v>
      </c>
      <c r="O260" s="296" t="e">
        <f t="shared" si="6"/>
        <v>#REF!</v>
      </c>
    </row>
    <row r="261" spans="2:15" ht="17.399999999999999">
      <c r="B261" s="291" t="s">
        <v>54</v>
      </c>
      <c r="C261" s="292">
        <f>'تقرير المصروفات حسب الشهر'!F31</f>
        <v>0</v>
      </c>
      <c r="D261" s="292" t="e">
        <f>#REF!</f>
        <v>#REF!</v>
      </c>
      <c r="E261" s="292" t="e">
        <f>#REF!</f>
        <v>#REF!</v>
      </c>
      <c r="F261" s="292" t="e">
        <f>#REF!</f>
        <v>#REF!</v>
      </c>
      <c r="G261" s="292" t="e">
        <f>#REF!</f>
        <v>#REF!</v>
      </c>
      <c r="H261" s="292" t="e">
        <f>#REF!</f>
        <v>#REF!</v>
      </c>
      <c r="I261" s="292">
        <f>'تقرير المصروفات حسب الشهر'!F784</f>
        <v>0</v>
      </c>
      <c r="J261" s="292">
        <f>'تقرير المصروفات حسب الشهر'!F911</f>
        <v>0</v>
      </c>
      <c r="K261" s="292">
        <f>'تقرير المصروفات حسب الشهر'!F1038</f>
        <v>0</v>
      </c>
      <c r="L261" s="292">
        <f>IFERROR(VLOOKUP(B261,'تقرير المصروفات حسب الشهر'!$C$1143:$AD$1254,4,FALSE),0)</f>
        <v>0</v>
      </c>
      <c r="M261" s="292">
        <f>IFERROR(VLOOKUP(B261,'تقرير المصروفات حسب الشهر'!$C$1270:$AD$1381,4,FALSE),0)</f>
        <v>0</v>
      </c>
      <c r="N261" s="292" t="e">
        <f>#REF!</f>
        <v>#REF!</v>
      </c>
      <c r="O261" s="296" t="e">
        <f t="shared" si="6"/>
        <v>#REF!</v>
      </c>
    </row>
    <row r="262" spans="2:15" ht="17.399999999999999">
      <c r="B262" s="291" t="s">
        <v>31</v>
      </c>
      <c r="C262" s="292">
        <f>'تقرير المصروفات حسب الشهر'!F32</f>
        <v>320</v>
      </c>
      <c r="D262" s="292" t="e">
        <f>#REF!</f>
        <v>#REF!</v>
      </c>
      <c r="E262" s="292" t="e">
        <f>#REF!</f>
        <v>#REF!</v>
      </c>
      <c r="F262" s="292" t="e">
        <f>#REF!</f>
        <v>#REF!</v>
      </c>
      <c r="G262" s="292" t="e">
        <f>#REF!</f>
        <v>#REF!</v>
      </c>
      <c r="H262" s="292" t="e">
        <f>#REF!</f>
        <v>#REF!</v>
      </c>
      <c r="I262" s="292">
        <f>'تقرير المصروفات حسب الشهر'!F785</f>
        <v>212</v>
      </c>
      <c r="J262" s="292">
        <f>'تقرير المصروفات حسب الشهر'!F912</f>
        <v>164</v>
      </c>
      <c r="K262" s="292">
        <f>'تقرير المصروفات حسب الشهر'!F1039</f>
        <v>70</v>
      </c>
      <c r="L262" s="292">
        <f>IFERROR(VLOOKUP(B262,'تقرير المصروفات حسب الشهر'!$C$1143:$AD$1254,4,FALSE),0)</f>
        <v>260</v>
      </c>
      <c r="M262" s="292">
        <f>IFERROR(VLOOKUP(B262,'تقرير المصروفات حسب الشهر'!$C$1270:$AD$1381,4,FALSE),0)</f>
        <v>337</v>
      </c>
      <c r="N262" s="292" t="e">
        <f>#REF!</f>
        <v>#REF!</v>
      </c>
      <c r="O262" s="296" t="e">
        <f t="shared" si="6"/>
        <v>#REF!</v>
      </c>
    </row>
    <row r="263" spans="2:15" ht="17.399999999999999">
      <c r="B263" s="291" t="s">
        <v>55</v>
      </c>
      <c r="C263" s="292">
        <f>'تقرير المصروفات حسب الشهر'!F33</f>
        <v>0</v>
      </c>
      <c r="D263" s="292" t="e">
        <f>#REF!</f>
        <v>#REF!</v>
      </c>
      <c r="E263" s="292" t="e">
        <f>#REF!</f>
        <v>#REF!</v>
      </c>
      <c r="F263" s="292" t="e">
        <f>#REF!</f>
        <v>#REF!</v>
      </c>
      <c r="G263" s="292" t="e">
        <f>#REF!</f>
        <v>#REF!</v>
      </c>
      <c r="H263" s="292" t="e">
        <f>#REF!</f>
        <v>#REF!</v>
      </c>
      <c r="I263" s="292">
        <f>'تقرير المصروفات حسب الشهر'!F786</f>
        <v>0</v>
      </c>
      <c r="J263" s="292">
        <f>'تقرير المصروفات حسب الشهر'!F913</f>
        <v>0</v>
      </c>
      <c r="K263" s="292">
        <f>'تقرير المصروفات حسب الشهر'!F1040</f>
        <v>0</v>
      </c>
      <c r="L263" s="292">
        <f>IFERROR(VLOOKUP(B263,'تقرير المصروفات حسب الشهر'!$C$1143:$AD$1254,4,FALSE),0)</f>
        <v>0</v>
      </c>
      <c r="M263" s="292">
        <f>IFERROR(VLOOKUP(B263,'تقرير المصروفات حسب الشهر'!$C$1270:$AD$1381,4,FALSE),0)</f>
        <v>0</v>
      </c>
      <c r="N263" s="292" t="e">
        <f>#REF!</f>
        <v>#REF!</v>
      </c>
      <c r="O263" s="296" t="e">
        <f t="shared" si="6"/>
        <v>#REF!</v>
      </c>
    </row>
    <row r="264" spans="2:15" ht="17.399999999999999">
      <c r="B264" s="291" t="s">
        <v>56</v>
      </c>
      <c r="C264" s="292">
        <f>'تقرير المصروفات حسب الشهر'!F34</f>
        <v>217.24</v>
      </c>
      <c r="D264" s="292" t="e">
        <f>#REF!</f>
        <v>#REF!</v>
      </c>
      <c r="E264" s="292" t="e">
        <f>#REF!</f>
        <v>#REF!</v>
      </c>
      <c r="F264" s="292" t="e">
        <f>#REF!</f>
        <v>#REF!</v>
      </c>
      <c r="G264" s="292" t="e">
        <f>#REF!</f>
        <v>#REF!</v>
      </c>
      <c r="H264" s="292" t="e">
        <f>#REF!</f>
        <v>#REF!</v>
      </c>
      <c r="I264" s="292">
        <f>'تقرير المصروفات حسب الشهر'!F787</f>
        <v>217.24</v>
      </c>
      <c r="J264" s="292">
        <f>'تقرير المصروفات حسب الشهر'!F914</f>
        <v>217.24</v>
      </c>
      <c r="K264" s="292">
        <f>'تقرير المصروفات حسب الشهر'!F1041</f>
        <v>217.24</v>
      </c>
      <c r="L264" s="292">
        <f>IFERROR(VLOOKUP(B264,'تقرير المصروفات حسب الشهر'!$C$1143:$AD$1254,4,FALSE),0)</f>
        <v>217.24</v>
      </c>
      <c r="M264" s="292">
        <f>IFERROR(VLOOKUP(B264,'تقرير المصروفات حسب الشهر'!$C$1270:$AD$1381,4,FALSE),0)</f>
        <v>217.24</v>
      </c>
      <c r="N264" s="292" t="e">
        <f>#REF!</f>
        <v>#REF!</v>
      </c>
      <c r="O264" s="296" t="e">
        <f t="shared" si="6"/>
        <v>#REF!</v>
      </c>
    </row>
    <row r="265" spans="2:15" ht="17.399999999999999">
      <c r="B265" s="291" t="s">
        <v>57</v>
      </c>
      <c r="C265" s="292">
        <f>'تقرير المصروفات حسب الشهر'!F35</f>
        <v>0</v>
      </c>
      <c r="D265" s="292" t="e">
        <f>#REF!</f>
        <v>#REF!</v>
      </c>
      <c r="E265" s="292" t="e">
        <f>#REF!</f>
        <v>#REF!</v>
      </c>
      <c r="F265" s="292" t="e">
        <f>#REF!</f>
        <v>#REF!</v>
      </c>
      <c r="G265" s="292" t="e">
        <f>#REF!</f>
        <v>#REF!</v>
      </c>
      <c r="H265" s="292" t="e">
        <f>#REF!</f>
        <v>#REF!</v>
      </c>
      <c r="I265" s="292">
        <f>'تقرير المصروفات حسب الشهر'!F788</f>
        <v>3600</v>
      </c>
      <c r="J265" s="292">
        <f>'تقرير المصروفات حسب الشهر'!F915</f>
        <v>2800</v>
      </c>
      <c r="K265" s="292">
        <f>'تقرير المصروفات حسب الشهر'!F1042</f>
        <v>0</v>
      </c>
      <c r="L265" s="292">
        <f>IFERROR(VLOOKUP(B265,'تقرير المصروفات حسب الشهر'!$C$1143:$AD$1254,4,FALSE),0)</f>
        <v>1200</v>
      </c>
      <c r="M265" s="292">
        <f>IFERROR(VLOOKUP(B265,'تقرير المصروفات حسب الشهر'!$C$1270:$AD$1381,4,FALSE),0)</f>
        <v>600</v>
      </c>
      <c r="N265" s="292" t="e">
        <f>#REF!</f>
        <v>#REF!</v>
      </c>
      <c r="O265" s="296" t="e">
        <f t="shared" si="6"/>
        <v>#REF!</v>
      </c>
    </row>
    <row r="266" spans="2:15" ht="17.399999999999999">
      <c r="B266" s="291" t="s">
        <v>58</v>
      </c>
      <c r="C266" s="292">
        <f>'تقرير المصروفات حسب الشهر'!F36</f>
        <v>0</v>
      </c>
      <c r="D266" s="292" t="e">
        <f>#REF!</f>
        <v>#REF!</v>
      </c>
      <c r="E266" s="292" t="e">
        <f>#REF!</f>
        <v>#REF!</v>
      </c>
      <c r="F266" s="292" t="e">
        <f>#REF!</f>
        <v>#REF!</v>
      </c>
      <c r="G266" s="292" t="e">
        <f>#REF!</f>
        <v>#REF!</v>
      </c>
      <c r="H266" s="292" t="e">
        <f>#REF!</f>
        <v>#REF!</v>
      </c>
      <c r="I266" s="292">
        <f>'تقرير المصروفات حسب الشهر'!F789</f>
        <v>0</v>
      </c>
      <c r="J266" s="292">
        <f>'تقرير المصروفات حسب الشهر'!F916</f>
        <v>0</v>
      </c>
      <c r="K266" s="292">
        <f>'تقرير المصروفات حسب الشهر'!F1043</f>
        <v>135</v>
      </c>
      <c r="L266" s="292">
        <f>IFERROR(VLOOKUP(B266,'تقرير المصروفات حسب الشهر'!$C$1143:$AD$1254,4,FALSE),0)</f>
        <v>6720</v>
      </c>
      <c r="M266" s="292">
        <f>IFERROR(VLOOKUP(B266,'تقرير المصروفات حسب الشهر'!$C$1270:$AD$1381,4,FALSE),0)</f>
        <v>350</v>
      </c>
      <c r="N266" s="292" t="e">
        <f>#REF!</f>
        <v>#REF!</v>
      </c>
      <c r="O266" s="296" t="e">
        <f t="shared" si="6"/>
        <v>#REF!</v>
      </c>
    </row>
    <row r="267" spans="2:15" ht="17.399999999999999">
      <c r="B267" s="291" t="s">
        <v>59</v>
      </c>
      <c r="C267" s="292">
        <f>'تقرير المصروفات حسب الشهر'!F37</f>
        <v>0</v>
      </c>
      <c r="D267" s="292" t="e">
        <f>#REF!</f>
        <v>#REF!</v>
      </c>
      <c r="E267" s="292" t="e">
        <f>#REF!</f>
        <v>#REF!</v>
      </c>
      <c r="F267" s="292" t="e">
        <f>#REF!</f>
        <v>#REF!</v>
      </c>
      <c r="G267" s="292" t="e">
        <f>#REF!</f>
        <v>#REF!</v>
      </c>
      <c r="H267" s="292" t="e">
        <f>#REF!</f>
        <v>#REF!</v>
      </c>
      <c r="I267" s="292">
        <f>'تقرير المصروفات حسب الشهر'!F790</f>
        <v>0</v>
      </c>
      <c r="J267" s="292">
        <f>'تقرير المصروفات حسب الشهر'!F917</f>
        <v>0</v>
      </c>
      <c r="K267" s="292">
        <f>'تقرير المصروفات حسب الشهر'!F1044</f>
        <v>0</v>
      </c>
      <c r="L267" s="292">
        <f>IFERROR(VLOOKUP(B267,'تقرير المصروفات حسب الشهر'!$C$1143:$AD$1254,4,FALSE),0)</f>
        <v>0</v>
      </c>
      <c r="M267" s="292">
        <f>IFERROR(VLOOKUP(B267,'تقرير المصروفات حسب الشهر'!$C$1270:$AD$1381,4,FALSE),0)</f>
        <v>0</v>
      </c>
      <c r="N267" s="292" t="e">
        <f>#REF!</f>
        <v>#REF!</v>
      </c>
      <c r="O267" s="296" t="e">
        <f t="shared" si="6"/>
        <v>#REF!</v>
      </c>
    </row>
    <row r="268" spans="2:15" ht="17.399999999999999">
      <c r="B268" s="291" t="s">
        <v>60</v>
      </c>
      <c r="C268" s="292">
        <f>'تقرير المصروفات حسب الشهر'!F38</f>
        <v>0</v>
      </c>
      <c r="D268" s="292" t="e">
        <f>#REF!</f>
        <v>#REF!</v>
      </c>
      <c r="E268" s="292" t="e">
        <f>#REF!</f>
        <v>#REF!</v>
      </c>
      <c r="F268" s="292" t="e">
        <f>#REF!</f>
        <v>#REF!</v>
      </c>
      <c r="G268" s="292" t="e">
        <f>#REF!</f>
        <v>#REF!</v>
      </c>
      <c r="H268" s="292" t="e">
        <f>#REF!</f>
        <v>#REF!</v>
      </c>
      <c r="I268" s="292">
        <f>'تقرير المصروفات حسب الشهر'!F791</f>
        <v>0</v>
      </c>
      <c r="J268" s="292">
        <f>'تقرير المصروفات حسب الشهر'!F918</f>
        <v>0</v>
      </c>
      <c r="K268" s="292">
        <f>'تقرير المصروفات حسب الشهر'!F1045</f>
        <v>0</v>
      </c>
      <c r="L268" s="292">
        <f>IFERROR(VLOOKUP(B268,'تقرير المصروفات حسب الشهر'!$C$1143:$AD$1254,4,FALSE),0)</f>
        <v>0</v>
      </c>
      <c r="M268" s="292">
        <f>IFERROR(VLOOKUP(B268,'تقرير المصروفات حسب الشهر'!$C$1270:$AD$1381,4,FALSE),0)</f>
        <v>0</v>
      </c>
      <c r="N268" s="292" t="e">
        <f>#REF!</f>
        <v>#REF!</v>
      </c>
      <c r="O268" s="296" t="e">
        <f t="shared" si="6"/>
        <v>#REF!</v>
      </c>
    </row>
    <row r="269" spans="2:15" ht="17.399999999999999">
      <c r="B269" s="291" t="s">
        <v>61</v>
      </c>
      <c r="C269" s="292">
        <f>'تقرير المصروفات حسب الشهر'!F39</f>
        <v>1200</v>
      </c>
      <c r="D269" s="292" t="e">
        <f>#REF!</f>
        <v>#REF!</v>
      </c>
      <c r="E269" s="292" t="e">
        <f>#REF!</f>
        <v>#REF!</v>
      </c>
      <c r="F269" s="292" t="e">
        <f>#REF!</f>
        <v>#REF!</v>
      </c>
      <c r="G269" s="292" t="e">
        <f>#REF!</f>
        <v>#REF!</v>
      </c>
      <c r="H269" s="292" t="e">
        <f>#REF!</f>
        <v>#REF!</v>
      </c>
      <c r="I269" s="292">
        <f>'تقرير المصروفات حسب الشهر'!F792</f>
        <v>649.5</v>
      </c>
      <c r="J269" s="292">
        <f>'تقرير المصروفات حسب الشهر'!F919</f>
        <v>385</v>
      </c>
      <c r="K269" s="292">
        <f>'تقرير المصروفات حسب الشهر'!F1046</f>
        <v>670</v>
      </c>
      <c r="L269" s="292">
        <f>IFERROR(VLOOKUP(B269,'تقرير المصروفات حسب الشهر'!$C$1143:$AD$1254,4,FALSE),0)</f>
        <v>200</v>
      </c>
      <c r="M269" s="292">
        <f>IFERROR(VLOOKUP(B269,'تقرير المصروفات حسب الشهر'!$C$1270:$AD$1381,4,FALSE),0)</f>
        <v>350</v>
      </c>
      <c r="N269" s="292" t="e">
        <f>#REF!</f>
        <v>#REF!</v>
      </c>
      <c r="O269" s="296" t="e">
        <f t="shared" si="6"/>
        <v>#REF!</v>
      </c>
    </row>
    <row r="270" spans="2:15" ht="17.399999999999999">
      <c r="B270" s="291" t="s">
        <v>62</v>
      </c>
      <c r="C270" s="292">
        <f>'تقرير المصروفات حسب الشهر'!F40</f>
        <v>0</v>
      </c>
      <c r="D270" s="292" t="e">
        <f>#REF!</f>
        <v>#REF!</v>
      </c>
      <c r="E270" s="292" t="e">
        <f>#REF!</f>
        <v>#REF!</v>
      </c>
      <c r="F270" s="292" t="e">
        <f>#REF!</f>
        <v>#REF!</v>
      </c>
      <c r="G270" s="292" t="e">
        <f>#REF!</f>
        <v>#REF!</v>
      </c>
      <c r="H270" s="292" t="e">
        <f>#REF!</f>
        <v>#REF!</v>
      </c>
      <c r="I270" s="292">
        <f>'تقرير المصروفات حسب الشهر'!F793</f>
        <v>500</v>
      </c>
      <c r="J270" s="292">
        <f>'تقرير المصروفات حسب الشهر'!F920</f>
        <v>0</v>
      </c>
      <c r="K270" s="292">
        <f>'تقرير المصروفات حسب الشهر'!F1047</f>
        <v>1602</v>
      </c>
      <c r="L270" s="292">
        <f>IFERROR(VLOOKUP(B270,'تقرير المصروفات حسب الشهر'!$C$1143:$AD$1254,4,FALSE),0)</f>
        <v>0</v>
      </c>
      <c r="M270" s="292">
        <f>IFERROR(VLOOKUP(B270,'تقرير المصروفات حسب الشهر'!$C$1270:$AD$1381,4,FALSE),0)</f>
        <v>0</v>
      </c>
      <c r="N270" s="292" t="e">
        <f>#REF!</f>
        <v>#REF!</v>
      </c>
      <c r="O270" s="296" t="e">
        <f t="shared" si="6"/>
        <v>#REF!</v>
      </c>
    </row>
    <row r="271" spans="2:15" ht="17.399999999999999">
      <c r="B271" s="291" t="s">
        <v>63</v>
      </c>
      <c r="C271" s="292">
        <f>'تقرير المصروفات حسب الشهر'!F41</f>
        <v>0</v>
      </c>
      <c r="D271" s="292" t="e">
        <f>#REF!</f>
        <v>#REF!</v>
      </c>
      <c r="E271" s="292" t="e">
        <f>#REF!</f>
        <v>#REF!</v>
      </c>
      <c r="F271" s="292" t="e">
        <f>#REF!</f>
        <v>#REF!</v>
      </c>
      <c r="G271" s="292" t="e">
        <f>#REF!</f>
        <v>#REF!</v>
      </c>
      <c r="H271" s="292" t="e">
        <f>#REF!</f>
        <v>#REF!</v>
      </c>
      <c r="I271" s="292">
        <f>'تقرير المصروفات حسب الشهر'!F794</f>
        <v>0</v>
      </c>
      <c r="J271" s="292">
        <f>'تقرير المصروفات حسب الشهر'!F921</f>
        <v>0</v>
      </c>
      <c r="K271" s="292">
        <f>'تقرير المصروفات حسب الشهر'!F1048</f>
        <v>0</v>
      </c>
      <c r="L271" s="292">
        <f>IFERROR(VLOOKUP(B271,'تقرير المصروفات حسب الشهر'!$C$1143:$AD$1254,4,FALSE),0)</f>
        <v>0</v>
      </c>
      <c r="M271" s="292">
        <f>IFERROR(VLOOKUP(B271,'تقرير المصروفات حسب الشهر'!$C$1270:$AD$1381,4,FALSE),0)</f>
        <v>0</v>
      </c>
      <c r="N271" s="292" t="e">
        <f>#REF!</f>
        <v>#REF!</v>
      </c>
      <c r="O271" s="296" t="e">
        <f t="shared" si="6"/>
        <v>#REF!</v>
      </c>
    </row>
    <row r="272" spans="2:15" ht="17.399999999999999">
      <c r="B272" s="291" t="s">
        <v>64</v>
      </c>
      <c r="C272" s="292">
        <f>'تقرير المصروفات حسب الشهر'!F42</f>
        <v>11050</v>
      </c>
      <c r="D272" s="292" t="e">
        <f>#REF!</f>
        <v>#REF!</v>
      </c>
      <c r="E272" s="292" t="e">
        <f>#REF!</f>
        <v>#REF!</v>
      </c>
      <c r="F272" s="292" t="e">
        <f>#REF!</f>
        <v>#REF!</v>
      </c>
      <c r="G272" s="292" t="e">
        <f>#REF!</f>
        <v>#REF!</v>
      </c>
      <c r="H272" s="292" t="e">
        <f>#REF!</f>
        <v>#REF!</v>
      </c>
      <c r="I272" s="292">
        <f>'تقرير المصروفات حسب الشهر'!F795</f>
        <v>16400</v>
      </c>
      <c r="J272" s="292">
        <f>'تقرير المصروفات حسب الشهر'!F922</f>
        <v>10000</v>
      </c>
      <c r="K272" s="292">
        <f>'تقرير المصروفات حسب الشهر'!F1049</f>
        <v>0</v>
      </c>
      <c r="L272" s="292">
        <f>IFERROR(VLOOKUP(B272,'تقرير المصروفات حسب الشهر'!$C$1143:$AD$1254,4,FALSE),0)</f>
        <v>10000</v>
      </c>
      <c r="M272" s="292">
        <f>IFERROR(VLOOKUP(B272,'تقرير المصروفات حسب الشهر'!$C$1270:$AD$1381,4,FALSE),0)</f>
        <v>0</v>
      </c>
      <c r="N272" s="292" t="e">
        <f>#REF!</f>
        <v>#REF!</v>
      </c>
      <c r="O272" s="296" t="e">
        <f t="shared" si="6"/>
        <v>#REF!</v>
      </c>
    </row>
    <row r="273" spans="2:15" ht="17.399999999999999">
      <c r="B273" s="291" t="s">
        <v>28</v>
      </c>
      <c r="C273" s="292">
        <f>'تقرير المصروفات حسب الشهر'!F43</f>
        <v>0</v>
      </c>
      <c r="D273" s="292" t="e">
        <f>#REF!</f>
        <v>#REF!</v>
      </c>
      <c r="E273" s="292" t="e">
        <f>#REF!</f>
        <v>#REF!</v>
      </c>
      <c r="F273" s="292" t="e">
        <f>#REF!</f>
        <v>#REF!</v>
      </c>
      <c r="G273" s="292" t="e">
        <f>#REF!</f>
        <v>#REF!</v>
      </c>
      <c r="H273" s="292" t="e">
        <f>#REF!</f>
        <v>#REF!</v>
      </c>
      <c r="I273" s="292">
        <f>'تقرير المصروفات حسب الشهر'!F796</f>
        <v>0</v>
      </c>
      <c r="J273" s="292">
        <f>'تقرير المصروفات حسب الشهر'!F923</f>
        <v>0</v>
      </c>
      <c r="K273" s="292">
        <f>'تقرير المصروفات حسب الشهر'!F1050</f>
        <v>0</v>
      </c>
      <c r="L273" s="292">
        <f>IFERROR(VLOOKUP(B273,'تقرير المصروفات حسب الشهر'!$C$1143:$AD$1254,4,FALSE),0)</f>
        <v>0</v>
      </c>
      <c r="M273" s="292">
        <f>IFERROR(VLOOKUP(B273,'تقرير المصروفات حسب الشهر'!$C$1270:$AD$1381,4,FALSE),0)</f>
        <v>0</v>
      </c>
      <c r="N273" s="292" t="e">
        <f>#REF!</f>
        <v>#REF!</v>
      </c>
      <c r="O273" s="296" t="e">
        <f t="shared" si="6"/>
        <v>#REF!</v>
      </c>
    </row>
    <row r="274" spans="2:15" ht="17.399999999999999">
      <c r="B274" s="291" t="s">
        <v>157</v>
      </c>
      <c r="C274" s="292">
        <f>'تقرير المصروفات حسب الشهر'!F44</f>
        <v>0</v>
      </c>
      <c r="D274" s="292" t="e">
        <f>#REF!</f>
        <v>#REF!</v>
      </c>
      <c r="E274" s="292" t="e">
        <f>#REF!</f>
        <v>#REF!</v>
      </c>
      <c r="F274" s="292" t="e">
        <f>#REF!</f>
        <v>#REF!</v>
      </c>
      <c r="G274" s="292" t="e">
        <f>#REF!</f>
        <v>#REF!</v>
      </c>
      <c r="H274" s="292" t="e">
        <f>#REF!</f>
        <v>#REF!</v>
      </c>
      <c r="I274" s="292">
        <f>'تقرير المصروفات حسب الشهر'!F797</f>
        <v>0</v>
      </c>
      <c r="J274" s="292">
        <f>'تقرير المصروفات حسب الشهر'!F924</f>
        <v>725.56</v>
      </c>
      <c r="K274" s="292">
        <f>'تقرير المصروفات حسب الشهر'!F1051</f>
        <v>0</v>
      </c>
      <c r="L274" s="292">
        <f>IFERROR(VLOOKUP(B274,'تقرير المصروفات حسب الشهر'!$C$1143:$AD$1254,4,FALSE),0)</f>
        <v>207.64</v>
      </c>
      <c r="M274" s="292">
        <f>IFERROR(VLOOKUP(B274,'تقرير المصروفات حسب الشهر'!$C$1270:$AD$1381,4,FALSE),0)</f>
        <v>1446.34</v>
      </c>
      <c r="N274" s="292" t="e">
        <f>#REF!</f>
        <v>#REF!</v>
      </c>
      <c r="O274" s="296" t="e">
        <f t="shared" si="6"/>
        <v>#REF!</v>
      </c>
    </row>
    <row r="275" spans="2:15" ht="17.399999999999999">
      <c r="B275" s="291" t="s">
        <v>65</v>
      </c>
      <c r="C275" s="292">
        <f>'تقرير المصروفات حسب الشهر'!F45</f>
        <v>0</v>
      </c>
      <c r="D275" s="292" t="e">
        <f>#REF!</f>
        <v>#REF!</v>
      </c>
      <c r="E275" s="292" t="e">
        <f>#REF!</f>
        <v>#REF!</v>
      </c>
      <c r="F275" s="292" t="e">
        <f>#REF!</f>
        <v>#REF!</v>
      </c>
      <c r="G275" s="292" t="e">
        <f>#REF!</f>
        <v>#REF!</v>
      </c>
      <c r="H275" s="292" t="e">
        <f>#REF!</f>
        <v>#REF!</v>
      </c>
      <c r="I275" s="292">
        <f>'تقرير المصروفات حسب الشهر'!F798</f>
        <v>0</v>
      </c>
      <c r="J275" s="292">
        <f>'تقرير المصروفات حسب الشهر'!F925</f>
        <v>0</v>
      </c>
      <c r="K275" s="292">
        <f>'تقرير المصروفات حسب الشهر'!F1052</f>
        <v>0</v>
      </c>
      <c r="L275" s="292">
        <f>IFERROR(VLOOKUP(B275,'تقرير المصروفات حسب الشهر'!$C$1143:$AD$1254,4,FALSE),0)</f>
        <v>0</v>
      </c>
      <c r="M275" s="292">
        <f>IFERROR(VLOOKUP(B275,'تقرير المصروفات حسب الشهر'!$C$1270:$AD$1381,4,FALSE),0)</f>
        <v>0</v>
      </c>
      <c r="N275" s="292" t="e">
        <f>#REF!</f>
        <v>#REF!</v>
      </c>
      <c r="O275" s="296" t="e">
        <f t="shared" si="6"/>
        <v>#REF!</v>
      </c>
    </row>
    <row r="276" spans="2:15" ht="17.399999999999999">
      <c r="B276" s="291" t="s">
        <v>66</v>
      </c>
      <c r="C276" s="292">
        <f>'تقرير المصروفات حسب الشهر'!F46</f>
        <v>0</v>
      </c>
      <c r="D276" s="292" t="e">
        <f>#REF!</f>
        <v>#REF!</v>
      </c>
      <c r="E276" s="292" t="e">
        <f>#REF!</f>
        <v>#REF!</v>
      </c>
      <c r="F276" s="292" t="e">
        <f>#REF!</f>
        <v>#REF!</v>
      </c>
      <c r="G276" s="292" t="e">
        <f>#REF!</f>
        <v>#REF!</v>
      </c>
      <c r="H276" s="292" t="e">
        <f>#REF!</f>
        <v>#REF!</v>
      </c>
      <c r="I276" s="292">
        <f>'تقرير المصروفات حسب الشهر'!F799</f>
        <v>0</v>
      </c>
      <c r="J276" s="292">
        <f>'تقرير المصروفات حسب الشهر'!F926</f>
        <v>0</v>
      </c>
      <c r="K276" s="292">
        <f>'تقرير المصروفات حسب الشهر'!F1053</f>
        <v>0</v>
      </c>
      <c r="L276" s="292">
        <f>IFERROR(VLOOKUP(B276,'تقرير المصروفات حسب الشهر'!$C$1143:$AD$1254,4,FALSE),0)</f>
        <v>0</v>
      </c>
      <c r="M276" s="292">
        <f>IFERROR(VLOOKUP(B276,'تقرير المصروفات حسب الشهر'!$C$1270:$AD$1381,4,FALSE),0)</f>
        <v>0</v>
      </c>
      <c r="N276" s="292" t="e">
        <f>#REF!</f>
        <v>#REF!</v>
      </c>
      <c r="O276" s="296" t="e">
        <f t="shared" si="6"/>
        <v>#REF!</v>
      </c>
    </row>
    <row r="277" spans="2:15" ht="17.399999999999999">
      <c r="B277" s="291" t="s">
        <v>30</v>
      </c>
      <c r="C277" s="292">
        <f>'تقرير المصروفات حسب الشهر'!F47</f>
        <v>0</v>
      </c>
      <c r="D277" s="292" t="e">
        <f>#REF!</f>
        <v>#REF!</v>
      </c>
      <c r="E277" s="292" t="e">
        <f>#REF!</f>
        <v>#REF!</v>
      </c>
      <c r="F277" s="292" t="e">
        <f>#REF!</f>
        <v>#REF!</v>
      </c>
      <c r="G277" s="292" t="e">
        <f>#REF!</f>
        <v>#REF!</v>
      </c>
      <c r="H277" s="292" t="e">
        <f>#REF!</f>
        <v>#REF!</v>
      </c>
      <c r="I277" s="292">
        <f>'تقرير المصروفات حسب الشهر'!F800</f>
        <v>8877.25</v>
      </c>
      <c r="J277" s="292">
        <f>'تقرير المصروفات حسب الشهر'!F927</f>
        <v>0</v>
      </c>
      <c r="K277" s="292">
        <f>'تقرير المصروفات حسب الشهر'!F1054</f>
        <v>18877.75</v>
      </c>
      <c r="L277" s="292">
        <f>IFERROR(VLOOKUP(B277,'تقرير المصروفات حسب الشهر'!$C$1143:$AD$1254,4,FALSE),0)</f>
        <v>8800.25</v>
      </c>
      <c r="M277" s="292">
        <f>IFERROR(VLOOKUP(B277,'تقرير المصروفات حسب الشهر'!$C$1270:$AD$1381,4,FALSE),0)</f>
        <v>13252.25</v>
      </c>
      <c r="N277" s="292" t="e">
        <f>#REF!</f>
        <v>#REF!</v>
      </c>
      <c r="O277" s="296" t="e">
        <f t="shared" si="6"/>
        <v>#REF!</v>
      </c>
    </row>
    <row r="278" spans="2:15" ht="17.399999999999999">
      <c r="B278" s="291" t="s">
        <v>67</v>
      </c>
      <c r="C278" s="292">
        <f>'تقرير المصروفات حسب الشهر'!F48</f>
        <v>7280</v>
      </c>
      <c r="D278" s="292" t="e">
        <f>#REF!</f>
        <v>#REF!</v>
      </c>
      <c r="E278" s="292" t="e">
        <f>#REF!</f>
        <v>#REF!</v>
      </c>
      <c r="F278" s="292" t="e">
        <f>#REF!</f>
        <v>#REF!</v>
      </c>
      <c r="G278" s="292" t="e">
        <f>#REF!</f>
        <v>#REF!</v>
      </c>
      <c r="H278" s="292" t="e">
        <f>#REF!</f>
        <v>#REF!</v>
      </c>
      <c r="I278" s="292">
        <f>'تقرير المصروفات حسب الشهر'!F801</f>
        <v>0</v>
      </c>
      <c r="J278" s="292">
        <f>'تقرير المصروفات حسب الشهر'!F928</f>
        <v>16500</v>
      </c>
      <c r="K278" s="292">
        <f>'تقرير المصروفات حسب الشهر'!F1055</f>
        <v>0</v>
      </c>
      <c r="L278" s="292">
        <f>IFERROR(VLOOKUP(B278,'تقرير المصروفات حسب الشهر'!$C$1143:$AD$1254,4,FALSE),0)</f>
        <v>15180</v>
      </c>
      <c r="M278" s="292">
        <f>IFERROR(VLOOKUP(B278,'تقرير المصروفات حسب الشهر'!$C$1270:$AD$1381,4,FALSE),0)</f>
        <v>0</v>
      </c>
      <c r="N278" s="292" t="e">
        <f>#REF!</f>
        <v>#REF!</v>
      </c>
      <c r="O278" s="296" t="e">
        <f t="shared" si="6"/>
        <v>#REF!</v>
      </c>
    </row>
    <row r="279" spans="2:15" ht="17.399999999999999">
      <c r="B279" s="291" t="s">
        <v>111</v>
      </c>
      <c r="C279" s="292">
        <f>'تقرير المصروفات حسب الشهر'!F49</f>
        <v>200</v>
      </c>
      <c r="D279" s="292" t="e">
        <f>#REF!</f>
        <v>#REF!</v>
      </c>
      <c r="E279" s="292" t="e">
        <f>#REF!</f>
        <v>#REF!</v>
      </c>
      <c r="F279" s="292" t="e">
        <f>#REF!</f>
        <v>#REF!</v>
      </c>
      <c r="G279" s="292" t="e">
        <f>#REF!</f>
        <v>#REF!</v>
      </c>
      <c r="H279" s="292" t="e">
        <f>#REF!</f>
        <v>#REF!</v>
      </c>
      <c r="I279" s="292">
        <f>'تقرير المصروفات حسب الشهر'!F802</f>
        <v>500</v>
      </c>
      <c r="J279" s="292">
        <f>'تقرير المصروفات حسب الشهر'!F929</f>
        <v>1200</v>
      </c>
      <c r="K279" s="292">
        <f>'تقرير المصروفات حسب الشهر'!F1056</f>
        <v>550</v>
      </c>
      <c r="L279" s="292">
        <f>IFERROR(VLOOKUP(B279,'تقرير المصروفات حسب الشهر'!$C$1143:$AD$1254,4,FALSE),0)</f>
        <v>300</v>
      </c>
      <c r="M279" s="292">
        <f>IFERROR(VLOOKUP(B279,'تقرير المصروفات حسب الشهر'!$C$1270:$AD$1381,4,FALSE),0)</f>
        <v>900</v>
      </c>
      <c r="N279" s="292" t="e">
        <f>#REF!</f>
        <v>#REF!</v>
      </c>
      <c r="O279" s="296" t="e">
        <f t="shared" si="6"/>
        <v>#REF!</v>
      </c>
    </row>
    <row r="280" spans="2:15" ht="17.399999999999999">
      <c r="B280" s="291" t="s">
        <v>68</v>
      </c>
      <c r="C280" s="292">
        <f>'تقرير المصروفات حسب الشهر'!F50</f>
        <v>0</v>
      </c>
      <c r="D280" s="292" t="e">
        <f>#REF!</f>
        <v>#REF!</v>
      </c>
      <c r="E280" s="292" t="e">
        <f>#REF!</f>
        <v>#REF!</v>
      </c>
      <c r="F280" s="292" t="e">
        <f>#REF!</f>
        <v>#REF!</v>
      </c>
      <c r="G280" s="292" t="e">
        <f>#REF!</f>
        <v>#REF!</v>
      </c>
      <c r="H280" s="292" t="e">
        <f>#REF!</f>
        <v>#REF!</v>
      </c>
      <c r="I280" s="292">
        <f>'تقرير المصروفات حسب الشهر'!F803</f>
        <v>0</v>
      </c>
      <c r="J280" s="292">
        <f>'تقرير المصروفات حسب الشهر'!F930</f>
        <v>0</v>
      </c>
      <c r="K280" s="292">
        <f>'تقرير المصروفات حسب الشهر'!F1057</f>
        <v>3608</v>
      </c>
      <c r="L280" s="292">
        <f>IFERROR(VLOOKUP(B280,'تقرير المصروفات حسب الشهر'!$C$1143:$AD$1254,4,FALSE),0)</f>
        <v>0</v>
      </c>
      <c r="M280" s="292">
        <f>IFERROR(VLOOKUP(B280,'تقرير المصروفات حسب الشهر'!$C$1270:$AD$1381,4,FALSE),0)</f>
        <v>0</v>
      </c>
      <c r="N280" s="292" t="e">
        <f>#REF!</f>
        <v>#REF!</v>
      </c>
      <c r="O280" s="296" t="e">
        <f t="shared" si="6"/>
        <v>#REF!</v>
      </c>
    </row>
    <row r="281" spans="2:15" ht="17.399999999999999">
      <c r="B281" s="291" t="s">
        <v>69</v>
      </c>
      <c r="C281" s="292">
        <f>'تقرير المصروفات حسب الشهر'!F51</f>
        <v>2400</v>
      </c>
      <c r="D281" s="292" t="e">
        <f>#REF!</f>
        <v>#REF!</v>
      </c>
      <c r="E281" s="292" t="e">
        <f>#REF!</f>
        <v>#REF!</v>
      </c>
      <c r="F281" s="292" t="e">
        <f>#REF!</f>
        <v>#REF!</v>
      </c>
      <c r="G281" s="292" t="e">
        <f>#REF!</f>
        <v>#REF!</v>
      </c>
      <c r="H281" s="292" t="e">
        <f>#REF!</f>
        <v>#REF!</v>
      </c>
      <c r="I281" s="292">
        <f>'تقرير المصروفات حسب الشهر'!F804</f>
        <v>400</v>
      </c>
      <c r="J281" s="292">
        <f>'تقرير المصروفات حسب الشهر'!F931</f>
        <v>0</v>
      </c>
      <c r="K281" s="292">
        <f>'تقرير المصروفات حسب الشهر'!F1058</f>
        <v>0</v>
      </c>
      <c r="L281" s="292">
        <f>IFERROR(VLOOKUP(B281,'تقرير المصروفات حسب الشهر'!$C$1143:$AD$1254,4,FALSE),0)</f>
        <v>0</v>
      </c>
      <c r="M281" s="292">
        <f>IFERROR(VLOOKUP(B281,'تقرير المصروفات حسب الشهر'!$C$1270:$AD$1381,4,FALSE),0)</f>
        <v>700</v>
      </c>
      <c r="N281" s="292" t="e">
        <f>#REF!</f>
        <v>#REF!</v>
      </c>
      <c r="O281" s="296" t="e">
        <f t="shared" si="6"/>
        <v>#REF!</v>
      </c>
    </row>
    <row r="282" spans="2:15" ht="17.399999999999999">
      <c r="B282" s="291" t="s">
        <v>70</v>
      </c>
      <c r="C282" s="292">
        <f>'تقرير المصروفات حسب الشهر'!F52</f>
        <v>0</v>
      </c>
      <c r="D282" s="292" t="e">
        <f>#REF!</f>
        <v>#REF!</v>
      </c>
      <c r="E282" s="292" t="e">
        <f>#REF!</f>
        <v>#REF!</v>
      </c>
      <c r="F282" s="292" t="e">
        <f>#REF!</f>
        <v>#REF!</v>
      </c>
      <c r="G282" s="292" t="e">
        <f>#REF!</f>
        <v>#REF!</v>
      </c>
      <c r="H282" s="292" t="e">
        <f>#REF!</f>
        <v>#REF!</v>
      </c>
      <c r="I282" s="292">
        <f>'تقرير المصروفات حسب الشهر'!F805</f>
        <v>0</v>
      </c>
      <c r="J282" s="292">
        <f>'تقرير المصروفات حسب الشهر'!F932</f>
        <v>0</v>
      </c>
      <c r="K282" s="292">
        <f>'تقرير المصروفات حسب الشهر'!F1059</f>
        <v>1350</v>
      </c>
      <c r="L282" s="292">
        <f>IFERROR(VLOOKUP(B282,'تقرير المصروفات حسب الشهر'!$C$1143:$AD$1254,4,FALSE),0)</f>
        <v>0</v>
      </c>
      <c r="M282" s="292">
        <f>IFERROR(VLOOKUP(B282,'تقرير المصروفات حسب الشهر'!$C$1270:$AD$1381,4,FALSE),0)</f>
        <v>0</v>
      </c>
      <c r="N282" s="292" t="e">
        <f>#REF!</f>
        <v>#REF!</v>
      </c>
      <c r="O282" s="296" t="e">
        <f t="shared" si="6"/>
        <v>#REF!</v>
      </c>
    </row>
    <row r="283" spans="2:15" ht="17.399999999999999">
      <c r="B283" s="291" t="s">
        <v>71</v>
      </c>
      <c r="C283" s="292">
        <f>'تقرير المصروفات حسب الشهر'!F53</f>
        <v>0</v>
      </c>
      <c r="D283" s="292" t="e">
        <f>#REF!</f>
        <v>#REF!</v>
      </c>
      <c r="E283" s="292" t="e">
        <f>#REF!</f>
        <v>#REF!</v>
      </c>
      <c r="F283" s="292" t="e">
        <f>#REF!</f>
        <v>#REF!</v>
      </c>
      <c r="G283" s="292" t="e">
        <f>#REF!</f>
        <v>#REF!</v>
      </c>
      <c r="H283" s="292" t="e">
        <f>#REF!</f>
        <v>#REF!</v>
      </c>
      <c r="I283" s="292">
        <f>'تقرير المصروفات حسب الشهر'!F806</f>
        <v>0</v>
      </c>
      <c r="J283" s="292">
        <f>'تقرير المصروفات حسب الشهر'!F933</f>
        <v>0</v>
      </c>
      <c r="K283" s="292">
        <f>'تقرير المصروفات حسب الشهر'!F1060</f>
        <v>0</v>
      </c>
      <c r="L283" s="292">
        <f>IFERROR(VLOOKUP(B283,'تقرير المصروفات حسب الشهر'!$C$1143:$AD$1254,4,FALSE),0)</f>
        <v>0</v>
      </c>
      <c r="M283" s="292">
        <f>IFERROR(VLOOKUP(B283,'تقرير المصروفات حسب الشهر'!$C$1270:$AD$1381,4,FALSE),0)</f>
        <v>0</v>
      </c>
      <c r="N283" s="292" t="e">
        <f>#REF!</f>
        <v>#REF!</v>
      </c>
      <c r="O283" s="296" t="e">
        <f t="shared" si="6"/>
        <v>#REF!</v>
      </c>
    </row>
    <row r="284" spans="2:15" ht="17.399999999999999">
      <c r="B284" s="291" t="s">
        <v>159</v>
      </c>
      <c r="C284" s="292">
        <f>'تقرير المصروفات حسب الشهر'!F54</f>
        <v>0</v>
      </c>
      <c r="D284" s="292" t="e">
        <f>#REF!</f>
        <v>#REF!</v>
      </c>
      <c r="E284" s="292" t="e">
        <f>#REF!</f>
        <v>#REF!</v>
      </c>
      <c r="F284" s="292" t="e">
        <f>#REF!</f>
        <v>#REF!</v>
      </c>
      <c r="G284" s="292" t="e">
        <f>#REF!</f>
        <v>#REF!</v>
      </c>
      <c r="H284" s="292" t="e">
        <f>#REF!</f>
        <v>#REF!</v>
      </c>
      <c r="I284" s="292">
        <f>'تقرير المصروفات حسب الشهر'!F807</f>
        <v>0</v>
      </c>
      <c r="J284" s="292">
        <f>'تقرير المصروفات حسب الشهر'!F934</f>
        <v>0</v>
      </c>
      <c r="K284" s="292">
        <f>'تقرير المصروفات حسب الشهر'!F1061</f>
        <v>0</v>
      </c>
      <c r="L284" s="292">
        <f>IFERROR(VLOOKUP(B284,'تقرير المصروفات حسب الشهر'!$C$1143:$AD$1254,4,FALSE),0)</f>
        <v>0</v>
      </c>
      <c r="M284" s="292">
        <f>IFERROR(VLOOKUP(B284,'تقرير المصروفات حسب الشهر'!$C$1270:$AD$1381,4,FALSE),0)</f>
        <v>0</v>
      </c>
      <c r="N284" s="292" t="e">
        <f>#REF!</f>
        <v>#REF!</v>
      </c>
      <c r="O284" s="296" t="e">
        <f t="shared" si="6"/>
        <v>#REF!</v>
      </c>
    </row>
    <row r="285" spans="2:15" ht="17.399999999999999">
      <c r="B285" s="291" t="s">
        <v>72</v>
      </c>
      <c r="C285" s="292">
        <f>'تقرير المصروفات حسب الشهر'!F55</f>
        <v>0</v>
      </c>
      <c r="D285" s="292" t="e">
        <f>#REF!</f>
        <v>#REF!</v>
      </c>
      <c r="E285" s="292" t="e">
        <f>#REF!</f>
        <v>#REF!</v>
      </c>
      <c r="F285" s="292" t="e">
        <f>#REF!</f>
        <v>#REF!</v>
      </c>
      <c r="G285" s="292" t="e">
        <f>#REF!</f>
        <v>#REF!</v>
      </c>
      <c r="H285" s="292" t="e">
        <f>#REF!</f>
        <v>#REF!</v>
      </c>
      <c r="I285" s="292">
        <f>'تقرير المصروفات حسب الشهر'!F808</f>
        <v>0</v>
      </c>
      <c r="J285" s="292">
        <f>'تقرير المصروفات حسب الشهر'!F935</f>
        <v>0</v>
      </c>
      <c r="K285" s="292">
        <f>'تقرير المصروفات حسب الشهر'!F1062</f>
        <v>0</v>
      </c>
      <c r="L285" s="292">
        <f>IFERROR(VLOOKUP(B285,'تقرير المصروفات حسب الشهر'!$C$1143:$AD$1254,4,FALSE),0)</f>
        <v>0</v>
      </c>
      <c r="M285" s="292">
        <f>IFERROR(VLOOKUP(B285,'تقرير المصروفات حسب الشهر'!$C$1270:$AD$1381,4,FALSE),0)</f>
        <v>0</v>
      </c>
      <c r="N285" s="292" t="e">
        <f>#REF!</f>
        <v>#REF!</v>
      </c>
      <c r="O285" s="296" t="e">
        <f t="shared" si="6"/>
        <v>#REF!</v>
      </c>
    </row>
    <row r="286" spans="2:15" ht="17.399999999999999">
      <c r="B286" s="291" t="s">
        <v>73</v>
      </c>
      <c r="C286" s="292">
        <f>'تقرير المصروفات حسب الشهر'!F56</f>
        <v>0</v>
      </c>
      <c r="D286" s="292" t="e">
        <f>#REF!</f>
        <v>#REF!</v>
      </c>
      <c r="E286" s="292" t="e">
        <f>#REF!</f>
        <v>#REF!</v>
      </c>
      <c r="F286" s="292" t="e">
        <f>#REF!</f>
        <v>#REF!</v>
      </c>
      <c r="G286" s="292" t="e">
        <f>#REF!</f>
        <v>#REF!</v>
      </c>
      <c r="H286" s="292" t="e">
        <f>#REF!</f>
        <v>#REF!</v>
      </c>
      <c r="I286" s="292">
        <f>'تقرير المصروفات حسب الشهر'!F809</f>
        <v>0</v>
      </c>
      <c r="J286" s="292">
        <f>'تقرير المصروفات حسب الشهر'!F936</f>
        <v>0</v>
      </c>
      <c r="K286" s="292">
        <f>'تقرير المصروفات حسب الشهر'!F1063</f>
        <v>0</v>
      </c>
      <c r="L286" s="292">
        <f>IFERROR(VLOOKUP(B286,'تقرير المصروفات حسب الشهر'!$C$1143:$AD$1254,4,FALSE),0)</f>
        <v>0</v>
      </c>
      <c r="M286" s="292">
        <f>IFERROR(VLOOKUP(B286,'تقرير المصروفات حسب الشهر'!$C$1270:$AD$1381,4,FALSE),0)</f>
        <v>0</v>
      </c>
      <c r="N286" s="292" t="e">
        <f>#REF!</f>
        <v>#REF!</v>
      </c>
      <c r="O286" s="296" t="e">
        <f t="shared" si="6"/>
        <v>#REF!</v>
      </c>
    </row>
    <row r="287" spans="2:15" ht="17.399999999999999">
      <c r="B287" s="291" t="s">
        <v>74</v>
      </c>
      <c r="C287" s="292">
        <f>'تقرير المصروفات حسب الشهر'!F57</f>
        <v>0</v>
      </c>
      <c r="D287" s="292" t="e">
        <f>#REF!</f>
        <v>#REF!</v>
      </c>
      <c r="E287" s="292" t="e">
        <f>#REF!</f>
        <v>#REF!</v>
      </c>
      <c r="F287" s="292" t="e">
        <f>#REF!</f>
        <v>#REF!</v>
      </c>
      <c r="G287" s="292" t="e">
        <f>#REF!</f>
        <v>#REF!</v>
      </c>
      <c r="H287" s="292" t="e">
        <f>#REF!</f>
        <v>#REF!</v>
      </c>
      <c r="I287" s="292">
        <f>'تقرير المصروفات حسب الشهر'!F810</f>
        <v>0</v>
      </c>
      <c r="J287" s="292">
        <f>'تقرير المصروفات حسب الشهر'!F937</f>
        <v>0</v>
      </c>
      <c r="K287" s="292">
        <f>'تقرير المصروفات حسب الشهر'!F1064</f>
        <v>0</v>
      </c>
      <c r="L287" s="292">
        <f>IFERROR(VLOOKUP(B287,'تقرير المصروفات حسب الشهر'!$C$1143:$AD$1254,4,FALSE),0)</f>
        <v>0</v>
      </c>
      <c r="M287" s="292">
        <f>IFERROR(VLOOKUP(B287,'تقرير المصروفات حسب الشهر'!$C$1270:$AD$1381,4,FALSE),0)</f>
        <v>0</v>
      </c>
      <c r="N287" s="292" t="e">
        <f>#REF!</f>
        <v>#REF!</v>
      </c>
      <c r="O287" s="296" t="e">
        <f t="shared" si="6"/>
        <v>#REF!</v>
      </c>
    </row>
    <row r="288" spans="2:15" ht="17.399999999999999">
      <c r="B288" s="291" t="s">
        <v>246</v>
      </c>
      <c r="C288" s="292">
        <f>'تقرير المصروفات حسب الشهر'!F58</f>
        <v>0</v>
      </c>
      <c r="D288" s="292" t="e">
        <f>#REF!</f>
        <v>#REF!</v>
      </c>
      <c r="E288" s="292" t="e">
        <f>#REF!</f>
        <v>#REF!</v>
      </c>
      <c r="F288" s="292" t="e">
        <f>#REF!</f>
        <v>#REF!</v>
      </c>
      <c r="G288" s="292" t="e">
        <f>#REF!</f>
        <v>#REF!</v>
      </c>
      <c r="H288" s="292" t="e">
        <f>#REF!</f>
        <v>#REF!</v>
      </c>
      <c r="I288" s="292">
        <f>'تقرير المصروفات حسب الشهر'!F811</f>
        <v>0</v>
      </c>
      <c r="J288" s="292">
        <f>'تقرير المصروفات حسب الشهر'!F938</f>
        <v>0</v>
      </c>
      <c r="K288" s="292">
        <f>'تقرير المصروفات حسب الشهر'!F1065</f>
        <v>0</v>
      </c>
      <c r="L288" s="292">
        <f>IFERROR(VLOOKUP(B288,'تقرير المصروفات حسب الشهر'!$C$1143:$AD$1254,4,FALSE),0)</f>
        <v>0</v>
      </c>
      <c r="M288" s="292">
        <f>IFERROR(VLOOKUP(B288,'تقرير المصروفات حسب الشهر'!$C$1270:$AD$1381,4,FALSE),0)</f>
        <v>0</v>
      </c>
      <c r="N288" s="292" t="e">
        <f>#REF!</f>
        <v>#REF!</v>
      </c>
      <c r="O288" s="296" t="e">
        <f t="shared" si="6"/>
        <v>#REF!</v>
      </c>
    </row>
    <row r="289" spans="2:15" ht="17.399999999999999">
      <c r="B289" s="291" t="s">
        <v>75</v>
      </c>
      <c r="C289" s="292">
        <f>'تقرير المصروفات حسب الشهر'!F59</f>
        <v>0</v>
      </c>
      <c r="D289" s="292" t="e">
        <f>#REF!</f>
        <v>#REF!</v>
      </c>
      <c r="E289" s="292" t="e">
        <f>#REF!</f>
        <v>#REF!</v>
      </c>
      <c r="F289" s="292" t="e">
        <f>#REF!</f>
        <v>#REF!</v>
      </c>
      <c r="G289" s="292" t="e">
        <f>#REF!</f>
        <v>#REF!</v>
      </c>
      <c r="H289" s="292" t="e">
        <f>#REF!</f>
        <v>#REF!</v>
      </c>
      <c r="I289" s="292">
        <f>'تقرير المصروفات حسب الشهر'!F812</f>
        <v>0</v>
      </c>
      <c r="J289" s="292">
        <f>'تقرير المصروفات حسب الشهر'!F939</f>
        <v>0</v>
      </c>
      <c r="K289" s="292">
        <f>'تقرير المصروفات حسب الشهر'!F1066</f>
        <v>0</v>
      </c>
      <c r="L289" s="292">
        <f>IFERROR(VLOOKUP(B289,'تقرير المصروفات حسب الشهر'!$C$1143:$AD$1254,4,FALSE),0)</f>
        <v>0</v>
      </c>
      <c r="M289" s="292">
        <f>IFERROR(VLOOKUP(B289,'تقرير المصروفات حسب الشهر'!$C$1270:$AD$1381,4,FALSE),0)</f>
        <v>0</v>
      </c>
      <c r="N289" s="292" t="e">
        <f>#REF!</f>
        <v>#REF!</v>
      </c>
      <c r="O289" s="296" t="e">
        <f t="shared" si="6"/>
        <v>#REF!</v>
      </c>
    </row>
    <row r="290" spans="2:15" ht="17.399999999999999">
      <c r="B290" s="291" t="s">
        <v>76</v>
      </c>
      <c r="C290" s="292">
        <f>'تقرير المصروفات حسب الشهر'!F60</f>
        <v>0</v>
      </c>
      <c r="D290" s="292" t="e">
        <f>#REF!</f>
        <v>#REF!</v>
      </c>
      <c r="E290" s="292" t="e">
        <f>#REF!</f>
        <v>#REF!</v>
      </c>
      <c r="F290" s="292" t="e">
        <f>#REF!</f>
        <v>#REF!</v>
      </c>
      <c r="G290" s="292" t="e">
        <f>#REF!</f>
        <v>#REF!</v>
      </c>
      <c r="H290" s="292" t="e">
        <f>#REF!</f>
        <v>#REF!</v>
      </c>
      <c r="I290" s="292">
        <f>'تقرير المصروفات حسب الشهر'!F813</f>
        <v>0</v>
      </c>
      <c r="J290" s="292">
        <f>'تقرير المصروفات حسب الشهر'!F940</f>
        <v>0</v>
      </c>
      <c r="K290" s="292">
        <f>'تقرير المصروفات حسب الشهر'!F1067</f>
        <v>0</v>
      </c>
      <c r="L290" s="292">
        <f>IFERROR(VLOOKUP(B290,'تقرير المصروفات حسب الشهر'!$C$1143:$AD$1254,4,FALSE),0)</f>
        <v>0</v>
      </c>
      <c r="M290" s="292">
        <f>IFERROR(VLOOKUP(B290,'تقرير المصروفات حسب الشهر'!$C$1270:$AD$1381,4,FALSE),0)</f>
        <v>0</v>
      </c>
      <c r="N290" s="292" t="e">
        <f>#REF!</f>
        <v>#REF!</v>
      </c>
      <c r="O290" s="296" t="e">
        <f t="shared" si="6"/>
        <v>#REF!</v>
      </c>
    </row>
    <row r="291" spans="2:15" ht="17.399999999999999">
      <c r="B291" s="291" t="s">
        <v>77</v>
      </c>
      <c r="C291" s="292">
        <f>'تقرير المصروفات حسب الشهر'!F61</f>
        <v>0</v>
      </c>
      <c r="D291" s="292" t="e">
        <f>#REF!</f>
        <v>#REF!</v>
      </c>
      <c r="E291" s="292" t="e">
        <f>#REF!</f>
        <v>#REF!</v>
      </c>
      <c r="F291" s="292" t="e">
        <f>#REF!</f>
        <v>#REF!</v>
      </c>
      <c r="G291" s="292" t="e">
        <f>#REF!</f>
        <v>#REF!</v>
      </c>
      <c r="H291" s="292" t="e">
        <f>#REF!</f>
        <v>#REF!</v>
      </c>
      <c r="I291" s="292">
        <f>'تقرير المصروفات حسب الشهر'!F814</f>
        <v>0</v>
      </c>
      <c r="J291" s="292">
        <f>'تقرير المصروفات حسب الشهر'!F941</f>
        <v>0</v>
      </c>
      <c r="K291" s="292">
        <f>'تقرير المصروفات حسب الشهر'!F1068</f>
        <v>0</v>
      </c>
      <c r="L291" s="292">
        <f>IFERROR(VLOOKUP(B291,'تقرير المصروفات حسب الشهر'!$C$1143:$AD$1254,4,FALSE),0)</f>
        <v>0</v>
      </c>
      <c r="M291" s="292">
        <f>IFERROR(VLOOKUP(B291,'تقرير المصروفات حسب الشهر'!$C$1270:$AD$1381,4,FALSE),0)</f>
        <v>0</v>
      </c>
      <c r="N291" s="292" t="e">
        <f>#REF!</f>
        <v>#REF!</v>
      </c>
      <c r="O291" s="296" t="e">
        <f t="shared" si="6"/>
        <v>#REF!</v>
      </c>
    </row>
    <row r="292" spans="2:15" ht="17.399999999999999">
      <c r="B292" s="291" t="s">
        <v>78</v>
      </c>
      <c r="C292" s="292">
        <f>'تقرير المصروفات حسب الشهر'!F62</f>
        <v>0</v>
      </c>
      <c r="D292" s="292" t="e">
        <f>#REF!</f>
        <v>#REF!</v>
      </c>
      <c r="E292" s="292" t="e">
        <f>#REF!</f>
        <v>#REF!</v>
      </c>
      <c r="F292" s="292" t="e">
        <f>#REF!</f>
        <v>#REF!</v>
      </c>
      <c r="G292" s="292" t="e">
        <f>#REF!</f>
        <v>#REF!</v>
      </c>
      <c r="H292" s="292" t="e">
        <f>#REF!</f>
        <v>#REF!</v>
      </c>
      <c r="I292" s="292">
        <f>'تقرير المصروفات حسب الشهر'!F815</f>
        <v>0</v>
      </c>
      <c r="J292" s="292">
        <f>'تقرير المصروفات حسب الشهر'!F942</f>
        <v>0</v>
      </c>
      <c r="K292" s="292">
        <f>'تقرير المصروفات حسب الشهر'!F1069</f>
        <v>0</v>
      </c>
      <c r="L292" s="292">
        <f>IFERROR(VLOOKUP(B292,'تقرير المصروفات حسب الشهر'!$C$1143:$AD$1254,4,FALSE),0)</f>
        <v>0</v>
      </c>
      <c r="M292" s="292">
        <f>IFERROR(VLOOKUP(B292,'تقرير المصروفات حسب الشهر'!$C$1270:$AD$1381,4,FALSE),0)</f>
        <v>0</v>
      </c>
      <c r="N292" s="292" t="e">
        <f>#REF!</f>
        <v>#REF!</v>
      </c>
      <c r="O292" s="296" t="e">
        <f t="shared" si="6"/>
        <v>#REF!</v>
      </c>
    </row>
    <row r="293" spans="2:15" ht="17.399999999999999">
      <c r="B293" s="291" t="s">
        <v>79</v>
      </c>
      <c r="C293" s="292">
        <f>'تقرير المصروفات حسب الشهر'!F63</f>
        <v>0</v>
      </c>
      <c r="D293" s="292" t="e">
        <f>#REF!</f>
        <v>#REF!</v>
      </c>
      <c r="E293" s="292" t="e">
        <f>#REF!</f>
        <v>#REF!</v>
      </c>
      <c r="F293" s="292" t="e">
        <f>#REF!</f>
        <v>#REF!</v>
      </c>
      <c r="G293" s="292" t="e">
        <f>#REF!</f>
        <v>#REF!</v>
      </c>
      <c r="H293" s="292" t="e">
        <f>#REF!</f>
        <v>#REF!</v>
      </c>
      <c r="I293" s="292">
        <f>'تقرير المصروفات حسب الشهر'!F816</f>
        <v>0</v>
      </c>
      <c r="J293" s="292">
        <f>'تقرير المصروفات حسب الشهر'!F943</f>
        <v>0</v>
      </c>
      <c r="K293" s="292">
        <f>'تقرير المصروفات حسب الشهر'!F1070</f>
        <v>0</v>
      </c>
      <c r="L293" s="292">
        <f>IFERROR(VLOOKUP(B293,'تقرير المصروفات حسب الشهر'!$C$1143:$AD$1254,4,FALSE),0)</f>
        <v>0</v>
      </c>
      <c r="M293" s="292">
        <f>IFERROR(VLOOKUP(B293,'تقرير المصروفات حسب الشهر'!$C$1270:$AD$1381,4,FALSE),0)</f>
        <v>0</v>
      </c>
      <c r="N293" s="292" t="e">
        <f>#REF!</f>
        <v>#REF!</v>
      </c>
      <c r="O293" s="296" t="e">
        <f t="shared" si="6"/>
        <v>#REF!</v>
      </c>
    </row>
    <row r="294" spans="2:15" ht="17.399999999999999">
      <c r="B294" s="291" t="s">
        <v>80</v>
      </c>
      <c r="C294" s="292">
        <f>'تقرير المصروفات حسب الشهر'!F64</f>
        <v>0</v>
      </c>
      <c r="D294" s="292" t="e">
        <f>#REF!</f>
        <v>#REF!</v>
      </c>
      <c r="E294" s="292" t="e">
        <f>#REF!</f>
        <v>#REF!</v>
      </c>
      <c r="F294" s="292" t="e">
        <f>#REF!</f>
        <v>#REF!</v>
      </c>
      <c r="G294" s="292" t="e">
        <f>#REF!</f>
        <v>#REF!</v>
      </c>
      <c r="H294" s="292" t="e">
        <f>#REF!</f>
        <v>#REF!</v>
      </c>
      <c r="I294" s="292">
        <f>'تقرير المصروفات حسب الشهر'!F817</f>
        <v>0</v>
      </c>
      <c r="J294" s="292">
        <f>'تقرير المصروفات حسب الشهر'!F944</f>
        <v>0</v>
      </c>
      <c r="K294" s="292">
        <f>'تقرير المصروفات حسب الشهر'!F1071</f>
        <v>0</v>
      </c>
      <c r="L294" s="292">
        <f>IFERROR(VLOOKUP(B294,'تقرير المصروفات حسب الشهر'!$C$1143:$AD$1254,4,FALSE),0)</f>
        <v>0</v>
      </c>
      <c r="M294" s="292">
        <f>IFERROR(VLOOKUP(B294,'تقرير المصروفات حسب الشهر'!$C$1270:$AD$1381,4,FALSE),0)</f>
        <v>0</v>
      </c>
      <c r="N294" s="292" t="e">
        <f>#REF!</f>
        <v>#REF!</v>
      </c>
      <c r="O294" s="296" t="e">
        <f t="shared" si="6"/>
        <v>#REF!</v>
      </c>
    </row>
    <row r="295" spans="2:15" ht="17.399999999999999">
      <c r="B295" s="291" t="s">
        <v>81</v>
      </c>
      <c r="C295" s="292">
        <f>'تقرير المصروفات حسب الشهر'!F65</f>
        <v>0</v>
      </c>
      <c r="D295" s="292" t="e">
        <f>#REF!</f>
        <v>#REF!</v>
      </c>
      <c r="E295" s="292" t="e">
        <f>#REF!</f>
        <v>#REF!</v>
      </c>
      <c r="F295" s="292" t="e">
        <f>#REF!</f>
        <v>#REF!</v>
      </c>
      <c r="G295" s="292" t="e">
        <f>#REF!</f>
        <v>#REF!</v>
      </c>
      <c r="H295" s="292" t="e">
        <f>#REF!</f>
        <v>#REF!</v>
      </c>
      <c r="I295" s="292">
        <f>'تقرير المصروفات حسب الشهر'!F818</f>
        <v>0</v>
      </c>
      <c r="J295" s="292">
        <f>'تقرير المصروفات حسب الشهر'!F945</f>
        <v>0</v>
      </c>
      <c r="K295" s="292">
        <f>'تقرير المصروفات حسب الشهر'!F1072</f>
        <v>0</v>
      </c>
      <c r="L295" s="292">
        <f>IFERROR(VLOOKUP(B295,'تقرير المصروفات حسب الشهر'!$C$1143:$AD$1254,4,FALSE),0)</f>
        <v>0</v>
      </c>
      <c r="M295" s="292">
        <f>IFERROR(VLOOKUP(B295,'تقرير المصروفات حسب الشهر'!$C$1270:$AD$1381,4,FALSE),0)</f>
        <v>0</v>
      </c>
      <c r="N295" s="292" t="e">
        <f>#REF!</f>
        <v>#REF!</v>
      </c>
      <c r="O295" s="296" t="e">
        <f t="shared" si="6"/>
        <v>#REF!</v>
      </c>
    </row>
    <row r="296" spans="2:15" ht="17.399999999999999">
      <c r="B296" s="291" t="s">
        <v>82</v>
      </c>
      <c r="C296" s="292">
        <f>'تقرير المصروفات حسب الشهر'!F66</f>
        <v>0</v>
      </c>
      <c r="D296" s="292" t="e">
        <f>#REF!</f>
        <v>#REF!</v>
      </c>
      <c r="E296" s="292" t="e">
        <f>#REF!</f>
        <v>#REF!</v>
      </c>
      <c r="F296" s="292" t="e">
        <f>#REF!</f>
        <v>#REF!</v>
      </c>
      <c r="G296" s="292" t="e">
        <f>#REF!</f>
        <v>#REF!</v>
      </c>
      <c r="H296" s="292" t="e">
        <f>#REF!</f>
        <v>#REF!</v>
      </c>
      <c r="I296" s="292">
        <f>'تقرير المصروفات حسب الشهر'!F819</f>
        <v>0</v>
      </c>
      <c r="J296" s="292">
        <f>'تقرير المصروفات حسب الشهر'!F946</f>
        <v>0</v>
      </c>
      <c r="K296" s="292">
        <f>'تقرير المصروفات حسب الشهر'!F1073</f>
        <v>0</v>
      </c>
      <c r="L296" s="292">
        <f>IFERROR(VLOOKUP(B296,'تقرير المصروفات حسب الشهر'!$C$1143:$AD$1254,4,FALSE),0)</f>
        <v>0</v>
      </c>
      <c r="M296" s="292">
        <f>IFERROR(VLOOKUP(B296,'تقرير المصروفات حسب الشهر'!$C$1270:$AD$1381,4,FALSE),0)</f>
        <v>0</v>
      </c>
      <c r="N296" s="292" t="e">
        <f>#REF!</f>
        <v>#REF!</v>
      </c>
      <c r="O296" s="296" t="e">
        <f t="shared" si="6"/>
        <v>#REF!</v>
      </c>
    </row>
    <row r="297" spans="2:15" ht="17.399999999999999">
      <c r="B297" s="291" t="s">
        <v>83</v>
      </c>
      <c r="C297" s="292">
        <f>'تقرير المصروفات حسب الشهر'!F67</f>
        <v>0</v>
      </c>
      <c r="D297" s="292" t="e">
        <f>#REF!</f>
        <v>#REF!</v>
      </c>
      <c r="E297" s="292" t="e">
        <f>#REF!</f>
        <v>#REF!</v>
      </c>
      <c r="F297" s="292" t="e">
        <f>#REF!</f>
        <v>#REF!</v>
      </c>
      <c r="G297" s="292" t="e">
        <f>#REF!</f>
        <v>#REF!</v>
      </c>
      <c r="H297" s="292" t="e">
        <f>#REF!</f>
        <v>#REF!</v>
      </c>
      <c r="I297" s="292">
        <f>'تقرير المصروفات حسب الشهر'!F820</f>
        <v>0</v>
      </c>
      <c r="J297" s="292">
        <f>'تقرير المصروفات حسب الشهر'!F947</f>
        <v>0</v>
      </c>
      <c r="K297" s="292">
        <f>'تقرير المصروفات حسب الشهر'!F1074</f>
        <v>0</v>
      </c>
      <c r="L297" s="292">
        <f>IFERROR(VLOOKUP(B297,'تقرير المصروفات حسب الشهر'!$C$1143:$AD$1254,4,FALSE),0)</f>
        <v>0</v>
      </c>
      <c r="M297" s="292">
        <f>IFERROR(VLOOKUP(B297,'تقرير المصروفات حسب الشهر'!$C$1270:$AD$1381,4,FALSE),0)</f>
        <v>0</v>
      </c>
      <c r="N297" s="292" t="e">
        <f>#REF!</f>
        <v>#REF!</v>
      </c>
      <c r="O297" s="296" t="e">
        <f t="shared" si="6"/>
        <v>#REF!</v>
      </c>
    </row>
    <row r="298" spans="2:15" ht="17.399999999999999">
      <c r="B298" s="291" t="s">
        <v>84</v>
      </c>
      <c r="C298" s="292">
        <f>'تقرير المصروفات حسب الشهر'!F68</f>
        <v>0</v>
      </c>
      <c r="D298" s="292" t="e">
        <f>#REF!</f>
        <v>#REF!</v>
      </c>
      <c r="E298" s="292" t="e">
        <f>#REF!</f>
        <v>#REF!</v>
      </c>
      <c r="F298" s="292" t="e">
        <f>#REF!</f>
        <v>#REF!</v>
      </c>
      <c r="G298" s="292" t="e">
        <f>#REF!</f>
        <v>#REF!</v>
      </c>
      <c r="H298" s="292" t="e">
        <f>#REF!</f>
        <v>#REF!</v>
      </c>
      <c r="I298" s="292">
        <f>'تقرير المصروفات حسب الشهر'!F821</f>
        <v>0</v>
      </c>
      <c r="J298" s="292">
        <f>'تقرير المصروفات حسب الشهر'!F948</f>
        <v>300</v>
      </c>
      <c r="K298" s="292">
        <f>'تقرير المصروفات حسب الشهر'!F1075</f>
        <v>200</v>
      </c>
      <c r="L298" s="292">
        <f>IFERROR(VLOOKUP(B298,'تقرير المصروفات حسب الشهر'!$C$1143:$AD$1254,4,FALSE),0)</f>
        <v>0</v>
      </c>
      <c r="M298" s="292">
        <f>IFERROR(VLOOKUP(B298,'تقرير المصروفات حسب الشهر'!$C$1270:$AD$1381,4,FALSE),0)</f>
        <v>0</v>
      </c>
      <c r="N298" s="292" t="e">
        <f>#REF!</f>
        <v>#REF!</v>
      </c>
      <c r="O298" s="296" t="e">
        <f t="shared" si="6"/>
        <v>#REF!</v>
      </c>
    </row>
    <row r="299" spans="2:15" ht="17.399999999999999">
      <c r="B299" s="291" t="s">
        <v>85</v>
      </c>
      <c r="C299" s="292">
        <f>'تقرير المصروفات حسب الشهر'!F69</f>
        <v>316</v>
      </c>
      <c r="D299" s="292" t="e">
        <f>#REF!</f>
        <v>#REF!</v>
      </c>
      <c r="E299" s="292" t="e">
        <f>#REF!</f>
        <v>#REF!</v>
      </c>
      <c r="F299" s="292" t="e">
        <f>#REF!</f>
        <v>#REF!</v>
      </c>
      <c r="G299" s="292" t="e">
        <f>#REF!</f>
        <v>#REF!</v>
      </c>
      <c r="H299" s="292" t="e">
        <f>#REF!</f>
        <v>#REF!</v>
      </c>
      <c r="I299" s="292">
        <f>'تقرير المصروفات حسب الشهر'!F822</f>
        <v>0</v>
      </c>
      <c r="J299" s="292">
        <f>'تقرير المصروفات حسب الشهر'!F949</f>
        <v>0</v>
      </c>
      <c r="K299" s="292">
        <f>'تقرير المصروفات حسب الشهر'!F1076</f>
        <v>0</v>
      </c>
      <c r="L299" s="292">
        <f>IFERROR(VLOOKUP(B299,'تقرير المصروفات حسب الشهر'!$C$1143:$AD$1254,4,FALSE),0)</f>
        <v>200</v>
      </c>
      <c r="M299" s="292">
        <f>IFERROR(VLOOKUP(B299,'تقرير المصروفات حسب الشهر'!$C$1270:$AD$1381,4,FALSE),0)</f>
        <v>200</v>
      </c>
      <c r="N299" s="292" t="e">
        <f>#REF!</f>
        <v>#REF!</v>
      </c>
      <c r="O299" s="296" t="e">
        <f t="shared" si="6"/>
        <v>#REF!</v>
      </c>
    </row>
    <row r="300" spans="2:15" ht="17.399999999999999">
      <c r="B300" s="291" t="s">
        <v>86</v>
      </c>
      <c r="C300" s="292">
        <f>'تقرير المصروفات حسب الشهر'!F70</f>
        <v>0</v>
      </c>
      <c r="D300" s="292" t="e">
        <f>#REF!</f>
        <v>#REF!</v>
      </c>
      <c r="E300" s="292" t="e">
        <f>#REF!</f>
        <v>#REF!</v>
      </c>
      <c r="F300" s="292" t="e">
        <f>#REF!</f>
        <v>#REF!</v>
      </c>
      <c r="G300" s="292" t="e">
        <f>#REF!</f>
        <v>#REF!</v>
      </c>
      <c r="H300" s="292" t="e">
        <f>#REF!</f>
        <v>#REF!</v>
      </c>
      <c r="I300" s="292">
        <f>'تقرير المصروفات حسب الشهر'!F823</f>
        <v>0</v>
      </c>
      <c r="J300" s="292">
        <f>'تقرير المصروفات حسب الشهر'!F950</f>
        <v>0</v>
      </c>
      <c r="K300" s="292">
        <f>'تقرير المصروفات حسب الشهر'!F1077</f>
        <v>0</v>
      </c>
      <c r="L300" s="292">
        <f>IFERROR(VLOOKUP(B300,'تقرير المصروفات حسب الشهر'!$C$1143:$AD$1254,4,FALSE),0)</f>
        <v>0</v>
      </c>
      <c r="M300" s="292">
        <f>IFERROR(VLOOKUP(B300,'تقرير المصروفات حسب الشهر'!$C$1270:$AD$1381,4,FALSE),0)</f>
        <v>0</v>
      </c>
      <c r="N300" s="292" t="e">
        <f>#REF!</f>
        <v>#REF!</v>
      </c>
      <c r="O300" s="296" t="e">
        <f t="shared" si="6"/>
        <v>#REF!</v>
      </c>
    </row>
    <row r="301" spans="2:15" ht="17.399999999999999">
      <c r="B301" s="291" t="s">
        <v>87</v>
      </c>
      <c r="C301" s="292">
        <f>'تقرير المصروفات حسب الشهر'!F71</f>
        <v>0</v>
      </c>
      <c r="D301" s="292" t="e">
        <f>#REF!</f>
        <v>#REF!</v>
      </c>
      <c r="E301" s="292" t="e">
        <f>#REF!</f>
        <v>#REF!</v>
      </c>
      <c r="F301" s="292" t="e">
        <f>#REF!</f>
        <v>#REF!</v>
      </c>
      <c r="G301" s="292" t="e">
        <f>#REF!</f>
        <v>#REF!</v>
      </c>
      <c r="H301" s="292" t="e">
        <f>#REF!</f>
        <v>#REF!</v>
      </c>
      <c r="I301" s="292">
        <f>'تقرير المصروفات حسب الشهر'!F824</f>
        <v>0</v>
      </c>
      <c r="J301" s="292">
        <f>'تقرير المصروفات حسب الشهر'!F951</f>
        <v>0</v>
      </c>
      <c r="K301" s="292">
        <f>'تقرير المصروفات حسب الشهر'!F1078</f>
        <v>0</v>
      </c>
      <c r="L301" s="292">
        <f>IFERROR(VLOOKUP(B301,'تقرير المصروفات حسب الشهر'!$C$1143:$AD$1254,4,FALSE),0)</f>
        <v>0</v>
      </c>
      <c r="M301" s="292">
        <f>IFERROR(VLOOKUP(B301,'تقرير المصروفات حسب الشهر'!$C$1270:$AD$1381,4,FALSE),0)</f>
        <v>0</v>
      </c>
      <c r="N301" s="292" t="e">
        <f>#REF!</f>
        <v>#REF!</v>
      </c>
      <c r="O301" s="296" t="e">
        <f t="shared" si="6"/>
        <v>#REF!</v>
      </c>
    </row>
    <row r="302" spans="2:15" ht="17.399999999999999">
      <c r="B302" s="291" t="s">
        <v>88</v>
      </c>
      <c r="C302" s="292">
        <f>'تقرير المصروفات حسب الشهر'!F72</f>
        <v>0</v>
      </c>
      <c r="D302" s="292" t="e">
        <f>#REF!</f>
        <v>#REF!</v>
      </c>
      <c r="E302" s="292" t="e">
        <f>#REF!</f>
        <v>#REF!</v>
      </c>
      <c r="F302" s="292" t="e">
        <f>#REF!</f>
        <v>#REF!</v>
      </c>
      <c r="G302" s="292" t="e">
        <f>#REF!</f>
        <v>#REF!</v>
      </c>
      <c r="H302" s="292" t="e">
        <f>#REF!</f>
        <v>#REF!</v>
      </c>
      <c r="I302" s="292">
        <f>'تقرير المصروفات حسب الشهر'!F825</f>
        <v>0</v>
      </c>
      <c r="J302" s="292">
        <f>'تقرير المصروفات حسب الشهر'!F952</f>
        <v>0</v>
      </c>
      <c r="K302" s="292">
        <f>'تقرير المصروفات حسب الشهر'!F1079</f>
        <v>0</v>
      </c>
      <c r="L302" s="292">
        <f>IFERROR(VLOOKUP(B302,'تقرير المصروفات حسب الشهر'!$C$1143:$AD$1254,4,FALSE),0)</f>
        <v>0</v>
      </c>
      <c r="M302" s="292">
        <f>IFERROR(VLOOKUP(B302,'تقرير المصروفات حسب الشهر'!$C$1270:$AD$1381,4,FALSE),0)</f>
        <v>0</v>
      </c>
      <c r="N302" s="292" t="e">
        <f>#REF!</f>
        <v>#REF!</v>
      </c>
      <c r="O302" s="296" t="e">
        <f t="shared" si="6"/>
        <v>#REF!</v>
      </c>
    </row>
    <row r="303" spans="2:15" ht="17.399999999999999">
      <c r="B303" s="291" t="s">
        <v>89</v>
      </c>
      <c r="C303" s="292">
        <f>'تقرير المصروفات حسب الشهر'!F73</f>
        <v>0</v>
      </c>
      <c r="D303" s="292" t="e">
        <f>#REF!</f>
        <v>#REF!</v>
      </c>
      <c r="E303" s="292" t="e">
        <f>#REF!</f>
        <v>#REF!</v>
      </c>
      <c r="F303" s="292" t="e">
        <f>#REF!</f>
        <v>#REF!</v>
      </c>
      <c r="G303" s="292" t="e">
        <f>#REF!</f>
        <v>#REF!</v>
      </c>
      <c r="H303" s="292" t="e">
        <f>#REF!</f>
        <v>#REF!</v>
      </c>
      <c r="I303" s="292">
        <f>'تقرير المصروفات حسب الشهر'!F826</f>
        <v>979</v>
      </c>
      <c r="J303" s="292">
        <f>'تقرير المصروفات حسب الشهر'!F953</f>
        <v>4439.3999999999996</v>
      </c>
      <c r="K303" s="292">
        <f>'تقرير المصروفات حسب الشهر'!F1080</f>
        <v>0</v>
      </c>
      <c r="L303" s="292">
        <f>IFERROR(VLOOKUP(B303,'تقرير المصروفات حسب الشهر'!$C$1143:$AD$1254,4,FALSE),0)</f>
        <v>0</v>
      </c>
      <c r="M303" s="292">
        <f>IFERROR(VLOOKUP(B303,'تقرير المصروفات حسب الشهر'!$C$1270:$AD$1381,4,FALSE),0)</f>
        <v>0</v>
      </c>
      <c r="N303" s="292" t="e">
        <f>#REF!</f>
        <v>#REF!</v>
      </c>
      <c r="O303" s="296" t="e">
        <f t="shared" si="6"/>
        <v>#REF!</v>
      </c>
    </row>
    <row r="304" spans="2:15" ht="17.399999999999999">
      <c r="B304" s="291" t="s">
        <v>33</v>
      </c>
      <c r="C304" s="292">
        <f>'تقرير المصروفات حسب الشهر'!F74</f>
        <v>1735</v>
      </c>
      <c r="D304" s="292" t="e">
        <f>#REF!</f>
        <v>#REF!</v>
      </c>
      <c r="E304" s="292" t="e">
        <f>#REF!</f>
        <v>#REF!</v>
      </c>
      <c r="F304" s="292" t="e">
        <f>#REF!</f>
        <v>#REF!</v>
      </c>
      <c r="G304" s="292" t="e">
        <f>#REF!</f>
        <v>#REF!</v>
      </c>
      <c r="H304" s="292" t="e">
        <f>#REF!</f>
        <v>#REF!</v>
      </c>
      <c r="I304" s="292">
        <f>'تقرير المصروفات حسب الشهر'!F827</f>
        <v>0</v>
      </c>
      <c r="J304" s="292">
        <f>'تقرير المصروفات حسب الشهر'!F954</f>
        <v>0</v>
      </c>
      <c r="K304" s="292">
        <f>'تقرير المصروفات حسب الشهر'!F1081</f>
        <v>0</v>
      </c>
      <c r="L304" s="292">
        <f>IFERROR(VLOOKUP(B304,'تقرير المصروفات حسب الشهر'!$C$1143:$AD$1254,4,FALSE),0)</f>
        <v>1335.76</v>
      </c>
      <c r="M304" s="292">
        <f>IFERROR(VLOOKUP(B304,'تقرير المصروفات حسب الشهر'!$C$1270:$AD$1381,4,FALSE),0)</f>
        <v>3252.82</v>
      </c>
      <c r="N304" s="292" t="e">
        <f>#REF!</f>
        <v>#REF!</v>
      </c>
      <c r="O304" s="296" t="e">
        <f t="shared" si="6"/>
        <v>#REF!</v>
      </c>
    </row>
    <row r="305" spans="2:15" ht="17.399999999999999">
      <c r="B305" s="291" t="s">
        <v>90</v>
      </c>
      <c r="C305" s="292">
        <f>'تقرير المصروفات حسب الشهر'!F75</f>
        <v>0</v>
      </c>
      <c r="D305" s="292" t="e">
        <f>#REF!</f>
        <v>#REF!</v>
      </c>
      <c r="E305" s="292" t="e">
        <f>#REF!</f>
        <v>#REF!</v>
      </c>
      <c r="F305" s="292" t="e">
        <f>#REF!</f>
        <v>#REF!</v>
      </c>
      <c r="G305" s="292" t="e">
        <f>#REF!</f>
        <v>#REF!</v>
      </c>
      <c r="H305" s="292" t="e">
        <f>#REF!</f>
        <v>#REF!</v>
      </c>
      <c r="I305" s="292">
        <f>'تقرير المصروفات حسب الشهر'!F828</f>
        <v>0</v>
      </c>
      <c r="J305" s="292">
        <f>'تقرير المصروفات حسب الشهر'!F955</f>
        <v>0</v>
      </c>
      <c r="K305" s="292">
        <f>'تقرير المصروفات حسب الشهر'!F1082</f>
        <v>0</v>
      </c>
      <c r="L305" s="292">
        <f>IFERROR(VLOOKUP(B305,'تقرير المصروفات حسب الشهر'!$C$1143:$AD$1254,4,FALSE),0)</f>
        <v>0</v>
      </c>
      <c r="M305" s="292">
        <f>IFERROR(VLOOKUP(B305,'تقرير المصروفات حسب الشهر'!$C$1270:$AD$1381,4,FALSE),0)</f>
        <v>0</v>
      </c>
      <c r="N305" s="292" t="e">
        <f>#REF!</f>
        <v>#REF!</v>
      </c>
      <c r="O305" s="296" t="e">
        <f t="shared" ref="O305:O348" si="7">SUM(C305:N305)</f>
        <v>#REF!</v>
      </c>
    </row>
    <row r="306" spans="2:15" ht="17.399999999999999">
      <c r="B306" s="291" t="s">
        <v>91</v>
      </c>
      <c r="C306" s="292">
        <f>'تقرير المصروفات حسب الشهر'!F76</f>
        <v>0</v>
      </c>
      <c r="D306" s="292" t="e">
        <f>#REF!</f>
        <v>#REF!</v>
      </c>
      <c r="E306" s="292" t="e">
        <f>#REF!</f>
        <v>#REF!</v>
      </c>
      <c r="F306" s="292" t="e">
        <f>#REF!</f>
        <v>#REF!</v>
      </c>
      <c r="G306" s="292" t="e">
        <f>#REF!</f>
        <v>#REF!</v>
      </c>
      <c r="H306" s="292" t="e">
        <f>#REF!</f>
        <v>#REF!</v>
      </c>
      <c r="I306" s="292">
        <f>'تقرير المصروفات حسب الشهر'!F829</f>
        <v>0</v>
      </c>
      <c r="J306" s="292">
        <f>'تقرير المصروفات حسب الشهر'!F956</f>
        <v>0</v>
      </c>
      <c r="K306" s="292">
        <f>'تقرير المصروفات حسب الشهر'!F1083</f>
        <v>0</v>
      </c>
      <c r="L306" s="292">
        <f>IFERROR(VLOOKUP(B306,'تقرير المصروفات حسب الشهر'!$C$1143:$AD$1254,4,FALSE),0)</f>
        <v>0</v>
      </c>
      <c r="M306" s="292">
        <f>IFERROR(VLOOKUP(B306,'تقرير المصروفات حسب الشهر'!$C$1270:$AD$1381,4,FALSE),0)</f>
        <v>0</v>
      </c>
      <c r="N306" s="292" t="e">
        <f>#REF!</f>
        <v>#REF!</v>
      </c>
      <c r="O306" s="296" t="e">
        <f t="shared" si="7"/>
        <v>#REF!</v>
      </c>
    </row>
    <row r="307" spans="2:15" ht="17.399999999999999">
      <c r="B307" s="291" t="s">
        <v>92</v>
      </c>
      <c r="C307" s="292">
        <f>'تقرير المصروفات حسب الشهر'!F77</f>
        <v>0</v>
      </c>
      <c r="D307" s="292" t="e">
        <f>#REF!</f>
        <v>#REF!</v>
      </c>
      <c r="E307" s="292" t="e">
        <f>#REF!</f>
        <v>#REF!</v>
      </c>
      <c r="F307" s="292" t="e">
        <f>#REF!</f>
        <v>#REF!</v>
      </c>
      <c r="G307" s="292" t="e">
        <f>#REF!</f>
        <v>#REF!</v>
      </c>
      <c r="H307" s="292" t="e">
        <f>#REF!</f>
        <v>#REF!</v>
      </c>
      <c r="I307" s="292">
        <f>'تقرير المصروفات حسب الشهر'!F830</f>
        <v>0</v>
      </c>
      <c r="J307" s="292">
        <f>'تقرير المصروفات حسب الشهر'!F957</f>
        <v>0</v>
      </c>
      <c r="K307" s="292">
        <f>'تقرير المصروفات حسب الشهر'!F1084</f>
        <v>0</v>
      </c>
      <c r="L307" s="292">
        <f>IFERROR(VLOOKUP(B307,'تقرير المصروفات حسب الشهر'!$C$1143:$AD$1254,4,FALSE),0)</f>
        <v>0</v>
      </c>
      <c r="M307" s="292">
        <f>IFERROR(VLOOKUP(B307,'تقرير المصروفات حسب الشهر'!$C$1270:$AD$1381,4,FALSE),0)</f>
        <v>0</v>
      </c>
      <c r="N307" s="292" t="e">
        <f>#REF!</f>
        <v>#REF!</v>
      </c>
      <c r="O307" s="296" t="e">
        <f t="shared" si="7"/>
        <v>#REF!</v>
      </c>
    </row>
    <row r="308" spans="2:15" ht="17.399999999999999">
      <c r="B308" s="291" t="s">
        <v>93</v>
      </c>
      <c r="C308" s="292">
        <f>'تقرير المصروفات حسب الشهر'!F78</f>
        <v>0</v>
      </c>
      <c r="D308" s="292" t="e">
        <f>#REF!</f>
        <v>#REF!</v>
      </c>
      <c r="E308" s="292" t="e">
        <f>#REF!</f>
        <v>#REF!</v>
      </c>
      <c r="F308" s="292" t="e">
        <f>#REF!</f>
        <v>#REF!</v>
      </c>
      <c r="G308" s="292" t="e">
        <f>#REF!</f>
        <v>#REF!</v>
      </c>
      <c r="H308" s="292" t="e">
        <f>#REF!</f>
        <v>#REF!</v>
      </c>
      <c r="I308" s="292">
        <f>'تقرير المصروفات حسب الشهر'!F831</f>
        <v>5500</v>
      </c>
      <c r="J308" s="292">
        <f>'تقرير المصروفات حسب الشهر'!F958</f>
        <v>5560</v>
      </c>
      <c r="K308" s="292">
        <f>'تقرير المصروفات حسب الشهر'!F1085</f>
        <v>5950</v>
      </c>
      <c r="L308" s="292">
        <f>IFERROR(VLOOKUP(B308,'تقرير المصروفات حسب الشهر'!$C$1143:$AD$1254,4,FALSE),0)</f>
        <v>0</v>
      </c>
      <c r="M308" s="292">
        <f>IFERROR(VLOOKUP(B308,'تقرير المصروفات حسب الشهر'!$C$1270:$AD$1381,4,FALSE),0)</f>
        <v>0</v>
      </c>
      <c r="N308" s="292" t="e">
        <f>#REF!</f>
        <v>#REF!</v>
      </c>
      <c r="O308" s="296" t="e">
        <f t="shared" si="7"/>
        <v>#REF!</v>
      </c>
    </row>
    <row r="309" spans="2:15" ht="17.399999999999999">
      <c r="B309" s="291" t="s">
        <v>94</v>
      </c>
      <c r="C309" s="292">
        <f>'تقرير المصروفات حسب الشهر'!F79</f>
        <v>41675</v>
      </c>
      <c r="D309" s="292" t="e">
        <f>#REF!</f>
        <v>#REF!</v>
      </c>
      <c r="E309" s="292" t="e">
        <f>#REF!</f>
        <v>#REF!</v>
      </c>
      <c r="F309" s="292" t="e">
        <f>#REF!</f>
        <v>#REF!</v>
      </c>
      <c r="G309" s="292" t="e">
        <f>#REF!</f>
        <v>#REF!</v>
      </c>
      <c r="H309" s="292" t="e">
        <f>#REF!</f>
        <v>#REF!</v>
      </c>
      <c r="I309" s="292">
        <f>'تقرير المصروفات حسب الشهر'!F832</f>
        <v>0</v>
      </c>
      <c r="J309" s="292">
        <f>'تقرير المصروفات حسب الشهر'!F959</f>
        <v>0</v>
      </c>
      <c r="K309" s="292">
        <f>'تقرير المصروفات حسب الشهر'!F1086</f>
        <v>0</v>
      </c>
      <c r="L309" s="292">
        <f>IFERROR(VLOOKUP(B309,'تقرير المصروفات حسب الشهر'!$C$1143:$AD$1254,4,FALSE),0)</f>
        <v>5500</v>
      </c>
      <c r="M309" s="292">
        <f>IFERROR(VLOOKUP(B309,'تقرير المصروفات حسب الشهر'!$C$1270:$AD$1381,4,FALSE),0)</f>
        <v>5500</v>
      </c>
      <c r="N309" s="292" t="e">
        <f>#REF!</f>
        <v>#REF!</v>
      </c>
      <c r="O309" s="296" t="e">
        <f t="shared" si="7"/>
        <v>#REF!</v>
      </c>
    </row>
    <row r="310" spans="2:15" ht="17.399999999999999">
      <c r="B310" s="291" t="s">
        <v>95</v>
      </c>
      <c r="C310" s="292">
        <f>'تقرير المصروفات حسب الشهر'!F80</f>
        <v>0</v>
      </c>
      <c r="D310" s="292" t="e">
        <f>#REF!</f>
        <v>#REF!</v>
      </c>
      <c r="E310" s="292" t="e">
        <f>#REF!</f>
        <v>#REF!</v>
      </c>
      <c r="F310" s="292" t="e">
        <f>#REF!</f>
        <v>#REF!</v>
      </c>
      <c r="G310" s="292" t="e">
        <f>#REF!</f>
        <v>#REF!</v>
      </c>
      <c r="H310" s="292" t="e">
        <f>#REF!</f>
        <v>#REF!</v>
      </c>
      <c r="I310" s="292">
        <f>'تقرير المصروفات حسب الشهر'!F833</f>
        <v>668</v>
      </c>
      <c r="J310" s="292">
        <f>'تقرير المصروفات حسب الشهر'!F960</f>
        <v>1331.8</v>
      </c>
      <c r="K310" s="292">
        <f>'تقرير المصروفات حسب الشهر'!F1087</f>
        <v>0</v>
      </c>
      <c r="L310" s="292">
        <f>IFERROR(VLOOKUP(B310,'تقرير المصروفات حسب الشهر'!$C$1143:$AD$1254,4,FALSE),0)</f>
        <v>0</v>
      </c>
      <c r="M310" s="292">
        <f>IFERROR(VLOOKUP(B310,'تقرير المصروفات حسب الشهر'!$C$1270:$AD$1381,4,FALSE),0)</f>
        <v>0</v>
      </c>
      <c r="N310" s="292" t="e">
        <f>#REF!</f>
        <v>#REF!</v>
      </c>
      <c r="O310" s="296" t="e">
        <f t="shared" si="7"/>
        <v>#REF!</v>
      </c>
    </row>
    <row r="311" spans="2:15" ht="17.399999999999999">
      <c r="B311" s="291" t="s">
        <v>96</v>
      </c>
      <c r="C311" s="292">
        <f>'تقرير المصروفات حسب الشهر'!F81</f>
        <v>0</v>
      </c>
      <c r="D311" s="292" t="e">
        <f>#REF!</f>
        <v>#REF!</v>
      </c>
      <c r="E311" s="292" t="e">
        <f>#REF!</f>
        <v>#REF!</v>
      </c>
      <c r="F311" s="292" t="e">
        <f>#REF!</f>
        <v>#REF!</v>
      </c>
      <c r="G311" s="292" t="e">
        <f>#REF!</f>
        <v>#REF!</v>
      </c>
      <c r="H311" s="292" t="e">
        <f>#REF!</f>
        <v>#REF!</v>
      </c>
      <c r="I311" s="292">
        <f>'تقرير المصروفات حسب الشهر'!F834</f>
        <v>0</v>
      </c>
      <c r="J311" s="292">
        <f>'تقرير المصروفات حسب الشهر'!F961</f>
        <v>0</v>
      </c>
      <c r="K311" s="292">
        <f>'تقرير المصروفات حسب الشهر'!F1088</f>
        <v>0</v>
      </c>
      <c r="L311" s="292">
        <f>IFERROR(VLOOKUP(B311,'تقرير المصروفات حسب الشهر'!$C$1143:$AD$1254,4,FALSE),0)</f>
        <v>0</v>
      </c>
      <c r="M311" s="292">
        <f>IFERROR(VLOOKUP(B311,'تقرير المصروفات حسب الشهر'!$C$1270:$AD$1381,4,FALSE),0)</f>
        <v>0</v>
      </c>
      <c r="N311" s="292" t="e">
        <f>#REF!</f>
        <v>#REF!</v>
      </c>
      <c r="O311" s="296" t="e">
        <f t="shared" si="7"/>
        <v>#REF!</v>
      </c>
    </row>
    <row r="312" spans="2:15" ht="17.399999999999999">
      <c r="B312" s="291" t="s">
        <v>97</v>
      </c>
      <c r="C312" s="292">
        <f>'تقرير المصروفات حسب الشهر'!F82</f>
        <v>2348.4</v>
      </c>
      <c r="D312" s="292" t="e">
        <f>#REF!</f>
        <v>#REF!</v>
      </c>
      <c r="E312" s="292" t="e">
        <f>#REF!</f>
        <v>#REF!</v>
      </c>
      <c r="F312" s="292" t="e">
        <f>#REF!</f>
        <v>#REF!</v>
      </c>
      <c r="G312" s="292" t="e">
        <f>#REF!</f>
        <v>#REF!</v>
      </c>
      <c r="H312" s="292" t="e">
        <f>#REF!</f>
        <v>#REF!</v>
      </c>
      <c r="I312" s="292">
        <f>'تقرير المصروفات حسب الشهر'!F835</f>
        <v>0</v>
      </c>
      <c r="J312" s="292">
        <f>'تقرير المصروفات حسب الشهر'!F962</f>
        <v>0</v>
      </c>
      <c r="K312" s="292">
        <f>'تقرير المصروفات حسب الشهر'!F1089</f>
        <v>2130</v>
      </c>
      <c r="L312" s="292">
        <f>IFERROR(VLOOKUP(B312,'تقرير المصروفات حسب الشهر'!$C$1143:$AD$1254,4,FALSE),0)</f>
        <v>70</v>
      </c>
      <c r="M312" s="292">
        <f>IFERROR(VLOOKUP(B312,'تقرير المصروفات حسب الشهر'!$C$1270:$AD$1381,4,FALSE),0)</f>
        <v>12289.55</v>
      </c>
      <c r="N312" s="292" t="e">
        <f>#REF!</f>
        <v>#REF!</v>
      </c>
      <c r="O312" s="296" t="e">
        <f t="shared" si="7"/>
        <v>#REF!</v>
      </c>
    </row>
    <row r="313" spans="2:15" ht="17.399999999999999">
      <c r="B313" s="291" t="s">
        <v>192</v>
      </c>
      <c r="C313" s="292">
        <f>'تقرير المصروفات حسب الشهر'!F83</f>
        <v>0</v>
      </c>
      <c r="D313" s="292" t="e">
        <f>#REF!</f>
        <v>#REF!</v>
      </c>
      <c r="E313" s="292" t="e">
        <f>#REF!</f>
        <v>#REF!</v>
      </c>
      <c r="F313" s="292" t="e">
        <f>#REF!</f>
        <v>#REF!</v>
      </c>
      <c r="G313" s="292" t="e">
        <f>#REF!</f>
        <v>#REF!</v>
      </c>
      <c r="H313" s="292" t="e">
        <f>#REF!</f>
        <v>#REF!</v>
      </c>
      <c r="I313" s="292">
        <f>'تقرير المصروفات حسب الشهر'!F836</f>
        <v>0</v>
      </c>
      <c r="J313" s="292">
        <f>'تقرير المصروفات حسب الشهر'!F963</f>
        <v>0</v>
      </c>
      <c r="K313" s="292">
        <f>'تقرير المصروفات حسب الشهر'!F1090</f>
        <v>0</v>
      </c>
      <c r="L313" s="292">
        <f>IFERROR(VLOOKUP(B313,'تقرير المصروفات حسب الشهر'!$C$1143:$AD$1254,4,FALSE),0)</f>
        <v>1065</v>
      </c>
      <c r="M313" s="292">
        <f>IFERROR(VLOOKUP(B313,'تقرير المصروفات حسب الشهر'!$C$1270:$AD$1381,4,FALSE),0)</f>
        <v>1065</v>
      </c>
      <c r="N313" s="292" t="e">
        <f>#REF!</f>
        <v>#REF!</v>
      </c>
      <c r="O313" s="296" t="e">
        <f t="shared" si="7"/>
        <v>#REF!</v>
      </c>
    </row>
    <row r="314" spans="2:15" ht="17.399999999999999">
      <c r="B314" s="291" t="s">
        <v>98</v>
      </c>
      <c r="C314" s="292">
        <f>'تقرير المصروفات حسب الشهر'!F84</f>
        <v>0</v>
      </c>
      <c r="D314" s="292" t="e">
        <f>#REF!</f>
        <v>#REF!</v>
      </c>
      <c r="E314" s="292" t="e">
        <f>#REF!</f>
        <v>#REF!</v>
      </c>
      <c r="F314" s="292" t="e">
        <f>#REF!</f>
        <v>#REF!</v>
      </c>
      <c r="G314" s="292" t="e">
        <f>#REF!</f>
        <v>#REF!</v>
      </c>
      <c r="H314" s="292" t="e">
        <f>#REF!</f>
        <v>#REF!</v>
      </c>
      <c r="I314" s="292">
        <f>'تقرير المصروفات حسب الشهر'!F837</f>
        <v>0</v>
      </c>
      <c r="J314" s="292">
        <f>'تقرير المصروفات حسب الشهر'!F964</f>
        <v>0</v>
      </c>
      <c r="K314" s="292">
        <f>'تقرير المصروفات حسب الشهر'!F1091</f>
        <v>0</v>
      </c>
      <c r="L314" s="292">
        <f>IFERROR(VLOOKUP(B314,'تقرير المصروفات حسب الشهر'!$C$1143:$AD$1254,4,FALSE),0)</f>
        <v>0</v>
      </c>
      <c r="M314" s="292">
        <f>IFERROR(VLOOKUP(B314,'تقرير المصروفات حسب الشهر'!$C$1270:$AD$1381,4,FALSE),0)</f>
        <v>0</v>
      </c>
      <c r="N314" s="292" t="e">
        <f>#REF!</f>
        <v>#REF!</v>
      </c>
      <c r="O314" s="296" t="e">
        <f t="shared" si="7"/>
        <v>#REF!</v>
      </c>
    </row>
    <row r="315" spans="2:15" ht="17.399999999999999">
      <c r="B315" s="291" t="s">
        <v>99</v>
      </c>
      <c r="C315" s="292">
        <f>'تقرير المصروفات حسب الشهر'!F85</f>
        <v>0</v>
      </c>
      <c r="D315" s="292" t="e">
        <f>#REF!</f>
        <v>#REF!</v>
      </c>
      <c r="E315" s="292" t="e">
        <f>#REF!</f>
        <v>#REF!</v>
      </c>
      <c r="F315" s="292" t="e">
        <f>#REF!</f>
        <v>#REF!</v>
      </c>
      <c r="G315" s="292" t="e">
        <f>#REF!</f>
        <v>#REF!</v>
      </c>
      <c r="H315" s="292" t="e">
        <f>#REF!</f>
        <v>#REF!</v>
      </c>
      <c r="I315" s="292">
        <f>'تقرير المصروفات حسب الشهر'!F838</f>
        <v>0</v>
      </c>
      <c r="J315" s="292">
        <f>'تقرير المصروفات حسب الشهر'!F965</f>
        <v>0</v>
      </c>
      <c r="K315" s="292">
        <f>'تقرير المصروفات حسب الشهر'!F1092</f>
        <v>0</v>
      </c>
      <c r="L315" s="292">
        <f>IFERROR(VLOOKUP(B315,'تقرير المصروفات حسب الشهر'!$C$1143:$AD$1254,4,FALSE),0)</f>
        <v>0</v>
      </c>
      <c r="M315" s="292">
        <f>IFERROR(VLOOKUP(B315,'تقرير المصروفات حسب الشهر'!$C$1270:$AD$1381,4,FALSE),0)</f>
        <v>0</v>
      </c>
      <c r="N315" s="292" t="e">
        <f>#REF!</f>
        <v>#REF!</v>
      </c>
      <c r="O315" s="296" t="e">
        <f t="shared" si="7"/>
        <v>#REF!</v>
      </c>
    </row>
    <row r="316" spans="2:15" ht="17.399999999999999">
      <c r="B316" s="291" t="s">
        <v>100</v>
      </c>
      <c r="C316" s="292">
        <f>'تقرير المصروفات حسب الشهر'!F86</f>
        <v>0</v>
      </c>
      <c r="D316" s="292" t="e">
        <f>#REF!</f>
        <v>#REF!</v>
      </c>
      <c r="E316" s="292" t="e">
        <f>#REF!</f>
        <v>#REF!</v>
      </c>
      <c r="F316" s="292" t="e">
        <f>#REF!</f>
        <v>#REF!</v>
      </c>
      <c r="G316" s="292" t="e">
        <f>#REF!</f>
        <v>#REF!</v>
      </c>
      <c r="H316" s="292" t="e">
        <f>#REF!</f>
        <v>#REF!</v>
      </c>
      <c r="I316" s="292">
        <f>'تقرير المصروفات حسب الشهر'!F839</f>
        <v>397.33</v>
      </c>
      <c r="J316" s="292">
        <f>'تقرير المصروفات حسب الشهر'!F966</f>
        <v>397.33</v>
      </c>
      <c r="K316" s="292">
        <f>'تقرير المصروفات حسب الشهر'!F1093</f>
        <v>397.33</v>
      </c>
      <c r="L316" s="292">
        <f>IFERROR(VLOOKUP(B316,'تقرير المصروفات حسب الشهر'!$C$1143:$AD$1254,4,FALSE),0)</f>
        <v>0</v>
      </c>
      <c r="M316" s="292">
        <f>IFERROR(VLOOKUP(B316,'تقرير المصروفات حسب الشهر'!$C$1270:$AD$1381,4,FALSE),0)</f>
        <v>0</v>
      </c>
      <c r="N316" s="292" t="e">
        <f>#REF!</f>
        <v>#REF!</v>
      </c>
      <c r="O316" s="296" t="e">
        <f t="shared" si="7"/>
        <v>#REF!</v>
      </c>
    </row>
    <row r="317" spans="2:15" ht="17.399999999999999">
      <c r="B317" s="291" t="s">
        <v>101</v>
      </c>
      <c r="C317" s="292">
        <f>'تقرير المصروفات حسب الشهر'!F87</f>
        <v>0</v>
      </c>
      <c r="D317" s="292" t="e">
        <f>#REF!</f>
        <v>#REF!</v>
      </c>
      <c r="E317" s="292" t="e">
        <f>#REF!</f>
        <v>#REF!</v>
      </c>
      <c r="F317" s="292" t="e">
        <f>#REF!</f>
        <v>#REF!</v>
      </c>
      <c r="G317" s="292" t="e">
        <f>#REF!</f>
        <v>#REF!</v>
      </c>
      <c r="H317" s="292" t="e">
        <f>#REF!</f>
        <v>#REF!</v>
      </c>
      <c r="I317" s="292">
        <f>'تقرير المصروفات حسب الشهر'!F840</f>
        <v>1714.88</v>
      </c>
      <c r="J317" s="292">
        <f>'تقرير المصروفات حسب الشهر'!F967</f>
        <v>1714.88</v>
      </c>
      <c r="K317" s="292">
        <f>'تقرير المصروفات حسب الشهر'!F1094</f>
        <v>1619.36</v>
      </c>
      <c r="L317" s="292">
        <f>IFERROR(VLOOKUP(B317,'تقرير المصروفات حسب الشهر'!$C$1143:$AD$1254,4,FALSE),0)</f>
        <v>397.33</v>
      </c>
      <c r="M317" s="292">
        <f>IFERROR(VLOOKUP(B317,'تقرير المصروفات حسب الشهر'!$C$1270:$AD$1381,4,FALSE),0)</f>
        <v>397.33</v>
      </c>
      <c r="N317" s="292" t="e">
        <f>#REF!</f>
        <v>#REF!</v>
      </c>
      <c r="O317" s="296" t="e">
        <f t="shared" si="7"/>
        <v>#REF!</v>
      </c>
    </row>
    <row r="318" spans="2:15" ht="17.399999999999999">
      <c r="B318" s="291" t="s">
        <v>102</v>
      </c>
      <c r="C318" s="292">
        <f>'تقرير المصروفات حسب الشهر'!F88</f>
        <v>1139.1500000000001</v>
      </c>
      <c r="D318" s="292" t="e">
        <f>#REF!</f>
        <v>#REF!</v>
      </c>
      <c r="E318" s="292" t="e">
        <f>#REF!</f>
        <v>#REF!</v>
      </c>
      <c r="F318" s="292" t="e">
        <f>#REF!</f>
        <v>#REF!</v>
      </c>
      <c r="G318" s="292" t="e">
        <f>#REF!</f>
        <v>#REF!</v>
      </c>
      <c r="H318" s="292" t="e">
        <f>#REF!</f>
        <v>#REF!</v>
      </c>
      <c r="I318" s="292">
        <f>'تقرير المصروفات حسب الشهر'!F841</f>
        <v>106.41</v>
      </c>
      <c r="J318" s="292">
        <f>'تقرير المصروفات حسب الشهر'!F968</f>
        <v>91.14</v>
      </c>
      <c r="K318" s="292">
        <f>'تقرير المصروفات حسب الشهر'!F1095</f>
        <v>52.97</v>
      </c>
      <c r="L318" s="292">
        <f>IFERROR(VLOOKUP(B318,'تقرير المصروفات حسب الشهر'!$C$1143:$AD$1254,4,FALSE),0)</f>
        <v>1573.23</v>
      </c>
      <c r="M318" s="292">
        <f>IFERROR(VLOOKUP(B318,'تقرير المصروفات حسب الشهر'!$C$1270:$AD$1381,4,FALSE),0)</f>
        <v>1616.37</v>
      </c>
      <c r="N318" s="292" t="e">
        <f>#REF!</f>
        <v>#REF!</v>
      </c>
      <c r="O318" s="296" t="e">
        <f t="shared" si="7"/>
        <v>#REF!</v>
      </c>
    </row>
    <row r="319" spans="2:15" ht="17.399999999999999">
      <c r="B319" s="291" t="s">
        <v>103</v>
      </c>
      <c r="C319" s="292">
        <f>'تقرير المصروفات حسب الشهر'!F89</f>
        <v>106.41</v>
      </c>
      <c r="D319" s="292" t="e">
        <f>#REF!</f>
        <v>#REF!</v>
      </c>
      <c r="E319" s="292" t="e">
        <f>#REF!</f>
        <v>#REF!</v>
      </c>
      <c r="F319" s="292" t="e">
        <f>#REF!</f>
        <v>#REF!</v>
      </c>
      <c r="G319" s="292" t="e">
        <f>#REF!</f>
        <v>#REF!</v>
      </c>
      <c r="H319" s="292" t="e">
        <f>#REF!</f>
        <v>#REF!</v>
      </c>
      <c r="I319" s="292">
        <f>'تقرير المصروفات حسب الشهر'!F842</f>
        <v>164.37</v>
      </c>
      <c r="J319" s="292">
        <f>'تقرير المصروفات حسب الشهر'!F969</f>
        <v>164.37</v>
      </c>
      <c r="K319" s="292">
        <f>'تقرير المصروفات حسب الشهر'!F1096</f>
        <v>333.17</v>
      </c>
      <c r="L319" s="292">
        <f>IFERROR(VLOOKUP(B319,'تقرير المصروفات حسب الشهر'!$C$1143:$AD$1254,4,FALSE),0)</f>
        <v>52.97</v>
      </c>
      <c r="M319" s="292">
        <f>IFERROR(VLOOKUP(B319,'تقرير المصروفات حسب الشهر'!$C$1270:$AD$1381,4,FALSE),0)</f>
        <v>52.96</v>
      </c>
      <c r="N319" s="292" t="e">
        <f>#REF!</f>
        <v>#REF!</v>
      </c>
      <c r="O319" s="296" t="e">
        <f t="shared" si="7"/>
        <v>#REF!</v>
      </c>
    </row>
    <row r="320" spans="2:15" ht="17.399999999999999">
      <c r="B320" s="291" t="s">
        <v>104</v>
      </c>
      <c r="C320" s="292">
        <f>'تقرير المصروفات حسب الشهر'!F90</f>
        <v>195.7</v>
      </c>
      <c r="D320" s="292" t="e">
        <f>#REF!</f>
        <v>#REF!</v>
      </c>
      <c r="E320" s="292" t="e">
        <f>#REF!</f>
        <v>#REF!</v>
      </c>
      <c r="F320" s="292" t="e">
        <f>#REF!</f>
        <v>#REF!</v>
      </c>
      <c r="G320" s="292" t="e">
        <f>#REF!</f>
        <v>#REF!</v>
      </c>
      <c r="H320" s="292" t="e">
        <f>#REF!</f>
        <v>#REF!</v>
      </c>
      <c r="I320" s="292">
        <f>'تقرير المصروفات حسب الشهر'!F843</f>
        <v>0</v>
      </c>
      <c r="J320" s="292">
        <f>'تقرير المصروفات حسب الشهر'!F970</f>
        <v>0</v>
      </c>
      <c r="K320" s="292">
        <f>'تقرير المصروفات حسب الشهر'!F1097</f>
        <v>0</v>
      </c>
      <c r="L320" s="292">
        <f>IFERROR(VLOOKUP(B320,'تقرير المصروفات حسب الشهر'!$C$1143:$AD$1254,4,FALSE),0)</f>
        <v>345.22</v>
      </c>
      <c r="M320" s="292">
        <f>IFERROR(VLOOKUP(B320,'تقرير المصروفات حسب الشهر'!$C$1270:$AD$1381,4,FALSE),0)</f>
        <v>345.22</v>
      </c>
      <c r="N320" s="292" t="e">
        <f>#REF!</f>
        <v>#REF!</v>
      </c>
      <c r="O320" s="296" t="e">
        <f t="shared" si="7"/>
        <v>#REF!</v>
      </c>
    </row>
    <row r="321" spans="2:15" ht="17.399999999999999">
      <c r="B321" s="291" t="s">
        <v>105</v>
      </c>
      <c r="C321" s="292">
        <f>'تقرير المصروفات حسب الشهر'!F91</f>
        <v>55.35</v>
      </c>
      <c r="D321" s="292" t="e">
        <f>#REF!</f>
        <v>#REF!</v>
      </c>
      <c r="E321" s="292" t="e">
        <f>#REF!</f>
        <v>#REF!</v>
      </c>
      <c r="F321" s="292" t="e">
        <f>#REF!</f>
        <v>#REF!</v>
      </c>
      <c r="G321" s="292" t="e">
        <f>#REF!</f>
        <v>#REF!</v>
      </c>
      <c r="H321" s="292" t="e">
        <f>#REF!</f>
        <v>#REF!</v>
      </c>
      <c r="I321" s="292">
        <f>'تقرير المصروفات حسب الشهر'!F844</f>
        <v>0</v>
      </c>
      <c r="J321" s="292">
        <f>'تقرير المصروفات حسب الشهر'!F971</f>
        <v>0</v>
      </c>
      <c r="K321" s="292">
        <f>'تقرير المصروفات حسب الشهر'!F1098</f>
        <v>0</v>
      </c>
      <c r="L321" s="292">
        <f>IFERROR(VLOOKUP(B321,'تقرير المصروفات حسب الشهر'!$C$1143:$AD$1254,4,FALSE),0)</f>
        <v>0</v>
      </c>
      <c r="M321" s="292">
        <f>IFERROR(VLOOKUP(B321,'تقرير المصروفات حسب الشهر'!$C$1270:$AD$1381,4,FALSE),0)</f>
        <v>0</v>
      </c>
      <c r="N321" s="292" t="e">
        <f>#REF!</f>
        <v>#REF!</v>
      </c>
      <c r="O321" s="296" t="e">
        <f t="shared" si="7"/>
        <v>#REF!</v>
      </c>
    </row>
    <row r="322" spans="2:15" ht="17.399999999999999">
      <c r="B322" s="291" t="s">
        <v>106</v>
      </c>
      <c r="C322" s="292">
        <f>'تقرير المصروفات حسب الشهر'!F92</f>
        <v>0</v>
      </c>
      <c r="D322" s="292" t="e">
        <f>#REF!</f>
        <v>#REF!</v>
      </c>
      <c r="E322" s="292" t="e">
        <f>#REF!</f>
        <v>#REF!</v>
      </c>
      <c r="F322" s="292" t="e">
        <f>#REF!</f>
        <v>#REF!</v>
      </c>
      <c r="G322" s="292" t="e">
        <f>#REF!</f>
        <v>#REF!</v>
      </c>
      <c r="H322" s="292" t="e">
        <f>#REF!</f>
        <v>#REF!</v>
      </c>
      <c r="I322" s="292">
        <f>'تقرير المصروفات حسب الشهر'!F845</f>
        <v>0</v>
      </c>
      <c r="J322" s="292">
        <f>'تقرير المصروفات حسب الشهر'!F972</f>
        <v>0</v>
      </c>
      <c r="K322" s="292">
        <f>'تقرير المصروفات حسب الشهر'!F1099</f>
        <v>0</v>
      </c>
      <c r="L322" s="292">
        <f>IFERROR(VLOOKUP(B322,'تقرير المصروفات حسب الشهر'!$C$1143:$AD$1254,4,FALSE),0)</f>
        <v>0</v>
      </c>
      <c r="M322" s="292">
        <f>IFERROR(VLOOKUP(B322,'تقرير المصروفات حسب الشهر'!$C$1270:$AD$1381,4,FALSE),0)</f>
        <v>0</v>
      </c>
      <c r="N322" s="292" t="e">
        <f>#REF!</f>
        <v>#REF!</v>
      </c>
      <c r="O322" s="296" t="e">
        <f t="shared" si="7"/>
        <v>#REF!</v>
      </c>
    </row>
    <row r="323" spans="2:15" ht="17.399999999999999">
      <c r="B323" s="291" t="s">
        <v>107</v>
      </c>
      <c r="C323" s="292">
        <f>'تقرير المصروفات حسب الشهر'!F93</f>
        <v>0</v>
      </c>
      <c r="D323" s="292" t="e">
        <f>#REF!</f>
        <v>#REF!</v>
      </c>
      <c r="E323" s="292" t="e">
        <f>#REF!</f>
        <v>#REF!</v>
      </c>
      <c r="F323" s="292" t="e">
        <f>#REF!</f>
        <v>#REF!</v>
      </c>
      <c r="G323" s="292" t="e">
        <f>#REF!</f>
        <v>#REF!</v>
      </c>
      <c r="H323" s="292" t="e">
        <f>#REF!</f>
        <v>#REF!</v>
      </c>
      <c r="I323" s="292">
        <f>'تقرير المصروفات حسب الشهر'!F846</f>
        <v>37861.31</v>
      </c>
      <c r="J323" s="292">
        <f>'تقرير المصروفات حسب الشهر'!F973</f>
        <v>41603.21</v>
      </c>
      <c r="K323" s="292">
        <f>'تقرير المصروفات حسب الشهر'!F1100</f>
        <v>36862.569999999992</v>
      </c>
      <c r="L323" s="292">
        <f>IFERROR(VLOOKUP(B323,'تقرير المصروفات حسب الشهر'!$C$1143:$AD$1254,4,FALSE),0)</f>
        <v>18659</v>
      </c>
      <c r="M323" s="292">
        <f>IFERROR(VLOOKUP(B323,'تقرير المصروفات حسب الشهر'!$C$1270:$AD$1381,4,FALSE),0)</f>
        <v>0</v>
      </c>
      <c r="N323" s="292" t="e">
        <f>#REF!</f>
        <v>#REF!</v>
      </c>
      <c r="O323" s="296" t="e">
        <f t="shared" si="7"/>
        <v>#REF!</v>
      </c>
    </row>
    <row r="324" spans="2:15" ht="17.399999999999999">
      <c r="B324" s="291" t="s">
        <v>108</v>
      </c>
      <c r="C324" s="292">
        <f>'تقرير المصروفات حسب الشهر'!F94</f>
        <v>32513.22</v>
      </c>
      <c r="D324" s="292" t="e">
        <f>#REF!</f>
        <v>#REF!</v>
      </c>
      <c r="E324" s="292" t="e">
        <f>#REF!</f>
        <v>#REF!</v>
      </c>
      <c r="F324" s="292" t="e">
        <f>#REF!</f>
        <v>#REF!</v>
      </c>
      <c r="G324" s="292" t="e">
        <f>#REF!</f>
        <v>#REF!</v>
      </c>
      <c r="H324" s="292" t="e">
        <f>#REF!</f>
        <v>#REF!</v>
      </c>
      <c r="I324" s="292">
        <f>'تقرير المصروفات حسب الشهر'!F847</f>
        <v>0</v>
      </c>
      <c r="J324" s="292">
        <f>'تقرير المصروفات حسب الشهر'!F974</f>
        <v>0</v>
      </c>
      <c r="K324" s="292">
        <f>'تقرير المصروفات حسب الشهر'!F1101</f>
        <v>0</v>
      </c>
      <c r="L324" s="292">
        <f>IFERROR(VLOOKUP(B324,'تقرير المصروفات حسب الشهر'!$C$1143:$AD$1254,4,FALSE),0)</f>
        <v>37249.58</v>
      </c>
      <c r="M324" s="292">
        <f>IFERROR(VLOOKUP(B324,'تقرير المصروفات حسب الشهر'!$C$1270:$AD$1381,4,FALSE),0)</f>
        <v>35109.269999999997</v>
      </c>
      <c r="N324" s="292" t="e">
        <f>#REF!</f>
        <v>#REF!</v>
      </c>
      <c r="O324" s="296" t="e">
        <f t="shared" si="7"/>
        <v>#REF!</v>
      </c>
    </row>
    <row r="325" spans="2:15" ht="17.399999999999999">
      <c r="B325" s="291" t="s">
        <v>109</v>
      </c>
      <c r="C325" s="292">
        <f>'تقرير المصروفات حسب الشهر'!F95</f>
        <v>0</v>
      </c>
      <c r="D325" s="292" t="e">
        <f>#REF!</f>
        <v>#REF!</v>
      </c>
      <c r="E325" s="292" t="e">
        <f>#REF!</f>
        <v>#REF!</v>
      </c>
      <c r="F325" s="292" t="e">
        <f>#REF!</f>
        <v>#REF!</v>
      </c>
      <c r="G325" s="292" t="e">
        <f>#REF!</f>
        <v>#REF!</v>
      </c>
      <c r="H325" s="292" t="e">
        <f>#REF!</f>
        <v>#REF!</v>
      </c>
      <c r="I325" s="292">
        <f>'تقرير المصروفات حسب الشهر'!F848</f>
        <v>0</v>
      </c>
      <c r="J325" s="292">
        <f>'تقرير المصروفات حسب الشهر'!F975</f>
        <v>0</v>
      </c>
      <c r="K325" s="292">
        <f>'تقرير المصروفات حسب الشهر'!F1102</f>
        <v>0</v>
      </c>
      <c r="L325" s="292">
        <f>IFERROR(VLOOKUP(B325,'تقرير المصروفات حسب الشهر'!$C$1143:$AD$1254,4,FALSE),0)</f>
        <v>0</v>
      </c>
      <c r="M325" s="292">
        <f>IFERROR(VLOOKUP(B325,'تقرير المصروفات حسب الشهر'!$C$1270:$AD$1381,4,FALSE),0)</f>
        <v>0</v>
      </c>
      <c r="N325" s="292" t="e">
        <f>#REF!</f>
        <v>#REF!</v>
      </c>
      <c r="O325" s="296" t="e">
        <f t="shared" si="7"/>
        <v>#REF!</v>
      </c>
    </row>
    <row r="326" spans="2:15" ht="17.399999999999999">
      <c r="B326" s="291" t="s">
        <v>110</v>
      </c>
      <c r="C326" s="292">
        <f>'تقرير المصروفات حسب الشهر'!F96</f>
        <v>0</v>
      </c>
      <c r="D326" s="292" t="e">
        <f>#REF!</f>
        <v>#REF!</v>
      </c>
      <c r="E326" s="292" t="e">
        <f>#REF!</f>
        <v>#REF!</v>
      </c>
      <c r="F326" s="292" t="e">
        <f>#REF!</f>
        <v>#REF!</v>
      </c>
      <c r="G326" s="292" t="e">
        <f>#REF!</f>
        <v>#REF!</v>
      </c>
      <c r="H326" s="292" t="e">
        <f>#REF!</f>
        <v>#REF!</v>
      </c>
      <c r="I326" s="292">
        <f>'تقرير المصروفات حسب الشهر'!F849</f>
        <v>0</v>
      </c>
      <c r="J326" s="292">
        <f>'تقرير المصروفات حسب الشهر'!F976</f>
        <v>0</v>
      </c>
      <c r="K326" s="292">
        <f>'تقرير المصروفات حسب الشهر'!F1103</f>
        <v>0</v>
      </c>
      <c r="L326" s="292">
        <f>IFERROR(VLOOKUP(B326,'تقرير المصروفات حسب الشهر'!$C$1143:$AD$1254,4,FALSE),0)</f>
        <v>0</v>
      </c>
      <c r="M326" s="292">
        <f>IFERROR(VLOOKUP(B326,'تقرير المصروفات حسب الشهر'!$C$1270:$AD$1381,4,FALSE),0)</f>
        <v>0</v>
      </c>
      <c r="N326" s="292" t="e">
        <f>#REF!</f>
        <v>#REF!</v>
      </c>
      <c r="O326" s="296" t="e">
        <f t="shared" si="7"/>
        <v>#REF!</v>
      </c>
    </row>
    <row r="327" spans="2:15" ht="17.399999999999999">
      <c r="B327" s="291" t="s">
        <v>112</v>
      </c>
      <c r="C327" s="292">
        <f>'تقرير المصروفات حسب الشهر'!F97</f>
        <v>3674.97</v>
      </c>
      <c r="D327" s="292" t="e">
        <f>#REF!</f>
        <v>#REF!</v>
      </c>
      <c r="E327" s="292" t="e">
        <f>#REF!</f>
        <v>#REF!</v>
      </c>
      <c r="F327" s="292" t="e">
        <f>#REF!</f>
        <v>#REF!</v>
      </c>
      <c r="G327" s="292" t="e">
        <f>#REF!</f>
        <v>#REF!</v>
      </c>
      <c r="H327" s="292" t="e">
        <f>#REF!</f>
        <v>#REF!</v>
      </c>
      <c r="I327" s="292">
        <f>'تقرير المصروفات حسب الشهر'!F850</f>
        <v>14561.83</v>
      </c>
      <c r="J327" s="292">
        <f>'تقرير المصروفات حسب الشهر'!F977</f>
        <v>0</v>
      </c>
      <c r="K327" s="292">
        <f>'تقرير المصروفات حسب الشهر'!F1104</f>
        <v>0</v>
      </c>
      <c r="L327" s="292">
        <f>IFERROR(VLOOKUP(B327,'تقرير المصروفات حسب الشهر'!$C$1143:$AD$1254,4,FALSE),0)</f>
        <v>0</v>
      </c>
      <c r="M327" s="292">
        <f>IFERROR(VLOOKUP(B327,'تقرير المصروفات حسب الشهر'!$C$1270:$AD$1381,4,FALSE),0)</f>
        <v>0</v>
      </c>
      <c r="N327" s="292" t="e">
        <f>#REF!</f>
        <v>#REF!</v>
      </c>
      <c r="O327" s="296" t="e">
        <f t="shared" si="7"/>
        <v>#REF!</v>
      </c>
    </row>
    <row r="328" spans="2:15" ht="17.399999999999999">
      <c r="B328" s="291" t="s">
        <v>113</v>
      </c>
      <c r="C328" s="292">
        <f>'تقرير المصروفات حسب الشهر'!F98</f>
        <v>0</v>
      </c>
      <c r="D328" s="292" t="e">
        <f>#REF!</f>
        <v>#REF!</v>
      </c>
      <c r="E328" s="292" t="e">
        <f>#REF!</f>
        <v>#REF!</v>
      </c>
      <c r="F328" s="292" t="e">
        <f>#REF!</f>
        <v>#REF!</v>
      </c>
      <c r="G328" s="292" t="e">
        <f>#REF!</f>
        <v>#REF!</v>
      </c>
      <c r="H328" s="292" t="e">
        <f>#REF!</f>
        <v>#REF!</v>
      </c>
      <c r="I328" s="292">
        <f>'تقرير المصروفات حسب الشهر'!F851</f>
        <v>0</v>
      </c>
      <c r="J328" s="292">
        <f>'تقرير المصروفات حسب الشهر'!F978</f>
        <v>0</v>
      </c>
      <c r="K328" s="292">
        <f>'تقرير المصروفات حسب الشهر'!F1105</f>
        <v>0</v>
      </c>
      <c r="L328" s="292">
        <f>IFERROR(VLOOKUP(B328,'تقرير المصروفات حسب الشهر'!$C$1143:$AD$1254,4,FALSE),0)</f>
        <v>0</v>
      </c>
      <c r="M328" s="292">
        <f>IFERROR(VLOOKUP(B328,'تقرير المصروفات حسب الشهر'!$C$1270:$AD$1381,4,FALSE),0)</f>
        <v>0</v>
      </c>
      <c r="N328" s="292" t="e">
        <f>#REF!</f>
        <v>#REF!</v>
      </c>
      <c r="O328" s="296" t="e">
        <f t="shared" si="7"/>
        <v>#REF!</v>
      </c>
    </row>
    <row r="329" spans="2:15" ht="17.399999999999999">
      <c r="B329" s="291" t="s">
        <v>137</v>
      </c>
      <c r="C329" s="292">
        <f>'تقرير المصروفات حسب الشهر'!F99</f>
        <v>0</v>
      </c>
      <c r="D329" s="292" t="e">
        <f>#REF!</f>
        <v>#REF!</v>
      </c>
      <c r="E329" s="292" t="e">
        <f>#REF!</f>
        <v>#REF!</v>
      </c>
      <c r="F329" s="292" t="e">
        <f>#REF!</f>
        <v>#REF!</v>
      </c>
      <c r="G329" s="292" t="e">
        <f>#REF!</f>
        <v>#REF!</v>
      </c>
      <c r="H329" s="292" t="e">
        <f>#REF!</f>
        <v>#REF!</v>
      </c>
      <c r="I329" s="292">
        <f>'تقرير المصروفات حسب الشهر'!F852</f>
        <v>0</v>
      </c>
      <c r="J329" s="292">
        <f>'تقرير المصروفات حسب الشهر'!F979</f>
        <v>0</v>
      </c>
      <c r="K329" s="292">
        <f>'تقرير المصروفات حسب الشهر'!F1106</f>
        <v>0</v>
      </c>
      <c r="L329" s="292">
        <f>IFERROR(VLOOKUP(B329,'تقرير المصروفات حسب الشهر'!$C$1143:$AD$1254,4,FALSE),0)</f>
        <v>0</v>
      </c>
      <c r="M329" s="292">
        <f>IFERROR(VLOOKUP(B329,'تقرير المصروفات حسب الشهر'!$C$1270:$AD$1381,4,FALSE),0)</f>
        <v>0</v>
      </c>
      <c r="N329" s="292" t="e">
        <f>#REF!</f>
        <v>#REF!</v>
      </c>
      <c r="O329" s="296" t="e">
        <f t="shared" si="7"/>
        <v>#REF!</v>
      </c>
    </row>
    <row r="330" spans="2:15" ht="17.399999999999999">
      <c r="B330" s="291" t="s">
        <v>140</v>
      </c>
      <c r="C330" s="292">
        <f>'تقرير المصروفات حسب الشهر'!F100</f>
        <v>464</v>
      </c>
      <c r="D330" s="292" t="e">
        <f>#REF!</f>
        <v>#REF!</v>
      </c>
      <c r="E330" s="292" t="e">
        <f>#REF!</f>
        <v>#REF!</v>
      </c>
      <c r="F330" s="292" t="e">
        <f>#REF!</f>
        <v>#REF!</v>
      </c>
      <c r="G330" s="292" t="e">
        <f>#REF!</f>
        <v>#REF!</v>
      </c>
      <c r="H330" s="292" t="e">
        <f>#REF!</f>
        <v>#REF!</v>
      </c>
      <c r="I330" s="292">
        <f>'تقرير المصروفات حسب الشهر'!F853</f>
        <v>0</v>
      </c>
      <c r="J330" s="292">
        <f>'تقرير المصروفات حسب الشهر'!F980</f>
        <v>0</v>
      </c>
      <c r="K330" s="292">
        <f>'تقرير المصروفات حسب الشهر'!F1107</f>
        <v>0</v>
      </c>
      <c r="L330" s="292">
        <f>IFERROR(VLOOKUP(B330,'تقرير المصروفات حسب الشهر'!$C$1143:$AD$1254,4,FALSE),0)</f>
        <v>0</v>
      </c>
      <c r="M330" s="292">
        <f>IFERROR(VLOOKUP(B330,'تقرير المصروفات حسب الشهر'!$C$1270:$AD$1381,4,FALSE),0)</f>
        <v>0</v>
      </c>
      <c r="N330" s="292" t="e">
        <f>#REF!</f>
        <v>#REF!</v>
      </c>
      <c r="O330" s="296" t="e">
        <f t="shared" si="7"/>
        <v>#REF!</v>
      </c>
    </row>
    <row r="331" spans="2:15" ht="17.399999999999999">
      <c r="B331" s="291" t="s">
        <v>141</v>
      </c>
      <c r="C331" s="292">
        <f>'تقرير المصروفات حسب الشهر'!F101</f>
        <v>0</v>
      </c>
      <c r="D331" s="292" t="e">
        <f>#REF!</f>
        <v>#REF!</v>
      </c>
      <c r="E331" s="292" t="e">
        <f>#REF!</f>
        <v>#REF!</v>
      </c>
      <c r="F331" s="292" t="e">
        <f>#REF!</f>
        <v>#REF!</v>
      </c>
      <c r="G331" s="292" t="e">
        <f>#REF!</f>
        <v>#REF!</v>
      </c>
      <c r="H331" s="292" t="e">
        <f>#REF!</f>
        <v>#REF!</v>
      </c>
      <c r="I331" s="292">
        <f>'تقرير المصروفات حسب الشهر'!F854</f>
        <v>0</v>
      </c>
      <c r="J331" s="292">
        <f>'تقرير المصروفات حسب الشهر'!F981</f>
        <v>500</v>
      </c>
      <c r="K331" s="292">
        <f>'تقرير المصروفات حسب الشهر'!F1108</f>
        <v>920</v>
      </c>
      <c r="L331" s="292">
        <f>IFERROR(VLOOKUP(B331,'تقرير المصروفات حسب الشهر'!$C$1143:$AD$1254,4,FALSE),0)</f>
        <v>0</v>
      </c>
      <c r="M331" s="292">
        <f>IFERROR(VLOOKUP(B331,'تقرير المصروفات حسب الشهر'!$C$1270:$AD$1381,4,FALSE),0)</f>
        <v>0</v>
      </c>
      <c r="N331" s="292" t="e">
        <f>#REF!</f>
        <v>#REF!</v>
      </c>
      <c r="O331" s="296" t="e">
        <f t="shared" si="7"/>
        <v>#REF!</v>
      </c>
    </row>
    <row r="332" spans="2:15" ht="17.399999999999999">
      <c r="B332" s="291" t="s">
        <v>193</v>
      </c>
      <c r="C332" s="292">
        <f>'تقرير المصروفات حسب الشهر'!F102</f>
        <v>0</v>
      </c>
      <c r="D332" s="292" t="e">
        <f>#REF!</f>
        <v>#REF!</v>
      </c>
      <c r="E332" s="292" t="e">
        <f>#REF!</f>
        <v>#REF!</v>
      </c>
      <c r="F332" s="292" t="e">
        <f>#REF!</f>
        <v>#REF!</v>
      </c>
      <c r="G332" s="292" t="e">
        <f>#REF!</f>
        <v>#REF!</v>
      </c>
      <c r="H332" s="292" t="e">
        <f>#REF!</f>
        <v>#REF!</v>
      </c>
      <c r="I332" s="292">
        <f>'تقرير المصروفات حسب الشهر'!F855</f>
        <v>0</v>
      </c>
      <c r="J332" s="292">
        <f>'تقرير المصروفات حسب الشهر'!F982</f>
        <v>0</v>
      </c>
      <c r="K332" s="292">
        <f>'تقرير المصروفات حسب الشهر'!F1109</f>
        <v>0</v>
      </c>
      <c r="L332" s="292">
        <f>IFERROR(VLOOKUP(B332,'تقرير المصروفات حسب الشهر'!$C$1143:$AD$1254,4,FALSE),0)</f>
        <v>0</v>
      </c>
      <c r="M332" s="292">
        <f>IFERROR(VLOOKUP(B332,'تقرير المصروفات حسب الشهر'!$C$1270:$AD$1381,4,FALSE),0)</f>
        <v>0</v>
      </c>
      <c r="N332" s="292" t="e">
        <f>#REF!</f>
        <v>#REF!</v>
      </c>
      <c r="O332" s="296" t="e">
        <f t="shared" si="7"/>
        <v>#REF!</v>
      </c>
    </row>
    <row r="333" spans="2:15" ht="17.399999999999999">
      <c r="B333" s="291" t="s">
        <v>148</v>
      </c>
      <c r="C333" s="292">
        <f>'تقرير المصروفات حسب الشهر'!F103</f>
        <v>0</v>
      </c>
      <c r="D333" s="292" t="e">
        <f>#REF!</f>
        <v>#REF!</v>
      </c>
      <c r="E333" s="292" t="e">
        <f>#REF!</f>
        <v>#REF!</v>
      </c>
      <c r="F333" s="292" t="e">
        <f>#REF!</f>
        <v>#REF!</v>
      </c>
      <c r="G333" s="292" t="e">
        <f>#REF!</f>
        <v>#REF!</v>
      </c>
      <c r="H333" s="292" t="e">
        <f>#REF!</f>
        <v>#REF!</v>
      </c>
      <c r="I333" s="292">
        <f>'تقرير المصروفات حسب الشهر'!F856</f>
        <v>0</v>
      </c>
      <c r="J333" s="292">
        <f>'تقرير المصروفات حسب الشهر'!F983</f>
        <v>0</v>
      </c>
      <c r="K333" s="292">
        <f>'تقرير المصروفات حسب الشهر'!F1110</f>
        <v>0</v>
      </c>
      <c r="L333" s="292">
        <f>IFERROR(VLOOKUP(B333,'تقرير المصروفات حسب الشهر'!$C$1143:$AD$1254,4,FALSE),0)</f>
        <v>0</v>
      </c>
      <c r="M333" s="292">
        <f>IFERROR(VLOOKUP(B333,'تقرير المصروفات حسب الشهر'!$C$1270:$AD$1381,4,FALSE),0)</f>
        <v>0</v>
      </c>
      <c r="N333" s="292" t="e">
        <f>#REF!</f>
        <v>#REF!</v>
      </c>
      <c r="O333" s="296" t="e">
        <f t="shared" si="7"/>
        <v>#REF!</v>
      </c>
    </row>
    <row r="334" spans="2:15" ht="17.399999999999999">
      <c r="B334" s="291" t="s">
        <v>186</v>
      </c>
      <c r="C334" s="292">
        <f>'تقرير المصروفات حسب الشهر'!F104</f>
        <v>0</v>
      </c>
      <c r="D334" s="292" t="e">
        <f>#REF!</f>
        <v>#REF!</v>
      </c>
      <c r="E334" s="292" t="e">
        <f>#REF!</f>
        <v>#REF!</v>
      </c>
      <c r="F334" s="292" t="e">
        <f>#REF!</f>
        <v>#REF!</v>
      </c>
      <c r="G334" s="292" t="e">
        <f>#REF!</f>
        <v>#REF!</v>
      </c>
      <c r="H334" s="292" t="e">
        <f>#REF!</f>
        <v>#REF!</v>
      </c>
      <c r="I334" s="292">
        <f>'تقرير المصروفات حسب الشهر'!F857</f>
        <v>0</v>
      </c>
      <c r="J334" s="292">
        <f>'تقرير المصروفات حسب الشهر'!F984</f>
        <v>0</v>
      </c>
      <c r="K334" s="292">
        <f>'تقرير المصروفات حسب الشهر'!F1111</f>
        <v>0</v>
      </c>
      <c r="L334" s="292">
        <f>IFERROR(VLOOKUP(B334,'تقرير المصروفات حسب الشهر'!$C$1143:$AD$1254,4,FALSE),0)</f>
        <v>0</v>
      </c>
      <c r="M334" s="292">
        <f>IFERROR(VLOOKUP(B334,'تقرير المصروفات حسب الشهر'!$C$1270:$AD$1381,4,FALSE),0)</f>
        <v>0</v>
      </c>
      <c r="N334" s="292" t="e">
        <f>#REF!</f>
        <v>#REF!</v>
      </c>
      <c r="O334" s="296" t="e">
        <f t="shared" si="7"/>
        <v>#REF!</v>
      </c>
    </row>
    <row r="335" spans="2:15" ht="17.399999999999999">
      <c r="B335" s="291" t="s">
        <v>171</v>
      </c>
      <c r="C335" s="292">
        <f>'تقرير المصروفات حسب الشهر'!F105</f>
        <v>0</v>
      </c>
      <c r="D335" s="292" t="e">
        <f>#REF!</f>
        <v>#REF!</v>
      </c>
      <c r="E335" s="292" t="e">
        <f>#REF!</f>
        <v>#REF!</v>
      </c>
      <c r="F335" s="292" t="e">
        <f>#REF!</f>
        <v>#REF!</v>
      </c>
      <c r="G335" s="292" t="e">
        <f>#REF!</f>
        <v>#REF!</v>
      </c>
      <c r="H335" s="292" t="e">
        <f>#REF!</f>
        <v>#REF!</v>
      </c>
      <c r="I335" s="292">
        <f>'تقرير المصروفات حسب الشهر'!F858</f>
        <v>0</v>
      </c>
      <c r="J335" s="292">
        <f>'تقرير المصروفات حسب الشهر'!F985</f>
        <v>0</v>
      </c>
      <c r="K335" s="292">
        <f>'تقرير المصروفات حسب الشهر'!F1112</f>
        <v>0</v>
      </c>
      <c r="L335" s="292">
        <f>IFERROR(VLOOKUP(B335,'تقرير المصروفات حسب الشهر'!$C$1143:$AD$1254,4,FALSE),0)</f>
        <v>0</v>
      </c>
      <c r="M335" s="292">
        <f>IFERROR(VLOOKUP(B335,'تقرير المصروفات حسب الشهر'!$C$1270:$AD$1381,4,FALSE),0)</f>
        <v>0</v>
      </c>
      <c r="N335" s="292" t="e">
        <f>#REF!</f>
        <v>#REF!</v>
      </c>
      <c r="O335" s="296" t="e">
        <f t="shared" si="7"/>
        <v>#REF!</v>
      </c>
    </row>
    <row r="336" spans="2:15" ht="17.399999999999999">
      <c r="B336" s="291" t="s">
        <v>180</v>
      </c>
      <c r="C336" s="292">
        <f>'تقرير المصروفات حسب الشهر'!F106</f>
        <v>0</v>
      </c>
      <c r="D336" s="292" t="e">
        <f>#REF!</f>
        <v>#REF!</v>
      </c>
      <c r="E336" s="292" t="e">
        <f>#REF!</f>
        <v>#REF!</v>
      </c>
      <c r="F336" s="292" t="e">
        <f>#REF!</f>
        <v>#REF!</v>
      </c>
      <c r="G336" s="292" t="e">
        <f>#REF!</f>
        <v>#REF!</v>
      </c>
      <c r="H336" s="292" t="e">
        <f>#REF!</f>
        <v>#REF!</v>
      </c>
      <c r="I336" s="292">
        <f>'تقرير المصروفات حسب الشهر'!F859</f>
        <v>438</v>
      </c>
      <c r="J336" s="292">
        <f>'تقرير المصروفات حسب الشهر'!F986</f>
        <v>863</v>
      </c>
      <c r="K336" s="292">
        <f>'تقرير المصروفات حسب الشهر'!F1113</f>
        <v>0</v>
      </c>
      <c r="L336" s="292">
        <f>IFERROR(VLOOKUP(B336,'تقرير المصروفات حسب الشهر'!$C$1143:$AD$1254,4,FALSE),0)</f>
        <v>0</v>
      </c>
      <c r="M336" s="292">
        <f>IFERROR(VLOOKUP(B336,'تقرير المصروفات حسب الشهر'!$C$1270:$AD$1381,4,FALSE),0)</f>
        <v>0</v>
      </c>
      <c r="N336" s="292" t="e">
        <f>#REF!</f>
        <v>#REF!</v>
      </c>
      <c r="O336" s="296" t="e">
        <f t="shared" si="7"/>
        <v>#REF!</v>
      </c>
    </row>
    <row r="337" spans="2:15" ht="17.399999999999999">
      <c r="B337" s="291" t="s">
        <v>183</v>
      </c>
      <c r="C337" s="292">
        <f>'تقرير المصروفات حسب الشهر'!F107</f>
        <v>0</v>
      </c>
      <c r="D337" s="292" t="e">
        <f>#REF!</f>
        <v>#REF!</v>
      </c>
      <c r="E337" s="292" t="e">
        <f>#REF!</f>
        <v>#REF!</v>
      </c>
      <c r="F337" s="292" t="e">
        <f>#REF!</f>
        <v>#REF!</v>
      </c>
      <c r="G337" s="292" t="e">
        <f>#REF!</f>
        <v>#REF!</v>
      </c>
      <c r="H337" s="292" t="e">
        <f>#REF!</f>
        <v>#REF!</v>
      </c>
      <c r="I337" s="292">
        <f>'تقرير المصروفات حسب الشهر'!F860</f>
        <v>0</v>
      </c>
      <c r="J337" s="292">
        <f>'تقرير المصروفات حسب الشهر'!F987</f>
        <v>0</v>
      </c>
      <c r="K337" s="292">
        <f>'تقرير المصروفات حسب الشهر'!F1114</f>
        <v>0</v>
      </c>
      <c r="L337" s="292">
        <f>IFERROR(VLOOKUP(B337,'تقرير المصروفات حسب الشهر'!$C$1143:$AD$1254,4,FALSE),0)</f>
        <v>0</v>
      </c>
      <c r="M337" s="292">
        <f>IFERROR(VLOOKUP(B337,'تقرير المصروفات حسب الشهر'!$C$1270:$AD$1381,4,FALSE),0)</f>
        <v>0</v>
      </c>
      <c r="N337" s="292" t="e">
        <f>#REF!</f>
        <v>#REF!</v>
      </c>
      <c r="O337" s="296" t="e">
        <f t="shared" si="7"/>
        <v>#REF!</v>
      </c>
    </row>
    <row r="338" spans="2:15" ht="17.399999999999999">
      <c r="B338" s="291" t="s">
        <v>195</v>
      </c>
      <c r="C338" s="292">
        <f>'تقرير المصروفات حسب الشهر'!F108</f>
        <v>0</v>
      </c>
      <c r="D338" s="292" t="e">
        <f>#REF!</f>
        <v>#REF!</v>
      </c>
      <c r="E338" s="292" t="e">
        <f>#REF!</f>
        <v>#REF!</v>
      </c>
      <c r="F338" s="292" t="e">
        <f>#REF!</f>
        <v>#REF!</v>
      </c>
      <c r="G338" s="292" t="e">
        <f>#REF!</f>
        <v>#REF!</v>
      </c>
      <c r="H338" s="292" t="e">
        <f>#REF!</f>
        <v>#REF!</v>
      </c>
      <c r="I338" s="292">
        <f>'تقرير المصروفات حسب الشهر'!F861</f>
        <v>0</v>
      </c>
      <c r="J338" s="292">
        <f>'تقرير المصروفات حسب الشهر'!F988</f>
        <v>0</v>
      </c>
      <c r="K338" s="292">
        <f>'تقرير المصروفات حسب الشهر'!F1115</f>
        <v>0</v>
      </c>
      <c r="L338" s="292">
        <f>IFERROR(VLOOKUP(B338,'تقرير المصروفات حسب الشهر'!$C$1143:$AD$1254,4,FALSE),0)</f>
        <v>0</v>
      </c>
      <c r="M338" s="292">
        <f>IFERROR(VLOOKUP(B338,'تقرير المصروفات حسب الشهر'!$C$1270:$AD$1381,4,FALSE),0)</f>
        <v>0</v>
      </c>
      <c r="N338" s="292" t="e">
        <f>#REF!</f>
        <v>#REF!</v>
      </c>
      <c r="O338" s="296" t="e">
        <f t="shared" si="7"/>
        <v>#REF!</v>
      </c>
    </row>
    <row r="339" spans="2:15" ht="17.399999999999999">
      <c r="B339" s="291" t="s">
        <v>189</v>
      </c>
      <c r="C339" s="292">
        <f>'تقرير المصروفات حسب الشهر'!F109</f>
        <v>0</v>
      </c>
      <c r="D339" s="292" t="e">
        <f>#REF!</f>
        <v>#REF!</v>
      </c>
      <c r="E339" s="292" t="e">
        <f>#REF!</f>
        <v>#REF!</v>
      </c>
      <c r="F339" s="292" t="e">
        <f>#REF!</f>
        <v>#REF!</v>
      </c>
      <c r="G339" s="292" t="e">
        <f>#REF!</f>
        <v>#REF!</v>
      </c>
      <c r="H339" s="292" t="e">
        <f>#REF!</f>
        <v>#REF!</v>
      </c>
      <c r="I339" s="292">
        <f>'تقرير المصروفات حسب الشهر'!F862</f>
        <v>0</v>
      </c>
      <c r="J339" s="292">
        <f>'تقرير المصروفات حسب الشهر'!F989</f>
        <v>0</v>
      </c>
      <c r="K339" s="292">
        <f>'تقرير المصروفات حسب الشهر'!F1116</f>
        <v>0</v>
      </c>
      <c r="L339" s="292">
        <f>IFERROR(VLOOKUP(B339,'تقرير المصروفات حسب الشهر'!$C$1143:$AD$1254,4,FALSE),0)</f>
        <v>0</v>
      </c>
      <c r="M339" s="292">
        <f>IFERROR(VLOOKUP(B339,'تقرير المصروفات حسب الشهر'!$C$1270:$AD$1381,4,FALSE),0)</f>
        <v>0</v>
      </c>
      <c r="N339" s="292" t="e">
        <f>#REF!</f>
        <v>#REF!</v>
      </c>
      <c r="O339" s="296" t="e">
        <f t="shared" si="7"/>
        <v>#REF!</v>
      </c>
    </row>
    <row r="340" spans="2:15" ht="17.399999999999999">
      <c r="B340" s="291" t="s">
        <v>188</v>
      </c>
      <c r="C340" s="292">
        <f>'تقرير المصروفات حسب الشهر'!F110</f>
        <v>0</v>
      </c>
      <c r="D340" s="292" t="e">
        <f>#REF!</f>
        <v>#REF!</v>
      </c>
      <c r="E340" s="292" t="e">
        <f>#REF!</f>
        <v>#REF!</v>
      </c>
      <c r="F340" s="292" t="e">
        <f>#REF!</f>
        <v>#REF!</v>
      </c>
      <c r="G340" s="292" t="e">
        <f>#REF!</f>
        <v>#REF!</v>
      </c>
      <c r="H340" s="292" t="e">
        <f>#REF!</f>
        <v>#REF!</v>
      </c>
      <c r="I340" s="292">
        <f>'تقرير المصروفات حسب الشهر'!F863</f>
        <v>0</v>
      </c>
      <c r="J340" s="292">
        <f>'تقرير المصروفات حسب الشهر'!F990</f>
        <v>0</v>
      </c>
      <c r="K340" s="292">
        <f>'تقرير المصروفات حسب الشهر'!F1117</f>
        <v>0</v>
      </c>
      <c r="L340" s="292">
        <f>IFERROR(VLOOKUP(B340,'تقرير المصروفات حسب الشهر'!$C$1143:$AD$1254,4,FALSE),0)</f>
        <v>0</v>
      </c>
      <c r="M340" s="292">
        <f>IFERROR(VLOOKUP(B340,'تقرير المصروفات حسب الشهر'!$C$1270:$AD$1381,4,FALSE),0)</f>
        <v>0</v>
      </c>
      <c r="N340" s="292" t="e">
        <f>#REF!</f>
        <v>#REF!</v>
      </c>
      <c r="O340" s="296" t="e">
        <f t="shared" si="7"/>
        <v>#REF!</v>
      </c>
    </row>
    <row r="341" spans="2:15" ht="17.399999999999999">
      <c r="B341" s="291" t="s">
        <v>196</v>
      </c>
      <c r="C341" s="292">
        <f>'تقرير المصروفات حسب الشهر'!F111</f>
        <v>0</v>
      </c>
      <c r="D341" s="292" t="e">
        <f>#REF!</f>
        <v>#REF!</v>
      </c>
      <c r="E341" s="292" t="e">
        <f>#REF!</f>
        <v>#REF!</v>
      </c>
      <c r="F341" s="292" t="e">
        <f>#REF!</f>
        <v>#REF!</v>
      </c>
      <c r="G341" s="292" t="e">
        <f>#REF!</f>
        <v>#REF!</v>
      </c>
      <c r="H341" s="292" t="e">
        <f>#REF!</f>
        <v>#REF!</v>
      </c>
      <c r="I341" s="292">
        <f>'تقرير المصروفات حسب الشهر'!F864</f>
        <v>0</v>
      </c>
      <c r="J341" s="292">
        <f>'تقرير المصروفات حسب الشهر'!F991</f>
        <v>0</v>
      </c>
      <c r="K341" s="292">
        <f>'تقرير المصروفات حسب الشهر'!F1118</f>
        <v>0</v>
      </c>
      <c r="L341" s="292">
        <f>IFERROR(VLOOKUP(B341,'تقرير المصروفات حسب الشهر'!$C$1143:$AD$1254,4,FALSE),0)</f>
        <v>0</v>
      </c>
      <c r="M341" s="292">
        <f>IFERROR(VLOOKUP(B341,'تقرير المصروفات حسب الشهر'!$C$1270:$AD$1381,4,FALSE),0)</f>
        <v>0</v>
      </c>
      <c r="N341" s="292" t="e">
        <f>#REF!</f>
        <v>#REF!</v>
      </c>
      <c r="O341" s="296" t="e">
        <f t="shared" si="7"/>
        <v>#REF!</v>
      </c>
    </row>
    <row r="342" spans="2:15" ht="17.399999999999999">
      <c r="B342" s="291" t="s">
        <v>197</v>
      </c>
      <c r="C342" s="292">
        <f>'تقرير المصروفات حسب الشهر'!F112</f>
        <v>0</v>
      </c>
      <c r="D342" s="292" t="e">
        <f>#REF!</f>
        <v>#REF!</v>
      </c>
      <c r="E342" s="292" t="e">
        <f>#REF!</f>
        <v>#REF!</v>
      </c>
      <c r="F342" s="292" t="e">
        <f>#REF!</f>
        <v>#REF!</v>
      </c>
      <c r="G342" s="292" t="e">
        <f>#REF!</f>
        <v>#REF!</v>
      </c>
      <c r="H342" s="292" t="e">
        <f>#REF!</f>
        <v>#REF!</v>
      </c>
      <c r="I342" s="292">
        <f>'تقرير المصروفات حسب الشهر'!F865</f>
        <v>0</v>
      </c>
      <c r="J342" s="292">
        <f>'تقرير المصروفات حسب الشهر'!F992</f>
        <v>0</v>
      </c>
      <c r="K342" s="292">
        <f>'تقرير المصروفات حسب الشهر'!F1119</f>
        <v>0</v>
      </c>
      <c r="L342" s="292">
        <f>IFERROR(VLOOKUP(B342,'تقرير المصروفات حسب الشهر'!$C$1143:$AD$1254,4,FALSE),0)</f>
        <v>0</v>
      </c>
      <c r="M342" s="292">
        <f>IFERROR(VLOOKUP(B342,'تقرير المصروفات حسب الشهر'!$C$1270:$AD$1381,4,FALSE),0)</f>
        <v>0</v>
      </c>
      <c r="N342" s="292" t="e">
        <f>#REF!</f>
        <v>#REF!</v>
      </c>
      <c r="O342" s="296" t="e">
        <f t="shared" si="7"/>
        <v>#REF!</v>
      </c>
    </row>
    <row r="343" spans="2:15" ht="17.399999999999999">
      <c r="B343" s="291" t="s">
        <v>198</v>
      </c>
      <c r="C343" s="292">
        <f>'تقرير المصروفات حسب الشهر'!F113</f>
        <v>0</v>
      </c>
      <c r="D343" s="292" t="e">
        <f>#REF!</f>
        <v>#REF!</v>
      </c>
      <c r="E343" s="292" t="e">
        <f>#REF!</f>
        <v>#REF!</v>
      </c>
      <c r="F343" s="292" t="e">
        <f>#REF!</f>
        <v>#REF!</v>
      </c>
      <c r="G343" s="292" t="e">
        <f>#REF!</f>
        <v>#REF!</v>
      </c>
      <c r="H343" s="292" t="e">
        <f>#REF!</f>
        <v>#REF!</v>
      </c>
      <c r="I343" s="292">
        <f>'تقرير المصروفات حسب الشهر'!F866</f>
        <v>0</v>
      </c>
      <c r="J343" s="292">
        <f>'تقرير المصروفات حسب الشهر'!F993</f>
        <v>0</v>
      </c>
      <c r="K343" s="292">
        <f>'تقرير المصروفات حسب الشهر'!F1120</f>
        <v>0</v>
      </c>
      <c r="L343" s="292">
        <f>IFERROR(VLOOKUP(B343,'تقرير المصروفات حسب الشهر'!$C$1143:$AD$1254,4,FALSE),0)</f>
        <v>0</v>
      </c>
      <c r="M343" s="292">
        <f>IFERROR(VLOOKUP(B343,'تقرير المصروفات حسب الشهر'!$C$1270:$AD$1381,4,FALSE),0)</f>
        <v>0</v>
      </c>
      <c r="N343" s="292" t="e">
        <f>#REF!</f>
        <v>#REF!</v>
      </c>
      <c r="O343" s="296" t="e">
        <f t="shared" si="7"/>
        <v>#REF!</v>
      </c>
    </row>
    <row r="344" spans="2:15" ht="17.399999999999999">
      <c r="B344" s="291" t="s">
        <v>201</v>
      </c>
      <c r="C344" s="292">
        <f>'تقرير المصروفات حسب الشهر'!F114</f>
        <v>0</v>
      </c>
      <c r="D344" s="292" t="e">
        <f>#REF!</f>
        <v>#REF!</v>
      </c>
      <c r="E344" s="292" t="e">
        <f>#REF!</f>
        <v>#REF!</v>
      </c>
      <c r="F344" s="292" t="e">
        <f>#REF!</f>
        <v>#REF!</v>
      </c>
      <c r="G344" s="292" t="e">
        <f>#REF!</f>
        <v>#REF!</v>
      </c>
      <c r="H344" s="292" t="e">
        <f>#REF!</f>
        <v>#REF!</v>
      </c>
      <c r="I344" s="292">
        <f>'تقرير المصروفات حسب الشهر'!F867</f>
        <v>0</v>
      </c>
      <c r="J344" s="292">
        <f>'تقرير المصروفات حسب الشهر'!F994</f>
        <v>0</v>
      </c>
      <c r="K344" s="292">
        <f>'تقرير المصروفات حسب الشهر'!F1121</f>
        <v>0</v>
      </c>
      <c r="L344" s="292">
        <f>IFERROR(VLOOKUP(B344,'تقرير المصروفات حسب الشهر'!$C$1143:$AD$1254,4,FALSE),0)</f>
        <v>0</v>
      </c>
      <c r="M344" s="292">
        <f>IFERROR(VLOOKUP(B344,'تقرير المصروفات حسب الشهر'!$C$1270:$AD$1381,4,FALSE),0)</f>
        <v>0</v>
      </c>
      <c r="N344" s="292" t="e">
        <f>#REF!</f>
        <v>#REF!</v>
      </c>
      <c r="O344" s="296" t="e">
        <f t="shared" si="7"/>
        <v>#REF!</v>
      </c>
    </row>
    <row r="345" spans="2:15" ht="17.399999999999999">
      <c r="B345" s="291" t="s">
        <v>202</v>
      </c>
      <c r="C345" s="292">
        <f>'تقرير المصروفات حسب الشهر'!F115</f>
        <v>0</v>
      </c>
      <c r="D345" s="292" t="e">
        <f>#REF!</f>
        <v>#REF!</v>
      </c>
      <c r="E345" s="292" t="e">
        <f>#REF!</f>
        <v>#REF!</v>
      </c>
      <c r="F345" s="292" t="e">
        <f>#REF!</f>
        <v>#REF!</v>
      </c>
      <c r="G345" s="292" t="e">
        <f>#REF!</f>
        <v>#REF!</v>
      </c>
      <c r="H345" s="292" t="e">
        <f>#REF!</f>
        <v>#REF!</v>
      </c>
      <c r="I345" s="292">
        <f>'تقرير المصروفات حسب الشهر'!F868</f>
        <v>0</v>
      </c>
      <c r="J345" s="292">
        <f>'تقرير المصروفات حسب الشهر'!F995</f>
        <v>0</v>
      </c>
      <c r="K345" s="292">
        <f>'تقرير المصروفات حسب الشهر'!F1122</f>
        <v>0</v>
      </c>
      <c r="L345" s="292">
        <f>IFERROR(VLOOKUP(B345,'تقرير المصروفات حسب الشهر'!$C$1143:$AD$1254,4,FALSE),0)</f>
        <v>0</v>
      </c>
      <c r="M345" s="292">
        <f>IFERROR(VLOOKUP(B345,'تقرير المصروفات حسب الشهر'!$C$1270:$AD$1381,4,FALSE),0)</f>
        <v>0</v>
      </c>
      <c r="N345" s="292" t="e">
        <f>#REF!</f>
        <v>#REF!</v>
      </c>
      <c r="O345" s="296" t="e">
        <f t="shared" si="7"/>
        <v>#REF!</v>
      </c>
    </row>
    <row r="346" spans="2:15" ht="17.399999999999999">
      <c r="B346" s="291" t="s">
        <v>206</v>
      </c>
      <c r="C346" s="292">
        <f>'تقرير المصروفات حسب الشهر'!F116</f>
        <v>0</v>
      </c>
      <c r="D346" s="292" t="e">
        <f>#REF!</f>
        <v>#REF!</v>
      </c>
      <c r="E346" s="292" t="e">
        <f>#REF!</f>
        <v>#REF!</v>
      </c>
      <c r="F346" s="292" t="e">
        <f>#REF!</f>
        <v>#REF!</v>
      </c>
      <c r="G346" s="292" t="e">
        <f>#REF!</f>
        <v>#REF!</v>
      </c>
      <c r="H346" s="292" t="e">
        <f>#REF!</f>
        <v>#REF!</v>
      </c>
      <c r="I346" s="292">
        <f>'تقرير المصروفات حسب الشهر'!F869</f>
        <v>3450</v>
      </c>
      <c r="J346" s="292">
        <f>'تقرير المصروفات حسب الشهر'!F996</f>
        <v>3450</v>
      </c>
      <c r="K346" s="292">
        <f>'تقرير المصروفات حسب الشهر'!F1123</f>
        <v>3450</v>
      </c>
      <c r="L346" s="292">
        <f>IFERROR(VLOOKUP(B346,'تقرير المصروفات حسب الشهر'!$C$1143:$AD$1254,4,FALSE),0)</f>
        <v>0</v>
      </c>
      <c r="M346" s="292">
        <f>IFERROR(VLOOKUP(B346,'تقرير المصروفات حسب الشهر'!$C$1270:$AD$1381,4,FALSE),0)</f>
        <v>0</v>
      </c>
      <c r="N346" s="292" t="e">
        <f>#REF!</f>
        <v>#REF!</v>
      </c>
      <c r="O346" s="296" t="e">
        <f t="shared" si="7"/>
        <v>#REF!</v>
      </c>
    </row>
    <row r="347" spans="2:15" ht="17.399999999999999">
      <c r="B347" s="291" t="s">
        <v>207</v>
      </c>
      <c r="C347" s="292">
        <f>'تقرير المصروفات حسب الشهر'!F117</f>
        <v>3450</v>
      </c>
      <c r="D347" s="292" t="e">
        <f>#REF!</f>
        <v>#REF!</v>
      </c>
      <c r="E347" s="292" t="e">
        <f>#REF!</f>
        <v>#REF!</v>
      </c>
      <c r="F347" s="292" t="e">
        <f>#REF!</f>
        <v>#REF!</v>
      </c>
      <c r="G347" s="292" t="e">
        <f>#REF!</f>
        <v>#REF!</v>
      </c>
      <c r="H347" s="292" t="e">
        <f>#REF!</f>
        <v>#REF!</v>
      </c>
      <c r="I347" s="292">
        <f>'تقرير المصروفات حسب الشهر'!F870</f>
        <v>0</v>
      </c>
      <c r="J347" s="292">
        <f>'تقرير المصروفات حسب الشهر'!F997</f>
        <v>0</v>
      </c>
      <c r="K347" s="292">
        <f>'تقرير المصروفات حسب الشهر'!F1124</f>
        <v>0</v>
      </c>
      <c r="L347" s="292">
        <f>IFERROR(VLOOKUP(B347,'تقرير المصروفات حسب الشهر'!$C$1143:$AD$1254,4,FALSE),0)</f>
        <v>3450</v>
      </c>
      <c r="M347" s="292">
        <f>IFERROR(VLOOKUP(B347,'تقرير المصروفات حسب الشهر'!$C$1270:$AD$1381,4,FALSE),0)</f>
        <v>3450</v>
      </c>
      <c r="N347" s="292" t="e">
        <f>#REF!</f>
        <v>#REF!</v>
      </c>
      <c r="O347" s="296" t="e">
        <f t="shared" si="7"/>
        <v>#REF!</v>
      </c>
    </row>
    <row r="348" spans="2:15" ht="17.399999999999999">
      <c r="B348" s="291" t="s">
        <v>208</v>
      </c>
      <c r="C348" s="292">
        <f>'تقرير المصروفات حسب الشهر'!F118</f>
        <v>0</v>
      </c>
      <c r="D348" s="292" t="e">
        <f>#REF!</f>
        <v>#REF!</v>
      </c>
      <c r="E348" s="292" t="e">
        <f>#REF!</f>
        <v>#REF!</v>
      </c>
      <c r="F348" s="292" t="e">
        <f>#REF!</f>
        <v>#REF!</v>
      </c>
      <c r="G348" s="292" t="e">
        <f>#REF!</f>
        <v>#REF!</v>
      </c>
      <c r="H348" s="292"/>
      <c r="I348" s="292">
        <f>'تقرير المصروفات حسب الشهر'!F871</f>
        <v>0</v>
      </c>
      <c r="J348" s="292">
        <f>'تقرير المصروفات حسب الشهر'!F998</f>
        <v>0</v>
      </c>
      <c r="K348" s="292">
        <f>'تقرير المصروفات حسب الشهر'!F1125</f>
        <v>0</v>
      </c>
      <c r="L348" s="292">
        <f>IFERROR(VLOOKUP(B348,'تقرير المصروفات حسب الشهر'!$C$1143:$AD$1254,4,FALSE),0)</f>
        <v>0</v>
      </c>
      <c r="M348" s="292">
        <f>IFERROR(VLOOKUP(B348,'تقرير المصروفات حسب الشهر'!$C$1270:$AD$1381,4,FALSE),0)</f>
        <v>0</v>
      </c>
      <c r="N348" s="292" t="e">
        <f>#REF!</f>
        <v>#REF!</v>
      </c>
      <c r="O348" s="296" t="e">
        <f t="shared" si="7"/>
        <v>#REF!</v>
      </c>
    </row>
    <row r="349" spans="2:15" ht="17.399999999999999">
      <c r="B349" s="291" t="s">
        <v>236</v>
      </c>
      <c r="C349" s="292">
        <f>'تقرير المصروفات حسب الشهر'!F119</f>
        <v>0</v>
      </c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6"/>
    </row>
    <row r="350" spans="2:15" ht="17.399999999999999">
      <c r="B350" s="291" t="s">
        <v>209</v>
      </c>
      <c r="C350" s="292">
        <f>'تقرير المصروفات حسب الشهر'!F120</f>
        <v>0</v>
      </c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6"/>
    </row>
    <row r="351" spans="2:15" ht="17.399999999999999">
      <c r="B351" s="291" t="s">
        <v>360</v>
      </c>
      <c r="C351" s="292">
        <f>'تقرير المصروفات حسب الشهر'!F121</f>
        <v>110901.2</v>
      </c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6"/>
    </row>
    <row r="352" spans="2:15" ht="17.399999999999999">
      <c r="B352" s="297" t="s">
        <v>18</v>
      </c>
      <c r="C352" s="296">
        <f>SUM(C240:C351)</f>
        <v>591189.68999999994</v>
      </c>
      <c r="D352" s="296" t="e">
        <f t="shared" ref="D352:O352" si="8">SUM(D240:D348)</f>
        <v>#REF!</v>
      </c>
      <c r="E352" s="296" t="e">
        <f t="shared" si="8"/>
        <v>#REF!</v>
      </c>
      <c r="F352" s="296" t="e">
        <f t="shared" si="8"/>
        <v>#REF!</v>
      </c>
      <c r="G352" s="296" t="e">
        <f t="shared" si="8"/>
        <v>#REF!</v>
      </c>
      <c r="H352" s="296" t="e">
        <f t="shared" si="8"/>
        <v>#REF!</v>
      </c>
      <c r="I352" s="296">
        <f t="shared" si="8"/>
        <v>589046.12</v>
      </c>
      <c r="J352" s="296">
        <f t="shared" si="8"/>
        <v>591658.97999999986</v>
      </c>
      <c r="K352" s="296">
        <f t="shared" si="8"/>
        <v>573283.46</v>
      </c>
      <c r="L352" s="296">
        <f t="shared" si="8"/>
        <v>617362.22999999986</v>
      </c>
      <c r="M352" s="296">
        <f t="shared" si="8"/>
        <v>682930.6399999999</v>
      </c>
      <c r="N352" s="296" t="e">
        <f t="shared" si="8"/>
        <v>#REF!</v>
      </c>
      <c r="O352" s="296" t="e">
        <f t="shared" si="8"/>
        <v>#REF!</v>
      </c>
    </row>
    <row r="354" spans="2:15" ht="13.8" thickBot="1"/>
    <row r="355" spans="2:15" ht="30.6" thickTop="1">
      <c r="B355" s="646" t="s">
        <v>213</v>
      </c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</row>
    <row r="356" spans="2:15" ht="17.399999999999999">
      <c r="B356" s="295" t="s">
        <v>23</v>
      </c>
      <c r="C356" s="295" t="s">
        <v>0</v>
      </c>
      <c r="D356" s="295" t="s">
        <v>1</v>
      </c>
      <c r="E356" s="295" t="s">
        <v>2</v>
      </c>
      <c r="F356" s="295" t="s">
        <v>3</v>
      </c>
      <c r="G356" s="295" t="s">
        <v>4</v>
      </c>
      <c r="H356" s="295" t="s">
        <v>5</v>
      </c>
      <c r="I356" s="295" t="s">
        <v>6</v>
      </c>
      <c r="J356" s="295" t="s">
        <v>7</v>
      </c>
      <c r="K356" s="295" t="s">
        <v>8</v>
      </c>
      <c r="L356" s="295" t="s">
        <v>9</v>
      </c>
      <c r="M356" s="295" t="s">
        <v>10</v>
      </c>
      <c r="N356" s="295" t="s">
        <v>11</v>
      </c>
      <c r="O356" s="295" t="s">
        <v>18</v>
      </c>
    </row>
    <row r="357" spans="2:15" ht="17.399999999999999">
      <c r="B357" s="291" t="s">
        <v>40</v>
      </c>
      <c r="C357" s="292">
        <f>'تقرير المصروفات حسب الشهر'!G10</f>
        <v>0</v>
      </c>
      <c r="D357" s="292" t="e">
        <f>#REF!</f>
        <v>#REF!</v>
      </c>
      <c r="E357" s="292" t="e">
        <f>#REF!</f>
        <v>#REF!</v>
      </c>
      <c r="F357" s="292" t="e">
        <f>#REF!</f>
        <v>#REF!</v>
      </c>
      <c r="G357" s="292" t="e">
        <f>#REF!</f>
        <v>#REF!</v>
      </c>
      <c r="H357" s="292" t="e">
        <f>#REF!</f>
        <v>#REF!</v>
      </c>
      <c r="I357" s="292">
        <f>'تقرير المصروفات حسب الشهر'!G763</f>
        <v>0</v>
      </c>
      <c r="J357" s="292">
        <f>'تقرير المصروفات حسب الشهر'!G890</f>
        <v>0</v>
      </c>
      <c r="K357" s="292">
        <f>'تقرير المصروفات حسب الشهر'!G1017</f>
        <v>0</v>
      </c>
      <c r="L357" s="292">
        <f>IFERROR(VLOOKUP(B357,'تقرير المصروفات حسب الشهر'!$C$1143:$AD$1254,5,FALSE),0)</f>
        <v>0</v>
      </c>
      <c r="M357" s="292">
        <f>IFERROR(VLOOKUP(B357,'تقرير المصروفات حسب الشهر'!$C$1270:$AD$1381,5,FALSE),0)</f>
        <v>0</v>
      </c>
      <c r="N357" s="292" t="e">
        <f>#REF!</f>
        <v>#REF!</v>
      </c>
      <c r="O357" s="296" t="e">
        <f>SUM(C357:N357)</f>
        <v>#REF!</v>
      </c>
    </row>
    <row r="358" spans="2:15" ht="17.399999999999999">
      <c r="B358" s="291" t="s">
        <v>41</v>
      </c>
      <c r="C358" s="292">
        <f>'تقرير المصروفات حسب الشهر'!G11</f>
        <v>202939.78000000003</v>
      </c>
      <c r="D358" s="292" t="e">
        <f>#REF!</f>
        <v>#REF!</v>
      </c>
      <c r="E358" s="292" t="e">
        <f>#REF!</f>
        <v>#REF!</v>
      </c>
      <c r="F358" s="292" t="e">
        <f>#REF!</f>
        <v>#REF!</v>
      </c>
      <c r="G358" s="292" t="e">
        <f>#REF!</f>
        <v>#REF!</v>
      </c>
      <c r="H358" s="292" t="e">
        <f>#REF!</f>
        <v>#REF!</v>
      </c>
      <c r="I358" s="292">
        <f>'تقرير المصروفات حسب الشهر'!G764</f>
        <v>276046.19</v>
      </c>
      <c r="J358" s="292">
        <f>'تقرير المصروفات حسب الشهر'!G891</f>
        <v>281311.24</v>
      </c>
      <c r="K358" s="292">
        <f>'تقرير المصروفات حسب الشهر'!G1018</f>
        <v>248712.66999999998</v>
      </c>
      <c r="L358" s="292">
        <f>IFERROR(VLOOKUP(B358,'تقرير المصروفات حسب الشهر'!$C$1143:$AD$1254,5,FALSE),0)</f>
        <v>250960.3</v>
      </c>
      <c r="M358" s="292">
        <f>IFERROR(VLOOKUP(B358,'تقرير المصروفات حسب الشهر'!$C$1270:$AD$1381,5,FALSE),0)</f>
        <v>242757.21</v>
      </c>
      <c r="N358" s="292" t="e">
        <f>#REF!</f>
        <v>#REF!</v>
      </c>
      <c r="O358" s="296" t="e">
        <f t="shared" ref="O358:O421" si="9">SUM(C358:N358)</f>
        <v>#REF!</v>
      </c>
    </row>
    <row r="359" spans="2:15" ht="17.399999999999999">
      <c r="B359" s="291" t="s">
        <v>26</v>
      </c>
      <c r="C359" s="292">
        <f>'تقرير المصروفات حسب الشهر'!G12</f>
        <v>3675</v>
      </c>
      <c r="D359" s="292" t="e">
        <f>#REF!</f>
        <v>#REF!</v>
      </c>
      <c r="E359" s="292" t="e">
        <f>#REF!</f>
        <v>#REF!</v>
      </c>
      <c r="F359" s="292" t="e">
        <f>#REF!</f>
        <v>#REF!</v>
      </c>
      <c r="G359" s="292" t="e">
        <f>#REF!</f>
        <v>#REF!</v>
      </c>
      <c r="H359" s="292" t="e">
        <f>#REF!</f>
        <v>#REF!</v>
      </c>
      <c r="I359" s="292">
        <f>'تقرير المصروفات حسب الشهر'!G765</f>
        <v>6907</v>
      </c>
      <c r="J359" s="292">
        <f>'تقرير المصروفات حسب الشهر'!G892</f>
        <v>8391</v>
      </c>
      <c r="K359" s="292">
        <f>'تقرير المصروفات حسب الشهر'!G1019</f>
        <v>10650</v>
      </c>
      <c r="L359" s="292">
        <f>IFERROR(VLOOKUP(B359,'تقرير المصروفات حسب الشهر'!$C$1143:$AD$1254,5,FALSE),0)</f>
        <v>6581</v>
      </c>
      <c r="M359" s="292">
        <f>IFERROR(VLOOKUP(B359,'تقرير المصروفات حسب الشهر'!$C$1270:$AD$1381,5,FALSE),0)</f>
        <v>5235</v>
      </c>
      <c r="N359" s="292" t="e">
        <f>#REF!</f>
        <v>#REF!</v>
      </c>
      <c r="O359" s="296" t="e">
        <f t="shared" si="9"/>
        <v>#REF!</v>
      </c>
    </row>
    <row r="360" spans="2:15" ht="17.399999999999999">
      <c r="B360" s="291" t="s">
        <v>27</v>
      </c>
      <c r="C360" s="292">
        <f>'تقرير المصروفات حسب الشهر'!G13</f>
        <v>0</v>
      </c>
      <c r="D360" s="292" t="e">
        <f>#REF!</f>
        <v>#REF!</v>
      </c>
      <c r="E360" s="292" t="e">
        <f>#REF!</f>
        <v>#REF!</v>
      </c>
      <c r="F360" s="292" t="e">
        <f>#REF!</f>
        <v>#REF!</v>
      </c>
      <c r="G360" s="292" t="e">
        <f>#REF!</f>
        <v>#REF!</v>
      </c>
      <c r="H360" s="292" t="e">
        <f>#REF!</f>
        <v>#REF!</v>
      </c>
      <c r="I360" s="292">
        <f>'تقرير المصروفات حسب الشهر'!G766</f>
        <v>320</v>
      </c>
      <c r="J360" s="292">
        <f>'تقرير المصروفات حسب الشهر'!G893</f>
        <v>118</v>
      </c>
      <c r="K360" s="292">
        <f>'تقرير المصروفات حسب الشهر'!G1020</f>
        <v>0</v>
      </c>
      <c r="L360" s="292">
        <f>IFERROR(VLOOKUP(B360,'تقرير المصروفات حسب الشهر'!$C$1143:$AD$1254,5,FALSE),0)</f>
        <v>236</v>
      </c>
      <c r="M360" s="292">
        <f>IFERROR(VLOOKUP(B360,'تقرير المصروفات حسب الشهر'!$C$1270:$AD$1381,5,FALSE),0)</f>
        <v>137</v>
      </c>
      <c r="N360" s="292" t="e">
        <f>#REF!</f>
        <v>#REF!</v>
      </c>
      <c r="O360" s="296" t="e">
        <f t="shared" si="9"/>
        <v>#REF!</v>
      </c>
    </row>
    <row r="361" spans="2:15" ht="17.399999999999999">
      <c r="B361" s="291" t="s">
        <v>42</v>
      </c>
      <c r="C361" s="292">
        <f>'تقرير المصروفات حسب الشهر'!G14</f>
        <v>600</v>
      </c>
      <c r="D361" s="292" t="e">
        <f>#REF!</f>
        <v>#REF!</v>
      </c>
      <c r="E361" s="292" t="e">
        <f>#REF!</f>
        <v>#REF!</v>
      </c>
      <c r="F361" s="292" t="e">
        <f>#REF!</f>
        <v>#REF!</v>
      </c>
      <c r="G361" s="292" t="e">
        <f>#REF!</f>
        <v>#REF!</v>
      </c>
      <c r="H361" s="292" t="e">
        <f>#REF!</f>
        <v>#REF!</v>
      </c>
      <c r="I361" s="292">
        <f>'تقرير المصروفات حسب الشهر'!G767</f>
        <v>0</v>
      </c>
      <c r="J361" s="292">
        <f>'تقرير المصروفات حسب الشهر'!G894</f>
        <v>0</v>
      </c>
      <c r="K361" s="292">
        <f>'تقرير المصروفات حسب الشهر'!G1021</f>
        <v>0</v>
      </c>
      <c r="L361" s="292">
        <f>IFERROR(VLOOKUP(B361,'تقرير المصروفات حسب الشهر'!$C$1143:$AD$1254,5,FALSE),0)</f>
        <v>0</v>
      </c>
      <c r="M361" s="292">
        <f>IFERROR(VLOOKUP(B361,'تقرير المصروفات حسب الشهر'!$C$1270:$AD$1381,5,FALSE),0)</f>
        <v>400</v>
      </c>
      <c r="N361" s="292" t="e">
        <f>#REF!</f>
        <v>#REF!</v>
      </c>
      <c r="O361" s="296" t="e">
        <f t="shared" si="9"/>
        <v>#REF!</v>
      </c>
    </row>
    <row r="362" spans="2:15" ht="17.399999999999999">
      <c r="B362" s="291" t="s">
        <v>43</v>
      </c>
      <c r="C362" s="292">
        <f>'تقرير المصروفات حسب الشهر'!G15</f>
        <v>100000</v>
      </c>
      <c r="D362" s="292" t="e">
        <f>#REF!</f>
        <v>#REF!</v>
      </c>
      <c r="E362" s="292" t="e">
        <f>#REF!</f>
        <v>#REF!</v>
      </c>
      <c r="F362" s="292" t="e">
        <f>#REF!</f>
        <v>#REF!</v>
      </c>
      <c r="G362" s="292" t="e">
        <f>#REF!</f>
        <v>#REF!</v>
      </c>
      <c r="H362" s="292" t="e">
        <f>#REF!</f>
        <v>#REF!</v>
      </c>
      <c r="I362" s="292">
        <f>'تقرير المصروفات حسب الشهر'!G768</f>
        <v>100000</v>
      </c>
      <c r="J362" s="292">
        <f>'تقرير المصروفات حسب الشهر'!G895</f>
        <v>100000</v>
      </c>
      <c r="K362" s="292">
        <f>'تقرير المصروفات حسب الشهر'!G1022</f>
        <v>100000</v>
      </c>
      <c r="L362" s="292">
        <f>IFERROR(VLOOKUP(B362,'تقرير المصروفات حسب الشهر'!$C$1143:$AD$1254,5,FALSE),0)</f>
        <v>100000</v>
      </c>
      <c r="M362" s="292">
        <f>IFERROR(VLOOKUP(B362,'تقرير المصروفات حسب الشهر'!$C$1270:$AD$1381,5,FALSE),0)</f>
        <v>170000</v>
      </c>
      <c r="N362" s="292" t="e">
        <f>#REF!</f>
        <v>#REF!</v>
      </c>
      <c r="O362" s="296" t="e">
        <f t="shared" si="9"/>
        <v>#REF!</v>
      </c>
    </row>
    <row r="363" spans="2:15" ht="17.399999999999999">
      <c r="B363" s="291" t="s">
        <v>44</v>
      </c>
      <c r="C363" s="292">
        <f>'تقرير المصروفات حسب الشهر'!G16</f>
        <v>0</v>
      </c>
      <c r="D363" s="292" t="e">
        <f>#REF!</f>
        <v>#REF!</v>
      </c>
      <c r="E363" s="292" t="e">
        <f>#REF!</f>
        <v>#REF!</v>
      </c>
      <c r="F363" s="292" t="e">
        <f>#REF!</f>
        <v>#REF!</v>
      </c>
      <c r="G363" s="292" t="e">
        <f>#REF!</f>
        <v>#REF!</v>
      </c>
      <c r="H363" s="292" t="e">
        <f>#REF!</f>
        <v>#REF!</v>
      </c>
      <c r="I363" s="292">
        <f>'تقرير المصروفات حسب الشهر'!G769</f>
        <v>0</v>
      </c>
      <c r="J363" s="292">
        <f>'تقرير المصروفات حسب الشهر'!G896</f>
        <v>0</v>
      </c>
      <c r="K363" s="292">
        <f>'تقرير المصروفات حسب الشهر'!G1023</f>
        <v>0</v>
      </c>
      <c r="L363" s="292">
        <f>IFERROR(VLOOKUP(B363,'تقرير المصروفات حسب الشهر'!$C$1143:$AD$1254,5,FALSE),0)</f>
        <v>0</v>
      </c>
      <c r="M363" s="292">
        <f>IFERROR(VLOOKUP(B363,'تقرير المصروفات حسب الشهر'!$C$1270:$AD$1381,5,FALSE),0)</f>
        <v>0</v>
      </c>
      <c r="N363" s="292" t="e">
        <f>#REF!</f>
        <v>#REF!</v>
      </c>
      <c r="O363" s="296" t="e">
        <f t="shared" si="9"/>
        <v>#REF!</v>
      </c>
    </row>
    <row r="364" spans="2:15" ht="17.399999999999999">
      <c r="B364" s="291" t="s">
        <v>45</v>
      </c>
      <c r="C364" s="292">
        <f>'تقرير المصروفات حسب الشهر'!G17</f>
        <v>0</v>
      </c>
      <c r="D364" s="292" t="e">
        <f>#REF!</f>
        <v>#REF!</v>
      </c>
      <c r="E364" s="292" t="e">
        <f>#REF!</f>
        <v>#REF!</v>
      </c>
      <c r="F364" s="292" t="e">
        <f>#REF!</f>
        <v>#REF!</v>
      </c>
      <c r="G364" s="292" t="e">
        <f>#REF!</f>
        <v>#REF!</v>
      </c>
      <c r="H364" s="292" t="e">
        <f>#REF!</f>
        <v>#REF!</v>
      </c>
      <c r="I364" s="292">
        <f>'تقرير المصروفات حسب الشهر'!G770</f>
        <v>0</v>
      </c>
      <c r="J364" s="292">
        <f>'تقرير المصروفات حسب الشهر'!G897</f>
        <v>12000</v>
      </c>
      <c r="K364" s="292">
        <f>'تقرير المصروفات حسب الشهر'!G1024</f>
        <v>0</v>
      </c>
      <c r="L364" s="292">
        <f>IFERROR(VLOOKUP(B364,'تقرير المصروفات حسب الشهر'!$C$1143:$AD$1254,5,FALSE),0)</f>
        <v>3000</v>
      </c>
      <c r="M364" s="292">
        <f>IFERROR(VLOOKUP(B364,'تقرير المصروفات حسب الشهر'!$C$1270:$AD$1381,5,FALSE),0)</f>
        <v>0</v>
      </c>
      <c r="N364" s="292" t="e">
        <f>#REF!</f>
        <v>#REF!</v>
      </c>
      <c r="O364" s="296" t="e">
        <f t="shared" si="9"/>
        <v>#REF!</v>
      </c>
    </row>
    <row r="365" spans="2:15" ht="17.399999999999999">
      <c r="B365" s="291" t="s">
        <v>156</v>
      </c>
      <c r="C365" s="292">
        <f>'تقرير المصروفات حسب الشهر'!G18</f>
        <v>185</v>
      </c>
      <c r="D365" s="292" t="e">
        <f>#REF!</f>
        <v>#REF!</v>
      </c>
      <c r="E365" s="292" t="e">
        <f>#REF!</f>
        <v>#REF!</v>
      </c>
      <c r="F365" s="292" t="e">
        <f>#REF!</f>
        <v>#REF!</v>
      </c>
      <c r="G365" s="292" t="e">
        <f>#REF!</f>
        <v>#REF!</v>
      </c>
      <c r="H365" s="292" t="e">
        <f>#REF!</f>
        <v>#REF!</v>
      </c>
      <c r="I365" s="292">
        <f>'تقرير المصروفات حسب الشهر'!G771</f>
        <v>301</v>
      </c>
      <c r="J365" s="292">
        <f>'تقرير المصروفات حسب الشهر'!G898</f>
        <v>290</v>
      </c>
      <c r="K365" s="292">
        <f>'تقرير المصروفات حسب الشهر'!G1025</f>
        <v>0</v>
      </c>
      <c r="L365" s="292">
        <f>IFERROR(VLOOKUP(B365,'تقرير المصروفات حسب الشهر'!$C$1143:$AD$1254,5,FALSE),0)</f>
        <v>785.5</v>
      </c>
      <c r="M365" s="292">
        <f>IFERROR(VLOOKUP(B365,'تقرير المصروفات حسب الشهر'!$C$1270:$AD$1381,5,FALSE),0)</f>
        <v>25</v>
      </c>
      <c r="N365" s="292" t="e">
        <f>#REF!</f>
        <v>#REF!</v>
      </c>
      <c r="O365" s="296" t="e">
        <f t="shared" si="9"/>
        <v>#REF!</v>
      </c>
    </row>
    <row r="366" spans="2:15" ht="17.399999999999999">
      <c r="B366" s="291" t="s">
        <v>46</v>
      </c>
      <c r="C366" s="292">
        <f>'تقرير المصروفات حسب الشهر'!G19</f>
        <v>464.47</v>
      </c>
      <c r="D366" s="292" t="e">
        <f>#REF!</f>
        <v>#REF!</v>
      </c>
      <c r="E366" s="292" t="e">
        <f>#REF!</f>
        <v>#REF!</v>
      </c>
      <c r="F366" s="292" t="e">
        <f>#REF!</f>
        <v>#REF!</v>
      </c>
      <c r="G366" s="292" t="e">
        <f>#REF!</f>
        <v>#REF!</v>
      </c>
      <c r="H366" s="292" t="e">
        <f>#REF!</f>
        <v>#REF!</v>
      </c>
      <c r="I366" s="292">
        <f>'تقرير المصروفات حسب الشهر'!G772</f>
        <v>444.46</v>
      </c>
      <c r="J366" s="292">
        <f>'تقرير المصروفات حسب الشهر'!G899</f>
        <v>444.46</v>
      </c>
      <c r="K366" s="292">
        <f>'تقرير المصروفات حسب الشهر'!G1026</f>
        <v>444.46</v>
      </c>
      <c r="L366" s="292">
        <f>IFERROR(VLOOKUP(B366,'تقرير المصروفات حسب الشهر'!$C$1143:$AD$1254,5,FALSE),0)</f>
        <v>644.46</v>
      </c>
      <c r="M366" s="292">
        <f>IFERROR(VLOOKUP(B366,'تقرير المصروفات حسب الشهر'!$C$1270:$AD$1381,5,FALSE),0)</f>
        <v>444.46</v>
      </c>
      <c r="N366" s="292" t="e">
        <f>#REF!</f>
        <v>#REF!</v>
      </c>
      <c r="O366" s="296" t="e">
        <f t="shared" si="9"/>
        <v>#REF!</v>
      </c>
    </row>
    <row r="367" spans="2:15" ht="17.399999999999999">
      <c r="B367" s="291" t="s">
        <v>47</v>
      </c>
      <c r="C367" s="292">
        <f>'تقرير المصروفات حسب الشهر'!G20</f>
        <v>0</v>
      </c>
      <c r="D367" s="292" t="e">
        <f>#REF!</f>
        <v>#REF!</v>
      </c>
      <c r="E367" s="292" t="e">
        <f>#REF!</f>
        <v>#REF!</v>
      </c>
      <c r="F367" s="292" t="e">
        <f>#REF!</f>
        <v>#REF!</v>
      </c>
      <c r="G367" s="292" t="e">
        <f>#REF!</f>
        <v>#REF!</v>
      </c>
      <c r="H367" s="292" t="e">
        <f>#REF!</f>
        <v>#REF!</v>
      </c>
      <c r="I367" s="292">
        <f>'تقرير المصروفات حسب الشهر'!G773</f>
        <v>0</v>
      </c>
      <c r="J367" s="292">
        <f>'تقرير المصروفات حسب الشهر'!G900</f>
        <v>0</v>
      </c>
      <c r="K367" s="292">
        <f>'تقرير المصروفات حسب الشهر'!G1027</f>
        <v>0</v>
      </c>
      <c r="L367" s="292">
        <f>IFERROR(VLOOKUP(B367,'تقرير المصروفات حسب الشهر'!$C$1143:$AD$1254,5,FALSE),0)</f>
        <v>0</v>
      </c>
      <c r="M367" s="292">
        <f>IFERROR(VLOOKUP(B367,'تقرير المصروفات حسب الشهر'!$C$1270:$AD$1381,5,FALSE),0)</f>
        <v>0</v>
      </c>
      <c r="N367" s="292" t="e">
        <f>#REF!</f>
        <v>#REF!</v>
      </c>
      <c r="O367" s="296" t="e">
        <f t="shared" si="9"/>
        <v>#REF!</v>
      </c>
    </row>
    <row r="368" spans="2:15" ht="17.399999999999999">
      <c r="B368" s="291" t="s">
        <v>48</v>
      </c>
      <c r="C368" s="292">
        <f>'تقرير المصروفات حسب الشهر'!G21</f>
        <v>0</v>
      </c>
      <c r="D368" s="292" t="e">
        <f>#REF!</f>
        <v>#REF!</v>
      </c>
      <c r="E368" s="292" t="e">
        <f>#REF!</f>
        <v>#REF!</v>
      </c>
      <c r="F368" s="292" t="e">
        <f>#REF!</f>
        <v>#REF!</v>
      </c>
      <c r="G368" s="292" t="e">
        <f>#REF!</f>
        <v>#REF!</v>
      </c>
      <c r="H368" s="292" t="e">
        <f>#REF!</f>
        <v>#REF!</v>
      </c>
      <c r="I368" s="292">
        <f>'تقرير المصروفات حسب الشهر'!G774</f>
        <v>750</v>
      </c>
      <c r="J368" s="292">
        <f>'تقرير المصروفات حسب الشهر'!G901</f>
        <v>0</v>
      </c>
      <c r="K368" s="292">
        <f>'تقرير المصروفات حسب الشهر'!G1028</f>
        <v>0</v>
      </c>
      <c r="L368" s="292">
        <f>IFERROR(VLOOKUP(B368,'تقرير المصروفات حسب الشهر'!$C$1143:$AD$1254,5,FALSE),0)</f>
        <v>0</v>
      </c>
      <c r="M368" s="292">
        <f>IFERROR(VLOOKUP(B368,'تقرير المصروفات حسب الشهر'!$C$1270:$AD$1381,5,FALSE),0)</f>
        <v>250</v>
      </c>
      <c r="N368" s="292" t="e">
        <f>#REF!</f>
        <v>#REF!</v>
      </c>
      <c r="O368" s="296" t="e">
        <f t="shared" si="9"/>
        <v>#REF!</v>
      </c>
    </row>
    <row r="369" spans="2:15" ht="17.399999999999999">
      <c r="B369" s="291" t="s">
        <v>49</v>
      </c>
      <c r="C369" s="292">
        <f>'تقرير المصروفات حسب الشهر'!G22</f>
        <v>0</v>
      </c>
      <c r="D369" s="292" t="e">
        <f>#REF!</f>
        <v>#REF!</v>
      </c>
      <c r="E369" s="292" t="e">
        <f>#REF!</f>
        <v>#REF!</v>
      </c>
      <c r="F369" s="292" t="e">
        <f>#REF!</f>
        <v>#REF!</v>
      </c>
      <c r="G369" s="292" t="e">
        <f>#REF!</f>
        <v>#REF!</v>
      </c>
      <c r="H369" s="292" t="e">
        <f>#REF!</f>
        <v>#REF!</v>
      </c>
      <c r="I369" s="292">
        <f>'تقرير المصروفات حسب الشهر'!G775</f>
        <v>0</v>
      </c>
      <c r="J369" s="292">
        <f>'تقرير المصروفات حسب الشهر'!G902</f>
        <v>0</v>
      </c>
      <c r="K369" s="292">
        <f>'تقرير المصروفات حسب الشهر'!G1029</f>
        <v>0</v>
      </c>
      <c r="L369" s="292">
        <f>IFERROR(VLOOKUP(B369,'تقرير المصروفات حسب الشهر'!$C$1143:$AD$1254,5,FALSE),0)</f>
        <v>0</v>
      </c>
      <c r="M369" s="292">
        <f>IFERROR(VLOOKUP(B369,'تقرير المصروفات حسب الشهر'!$C$1270:$AD$1381,5,FALSE),0)</f>
        <v>0</v>
      </c>
      <c r="N369" s="292" t="e">
        <f>#REF!</f>
        <v>#REF!</v>
      </c>
      <c r="O369" s="296" t="e">
        <f t="shared" si="9"/>
        <v>#REF!</v>
      </c>
    </row>
    <row r="370" spans="2:15" ht="17.399999999999999">
      <c r="B370" s="291" t="s">
        <v>158</v>
      </c>
      <c r="C370" s="292">
        <f>'تقرير المصروفات حسب الشهر'!G23</f>
        <v>330</v>
      </c>
      <c r="D370" s="292" t="e">
        <f>#REF!</f>
        <v>#REF!</v>
      </c>
      <c r="E370" s="292" t="e">
        <f>#REF!</f>
        <v>#REF!</v>
      </c>
      <c r="F370" s="292" t="e">
        <f>#REF!</f>
        <v>#REF!</v>
      </c>
      <c r="G370" s="292" t="e">
        <f>#REF!</f>
        <v>#REF!</v>
      </c>
      <c r="H370" s="292" t="e">
        <f>#REF!</f>
        <v>#REF!</v>
      </c>
      <c r="I370" s="292">
        <f>'تقرير المصروفات حسب الشهر'!G776</f>
        <v>8927</v>
      </c>
      <c r="J370" s="292">
        <f>'تقرير المصروفات حسب الشهر'!G903</f>
        <v>1500</v>
      </c>
      <c r="K370" s="292">
        <f>'تقرير المصروفات حسب الشهر'!G1030</f>
        <v>2650</v>
      </c>
      <c r="L370" s="292">
        <f>IFERROR(VLOOKUP(B370,'تقرير المصروفات حسب الشهر'!$C$1143:$AD$1254,5,FALSE),0)</f>
        <v>21675</v>
      </c>
      <c r="M370" s="292">
        <f>IFERROR(VLOOKUP(B370,'تقرير المصروفات حسب الشهر'!$C$1270:$AD$1381,5,FALSE),0)</f>
        <v>1850</v>
      </c>
      <c r="N370" s="292" t="e">
        <f>#REF!</f>
        <v>#REF!</v>
      </c>
      <c r="O370" s="296" t="e">
        <f t="shared" si="9"/>
        <v>#REF!</v>
      </c>
    </row>
    <row r="371" spans="2:15" ht="17.399999999999999">
      <c r="B371" s="291" t="s">
        <v>50</v>
      </c>
      <c r="C371" s="292">
        <f>'تقرير المصروفات حسب الشهر'!G24</f>
        <v>750</v>
      </c>
      <c r="D371" s="292" t="e">
        <f>#REF!</f>
        <v>#REF!</v>
      </c>
      <c r="E371" s="292" t="e">
        <f>#REF!</f>
        <v>#REF!</v>
      </c>
      <c r="F371" s="292" t="e">
        <f>#REF!</f>
        <v>#REF!</v>
      </c>
      <c r="G371" s="292" t="e">
        <f>#REF!</f>
        <v>#REF!</v>
      </c>
      <c r="H371" s="292" t="e">
        <f>#REF!</f>
        <v>#REF!</v>
      </c>
      <c r="I371" s="292">
        <f>'تقرير المصروفات حسب الشهر'!G777</f>
        <v>0</v>
      </c>
      <c r="J371" s="292">
        <f>'تقرير المصروفات حسب الشهر'!G904</f>
        <v>3180</v>
      </c>
      <c r="K371" s="292">
        <f>'تقرير المصروفات حسب الشهر'!G1031</f>
        <v>0</v>
      </c>
      <c r="L371" s="292">
        <f>IFERROR(VLOOKUP(B371,'تقرير المصروفات حسب الشهر'!$C$1143:$AD$1254,5,FALSE),0)</f>
        <v>1540</v>
      </c>
      <c r="M371" s="292">
        <f>IFERROR(VLOOKUP(B371,'تقرير المصروفات حسب الشهر'!$C$1270:$AD$1381,5,FALSE),0)</f>
        <v>0</v>
      </c>
      <c r="N371" s="292" t="e">
        <f>#REF!</f>
        <v>#REF!</v>
      </c>
      <c r="O371" s="296" t="e">
        <f t="shared" si="9"/>
        <v>#REF!</v>
      </c>
    </row>
    <row r="372" spans="2:15" ht="17.399999999999999">
      <c r="B372" s="291" t="s">
        <v>51</v>
      </c>
      <c r="C372" s="292">
        <f>'تقرير المصروفات حسب الشهر'!G25</f>
        <v>2250</v>
      </c>
      <c r="D372" s="292" t="e">
        <f>#REF!</f>
        <v>#REF!</v>
      </c>
      <c r="E372" s="292" t="e">
        <f>#REF!</f>
        <v>#REF!</v>
      </c>
      <c r="F372" s="292" t="e">
        <f>#REF!</f>
        <v>#REF!</v>
      </c>
      <c r="G372" s="292" t="e">
        <f>#REF!</f>
        <v>#REF!</v>
      </c>
      <c r="H372" s="292" t="e">
        <f>#REF!</f>
        <v>#REF!</v>
      </c>
      <c r="I372" s="292">
        <f>'تقرير المصروفات حسب الشهر'!G778</f>
        <v>0</v>
      </c>
      <c r="J372" s="292">
        <f>'تقرير المصروفات حسب الشهر'!G905</f>
        <v>0</v>
      </c>
      <c r="K372" s="292">
        <f>'تقرير المصروفات حسب الشهر'!G1032</f>
        <v>0</v>
      </c>
      <c r="L372" s="292">
        <f>IFERROR(VLOOKUP(B372,'تقرير المصروفات حسب الشهر'!$C$1143:$AD$1254,5,FALSE),0)</f>
        <v>4500</v>
      </c>
      <c r="M372" s="292">
        <f>IFERROR(VLOOKUP(B372,'تقرير المصروفات حسب الشهر'!$C$1270:$AD$1381,5,FALSE),0)</f>
        <v>0</v>
      </c>
      <c r="N372" s="292" t="e">
        <f>#REF!</f>
        <v>#REF!</v>
      </c>
      <c r="O372" s="296" t="e">
        <f t="shared" si="9"/>
        <v>#REF!</v>
      </c>
    </row>
    <row r="373" spans="2:15" ht="17.399999999999999">
      <c r="B373" s="291" t="s">
        <v>52</v>
      </c>
      <c r="C373" s="292">
        <f>'تقرير المصروفات حسب الشهر'!G26</f>
        <v>0</v>
      </c>
      <c r="D373" s="292" t="e">
        <f>#REF!</f>
        <v>#REF!</v>
      </c>
      <c r="E373" s="292" t="e">
        <f>#REF!</f>
        <v>#REF!</v>
      </c>
      <c r="F373" s="292" t="e">
        <f>#REF!</f>
        <v>#REF!</v>
      </c>
      <c r="G373" s="292" t="e">
        <f>#REF!</f>
        <v>#REF!</v>
      </c>
      <c r="H373" s="292" t="e">
        <f>#REF!</f>
        <v>#REF!</v>
      </c>
      <c r="I373" s="292">
        <f>'تقرير المصروفات حسب الشهر'!G779</f>
        <v>0</v>
      </c>
      <c r="J373" s="292">
        <f>'تقرير المصروفات حسب الشهر'!G906</f>
        <v>0</v>
      </c>
      <c r="K373" s="292">
        <f>'تقرير المصروفات حسب الشهر'!G1033</f>
        <v>0</v>
      </c>
      <c r="L373" s="292">
        <f>IFERROR(VLOOKUP(B373,'تقرير المصروفات حسب الشهر'!$C$1143:$AD$1254,5,FALSE),0)</f>
        <v>0</v>
      </c>
      <c r="M373" s="292">
        <f>IFERROR(VLOOKUP(B373,'تقرير المصروفات حسب الشهر'!$C$1270:$AD$1381,5,FALSE),0)</f>
        <v>0</v>
      </c>
      <c r="N373" s="292" t="e">
        <f>#REF!</f>
        <v>#REF!</v>
      </c>
      <c r="O373" s="296" t="e">
        <f t="shared" si="9"/>
        <v>#REF!</v>
      </c>
    </row>
    <row r="374" spans="2:15" ht="17.399999999999999">
      <c r="B374" s="291" t="s">
        <v>174</v>
      </c>
      <c r="C374" s="292">
        <f>'تقرير المصروفات حسب الشهر'!G27</f>
        <v>4422.5</v>
      </c>
      <c r="D374" s="292" t="e">
        <f>#REF!</f>
        <v>#REF!</v>
      </c>
      <c r="E374" s="292" t="e">
        <f>#REF!</f>
        <v>#REF!</v>
      </c>
      <c r="F374" s="292" t="e">
        <f>#REF!</f>
        <v>#REF!</v>
      </c>
      <c r="G374" s="292" t="e">
        <f>#REF!</f>
        <v>#REF!</v>
      </c>
      <c r="H374" s="292" t="e">
        <f>#REF!</f>
        <v>#REF!</v>
      </c>
      <c r="I374" s="292">
        <f>'تقرير المصروفات حسب الشهر'!G780</f>
        <v>2578</v>
      </c>
      <c r="J374" s="292">
        <f>'تقرير المصروفات حسب الشهر'!G907</f>
        <v>2070</v>
      </c>
      <c r="K374" s="292">
        <f>'تقرير المصروفات حسب الشهر'!G1034</f>
        <v>1866</v>
      </c>
      <c r="L374" s="292">
        <f>IFERROR(VLOOKUP(B374,'تقرير المصروفات حسب الشهر'!$C$1143:$AD$1254,5,FALSE),0)</f>
        <v>16652</v>
      </c>
      <c r="M374" s="292">
        <f>IFERROR(VLOOKUP(B374,'تقرير المصروفات حسب الشهر'!$C$1270:$AD$1381,5,FALSE),0)</f>
        <v>17806</v>
      </c>
      <c r="N374" s="292" t="e">
        <f>#REF!</f>
        <v>#REF!</v>
      </c>
      <c r="O374" s="296" t="e">
        <f t="shared" si="9"/>
        <v>#REF!</v>
      </c>
    </row>
    <row r="375" spans="2:15" ht="17.399999999999999">
      <c r="B375" s="291" t="s">
        <v>53</v>
      </c>
      <c r="C375" s="292">
        <f>'تقرير المصروفات حسب الشهر'!G28</f>
        <v>33934</v>
      </c>
      <c r="D375" s="292" t="e">
        <f>#REF!</f>
        <v>#REF!</v>
      </c>
      <c r="E375" s="292" t="e">
        <f>#REF!</f>
        <v>#REF!</v>
      </c>
      <c r="F375" s="292" t="e">
        <f>#REF!</f>
        <v>#REF!</v>
      </c>
      <c r="G375" s="292" t="e">
        <f>#REF!</f>
        <v>#REF!</v>
      </c>
      <c r="H375" s="292" t="e">
        <f>#REF!</f>
        <v>#REF!</v>
      </c>
      <c r="I375" s="292">
        <f>'تقرير المصروفات حسب الشهر'!G781</f>
        <v>33751</v>
      </c>
      <c r="J375" s="292">
        <f>'تقرير المصروفات حسب الشهر'!G908</f>
        <v>29526</v>
      </c>
      <c r="K375" s="292">
        <f>'تقرير المصروفات حسب الشهر'!G1035</f>
        <v>0</v>
      </c>
      <c r="L375" s="292">
        <f>IFERROR(VLOOKUP(B375,'تقرير المصروفات حسب الشهر'!$C$1143:$AD$1254,5,FALSE),0)</f>
        <v>14620</v>
      </c>
      <c r="M375" s="292">
        <f>IFERROR(VLOOKUP(B375,'تقرير المصروفات حسب الشهر'!$C$1270:$AD$1381,5,FALSE),0)</f>
        <v>2800</v>
      </c>
      <c r="N375" s="292" t="e">
        <f>#REF!</f>
        <v>#REF!</v>
      </c>
      <c r="O375" s="296" t="e">
        <f t="shared" si="9"/>
        <v>#REF!</v>
      </c>
    </row>
    <row r="376" spans="2:15" ht="17.399999999999999">
      <c r="B376" s="291" t="s">
        <v>191</v>
      </c>
      <c r="C376" s="292">
        <f>'تقرير المصروفات حسب الشهر'!G29</f>
        <v>0</v>
      </c>
      <c r="D376" s="292" t="e">
        <f>#REF!</f>
        <v>#REF!</v>
      </c>
      <c r="E376" s="292" t="e">
        <f>#REF!</f>
        <v>#REF!</v>
      </c>
      <c r="F376" s="292" t="e">
        <f>#REF!</f>
        <v>#REF!</v>
      </c>
      <c r="G376" s="292" t="e">
        <f>#REF!</f>
        <v>#REF!</v>
      </c>
      <c r="H376" s="292" t="e">
        <f>#REF!</f>
        <v>#REF!</v>
      </c>
      <c r="I376" s="292">
        <f>'تقرير المصروفات حسب الشهر'!G782</f>
        <v>0</v>
      </c>
      <c r="J376" s="292">
        <f>'تقرير المصروفات حسب الشهر'!G909</f>
        <v>0</v>
      </c>
      <c r="K376" s="292">
        <f>'تقرير المصروفات حسب الشهر'!G1036</f>
        <v>0</v>
      </c>
      <c r="L376" s="292">
        <f>IFERROR(VLOOKUP(B376,'تقرير المصروفات حسب الشهر'!$C$1143:$AD$1254,5,FALSE),0)</f>
        <v>0</v>
      </c>
      <c r="M376" s="292">
        <f>IFERROR(VLOOKUP(B376,'تقرير المصروفات حسب الشهر'!$C$1270:$AD$1381,5,FALSE),0)</f>
        <v>0</v>
      </c>
      <c r="N376" s="292" t="e">
        <f>#REF!</f>
        <v>#REF!</v>
      </c>
      <c r="O376" s="296" t="e">
        <f t="shared" si="9"/>
        <v>#REF!</v>
      </c>
    </row>
    <row r="377" spans="2:15" ht="17.399999999999999">
      <c r="B377" s="291" t="s">
        <v>29</v>
      </c>
      <c r="C377" s="292">
        <f>'تقرير المصروفات حسب الشهر'!G30</f>
        <v>75</v>
      </c>
      <c r="D377" s="292" t="e">
        <f>#REF!</f>
        <v>#REF!</v>
      </c>
      <c r="E377" s="292" t="e">
        <f>#REF!</f>
        <v>#REF!</v>
      </c>
      <c r="F377" s="292" t="e">
        <f>#REF!</f>
        <v>#REF!</v>
      </c>
      <c r="G377" s="292" t="e">
        <f>#REF!</f>
        <v>#REF!</v>
      </c>
      <c r="H377" s="292" t="e">
        <f>#REF!</f>
        <v>#REF!</v>
      </c>
      <c r="I377" s="292">
        <f>'تقرير المصروفات حسب الشهر'!G783</f>
        <v>0</v>
      </c>
      <c r="J377" s="292">
        <f>'تقرير المصروفات حسب الشهر'!G910</f>
        <v>200</v>
      </c>
      <c r="K377" s="292">
        <f>'تقرير المصروفات حسب الشهر'!G1037</f>
        <v>0</v>
      </c>
      <c r="L377" s="292">
        <f>IFERROR(VLOOKUP(B377,'تقرير المصروفات حسب الشهر'!$C$1143:$AD$1254,5,FALSE),0)</f>
        <v>145</v>
      </c>
      <c r="M377" s="292">
        <f>IFERROR(VLOOKUP(B377,'تقرير المصروفات حسب الشهر'!$C$1270:$AD$1381,5,FALSE),0)</f>
        <v>0</v>
      </c>
      <c r="N377" s="292" t="e">
        <f>#REF!</f>
        <v>#REF!</v>
      </c>
      <c r="O377" s="296" t="e">
        <f t="shared" si="9"/>
        <v>#REF!</v>
      </c>
    </row>
    <row r="378" spans="2:15" ht="17.399999999999999">
      <c r="B378" s="291" t="s">
        <v>54</v>
      </c>
      <c r="C378" s="292">
        <f>'تقرير المصروفات حسب الشهر'!G31</f>
        <v>0</v>
      </c>
      <c r="D378" s="292" t="e">
        <f>#REF!</f>
        <v>#REF!</v>
      </c>
      <c r="E378" s="292" t="e">
        <f>#REF!</f>
        <v>#REF!</v>
      </c>
      <c r="F378" s="292" t="e">
        <f>#REF!</f>
        <v>#REF!</v>
      </c>
      <c r="G378" s="292" t="e">
        <f>#REF!</f>
        <v>#REF!</v>
      </c>
      <c r="H378" s="292" t="e">
        <f>#REF!</f>
        <v>#REF!</v>
      </c>
      <c r="I378" s="292">
        <f>'تقرير المصروفات حسب الشهر'!G784</f>
        <v>0</v>
      </c>
      <c r="J378" s="292">
        <f>'تقرير المصروفات حسب الشهر'!G911</f>
        <v>0</v>
      </c>
      <c r="K378" s="292">
        <f>'تقرير المصروفات حسب الشهر'!G1038</f>
        <v>0</v>
      </c>
      <c r="L378" s="292">
        <f>IFERROR(VLOOKUP(B378,'تقرير المصروفات حسب الشهر'!$C$1143:$AD$1254,5,FALSE),0)</f>
        <v>0</v>
      </c>
      <c r="M378" s="292">
        <f>IFERROR(VLOOKUP(B378,'تقرير المصروفات حسب الشهر'!$C$1270:$AD$1381,5,FALSE),0)</f>
        <v>0</v>
      </c>
      <c r="N378" s="292" t="e">
        <f>#REF!</f>
        <v>#REF!</v>
      </c>
      <c r="O378" s="296" t="e">
        <f t="shared" si="9"/>
        <v>#REF!</v>
      </c>
    </row>
    <row r="379" spans="2:15" ht="17.399999999999999">
      <c r="B379" s="291" t="s">
        <v>31</v>
      </c>
      <c r="C379" s="292">
        <f>'تقرير المصروفات حسب الشهر'!G32</f>
        <v>0</v>
      </c>
      <c r="D379" s="292" t="e">
        <f>#REF!</f>
        <v>#REF!</v>
      </c>
      <c r="E379" s="292" t="e">
        <f>#REF!</f>
        <v>#REF!</v>
      </c>
      <c r="F379" s="292" t="e">
        <f>#REF!</f>
        <v>#REF!</v>
      </c>
      <c r="G379" s="292" t="e">
        <f>#REF!</f>
        <v>#REF!</v>
      </c>
      <c r="H379" s="292" t="e">
        <f>#REF!</f>
        <v>#REF!</v>
      </c>
      <c r="I379" s="292">
        <f>'تقرير المصروفات حسب الشهر'!G785</f>
        <v>300</v>
      </c>
      <c r="J379" s="292">
        <f>'تقرير المصروفات حسب الشهر'!G912</f>
        <v>250</v>
      </c>
      <c r="K379" s="292">
        <f>'تقرير المصروفات حسب الشهر'!G1039</f>
        <v>0</v>
      </c>
      <c r="L379" s="292">
        <f>IFERROR(VLOOKUP(B379,'تقرير المصروفات حسب الشهر'!$C$1143:$AD$1254,5,FALSE),0)</f>
        <v>1418</v>
      </c>
      <c r="M379" s="292">
        <f>IFERROR(VLOOKUP(B379,'تقرير المصروفات حسب الشهر'!$C$1270:$AD$1381,5,FALSE),0)</f>
        <v>282.5</v>
      </c>
      <c r="N379" s="292" t="e">
        <f>#REF!</f>
        <v>#REF!</v>
      </c>
      <c r="O379" s="296" t="e">
        <f t="shared" si="9"/>
        <v>#REF!</v>
      </c>
    </row>
    <row r="380" spans="2:15" ht="17.399999999999999">
      <c r="B380" s="291" t="s">
        <v>55</v>
      </c>
      <c r="C380" s="292">
        <f>'تقرير المصروفات حسب الشهر'!G33</f>
        <v>160</v>
      </c>
      <c r="D380" s="292" t="e">
        <f>#REF!</f>
        <v>#REF!</v>
      </c>
      <c r="E380" s="292" t="e">
        <f>#REF!</f>
        <v>#REF!</v>
      </c>
      <c r="F380" s="292" t="e">
        <f>#REF!</f>
        <v>#REF!</v>
      </c>
      <c r="G380" s="292" t="e">
        <f>#REF!</f>
        <v>#REF!</v>
      </c>
      <c r="H380" s="292" t="e">
        <f>#REF!</f>
        <v>#REF!</v>
      </c>
      <c r="I380" s="292">
        <f>'تقرير المصروفات حسب الشهر'!G786</f>
        <v>80</v>
      </c>
      <c r="J380" s="292">
        <f>'تقرير المصروفات حسب الشهر'!G913</f>
        <v>80</v>
      </c>
      <c r="K380" s="292">
        <f>'تقرير المصروفات حسب الشهر'!G1040</f>
        <v>0</v>
      </c>
      <c r="L380" s="292">
        <f>IFERROR(VLOOKUP(B380,'تقرير المصروفات حسب الشهر'!$C$1143:$AD$1254,5,FALSE),0)</f>
        <v>0</v>
      </c>
      <c r="M380" s="292">
        <f>IFERROR(VLOOKUP(B380,'تقرير المصروفات حسب الشهر'!$C$1270:$AD$1381,5,FALSE),0)</f>
        <v>80</v>
      </c>
      <c r="N380" s="292" t="e">
        <f>#REF!</f>
        <v>#REF!</v>
      </c>
      <c r="O380" s="296" t="e">
        <f t="shared" si="9"/>
        <v>#REF!</v>
      </c>
    </row>
    <row r="381" spans="2:15" ht="17.399999999999999">
      <c r="B381" s="291" t="s">
        <v>56</v>
      </c>
      <c r="C381" s="292">
        <f>'تقرير المصروفات حسب الشهر'!G34</f>
        <v>139.91</v>
      </c>
      <c r="D381" s="292" t="e">
        <f>#REF!</f>
        <v>#REF!</v>
      </c>
      <c r="E381" s="292" t="e">
        <f>#REF!</f>
        <v>#REF!</v>
      </c>
      <c r="F381" s="292" t="e">
        <f>#REF!</f>
        <v>#REF!</v>
      </c>
      <c r="G381" s="292" t="e">
        <f>#REF!</f>
        <v>#REF!</v>
      </c>
      <c r="H381" s="292" t="e">
        <f>#REF!</f>
        <v>#REF!</v>
      </c>
      <c r="I381" s="292">
        <f>'تقرير المصروفات حسب الشهر'!G787</f>
        <v>139.91</v>
      </c>
      <c r="J381" s="292">
        <f>'تقرير المصروفات حسب الشهر'!G914</f>
        <v>139.91</v>
      </c>
      <c r="K381" s="292">
        <f>'تقرير المصروفات حسب الشهر'!G1041</f>
        <v>139.91</v>
      </c>
      <c r="L381" s="292">
        <f>IFERROR(VLOOKUP(B381,'تقرير المصروفات حسب الشهر'!$C$1143:$AD$1254,5,FALSE),0)</f>
        <v>139.91</v>
      </c>
      <c r="M381" s="292">
        <f>IFERROR(VLOOKUP(B381,'تقرير المصروفات حسب الشهر'!$C$1270:$AD$1381,5,FALSE),0)</f>
        <v>139.91</v>
      </c>
      <c r="N381" s="292" t="e">
        <f>#REF!</f>
        <v>#REF!</v>
      </c>
      <c r="O381" s="296" t="e">
        <f t="shared" si="9"/>
        <v>#REF!</v>
      </c>
    </row>
    <row r="382" spans="2:15" ht="17.399999999999999">
      <c r="B382" s="291" t="s">
        <v>57</v>
      </c>
      <c r="C382" s="292">
        <f>'تقرير المصروفات حسب الشهر'!G35</f>
        <v>0</v>
      </c>
      <c r="D382" s="292" t="e">
        <f>#REF!</f>
        <v>#REF!</v>
      </c>
      <c r="E382" s="292" t="e">
        <f>#REF!</f>
        <v>#REF!</v>
      </c>
      <c r="F382" s="292" t="e">
        <f>#REF!</f>
        <v>#REF!</v>
      </c>
      <c r="G382" s="292" t="e">
        <f>#REF!</f>
        <v>#REF!</v>
      </c>
      <c r="H382" s="292" t="e">
        <f>#REF!</f>
        <v>#REF!</v>
      </c>
      <c r="I382" s="292">
        <f>'تقرير المصروفات حسب الشهر'!G788</f>
        <v>625</v>
      </c>
      <c r="J382" s="292">
        <f>'تقرير المصروفات حسب الشهر'!G915</f>
        <v>1300</v>
      </c>
      <c r="K382" s="292">
        <f>'تقرير المصروفات حسب الشهر'!G1042</f>
        <v>0</v>
      </c>
      <c r="L382" s="292">
        <f>IFERROR(VLOOKUP(B382,'تقرير المصروفات حسب الشهر'!$C$1143:$AD$1254,5,FALSE),0)</f>
        <v>5000</v>
      </c>
      <c r="M382" s="292">
        <f>IFERROR(VLOOKUP(B382,'تقرير المصروفات حسب الشهر'!$C$1270:$AD$1381,5,FALSE),0)</f>
        <v>0</v>
      </c>
      <c r="N382" s="292" t="e">
        <f>#REF!</f>
        <v>#REF!</v>
      </c>
      <c r="O382" s="296" t="e">
        <f t="shared" si="9"/>
        <v>#REF!</v>
      </c>
    </row>
    <row r="383" spans="2:15" ht="17.399999999999999">
      <c r="B383" s="291" t="s">
        <v>58</v>
      </c>
      <c r="C383" s="292">
        <f>'تقرير المصروفات حسب الشهر'!G36</f>
        <v>0</v>
      </c>
      <c r="D383" s="292" t="e">
        <f>#REF!</f>
        <v>#REF!</v>
      </c>
      <c r="E383" s="292" t="e">
        <f>#REF!</f>
        <v>#REF!</v>
      </c>
      <c r="F383" s="292" t="e">
        <f>#REF!</f>
        <v>#REF!</v>
      </c>
      <c r="G383" s="292" t="e">
        <f>#REF!</f>
        <v>#REF!</v>
      </c>
      <c r="H383" s="292" t="e">
        <f>#REF!</f>
        <v>#REF!</v>
      </c>
      <c r="I383" s="292">
        <f>'تقرير المصروفات حسب الشهر'!G789</f>
        <v>35</v>
      </c>
      <c r="J383" s="292">
        <f>'تقرير المصروفات حسب الشهر'!G916</f>
        <v>0</v>
      </c>
      <c r="K383" s="292">
        <f>'تقرير المصروفات حسب الشهر'!G1043</f>
        <v>0</v>
      </c>
      <c r="L383" s="292">
        <f>IFERROR(VLOOKUP(B383,'تقرير المصروفات حسب الشهر'!$C$1143:$AD$1254,5,FALSE),0)</f>
        <v>0</v>
      </c>
      <c r="M383" s="292">
        <f>IFERROR(VLOOKUP(B383,'تقرير المصروفات حسب الشهر'!$C$1270:$AD$1381,5,FALSE),0)</f>
        <v>0</v>
      </c>
      <c r="N383" s="292" t="e">
        <f>#REF!</f>
        <v>#REF!</v>
      </c>
      <c r="O383" s="296" t="e">
        <f t="shared" si="9"/>
        <v>#REF!</v>
      </c>
    </row>
    <row r="384" spans="2:15" ht="17.399999999999999">
      <c r="B384" s="291" t="s">
        <v>59</v>
      </c>
      <c r="C384" s="292">
        <f>'تقرير المصروفات حسب الشهر'!G37</f>
        <v>0</v>
      </c>
      <c r="D384" s="292" t="e">
        <f>#REF!</f>
        <v>#REF!</v>
      </c>
      <c r="E384" s="292" t="e">
        <f>#REF!</f>
        <v>#REF!</v>
      </c>
      <c r="F384" s="292" t="e">
        <f>#REF!</f>
        <v>#REF!</v>
      </c>
      <c r="G384" s="292" t="e">
        <f>#REF!</f>
        <v>#REF!</v>
      </c>
      <c r="H384" s="292" t="e">
        <f>#REF!</f>
        <v>#REF!</v>
      </c>
      <c r="I384" s="292">
        <f>'تقرير المصروفات حسب الشهر'!G790</f>
        <v>180</v>
      </c>
      <c r="J384" s="292">
        <f>'تقرير المصروفات حسب الشهر'!G917</f>
        <v>0</v>
      </c>
      <c r="K384" s="292">
        <f>'تقرير المصروفات حسب الشهر'!G1044</f>
        <v>0</v>
      </c>
      <c r="L384" s="292">
        <f>IFERROR(VLOOKUP(B384,'تقرير المصروفات حسب الشهر'!$C$1143:$AD$1254,5,FALSE),0)</f>
        <v>100</v>
      </c>
      <c r="M384" s="292">
        <f>IFERROR(VLOOKUP(B384,'تقرير المصروفات حسب الشهر'!$C$1270:$AD$1381,5,FALSE),0)</f>
        <v>600</v>
      </c>
      <c r="N384" s="292" t="e">
        <f>#REF!</f>
        <v>#REF!</v>
      </c>
      <c r="O384" s="296" t="e">
        <f t="shared" si="9"/>
        <v>#REF!</v>
      </c>
    </row>
    <row r="385" spans="2:15" ht="17.399999999999999">
      <c r="B385" s="291" t="s">
        <v>60</v>
      </c>
      <c r="C385" s="292">
        <f>'تقرير المصروفات حسب الشهر'!G38</f>
        <v>0</v>
      </c>
      <c r="D385" s="292" t="e">
        <f>#REF!</f>
        <v>#REF!</v>
      </c>
      <c r="E385" s="292" t="e">
        <f>#REF!</f>
        <v>#REF!</v>
      </c>
      <c r="F385" s="292" t="e">
        <f>#REF!</f>
        <v>#REF!</v>
      </c>
      <c r="G385" s="292" t="e">
        <f>#REF!</f>
        <v>#REF!</v>
      </c>
      <c r="H385" s="292" t="e">
        <f>#REF!</f>
        <v>#REF!</v>
      </c>
      <c r="I385" s="292">
        <f>'تقرير المصروفات حسب الشهر'!G791</f>
        <v>0</v>
      </c>
      <c r="J385" s="292">
        <f>'تقرير المصروفات حسب الشهر'!G918</f>
        <v>0</v>
      </c>
      <c r="K385" s="292">
        <f>'تقرير المصروفات حسب الشهر'!G1045</f>
        <v>0</v>
      </c>
      <c r="L385" s="292">
        <f>IFERROR(VLOOKUP(B385,'تقرير المصروفات حسب الشهر'!$C$1143:$AD$1254,5,FALSE),0)</f>
        <v>0</v>
      </c>
      <c r="M385" s="292">
        <f>IFERROR(VLOOKUP(B385,'تقرير المصروفات حسب الشهر'!$C$1270:$AD$1381,5,FALSE),0)</f>
        <v>0</v>
      </c>
      <c r="N385" s="292" t="e">
        <f>#REF!</f>
        <v>#REF!</v>
      </c>
      <c r="O385" s="296" t="e">
        <f t="shared" si="9"/>
        <v>#REF!</v>
      </c>
    </row>
    <row r="386" spans="2:15" ht="17.399999999999999">
      <c r="B386" s="291" t="s">
        <v>61</v>
      </c>
      <c r="C386" s="292">
        <f>'تقرير المصروفات حسب الشهر'!G39</f>
        <v>500</v>
      </c>
      <c r="D386" s="292" t="e">
        <f>#REF!</f>
        <v>#REF!</v>
      </c>
      <c r="E386" s="292" t="e">
        <f>#REF!</f>
        <v>#REF!</v>
      </c>
      <c r="F386" s="292" t="e">
        <f>#REF!</f>
        <v>#REF!</v>
      </c>
      <c r="G386" s="292" t="e">
        <f>#REF!</f>
        <v>#REF!</v>
      </c>
      <c r="H386" s="292" t="e">
        <f>#REF!</f>
        <v>#REF!</v>
      </c>
      <c r="I386" s="292">
        <f>'تقرير المصروفات حسب الشهر'!G792</f>
        <v>1000</v>
      </c>
      <c r="J386" s="292">
        <f>'تقرير المصروفات حسب الشهر'!G919</f>
        <v>70</v>
      </c>
      <c r="K386" s="292">
        <f>'تقرير المصروفات حسب الشهر'!G1046</f>
        <v>0</v>
      </c>
      <c r="L386" s="292">
        <f>IFERROR(VLOOKUP(B386,'تقرير المصروفات حسب الشهر'!$C$1143:$AD$1254,5,FALSE),0)</f>
        <v>575</v>
      </c>
      <c r="M386" s="292">
        <f>IFERROR(VLOOKUP(B386,'تقرير المصروفات حسب الشهر'!$C$1270:$AD$1381,5,FALSE),0)</f>
        <v>0</v>
      </c>
      <c r="N386" s="292" t="e">
        <f>#REF!</f>
        <v>#REF!</v>
      </c>
      <c r="O386" s="296" t="e">
        <f t="shared" si="9"/>
        <v>#REF!</v>
      </c>
    </row>
    <row r="387" spans="2:15" ht="17.399999999999999">
      <c r="B387" s="291" t="s">
        <v>62</v>
      </c>
      <c r="C387" s="292">
        <f>'تقرير المصروفات حسب الشهر'!G40</f>
        <v>0</v>
      </c>
      <c r="D387" s="292" t="e">
        <f>#REF!</f>
        <v>#REF!</v>
      </c>
      <c r="E387" s="292" t="e">
        <f>#REF!</f>
        <v>#REF!</v>
      </c>
      <c r="F387" s="292" t="e">
        <f>#REF!</f>
        <v>#REF!</v>
      </c>
      <c r="G387" s="292" t="e">
        <f>#REF!</f>
        <v>#REF!</v>
      </c>
      <c r="H387" s="292" t="e">
        <f>#REF!</f>
        <v>#REF!</v>
      </c>
      <c r="I387" s="292">
        <f>'تقرير المصروفات حسب الشهر'!G793</f>
        <v>0</v>
      </c>
      <c r="J387" s="292">
        <f>'تقرير المصروفات حسب الشهر'!G920</f>
        <v>0</v>
      </c>
      <c r="K387" s="292">
        <f>'تقرير المصروفات حسب الشهر'!G1047</f>
        <v>0</v>
      </c>
      <c r="L387" s="292">
        <f>IFERROR(VLOOKUP(B387,'تقرير المصروفات حسب الشهر'!$C$1143:$AD$1254,5,FALSE),0)</f>
        <v>75000</v>
      </c>
      <c r="M387" s="292">
        <f>IFERROR(VLOOKUP(B387,'تقرير المصروفات حسب الشهر'!$C$1270:$AD$1381,5,FALSE),0)</f>
        <v>10000</v>
      </c>
      <c r="N387" s="292" t="e">
        <f>#REF!</f>
        <v>#REF!</v>
      </c>
      <c r="O387" s="296" t="e">
        <f t="shared" si="9"/>
        <v>#REF!</v>
      </c>
    </row>
    <row r="388" spans="2:15" ht="17.399999999999999">
      <c r="B388" s="291" t="s">
        <v>63</v>
      </c>
      <c r="C388" s="292">
        <f>'تقرير المصروفات حسب الشهر'!G41</f>
        <v>0</v>
      </c>
      <c r="D388" s="292" t="e">
        <f>#REF!</f>
        <v>#REF!</v>
      </c>
      <c r="E388" s="292" t="e">
        <f>#REF!</f>
        <v>#REF!</v>
      </c>
      <c r="F388" s="292" t="e">
        <f>#REF!</f>
        <v>#REF!</v>
      </c>
      <c r="G388" s="292" t="e">
        <f>#REF!</f>
        <v>#REF!</v>
      </c>
      <c r="H388" s="292" t="e">
        <f>#REF!</f>
        <v>#REF!</v>
      </c>
      <c r="I388" s="292">
        <f>'تقرير المصروفات حسب الشهر'!G794</f>
        <v>0</v>
      </c>
      <c r="J388" s="292">
        <f>'تقرير المصروفات حسب الشهر'!G921</f>
        <v>0</v>
      </c>
      <c r="K388" s="292">
        <f>'تقرير المصروفات حسب الشهر'!G1048</f>
        <v>0</v>
      </c>
      <c r="L388" s="292">
        <f>IFERROR(VLOOKUP(B388,'تقرير المصروفات حسب الشهر'!$C$1143:$AD$1254,5,FALSE),0)</f>
        <v>0</v>
      </c>
      <c r="M388" s="292">
        <f>IFERROR(VLOOKUP(B388,'تقرير المصروفات حسب الشهر'!$C$1270:$AD$1381,5,FALSE),0)</f>
        <v>0</v>
      </c>
      <c r="N388" s="292" t="e">
        <f>#REF!</f>
        <v>#REF!</v>
      </c>
      <c r="O388" s="296" t="e">
        <f t="shared" si="9"/>
        <v>#REF!</v>
      </c>
    </row>
    <row r="389" spans="2:15" ht="17.399999999999999">
      <c r="B389" s="291" t="s">
        <v>64</v>
      </c>
      <c r="C389" s="292">
        <f>'تقرير المصروفات حسب الشهر'!G42</f>
        <v>8050</v>
      </c>
      <c r="D389" s="292" t="e">
        <f>#REF!</f>
        <v>#REF!</v>
      </c>
      <c r="E389" s="292" t="e">
        <f>#REF!</f>
        <v>#REF!</v>
      </c>
      <c r="F389" s="292" t="e">
        <f>#REF!</f>
        <v>#REF!</v>
      </c>
      <c r="G389" s="292" t="e">
        <f>#REF!</f>
        <v>#REF!</v>
      </c>
      <c r="H389" s="292" t="e">
        <f>#REF!</f>
        <v>#REF!</v>
      </c>
      <c r="I389" s="292">
        <f>'تقرير المصروفات حسب الشهر'!G795</f>
        <v>9000</v>
      </c>
      <c r="J389" s="292">
        <f>'تقرير المصروفات حسب الشهر'!G922</f>
        <v>9600</v>
      </c>
      <c r="K389" s="292">
        <f>'تقرير المصروفات حسب الشهر'!G1049</f>
        <v>0</v>
      </c>
      <c r="L389" s="292">
        <f>IFERROR(VLOOKUP(B389,'تقرير المصروفات حسب الشهر'!$C$1143:$AD$1254,5,FALSE),0)</f>
        <v>0</v>
      </c>
      <c r="M389" s="292">
        <f>IFERROR(VLOOKUP(B389,'تقرير المصروفات حسب الشهر'!$C$1270:$AD$1381,5,FALSE),0)</f>
        <v>0</v>
      </c>
      <c r="N389" s="292" t="e">
        <f>#REF!</f>
        <v>#REF!</v>
      </c>
      <c r="O389" s="296" t="e">
        <f t="shared" si="9"/>
        <v>#REF!</v>
      </c>
    </row>
    <row r="390" spans="2:15" ht="17.399999999999999">
      <c r="B390" s="291" t="s">
        <v>28</v>
      </c>
      <c r="C390" s="292">
        <f>'تقرير المصروفات حسب الشهر'!G43</f>
        <v>0</v>
      </c>
      <c r="D390" s="292" t="e">
        <f>#REF!</f>
        <v>#REF!</v>
      </c>
      <c r="E390" s="292" t="e">
        <f>#REF!</f>
        <v>#REF!</v>
      </c>
      <c r="F390" s="292" t="e">
        <f>#REF!</f>
        <v>#REF!</v>
      </c>
      <c r="G390" s="292" t="e">
        <f>#REF!</f>
        <v>#REF!</v>
      </c>
      <c r="H390" s="292" t="e">
        <f>#REF!</f>
        <v>#REF!</v>
      </c>
      <c r="I390" s="292">
        <f>'تقرير المصروفات حسب الشهر'!G796</f>
        <v>0</v>
      </c>
      <c r="J390" s="292">
        <f>'تقرير المصروفات حسب الشهر'!G923</f>
        <v>0</v>
      </c>
      <c r="K390" s="292">
        <f>'تقرير المصروفات حسب الشهر'!G1050</f>
        <v>0</v>
      </c>
      <c r="L390" s="292">
        <f>IFERROR(VLOOKUP(B390,'تقرير المصروفات حسب الشهر'!$C$1143:$AD$1254,5,FALSE),0)</f>
        <v>7500</v>
      </c>
      <c r="M390" s="292">
        <f>IFERROR(VLOOKUP(B390,'تقرير المصروفات حسب الشهر'!$C$1270:$AD$1381,5,FALSE),0)</f>
        <v>0</v>
      </c>
      <c r="N390" s="292" t="e">
        <f>#REF!</f>
        <v>#REF!</v>
      </c>
      <c r="O390" s="296" t="e">
        <f t="shared" si="9"/>
        <v>#REF!</v>
      </c>
    </row>
    <row r="391" spans="2:15" ht="17.399999999999999">
      <c r="B391" s="291" t="s">
        <v>157</v>
      </c>
      <c r="C391" s="292">
        <f>'تقرير المصروفات حسب الشهر'!G44</f>
        <v>301.64</v>
      </c>
      <c r="D391" s="292" t="e">
        <f>#REF!</f>
        <v>#REF!</v>
      </c>
      <c r="E391" s="292" t="e">
        <f>#REF!</f>
        <v>#REF!</v>
      </c>
      <c r="F391" s="292" t="e">
        <f>#REF!</f>
        <v>#REF!</v>
      </c>
      <c r="G391" s="292" t="e">
        <f>#REF!</f>
        <v>#REF!</v>
      </c>
      <c r="H391" s="292" t="e">
        <f>#REF!</f>
        <v>#REF!</v>
      </c>
      <c r="I391" s="292">
        <f>'تقرير المصروفات حسب الشهر'!G797</f>
        <v>0</v>
      </c>
      <c r="J391" s="292">
        <f>'تقرير المصروفات حسب الشهر'!G924</f>
        <v>0</v>
      </c>
      <c r="K391" s="292">
        <f>'تقرير المصروفات حسب الشهر'!G1051</f>
        <v>0</v>
      </c>
      <c r="L391" s="292">
        <f>IFERROR(VLOOKUP(B391,'تقرير المصروفات حسب الشهر'!$C$1143:$AD$1254,5,FALSE),0)</f>
        <v>594.59</v>
      </c>
      <c r="M391" s="292">
        <f>IFERROR(VLOOKUP(B391,'تقرير المصروفات حسب الشهر'!$C$1270:$AD$1381,5,FALSE),0)</f>
        <v>1535.63</v>
      </c>
      <c r="N391" s="292" t="e">
        <f>#REF!</f>
        <v>#REF!</v>
      </c>
      <c r="O391" s="296" t="e">
        <f t="shared" si="9"/>
        <v>#REF!</v>
      </c>
    </row>
    <row r="392" spans="2:15" ht="17.399999999999999">
      <c r="B392" s="291" t="s">
        <v>65</v>
      </c>
      <c r="C392" s="292">
        <f>'تقرير المصروفات حسب الشهر'!G45</f>
        <v>0</v>
      </c>
      <c r="D392" s="292" t="e">
        <f>#REF!</f>
        <v>#REF!</v>
      </c>
      <c r="E392" s="292" t="e">
        <f>#REF!</f>
        <v>#REF!</v>
      </c>
      <c r="F392" s="292" t="e">
        <f>#REF!</f>
        <v>#REF!</v>
      </c>
      <c r="G392" s="292" t="e">
        <f>#REF!</f>
        <v>#REF!</v>
      </c>
      <c r="H392" s="292" t="e">
        <f>#REF!</f>
        <v>#REF!</v>
      </c>
      <c r="I392" s="292">
        <f>'تقرير المصروفات حسب الشهر'!G798</f>
        <v>0</v>
      </c>
      <c r="J392" s="292">
        <f>'تقرير المصروفات حسب الشهر'!G925</f>
        <v>0</v>
      </c>
      <c r="K392" s="292">
        <f>'تقرير المصروفات حسب الشهر'!G1052</f>
        <v>0</v>
      </c>
      <c r="L392" s="292">
        <f>IFERROR(VLOOKUP(B392,'تقرير المصروفات حسب الشهر'!$C$1143:$AD$1254,5,FALSE),0)</f>
        <v>0</v>
      </c>
      <c r="M392" s="292">
        <f>IFERROR(VLOOKUP(B392,'تقرير المصروفات حسب الشهر'!$C$1270:$AD$1381,5,FALSE),0)</f>
        <v>0</v>
      </c>
      <c r="N392" s="292" t="e">
        <f>#REF!</f>
        <v>#REF!</v>
      </c>
      <c r="O392" s="296" t="e">
        <f t="shared" si="9"/>
        <v>#REF!</v>
      </c>
    </row>
    <row r="393" spans="2:15" ht="17.399999999999999">
      <c r="B393" s="291" t="s">
        <v>66</v>
      </c>
      <c r="C393" s="292">
        <f>'تقرير المصروفات حسب الشهر'!G46</f>
        <v>0</v>
      </c>
      <c r="D393" s="292" t="e">
        <f>#REF!</f>
        <v>#REF!</v>
      </c>
      <c r="E393" s="292" t="e">
        <f>#REF!</f>
        <v>#REF!</v>
      </c>
      <c r="F393" s="292" t="e">
        <f>#REF!</f>
        <v>#REF!</v>
      </c>
      <c r="G393" s="292" t="e">
        <f>#REF!</f>
        <v>#REF!</v>
      </c>
      <c r="H393" s="292" t="e">
        <f>#REF!</f>
        <v>#REF!</v>
      </c>
      <c r="I393" s="292">
        <f>'تقرير المصروفات حسب الشهر'!G799</f>
        <v>0</v>
      </c>
      <c r="J393" s="292">
        <f>'تقرير المصروفات حسب الشهر'!G926</f>
        <v>0</v>
      </c>
      <c r="K393" s="292">
        <f>'تقرير المصروفات حسب الشهر'!G1053</f>
        <v>0</v>
      </c>
      <c r="L393" s="292">
        <f>IFERROR(VLOOKUP(B393,'تقرير المصروفات حسب الشهر'!$C$1143:$AD$1254,5,FALSE),0)</f>
        <v>0</v>
      </c>
      <c r="M393" s="292">
        <f>IFERROR(VLOOKUP(B393,'تقرير المصروفات حسب الشهر'!$C$1270:$AD$1381,5,FALSE),0)</f>
        <v>0</v>
      </c>
      <c r="N393" s="292" t="e">
        <f>#REF!</f>
        <v>#REF!</v>
      </c>
      <c r="O393" s="296" t="e">
        <f t="shared" si="9"/>
        <v>#REF!</v>
      </c>
    </row>
    <row r="394" spans="2:15" ht="17.399999999999999">
      <c r="B394" s="291" t="s">
        <v>30</v>
      </c>
      <c r="C394" s="292">
        <f>'تقرير المصروفات حسب الشهر'!G47</f>
        <v>0</v>
      </c>
      <c r="D394" s="292" t="e">
        <f>#REF!</f>
        <v>#REF!</v>
      </c>
      <c r="E394" s="292" t="e">
        <f>#REF!</f>
        <v>#REF!</v>
      </c>
      <c r="F394" s="292" t="e">
        <f>#REF!</f>
        <v>#REF!</v>
      </c>
      <c r="G394" s="292" t="e">
        <f>#REF!</f>
        <v>#REF!</v>
      </c>
      <c r="H394" s="292" t="e">
        <f>#REF!</f>
        <v>#REF!</v>
      </c>
      <c r="I394" s="292">
        <f>'تقرير المصروفات حسب الشهر'!G800</f>
        <v>6666.25</v>
      </c>
      <c r="J394" s="292">
        <f>'تقرير المصروفات حسب الشهر'!G927</f>
        <v>0</v>
      </c>
      <c r="K394" s="292">
        <f>'تقرير المصروفات حسب الشهر'!G1054</f>
        <v>9077.5</v>
      </c>
      <c r="L394" s="292">
        <f>IFERROR(VLOOKUP(B394,'تقرير المصروفات حسب الشهر'!$C$1143:$AD$1254,5,FALSE),0)</f>
        <v>4500.25</v>
      </c>
      <c r="M394" s="292">
        <f>IFERROR(VLOOKUP(B394,'تقرير المصروفات حسب الشهر'!$C$1270:$AD$1381,5,FALSE),0)</f>
        <v>7888.25</v>
      </c>
      <c r="N394" s="292" t="e">
        <f>#REF!</f>
        <v>#REF!</v>
      </c>
      <c r="O394" s="296" t="e">
        <f t="shared" si="9"/>
        <v>#REF!</v>
      </c>
    </row>
    <row r="395" spans="2:15" ht="17.399999999999999">
      <c r="B395" s="291" t="s">
        <v>67</v>
      </c>
      <c r="C395" s="292">
        <f>'تقرير المصروفات حسب الشهر'!G48</f>
        <v>4160</v>
      </c>
      <c r="D395" s="292" t="e">
        <f>#REF!</f>
        <v>#REF!</v>
      </c>
      <c r="E395" s="292" t="e">
        <f>#REF!</f>
        <v>#REF!</v>
      </c>
      <c r="F395" s="292" t="e">
        <f>#REF!</f>
        <v>#REF!</v>
      </c>
      <c r="G395" s="292" t="e">
        <f>#REF!</f>
        <v>#REF!</v>
      </c>
      <c r="H395" s="292" t="e">
        <f>#REF!</f>
        <v>#REF!</v>
      </c>
      <c r="I395" s="292">
        <f>'تقرير المصروفات حسب الشهر'!G801</f>
        <v>0</v>
      </c>
      <c r="J395" s="292">
        <f>'تقرير المصروفات حسب الشهر'!G928</f>
        <v>8580</v>
      </c>
      <c r="K395" s="292">
        <f>'تقرير المصروفات حسب الشهر'!G1055</f>
        <v>0</v>
      </c>
      <c r="L395" s="292">
        <f>IFERROR(VLOOKUP(B395,'تقرير المصروفات حسب الشهر'!$C$1143:$AD$1254,5,FALSE),0)</f>
        <v>9240</v>
      </c>
      <c r="M395" s="292">
        <f>IFERROR(VLOOKUP(B395,'تقرير المصروفات حسب الشهر'!$C$1270:$AD$1381,5,FALSE),0)</f>
        <v>0</v>
      </c>
      <c r="N395" s="292" t="e">
        <f>#REF!</f>
        <v>#REF!</v>
      </c>
      <c r="O395" s="296" t="e">
        <f t="shared" si="9"/>
        <v>#REF!</v>
      </c>
    </row>
    <row r="396" spans="2:15" ht="17.399999999999999">
      <c r="B396" s="291" t="s">
        <v>111</v>
      </c>
      <c r="C396" s="292">
        <f>'تقرير المصروفات حسب الشهر'!G49</f>
        <v>300</v>
      </c>
      <c r="D396" s="292" t="e">
        <f>#REF!</f>
        <v>#REF!</v>
      </c>
      <c r="E396" s="292" t="e">
        <f>#REF!</f>
        <v>#REF!</v>
      </c>
      <c r="F396" s="292" t="e">
        <f>#REF!</f>
        <v>#REF!</v>
      </c>
      <c r="G396" s="292" t="e">
        <f>#REF!</f>
        <v>#REF!</v>
      </c>
      <c r="H396" s="292" t="e">
        <f>#REF!</f>
        <v>#REF!</v>
      </c>
      <c r="I396" s="292">
        <f>'تقرير المصروفات حسب الشهر'!G802</f>
        <v>100</v>
      </c>
      <c r="J396" s="292">
        <f>'تقرير المصروفات حسب الشهر'!G929</f>
        <v>0</v>
      </c>
      <c r="K396" s="292">
        <f>'تقرير المصروفات حسب الشهر'!G1056</f>
        <v>350</v>
      </c>
      <c r="L396" s="292">
        <f>IFERROR(VLOOKUP(B396,'تقرير المصروفات حسب الشهر'!$C$1143:$AD$1254,5,FALSE),0)</f>
        <v>0</v>
      </c>
      <c r="M396" s="292">
        <f>IFERROR(VLOOKUP(B396,'تقرير المصروفات حسب الشهر'!$C$1270:$AD$1381,5,FALSE),0)</f>
        <v>0</v>
      </c>
      <c r="N396" s="292" t="e">
        <f>#REF!</f>
        <v>#REF!</v>
      </c>
      <c r="O396" s="296" t="e">
        <f t="shared" si="9"/>
        <v>#REF!</v>
      </c>
    </row>
    <row r="397" spans="2:15" ht="17.399999999999999">
      <c r="B397" s="291" t="s">
        <v>68</v>
      </c>
      <c r="C397" s="292">
        <f>'تقرير المصروفات حسب الشهر'!G50</f>
        <v>0</v>
      </c>
      <c r="D397" s="292" t="e">
        <f>#REF!</f>
        <v>#REF!</v>
      </c>
      <c r="E397" s="292" t="e">
        <f>#REF!</f>
        <v>#REF!</v>
      </c>
      <c r="F397" s="292" t="e">
        <f>#REF!</f>
        <v>#REF!</v>
      </c>
      <c r="G397" s="292" t="e">
        <f>#REF!</f>
        <v>#REF!</v>
      </c>
      <c r="H397" s="292" t="e">
        <f>#REF!</f>
        <v>#REF!</v>
      </c>
      <c r="I397" s="292">
        <f>'تقرير المصروفات حسب الشهر'!G803</f>
        <v>0</v>
      </c>
      <c r="J397" s="292">
        <f>'تقرير المصروفات حسب الشهر'!G930</f>
        <v>0</v>
      </c>
      <c r="K397" s="292">
        <f>'تقرير المصروفات حسب الشهر'!G1057</f>
        <v>3608</v>
      </c>
      <c r="L397" s="292">
        <f>IFERROR(VLOOKUP(B397,'تقرير المصروفات حسب الشهر'!$C$1143:$AD$1254,5,FALSE),0)</f>
        <v>0</v>
      </c>
      <c r="M397" s="292">
        <f>IFERROR(VLOOKUP(B397,'تقرير المصروفات حسب الشهر'!$C$1270:$AD$1381,5,FALSE),0)</f>
        <v>0</v>
      </c>
      <c r="N397" s="292" t="e">
        <f>#REF!</f>
        <v>#REF!</v>
      </c>
      <c r="O397" s="296" t="e">
        <f t="shared" si="9"/>
        <v>#REF!</v>
      </c>
    </row>
    <row r="398" spans="2:15" ht="17.399999999999999">
      <c r="B398" s="291" t="s">
        <v>69</v>
      </c>
      <c r="C398" s="292">
        <f>'تقرير المصروفات حسب الشهر'!G51</f>
        <v>2800</v>
      </c>
      <c r="D398" s="292" t="e">
        <f>#REF!</f>
        <v>#REF!</v>
      </c>
      <c r="E398" s="292" t="e">
        <f>#REF!</f>
        <v>#REF!</v>
      </c>
      <c r="F398" s="292" t="e">
        <f>#REF!</f>
        <v>#REF!</v>
      </c>
      <c r="G398" s="292" t="e">
        <f>#REF!</f>
        <v>#REF!</v>
      </c>
      <c r="H398" s="292" t="e">
        <f>#REF!</f>
        <v>#REF!</v>
      </c>
      <c r="I398" s="292">
        <f>'تقرير المصروفات حسب الشهر'!G804</f>
        <v>0</v>
      </c>
      <c r="J398" s="292">
        <f>'تقرير المصروفات حسب الشهر'!G931</f>
        <v>0</v>
      </c>
      <c r="K398" s="292">
        <f>'تقرير المصروفات حسب الشهر'!G1058</f>
        <v>0</v>
      </c>
      <c r="L398" s="292">
        <f>IFERROR(VLOOKUP(B398,'تقرير المصروفات حسب الشهر'!$C$1143:$AD$1254,5,FALSE),0)</f>
        <v>0</v>
      </c>
      <c r="M398" s="292">
        <f>IFERROR(VLOOKUP(B398,'تقرير المصروفات حسب الشهر'!$C$1270:$AD$1381,5,FALSE),0)</f>
        <v>700</v>
      </c>
      <c r="N398" s="292" t="e">
        <f>#REF!</f>
        <v>#REF!</v>
      </c>
      <c r="O398" s="296" t="e">
        <f t="shared" si="9"/>
        <v>#REF!</v>
      </c>
    </row>
    <row r="399" spans="2:15" ht="17.399999999999999">
      <c r="B399" s="291" t="s">
        <v>70</v>
      </c>
      <c r="C399" s="292">
        <f>'تقرير المصروفات حسب الشهر'!G52</f>
        <v>0</v>
      </c>
      <c r="D399" s="292" t="e">
        <f>#REF!</f>
        <v>#REF!</v>
      </c>
      <c r="E399" s="292" t="e">
        <f>#REF!</f>
        <v>#REF!</v>
      </c>
      <c r="F399" s="292" t="e">
        <f>#REF!</f>
        <v>#REF!</v>
      </c>
      <c r="G399" s="292" t="e">
        <f>#REF!</f>
        <v>#REF!</v>
      </c>
      <c r="H399" s="292" t="e">
        <f>#REF!</f>
        <v>#REF!</v>
      </c>
      <c r="I399" s="292">
        <f>'تقرير المصروفات حسب الشهر'!G805</f>
        <v>0</v>
      </c>
      <c r="J399" s="292">
        <f>'تقرير المصروفات حسب الشهر'!G932</f>
        <v>0</v>
      </c>
      <c r="K399" s="292">
        <f>'تقرير المصروفات حسب الشهر'!G1059</f>
        <v>5400</v>
      </c>
      <c r="L399" s="292">
        <f>IFERROR(VLOOKUP(B399,'تقرير المصروفات حسب الشهر'!$C$1143:$AD$1254,5,FALSE),0)</f>
        <v>4090</v>
      </c>
      <c r="M399" s="292">
        <f>IFERROR(VLOOKUP(B399,'تقرير المصروفات حسب الشهر'!$C$1270:$AD$1381,5,FALSE),0)</f>
        <v>0</v>
      </c>
      <c r="N399" s="292" t="e">
        <f>#REF!</f>
        <v>#REF!</v>
      </c>
      <c r="O399" s="296" t="e">
        <f t="shared" si="9"/>
        <v>#REF!</v>
      </c>
    </row>
    <row r="400" spans="2:15" ht="17.399999999999999">
      <c r="B400" s="291" t="s">
        <v>71</v>
      </c>
      <c r="C400" s="292">
        <f>'تقرير المصروفات حسب الشهر'!G53</f>
        <v>0</v>
      </c>
      <c r="D400" s="292" t="e">
        <f>#REF!</f>
        <v>#REF!</v>
      </c>
      <c r="E400" s="292" t="e">
        <f>#REF!</f>
        <v>#REF!</v>
      </c>
      <c r="F400" s="292" t="e">
        <f>#REF!</f>
        <v>#REF!</v>
      </c>
      <c r="G400" s="292" t="e">
        <f>#REF!</f>
        <v>#REF!</v>
      </c>
      <c r="H400" s="292" t="e">
        <f>#REF!</f>
        <v>#REF!</v>
      </c>
      <c r="I400" s="292">
        <f>'تقرير المصروفات حسب الشهر'!G806</f>
        <v>0</v>
      </c>
      <c r="J400" s="292">
        <f>'تقرير المصروفات حسب الشهر'!G933</f>
        <v>0</v>
      </c>
      <c r="K400" s="292">
        <f>'تقرير المصروفات حسب الشهر'!G1060</f>
        <v>0</v>
      </c>
      <c r="L400" s="292">
        <f>IFERROR(VLOOKUP(B400,'تقرير المصروفات حسب الشهر'!$C$1143:$AD$1254,5,FALSE),0)</f>
        <v>0</v>
      </c>
      <c r="M400" s="292">
        <f>IFERROR(VLOOKUP(B400,'تقرير المصروفات حسب الشهر'!$C$1270:$AD$1381,5,FALSE),0)</f>
        <v>0</v>
      </c>
      <c r="N400" s="292" t="e">
        <f>#REF!</f>
        <v>#REF!</v>
      </c>
      <c r="O400" s="296" t="e">
        <f t="shared" si="9"/>
        <v>#REF!</v>
      </c>
    </row>
    <row r="401" spans="2:15" ht="17.399999999999999">
      <c r="B401" s="291" t="s">
        <v>159</v>
      </c>
      <c r="C401" s="292">
        <f>'تقرير المصروفات حسب الشهر'!G54</f>
        <v>0</v>
      </c>
      <c r="D401" s="292" t="e">
        <f>#REF!</f>
        <v>#REF!</v>
      </c>
      <c r="E401" s="292" t="e">
        <f>#REF!</f>
        <v>#REF!</v>
      </c>
      <c r="F401" s="292" t="e">
        <f>#REF!</f>
        <v>#REF!</v>
      </c>
      <c r="G401" s="292" t="e">
        <f>#REF!</f>
        <v>#REF!</v>
      </c>
      <c r="H401" s="292" t="e">
        <f>#REF!</f>
        <v>#REF!</v>
      </c>
      <c r="I401" s="292">
        <f>'تقرير المصروفات حسب الشهر'!G807</f>
        <v>0</v>
      </c>
      <c r="J401" s="292">
        <f>'تقرير المصروفات حسب الشهر'!G934</f>
        <v>0</v>
      </c>
      <c r="K401" s="292">
        <f>'تقرير المصروفات حسب الشهر'!G1061</f>
        <v>0</v>
      </c>
      <c r="L401" s="292">
        <f>IFERROR(VLOOKUP(B401,'تقرير المصروفات حسب الشهر'!$C$1143:$AD$1254,5,FALSE),0)</f>
        <v>0</v>
      </c>
      <c r="M401" s="292">
        <f>IFERROR(VLOOKUP(B401,'تقرير المصروفات حسب الشهر'!$C$1270:$AD$1381,5,FALSE),0)</f>
        <v>0</v>
      </c>
      <c r="N401" s="292" t="e">
        <f>#REF!</f>
        <v>#REF!</v>
      </c>
      <c r="O401" s="296" t="e">
        <f t="shared" si="9"/>
        <v>#REF!</v>
      </c>
    </row>
    <row r="402" spans="2:15" ht="17.399999999999999">
      <c r="B402" s="291" t="s">
        <v>72</v>
      </c>
      <c r="C402" s="292">
        <f>'تقرير المصروفات حسب الشهر'!G55</f>
        <v>0</v>
      </c>
      <c r="D402" s="292" t="e">
        <f>#REF!</f>
        <v>#REF!</v>
      </c>
      <c r="E402" s="292" t="e">
        <f>#REF!</f>
        <v>#REF!</v>
      </c>
      <c r="F402" s="292" t="e">
        <f>#REF!</f>
        <v>#REF!</v>
      </c>
      <c r="G402" s="292" t="e">
        <f>#REF!</f>
        <v>#REF!</v>
      </c>
      <c r="H402" s="292" t="e">
        <f>#REF!</f>
        <v>#REF!</v>
      </c>
      <c r="I402" s="292">
        <f>'تقرير المصروفات حسب الشهر'!G808</f>
        <v>0</v>
      </c>
      <c r="J402" s="292">
        <f>'تقرير المصروفات حسب الشهر'!G935</f>
        <v>0</v>
      </c>
      <c r="K402" s="292">
        <f>'تقرير المصروفات حسب الشهر'!G1062</f>
        <v>0</v>
      </c>
      <c r="L402" s="292">
        <f>IFERROR(VLOOKUP(B402,'تقرير المصروفات حسب الشهر'!$C$1143:$AD$1254,5,FALSE),0)</f>
        <v>0</v>
      </c>
      <c r="M402" s="292">
        <f>IFERROR(VLOOKUP(B402,'تقرير المصروفات حسب الشهر'!$C$1270:$AD$1381,5,FALSE),0)</f>
        <v>0</v>
      </c>
      <c r="N402" s="292" t="e">
        <f>#REF!</f>
        <v>#REF!</v>
      </c>
      <c r="O402" s="296" t="e">
        <f t="shared" si="9"/>
        <v>#REF!</v>
      </c>
    </row>
    <row r="403" spans="2:15" ht="17.399999999999999">
      <c r="B403" s="291" t="s">
        <v>73</v>
      </c>
      <c r="C403" s="292">
        <f>'تقرير المصروفات حسب الشهر'!G56</f>
        <v>0</v>
      </c>
      <c r="D403" s="292" t="e">
        <f>#REF!</f>
        <v>#REF!</v>
      </c>
      <c r="E403" s="292" t="e">
        <f>#REF!</f>
        <v>#REF!</v>
      </c>
      <c r="F403" s="292" t="e">
        <f>#REF!</f>
        <v>#REF!</v>
      </c>
      <c r="G403" s="292" t="e">
        <f>#REF!</f>
        <v>#REF!</v>
      </c>
      <c r="H403" s="292" t="e">
        <f>#REF!</f>
        <v>#REF!</v>
      </c>
      <c r="I403" s="292">
        <f>'تقرير المصروفات حسب الشهر'!G809</f>
        <v>0</v>
      </c>
      <c r="J403" s="292">
        <f>'تقرير المصروفات حسب الشهر'!G936</f>
        <v>0</v>
      </c>
      <c r="K403" s="292">
        <f>'تقرير المصروفات حسب الشهر'!G1063</f>
        <v>0</v>
      </c>
      <c r="L403" s="292">
        <f>IFERROR(VLOOKUP(B403,'تقرير المصروفات حسب الشهر'!$C$1143:$AD$1254,5,FALSE),0)</f>
        <v>0</v>
      </c>
      <c r="M403" s="292">
        <f>IFERROR(VLOOKUP(B403,'تقرير المصروفات حسب الشهر'!$C$1270:$AD$1381,5,FALSE),0)</f>
        <v>0</v>
      </c>
      <c r="N403" s="292" t="e">
        <f>#REF!</f>
        <v>#REF!</v>
      </c>
      <c r="O403" s="296" t="e">
        <f t="shared" si="9"/>
        <v>#REF!</v>
      </c>
    </row>
    <row r="404" spans="2:15" ht="17.399999999999999">
      <c r="B404" s="291" t="s">
        <v>74</v>
      </c>
      <c r="C404" s="292">
        <f>'تقرير المصروفات حسب الشهر'!G57</f>
        <v>0</v>
      </c>
      <c r="D404" s="292" t="e">
        <f>#REF!</f>
        <v>#REF!</v>
      </c>
      <c r="E404" s="292" t="e">
        <f>#REF!</f>
        <v>#REF!</v>
      </c>
      <c r="F404" s="292" t="e">
        <f>#REF!</f>
        <v>#REF!</v>
      </c>
      <c r="G404" s="292" t="e">
        <f>#REF!</f>
        <v>#REF!</v>
      </c>
      <c r="H404" s="292" t="e">
        <f>#REF!</f>
        <v>#REF!</v>
      </c>
      <c r="I404" s="292">
        <f>'تقرير المصروفات حسب الشهر'!G810</f>
        <v>0</v>
      </c>
      <c r="J404" s="292">
        <f>'تقرير المصروفات حسب الشهر'!G937</f>
        <v>0</v>
      </c>
      <c r="K404" s="292">
        <f>'تقرير المصروفات حسب الشهر'!G1064</f>
        <v>0</v>
      </c>
      <c r="L404" s="292">
        <f>IFERROR(VLOOKUP(B404,'تقرير المصروفات حسب الشهر'!$C$1143:$AD$1254,5,FALSE),0)</f>
        <v>0</v>
      </c>
      <c r="M404" s="292">
        <f>IFERROR(VLOOKUP(B404,'تقرير المصروفات حسب الشهر'!$C$1270:$AD$1381,5,FALSE),0)</f>
        <v>0</v>
      </c>
      <c r="N404" s="292" t="e">
        <f>#REF!</f>
        <v>#REF!</v>
      </c>
      <c r="O404" s="296" t="e">
        <f t="shared" si="9"/>
        <v>#REF!</v>
      </c>
    </row>
    <row r="405" spans="2:15" ht="17.399999999999999">
      <c r="B405" s="291" t="s">
        <v>246</v>
      </c>
      <c r="C405" s="292">
        <f>'تقرير المصروفات حسب الشهر'!G58</f>
        <v>0</v>
      </c>
      <c r="D405" s="292" t="e">
        <f>#REF!</f>
        <v>#REF!</v>
      </c>
      <c r="E405" s="292" t="e">
        <f>#REF!</f>
        <v>#REF!</v>
      </c>
      <c r="F405" s="292" t="e">
        <f>#REF!</f>
        <v>#REF!</v>
      </c>
      <c r="G405" s="292" t="e">
        <f>#REF!</f>
        <v>#REF!</v>
      </c>
      <c r="H405" s="292" t="e">
        <f>#REF!</f>
        <v>#REF!</v>
      </c>
      <c r="I405" s="292">
        <f>'تقرير المصروفات حسب الشهر'!G811</f>
        <v>0</v>
      </c>
      <c r="J405" s="292">
        <f>'تقرير المصروفات حسب الشهر'!G938</f>
        <v>0</v>
      </c>
      <c r="K405" s="292">
        <f>'تقرير المصروفات حسب الشهر'!G1065</f>
        <v>0</v>
      </c>
      <c r="L405" s="292">
        <f>IFERROR(VLOOKUP(B405,'تقرير المصروفات حسب الشهر'!$C$1143:$AD$1254,5,FALSE),0)</f>
        <v>0</v>
      </c>
      <c r="M405" s="292">
        <f>IFERROR(VLOOKUP(B405,'تقرير المصروفات حسب الشهر'!$C$1270:$AD$1381,5,FALSE),0)</f>
        <v>0</v>
      </c>
      <c r="N405" s="292" t="e">
        <f>#REF!</f>
        <v>#REF!</v>
      </c>
      <c r="O405" s="296" t="e">
        <f t="shared" si="9"/>
        <v>#REF!</v>
      </c>
    </row>
    <row r="406" spans="2:15" ht="17.399999999999999">
      <c r="B406" s="291" t="s">
        <v>75</v>
      </c>
      <c r="C406" s="292">
        <f>'تقرير المصروفات حسب الشهر'!G59</f>
        <v>0</v>
      </c>
      <c r="D406" s="292" t="e">
        <f>#REF!</f>
        <v>#REF!</v>
      </c>
      <c r="E406" s="292" t="e">
        <f>#REF!</f>
        <v>#REF!</v>
      </c>
      <c r="F406" s="292" t="e">
        <f>#REF!</f>
        <v>#REF!</v>
      </c>
      <c r="G406" s="292" t="e">
        <f>#REF!</f>
        <v>#REF!</v>
      </c>
      <c r="H406" s="292" t="e">
        <f>#REF!</f>
        <v>#REF!</v>
      </c>
      <c r="I406" s="292">
        <f>'تقرير المصروفات حسب الشهر'!G812</f>
        <v>0</v>
      </c>
      <c r="J406" s="292">
        <f>'تقرير المصروفات حسب الشهر'!G939</f>
        <v>0</v>
      </c>
      <c r="K406" s="292">
        <f>'تقرير المصروفات حسب الشهر'!G1066</f>
        <v>0</v>
      </c>
      <c r="L406" s="292">
        <f>IFERROR(VLOOKUP(B406,'تقرير المصروفات حسب الشهر'!$C$1143:$AD$1254,5,FALSE),0)</f>
        <v>0</v>
      </c>
      <c r="M406" s="292">
        <f>IFERROR(VLOOKUP(B406,'تقرير المصروفات حسب الشهر'!$C$1270:$AD$1381,5,FALSE),0)</f>
        <v>0</v>
      </c>
      <c r="N406" s="292" t="e">
        <f>#REF!</f>
        <v>#REF!</v>
      </c>
      <c r="O406" s="296" t="e">
        <f t="shared" si="9"/>
        <v>#REF!</v>
      </c>
    </row>
    <row r="407" spans="2:15" ht="17.399999999999999">
      <c r="B407" s="291" t="s">
        <v>76</v>
      </c>
      <c r="C407" s="292">
        <f>'تقرير المصروفات حسب الشهر'!G60</f>
        <v>0</v>
      </c>
      <c r="D407" s="292" t="e">
        <f>#REF!</f>
        <v>#REF!</v>
      </c>
      <c r="E407" s="292" t="e">
        <f>#REF!</f>
        <v>#REF!</v>
      </c>
      <c r="F407" s="292" t="e">
        <f>#REF!</f>
        <v>#REF!</v>
      </c>
      <c r="G407" s="292" t="e">
        <f>#REF!</f>
        <v>#REF!</v>
      </c>
      <c r="H407" s="292" t="e">
        <f>#REF!</f>
        <v>#REF!</v>
      </c>
      <c r="I407" s="292">
        <f>'تقرير المصروفات حسب الشهر'!G813</f>
        <v>0</v>
      </c>
      <c r="J407" s="292">
        <f>'تقرير المصروفات حسب الشهر'!G940</f>
        <v>0</v>
      </c>
      <c r="K407" s="292">
        <f>'تقرير المصروفات حسب الشهر'!G1067</f>
        <v>0</v>
      </c>
      <c r="L407" s="292">
        <f>IFERROR(VLOOKUP(B407,'تقرير المصروفات حسب الشهر'!$C$1143:$AD$1254,5,FALSE),0)</f>
        <v>0</v>
      </c>
      <c r="M407" s="292">
        <f>IFERROR(VLOOKUP(B407,'تقرير المصروفات حسب الشهر'!$C$1270:$AD$1381,5,FALSE),0)</f>
        <v>0</v>
      </c>
      <c r="N407" s="292" t="e">
        <f>#REF!</f>
        <v>#REF!</v>
      </c>
      <c r="O407" s="296" t="e">
        <f t="shared" si="9"/>
        <v>#REF!</v>
      </c>
    </row>
    <row r="408" spans="2:15" ht="17.399999999999999">
      <c r="B408" s="291" t="s">
        <v>77</v>
      </c>
      <c r="C408" s="292">
        <f>'تقرير المصروفات حسب الشهر'!G61</f>
        <v>0</v>
      </c>
      <c r="D408" s="292" t="e">
        <f>#REF!</f>
        <v>#REF!</v>
      </c>
      <c r="E408" s="292" t="e">
        <f>#REF!</f>
        <v>#REF!</v>
      </c>
      <c r="F408" s="292" t="e">
        <f>#REF!</f>
        <v>#REF!</v>
      </c>
      <c r="G408" s="292" t="e">
        <f>#REF!</f>
        <v>#REF!</v>
      </c>
      <c r="H408" s="292" t="e">
        <f>#REF!</f>
        <v>#REF!</v>
      </c>
      <c r="I408" s="292">
        <f>'تقرير المصروفات حسب الشهر'!G814</f>
        <v>0</v>
      </c>
      <c r="J408" s="292">
        <f>'تقرير المصروفات حسب الشهر'!G941</f>
        <v>0</v>
      </c>
      <c r="K408" s="292">
        <f>'تقرير المصروفات حسب الشهر'!G1068</f>
        <v>0</v>
      </c>
      <c r="L408" s="292">
        <f>IFERROR(VLOOKUP(B408,'تقرير المصروفات حسب الشهر'!$C$1143:$AD$1254,5,FALSE),0)</f>
        <v>0</v>
      </c>
      <c r="M408" s="292">
        <f>IFERROR(VLOOKUP(B408,'تقرير المصروفات حسب الشهر'!$C$1270:$AD$1381,5,FALSE),0)</f>
        <v>0</v>
      </c>
      <c r="N408" s="292" t="e">
        <f>#REF!</f>
        <v>#REF!</v>
      </c>
      <c r="O408" s="296" t="e">
        <f t="shared" si="9"/>
        <v>#REF!</v>
      </c>
    </row>
    <row r="409" spans="2:15" ht="17.399999999999999">
      <c r="B409" s="291" t="s">
        <v>78</v>
      </c>
      <c r="C409" s="292">
        <f>'تقرير المصروفات حسب الشهر'!G62</f>
        <v>0</v>
      </c>
      <c r="D409" s="292" t="e">
        <f>#REF!</f>
        <v>#REF!</v>
      </c>
      <c r="E409" s="292" t="e">
        <f>#REF!</f>
        <v>#REF!</v>
      </c>
      <c r="F409" s="292" t="e">
        <f>#REF!</f>
        <v>#REF!</v>
      </c>
      <c r="G409" s="292" t="e">
        <f>#REF!</f>
        <v>#REF!</v>
      </c>
      <c r="H409" s="292" t="e">
        <f>#REF!</f>
        <v>#REF!</v>
      </c>
      <c r="I409" s="292">
        <f>'تقرير المصروفات حسب الشهر'!G815</f>
        <v>0</v>
      </c>
      <c r="J409" s="292">
        <f>'تقرير المصروفات حسب الشهر'!G942</f>
        <v>0</v>
      </c>
      <c r="K409" s="292">
        <f>'تقرير المصروفات حسب الشهر'!G1069</f>
        <v>0</v>
      </c>
      <c r="L409" s="292">
        <f>IFERROR(VLOOKUP(B409,'تقرير المصروفات حسب الشهر'!$C$1143:$AD$1254,5,FALSE),0)</f>
        <v>0</v>
      </c>
      <c r="M409" s="292">
        <f>IFERROR(VLOOKUP(B409,'تقرير المصروفات حسب الشهر'!$C$1270:$AD$1381,5,FALSE),0)</f>
        <v>0</v>
      </c>
      <c r="N409" s="292" t="e">
        <f>#REF!</f>
        <v>#REF!</v>
      </c>
      <c r="O409" s="296" t="e">
        <f t="shared" si="9"/>
        <v>#REF!</v>
      </c>
    </row>
    <row r="410" spans="2:15" ht="17.399999999999999">
      <c r="B410" s="291" t="s">
        <v>79</v>
      </c>
      <c r="C410" s="292">
        <f>'تقرير المصروفات حسب الشهر'!G63</f>
        <v>0</v>
      </c>
      <c r="D410" s="292" t="e">
        <f>#REF!</f>
        <v>#REF!</v>
      </c>
      <c r="E410" s="292" t="e">
        <f>#REF!</f>
        <v>#REF!</v>
      </c>
      <c r="F410" s="292" t="e">
        <f>#REF!</f>
        <v>#REF!</v>
      </c>
      <c r="G410" s="292" t="e">
        <f>#REF!</f>
        <v>#REF!</v>
      </c>
      <c r="H410" s="292" t="e">
        <f>#REF!</f>
        <v>#REF!</v>
      </c>
      <c r="I410" s="292">
        <f>'تقرير المصروفات حسب الشهر'!G816</f>
        <v>0</v>
      </c>
      <c r="J410" s="292">
        <f>'تقرير المصروفات حسب الشهر'!G943</f>
        <v>0</v>
      </c>
      <c r="K410" s="292">
        <f>'تقرير المصروفات حسب الشهر'!G1070</f>
        <v>0</v>
      </c>
      <c r="L410" s="292">
        <f>IFERROR(VLOOKUP(B410,'تقرير المصروفات حسب الشهر'!$C$1143:$AD$1254,5,FALSE),0)</f>
        <v>0</v>
      </c>
      <c r="M410" s="292">
        <f>IFERROR(VLOOKUP(B410,'تقرير المصروفات حسب الشهر'!$C$1270:$AD$1381,5,FALSE),0)</f>
        <v>0</v>
      </c>
      <c r="N410" s="292" t="e">
        <f>#REF!</f>
        <v>#REF!</v>
      </c>
      <c r="O410" s="296" t="e">
        <f t="shared" si="9"/>
        <v>#REF!</v>
      </c>
    </row>
    <row r="411" spans="2:15" ht="17.399999999999999">
      <c r="B411" s="291" t="s">
        <v>80</v>
      </c>
      <c r="C411" s="292">
        <f>'تقرير المصروفات حسب الشهر'!G64</f>
        <v>0</v>
      </c>
      <c r="D411" s="292" t="e">
        <f>#REF!</f>
        <v>#REF!</v>
      </c>
      <c r="E411" s="292" t="e">
        <f>#REF!</f>
        <v>#REF!</v>
      </c>
      <c r="F411" s="292" t="e">
        <f>#REF!</f>
        <v>#REF!</v>
      </c>
      <c r="G411" s="292" t="e">
        <f>#REF!</f>
        <v>#REF!</v>
      </c>
      <c r="H411" s="292" t="e">
        <f>#REF!</f>
        <v>#REF!</v>
      </c>
      <c r="I411" s="292">
        <f>'تقرير المصروفات حسب الشهر'!G817</f>
        <v>0</v>
      </c>
      <c r="J411" s="292">
        <f>'تقرير المصروفات حسب الشهر'!G944</f>
        <v>0</v>
      </c>
      <c r="K411" s="292">
        <f>'تقرير المصروفات حسب الشهر'!G1071</f>
        <v>0</v>
      </c>
      <c r="L411" s="292">
        <f>IFERROR(VLOOKUP(B411,'تقرير المصروفات حسب الشهر'!$C$1143:$AD$1254,5,FALSE),0)</f>
        <v>0</v>
      </c>
      <c r="M411" s="292">
        <f>IFERROR(VLOOKUP(B411,'تقرير المصروفات حسب الشهر'!$C$1270:$AD$1381,5,FALSE),0)</f>
        <v>0</v>
      </c>
      <c r="N411" s="292" t="e">
        <f>#REF!</f>
        <v>#REF!</v>
      </c>
      <c r="O411" s="296" t="e">
        <f t="shared" si="9"/>
        <v>#REF!</v>
      </c>
    </row>
    <row r="412" spans="2:15" ht="17.399999999999999">
      <c r="B412" s="291" t="s">
        <v>81</v>
      </c>
      <c r="C412" s="292">
        <f>'تقرير المصروفات حسب الشهر'!G65</f>
        <v>0</v>
      </c>
      <c r="D412" s="292" t="e">
        <f>#REF!</f>
        <v>#REF!</v>
      </c>
      <c r="E412" s="292" t="e">
        <f>#REF!</f>
        <v>#REF!</v>
      </c>
      <c r="F412" s="292" t="e">
        <f>#REF!</f>
        <v>#REF!</v>
      </c>
      <c r="G412" s="292" t="e">
        <f>#REF!</f>
        <v>#REF!</v>
      </c>
      <c r="H412" s="292" t="e">
        <f>#REF!</f>
        <v>#REF!</v>
      </c>
      <c r="I412" s="292">
        <f>'تقرير المصروفات حسب الشهر'!G818</f>
        <v>0</v>
      </c>
      <c r="J412" s="292">
        <f>'تقرير المصروفات حسب الشهر'!G945</f>
        <v>0</v>
      </c>
      <c r="K412" s="292">
        <f>'تقرير المصروفات حسب الشهر'!G1072</f>
        <v>0</v>
      </c>
      <c r="L412" s="292">
        <f>IFERROR(VLOOKUP(B412,'تقرير المصروفات حسب الشهر'!$C$1143:$AD$1254,5,FALSE),0)</f>
        <v>0</v>
      </c>
      <c r="M412" s="292">
        <f>IFERROR(VLOOKUP(B412,'تقرير المصروفات حسب الشهر'!$C$1270:$AD$1381,5,FALSE),0)</f>
        <v>0</v>
      </c>
      <c r="N412" s="292" t="e">
        <f>#REF!</f>
        <v>#REF!</v>
      </c>
      <c r="O412" s="296" t="e">
        <f t="shared" si="9"/>
        <v>#REF!</v>
      </c>
    </row>
    <row r="413" spans="2:15" ht="17.399999999999999">
      <c r="B413" s="291" t="s">
        <v>82</v>
      </c>
      <c r="C413" s="292">
        <f>'تقرير المصروفات حسب الشهر'!G66</f>
        <v>0</v>
      </c>
      <c r="D413" s="292" t="e">
        <f>#REF!</f>
        <v>#REF!</v>
      </c>
      <c r="E413" s="292" t="e">
        <f>#REF!</f>
        <v>#REF!</v>
      </c>
      <c r="F413" s="292" t="e">
        <f>#REF!</f>
        <v>#REF!</v>
      </c>
      <c r="G413" s="292" t="e">
        <f>#REF!</f>
        <v>#REF!</v>
      </c>
      <c r="H413" s="292" t="e">
        <f>#REF!</f>
        <v>#REF!</v>
      </c>
      <c r="I413" s="292">
        <f>'تقرير المصروفات حسب الشهر'!G819</f>
        <v>0</v>
      </c>
      <c r="J413" s="292">
        <f>'تقرير المصروفات حسب الشهر'!G946</f>
        <v>0</v>
      </c>
      <c r="K413" s="292">
        <f>'تقرير المصروفات حسب الشهر'!G1073</f>
        <v>0</v>
      </c>
      <c r="L413" s="292">
        <f>IFERROR(VLOOKUP(B413,'تقرير المصروفات حسب الشهر'!$C$1143:$AD$1254,5,FALSE),0)</f>
        <v>0</v>
      </c>
      <c r="M413" s="292">
        <f>IFERROR(VLOOKUP(B413,'تقرير المصروفات حسب الشهر'!$C$1270:$AD$1381,5,FALSE),0)</f>
        <v>0</v>
      </c>
      <c r="N413" s="292" t="e">
        <f>#REF!</f>
        <v>#REF!</v>
      </c>
      <c r="O413" s="296" t="e">
        <f t="shared" si="9"/>
        <v>#REF!</v>
      </c>
    </row>
    <row r="414" spans="2:15" ht="17.399999999999999">
      <c r="B414" s="291" t="s">
        <v>83</v>
      </c>
      <c r="C414" s="292">
        <f>'تقرير المصروفات حسب الشهر'!G67</f>
        <v>0</v>
      </c>
      <c r="D414" s="292" t="e">
        <f>#REF!</f>
        <v>#REF!</v>
      </c>
      <c r="E414" s="292" t="e">
        <f>#REF!</f>
        <v>#REF!</v>
      </c>
      <c r="F414" s="292" t="e">
        <f>#REF!</f>
        <v>#REF!</v>
      </c>
      <c r="G414" s="292" t="e">
        <f>#REF!</f>
        <v>#REF!</v>
      </c>
      <c r="H414" s="292" t="e">
        <f>#REF!</f>
        <v>#REF!</v>
      </c>
      <c r="I414" s="292">
        <f>'تقرير المصروفات حسب الشهر'!G820</f>
        <v>0</v>
      </c>
      <c r="J414" s="292">
        <f>'تقرير المصروفات حسب الشهر'!G947</f>
        <v>0</v>
      </c>
      <c r="K414" s="292">
        <f>'تقرير المصروفات حسب الشهر'!G1074</f>
        <v>0</v>
      </c>
      <c r="L414" s="292">
        <f>IFERROR(VLOOKUP(B414,'تقرير المصروفات حسب الشهر'!$C$1143:$AD$1254,5,FALSE),0)</f>
        <v>0</v>
      </c>
      <c r="M414" s="292">
        <f>IFERROR(VLOOKUP(B414,'تقرير المصروفات حسب الشهر'!$C$1270:$AD$1381,5,FALSE),0)</f>
        <v>0</v>
      </c>
      <c r="N414" s="292" t="e">
        <f>#REF!</f>
        <v>#REF!</v>
      </c>
      <c r="O414" s="296" t="e">
        <f t="shared" si="9"/>
        <v>#REF!</v>
      </c>
    </row>
    <row r="415" spans="2:15" ht="17.399999999999999">
      <c r="B415" s="291" t="s">
        <v>84</v>
      </c>
      <c r="C415" s="292">
        <f>'تقرير المصروفات حسب الشهر'!G68</f>
        <v>0</v>
      </c>
      <c r="D415" s="292" t="e">
        <f>#REF!</f>
        <v>#REF!</v>
      </c>
      <c r="E415" s="292" t="e">
        <f>#REF!</f>
        <v>#REF!</v>
      </c>
      <c r="F415" s="292" t="e">
        <f>#REF!</f>
        <v>#REF!</v>
      </c>
      <c r="G415" s="292" t="e">
        <f>#REF!</f>
        <v>#REF!</v>
      </c>
      <c r="H415" s="292" t="e">
        <f>#REF!</f>
        <v>#REF!</v>
      </c>
      <c r="I415" s="292">
        <f>'تقرير المصروفات حسب الشهر'!G821</f>
        <v>0</v>
      </c>
      <c r="J415" s="292">
        <f>'تقرير المصروفات حسب الشهر'!G948</f>
        <v>300</v>
      </c>
      <c r="K415" s="292">
        <f>'تقرير المصروفات حسب الشهر'!G1075</f>
        <v>0</v>
      </c>
      <c r="L415" s="292">
        <f>IFERROR(VLOOKUP(B415,'تقرير المصروفات حسب الشهر'!$C$1143:$AD$1254,5,FALSE),0)</f>
        <v>0</v>
      </c>
      <c r="M415" s="292">
        <f>IFERROR(VLOOKUP(B415,'تقرير المصروفات حسب الشهر'!$C$1270:$AD$1381,5,FALSE),0)</f>
        <v>0</v>
      </c>
      <c r="N415" s="292" t="e">
        <f>#REF!</f>
        <v>#REF!</v>
      </c>
      <c r="O415" s="296" t="e">
        <f t="shared" si="9"/>
        <v>#REF!</v>
      </c>
    </row>
    <row r="416" spans="2:15" ht="17.399999999999999">
      <c r="B416" s="291" t="s">
        <v>85</v>
      </c>
      <c r="C416" s="292">
        <f>'تقرير المصروفات حسب الشهر'!G69</f>
        <v>216</v>
      </c>
      <c r="D416" s="292" t="e">
        <f>#REF!</f>
        <v>#REF!</v>
      </c>
      <c r="E416" s="292" t="e">
        <f>#REF!</f>
        <v>#REF!</v>
      </c>
      <c r="F416" s="292" t="e">
        <f>#REF!</f>
        <v>#REF!</v>
      </c>
      <c r="G416" s="292" t="e">
        <f>#REF!</f>
        <v>#REF!</v>
      </c>
      <c r="H416" s="292" t="e">
        <f>#REF!</f>
        <v>#REF!</v>
      </c>
      <c r="I416" s="292">
        <f>'تقرير المصروفات حسب الشهر'!G822</f>
        <v>0</v>
      </c>
      <c r="J416" s="292">
        <f>'تقرير المصروفات حسب الشهر'!G949</f>
        <v>0</v>
      </c>
      <c r="K416" s="292">
        <f>'تقرير المصروفات حسب الشهر'!G1076</f>
        <v>0</v>
      </c>
      <c r="L416" s="292">
        <f>IFERROR(VLOOKUP(B416,'تقرير المصروفات حسب الشهر'!$C$1143:$AD$1254,5,FALSE),0)</f>
        <v>10184</v>
      </c>
      <c r="M416" s="292">
        <f>IFERROR(VLOOKUP(B416,'تقرير المصروفات حسب الشهر'!$C$1270:$AD$1381,5,FALSE),0)</f>
        <v>0</v>
      </c>
      <c r="N416" s="292" t="e">
        <f>#REF!</f>
        <v>#REF!</v>
      </c>
      <c r="O416" s="296" t="e">
        <f t="shared" si="9"/>
        <v>#REF!</v>
      </c>
    </row>
    <row r="417" spans="2:15" ht="17.399999999999999">
      <c r="B417" s="291" t="s">
        <v>86</v>
      </c>
      <c r="C417" s="292">
        <f>'تقرير المصروفات حسب الشهر'!G70</f>
        <v>0</v>
      </c>
      <c r="D417" s="292" t="e">
        <f>#REF!</f>
        <v>#REF!</v>
      </c>
      <c r="E417" s="292" t="e">
        <f>#REF!</f>
        <v>#REF!</v>
      </c>
      <c r="F417" s="292" t="e">
        <f>#REF!</f>
        <v>#REF!</v>
      </c>
      <c r="G417" s="292" t="e">
        <f>#REF!</f>
        <v>#REF!</v>
      </c>
      <c r="H417" s="292" t="e">
        <f>#REF!</f>
        <v>#REF!</v>
      </c>
      <c r="I417" s="292">
        <f>'تقرير المصروفات حسب الشهر'!G823</f>
        <v>0</v>
      </c>
      <c r="J417" s="292">
        <f>'تقرير المصروفات حسب الشهر'!G950</f>
        <v>0</v>
      </c>
      <c r="K417" s="292">
        <f>'تقرير المصروفات حسب الشهر'!G1077</f>
        <v>0</v>
      </c>
      <c r="L417" s="292">
        <f>IFERROR(VLOOKUP(B417,'تقرير المصروفات حسب الشهر'!$C$1143:$AD$1254,5,FALSE),0)</f>
        <v>0</v>
      </c>
      <c r="M417" s="292">
        <f>IFERROR(VLOOKUP(B417,'تقرير المصروفات حسب الشهر'!$C$1270:$AD$1381,5,FALSE),0)</f>
        <v>0</v>
      </c>
      <c r="N417" s="292" t="e">
        <f>#REF!</f>
        <v>#REF!</v>
      </c>
      <c r="O417" s="296" t="e">
        <f t="shared" si="9"/>
        <v>#REF!</v>
      </c>
    </row>
    <row r="418" spans="2:15" ht="17.399999999999999">
      <c r="B418" s="291" t="s">
        <v>87</v>
      </c>
      <c r="C418" s="292">
        <f>'تقرير المصروفات حسب الشهر'!G71</f>
        <v>0</v>
      </c>
      <c r="D418" s="292" t="e">
        <f>#REF!</f>
        <v>#REF!</v>
      </c>
      <c r="E418" s="292" t="e">
        <f>#REF!</f>
        <v>#REF!</v>
      </c>
      <c r="F418" s="292" t="e">
        <f>#REF!</f>
        <v>#REF!</v>
      </c>
      <c r="G418" s="292" t="e">
        <f>#REF!</f>
        <v>#REF!</v>
      </c>
      <c r="H418" s="292" t="e">
        <f>#REF!</f>
        <v>#REF!</v>
      </c>
      <c r="I418" s="292">
        <f>'تقرير المصروفات حسب الشهر'!G824</f>
        <v>0</v>
      </c>
      <c r="J418" s="292">
        <f>'تقرير المصروفات حسب الشهر'!G951</f>
        <v>0</v>
      </c>
      <c r="K418" s="292">
        <f>'تقرير المصروفات حسب الشهر'!G1078</f>
        <v>0</v>
      </c>
      <c r="L418" s="292">
        <f>IFERROR(VLOOKUP(B418,'تقرير المصروفات حسب الشهر'!$C$1143:$AD$1254,5,FALSE),0)</f>
        <v>0</v>
      </c>
      <c r="M418" s="292">
        <f>IFERROR(VLOOKUP(B418,'تقرير المصروفات حسب الشهر'!$C$1270:$AD$1381,5,FALSE),0)</f>
        <v>0</v>
      </c>
      <c r="N418" s="292" t="e">
        <f>#REF!</f>
        <v>#REF!</v>
      </c>
      <c r="O418" s="296" t="e">
        <f t="shared" si="9"/>
        <v>#REF!</v>
      </c>
    </row>
    <row r="419" spans="2:15" ht="17.399999999999999">
      <c r="B419" s="291" t="s">
        <v>88</v>
      </c>
      <c r="C419" s="292">
        <f>'تقرير المصروفات حسب الشهر'!G72</f>
        <v>0</v>
      </c>
      <c r="D419" s="292" t="e">
        <f>#REF!</f>
        <v>#REF!</v>
      </c>
      <c r="E419" s="292" t="e">
        <f>#REF!</f>
        <v>#REF!</v>
      </c>
      <c r="F419" s="292" t="e">
        <f>#REF!</f>
        <v>#REF!</v>
      </c>
      <c r="G419" s="292" t="e">
        <f>#REF!</f>
        <v>#REF!</v>
      </c>
      <c r="H419" s="292" t="e">
        <f>#REF!</f>
        <v>#REF!</v>
      </c>
      <c r="I419" s="292">
        <f>'تقرير المصروفات حسب الشهر'!G825</f>
        <v>0</v>
      </c>
      <c r="J419" s="292">
        <f>'تقرير المصروفات حسب الشهر'!G952</f>
        <v>0</v>
      </c>
      <c r="K419" s="292">
        <f>'تقرير المصروفات حسب الشهر'!G1079</f>
        <v>0</v>
      </c>
      <c r="L419" s="292">
        <f>IFERROR(VLOOKUP(B419,'تقرير المصروفات حسب الشهر'!$C$1143:$AD$1254,5,FALSE),0)</f>
        <v>0</v>
      </c>
      <c r="M419" s="292">
        <f>IFERROR(VLOOKUP(B419,'تقرير المصروفات حسب الشهر'!$C$1270:$AD$1381,5,FALSE),0)</f>
        <v>0</v>
      </c>
      <c r="N419" s="292" t="e">
        <f>#REF!</f>
        <v>#REF!</v>
      </c>
      <c r="O419" s="296" t="e">
        <f t="shared" si="9"/>
        <v>#REF!</v>
      </c>
    </row>
    <row r="420" spans="2:15" ht="17.399999999999999">
      <c r="B420" s="291" t="s">
        <v>89</v>
      </c>
      <c r="C420" s="292">
        <f>'تقرير المصروفات حسب الشهر'!G73</f>
        <v>0</v>
      </c>
      <c r="D420" s="292" t="e">
        <f>#REF!</f>
        <v>#REF!</v>
      </c>
      <c r="E420" s="292" t="e">
        <f>#REF!</f>
        <v>#REF!</v>
      </c>
      <c r="F420" s="292" t="e">
        <f>#REF!</f>
        <v>#REF!</v>
      </c>
      <c r="G420" s="292" t="e">
        <f>#REF!</f>
        <v>#REF!</v>
      </c>
      <c r="H420" s="292" t="e">
        <f>#REF!</f>
        <v>#REF!</v>
      </c>
      <c r="I420" s="292">
        <f>'تقرير المصروفات حسب الشهر'!G826</f>
        <v>979</v>
      </c>
      <c r="J420" s="292">
        <f>'تقرير المصروفات حسب الشهر'!G953</f>
        <v>2514</v>
      </c>
      <c r="K420" s="292">
        <f>'تقرير المصروفات حسب الشهر'!G1080</f>
        <v>1825</v>
      </c>
      <c r="L420" s="292">
        <f>IFERROR(VLOOKUP(B420,'تقرير المصروفات حسب الشهر'!$C$1143:$AD$1254,5,FALSE),0)</f>
        <v>0</v>
      </c>
      <c r="M420" s="292">
        <f>IFERROR(VLOOKUP(B420,'تقرير المصروفات حسب الشهر'!$C$1270:$AD$1381,5,FALSE),0)</f>
        <v>0</v>
      </c>
      <c r="N420" s="292" t="e">
        <f>#REF!</f>
        <v>#REF!</v>
      </c>
      <c r="O420" s="296" t="e">
        <f t="shared" si="9"/>
        <v>#REF!</v>
      </c>
    </row>
    <row r="421" spans="2:15" ht="17.399999999999999">
      <c r="B421" s="291" t="s">
        <v>33</v>
      </c>
      <c r="C421" s="292">
        <f>'تقرير المصروفات حسب الشهر'!G74</f>
        <v>1735</v>
      </c>
      <c r="D421" s="292" t="e">
        <f>#REF!</f>
        <v>#REF!</v>
      </c>
      <c r="E421" s="292" t="e">
        <f>#REF!</f>
        <v>#REF!</v>
      </c>
      <c r="F421" s="292" t="e">
        <f>#REF!</f>
        <v>#REF!</v>
      </c>
      <c r="G421" s="292" t="e">
        <f>#REF!</f>
        <v>#REF!</v>
      </c>
      <c r="H421" s="292" t="e">
        <f>#REF!</f>
        <v>#REF!</v>
      </c>
      <c r="I421" s="292">
        <f>'تقرير المصروفات حسب الشهر'!G827</f>
        <v>0</v>
      </c>
      <c r="J421" s="292">
        <f>'تقرير المصروفات حسب الشهر'!G954</f>
        <v>0</v>
      </c>
      <c r="K421" s="292">
        <f>'تقرير المصروفات حسب الشهر'!G1081</f>
        <v>0</v>
      </c>
      <c r="L421" s="292">
        <f>IFERROR(VLOOKUP(B421,'تقرير المصروفات حسب الشهر'!$C$1143:$AD$1254,5,FALSE),0)</f>
        <v>1335.76</v>
      </c>
      <c r="M421" s="292">
        <f>IFERROR(VLOOKUP(B421,'تقرير المصروفات حسب الشهر'!$C$1270:$AD$1381,5,FALSE),0)</f>
        <v>1105.82</v>
      </c>
      <c r="N421" s="292" t="e">
        <f>#REF!</f>
        <v>#REF!</v>
      </c>
      <c r="O421" s="296" t="e">
        <f t="shared" si="9"/>
        <v>#REF!</v>
      </c>
    </row>
    <row r="422" spans="2:15" ht="17.399999999999999">
      <c r="B422" s="291" t="s">
        <v>90</v>
      </c>
      <c r="C422" s="292">
        <f>'تقرير المصروفات حسب الشهر'!G75</f>
        <v>0</v>
      </c>
      <c r="D422" s="292" t="e">
        <f>#REF!</f>
        <v>#REF!</v>
      </c>
      <c r="E422" s="292" t="e">
        <f>#REF!</f>
        <v>#REF!</v>
      </c>
      <c r="F422" s="292" t="e">
        <f>#REF!</f>
        <v>#REF!</v>
      </c>
      <c r="G422" s="292" t="e">
        <f>#REF!</f>
        <v>#REF!</v>
      </c>
      <c r="H422" s="292" t="e">
        <f>#REF!</f>
        <v>#REF!</v>
      </c>
      <c r="I422" s="292">
        <f>'تقرير المصروفات حسب الشهر'!G828</f>
        <v>0</v>
      </c>
      <c r="J422" s="292">
        <f>'تقرير المصروفات حسب الشهر'!G955</f>
        <v>0</v>
      </c>
      <c r="K422" s="292">
        <f>'تقرير المصروفات حسب الشهر'!G1082</f>
        <v>0</v>
      </c>
      <c r="L422" s="292">
        <f>IFERROR(VLOOKUP(B422,'تقرير المصروفات حسب الشهر'!$C$1143:$AD$1254,5,FALSE),0)</f>
        <v>0</v>
      </c>
      <c r="M422" s="292">
        <f>IFERROR(VLOOKUP(B422,'تقرير المصروفات حسب الشهر'!$C$1270:$AD$1381,5,FALSE),0)</f>
        <v>0</v>
      </c>
      <c r="N422" s="292" t="e">
        <f>#REF!</f>
        <v>#REF!</v>
      </c>
      <c r="O422" s="296" t="e">
        <f t="shared" ref="O422:O465" si="10">SUM(C422:N422)</f>
        <v>#REF!</v>
      </c>
    </row>
    <row r="423" spans="2:15" ht="17.399999999999999">
      <c r="B423" s="291" t="s">
        <v>91</v>
      </c>
      <c r="C423" s="292">
        <f>'تقرير المصروفات حسب الشهر'!G76</f>
        <v>650</v>
      </c>
      <c r="D423" s="292" t="e">
        <f>#REF!</f>
        <v>#REF!</v>
      </c>
      <c r="E423" s="292" t="e">
        <f>#REF!</f>
        <v>#REF!</v>
      </c>
      <c r="F423" s="292" t="e">
        <f>#REF!</f>
        <v>#REF!</v>
      </c>
      <c r="G423" s="292" t="e">
        <f>#REF!</f>
        <v>#REF!</v>
      </c>
      <c r="H423" s="292" t="e">
        <f>#REF!</f>
        <v>#REF!</v>
      </c>
      <c r="I423" s="292">
        <f>'تقرير المصروفات حسب الشهر'!G829</f>
        <v>0</v>
      </c>
      <c r="J423" s="292">
        <f>'تقرير المصروفات حسب الشهر'!G956</f>
        <v>0</v>
      </c>
      <c r="K423" s="292">
        <f>'تقرير المصروفات حسب الشهر'!G1083</f>
        <v>0</v>
      </c>
      <c r="L423" s="292">
        <f>IFERROR(VLOOKUP(B423,'تقرير المصروفات حسب الشهر'!$C$1143:$AD$1254,5,FALSE),0)</f>
        <v>0</v>
      </c>
      <c r="M423" s="292">
        <f>IFERROR(VLOOKUP(B423,'تقرير المصروفات حسب الشهر'!$C$1270:$AD$1381,5,FALSE),0)</f>
        <v>0</v>
      </c>
      <c r="N423" s="292" t="e">
        <f>#REF!</f>
        <v>#REF!</v>
      </c>
      <c r="O423" s="296" t="e">
        <f t="shared" si="10"/>
        <v>#REF!</v>
      </c>
    </row>
    <row r="424" spans="2:15" ht="17.399999999999999">
      <c r="B424" s="291" t="s">
        <v>92</v>
      </c>
      <c r="C424" s="292">
        <f>'تقرير المصروفات حسب الشهر'!G77</f>
        <v>0</v>
      </c>
      <c r="D424" s="292" t="e">
        <f>#REF!</f>
        <v>#REF!</v>
      </c>
      <c r="E424" s="292" t="e">
        <f>#REF!</f>
        <v>#REF!</v>
      </c>
      <c r="F424" s="292" t="e">
        <f>#REF!</f>
        <v>#REF!</v>
      </c>
      <c r="G424" s="292" t="e">
        <f>#REF!</f>
        <v>#REF!</v>
      </c>
      <c r="H424" s="292" t="e">
        <f>#REF!</f>
        <v>#REF!</v>
      </c>
      <c r="I424" s="292">
        <f>'تقرير المصروفات حسب الشهر'!G830</f>
        <v>0</v>
      </c>
      <c r="J424" s="292">
        <f>'تقرير المصروفات حسب الشهر'!G957</f>
        <v>0</v>
      </c>
      <c r="K424" s="292">
        <f>'تقرير المصروفات حسب الشهر'!G1084</f>
        <v>0</v>
      </c>
      <c r="L424" s="292">
        <f>IFERROR(VLOOKUP(B424,'تقرير المصروفات حسب الشهر'!$C$1143:$AD$1254,5,FALSE),0)</f>
        <v>0</v>
      </c>
      <c r="M424" s="292">
        <f>IFERROR(VLOOKUP(B424,'تقرير المصروفات حسب الشهر'!$C$1270:$AD$1381,5,FALSE),0)</f>
        <v>0</v>
      </c>
      <c r="N424" s="292" t="e">
        <f>#REF!</f>
        <v>#REF!</v>
      </c>
      <c r="O424" s="296" t="e">
        <f t="shared" si="10"/>
        <v>#REF!</v>
      </c>
    </row>
    <row r="425" spans="2:15" ht="17.399999999999999">
      <c r="B425" s="291" t="s">
        <v>93</v>
      </c>
      <c r="C425" s="292">
        <f>'تقرير المصروفات حسب الشهر'!G78</f>
        <v>0</v>
      </c>
      <c r="D425" s="292" t="e">
        <f>#REF!</f>
        <v>#REF!</v>
      </c>
      <c r="E425" s="292" t="e">
        <f>#REF!</f>
        <v>#REF!</v>
      </c>
      <c r="F425" s="292" t="e">
        <f>#REF!</f>
        <v>#REF!</v>
      </c>
      <c r="G425" s="292" t="e">
        <f>#REF!</f>
        <v>#REF!</v>
      </c>
      <c r="H425" s="292" t="e">
        <f>#REF!</f>
        <v>#REF!</v>
      </c>
      <c r="I425" s="292">
        <f>'تقرير المصروفات حسب الشهر'!G831</f>
        <v>6000</v>
      </c>
      <c r="J425" s="292">
        <f>'تقرير المصروفات حسب الشهر'!G958</f>
        <v>6120</v>
      </c>
      <c r="K425" s="292">
        <f>'تقرير المصروفات حسب الشهر'!G1085</f>
        <v>6500</v>
      </c>
      <c r="L425" s="292">
        <f>IFERROR(VLOOKUP(B425,'تقرير المصروفات حسب الشهر'!$C$1143:$AD$1254,5,FALSE),0)</f>
        <v>0</v>
      </c>
      <c r="M425" s="292">
        <f>IFERROR(VLOOKUP(B425,'تقرير المصروفات حسب الشهر'!$C$1270:$AD$1381,5,FALSE),0)</f>
        <v>0</v>
      </c>
      <c r="N425" s="292" t="e">
        <f>#REF!</f>
        <v>#REF!</v>
      </c>
      <c r="O425" s="296" t="e">
        <f t="shared" si="10"/>
        <v>#REF!</v>
      </c>
    </row>
    <row r="426" spans="2:15" ht="17.399999999999999">
      <c r="B426" s="291" t="s">
        <v>94</v>
      </c>
      <c r="C426" s="292">
        <f>'تقرير المصروفات حسب الشهر'!G79</f>
        <v>42000</v>
      </c>
      <c r="D426" s="292" t="e">
        <f>#REF!</f>
        <v>#REF!</v>
      </c>
      <c r="E426" s="292" t="e">
        <f>#REF!</f>
        <v>#REF!</v>
      </c>
      <c r="F426" s="292" t="e">
        <f>#REF!</f>
        <v>#REF!</v>
      </c>
      <c r="G426" s="292" t="e">
        <f>#REF!</f>
        <v>#REF!</v>
      </c>
      <c r="H426" s="292" t="e">
        <f>#REF!</f>
        <v>#REF!</v>
      </c>
      <c r="I426" s="292">
        <f>'تقرير المصروفات حسب الشهر'!G832</f>
        <v>1396</v>
      </c>
      <c r="J426" s="292">
        <f>'تقرير المصروفات حسب الشهر'!G959</f>
        <v>0</v>
      </c>
      <c r="K426" s="292">
        <f>'تقرير المصروفات حسب الشهر'!G1086</f>
        <v>0</v>
      </c>
      <c r="L426" s="292">
        <f>IFERROR(VLOOKUP(B426,'تقرير المصروفات حسب الشهر'!$C$1143:$AD$1254,5,FALSE),0)</f>
        <v>19465</v>
      </c>
      <c r="M426" s="292">
        <f>IFERROR(VLOOKUP(B426,'تقرير المصروفات حسب الشهر'!$C$1270:$AD$1381,5,FALSE),0)</f>
        <v>6600</v>
      </c>
      <c r="N426" s="292" t="e">
        <f>#REF!</f>
        <v>#REF!</v>
      </c>
      <c r="O426" s="296" t="e">
        <f t="shared" si="10"/>
        <v>#REF!</v>
      </c>
    </row>
    <row r="427" spans="2:15" ht="17.399999999999999">
      <c r="B427" s="291" t="s">
        <v>95</v>
      </c>
      <c r="C427" s="292">
        <f>'تقرير المصروفات حسب الشهر'!G80</f>
        <v>59.49</v>
      </c>
      <c r="D427" s="292" t="e">
        <f>#REF!</f>
        <v>#REF!</v>
      </c>
      <c r="E427" s="292" t="e">
        <f>#REF!</f>
        <v>#REF!</v>
      </c>
      <c r="F427" s="292" t="e">
        <f>#REF!</f>
        <v>#REF!</v>
      </c>
      <c r="G427" s="292" t="e">
        <f>#REF!</f>
        <v>#REF!</v>
      </c>
      <c r="H427" s="292" t="e">
        <f>#REF!</f>
        <v>#REF!</v>
      </c>
      <c r="I427" s="292">
        <f>'تقرير المصروفات حسب الشهر'!G833</f>
        <v>668</v>
      </c>
      <c r="J427" s="292">
        <f>'تقرير المصروفات حسب الشهر'!G960</f>
        <v>0</v>
      </c>
      <c r="K427" s="292">
        <f>'تقرير المصروفات حسب الشهر'!G1087</f>
        <v>0</v>
      </c>
      <c r="L427" s="292">
        <f>IFERROR(VLOOKUP(B427,'تقرير المصروفات حسب الشهر'!$C$1143:$AD$1254,5,FALSE),0)</f>
        <v>1150</v>
      </c>
      <c r="M427" s="292">
        <f>IFERROR(VLOOKUP(B427,'تقرير المصروفات حسب الشهر'!$C$1270:$AD$1381,5,FALSE),0)</f>
        <v>0</v>
      </c>
      <c r="N427" s="292" t="e">
        <f>#REF!</f>
        <v>#REF!</v>
      </c>
      <c r="O427" s="296" t="e">
        <f t="shared" si="10"/>
        <v>#REF!</v>
      </c>
    </row>
    <row r="428" spans="2:15" ht="17.399999999999999">
      <c r="B428" s="291" t="s">
        <v>96</v>
      </c>
      <c r="C428" s="292">
        <f>'تقرير المصروفات حسب الشهر'!G81</f>
        <v>0</v>
      </c>
      <c r="D428" s="292" t="e">
        <f>#REF!</f>
        <v>#REF!</v>
      </c>
      <c r="E428" s="292" t="e">
        <f>#REF!</f>
        <v>#REF!</v>
      </c>
      <c r="F428" s="292" t="e">
        <f>#REF!</f>
        <v>#REF!</v>
      </c>
      <c r="G428" s="292" t="e">
        <f>#REF!</f>
        <v>#REF!</v>
      </c>
      <c r="H428" s="292" t="e">
        <f>#REF!</f>
        <v>#REF!</v>
      </c>
      <c r="I428" s="292">
        <f>'تقرير المصروفات حسب الشهر'!G834</f>
        <v>0</v>
      </c>
      <c r="J428" s="292">
        <f>'تقرير المصروفات حسب الشهر'!G961</f>
        <v>0</v>
      </c>
      <c r="K428" s="292">
        <f>'تقرير المصروفات حسب الشهر'!G1088</f>
        <v>0</v>
      </c>
      <c r="L428" s="292">
        <f>IFERROR(VLOOKUP(B428,'تقرير المصروفات حسب الشهر'!$C$1143:$AD$1254,5,FALSE),0)</f>
        <v>0</v>
      </c>
      <c r="M428" s="292">
        <f>IFERROR(VLOOKUP(B428,'تقرير المصروفات حسب الشهر'!$C$1270:$AD$1381,5,FALSE),0)</f>
        <v>0</v>
      </c>
      <c r="N428" s="292" t="e">
        <f>#REF!</f>
        <v>#REF!</v>
      </c>
      <c r="O428" s="296" t="e">
        <f t="shared" si="10"/>
        <v>#REF!</v>
      </c>
    </row>
    <row r="429" spans="2:15" ht="17.399999999999999">
      <c r="B429" s="291" t="s">
        <v>97</v>
      </c>
      <c r="C429" s="292">
        <f>'تقرير المصروفات حسب الشهر'!G82</f>
        <v>1174.2</v>
      </c>
      <c r="D429" s="292" t="e">
        <f>#REF!</f>
        <v>#REF!</v>
      </c>
      <c r="E429" s="292" t="e">
        <f>#REF!</f>
        <v>#REF!</v>
      </c>
      <c r="F429" s="292" t="e">
        <f>#REF!</f>
        <v>#REF!</v>
      </c>
      <c r="G429" s="292" t="e">
        <f>#REF!</f>
        <v>#REF!</v>
      </c>
      <c r="H429" s="292" t="e">
        <f>#REF!</f>
        <v>#REF!</v>
      </c>
      <c r="I429" s="292">
        <f>'تقرير المصروفات حسب الشهر'!G835</f>
        <v>0</v>
      </c>
      <c r="J429" s="292">
        <f>'تقرير المصروفات حسب الشهر'!G962</f>
        <v>0</v>
      </c>
      <c r="K429" s="292">
        <f>'تقرير المصروفات حسب الشهر'!G1089</f>
        <v>2130</v>
      </c>
      <c r="L429" s="292">
        <f>IFERROR(VLOOKUP(B429,'تقرير المصروفات حسب الشهر'!$C$1143:$AD$1254,5,FALSE),0)</f>
        <v>101</v>
      </c>
      <c r="M429" s="292">
        <f>IFERROR(VLOOKUP(B429,'تقرير المصروفات حسب الشهر'!$C$1270:$AD$1381,5,FALSE),0)</f>
        <v>12633.39</v>
      </c>
      <c r="N429" s="292" t="e">
        <f>#REF!</f>
        <v>#REF!</v>
      </c>
      <c r="O429" s="296" t="e">
        <f t="shared" si="10"/>
        <v>#REF!</v>
      </c>
    </row>
    <row r="430" spans="2:15" ht="17.399999999999999">
      <c r="B430" s="291" t="s">
        <v>192</v>
      </c>
      <c r="C430" s="292">
        <f>'تقرير المصروفات حسب الشهر'!G83</f>
        <v>0</v>
      </c>
      <c r="D430" s="292" t="e">
        <f>#REF!</f>
        <v>#REF!</v>
      </c>
      <c r="E430" s="292" t="e">
        <f>#REF!</f>
        <v>#REF!</v>
      </c>
      <c r="F430" s="292" t="e">
        <f>#REF!</f>
        <v>#REF!</v>
      </c>
      <c r="G430" s="292" t="e">
        <f>#REF!</f>
        <v>#REF!</v>
      </c>
      <c r="H430" s="292" t="e">
        <f>#REF!</f>
        <v>#REF!</v>
      </c>
      <c r="I430" s="292">
        <f>'تقرير المصروفات حسب الشهر'!G836</f>
        <v>0</v>
      </c>
      <c r="J430" s="292">
        <f>'تقرير المصروفات حسب الشهر'!G963</f>
        <v>0</v>
      </c>
      <c r="K430" s="292">
        <f>'تقرير المصروفات حسب الشهر'!G1090</f>
        <v>0</v>
      </c>
      <c r="L430" s="292">
        <f>IFERROR(VLOOKUP(B430,'تقرير المصروفات حسب الشهر'!$C$1143:$AD$1254,5,FALSE),0)</f>
        <v>1065</v>
      </c>
      <c r="M430" s="292">
        <f>IFERROR(VLOOKUP(B430,'تقرير المصروفات حسب الشهر'!$C$1270:$AD$1381,5,FALSE),0)</f>
        <v>1065</v>
      </c>
      <c r="N430" s="292" t="e">
        <f>#REF!</f>
        <v>#REF!</v>
      </c>
      <c r="O430" s="296" t="e">
        <f t="shared" si="10"/>
        <v>#REF!</v>
      </c>
    </row>
    <row r="431" spans="2:15" ht="17.399999999999999">
      <c r="B431" s="291" t="s">
        <v>98</v>
      </c>
      <c r="C431" s="292">
        <f>'تقرير المصروفات حسب الشهر'!G84</f>
        <v>0</v>
      </c>
      <c r="D431" s="292" t="e">
        <f>#REF!</f>
        <v>#REF!</v>
      </c>
      <c r="E431" s="292" t="e">
        <f>#REF!</f>
        <v>#REF!</v>
      </c>
      <c r="F431" s="292" t="e">
        <f>#REF!</f>
        <v>#REF!</v>
      </c>
      <c r="G431" s="292" t="e">
        <f>#REF!</f>
        <v>#REF!</v>
      </c>
      <c r="H431" s="292" t="e">
        <f>#REF!</f>
        <v>#REF!</v>
      </c>
      <c r="I431" s="292">
        <f>'تقرير المصروفات حسب الشهر'!G837</f>
        <v>0</v>
      </c>
      <c r="J431" s="292">
        <f>'تقرير المصروفات حسب الشهر'!G964</f>
        <v>0</v>
      </c>
      <c r="K431" s="292">
        <f>'تقرير المصروفات حسب الشهر'!G1091</f>
        <v>0</v>
      </c>
      <c r="L431" s="292">
        <f>IFERROR(VLOOKUP(B431,'تقرير المصروفات حسب الشهر'!$C$1143:$AD$1254,5,FALSE),0)</f>
        <v>0</v>
      </c>
      <c r="M431" s="292">
        <f>IFERROR(VLOOKUP(B431,'تقرير المصروفات حسب الشهر'!$C$1270:$AD$1381,5,FALSE),0)</f>
        <v>0</v>
      </c>
      <c r="N431" s="292" t="e">
        <f>#REF!</f>
        <v>#REF!</v>
      </c>
      <c r="O431" s="296" t="e">
        <f t="shared" si="10"/>
        <v>#REF!</v>
      </c>
    </row>
    <row r="432" spans="2:15" ht="17.399999999999999">
      <c r="B432" s="291" t="s">
        <v>99</v>
      </c>
      <c r="C432" s="292">
        <f>'تقرير المصروفات حسب الشهر'!G85</f>
        <v>0</v>
      </c>
      <c r="D432" s="292" t="e">
        <f>#REF!</f>
        <v>#REF!</v>
      </c>
      <c r="E432" s="292" t="e">
        <f>#REF!</f>
        <v>#REF!</v>
      </c>
      <c r="F432" s="292" t="e">
        <f>#REF!</f>
        <v>#REF!</v>
      </c>
      <c r="G432" s="292" t="e">
        <f>#REF!</f>
        <v>#REF!</v>
      </c>
      <c r="H432" s="292" t="e">
        <f>#REF!</f>
        <v>#REF!</v>
      </c>
      <c r="I432" s="292">
        <f>'تقرير المصروفات حسب الشهر'!G838</f>
        <v>11.91</v>
      </c>
      <c r="J432" s="292">
        <f>'تقرير المصروفات حسب الشهر'!G965</f>
        <v>11.91</v>
      </c>
      <c r="K432" s="292">
        <f>'تقرير المصروفات حسب الشهر'!G1092</f>
        <v>0</v>
      </c>
      <c r="L432" s="292">
        <f>IFERROR(VLOOKUP(B432,'تقرير المصروفات حسب الشهر'!$C$1143:$AD$1254,5,FALSE),0)</f>
        <v>0</v>
      </c>
      <c r="M432" s="292">
        <f>IFERROR(VLOOKUP(B432,'تقرير المصروفات حسب الشهر'!$C$1270:$AD$1381,5,FALSE),0)</f>
        <v>0</v>
      </c>
      <c r="N432" s="292" t="e">
        <f>#REF!</f>
        <v>#REF!</v>
      </c>
      <c r="O432" s="296" t="e">
        <f t="shared" si="10"/>
        <v>#REF!</v>
      </c>
    </row>
    <row r="433" spans="2:15" ht="17.399999999999999">
      <c r="B433" s="291" t="s">
        <v>100</v>
      </c>
      <c r="C433" s="292">
        <f>'تقرير المصروفات حسب الشهر'!G86</f>
        <v>11.91</v>
      </c>
      <c r="D433" s="292" t="e">
        <f>#REF!</f>
        <v>#REF!</v>
      </c>
      <c r="E433" s="292" t="e">
        <f>#REF!</f>
        <v>#REF!</v>
      </c>
      <c r="F433" s="292" t="e">
        <f>#REF!</f>
        <v>#REF!</v>
      </c>
      <c r="G433" s="292" t="e">
        <f>#REF!</f>
        <v>#REF!</v>
      </c>
      <c r="H433" s="292" t="e">
        <f>#REF!</f>
        <v>#REF!</v>
      </c>
      <c r="I433" s="292">
        <f>'تقرير المصروفات حسب الشهر'!G839</f>
        <v>0</v>
      </c>
      <c r="J433" s="292">
        <f>'تقرير المصروفات حسب الشهر'!G966</f>
        <v>0</v>
      </c>
      <c r="K433" s="292">
        <f>'تقرير المصروفات حسب الشهر'!G1093</f>
        <v>0</v>
      </c>
      <c r="L433" s="292">
        <f>IFERROR(VLOOKUP(B433,'تقرير المصروفات حسب الشهر'!$C$1143:$AD$1254,5,FALSE),0)</f>
        <v>0</v>
      </c>
      <c r="M433" s="292">
        <f>IFERROR(VLOOKUP(B433,'تقرير المصروفات حسب الشهر'!$C$1270:$AD$1381,5,FALSE),0)</f>
        <v>0</v>
      </c>
      <c r="N433" s="292" t="e">
        <f>#REF!</f>
        <v>#REF!</v>
      </c>
      <c r="O433" s="296" t="e">
        <f t="shared" si="10"/>
        <v>#REF!</v>
      </c>
    </row>
    <row r="434" spans="2:15" ht="17.399999999999999">
      <c r="B434" s="291" t="s">
        <v>101</v>
      </c>
      <c r="C434" s="292">
        <f>'تقرير المصروفات حسب الشهر'!G87</f>
        <v>388.33</v>
      </c>
      <c r="D434" s="292" t="e">
        <f>#REF!</f>
        <v>#REF!</v>
      </c>
      <c r="E434" s="292" t="e">
        <f>#REF!</f>
        <v>#REF!</v>
      </c>
      <c r="F434" s="292" t="e">
        <f>#REF!</f>
        <v>#REF!</v>
      </c>
      <c r="G434" s="292" t="e">
        <f>#REF!</f>
        <v>#REF!</v>
      </c>
      <c r="H434" s="292" t="e">
        <f>#REF!</f>
        <v>#REF!</v>
      </c>
      <c r="I434" s="292">
        <f>'تقرير المصروفات حسب الشهر'!G840</f>
        <v>664.6</v>
      </c>
      <c r="J434" s="292">
        <f>'تقرير المصروفات حسب الشهر'!G967</f>
        <v>654.30999999999995</v>
      </c>
      <c r="K434" s="292">
        <f>'تقرير المصروفات حسب الشهر'!G1094</f>
        <v>366.62</v>
      </c>
      <c r="L434" s="292">
        <f>IFERROR(VLOOKUP(B434,'تقرير المصروفات حسب الشهر'!$C$1143:$AD$1254,5,FALSE),0)</f>
        <v>0</v>
      </c>
      <c r="M434" s="292">
        <f>IFERROR(VLOOKUP(B434,'تقرير المصروفات حسب الشهر'!$C$1270:$AD$1381,5,FALSE),0)</f>
        <v>2306.25</v>
      </c>
      <c r="N434" s="292" t="e">
        <f>#REF!</f>
        <v>#REF!</v>
      </c>
      <c r="O434" s="296" t="e">
        <f t="shared" si="10"/>
        <v>#REF!</v>
      </c>
    </row>
    <row r="435" spans="2:15" ht="17.399999999999999">
      <c r="B435" s="291" t="s">
        <v>102</v>
      </c>
      <c r="C435" s="292">
        <f>'تقرير المصروفات حسب الشهر'!G88</f>
        <v>754.31</v>
      </c>
      <c r="D435" s="292" t="e">
        <f>#REF!</f>
        <v>#REF!</v>
      </c>
      <c r="E435" s="292" t="e">
        <f>#REF!</f>
        <v>#REF!</v>
      </c>
      <c r="F435" s="292" t="e">
        <f>#REF!</f>
        <v>#REF!</v>
      </c>
      <c r="G435" s="292" t="e">
        <f>#REF!</f>
        <v>#REF!</v>
      </c>
      <c r="H435" s="292" t="e">
        <f>#REF!</f>
        <v>#REF!</v>
      </c>
      <c r="I435" s="292">
        <f>'تقرير المصروفات حسب الشهر'!G841</f>
        <v>85.22</v>
      </c>
      <c r="J435" s="292">
        <f>'تقرير المصروفات حسب الشهر'!G968</f>
        <v>69.95</v>
      </c>
      <c r="K435" s="292">
        <f>'تقرير المصروفات حسب الشهر'!G1095</f>
        <v>31.78</v>
      </c>
      <c r="L435" s="292">
        <f>IFERROR(VLOOKUP(B435,'تقرير المصروفات حسب الشهر'!$C$1143:$AD$1254,5,FALSE),0)</f>
        <v>2559.5100000000002</v>
      </c>
      <c r="M435" s="292">
        <f>IFERROR(VLOOKUP(B435,'تقرير المصروفات حسب الشهر'!$C$1270:$AD$1381,5,FALSE),0)</f>
        <v>2792.54</v>
      </c>
      <c r="N435" s="292" t="e">
        <f>#REF!</f>
        <v>#REF!</v>
      </c>
      <c r="O435" s="296" t="e">
        <f t="shared" si="10"/>
        <v>#REF!</v>
      </c>
    </row>
    <row r="436" spans="2:15" ht="17.399999999999999">
      <c r="B436" s="291" t="s">
        <v>103</v>
      </c>
      <c r="C436" s="292">
        <f>'تقرير المصروفات حسب الشهر'!G89</f>
        <v>85.22</v>
      </c>
      <c r="D436" s="292" t="e">
        <f>#REF!</f>
        <v>#REF!</v>
      </c>
      <c r="E436" s="292" t="e">
        <f>#REF!</f>
        <v>#REF!</v>
      </c>
      <c r="F436" s="292" t="e">
        <f>#REF!</f>
        <v>#REF!</v>
      </c>
      <c r="G436" s="292" t="e">
        <f>#REF!</f>
        <v>#REF!</v>
      </c>
      <c r="H436" s="292" t="e">
        <f>#REF!</f>
        <v>#REF!</v>
      </c>
      <c r="I436" s="292">
        <f>'تقرير المصروفات حسب الشهر'!G842</f>
        <v>320.52999999999997</v>
      </c>
      <c r="J436" s="292">
        <f>'تقرير المصروفات حسب الشهر'!G969</f>
        <v>320.52999999999997</v>
      </c>
      <c r="K436" s="292">
        <f>'تقرير المصروفات حسب الشهر'!G1096</f>
        <v>672.9</v>
      </c>
      <c r="L436" s="292">
        <f>IFERROR(VLOOKUP(B436,'تقرير المصروفات حسب الشهر'!$C$1143:$AD$1254,5,FALSE),0)</f>
        <v>31.78</v>
      </c>
      <c r="M436" s="292">
        <f>IFERROR(VLOOKUP(B436,'تقرير المصروفات حسب الشهر'!$C$1270:$AD$1381,5,FALSE),0)</f>
        <v>31.78</v>
      </c>
      <c r="N436" s="292" t="e">
        <f>#REF!</f>
        <v>#REF!</v>
      </c>
      <c r="O436" s="296" t="e">
        <f t="shared" si="10"/>
        <v>#REF!</v>
      </c>
    </row>
    <row r="437" spans="2:15" ht="17.399999999999999">
      <c r="B437" s="291" t="s">
        <v>104</v>
      </c>
      <c r="C437" s="292">
        <f>'تقرير المصروفات حسب الشهر'!G90</f>
        <v>320.52999999999997</v>
      </c>
      <c r="D437" s="292" t="e">
        <f>#REF!</f>
        <v>#REF!</v>
      </c>
      <c r="E437" s="292" t="e">
        <f>#REF!</f>
        <v>#REF!</v>
      </c>
      <c r="F437" s="292" t="e">
        <f>#REF!</f>
        <v>#REF!</v>
      </c>
      <c r="G437" s="292" t="e">
        <f>#REF!</f>
        <v>#REF!</v>
      </c>
      <c r="H437" s="292" t="e">
        <f>#REF!</f>
        <v>#REF!</v>
      </c>
      <c r="I437" s="292">
        <f>'تقرير المصروفات حسب الشهر'!G843</f>
        <v>0</v>
      </c>
      <c r="J437" s="292">
        <f>'تقرير المصروفات حسب الشهر'!G970</f>
        <v>0</v>
      </c>
      <c r="K437" s="292">
        <f>'تقرير المصروفات حسب الشهر'!G1097</f>
        <v>-0.05</v>
      </c>
      <c r="L437" s="292">
        <f>IFERROR(VLOOKUP(B437,'تقرير المصروفات حسب الشهر'!$C$1143:$AD$1254,5,FALSE),0)</f>
        <v>1621.08</v>
      </c>
      <c r="M437" s="292">
        <f>IFERROR(VLOOKUP(B437,'تقرير المصروفات حسب الشهر'!$C$1270:$AD$1381,5,FALSE),0)</f>
        <v>1620.99</v>
      </c>
      <c r="N437" s="292" t="e">
        <f>#REF!</f>
        <v>#REF!</v>
      </c>
      <c r="O437" s="296" t="e">
        <f t="shared" si="10"/>
        <v>#REF!</v>
      </c>
    </row>
    <row r="438" spans="2:15" ht="17.399999999999999">
      <c r="B438" s="291" t="s">
        <v>105</v>
      </c>
      <c r="C438" s="292">
        <f>'تقرير المصروفات حسب الشهر'!G91</f>
        <v>106.92</v>
      </c>
      <c r="D438" s="292" t="e">
        <f>#REF!</f>
        <v>#REF!</v>
      </c>
      <c r="E438" s="292" t="e">
        <f>#REF!</f>
        <v>#REF!</v>
      </c>
      <c r="F438" s="292" t="e">
        <f>#REF!</f>
        <v>#REF!</v>
      </c>
      <c r="G438" s="292" t="e">
        <f>#REF!</f>
        <v>#REF!</v>
      </c>
      <c r="H438" s="292" t="e">
        <f>#REF!</f>
        <v>#REF!</v>
      </c>
      <c r="I438" s="292">
        <f>'تقرير المصروفات حسب الشهر'!G844</f>
        <v>0</v>
      </c>
      <c r="J438" s="292">
        <f>'تقرير المصروفات حسب الشهر'!G971</f>
        <v>0</v>
      </c>
      <c r="K438" s="292">
        <f>'تقرير المصروفات حسب الشهر'!G1098</f>
        <v>0</v>
      </c>
      <c r="L438" s="292">
        <f>IFERROR(VLOOKUP(B438,'تقرير المصروفات حسب الشهر'!$C$1143:$AD$1254,5,FALSE),0)</f>
        <v>3891.36</v>
      </c>
      <c r="M438" s="292">
        <f>IFERROR(VLOOKUP(B438,'تقرير المصروفات حسب الشهر'!$C$1270:$AD$1381,5,FALSE),0)</f>
        <v>10262.89</v>
      </c>
      <c r="N438" s="292" t="e">
        <f>#REF!</f>
        <v>#REF!</v>
      </c>
      <c r="O438" s="296" t="e">
        <f t="shared" si="10"/>
        <v>#REF!</v>
      </c>
    </row>
    <row r="439" spans="2:15" ht="17.399999999999999">
      <c r="B439" s="291" t="s">
        <v>106</v>
      </c>
      <c r="C439" s="292">
        <f>'تقرير المصروفات حسب الشهر'!G92</f>
        <v>0</v>
      </c>
      <c r="D439" s="292" t="e">
        <f>#REF!</f>
        <v>#REF!</v>
      </c>
      <c r="E439" s="292" t="e">
        <f>#REF!</f>
        <v>#REF!</v>
      </c>
      <c r="F439" s="292" t="e">
        <f>#REF!</f>
        <v>#REF!</v>
      </c>
      <c r="G439" s="292" t="e">
        <f>#REF!</f>
        <v>#REF!</v>
      </c>
      <c r="H439" s="292" t="e">
        <f>#REF!</f>
        <v>#REF!</v>
      </c>
      <c r="I439" s="292">
        <f>'تقرير المصروفات حسب الشهر'!G845</f>
        <v>0</v>
      </c>
      <c r="J439" s="292">
        <f>'تقرير المصروفات حسب الشهر'!G972</f>
        <v>0</v>
      </c>
      <c r="K439" s="292">
        <f>'تقرير المصروفات حسب الشهر'!G1099</f>
        <v>0</v>
      </c>
      <c r="L439" s="292">
        <f>IFERROR(VLOOKUP(B439,'تقرير المصروفات حسب الشهر'!$C$1143:$AD$1254,5,FALSE),0)</f>
        <v>0</v>
      </c>
      <c r="M439" s="292">
        <f>IFERROR(VLOOKUP(B439,'تقرير المصروفات حسب الشهر'!$C$1270:$AD$1381,5,FALSE),0)</f>
        <v>0</v>
      </c>
      <c r="N439" s="292" t="e">
        <f>#REF!</f>
        <v>#REF!</v>
      </c>
      <c r="O439" s="296" t="e">
        <f t="shared" si="10"/>
        <v>#REF!</v>
      </c>
    </row>
    <row r="440" spans="2:15" ht="17.399999999999999">
      <c r="B440" s="291" t="s">
        <v>107</v>
      </c>
      <c r="C440" s="292">
        <f>'تقرير المصروفات حسب الشهر'!G93</f>
        <v>0</v>
      </c>
      <c r="D440" s="292" t="e">
        <f>#REF!</f>
        <v>#REF!</v>
      </c>
      <c r="E440" s="292" t="e">
        <f>#REF!</f>
        <v>#REF!</v>
      </c>
      <c r="F440" s="292" t="e">
        <f>#REF!</f>
        <v>#REF!</v>
      </c>
      <c r="G440" s="292" t="e">
        <f>#REF!</f>
        <v>#REF!</v>
      </c>
      <c r="H440" s="292" t="e">
        <f>#REF!</f>
        <v>#REF!</v>
      </c>
      <c r="I440" s="292">
        <f>'تقرير المصروفات حسب الشهر'!G846</f>
        <v>23581.58</v>
      </c>
      <c r="J440" s="292">
        <f>'تقرير المصروفات حسب الشهر'!G973</f>
        <v>17107.439999999999</v>
      </c>
      <c r="K440" s="292">
        <f>'تقرير المصروفات حسب الشهر'!G1100</f>
        <v>140</v>
      </c>
      <c r="L440" s="292">
        <f>IFERROR(VLOOKUP(B440,'تقرير المصروفات حسب الشهر'!$C$1143:$AD$1254,5,FALSE),0)</f>
        <v>0</v>
      </c>
      <c r="M440" s="292">
        <f>IFERROR(VLOOKUP(B440,'تقرير المصروفات حسب الشهر'!$C$1270:$AD$1381,5,FALSE),0)</f>
        <v>0</v>
      </c>
      <c r="N440" s="292" t="e">
        <f>#REF!</f>
        <v>#REF!</v>
      </c>
      <c r="O440" s="296" t="e">
        <f t="shared" si="10"/>
        <v>#REF!</v>
      </c>
    </row>
    <row r="441" spans="2:15" ht="17.399999999999999">
      <c r="B441" s="291" t="s">
        <v>108</v>
      </c>
      <c r="C441" s="292">
        <f>'تقرير المصروفات حسب الشهر'!G94</f>
        <v>23662.880000000001</v>
      </c>
      <c r="D441" s="292" t="e">
        <f>#REF!</f>
        <v>#REF!</v>
      </c>
      <c r="E441" s="292" t="e">
        <f>#REF!</f>
        <v>#REF!</v>
      </c>
      <c r="F441" s="292" t="e">
        <f>#REF!</f>
        <v>#REF!</v>
      </c>
      <c r="G441" s="292" t="e">
        <f>#REF!</f>
        <v>#REF!</v>
      </c>
      <c r="H441" s="292" t="e">
        <f>#REF!</f>
        <v>#REF!</v>
      </c>
      <c r="I441" s="292">
        <f>'تقرير المصروفات حسب الشهر'!G847</f>
        <v>0</v>
      </c>
      <c r="J441" s="292">
        <f>'تقرير المصروفات حسب الشهر'!G974</f>
        <v>0</v>
      </c>
      <c r="K441" s="292">
        <f>'تقرير المصروفات حسب الشهر'!G1101</f>
        <v>0</v>
      </c>
      <c r="L441" s="292">
        <f>IFERROR(VLOOKUP(B441,'تقرير المصروفات حسب الشهر'!$C$1143:$AD$1254,5,FALSE),0)</f>
        <v>19744.689999999999</v>
      </c>
      <c r="M441" s="292">
        <f>IFERROR(VLOOKUP(B441,'تقرير المصروفات حسب الشهر'!$C$1270:$AD$1381,5,FALSE),0)</f>
        <v>32326.02</v>
      </c>
      <c r="N441" s="292" t="e">
        <f>#REF!</f>
        <v>#REF!</v>
      </c>
      <c r="O441" s="296" t="e">
        <f t="shared" si="10"/>
        <v>#REF!</v>
      </c>
    </row>
    <row r="442" spans="2:15" ht="17.399999999999999">
      <c r="B442" s="291" t="s">
        <v>109</v>
      </c>
      <c r="C442" s="292">
        <f>'تقرير المصروفات حسب الشهر'!G95</f>
        <v>0</v>
      </c>
      <c r="D442" s="292" t="e">
        <f>#REF!</f>
        <v>#REF!</v>
      </c>
      <c r="E442" s="292" t="e">
        <f>#REF!</f>
        <v>#REF!</v>
      </c>
      <c r="F442" s="292" t="e">
        <f>#REF!</f>
        <v>#REF!</v>
      </c>
      <c r="G442" s="292" t="e">
        <f>#REF!</f>
        <v>#REF!</v>
      </c>
      <c r="H442" s="292" t="e">
        <f>#REF!</f>
        <v>#REF!</v>
      </c>
      <c r="I442" s="292">
        <f>'تقرير المصروفات حسب الشهر'!G848</f>
        <v>0</v>
      </c>
      <c r="J442" s="292">
        <f>'تقرير المصروفات حسب الشهر'!G975</f>
        <v>0</v>
      </c>
      <c r="K442" s="292">
        <f>'تقرير المصروفات حسب الشهر'!G1102</f>
        <v>0</v>
      </c>
      <c r="L442" s="292">
        <f>IFERROR(VLOOKUP(B442,'تقرير المصروفات حسب الشهر'!$C$1143:$AD$1254,5,FALSE),0)</f>
        <v>0</v>
      </c>
      <c r="M442" s="292">
        <f>IFERROR(VLOOKUP(B442,'تقرير المصروفات حسب الشهر'!$C$1270:$AD$1381,5,FALSE),0)</f>
        <v>0</v>
      </c>
      <c r="N442" s="292" t="e">
        <f>#REF!</f>
        <v>#REF!</v>
      </c>
      <c r="O442" s="296" t="e">
        <f t="shared" si="10"/>
        <v>#REF!</v>
      </c>
    </row>
    <row r="443" spans="2:15" ht="17.399999999999999">
      <c r="B443" s="291" t="s">
        <v>110</v>
      </c>
      <c r="C443" s="292">
        <f>'تقرير المصروفات حسب الشهر'!G96</f>
        <v>0</v>
      </c>
      <c r="D443" s="292" t="e">
        <f>#REF!</f>
        <v>#REF!</v>
      </c>
      <c r="E443" s="292" t="e">
        <f>#REF!</f>
        <v>#REF!</v>
      </c>
      <c r="F443" s="292" t="e">
        <f>#REF!</f>
        <v>#REF!</v>
      </c>
      <c r="G443" s="292" t="e">
        <f>#REF!</f>
        <v>#REF!</v>
      </c>
      <c r="H443" s="292" t="e">
        <f>#REF!</f>
        <v>#REF!</v>
      </c>
      <c r="I443" s="292">
        <f>'تقرير المصروفات حسب الشهر'!G849</f>
        <v>0</v>
      </c>
      <c r="J443" s="292">
        <f>'تقرير المصروفات حسب الشهر'!G976</f>
        <v>0</v>
      </c>
      <c r="K443" s="292">
        <f>'تقرير المصروفات حسب الشهر'!G1103</f>
        <v>0</v>
      </c>
      <c r="L443" s="292">
        <f>IFERROR(VLOOKUP(B443,'تقرير المصروفات حسب الشهر'!$C$1143:$AD$1254,5,FALSE),0)</f>
        <v>0</v>
      </c>
      <c r="M443" s="292">
        <f>IFERROR(VLOOKUP(B443,'تقرير المصروفات حسب الشهر'!$C$1270:$AD$1381,5,FALSE),0)</f>
        <v>0</v>
      </c>
      <c r="N443" s="292" t="e">
        <f>#REF!</f>
        <v>#REF!</v>
      </c>
      <c r="O443" s="296" t="e">
        <f t="shared" si="10"/>
        <v>#REF!</v>
      </c>
    </row>
    <row r="444" spans="2:15" ht="17.399999999999999">
      <c r="B444" s="291" t="s">
        <v>112</v>
      </c>
      <c r="C444" s="292">
        <f>'تقرير المصروفات حسب الشهر'!G97</f>
        <v>0</v>
      </c>
      <c r="D444" s="292" t="e">
        <f>#REF!</f>
        <v>#REF!</v>
      </c>
      <c r="E444" s="292" t="e">
        <f>#REF!</f>
        <v>#REF!</v>
      </c>
      <c r="F444" s="292" t="e">
        <f>#REF!</f>
        <v>#REF!</v>
      </c>
      <c r="G444" s="292" t="e">
        <f>#REF!</f>
        <v>#REF!</v>
      </c>
      <c r="H444" s="292" t="e">
        <f>#REF!</f>
        <v>#REF!</v>
      </c>
      <c r="I444" s="292">
        <f>'تقرير المصروفات حسب الشهر'!G850</f>
        <v>0</v>
      </c>
      <c r="J444" s="292">
        <f>'تقرير المصروفات حسب الشهر'!G977</f>
        <v>0</v>
      </c>
      <c r="K444" s="292">
        <f>'تقرير المصروفات حسب الشهر'!G1104</f>
        <v>0</v>
      </c>
      <c r="L444" s="292">
        <f>IFERROR(VLOOKUP(B444,'تقرير المصروفات حسب الشهر'!$C$1143:$AD$1254,5,FALSE),0)</f>
        <v>0</v>
      </c>
      <c r="M444" s="292">
        <f>IFERROR(VLOOKUP(B444,'تقرير المصروفات حسب الشهر'!$C$1270:$AD$1381,5,FALSE),0)</f>
        <v>0</v>
      </c>
      <c r="N444" s="292" t="e">
        <f>#REF!</f>
        <v>#REF!</v>
      </c>
      <c r="O444" s="296" t="e">
        <f t="shared" si="10"/>
        <v>#REF!</v>
      </c>
    </row>
    <row r="445" spans="2:15" ht="17.399999999999999">
      <c r="B445" s="291" t="s">
        <v>113</v>
      </c>
      <c r="C445" s="292">
        <f>'تقرير المصروفات حسب الشهر'!G98</f>
        <v>2.62</v>
      </c>
      <c r="D445" s="292" t="e">
        <f>#REF!</f>
        <v>#REF!</v>
      </c>
      <c r="E445" s="292" t="e">
        <f>#REF!</f>
        <v>#REF!</v>
      </c>
      <c r="F445" s="292" t="e">
        <f>#REF!</f>
        <v>#REF!</v>
      </c>
      <c r="G445" s="292" t="e">
        <f>#REF!</f>
        <v>#REF!</v>
      </c>
      <c r="H445" s="292" t="e">
        <f>#REF!</f>
        <v>#REF!</v>
      </c>
      <c r="I445" s="292">
        <f>'تقرير المصروفات حسب الشهر'!G851</f>
        <v>0</v>
      </c>
      <c r="J445" s="292">
        <f>'تقرير المصروفات حسب الشهر'!G978</f>
        <v>0</v>
      </c>
      <c r="K445" s="292">
        <f>'تقرير المصروفات حسب الشهر'!G1105</f>
        <v>0</v>
      </c>
      <c r="L445" s="292">
        <f>IFERROR(VLOOKUP(B445,'تقرير المصروفات حسب الشهر'!$C$1143:$AD$1254,5,FALSE),0)</f>
        <v>37561.54</v>
      </c>
      <c r="M445" s="292">
        <f>IFERROR(VLOOKUP(B445,'تقرير المصروفات حسب الشهر'!$C$1270:$AD$1381,5,FALSE),0)</f>
        <v>0</v>
      </c>
      <c r="N445" s="292" t="e">
        <f>#REF!</f>
        <v>#REF!</v>
      </c>
      <c r="O445" s="296" t="e">
        <f t="shared" si="10"/>
        <v>#REF!</v>
      </c>
    </row>
    <row r="446" spans="2:15" ht="17.399999999999999">
      <c r="B446" s="291" t="s">
        <v>137</v>
      </c>
      <c r="C446" s="292">
        <f>'تقرير المصروفات حسب الشهر'!G99</f>
        <v>0</v>
      </c>
      <c r="D446" s="292" t="e">
        <f>#REF!</f>
        <v>#REF!</v>
      </c>
      <c r="E446" s="292" t="e">
        <f>#REF!</f>
        <v>#REF!</v>
      </c>
      <c r="F446" s="292" t="e">
        <f>#REF!</f>
        <v>#REF!</v>
      </c>
      <c r="G446" s="292" t="e">
        <f>#REF!</f>
        <v>#REF!</v>
      </c>
      <c r="H446" s="292" t="e">
        <f>#REF!</f>
        <v>#REF!</v>
      </c>
      <c r="I446" s="292">
        <f>'تقرير المصروفات حسب الشهر'!G852</f>
        <v>584</v>
      </c>
      <c r="J446" s="292">
        <f>'تقرير المصروفات حسب الشهر'!G979</f>
        <v>50</v>
      </c>
      <c r="K446" s="292">
        <f>'تقرير المصروفات حسب الشهر'!G1106</f>
        <v>0</v>
      </c>
      <c r="L446" s="292">
        <f>IFERROR(VLOOKUP(B446,'تقرير المصروفات حسب الشهر'!$C$1143:$AD$1254,5,FALSE),0)</f>
        <v>0</v>
      </c>
      <c r="M446" s="292">
        <f>IFERROR(VLOOKUP(B446,'تقرير المصروفات حسب الشهر'!$C$1270:$AD$1381,5,FALSE),0)</f>
        <v>0</v>
      </c>
      <c r="N446" s="292" t="e">
        <f>#REF!</f>
        <v>#REF!</v>
      </c>
      <c r="O446" s="296" t="e">
        <f t="shared" si="10"/>
        <v>#REF!</v>
      </c>
    </row>
    <row r="447" spans="2:15" ht="17.399999999999999">
      <c r="B447" s="291" t="s">
        <v>140</v>
      </c>
      <c r="C447" s="292">
        <f>'تقرير المصروفات حسب الشهر'!G100</f>
        <v>1566</v>
      </c>
      <c r="D447" s="292" t="e">
        <f>#REF!</f>
        <v>#REF!</v>
      </c>
      <c r="E447" s="292" t="e">
        <f>#REF!</f>
        <v>#REF!</v>
      </c>
      <c r="F447" s="292" t="e">
        <f>#REF!</f>
        <v>#REF!</v>
      </c>
      <c r="G447" s="292" t="e">
        <f>#REF!</f>
        <v>#REF!</v>
      </c>
      <c r="H447" s="292" t="e">
        <f>#REF!</f>
        <v>#REF!</v>
      </c>
      <c r="I447" s="292">
        <f>'تقرير المصروفات حسب الشهر'!G853</f>
        <v>0</v>
      </c>
      <c r="J447" s="292">
        <f>'تقرير المصروفات حسب الشهر'!G980</f>
        <v>0</v>
      </c>
      <c r="K447" s="292">
        <f>'تقرير المصروفات حسب الشهر'!G1107</f>
        <v>0</v>
      </c>
      <c r="L447" s="292">
        <f>IFERROR(VLOOKUP(B447,'تقرير المصروفات حسب الشهر'!$C$1143:$AD$1254,5,FALSE),0)</f>
        <v>56</v>
      </c>
      <c r="M447" s="292">
        <f>IFERROR(VLOOKUP(B447,'تقرير المصروفات حسب الشهر'!$C$1270:$AD$1381,5,FALSE),0)</f>
        <v>40</v>
      </c>
      <c r="N447" s="292" t="e">
        <f>#REF!</f>
        <v>#REF!</v>
      </c>
      <c r="O447" s="296" t="e">
        <f t="shared" si="10"/>
        <v>#REF!</v>
      </c>
    </row>
    <row r="448" spans="2:15" ht="17.399999999999999">
      <c r="B448" s="291" t="s">
        <v>141</v>
      </c>
      <c r="C448" s="292">
        <f>'تقرير المصروفات حسب الشهر'!G101</f>
        <v>0</v>
      </c>
      <c r="D448" s="292" t="e">
        <f>#REF!</f>
        <v>#REF!</v>
      </c>
      <c r="E448" s="292" t="e">
        <f>#REF!</f>
        <v>#REF!</v>
      </c>
      <c r="F448" s="292" t="e">
        <f>#REF!</f>
        <v>#REF!</v>
      </c>
      <c r="G448" s="292" t="e">
        <f>#REF!</f>
        <v>#REF!</v>
      </c>
      <c r="H448" s="292" t="e">
        <f>#REF!</f>
        <v>#REF!</v>
      </c>
      <c r="I448" s="292">
        <f>'تقرير المصروفات حسب الشهر'!G854</f>
        <v>0</v>
      </c>
      <c r="J448" s="292">
        <f>'تقرير المصروفات حسب الشهر'!G981</f>
        <v>0</v>
      </c>
      <c r="K448" s="292">
        <f>'تقرير المصروفات حسب الشهر'!G1108</f>
        <v>0</v>
      </c>
      <c r="L448" s="292">
        <f>IFERROR(VLOOKUP(B448,'تقرير المصروفات حسب الشهر'!$C$1143:$AD$1254,5,FALSE),0)</f>
        <v>0</v>
      </c>
      <c r="M448" s="292">
        <f>IFERROR(VLOOKUP(B448,'تقرير المصروفات حسب الشهر'!$C$1270:$AD$1381,5,FALSE),0)</f>
        <v>0</v>
      </c>
      <c r="N448" s="292" t="e">
        <f>#REF!</f>
        <v>#REF!</v>
      </c>
      <c r="O448" s="296" t="e">
        <f t="shared" si="10"/>
        <v>#REF!</v>
      </c>
    </row>
    <row r="449" spans="2:15" ht="17.399999999999999">
      <c r="B449" s="291" t="s">
        <v>193</v>
      </c>
      <c r="C449" s="292">
        <f>'تقرير المصروفات حسب الشهر'!G102</f>
        <v>0</v>
      </c>
      <c r="D449" s="292" t="e">
        <f>#REF!</f>
        <v>#REF!</v>
      </c>
      <c r="E449" s="292" t="e">
        <f>#REF!</f>
        <v>#REF!</v>
      </c>
      <c r="F449" s="292" t="e">
        <f>#REF!</f>
        <v>#REF!</v>
      </c>
      <c r="G449" s="292" t="e">
        <f>#REF!</f>
        <v>#REF!</v>
      </c>
      <c r="H449" s="292" t="e">
        <f>#REF!</f>
        <v>#REF!</v>
      </c>
      <c r="I449" s="292">
        <f>'تقرير المصروفات حسب الشهر'!G855</f>
        <v>0</v>
      </c>
      <c r="J449" s="292">
        <f>'تقرير المصروفات حسب الشهر'!G982</f>
        <v>0</v>
      </c>
      <c r="K449" s="292">
        <f>'تقرير المصروفات حسب الشهر'!G1109</f>
        <v>0</v>
      </c>
      <c r="L449" s="292">
        <f>IFERROR(VLOOKUP(B449,'تقرير المصروفات حسب الشهر'!$C$1143:$AD$1254,5,FALSE),0)</f>
        <v>0</v>
      </c>
      <c r="M449" s="292">
        <f>IFERROR(VLOOKUP(B449,'تقرير المصروفات حسب الشهر'!$C$1270:$AD$1381,5,FALSE),0)</f>
        <v>0</v>
      </c>
      <c r="N449" s="292" t="e">
        <f>#REF!</f>
        <v>#REF!</v>
      </c>
      <c r="O449" s="296" t="e">
        <f t="shared" si="10"/>
        <v>#REF!</v>
      </c>
    </row>
    <row r="450" spans="2:15" ht="17.399999999999999">
      <c r="B450" s="291" t="s">
        <v>148</v>
      </c>
      <c r="C450" s="292">
        <f>'تقرير المصروفات حسب الشهر'!G103</f>
        <v>0</v>
      </c>
      <c r="D450" s="292" t="e">
        <f>#REF!</f>
        <v>#REF!</v>
      </c>
      <c r="E450" s="292" t="e">
        <f>#REF!</f>
        <v>#REF!</v>
      </c>
      <c r="F450" s="292" t="e">
        <f>#REF!</f>
        <v>#REF!</v>
      </c>
      <c r="G450" s="292" t="e">
        <f>#REF!</f>
        <v>#REF!</v>
      </c>
      <c r="H450" s="292" t="e">
        <f>#REF!</f>
        <v>#REF!</v>
      </c>
      <c r="I450" s="292">
        <f>'تقرير المصروفات حسب الشهر'!G856</f>
        <v>0</v>
      </c>
      <c r="J450" s="292">
        <f>'تقرير المصروفات حسب الشهر'!G983</f>
        <v>0</v>
      </c>
      <c r="K450" s="292">
        <f>'تقرير المصروفات حسب الشهر'!G1110</f>
        <v>0</v>
      </c>
      <c r="L450" s="292">
        <f>IFERROR(VLOOKUP(B450,'تقرير المصروفات حسب الشهر'!$C$1143:$AD$1254,5,FALSE),0)</f>
        <v>0</v>
      </c>
      <c r="M450" s="292">
        <f>IFERROR(VLOOKUP(B450,'تقرير المصروفات حسب الشهر'!$C$1270:$AD$1381,5,FALSE),0)</f>
        <v>0</v>
      </c>
      <c r="N450" s="292" t="e">
        <f>#REF!</f>
        <v>#REF!</v>
      </c>
      <c r="O450" s="296" t="e">
        <f t="shared" si="10"/>
        <v>#REF!</v>
      </c>
    </row>
    <row r="451" spans="2:15" ht="17.399999999999999">
      <c r="B451" s="291" t="s">
        <v>186</v>
      </c>
      <c r="C451" s="292">
        <f>'تقرير المصروفات حسب الشهر'!G104</f>
        <v>0</v>
      </c>
      <c r="D451" s="292" t="e">
        <f>#REF!</f>
        <v>#REF!</v>
      </c>
      <c r="E451" s="292" t="e">
        <f>#REF!</f>
        <v>#REF!</v>
      </c>
      <c r="F451" s="292" t="e">
        <f>#REF!</f>
        <v>#REF!</v>
      </c>
      <c r="G451" s="292" t="e">
        <f>#REF!</f>
        <v>#REF!</v>
      </c>
      <c r="H451" s="292" t="e">
        <f>#REF!</f>
        <v>#REF!</v>
      </c>
      <c r="I451" s="292">
        <f>'تقرير المصروفات حسب الشهر'!G857</f>
        <v>0</v>
      </c>
      <c r="J451" s="292">
        <f>'تقرير المصروفات حسب الشهر'!G984</f>
        <v>0</v>
      </c>
      <c r="K451" s="292">
        <f>'تقرير المصروفات حسب الشهر'!G1111</f>
        <v>0</v>
      </c>
      <c r="L451" s="292">
        <f>IFERROR(VLOOKUP(B451,'تقرير المصروفات حسب الشهر'!$C$1143:$AD$1254,5,FALSE),0)</f>
        <v>0</v>
      </c>
      <c r="M451" s="292">
        <f>IFERROR(VLOOKUP(B451,'تقرير المصروفات حسب الشهر'!$C$1270:$AD$1381,5,FALSE),0)</f>
        <v>0</v>
      </c>
      <c r="N451" s="292" t="e">
        <f>#REF!</f>
        <v>#REF!</v>
      </c>
      <c r="O451" s="296" t="e">
        <f t="shared" si="10"/>
        <v>#REF!</v>
      </c>
    </row>
    <row r="452" spans="2:15" ht="17.399999999999999">
      <c r="B452" s="291" t="s">
        <v>171</v>
      </c>
      <c r="C452" s="292">
        <f>'تقرير المصروفات حسب الشهر'!G105</f>
        <v>0</v>
      </c>
      <c r="D452" s="292" t="e">
        <f>#REF!</f>
        <v>#REF!</v>
      </c>
      <c r="E452" s="292" t="e">
        <f>#REF!</f>
        <v>#REF!</v>
      </c>
      <c r="F452" s="292" t="e">
        <f>#REF!</f>
        <v>#REF!</v>
      </c>
      <c r="G452" s="292" t="e">
        <f>#REF!</f>
        <v>#REF!</v>
      </c>
      <c r="H452" s="292" t="e">
        <f>#REF!</f>
        <v>#REF!</v>
      </c>
      <c r="I452" s="292">
        <f>'تقرير المصروفات حسب الشهر'!G858</f>
        <v>0</v>
      </c>
      <c r="J452" s="292">
        <f>'تقرير المصروفات حسب الشهر'!G985</f>
        <v>0</v>
      </c>
      <c r="K452" s="292">
        <f>'تقرير المصروفات حسب الشهر'!G1112</f>
        <v>0</v>
      </c>
      <c r="L452" s="292">
        <f>IFERROR(VLOOKUP(B452,'تقرير المصروفات حسب الشهر'!$C$1143:$AD$1254,5,FALSE),0)</f>
        <v>0</v>
      </c>
      <c r="M452" s="292">
        <f>IFERROR(VLOOKUP(B452,'تقرير المصروفات حسب الشهر'!$C$1270:$AD$1381,5,FALSE),0)</f>
        <v>0</v>
      </c>
      <c r="N452" s="292" t="e">
        <f>#REF!</f>
        <v>#REF!</v>
      </c>
      <c r="O452" s="296" t="e">
        <f t="shared" si="10"/>
        <v>#REF!</v>
      </c>
    </row>
    <row r="453" spans="2:15" ht="17.399999999999999">
      <c r="B453" s="291" t="s">
        <v>180</v>
      </c>
      <c r="C453" s="292">
        <f>'تقرير المصروفات حسب الشهر'!G106</f>
        <v>0</v>
      </c>
      <c r="D453" s="292" t="e">
        <f>#REF!</f>
        <v>#REF!</v>
      </c>
      <c r="E453" s="292" t="e">
        <f>#REF!</f>
        <v>#REF!</v>
      </c>
      <c r="F453" s="292" t="e">
        <f>#REF!</f>
        <v>#REF!</v>
      </c>
      <c r="G453" s="292" t="e">
        <f>#REF!</f>
        <v>#REF!</v>
      </c>
      <c r="H453" s="292" t="e">
        <f>#REF!</f>
        <v>#REF!</v>
      </c>
      <c r="I453" s="292">
        <f>'تقرير المصروفات حسب الشهر'!G859</f>
        <v>3795.71</v>
      </c>
      <c r="J453" s="292">
        <f>'تقرير المصروفات حسب الشهر'!G986</f>
        <v>1108</v>
      </c>
      <c r="K453" s="292">
        <f>'تقرير المصروفات حسب الشهر'!G1113</f>
        <v>0</v>
      </c>
      <c r="L453" s="292">
        <f>IFERROR(VLOOKUP(B453,'تقرير المصروفات حسب الشهر'!$C$1143:$AD$1254,5,FALSE),0)</f>
        <v>0</v>
      </c>
      <c r="M453" s="292">
        <f>IFERROR(VLOOKUP(B453,'تقرير المصروفات حسب الشهر'!$C$1270:$AD$1381,5,FALSE),0)</f>
        <v>0</v>
      </c>
      <c r="N453" s="292" t="e">
        <f>#REF!</f>
        <v>#REF!</v>
      </c>
      <c r="O453" s="296" t="e">
        <f t="shared" si="10"/>
        <v>#REF!</v>
      </c>
    </row>
    <row r="454" spans="2:15" ht="17.399999999999999">
      <c r="B454" s="291" t="s">
        <v>183</v>
      </c>
      <c r="C454" s="292">
        <f>'تقرير المصروفات حسب الشهر'!G107</f>
        <v>0</v>
      </c>
      <c r="D454" s="292" t="e">
        <f>#REF!</f>
        <v>#REF!</v>
      </c>
      <c r="E454" s="292" t="e">
        <f>#REF!</f>
        <v>#REF!</v>
      </c>
      <c r="F454" s="292" t="e">
        <f>#REF!</f>
        <v>#REF!</v>
      </c>
      <c r="G454" s="292" t="e">
        <f>#REF!</f>
        <v>#REF!</v>
      </c>
      <c r="H454" s="292" t="e">
        <f>#REF!</f>
        <v>#REF!</v>
      </c>
      <c r="I454" s="292">
        <f>'تقرير المصروفات حسب الشهر'!G860</f>
        <v>0</v>
      </c>
      <c r="J454" s="292">
        <f>'تقرير المصروفات حسب الشهر'!G987</f>
        <v>0</v>
      </c>
      <c r="K454" s="292">
        <f>'تقرير المصروفات حسب الشهر'!G1114</f>
        <v>0</v>
      </c>
      <c r="L454" s="292">
        <f>IFERROR(VLOOKUP(B454,'تقرير المصروفات حسب الشهر'!$C$1143:$AD$1254,5,FALSE),0)</f>
        <v>0</v>
      </c>
      <c r="M454" s="292">
        <f>IFERROR(VLOOKUP(B454,'تقرير المصروفات حسب الشهر'!$C$1270:$AD$1381,5,FALSE),0)</f>
        <v>0</v>
      </c>
      <c r="N454" s="292" t="e">
        <f>#REF!</f>
        <v>#REF!</v>
      </c>
      <c r="O454" s="296" t="e">
        <f t="shared" si="10"/>
        <v>#REF!</v>
      </c>
    </row>
    <row r="455" spans="2:15" ht="17.399999999999999">
      <c r="B455" s="291" t="s">
        <v>195</v>
      </c>
      <c r="C455" s="292">
        <f>'تقرير المصروفات حسب الشهر'!G108</f>
        <v>0</v>
      </c>
      <c r="D455" s="292" t="e">
        <f>#REF!</f>
        <v>#REF!</v>
      </c>
      <c r="E455" s="292" t="e">
        <f>#REF!</f>
        <v>#REF!</v>
      </c>
      <c r="F455" s="292" t="e">
        <f>#REF!</f>
        <v>#REF!</v>
      </c>
      <c r="G455" s="292" t="e">
        <f>#REF!</f>
        <v>#REF!</v>
      </c>
      <c r="H455" s="292" t="e">
        <f>#REF!</f>
        <v>#REF!</v>
      </c>
      <c r="I455" s="292">
        <f>'تقرير المصروفات حسب الشهر'!G861</f>
        <v>0</v>
      </c>
      <c r="J455" s="292">
        <f>'تقرير المصروفات حسب الشهر'!G988</f>
        <v>0</v>
      </c>
      <c r="K455" s="292">
        <f>'تقرير المصروفات حسب الشهر'!G1115</f>
        <v>0</v>
      </c>
      <c r="L455" s="292">
        <f>IFERROR(VLOOKUP(B455,'تقرير المصروفات حسب الشهر'!$C$1143:$AD$1254,5,FALSE),0)</f>
        <v>0</v>
      </c>
      <c r="M455" s="292">
        <f>IFERROR(VLOOKUP(B455,'تقرير المصروفات حسب الشهر'!$C$1270:$AD$1381,5,FALSE),0)</f>
        <v>0</v>
      </c>
      <c r="N455" s="292" t="e">
        <f>#REF!</f>
        <v>#REF!</v>
      </c>
      <c r="O455" s="296" t="e">
        <f t="shared" si="10"/>
        <v>#REF!</v>
      </c>
    </row>
    <row r="456" spans="2:15" ht="17.399999999999999">
      <c r="B456" s="291" t="s">
        <v>189</v>
      </c>
      <c r="C456" s="292">
        <f>'تقرير المصروفات حسب الشهر'!G109</f>
        <v>0</v>
      </c>
      <c r="D456" s="292" t="e">
        <f>#REF!</f>
        <v>#REF!</v>
      </c>
      <c r="E456" s="292" t="e">
        <f>#REF!</f>
        <v>#REF!</v>
      </c>
      <c r="F456" s="292" t="e">
        <f>#REF!</f>
        <v>#REF!</v>
      </c>
      <c r="G456" s="292" t="e">
        <f>#REF!</f>
        <v>#REF!</v>
      </c>
      <c r="H456" s="292" t="e">
        <f>#REF!</f>
        <v>#REF!</v>
      </c>
      <c r="I456" s="292">
        <f>'تقرير المصروفات حسب الشهر'!G862</f>
        <v>0</v>
      </c>
      <c r="J456" s="292">
        <f>'تقرير المصروفات حسب الشهر'!G989</f>
        <v>0</v>
      </c>
      <c r="K456" s="292">
        <f>'تقرير المصروفات حسب الشهر'!G1116</f>
        <v>0</v>
      </c>
      <c r="L456" s="292">
        <f>IFERROR(VLOOKUP(B456,'تقرير المصروفات حسب الشهر'!$C$1143:$AD$1254,5,FALSE),0)</f>
        <v>0</v>
      </c>
      <c r="M456" s="292">
        <f>IFERROR(VLOOKUP(B456,'تقرير المصروفات حسب الشهر'!$C$1270:$AD$1381,5,FALSE),0)</f>
        <v>0</v>
      </c>
      <c r="N456" s="292" t="e">
        <f>#REF!</f>
        <v>#REF!</v>
      </c>
      <c r="O456" s="296" t="e">
        <f t="shared" si="10"/>
        <v>#REF!</v>
      </c>
    </row>
    <row r="457" spans="2:15" ht="17.399999999999999">
      <c r="B457" s="291" t="s">
        <v>188</v>
      </c>
      <c r="C457" s="292">
        <f>'تقرير المصروفات حسب الشهر'!G110</f>
        <v>0</v>
      </c>
      <c r="D457" s="292" t="e">
        <f>#REF!</f>
        <v>#REF!</v>
      </c>
      <c r="E457" s="292" t="e">
        <f>#REF!</f>
        <v>#REF!</v>
      </c>
      <c r="F457" s="292" t="e">
        <f>#REF!</f>
        <v>#REF!</v>
      </c>
      <c r="G457" s="292" t="e">
        <f>#REF!</f>
        <v>#REF!</v>
      </c>
      <c r="H457" s="292" t="e">
        <f>#REF!</f>
        <v>#REF!</v>
      </c>
      <c r="I457" s="292">
        <f>'تقرير المصروفات حسب الشهر'!G863</f>
        <v>0</v>
      </c>
      <c r="J457" s="292">
        <f>'تقرير المصروفات حسب الشهر'!G990</f>
        <v>0</v>
      </c>
      <c r="K457" s="292">
        <f>'تقرير المصروفات حسب الشهر'!G1117</f>
        <v>0</v>
      </c>
      <c r="L457" s="292">
        <f>IFERROR(VLOOKUP(B457,'تقرير المصروفات حسب الشهر'!$C$1143:$AD$1254,5,FALSE),0)</f>
        <v>0</v>
      </c>
      <c r="M457" s="292">
        <f>IFERROR(VLOOKUP(B457,'تقرير المصروفات حسب الشهر'!$C$1270:$AD$1381,5,FALSE),0)</f>
        <v>0</v>
      </c>
      <c r="N457" s="292" t="e">
        <f>#REF!</f>
        <v>#REF!</v>
      </c>
      <c r="O457" s="296" t="e">
        <f t="shared" si="10"/>
        <v>#REF!</v>
      </c>
    </row>
    <row r="458" spans="2:15" ht="17.399999999999999">
      <c r="B458" s="291" t="s">
        <v>196</v>
      </c>
      <c r="C458" s="292">
        <f>'تقرير المصروفات حسب الشهر'!G111</f>
        <v>0</v>
      </c>
      <c r="D458" s="292" t="e">
        <f>#REF!</f>
        <v>#REF!</v>
      </c>
      <c r="E458" s="292" t="e">
        <f>#REF!</f>
        <v>#REF!</v>
      </c>
      <c r="F458" s="292" t="e">
        <f>#REF!</f>
        <v>#REF!</v>
      </c>
      <c r="G458" s="292" t="e">
        <f>#REF!</f>
        <v>#REF!</v>
      </c>
      <c r="H458" s="292" t="e">
        <f>#REF!</f>
        <v>#REF!</v>
      </c>
      <c r="I458" s="292">
        <f>'تقرير المصروفات حسب الشهر'!G864</f>
        <v>0</v>
      </c>
      <c r="J458" s="292">
        <f>'تقرير المصروفات حسب الشهر'!G991</f>
        <v>0</v>
      </c>
      <c r="K458" s="292">
        <f>'تقرير المصروفات حسب الشهر'!G1118</f>
        <v>0</v>
      </c>
      <c r="L458" s="292">
        <f>IFERROR(VLOOKUP(B458,'تقرير المصروفات حسب الشهر'!$C$1143:$AD$1254,5,FALSE),0)</f>
        <v>0</v>
      </c>
      <c r="M458" s="292">
        <f>IFERROR(VLOOKUP(B458,'تقرير المصروفات حسب الشهر'!$C$1270:$AD$1381,5,FALSE),0)</f>
        <v>0</v>
      </c>
      <c r="N458" s="292" t="e">
        <f>#REF!</f>
        <v>#REF!</v>
      </c>
      <c r="O458" s="296" t="e">
        <f t="shared" si="10"/>
        <v>#REF!</v>
      </c>
    </row>
    <row r="459" spans="2:15" ht="17.399999999999999">
      <c r="B459" s="291" t="s">
        <v>197</v>
      </c>
      <c r="C459" s="292">
        <f>'تقرير المصروفات حسب الشهر'!G112</f>
        <v>0</v>
      </c>
      <c r="D459" s="292" t="e">
        <f>#REF!</f>
        <v>#REF!</v>
      </c>
      <c r="E459" s="292" t="e">
        <f>#REF!</f>
        <v>#REF!</v>
      </c>
      <c r="F459" s="292" t="e">
        <f>#REF!</f>
        <v>#REF!</v>
      </c>
      <c r="G459" s="292" t="e">
        <f>#REF!</f>
        <v>#REF!</v>
      </c>
      <c r="H459" s="292" t="e">
        <f>#REF!</f>
        <v>#REF!</v>
      </c>
      <c r="I459" s="292">
        <f>'تقرير المصروفات حسب الشهر'!G865</f>
        <v>0</v>
      </c>
      <c r="J459" s="292">
        <f>'تقرير المصروفات حسب الشهر'!G992</f>
        <v>0</v>
      </c>
      <c r="K459" s="292">
        <f>'تقرير المصروفات حسب الشهر'!G1119</f>
        <v>0</v>
      </c>
      <c r="L459" s="292">
        <f>IFERROR(VLOOKUP(B459,'تقرير المصروفات حسب الشهر'!$C$1143:$AD$1254,5,FALSE),0)</f>
        <v>0</v>
      </c>
      <c r="M459" s="292">
        <f>IFERROR(VLOOKUP(B459,'تقرير المصروفات حسب الشهر'!$C$1270:$AD$1381,5,FALSE),0)</f>
        <v>0</v>
      </c>
      <c r="N459" s="292" t="e">
        <f>#REF!</f>
        <v>#REF!</v>
      </c>
      <c r="O459" s="296" t="e">
        <f t="shared" si="10"/>
        <v>#REF!</v>
      </c>
    </row>
    <row r="460" spans="2:15" ht="17.399999999999999">
      <c r="B460" s="291" t="s">
        <v>198</v>
      </c>
      <c r="C460" s="292">
        <f>'تقرير المصروفات حسب الشهر'!G113</f>
        <v>0</v>
      </c>
      <c r="D460" s="292" t="e">
        <f>#REF!</f>
        <v>#REF!</v>
      </c>
      <c r="E460" s="292" t="e">
        <f>#REF!</f>
        <v>#REF!</v>
      </c>
      <c r="F460" s="292" t="e">
        <f>#REF!</f>
        <v>#REF!</v>
      </c>
      <c r="G460" s="292" t="e">
        <f>#REF!</f>
        <v>#REF!</v>
      </c>
      <c r="H460" s="292" t="e">
        <f>#REF!</f>
        <v>#REF!</v>
      </c>
      <c r="I460" s="292">
        <f>'تقرير المصروفات حسب الشهر'!G866</f>
        <v>0</v>
      </c>
      <c r="J460" s="292">
        <f>'تقرير المصروفات حسب الشهر'!G993</f>
        <v>0</v>
      </c>
      <c r="K460" s="292">
        <f>'تقرير المصروفات حسب الشهر'!G1120</f>
        <v>0</v>
      </c>
      <c r="L460" s="292">
        <f>IFERROR(VLOOKUP(B460,'تقرير المصروفات حسب الشهر'!$C$1143:$AD$1254,5,FALSE),0)</f>
        <v>0</v>
      </c>
      <c r="M460" s="292">
        <f>IFERROR(VLOOKUP(B460,'تقرير المصروفات حسب الشهر'!$C$1270:$AD$1381,5,FALSE),0)</f>
        <v>0</v>
      </c>
      <c r="N460" s="292" t="e">
        <f>#REF!</f>
        <v>#REF!</v>
      </c>
      <c r="O460" s="296" t="e">
        <f t="shared" si="10"/>
        <v>#REF!</v>
      </c>
    </row>
    <row r="461" spans="2:15" ht="17.399999999999999">
      <c r="B461" s="291" t="s">
        <v>201</v>
      </c>
      <c r="C461" s="292">
        <f>'تقرير المصروفات حسب الشهر'!G114</f>
        <v>0</v>
      </c>
      <c r="D461" s="292" t="e">
        <f>#REF!</f>
        <v>#REF!</v>
      </c>
      <c r="E461" s="292" t="e">
        <f>#REF!</f>
        <v>#REF!</v>
      </c>
      <c r="F461" s="292" t="e">
        <f>#REF!</f>
        <v>#REF!</v>
      </c>
      <c r="G461" s="292" t="e">
        <f>#REF!</f>
        <v>#REF!</v>
      </c>
      <c r="H461" s="292" t="e">
        <f>#REF!</f>
        <v>#REF!</v>
      </c>
      <c r="I461" s="292">
        <f>'تقرير المصروفات حسب الشهر'!G867</f>
        <v>0</v>
      </c>
      <c r="J461" s="292">
        <f>'تقرير المصروفات حسب الشهر'!G994</f>
        <v>0</v>
      </c>
      <c r="K461" s="292">
        <f>'تقرير المصروفات حسب الشهر'!G1121</f>
        <v>0</v>
      </c>
      <c r="L461" s="292">
        <f>IFERROR(VLOOKUP(B461,'تقرير المصروفات حسب الشهر'!$C$1143:$AD$1254,5,FALSE),0)</f>
        <v>0</v>
      </c>
      <c r="M461" s="292">
        <f>IFERROR(VLOOKUP(B461,'تقرير المصروفات حسب الشهر'!$C$1270:$AD$1381,5,FALSE),0)</f>
        <v>0</v>
      </c>
      <c r="N461" s="292" t="e">
        <f>#REF!</f>
        <v>#REF!</v>
      </c>
      <c r="O461" s="296" t="e">
        <f t="shared" si="10"/>
        <v>#REF!</v>
      </c>
    </row>
    <row r="462" spans="2:15" ht="17.399999999999999">
      <c r="B462" s="291" t="s">
        <v>202</v>
      </c>
      <c r="C462" s="292">
        <f>'تقرير المصروفات حسب الشهر'!G115</f>
        <v>0</v>
      </c>
      <c r="D462" s="292" t="e">
        <f>#REF!</f>
        <v>#REF!</v>
      </c>
      <c r="E462" s="292" t="e">
        <f>#REF!</f>
        <v>#REF!</v>
      </c>
      <c r="F462" s="292" t="e">
        <f>#REF!</f>
        <v>#REF!</v>
      </c>
      <c r="G462" s="292" t="e">
        <f>#REF!</f>
        <v>#REF!</v>
      </c>
      <c r="H462" s="292" t="e">
        <f>#REF!</f>
        <v>#REF!</v>
      </c>
      <c r="I462" s="292">
        <f>'تقرير المصروفات حسب الشهر'!G868</f>
        <v>0</v>
      </c>
      <c r="J462" s="292">
        <f>'تقرير المصروفات حسب الشهر'!G995</f>
        <v>0</v>
      </c>
      <c r="K462" s="292">
        <f>'تقرير المصروفات حسب الشهر'!G1122</f>
        <v>0</v>
      </c>
      <c r="L462" s="292">
        <f>IFERROR(VLOOKUP(B462,'تقرير المصروفات حسب الشهر'!$C$1143:$AD$1254,5,FALSE),0)</f>
        <v>0</v>
      </c>
      <c r="M462" s="292">
        <f>IFERROR(VLOOKUP(B462,'تقرير المصروفات حسب الشهر'!$C$1270:$AD$1381,5,FALSE),0)</f>
        <v>0</v>
      </c>
      <c r="N462" s="292" t="e">
        <f>#REF!</f>
        <v>#REF!</v>
      </c>
      <c r="O462" s="296" t="e">
        <f t="shared" si="10"/>
        <v>#REF!</v>
      </c>
    </row>
    <row r="463" spans="2:15" ht="17.399999999999999">
      <c r="B463" s="291" t="s">
        <v>206</v>
      </c>
      <c r="C463" s="292">
        <f>'تقرير المصروفات حسب الشهر'!G116</f>
        <v>0</v>
      </c>
      <c r="D463" s="292" t="e">
        <f>#REF!</f>
        <v>#REF!</v>
      </c>
      <c r="E463" s="292" t="e">
        <f>#REF!</f>
        <v>#REF!</v>
      </c>
      <c r="F463" s="292" t="e">
        <f>#REF!</f>
        <v>#REF!</v>
      </c>
      <c r="G463" s="292" t="e">
        <f>#REF!</f>
        <v>#REF!</v>
      </c>
      <c r="H463" s="292" t="e">
        <f>#REF!</f>
        <v>#REF!</v>
      </c>
      <c r="I463" s="292">
        <f>'تقرير المصروفات حسب الشهر'!G869</f>
        <v>3975</v>
      </c>
      <c r="J463" s="292">
        <f>'تقرير المصروفات حسب الشهر'!G996</f>
        <v>3975</v>
      </c>
      <c r="K463" s="292">
        <f>'تقرير المصروفات حسب الشهر'!G1123</f>
        <v>3975</v>
      </c>
      <c r="L463" s="292">
        <f>IFERROR(VLOOKUP(B463,'تقرير المصروفات حسب الشهر'!$C$1143:$AD$1254,5,FALSE),0)</f>
        <v>0</v>
      </c>
      <c r="M463" s="292">
        <f>IFERROR(VLOOKUP(B463,'تقرير المصروفات حسب الشهر'!$C$1270:$AD$1381,5,FALSE),0)</f>
        <v>0</v>
      </c>
      <c r="N463" s="292" t="e">
        <f>#REF!</f>
        <v>#REF!</v>
      </c>
      <c r="O463" s="296" t="e">
        <f t="shared" si="10"/>
        <v>#REF!</v>
      </c>
    </row>
    <row r="464" spans="2:15" ht="17.399999999999999">
      <c r="B464" s="291" t="s">
        <v>207</v>
      </c>
      <c r="C464" s="292">
        <f>'تقرير المصروفات حسب الشهر'!G117</f>
        <v>3975</v>
      </c>
      <c r="D464" s="292" t="e">
        <f>#REF!</f>
        <v>#REF!</v>
      </c>
      <c r="E464" s="292" t="e">
        <f>#REF!</f>
        <v>#REF!</v>
      </c>
      <c r="F464" s="292" t="e">
        <f>#REF!</f>
        <v>#REF!</v>
      </c>
      <c r="G464" s="292" t="e">
        <f>#REF!</f>
        <v>#REF!</v>
      </c>
      <c r="H464" s="292" t="e">
        <f>#REF!</f>
        <v>#REF!</v>
      </c>
      <c r="I464" s="292">
        <f>'تقرير المصروفات حسب الشهر'!G870</f>
        <v>0</v>
      </c>
      <c r="J464" s="292">
        <f>'تقرير المصروفات حسب الشهر'!G997</f>
        <v>0</v>
      </c>
      <c r="K464" s="292">
        <f>'تقرير المصروفات حسب الشهر'!G1124</f>
        <v>0</v>
      </c>
      <c r="L464" s="292">
        <f>IFERROR(VLOOKUP(B464,'تقرير المصروفات حسب الشهر'!$C$1143:$AD$1254,5,FALSE),0)</f>
        <v>3543.75</v>
      </c>
      <c r="M464" s="292">
        <f>IFERROR(VLOOKUP(B464,'تقرير المصروفات حسب الشهر'!$C$1270:$AD$1381,5,FALSE),0)</f>
        <v>3112</v>
      </c>
      <c r="N464" s="292" t="e">
        <f>#REF!</f>
        <v>#REF!</v>
      </c>
      <c r="O464" s="296" t="e">
        <f t="shared" si="10"/>
        <v>#REF!</v>
      </c>
    </row>
    <row r="465" spans="2:15" ht="17.399999999999999">
      <c r="B465" s="291" t="s">
        <v>208</v>
      </c>
      <c r="C465" s="292">
        <f>'تقرير المصروفات حسب الشهر'!G118</f>
        <v>0</v>
      </c>
      <c r="D465" s="292" t="e">
        <f>#REF!</f>
        <v>#REF!</v>
      </c>
      <c r="E465" s="292" t="e">
        <f>#REF!</f>
        <v>#REF!</v>
      </c>
      <c r="F465" s="292" t="e">
        <f>#REF!</f>
        <v>#REF!</v>
      </c>
      <c r="G465" s="292" t="e">
        <f>#REF!</f>
        <v>#REF!</v>
      </c>
      <c r="H465" s="292">
        <v>0</v>
      </c>
      <c r="I465" s="292">
        <f>'تقرير المصروفات حسب الشهر'!G871</f>
        <v>0</v>
      </c>
      <c r="J465" s="292">
        <f>'تقرير المصروفات حسب الشهر'!G998</f>
        <v>0</v>
      </c>
      <c r="K465" s="292">
        <f>'تقرير المصروفات حسب الشهر'!G1125</f>
        <v>0</v>
      </c>
      <c r="L465" s="292">
        <f>IFERROR(VLOOKUP(B465,'تقرير المصروفات حسب الشهر'!$C$1143:$AD$1254,5,FALSE),0)</f>
        <v>0</v>
      </c>
      <c r="M465" s="292">
        <f>IFERROR(VLOOKUP(B465,'تقرير المصروفات حسب الشهر'!$C$1270:$AD$1381,5,FALSE),0)</f>
        <v>0</v>
      </c>
      <c r="N465" s="292" t="e">
        <f>#REF!</f>
        <v>#REF!</v>
      </c>
      <c r="O465" s="296" t="e">
        <f t="shared" si="10"/>
        <v>#REF!</v>
      </c>
    </row>
    <row r="466" spans="2:15" ht="17.399999999999999">
      <c r="B466" s="291" t="s">
        <v>236</v>
      </c>
      <c r="C466" s="292">
        <f>'تقرير المصروفات حسب الشهر'!G119</f>
        <v>0</v>
      </c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6"/>
    </row>
    <row r="467" spans="2:15" ht="17.399999999999999">
      <c r="B467" s="291" t="s">
        <v>209</v>
      </c>
      <c r="C467" s="292">
        <f>'تقرير المصروفات حسب الشهر'!G120</f>
        <v>0</v>
      </c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6"/>
    </row>
    <row r="468" spans="2:15" ht="17.399999999999999">
      <c r="B468" s="291" t="s">
        <v>360</v>
      </c>
      <c r="C468" s="292">
        <f>'تقرير المصروفات حسب الشهر'!G121</f>
        <v>0</v>
      </c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6"/>
    </row>
    <row r="469" spans="2:15" ht="17.399999999999999">
      <c r="B469" s="337"/>
      <c r="C469" s="338">
        <f>SUM(C357:C468)</f>
        <v>442745.70999999996</v>
      </c>
      <c r="D469" s="338" t="e">
        <f t="shared" ref="D469:O469" si="11">SUM(D357:D465)</f>
        <v>#REF!</v>
      </c>
      <c r="E469" s="338" t="e">
        <f t="shared" si="11"/>
        <v>#REF!</v>
      </c>
      <c r="F469" s="338" t="e">
        <f t="shared" si="11"/>
        <v>#REF!</v>
      </c>
      <c r="G469" s="338" t="e">
        <f t="shared" si="11"/>
        <v>#REF!</v>
      </c>
      <c r="H469" s="338" t="e">
        <f t="shared" si="11"/>
        <v>#REF!</v>
      </c>
      <c r="I469" s="338">
        <f t="shared" si="11"/>
        <v>490212.36</v>
      </c>
      <c r="J469" s="338">
        <f t="shared" si="11"/>
        <v>491281.75</v>
      </c>
      <c r="K469" s="338">
        <f t="shared" si="11"/>
        <v>398539.79000000004</v>
      </c>
      <c r="L469" s="338">
        <f t="shared" si="11"/>
        <v>631807.48</v>
      </c>
      <c r="M469" s="338">
        <f t="shared" si="11"/>
        <v>536827.64</v>
      </c>
      <c r="N469" s="338" t="e">
        <f t="shared" si="11"/>
        <v>#REF!</v>
      </c>
      <c r="O469" s="338" t="e">
        <f t="shared" si="11"/>
        <v>#REF!</v>
      </c>
    </row>
    <row r="471" spans="2:15" ht="13.8" thickBot="1"/>
    <row r="472" spans="2:15" ht="30.6" thickTop="1">
      <c r="B472" s="646" t="s">
        <v>214</v>
      </c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8"/>
    </row>
    <row r="473" spans="2:15" ht="17.399999999999999">
      <c r="B473" s="295" t="s">
        <v>23</v>
      </c>
      <c r="C473" s="295" t="s">
        <v>0</v>
      </c>
      <c r="D473" s="295" t="s">
        <v>1</v>
      </c>
      <c r="E473" s="295" t="s">
        <v>2</v>
      </c>
      <c r="F473" s="295" t="s">
        <v>3</v>
      </c>
      <c r="G473" s="295" t="s">
        <v>4</v>
      </c>
      <c r="H473" s="295" t="s">
        <v>5</v>
      </c>
      <c r="I473" s="295" t="s">
        <v>6</v>
      </c>
      <c r="J473" s="295" t="s">
        <v>7</v>
      </c>
      <c r="K473" s="295" t="s">
        <v>8</v>
      </c>
      <c r="L473" s="295" t="s">
        <v>9</v>
      </c>
      <c r="M473" s="295" t="s">
        <v>10</v>
      </c>
      <c r="N473" s="295" t="s">
        <v>11</v>
      </c>
      <c r="O473" s="295" t="s">
        <v>18</v>
      </c>
    </row>
    <row r="474" spans="2:15" ht="17.399999999999999">
      <c r="B474" s="291" t="s">
        <v>40</v>
      </c>
      <c r="C474" s="292">
        <f>'تقرير المصروفات حسب الشهر'!H10</f>
        <v>0</v>
      </c>
      <c r="D474" s="292" t="e">
        <f>#REF!</f>
        <v>#REF!</v>
      </c>
      <c r="E474" s="292" t="e">
        <f>#REF!</f>
        <v>#REF!</v>
      </c>
      <c r="F474" s="292" t="e">
        <f>#REF!</f>
        <v>#REF!</v>
      </c>
      <c r="G474" s="292" t="e">
        <f>#REF!</f>
        <v>#REF!</v>
      </c>
      <c r="H474" s="292" t="e">
        <f>#REF!</f>
        <v>#REF!</v>
      </c>
      <c r="I474" s="292">
        <f>'تقرير المصروفات حسب الشهر'!H763</f>
        <v>0</v>
      </c>
      <c r="J474" s="292">
        <f>'تقرير المصروفات حسب الشهر'!H890</f>
        <v>0</v>
      </c>
      <c r="K474" s="292">
        <f>'تقرير المصروفات حسب الشهر'!H1017</f>
        <v>0</v>
      </c>
      <c r="L474" s="292">
        <f>IFERROR(VLOOKUP(B474,'تقرير المصروفات حسب الشهر'!$C$1143:$AD$1254,6,FALSE),0)</f>
        <v>0</v>
      </c>
      <c r="M474" s="292">
        <f>IFERROR(VLOOKUP(B474,'تقرير المصروفات حسب الشهر'!$C$1270:$AD$1381,6,FALSE),0)</f>
        <v>0</v>
      </c>
      <c r="N474" s="292" t="e">
        <f>#REF!</f>
        <v>#REF!</v>
      </c>
      <c r="O474" s="296" t="e">
        <f>SUM(C474:N474)</f>
        <v>#REF!</v>
      </c>
    </row>
    <row r="475" spans="2:15" ht="17.399999999999999">
      <c r="B475" s="291" t="s">
        <v>41</v>
      </c>
      <c r="C475" s="292">
        <f>'تقرير المصروفات حسب الشهر'!H11</f>
        <v>225190.19</v>
      </c>
      <c r="D475" s="292" t="e">
        <f>#REF!</f>
        <v>#REF!</v>
      </c>
      <c r="E475" s="292" t="e">
        <f>#REF!</f>
        <v>#REF!</v>
      </c>
      <c r="F475" s="292" t="e">
        <f>#REF!</f>
        <v>#REF!</v>
      </c>
      <c r="G475" s="292" t="e">
        <f>#REF!</f>
        <v>#REF!</v>
      </c>
      <c r="H475" s="292" t="e">
        <f>#REF!</f>
        <v>#REF!</v>
      </c>
      <c r="I475" s="292">
        <f>'تقرير المصروفات حسب الشهر'!H764</f>
        <v>412599.93000000005</v>
      </c>
      <c r="J475" s="292">
        <f>'تقرير المصروفات حسب الشهر'!H891</f>
        <v>438049.72</v>
      </c>
      <c r="K475" s="292">
        <f>'تقرير المصروفات حسب الشهر'!H1018</f>
        <v>441099.77</v>
      </c>
      <c r="L475" s="292">
        <f>IFERROR(VLOOKUP(B475,'تقرير المصروفات حسب الشهر'!$C$1143:$AD$1254,6,FALSE),0)</f>
        <v>415936.45999999996</v>
      </c>
      <c r="M475" s="292">
        <f>IFERROR(VLOOKUP(B475,'تقرير المصروفات حسب الشهر'!$C$1270:$AD$1381,6,FALSE),0)</f>
        <v>439149.08999999997</v>
      </c>
      <c r="N475" s="292" t="e">
        <f>#REF!</f>
        <v>#REF!</v>
      </c>
      <c r="O475" s="296" t="e">
        <f t="shared" ref="O475:O538" si="12">SUM(C475:N475)</f>
        <v>#REF!</v>
      </c>
    </row>
    <row r="476" spans="2:15" ht="17.399999999999999">
      <c r="B476" s="291" t="s">
        <v>26</v>
      </c>
      <c r="C476" s="292">
        <f>'تقرير المصروفات حسب الشهر'!H12</f>
        <v>2670</v>
      </c>
      <c r="D476" s="292" t="e">
        <f>#REF!</f>
        <v>#REF!</v>
      </c>
      <c r="E476" s="292" t="e">
        <f>#REF!</f>
        <v>#REF!</v>
      </c>
      <c r="F476" s="292" t="e">
        <f>#REF!</f>
        <v>#REF!</v>
      </c>
      <c r="G476" s="292" t="e">
        <f>#REF!</f>
        <v>#REF!</v>
      </c>
      <c r="H476" s="292" t="e">
        <f>#REF!</f>
        <v>#REF!</v>
      </c>
      <c r="I476" s="292">
        <f>'تقرير المصروفات حسب الشهر'!H765</f>
        <v>9619</v>
      </c>
      <c r="J476" s="292">
        <f>'تقرير المصروفات حسب الشهر'!H892</f>
        <v>13041</v>
      </c>
      <c r="K476" s="292">
        <f>'تقرير المصروفات حسب الشهر'!H1019</f>
        <v>12116</v>
      </c>
      <c r="L476" s="292">
        <f>IFERROR(VLOOKUP(B476,'تقرير المصروفات حسب الشهر'!$C$1143:$AD$1254,6,FALSE),0)</f>
        <v>10860</v>
      </c>
      <c r="M476" s="292">
        <f>IFERROR(VLOOKUP(B476,'تقرير المصروفات حسب الشهر'!$C$1270:$AD$1381,6,FALSE),0)</f>
        <v>8362</v>
      </c>
      <c r="N476" s="292" t="e">
        <f>#REF!</f>
        <v>#REF!</v>
      </c>
      <c r="O476" s="296" t="e">
        <f t="shared" si="12"/>
        <v>#REF!</v>
      </c>
    </row>
    <row r="477" spans="2:15" ht="17.399999999999999">
      <c r="B477" s="291" t="s">
        <v>27</v>
      </c>
      <c r="C477" s="292">
        <f>'تقرير المصروفات حسب الشهر'!H13</f>
        <v>475</v>
      </c>
      <c r="D477" s="292" t="e">
        <f>#REF!</f>
        <v>#REF!</v>
      </c>
      <c r="E477" s="292" t="e">
        <f>#REF!</f>
        <v>#REF!</v>
      </c>
      <c r="F477" s="292" t="e">
        <f>#REF!</f>
        <v>#REF!</v>
      </c>
      <c r="G477" s="292" t="e">
        <f>#REF!</f>
        <v>#REF!</v>
      </c>
      <c r="H477" s="292" t="e">
        <f>#REF!</f>
        <v>#REF!</v>
      </c>
      <c r="I477" s="292">
        <f>'تقرير المصروفات حسب الشهر'!H766</f>
        <v>0</v>
      </c>
      <c r="J477" s="292">
        <f>'تقرير المصروفات حسب الشهر'!H893</f>
        <v>0</v>
      </c>
      <c r="K477" s="292">
        <f>'تقرير المصروفات حسب الشهر'!H1020</f>
        <v>3245</v>
      </c>
      <c r="L477" s="292">
        <f>IFERROR(VLOOKUP(B477,'تقرير المصروفات حسب الشهر'!$C$1143:$AD$1254,6,FALSE),0)</f>
        <v>1062</v>
      </c>
      <c r="M477" s="292">
        <f>IFERROR(VLOOKUP(B477,'تقرير المصروفات حسب الشهر'!$C$1270:$AD$1381,6,FALSE),0)</f>
        <v>0</v>
      </c>
      <c r="N477" s="292" t="e">
        <f>#REF!</f>
        <v>#REF!</v>
      </c>
      <c r="O477" s="296" t="e">
        <f t="shared" si="12"/>
        <v>#REF!</v>
      </c>
    </row>
    <row r="478" spans="2:15" ht="17.399999999999999">
      <c r="B478" s="291" t="s">
        <v>42</v>
      </c>
      <c r="C478" s="292">
        <f>'تقرير المصروفات حسب الشهر'!H14</f>
        <v>350</v>
      </c>
      <c r="D478" s="292" t="e">
        <f>#REF!</f>
        <v>#REF!</v>
      </c>
      <c r="E478" s="292" t="e">
        <f>#REF!</f>
        <v>#REF!</v>
      </c>
      <c r="F478" s="292" t="e">
        <f>#REF!</f>
        <v>#REF!</v>
      </c>
      <c r="G478" s="292" t="e">
        <f>#REF!</f>
        <v>#REF!</v>
      </c>
      <c r="H478" s="292" t="e">
        <f>#REF!</f>
        <v>#REF!</v>
      </c>
      <c r="I478" s="292">
        <f>'تقرير المصروفات حسب الشهر'!H767</f>
        <v>0</v>
      </c>
      <c r="J478" s="292">
        <f>'تقرير المصروفات حسب الشهر'!H894</f>
        <v>0</v>
      </c>
      <c r="K478" s="292">
        <f>'تقرير المصروفات حسب الشهر'!H1021</f>
        <v>0</v>
      </c>
      <c r="L478" s="292">
        <f>IFERROR(VLOOKUP(B478,'تقرير المصروفات حسب الشهر'!$C$1143:$AD$1254,6,FALSE),0)</f>
        <v>0</v>
      </c>
      <c r="M478" s="292">
        <f>IFERROR(VLOOKUP(B478,'تقرير المصروفات حسب الشهر'!$C$1270:$AD$1381,6,FALSE),0)</f>
        <v>400</v>
      </c>
      <c r="N478" s="292" t="e">
        <f>#REF!</f>
        <v>#REF!</v>
      </c>
      <c r="O478" s="296" t="e">
        <f t="shared" si="12"/>
        <v>#REF!</v>
      </c>
    </row>
    <row r="479" spans="2:15" ht="17.399999999999999">
      <c r="B479" s="291" t="s">
        <v>43</v>
      </c>
      <c r="C479" s="292">
        <f>'تقرير المصروفات حسب الشهر'!H15</f>
        <v>0</v>
      </c>
      <c r="D479" s="292" t="e">
        <f>#REF!</f>
        <v>#REF!</v>
      </c>
      <c r="E479" s="292" t="e">
        <f>#REF!</f>
        <v>#REF!</v>
      </c>
      <c r="F479" s="292" t="e">
        <f>#REF!</f>
        <v>#REF!</v>
      </c>
      <c r="G479" s="292" t="e">
        <f>#REF!</f>
        <v>#REF!</v>
      </c>
      <c r="H479" s="292" t="e">
        <f>#REF!</f>
        <v>#REF!</v>
      </c>
      <c r="I479" s="292">
        <f>'تقرير المصروفات حسب الشهر'!H768</f>
        <v>0</v>
      </c>
      <c r="J479" s="292">
        <f>'تقرير المصروفات حسب الشهر'!H895</f>
        <v>0</v>
      </c>
      <c r="K479" s="292">
        <f>'تقرير المصروفات حسب الشهر'!H1022</f>
        <v>0</v>
      </c>
      <c r="L479" s="292">
        <f>IFERROR(VLOOKUP(B479,'تقرير المصروفات حسب الشهر'!$C$1143:$AD$1254,6,FALSE),0)</f>
        <v>0</v>
      </c>
      <c r="M479" s="292">
        <f>IFERROR(VLOOKUP(B479,'تقرير المصروفات حسب الشهر'!$C$1270:$AD$1381,6,FALSE),0)</f>
        <v>0</v>
      </c>
      <c r="N479" s="292" t="e">
        <f>#REF!</f>
        <v>#REF!</v>
      </c>
      <c r="O479" s="296" t="e">
        <f t="shared" si="12"/>
        <v>#REF!</v>
      </c>
    </row>
    <row r="480" spans="2:15" ht="17.399999999999999">
      <c r="B480" s="291" t="s">
        <v>44</v>
      </c>
      <c r="C480" s="292">
        <f>'تقرير المصروفات حسب الشهر'!H16</f>
        <v>0</v>
      </c>
      <c r="D480" s="292" t="e">
        <f>#REF!</f>
        <v>#REF!</v>
      </c>
      <c r="E480" s="292" t="e">
        <f>#REF!</f>
        <v>#REF!</v>
      </c>
      <c r="F480" s="292" t="e">
        <f>#REF!</f>
        <v>#REF!</v>
      </c>
      <c r="G480" s="292" t="e">
        <f>#REF!</f>
        <v>#REF!</v>
      </c>
      <c r="H480" s="292" t="e">
        <f>#REF!</f>
        <v>#REF!</v>
      </c>
      <c r="I480" s="292">
        <f>'تقرير المصروفات حسب الشهر'!H769</f>
        <v>0</v>
      </c>
      <c r="J480" s="292">
        <f>'تقرير المصروفات حسب الشهر'!H896</f>
        <v>0</v>
      </c>
      <c r="K480" s="292">
        <f>'تقرير المصروفات حسب الشهر'!H1023</f>
        <v>0</v>
      </c>
      <c r="L480" s="292">
        <f>IFERROR(VLOOKUP(B480,'تقرير المصروفات حسب الشهر'!$C$1143:$AD$1254,6,FALSE),0)</f>
        <v>0</v>
      </c>
      <c r="M480" s="292">
        <f>IFERROR(VLOOKUP(B480,'تقرير المصروفات حسب الشهر'!$C$1270:$AD$1381,6,FALSE),0)</f>
        <v>0</v>
      </c>
      <c r="N480" s="292" t="e">
        <f>#REF!</f>
        <v>#REF!</v>
      </c>
      <c r="O480" s="296" t="e">
        <f t="shared" si="12"/>
        <v>#REF!</v>
      </c>
    </row>
    <row r="481" spans="2:15" ht="17.399999999999999">
      <c r="B481" s="291" t="s">
        <v>45</v>
      </c>
      <c r="C481" s="292">
        <f>'تقرير المصروفات حسب الشهر'!H17</f>
        <v>35500</v>
      </c>
      <c r="D481" s="292" t="e">
        <f>#REF!</f>
        <v>#REF!</v>
      </c>
      <c r="E481" s="292" t="e">
        <f>#REF!</f>
        <v>#REF!</v>
      </c>
      <c r="F481" s="292" t="e">
        <f>#REF!</f>
        <v>#REF!</v>
      </c>
      <c r="G481" s="292" t="e">
        <f>#REF!</f>
        <v>#REF!</v>
      </c>
      <c r="H481" s="292" t="e">
        <f>#REF!</f>
        <v>#REF!</v>
      </c>
      <c r="I481" s="292">
        <f>'تقرير المصروفات حسب الشهر'!H770</f>
        <v>35500</v>
      </c>
      <c r="J481" s="292">
        <f>'تقرير المصروفات حسب الشهر'!H897</f>
        <v>35500</v>
      </c>
      <c r="K481" s="292">
        <f>'تقرير المصروفات حسب الشهر'!H1024</f>
        <v>35500</v>
      </c>
      <c r="L481" s="292">
        <f>IFERROR(VLOOKUP(B481,'تقرير المصروفات حسب الشهر'!$C$1143:$AD$1254,6,FALSE),0)</f>
        <v>35500</v>
      </c>
      <c r="M481" s="292">
        <f>IFERROR(VLOOKUP(B481,'تقرير المصروفات حسب الشهر'!$C$1270:$AD$1381,6,FALSE),0)</f>
        <v>35500</v>
      </c>
      <c r="N481" s="292" t="e">
        <f>#REF!</f>
        <v>#REF!</v>
      </c>
      <c r="O481" s="296" t="e">
        <f t="shared" si="12"/>
        <v>#REF!</v>
      </c>
    </row>
    <row r="482" spans="2:15" ht="17.399999999999999">
      <c r="B482" s="291" t="s">
        <v>156</v>
      </c>
      <c r="C482" s="292">
        <f>'تقرير المصروفات حسب الشهر'!H18</f>
        <v>0</v>
      </c>
      <c r="D482" s="292" t="e">
        <f>#REF!</f>
        <v>#REF!</v>
      </c>
      <c r="E482" s="292" t="e">
        <f>#REF!</f>
        <v>#REF!</v>
      </c>
      <c r="F482" s="292" t="e">
        <f>#REF!</f>
        <v>#REF!</v>
      </c>
      <c r="G482" s="292" t="e">
        <f>#REF!</f>
        <v>#REF!</v>
      </c>
      <c r="H482" s="292" t="e">
        <f>#REF!</f>
        <v>#REF!</v>
      </c>
      <c r="I482" s="292">
        <f>'تقرير المصروفات حسب الشهر'!H771</f>
        <v>0</v>
      </c>
      <c r="J482" s="292">
        <f>'تقرير المصروفات حسب الشهر'!H898</f>
        <v>90</v>
      </c>
      <c r="K482" s="292">
        <f>'تقرير المصروفات حسب الشهر'!H1025</f>
        <v>0</v>
      </c>
      <c r="L482" s="292">
        <f>IFERROR(VLOOKUP(B482,'تقرير المصروفات حسب الشهر'!$C$1143:$AD$1254,6,FALSE),0)</f>
        <v>1300.25</v>
      </c>
      <c r="M482" s="292">
        <f>IFERROR(VLOOKUP(B482,'تقرير المصروفات حسب الشهر'!$C$1270:$AD$1381,6,FALSE),0)</f>
        <v>0</v>
      </c>
      <c r="N482" s="292" t="e">
        <f>#REF!</f>
        <v>#REF!</v>
      </c>
      <c r="O482" s="296" t="e">
        <f t="shared" si="12"/>
        <v>#REF!</v>
      </c>
    </row>
    <row r="483" spans="2:15" ht="17.399999999999999">
      <c r="B483" s="291" t="s">
        <v>46</v>
      </c>
      <c r="C483" s="292">
        <f>'تقرير المصروفات حسب الشهر'!H19</f>
        <v>147.13</v>
      </c>
      <c r="D483" s="292" t="e">
        <f>#REF!</f>
        <v>#REF!</v>
      </c>
      <c r="E483" s="292" t="e">
        <f>#REF!</f>
        <v>#REF!</v>
      </c>
      <c r="F483" s="292" t="e">
        <f>#REF!</f>
        <v>#REF!</v>
      </c>
      <c r="G483" s="292" t="e">
        <f>#REF!</f>
        <v>#REF!</v>
      </c>
      <c r="H483" s="292" t="e">
        <f>#REF!</f>
        <v>#REF!</v>
      </c>
      <c r="I483" s="292">
        <f>'تقرير المصروفات حسب الشهر'!H772</f>
        <v>147.13</v>
      </c>
      <c r="J483" s="292">
        <f>'تقرير المصروفات حسب الشهر'!H899</f>
        <v>147.13</v>
      </c>
      <c r="K483" s="292">
        <f>'تقرير المصروفات حسب الشهر'!H1026</f>
        <v>147.13</v>
      </c>
      <c r="L483" s="292">
        <f>IFERROR(VLOOKUP(B483,'تقرير المصروفات حسب الشهر'!$C$1143:$AD$1254,6,FALSE),0)</f>
        <v>147.13</v>
      </c>
      <c r="M483" s="292">
        <f>IFERROR(VLOOKUP(B483,'تقرير المصروفات حسب الشهر'!$C$1270:$AD$1381,6,FALSE),0)</f>
        <v>198.1</v>
      </c>
      <c r="N483" s="292" t="e">
        <f>#REF!</f>
        <v>#REF!</v>
      </c>
      <c r="O483" s="296" t="e">
        <f t="shared" si="12"/>
        <v>#REF!</v>
      </c>
    </row>
    <row r="484" spans="2:15" ht="17.399999999999999">
      <c r="B484" s="291" t="s">
        <v>47</v>
      </c>
      <c r="C484" s="292">
        <f>'تقرير المصروفات حسب الشهر'!H20</f>
        <v>0</v>
      </c>
      <c r="D484" s="292" t="e">
        <f>#REF!</f>
        <v>#REF!</v>
      </c>
      <c r="E484" s="292" t="e">
        <f>#REF!</f>
        <v>#REF!</v>
      </c>
      <c r="F484" s="292" t="e">
        <f>#REF!</f>
        <v>#REF!</v>
      </c>
      <c r="G484" s="292" t="e">
        <f>#REF!</f>
        <v>#REF!</v>
      </c>
      <c r="H484" s="292" t="e">
        <f>#REF!</f>
        <v>#REF!</v>
      </c>
      <c r="I484" s="292">
        <f>'تقرير المصروفات حسب الشهر'!H773</f>
        <v>0</v>
      </c>
      <c r="J484" s="292">
        <f>'تقرير المصروفات حسب الشهر'!H900</f>
        <v>0</v>
      </c>
      <c r="K484" s="292">
        <f>'تقرير المصروفات حسب الشهر'!H1027</f>
        <v>0</v>
      </c>
      <c r="L484" s="292">
        <f>IFERROR(VLOOKUP(B484,'تقرير المصروفات حسب الشهر'!$C$1143:$AD$1254,6,FALSE),0)</f>
        <v>0</v>
      </c>
      <c r="M484" s="292">
        <f>IFERROR(VLOOKUP(B484,'تقرير المصروفات حسب الشهر'!$C$1270:$AD$1381,6,FALSE),0)</f>
        <v>0</v>
      </c>
      <c r="N484" s="292" t="e">
        <f>#REF!</f>
        <v>#REF!</v>
      </c>
      <c r="O484" s="296" t="e">
        <f t="shared" si="12"/>
        <v>#REF!</v>
      </c>
    </row>
    <row r="485" spans="2:15" ht="17.399999999999999">
      <c r="B485" s="291" t="s">
        <v>48</v>
      </c>
      <c r="C485" s="292">
        <f>'تقرير المصروفات حسب الشهر'!H21</f>
        <v>0</v>
      </c>
      <c r="D485" s="292" t="e">
        <f>#REF!</f>
        <v>#REF!</v>
      </c>
      <c r="E485" s="292" t="e">
        <f>#REF!</f>
        <v>#REF!</v>
      </c>
      <c r="F485" s="292" t="e">
        <f>#REF!</f>
        <v>#REF!</v>
      </c>
      <c r="G485" s="292" t="e">
        <f>#REF!</f>
        <v>#REF!</v>
      </c>
      <c r="H485" s="292" t="e">
        <f>#REF!</f>
        <v>#REF!</v>
      </c>
      <c r="I485" s="292">
        <f>'تقرير المصروفات حسب الشهر'!H774</f>
        <v>650</v>
      </c>
      <c r="J485" s="292">
        <f>'تقرير المصروفات حسب الشهر'!H901</f>
        <v>900</v>
      </c>
      <c r="K485" s="292">
        <f>'تقرير المصروفات حسب الشهر'!H1028</f>
        <v>0</v>
      </c>
      <c r="L485" s="292">
        <f>IFERROR(VLOOKUP(B485,'تقرير المصروفات حسب الشهر'!$C$1143:$AD$1254,6,FALSE),0)</f>
        <v>0</v>
      </c>
      <c r="M485" s="292">
        <f>IFERROR(VLOOKUP(B485,'تقرير المصروفات حسب الشهر'!$C$1270:$AD$1381,6,FALSE),0)</f>
        <v>750</v>
      </c>
      <c r="N485" s="292" t="e">
        <f>#REF!</f>
        <v>#REF!</v>
      </c>
      <c r="O485" s="296" t="e">
        <f t="shared" si="12"/>
        <v>#REF!</v>
      </c>
    </row>
    <row r="486" spans="2:15" ht="17.399999999999999">
      <c r="B486" s="291" t="s">
        <v>49</v>
      </c>
      <c r="C486" s="292">
        <f>'تقرير المصروفات حسب الشهر'!H22</f>
        <v>0</v>
      </c>
      <c r="D486" s="292" t="e">
        <f>#REF!</f>
        <v>#REF!</v>
      </c>
      <c r="E486" s="292" t="e">
        <f>#REF!</f>
        <v>#REF!</v>
      </c>
      <c r="F486" s="292" t="e">
        <f>#REF!</f>
        <v>#REF!</v>
      </c>
      <c r="G486" s="292" t="e">
        <f>#REF!</f>
        <v>#REF!</v>
      </c>
      <c r="H486" s="292" t="e">
        <f>#REF!</f>
        <v>#REF!</v>
      </c>
      <c r="I486" s="292">
        <f>'تقرير المصروفات حسب الشهر'!H775</f>
        <v>0</v>
      </c>
      <c r="J486" s="292">
        <f>'تقرير المصروفات حسب الشهر'!H902</f>
        <v>0</v>
      </c>
      <c r="K486" s="292">
        <f>'تقرير المصروفات حسب الشهر'!H1029</f>
        <v>0</v>
      </c>
      <c r="L486" s="292">
        <f>IFERROR(VLOOKUP(B486,'تقرير المصروفات حسب الشهر'!$C$1143:$AD$1254,6,FALSE),0)</f>
        <v>0</v>
      </c>
      <c r="M486" s="292">
        <f>IFERROR(VLOOKUP(B486,'تقرير المصروفات حسب الشهر'!$C$1270:$AD$1381,6,FALSE),0)</f>
        <v>0</v>
      </c>
      <c r="N486" s="292" t="e">
        <f>#REF!</f>
        <v>#REF!</v>
      </c>
      <c r="O486" s="296" t="e">
        <f t="shared" si="12"/>
        <v>#REF!</v>
      </c>
    </row>
    <row r="487" spans="2:15" ht="17.399999999999999">
      <c r="B487" s="291" t="s">
        <v>158</v>
      </c>
      <c r="C487" s="292">
        <f>'تقرير المصروفات حسب الشهر'!H23</f>
        <v>800</v>
      </c>
      <c r="D487" s="292" t="e">
        <f>#REF!</f>
        <v>#REF!</v>
      </c>
      <c r="E487" s="292" t="e">
        <f>#REF!</f>
        <v>#REF!</v>
      </c>
      <c r="F487" s="292" t="e">
        <f>#REF!</f>
        <v>#REF!</v>
      </c>
      <c r="G487" s="292" t="e">
        <f>#REF!</f>
        <v>#REF!</v>
      </c>
      <c r="H487" s="292" t="e">
        <f>#REF!</f>
        <v>#REF!</v>
      </c>
      <c r="I487" s="292">
        <f>'تقرير المصروفات حسب الشهر'!H776</f>
        <v>155</v>
      </c>
      <c r="J487" s="292">
        <f>'تقرير المصروفات حسب الشهر'!H903</f>
        <v>0</v>
      </c>
      <c r="K487" s="292">
        <f>'تقرير المصروفات حسب الشهر'!H1030</f>
        <v>0</v>
      </c>
      <c r="L487" s="292">
        <f>IFERROR(VLOOKUP(B487,'تقرير المصروفات حسب الشهر'!$C$1143:$AD$1254,6,FALSE),0)</f>
        <v>0</v>
      </c>
      <c r="M487" s="292">
        <f>IFERROR(VLOOKUP(B487,'تقرير المصروفات حسب الشهر'!$C$1270:$AD$1381,6,FALSE),0)</f>
        <v>0</v>
      </c>
      <c r="N487" s="292" t="e">
        <f>#REF!</f>
        <v>#REF!</v>
      </c>
      <c r="O487" s="296" t="e">
        <f t="shared" si="12"/>
        <v>#REF!</v>
      </c>
    </row>
    <row r="488" spans="2:15" ht="17.399999999999999">
      <c r="B488" s="291" t="s">
        <v>50</v>
      </c>
      <c r="C488" s="292">
        <f>'تقرير المصروفات حسب الشهر'!H24</f>
        <v>750</v>
      </c>
      <c r="D488" s="292" t="e">
        <f>#REF!</f>
        <v>#REF!</v>
      </c>
      <c r="E488" s="292" t="e">
        <f>#REF!</f>
        <v>#REF!</v>
      </c>
      <c r="F488" s="292" t="e">
        <f>#REF!</f>
        <v>#REF!</v>
      </c>
      <c r="G488" s="292" t="e">
        <f>#REF!</f>
        <v>#REF!</v>
      </c>
      <c r="H488" s="292" t="e">
        <f>#REF!</f>
        <v>#REF!</v>
      </c>
      <c r="I488" s="292">
        <f>'تقرير المصروفات حسب الشهر'!H777</f>
        <v>0</v>
      </c>
      <c r="J488" s="292">
        <f>'تقرير المصروفات حسب الشهر'!H904</f>
        <v>4050</v>
      </c>
      <c r="K488" s="292">
        <f>'تقرير المصروفات حسب الشهر'!H1031</f>
        <v>0</v>
      </c>
      <c r="L488" s="292">
        <f>IFERROR(VLOOKUP(B488,'تقرير المصروفات حسب الشهر'!$C$1143:$AD$1254,6,FALSE),0)</f>
        <v>5390</v>
      </c>
      <c r="M488" s="292">
        <f>IFERROR(VLOOKUP(B488,'تقرير المصروفات حسب الشهر'!$C$1270:$AD$1381,6,FALSE),0)</f>
        <v>0</v>
      </c>
      <c r="N488" s="292" t="e">
        <f>#REF!</f>
        <v>#REF!</v>
      </c>
      <c r="O488" s="296" t="e">
        <f t="shared" si="12"/>
        <v>#REF!</v>
      </c>
    </row>
    <row r="489" spans="2:15" ht="17.399999999999999">
      <c r="B489" s="291" t="s">
        <v>51</v>
      </c>
      <c r="C489" s="292">
        <f>'تقرير المصروفات حسب الشهر'!H25</f>
        <v>2250</v>
      </c>
      <c r="D489" s="292" t="e">
        <f>#REF!</f>
        <v>#REF!</v>
      </c>
      <c r="E489" s="292" t="e">
        <f>#REF!</f>
        <v>#REF!</v>
      </c>
      <c r="F489" s="292" t="e">
        <f>#REF!</f>
        <v>#REF!</v>
      </c>
      <c r="G489" s="292" t="e">
        <f>#REF!</f>
        <v>#REF!</v>
      </c>
      <c r="H489" s="292" t="e">
        <f>#REF!</f>
        <v>#REF!</v>
      </c>
      <c r="I489" s="292">
        <f>'تقرير المصروفات حسب الشهر'!H778</f>
        <v>0</v>
      </c>
      <c r="J489" s="292">
        <f>'تقرير المصروفات حسب الشهر'!H905</f>
        <v>4500</v>
      </c>
      <c r="K489" s="292">
        <f>'تقرير المصروفات حسب الشهر'!H1032</f>
        <v>0</v>
      </c>
      <c r="L489" s="292">
        <f>IFERROR(VLOOKUP(B489,'تقرير المصروفات حسب الشهر'!$C$1143:$AD$1254,6,FALSE),0)</f>
        <v>6750</v>
      </c>
      <c r="M489" s="292">
        <f>IFERROR(VLOOKUP(B489,'تقرير المصروفات حسب الشهر'!$C$1270:$AD$1381,6,FALSE),0)</f>
        <v>0</v>
      </c>
      <c r="N489" s="292" t="e">
        <f>#REF!</f>
        <v>#REF!</v>
      </c>
      <c r="O489" s="296" t="e">
        <f t="shared" si="12"/>
        <v>#REF!</v>
      </c>
    </row>
    <row r="490" spans="2:15" ht="17.399999999999999">
      <c r="B490" s="291" t="s">
        <v>52</v>
      </c>
      <c r="C490" s="292">
        <f>'تقرير المصروفات حسب الشهر'!H26</f>
        <v>0</v>
      </c>
      <c r="D490" s="292" t="e">
        <f>#REF!</f>
        <v>#REF!</v>
      </c>
      <c r="E490" s="292" t="e">
        <f>#REF!</f>
        <v>#REF!</v>
      </c>
      <c r="F490" s="292" t="e">
        <f>#REF!</f>
        <v>#REF!</v>
      </c>
      <c r="G490" s="292" t="e">
        <f>#REF!</f>
        <v>#REF!</v>
      </c>
      <c r="H490" s="292" t="e">
        <f>#REF!</f>
        <v>#REF!</v>
      </c>
      <c r="I490" s="292">
        <f>'تقرير المصروفات حسب الشهر'!H779</f>
        <v>0</v>
      </c>
      <c r="J490" s="292">
        <f>'تقرير المصروفات حسب الشهر'!H906</f>
        <v>0</v>
      </c>
      <c r="K490" s="292">
        <f>'تقرير المصروفات حسب الشهر'!H1033</f>
        <v>0</v>
      </c>
      <c r="L490" s="292">
        <f>IFERROR(VLOOKUP(B490,'تقرير المصروفات حسب الشهر'!$C$1143:$AD$1254,6,FALSE),0)</f>
        <v>0</v>
      </c>
      <c r="M490" s="292">
        <f>IFERROR(VLOOKUP(B490,'تقرير المصروفات حسب الشهر'!$C$1270:$AD$1381,6,FALSE),0)</f>
        <v>0</v>
      </c>
      <c r="N490" s="292" t="e">
        <f>#REF!</f>
        <v>#REF!</v>
      </c>
      <c r="O490" s="296" t="e">
        <f t="shared" si="12"/>
        <v>#REF!</v>
      </c>
    </row>
    <row r="491" spans="2:15" ht="17.399999999999999">
      <c r="B491" s="291" t="s">
        <v>174</v>
      </c>
      <c r="C491" s="292">
        <f>'تقرير المصروفات حسب الشهر'!H27</f>
        <v>4422.5</v>
      </c>
      <c r="D491" s="292" t="e">
        <f>#REF!</f>
        <v>#REF!</v>
      </c>
      <c r="E491" s="292" t="e">
        <f>#REF!</f>
        <v>#REF!</v>
      </c>
      <c r="F491" s="292" t="e">
        <f>#REF!</f>
        <v>#REF!</v>
      </c>
      <c r="G491" s="292" t="e">
        <f>#REF!</f>
        <v>#REF!</v>
      </c>
      <c r="H491" s="292" t="e">
        <f>#REF!</f>
        <v>#REF!</v>
      </c>
      <c r="I491" s="292">
        <f>'تقرير المصروفات حسب الشهر'!H780</f>
        <v>2478</v>
      </c>
      <c r="J491" s="292">
        <f>'تقرير المصروفات حسب الشهر'!H907</f>
        <v>2070</v>
      </c>
      <c r="K491" s="292">
        <f>'تقرير المصروفات حسب الشهر'!H1034</f>
        <v>1866</v>
      </c>
      <c r="L491" s="292">
        <f>IFERROR(VLOOKUP(B491,'تقرير المصروفات حسب الشهر'!$C$1143:$AD$1254,6,FALSE),0)</f>
        <v>1382</v>
      </c>
      <c r="M491" s="292">
        <f>IFERROR(VLOOKUP(B491,'تقرير المصروفات حسب الشهر'!$C$1270:$AD$1381,6,FALSE),0)</f>
        <v>2906</v>
      </c>
      <c r="N491" s="292" t="e">
        <f>#REF!</f>
        <v>#REF!</v>
      </c>
      <c r="O491" s="296" t="e">
        <f t="shared" si="12"/>
        <v>#REF!</v>
      </c>
    </row>
    <row r="492" spans="2:15" ht="17.399999999999999">
      <c r="B492" s="291" t="s">
        <v>53</v>
      </c>
      <c r="C492" s="292">
        <f>'تقرير المصروفات حسب الشهر'!H28</f>
        <v>0</v>
      </c>
      <c r="D492" s="292" t="e">
        <f>#REF!</f>
        <v>#REF!</v>
      </c>
      <c r="E492" s="292" t="e">
        <f>#REF!</f>
        <v>#REF!</v>
      </c>
      <c r="F492" s="292" t="e">
        <f>#REF!</f>
        <v>#REF!</v>
      </c>
      <c r="G492" s="292" t="e">
        <f>#REF!</f>
        <v>#REF!</v>
      </c>
      <c r="H492" s="292" t="e">
        <f>#REF!</f>
        <v>#REF!</v>
      </c>
      <c r="I492" s="292">
        <f>'تقرير المصروفات حسب الشهر'!H781</f>
        <v>100</v>
      </c>
      <c r="J492" s="292">
        <f>'تقرير المصروفات حسب الشهر'!H908</f>
        <v>0</v>
      </c>
      <c r="K492" s="292">
        <f>'تقرير المصروفات حسب الشهر'!H1035</f>
        <v>0</v>
      </c>
      <c r="L492" s="292">
        <f>IFERROR(VLOOKUP(B492,'تقرير المصروفات حسب الشهر'!$C$1143:$AD$1254,6,FALSE),0)</f>
        <v>0</v>
      </c>
      <c r="M492" s="292">
        <f>IFERROR(VLOOKUP(B492,'تقرير المصروفات حسب الشهر'!$C$1270:$AD$1381,6,FALSE),0)</f>
        <v>0</v>
      </c>
      <c r="N492" s="292" t="e">
        <f>#REF!</f>
        <v>#REF!</v>
      </c>
      <c r="O492" s="296" t="e">
        <f t="shared" si="12"/>
        <v>#REF!</v>
      </c>
    </row>
    <row r="493" spans="2:15" ht="17.399999999999999">
      <c r="B493" s="291" t="s">
        <v>191</v>
      </c>
      <c r="C493" s="292">
        <f>'تقرير المصروفات حسب الشهر'!H29</f>
        <v>0</v>
      </c>
      <c r="D493" s="292" t="e">
        <f>#REF!</f>
        <v>#REF!</v>
      </c>
      <c r="E493" s="292" t="e">
        <f>#REF!</f>
        <v>#REF!</v>
      </c>
      <c r="F493" s="292" t="e">
        <f>#REF!</f>
        <v>#REF!</v>
      </c>
      <c r="G493" s="292" t="e">
        <f>#REF!</f>
        <v>#REF!</v>
      </c>
      <c r="H493" s="292" t="e">
        <f>#REF!</f>
        <v>#REF!</v>
      </c>
      <c r="I493" s="292">
        <f>'تقرير المصروفات حسب الشهر'!H782</f>
        <v>0</v>
      </c>
      <c r="J493" s="292">
        <f>'تقرير المصروفات حسب الشهر'!H909</f>
        <v>0</v>
      </c>
      <c r="K493" s="292">
        <f>'تقرير المصروفات حسب الشهر'!H1036</f>
        <v>0</v>
      </c>
      <c r="L493" s="292">
        <f>IFERROR(VLOOKUP(B493,'تقرير المصروفات حسب الشهر'!$C$1143:$AD$1254,6,FALSE),0)</f>
        <v>0</v>
      </c>
      <c r="M493" s="292">
        <f>IFERROR(VLOOKUP(B493,'تقرير المصروفات حسب الشهر'!$C$1270:$AD$1381,6,FALSE),0)</f>
        <v>0</v>
      </c>
      <c r="N493" s="292" t="e">
        <f>#REF!</f>
        <v>#REF!</v>
      </c>
      <c r="O493" s="296" t="e">
        <f t="shared" si="12"/>
        <v>#REF!</v>
      </c>
    </row>
    <row r="494" spans="2:15" ht="17.399999999999999">
      <c r="B494" s="291" t="s">
        <v>29</v>
      </c>
      <c r="C494" s="292">
        <f>'تقرير المصروفات حسب الشهر'!H30</f>
        <v>0</v>
      </c>
      <c r="D494" s="292" t="e">
        <f>#REF!</f>
        <v>#REF!</v>
      </c>
      <c r="E494" s="292" t="e">
        <f>#REF!</f>
        <v>#REF!</v>
      </c>
      <c r="F494" s="292" t="e">
        <f>#REF!</f>
        <v>#REF!</v>
      </c>
      <c r="G494" s="292" t="e">
        <f>#REF!</f>
        <v>#REF!</v>
      </c>
      <c r="H494" s="292" t="e">
        <f>#REF!</f>
        <v>#REF!</v>
      </c>
      <c r="I494" s="292">
        <f>'تقرير المصروفات حسب الشهر'!H783</f>
        <v>0</v>
      </c>
      <c r="J494" s="292">
        <f>'تقرير المصروفات حسب الشهر'!H910</f>
        <v>0</v>
      </c>
      <c r="K494" s="292">
        <f>'تقرير المصروفات حسب الشهر'!H1037</f>
        <v>0</v>
      </c>
      <c r="L494" s="292">
        <f>IFERROR(VLOOKUP(B494,'تقرير المصروفات حسب الشهر'!$C$1143:$AD$1254,6,FALSE),0)</f>
        <v>0</v>
      </c>
      <c r="M494" s="292">
        <f>IFERROR(VLOOKUP(B494,'تقرير المصروفات حسب الشهر'!$C$1270:$AD$1381,6,FALSE),0)</f>
        <v>0</v>
      </c>
      <c r="N494" s="292" t="e">
        <f>#REF!</f>
        <v>#REF!</v>
      </c>
      <c r="O494" s="296" t="e">
        <f t="shared" si="12"/>
        <v>#REF!</v>
      </c>
    </row>
    <row r="495" spans="2:15" ht="17.399999999999999">
      <c r="B495" s="291" t="s">
        <v>54</v>
      </c>
      <c r="C495" s="292">
        <f>'تقرير المصروفات حسب الشهر'!H31</f>
        <v>0</v>
      </c>
      <c r="D495" s="292" t="e">
        <f>#REF!</f>
        <v>#REF!</v>
      </c>
      <c r="E495" s="292" t="e">
        <f>#REF!</f>
        <v>#REF!</v>
      </c>
      <c r="F495" s="292" t="e">
        <f>#REF!</f>
        <v>#REF!</v>
      </c>
      <c r="G495" s="292" t="e">
        <f>#REF!</f>
        <v>#REF!</v>
      </c>
      <c r="H495" s="292" t="e">
        <f>#REF!</f>
        <v>#REF!</v>
      </c>
      <c r="I495" s="292">
        <f>'تقرير المصروفات حسب الشهر'!H784</f>
        <v>0</v>
      </c>
      <c r="J495" s="292">
        <f>'تقرير المصروفات حسب الشهر'!H911</f>
        <v>0</v>
      </c>
      <c r="K495" s="292">
        <f>'تقرير المصروفات حسب الشهر'!H1038</f>
        <v>0</v>
      </c>
      <c r="L495" s="292">
        <f>IFERROR(VLOOKUP(B495,'تقرير المصروفات حسب الشهر'!$C$1143:$AD$1254,6,FALSE),0)</f>
        <v>0</v>
      </c>
      <c r="M495" s="292">
        <f>IFERROR(VLOOKUP(B495,'تقرير المصروفات حسب الشهر'!$C$1270:$AD$1381,6,FALSE),0)</f>
        <v>0</v>
      </c>
      <c r="N495" s="292" t="e">
        <f>#REF!</f>
        <v>#REF!</v>
      </c>
      <c r="O495" s="296" t="e">
        <f t="shared" si="12"/>
        <v>#REF!</v>
      </c>
    </row>
    <row r="496" spans="2:15" ht="17.399999999999999">
      <c r="B496" s="291" t="s">
        <v>31</v>
      </c>
      <c r="C496" s="292">
        <f>'تقرير المصروفات حسب الشهر'!H32</f>
        <v>0</v>
      </c>
      <c r="D496" s="292" t="e">
        <f>#REF!</f>
        <v>#REF!</v>
      </c>
      <c r="E496" s="292" t="e">
        <f>#REF!</f>
        <v>#REF!</v>
      </c>
      <c r="F496" s="292" t="e">
        <f>#REF!</f>
        <v>#REF!</v>
      </c>
      <c r="G496" s="292" t="e">
        <f>#REF!</f>
        <v>#REF!</v>
      </c>
      <c r="H496" s="292" t="e">
        <f>#REF!</f>
        <v>#REF!</v>
      </c>
      <c r="I496" s="292">
        <f>'تقرير المصروفات حسب الشهر'!H785</f>
        <v>0</v>
      </c>
      <c r="J496" s="292">
        <f>'تقرير المصروفات حسب الشهر'!H912</f>
        <v>360</v>
      </c>
      <c r="K496" s="292">
        <f>'تقرير المصروفات حسب الشهر'!H1039</f>
        <v>513</v>
      </c>
      <c r="L496" s="292">
        <f>IFERROR(VLOOKUP(B496,'تقرير المصروفات حسب الشهر'!$C$1143:$AD$1254,6,FALSE),0)</f>
        <v>240</v>
      </c>
      <c r="M496" s="292">
        <f>IFERROR(VLOOKUP(B496,'تقرير المصروفات حسب الشهر'!$C$1270:$AD$1381,6,FALSE),0)</f>
        <v>0</v>
      </c>
      <c r="N496" s="292" t="e">
        <f>#REF!</f>
        <v>#REF!</v>
      </c>
      <c r="O496" s="296" t="e">
        <f t="shared" si="12"/>
        <v>#REF!</v>
      </c>
    </row>
    <row r="497" spans="2:15" ht="17.399999999999999">
      <c r="B497" s="291" t="s">
        <v>55</v>
      </c>
      <c r="C497" s="292">
        <f>'تقرير المصروفات حسب الشهر'!H33</f>
        <v>0</v>
      </c>
      <c r="D497" s="292" t="e">
        <f>#REF!</f>
        <v>#REF!</v>
      </c>
      <c r="E497" s="292" t="e">
        <f>#REF!</f>
        <v>#REF!</v>
      </c>
      <c r="F497" s="292" t="e">
        <f>#REF!</f>
        <v>#REF!</v>
      </c>
      <c r="G497" s="292" t="e">
        <f>#REF!</f>
        <v>#REF!</v>
      </c>
      <c r="H497" s="292" t="e">
        <f>#REF!</f>
        <v>#REF!</v>
      </c>
      <c r="I497" s="292">
        <f>'تقرير المصروفات حسب الشهر'!H786</f>
        <v>0</v>
      </c>
      <c r="J497" s="292">
        <f>'تقرير المصروفات حسب الشهر'!H913</f>
        <v>0</v>
      </c>
      <c r="K497" s="292">
        <f>'تقرير المصروفات حسب الشهر'!H1040</f>
        <v>0</v>
      </c>
      <c r="L497" s="292">
        <f>IFERROR(VLOOKUP(B497,'تقرير المصروفات حسب الشهر'!$C$1143:$AD$1254,6,FALSE),0)</f>
        <v>0</v>
      </c>
      <c r="M497" s="292">
        <f>IFERROR(VLOOKUP(B497,'تقرير المصروفات حسب الشهر'!$C$1270:$AD$1381,6,FALSE),0)</f>
        <v>0</v>
      </c>
      <c r="N497" s="292" t="e">
        <f>#REF!</f>
        <v>#REF!</v>
      </c>
      <c r="O497" s="296" t="e">
        <f t="shared" si="12"/>
        <v>#REF!</v>
      </c>
    </row>
    <row r="498" spans="2:15" ht="17.399999999999999">
      <c r="B498" s="291" t="s">
        <v>56</v>
      </c>
      <c r="C498" s="292">
        <f>'تقرير المصروفات حسب الشهر'!H34</f>
        <v>95.73</v>
      </c>
      <c r="D498" s="292" t="e">
        <f>#REF!</f>
        <v>#REF!</v>
      </c>
      <c r="E498" s="292" t="e">
        <f>#REF!</f>
        <v>#REF!</v>
      </c>
      <c r="F498" s="292" t="e">
        <f>#REF!</f>
        <v>#REF!</v>
      </c>
      <c r="G498" s="292" t="e">
        <f>#REF!</f>
        <v>#REF!</v>
      </c>
      <c r="H498" s="292" t="e">
        <f>#REF!</f>
        <v>#REF!</v>
      </c>
      <c r="I498" s="292">
        <f>'تقرير المصروفات حسب الشهر'!H787</f>
        <v>95.73</v>
      </c>
      <c r="J498" s="292">
        <f>'تقرير المصروفات حسب الشهر'!H914</f>
        <v>95.73</v>
      </c>
      <c r="K498" s="292">
        <f>'تقرير المصروفات حسب الشهر'!H1041</f>
        <v>95.73</v>
      </c>
      <c r="L498" s="292">
        <f>IFERROR(VLOOKUP(B498,'تقرير المصروفات حسب الشهر'!$C$1143:$AD$1254,6,FALSE),0)</f>
        <v>95.73</v>
      </c>
      <c r="M498" s="292">
        <f>IFERROR(VLOOKUP(B498,'تقرير المصروفات حسب الشهر'!$C$1270:$AD$1381,6,FALSE),0)</f>
        <v>95.73</v>
      </c>
      <c r="N498" s="292" t="e">
        <f>#REF!</f>
        <v>#REF!</v>
      </c>
      <c r="O498" s="296" t="e">
        <f t="shared" si="12"/>
        <v>#REF!</v>
      </c>
    </row>
    <row r="499" spans="2:15" ht="17.399999999999999">
      <c r="B499" s="291" t="s">
        <v>57</v>
      </c>
      <c r="C499" s="292">
        <f>'تقرير المصروفات حسب الشهر'!H35</f>
        <v>0</v>
      </c>
      <c r="D499" s="292" t="e">
        <f>#REF!</f>
        <v>#REF!</v>
      </c>
      <c r="E499" s="292" t="e">
        <f>#REF!</f>
        <v>#REF!</v>
      </c>
      <c r="F499" s="292" t="e">
        <f>#REF!</f>
        <v>#REF!</v>
      </c>
      <c r="G499" s="292" t="e">
        <f>#REF!</f>
        <v>#REF!</v>
      </c>
      <c r="H499" s="292" t="e">
        <f>#REF!</f>
        <v>#REF!</v>
      </c>
      <c r="I499" s="292">
        <f>'تقرير المصروفات حسب الشهر'!H788</f>
        <v>300</v>
      </c>
      <c r="J499" s="292">
        <f>'تقرير المصروفات حسب الشهر'!H915</f>
        <v>300</v>
      </c>
      <c r="K499" s="292">
        <f>'تقرير المصروفات حسب الشهر'!H1042</f>
        <v>0</v>
      </c>
      <c r="L499" s="292">
        <f>IFERROR(VLOOKUP(B499,'تقرير المصروفات حسب الشهر'!$C$1143:$AD$1254,6,FALSE),0)</f>
        <v>1500</v>
      </c>
      <c r="M499" s="292">
        <f>IFERROR(VLOOKUP(B499,'تقرير المصروفات حسب الشهر'!$C$1270:$AD$1381,6,FALSE),0)</f>
        <v>300</v>
      </c>
      <c r="N499" s="292" t="e">
        <f>#REF!</f>
        <v>#REF!</v>
      </c>
      <c r="O499" s="296" t="e">
        <f t="shared" si="12"/>
        <v>#REF!</v>
      </c>
    </row>
    <row r="500" spans="2:15" ht="17.399999999999999">
      <c r="B500" s="291" t="s">
        <v>58</v>
      </c>
      <c r="C500" s="292">
        <f>'تقرير المصروفات حسب الشهر'!H36</f>
        <v>0</v>
      </c>
      <c r="D500" s="292" t="e">
        <f>#REF!</f>
        <v>#REF!</v>
      </c>
      <c r="E500" s="292" t="e">
        <f>#REF!</f>
        <v>#REF!</v>
      </c>
      <c r="F500" s="292" t="e">
        <f>#REF!</f>
        <v>#REF!</v>
      </c>
      <c r="G500" s="292" t="e">
        <f>#REF!</f>
        <v>#REF!</v>
      </c>
      <c r="H500" s="292" t="e">
        <f>#REF!</f>
        <v>#REF!</v>
      </c>
      <c r="I500" s="292">
        <f>'تقرير المصروفات حسب الشهر'!H789</f>
        <v>0</v>
      </c>
      <c r="J500" s="292">
        <f>'تقرير المصروفات حسب الشهر'!H916</f>
        <v>0</v>
      </c>
      <c r="K500" s="292">
        <f>'تقرير المصروفات حسب الشهر'!H1043</f>
        <v>0</v>
      </c>
      <c r="L500" s="292">
        <f>IFERROR(VLOOKUP(B500,'تقرير المصروفات حسب الشهر'!$C$1143:$AD$1254,6,FALSE),0)</f>
        <v>0</v>
      </c>
      <c r="M500" s="292">
        <f>IFERROR(VLOOKUP(B500,'تقرير المصروفات حسب الشهر'!$C$1270:$AD$1381,6,FALSE),0)</f>
        <v>0</v>
      </c>
      <c r="N500" s="292" t="e">
        <f>#REF!</f>
        <v>#REF!</v>
      </c>
      <c r="O500" s="296" t="e">
        <f t="shared" si="12"/>
        <v>#REF!</v>
      </c>
    </row>
    <row r="501" spans="2:15" ht="17.399999999999999">
      <c r="B501" s="291" t="s">
        <v>59</v>
      </c>
      <c r="C501" s="292">
        <f>'تقرير المصروفات حسب الشهر'!H37</f>
        <v>0</v>
      </c>
      <c r="D501" s="292" t="e">
        <f>#REF!</f>
        <v>#REF!</v>
      </c>
      <c r="E501" s="292" t="e">
        <f>#REF!</f>
        <v>#REF!</v>
      </c>
      <c r="F501" s="292" t="e">
        <f>#REF!</f>
        <v>#REF!</v>
      </c>
      <c r="G501" s="292" t="e">
        <f>#REF!</f>
        <v>#REF!</v>
      </c>
      <c r="H501" s="292" t="e">
        <f>#REF!</f>
        <v>#REF!</v>
      </c>
      <c r="I501" s="292">
        <f>'تقرير المصروفات حسب الشهر'!H790</f>
        <v>0</v>
      </c>
      <c r="J501" s="292">
        <f>'تقرير المصروفات حسب الشهر'!H917</f>
        <v>0</v>
      </c>
      <c r="K501" s="292">
        <f>'تقرير المصروفات حسب الشهر'!H1044</f>
        <v>0</v>
      </c>
      <c r="L501" s="292">
        <f>IFERROR(VLOOKUP(B501,'تقرير المصروفات حسب الشهر'!$C$1143:$AD$1254,6,FALSE),0)</f>
        <v>0</v>
      </c>
      <c r="M501" s="292">
        <f>IFERROR(VLOOKUP(B501,'تقرير المصروفات حسب الشهر'!$C$1270:$AD$1381,6,FALSE),0)</f>
        <v>0</v>
      </c>
      <c r="N501" s="292" t="e">
        <f>#REF!</f>
        <v>#REF!</v>
      </c>
      <c r="O501" s="296" t="e">
        <f t="shared" si="12"/>
        <v>#REF!</v>
      </c>
    </row>
    <row r="502" spans="2:15" ht="17.399999999999999">
      <c r="B502" s="291" t="s">
        <v>60</v>
      </c>
      <c r="C502" s="292">
        <f>'تقرير المصروفات حسب الشهر'!H38</f>
        <v>0</v>
      </c>
      <c r="D502" s="292" t="e">
        <f>#REF!</f>
        <v>#REF!</v>
      </c>
      <c r="E502" s="292" t="e">
        <f>#REF!</f>
        <v>#REF!</v>
      </c>
      <c r="F502" s="292" t="e">
        <f>#REF!</f>
        <v>#REF!</v>
      </c>
      <c r="G502" s="292" t="e">
        <f>#REF!</f>
        <v>#REF!</v>
      </c>
      <c r="H502" s="292" t="e">
        <f>#REF!</f>
        <v>#REF!</v>
      </c>
      <c r="I502" s="292">
        <f>'تقرير المصروفات حسب الشهر'!H791</f>
        <v>0</v>
      </c>
      <c r="J502" s="292">
        <f>'تقرير المصروفات حسب الشهر'!H918</f>
        <v>0</v>
      </c>
      <c r="K502" s="292">
        <f>'تقرير المصروفات حسب الشهر'!H1045</f>
        <v>0</v>
      </c>
      <c r="L502" s="292">
        <f>IFERROR(VLOOKUP(B502,'تقرير المصروفات حسب الشهر'!$C$1143:$AD$1254,6,FALSE),0)</f>
        <v>0</v>
      </c>
      <c r="M502" s="292">
        <f>IFERROR(VLOOKUP(B502,'تقرير المصروفات حسب الشهر'!$C$1270:$AD$1381,6,FALSE),0)</f>
        <v>0</v>
      </c>
      <c r="N502" s="292" t="e">
        <f>#REF!</f>
        <v>#REF!</v>
      </c>
      <c r="O502" s="296" t="e">
        <f t="shared" si="12"/>
        <v>#REF!</v>
      </c>
    </row>
    <row r="503" spans="2:15" ht="17.399999999999999">
      <c r="B503" s="291" t="s">
        <v>61</v>
      </c>
      <c r="C503" s="292">
        <f>'تقرير المصروفات حسب الشهر'!H39</f>
        <v>225</v>
      </c>
      <c r="D503" s="292" t="e">
        <f>#REF!</f>
        <v>#REF!</v>
      </c>
      <c r="E503" s="292" t="e">
        <f>#REF!</f>
        <v>#REF!</v>
      </c>
      <c r="F503" s="292" t="e">
        <f>#REF!</f>
        <v>#REF!</v>
      </c>
      <c r="G503" s="292" t="e">
        <f>#REF!</f>
        <v>#REF!</v>
      </c>
      <c r="H503" s="292" t="e">
        <f>#REF!</f>
        <v>#REF!</v>
      </c>
      <c r="I503" s="292">
        <f>'تقرير المصروفات حسب الشهر'!H792</f>
        <v>974</v>
      </c>
      <c r="J503" s="292">
        <f>'تقرير المصروفات حسب الشهر'!H919</f>
        <v>225</v>
      </c>
      <c r="K503" s="292">
        <f>'تقرير المصروفات حسب الشهر'!H1046</f>
        <v>225</v>
      </c>
      <c r="L503" s="292">
        <f>IFERROR(VLOOKUP(B503,'تقرير المصروفات حسب الشهر'!$C$1143:$AD$1254,6,FALSE),0)</f>
        <v>225</v>
      </c>
      <c r="M503" s="292">
        <f>IFERROR(VLOOKUP(B503,'تقرير المصروفات حسب الشهر'!$C$1270:$AD$1381,6,FALSE),0)</f>
        <v>225</v>
      </c>
      <c r="N503" s="292" t="e">
        <f>#REF!</f>
        <v>#REF!</v>
      </c>
      <c r="O503" s="296" t="e">
        <f t="shared" si="12"/>
        <v>#REF!</v>
      </c>
    </row>
    <row r="504" spans="2:15" ht="17.399999999999999">
      <c r="B504" s="291" t="s">
        <v>62</v>
      </c>
      <c r="C504" s="292">
        <f>'تقرير المصروفات حسب الشهر'!H40</f>
        <v>0</v>
      </c>
      <c r="D504" s="292" t="e">
        <f>#REF!</f>
        <v>#REF!</v>
      </c>
      <c r="E504" s="292" t="e">
        <f>#REF!</f>
        <v>#REF!</v>
      </c>
      <c r="F504" s="292" t="e">
        <f>#REF!</f>
        <v>#REF!</v>
      </c>
      <c r="G504" s="292" t="e">
        <f>#REF!</f>
        <v>#REF!</v>
      </c>
      <c r="H504" s="292" t="e">
        <f>#REF!</f>
        <v>#REF!</v>
      </c>
      <c r="I504" s="292">
        <f>'تقرير المصروفات حسب الشهر'!H793</f>
        <v>23500</v>
      </c>
      <c r="J504" s="292">
        <f>'تقرير المصروفات حسب الشهر'!H920</f>
        <v>0</v>
      </c>
      <c r="K504" s="292">
        <f>'تقرير المصروفات حسب الشهر'!H1047</f>
        <v>3500</v>
      </c>
      <c r="L504" s="292">
        <f>IFERROR(VLOOKUP(B504,'تقرير المصروفات حسب الشهر'!$C$1143:$AD$1254,6,FALSE),0)</f>
        <v>1000</v>
      </c>
      <c r="M504" s="292">
        <f>IFERROR(VLOOKUP(B504,'تقرير المصروفات حسب الشهر'!$C$1270:$AD$1381,6,FALSE),0)</f>
        <v>0</v>
      </c>
      <c r="N504" s="292" t="e">
        <f>#REF!</f>
        <v>#REF!</v>
      </c>
      <c r="O504" s="296" t="e">
        <f t="shared" si="12"/>
        <v>#REF!</v>
      </c>
    </row>
    <row r="505" spans="2:15" ht="17.399999999999999">
      <c r="B505" s="291" t="s">
        <v>63</v>
      </c>
      <c r="C505" s="292">
        <f>'تقرير المصروفات حسب الشهر'!H41</f>
        <v>0</v>
      </c>
      <c r="D505" s="292" t="e">
        <f>#REF!</f>
        <v>#REF!</v>
      </c>
      <c r="E505" s="292" t="e">
        <f>#REF!</f>
        <v>#REF!</v>
      </c>
      <c r="F505" s="292" t="e">
        <f>#REF!</f>
        <v>#REF!</v>
      </c>
      <c r="G505" s="292" t="e">
        <f>#REF!</f>
        <v>#REF!</v>
      </c>
      <c r="H505" s="292" t="e">
        <f>#REF!</f>
        <v>#REF!</v>
      </c>
      <c r="I505" s="292">
        <f>'تقرير المصروفات حسب الشهر'!H794</f>
        <v>0</v>
      </c>
      <c r="J505" s="292">
        <f>'تقرير المصروفات حسب الشهر'!H921</f>
        <v>0</v>
      </c>
      <c r="K505" s="292">
        <f>'تقرير المصروفات حسب الشهر'!H1048</f>
        <v>0</v>
      </c>
      <c r="L505" s="292">
        <f>IFERROR(VLOOKUP(B505,'تقرير المصروفات حسب الشهر'!$C$1143:$AD$1254,6,FALSE),0)</f>
        <v>0</v>
      </c>
      <c r="M505" s="292">
        <f>IFERROR(VLOOKUP(B505,'تقرير المصروفات حسب الشهر'!$C$1270:$AD$1381,6,FALSE),0)</f>
        <v>0</v>
      </c>
      <c r="N505" s="292" t="e">
        <f>#REF!</f>
        <v>#REF!</v>
      </c>
      <c r="O505" s="296" t="e">
        <f t="shared" si="12"/>
        <v>#REF!</v>
      </c>
    </row>
    <row r="506" spans="2:15" ht="17.399999999999999">
      <c r="B506" s="291" t="s">
        <v>64</v>
      </c>
      <c r="C506" s="292">
        <f>'تقرير المصروفات حسب الشهر'!H42</f>
        <v>12700</v>
      </c>
      <c r="D506" s="292" t="e">
        <f>#REF!</f>
        <v>#REF!</v>
      </c>
      <c r="E506" s="292" t="e">
        <f>#REF!</f>
        <v>#REF!</v>
      </c>
      <c r="F506" s="292" t="e">
        <f>#REF!</f>
        <v>#REF!</v>
      </c>
      <c r="G506" s="292" t="e">
        <f>#REF!</f>
        <v>#REF!</v>
      </c>
      <c r="H506" s="292" t="e">
        <f>#REF!</f>
        <v>#REF!</v>
      </c>
      <c r="I506" s="292">
        <f>'تقرير المصروفات حسب الشهر'!H795</f>
        <v>21300</v>
      </c>
      <c r="J506" s="292">
        <f>'تقرير المصروفات حسب الشهر'!H922</f>
        <v>21900</v>
      </c>
      <c r="K506" s="292">
        <f>'تقرير المصروفات حسب الشهر'!H1049</f>
        <v>25100</v>
      </c>
      <c r="L506" s="292">
        <f>IFERROR(VLOOKUP(B506,'تقرير المصروفات حسب الشهر'!$C$1143:$AD$1254,6,FALSE),0)</f>
        <v>0</v>
      </c>
      <c r="M506" s="292">
        <f>IFERROR(VLOOKUP(B506,'تقرير المصروفات حسب الشهر'!$C$1270:$AD$1381,6,FALSE),0)</f>
        <v>0</v>
      </c>
      <c r="N506" s="292" t="e">
        <f>#REF!</f>
        <v>#REF!</v>
      </c>
      <c r="O506" s="296" t="e">
        <f t="shared" si="12"/>
        <v>#REF!</v>
      </c>
    </row>
    <row r="507" spans="2:15" ht="17.399999999999999">
      <c r="B507" s="291" t="s">
        <v>28</v>
      </c>
      <c r="C507" s="292">
        <f>'تقرير المصروفات حسب الشهر'!H43</f>
        <v>0</v>
      </c>
      <c r="D507" s="292" t="e">
        <f>#REF!</f>
        <v>#REF!</v>
      </c>
      <c r="E507" s="292" t="e">
        <f>#REF!</f>
        <v>#REF!</v>
      </c>
      <c r="F507" s="292" t="e">
        <f>#REF!</f>
        <v>#REF!</v>
      </c>
      <c r="G507" s="292" t="e">
        <f>#REF!</f>
        <v>#REF!</v>
      </c>
      <c r="H507" s="292" t="e">
        <f>#REF!</f>
        <v>#REF!</v>
      </c>
      <c r="I507" s="292">
        <f>'تقرير المصروفات حسب الشهر'!H796</f>
        <v>0</v>
      </c>
      <c r="J507" s="292">
        <f>'تقرير المصروفات حسب الشهر'!H923</f>
        <v>0</v>
      </c>
      <c r="K507" s="292">
        <f>'تقرير المصروفات حسب الشهر'!H1050</f>
        <v>0</v>
      </c>
      <c r="L507" s="292">
        <f>IFERROR(VLOOKUP(B507,'تقرير المصروفات حسب الشهر'!$C$1143:$AD$1254,6,FALSE),0)</f>
        <v>0</v>
      </c>
      <c r="M507" s="292">
        <f>IFERROR(VLOOKUP(B507,'تقرير المصروفات حسب الشهر'!$C$1270:$AD$1381,6,FALSE),0)</f>
        <v>0</v>
      </c>
      <c r="N507" s="292" t="e">
        <f>#REF!</f>
        <v>#REF!</v>
      </c>
      <c r="O507" s="296" t="e">
        <f t="shared" si="12"/>
        <v>#REF!</v>
      </c>
    </row>
    <row r="508" spans="2:15" ht="17.399999999999999">
      <c r="B508" s="291" t="s">
        <v>157</v>
      </c>
      <c r="C508" s="292">
        <f>'تقرير المصروفات حسب الشهر'!H44</f>
        <v>0</v>
      </c>
      <c r="D508" s="292" t="e">
        <f>#REF!</f>
        <v>#REF!</v>
      </c>
      <c r="E508" s="292" t="e">
        <f>#REF!</f>
        <v>#REF!</v>
      </c>
      <c r="F508" s="292" t="e">
        <f>#REF!</f>
        <v>#REF!</v>
      </c>
      <c r="G508" s="292" t="e">
        <f>#REF!</f>
        <v>#REF!</v>
      </c>
      <c r="H508" s="292" t="e">
        <f>#REF!</f>
        <v>#REF!</v>
      </c>
      <c r="I508" s="292">
        <f>'تقرير المصروفات حسب الشهر'!H797</f>
        <v>0</v>
      </c>
      <c r="J508" s="292">
        <f>'تقرير المصروفات حسب الشهر'!H924</f>
        <v>0</v>
      </c>
      <c r="K508" s="292">
        <f>'تقرير المصروفات حسب الشهر'!H1051</f>
        <v>42.67</v>
      </c>
      <c r="L508" s="292">
        <f>IFERROR(VLOOKUP(B508,'تقرير المصروفات حسب الشهر'!$C$1143:$AD$1254,6,FALSE),0)</f>
        <v>0</v>
      </c>
      <c r="M508" s="292">
        <f>IFERROR(VLOOKUP(B508,'تقرير المصروفات حسب الشهر'!$C$1270:$AD$1381,6,FALSE),0)</f>
        <v>0</v>
      </c>
      <c r="N508" s="292" t="e">
        <f>#REF!</f>
        <v>#REF!</v>
      </c>
      <c r="O508" s="296" t="e">
        <f t="shared" si="12"/>
        <v>#REF!</v>
      </c>
    </row>
    <row r="509" spans="2:15" ht="17.399999999999999">
      <c r="B509" s="291" t="s">
        <v>65</v>
      </c>
      <c r="C509" s="292">
        <f>'تقرير المصروفات حسب الشهر'!H45</f>
        <v>0</v>
      </c>
      <c r="D509" s="292" t="e">
        <f>#REF!</f>
        <v>#REF!</v>
      </c>
      <c r="E509" s="292" t="e">
        <f>#REF!</f>
        <v>#REF!</v>
      </c>
      <c r="F509" s="292" t="e">
        <f>#REF!</f>
        <v>#REF!</v>
      </c>
      <c r="G509" s="292" t="e">
        <f>#REF!</f>
        <v>#REF!</v>
      </c>
      <c r="H509" s="292" t="e">
        <f>#REF!</f>
        <v>#REF!</v>
      </c>
      <c r="I509" s="292">
        <f>'تقرير المصروفات حسب الشهر'!H798</f>
        <v>0</v>
      </c>
      <c r="J509" s="292">
        <f>'تقرير المصروفات حسب الشهر'!H925</f>
        <v>0</v>
      </c>
      <c r="K509" s="292">
        <f>'تقرير المصروفات حسب الشهر'!H1052</f>
        <v>0</v>
      </c>
      <c r="L509" s="292">
        <f>IFERROR(VLOOKUP(B509,'تقرير المصروفات حسب الشهر'!$C$1143:$AD$1254,6,FALSE),0)</f>
        <v>0</v>
      </c>
      <c r="M509" s="292">
        <f>IFERROR(VLOOKUP(B509,'تقرير المصروفات حسب الشهر'!$C$1270:$AD$1381,6,FALSE),0)</f>
        <v>0</v>
      </c>
      <c r="N509" s="292" t="e">
        <f>#REF!</f>
        <v>#REF!</v>
      </c>
      <c r="O509" s="296" t="e">
        <f t="shared" si="12"/>
        <v>#REF!</v>
      </c>
    </row>
    <row r="510" spans="2:15" ht="17.399999999999999">
      <c r="B510" s="291" t="s">
        <v>66</v>
      </c>
      <c r="C510" s="292">
        <f>'تقرير المصروفات حسب الشهر'!H46</f>
        <v>0</v>
      </c>
      <c r="D510" s="292" t="e">
        <f>#REF!</f>
        <v>#REF!</v>
      </c>
      <c r="E510" s="292" t="e">
        <f>#REF!</f>
        <v>#REF!</v>
      </c>
      <c r="F510" s="292" t="e">
        <f>#REF!</f>
        <v>#REF!</v>
      </c>
      <c r="G510" s="292" t="e">
        <f>#REF!</f>
        <v>#REF!</v>
      </c>
      <c r="H510" s="292" t="e">
        <f>#REF!</f>
        <v>#REF!</v>
      </c>
      <c r="I510" s="292">
        <f>'تقرير المصروفات حسب الشهر'!H799</f>
        <v>0</v>
      </c>
      <c r="J510" s="292">
        <f>'تقرير المصروفات حسب الشهر'!H926</f>
        <v>0</v>
      </c>
      <c r="K510" s="292">
        <f>'تقرير المصروفات حسب الشهر'!H1053</f>
        <v>0</v>
      </c>
      <c r="L510" s="292">
        <f>IFERROR(VLOOKUP(B510,'تقرير المصروفات حسب الشهر'!$C$1143:$AD$1254,6,FALSE),0)</f>
        <v>0</v>
      </c>
      <c r="M510" s="292">
        <f>IFERROR(VLOOKUP(B510,'تقرير المصروفات حسب الشهر'!$C$1270:$AD$1381,6,FALSE),0)</f>
        <v>0</v>
      </c>
      <c r="N510" s="292" t="e">
        <f>#REF!</f>
        <v>#REF!</v>
      </c>
      <c r="O510" s="296" t="e">
        <f t="shared" si="12"/>
        <v>#REF!</v>
      </c>
    </row>
    <row r="511" spans="2:15" ht="17.399999999999999">
      <c r="B511" s="291" t="s">
        <v>30</v>
      </c>
      <c r="C511" s="292">
        <f>'تقرير المصروفات حسب الشهر'!H47</f>
        <v>0</v>
      </c>
      <c r="D511" s="292" t="e">
        <f>#REF!</f>
        <v>#REF!</v>
      </c>
      <c r="E511" s="292" t="e">
        <f>#REF!</f>
        <v>#REF!</v>
      </c>
      <c r="F511" s="292" t="e">
        <f>#REF!</f>
        <v>#REF!</v>
      </c>
      <c r="G511" s="292" t="e">
        <f>#REF!</f>
        <v>#REF!</v>
      </c>
      <c r="H511" s="292" t="e">
        <f>#REF!</f>
        <v>#REF!</v>
      </c>
      <c r="I511" s="292">
        <f>'تقرير المصروفات حسب الشهر'!H800</f>
        <v>7555.25</v>
      </c>
      <c r="J511" s="292">
        <f>'تقرير المصروفات حسب الشهر'!H927</f>
        <v>0</v>
      </c>
      <c r="K511" s="292">
        <f>'تقرير المصروفات حسب الشهر'!H1054</f>
        <v>17500.25</v>
      </c>
      <c r="L511" s="292">
        <f>IFERROR(VLOOKUP(B511,'تقرير المصروفات حسب الشهر'!$C$1143:$AD$1254,6,FALSE),0)</f>
        <v>7800</v>
      </c>
      <c r="M511" s="292">
        <f>IFERROR(VLOOKUP(B511,'تقرير المصروفات حسب الشهر'!$C$1270:$AD$1381,6,FALSE),0)</f>
        <v>12222.25</v>
      </c>
      <c r="N511" s="292" t="e">
        <f>#REF!</f>
        <v>#REF!</v>
      </c>
      <c r="O511" s="296" t="e">
        <f t="shared" si="12"/>
        <v>#REF!</v>
      </c>
    </row>
    <row r="512" spans="2:15" ht="17.399999999999999">
      <c r="B512" s="291" t="s">
        <v>67</v>
      </c>
      <c r="C512" s="292">
        <f>'تقرير المصروفات حسب الشهر'!H48</f>
        <v>6240</v>
      </c>
      <c r="D512" s="292" t="e">
        <f>#REF!</f>
        <v>#REF!</v>
      </c>
      <c r="E512" s="292" t="e">
        <f>#REF!</f>
        <v>#REF!</v>
      </c>
      <c r="F512" s="292" t="e">
        <f>#REF!</f>
        <v>#REF!</v>
      </c>
      <c r="G512" s="292" t="e">
        <f>#REF!</f>
        <v>#REF!</v>
      </c>
      <c r="H512" s="292" t="e">
        <f>#REF!</f>
        <v>#REF!</v>
      </c>
      <c r="I512" s="292">
        <f>'تقرير المصروفات حسب الشهر'!H801</f>
        <v>0</v>
      </c>
      <c r="J512" s="292">
        <f>'تقرير المصروفات حسب الشهر'!H928</f>
        <v>23100</v>
      </c>
      <c r="K512" s="292">
        <f>'تقرير المصروفات حسب الشهر'!H1055</f>
        <v>0</v>
      </c>
      <c r="L512" s="292">
        <f>IFERROR(VLOOKUP(B512,'تقرير المصروفات حسب الشهر'!$C$1143:$AD$1254,6,FALSE),0)</f>
        <v>11022</v>
      </c>
      <c r="M512" s="292">
        <f>IFERROR(VLOOKUP(B512,'تقرير المصروفات حسب الشهر'!$C$1270:$AD$1381,6,FALSE),0)</f>
        <v>0</v>
      </c>
      <c r="N512" s="292" t="e">
        <f>#REF!</f>
        <v>#REF!</v>
      </c>
      <c r="O512" s="296" t="e">
        <f t="shared" si="12"/>
        <v>#REF!</v>
      </c>
    </row>
    <row r="513" spans="2:15" ht="17.399999999999999">
      <c r="B513" s="291" t="s">
        <v>111</v>
      </c>
      <c r="C513" s="292">
        <f>'تقرير المصروفات حسب الشهر'!H49</f>
        <v>300</v>
      </c>
      <c r="D513" s="292" t="e">
        <f>#REF!</f>
        <v>#REF!</v>
      </c>
      <c r="E513" s="292" t="e">
        <f>#REF!</f>
        <v>#REF!</v>
      </c>
      <c r="F513" s="292" t="e">
        <f>#REF!</f>
        <v>#REF!</v>
      </c>
      <c r="G513" s="292" t="e">
        <f>#REF!</f>
        <v>#REF!</v>
      </c>
      <c r="H513" s="292" t="e">
        <f>#REF!</f>
        <v>#REF!</v>
      </c>
      <c r="I513" s="292">
        <f>'تقرير المصروفات حسب الشهر'!H802</f>
        <v>1300</v>
      </c>
      <c r="J513" s="292">
        <f>'تقرير المصروفات حسب الشهر'!H929</f>
        <v>1600</v>
      </c>
      <c r="K513" s="292">
        <f>'تقرير المصروفات حسب الشهر'!H1056</f>
        <v>750</v>
      </c>
      <c r="L513" s="292">
        <f>IFERROR(VLOOKUP(B513,'تقرير المصروفات حسب الشهر'!$C$1143:$AD$1254,6,FALSE),0)</f>
        <v>300</v>
      </c>
      <c r="M513" s="292">
        <f>IFERROR(VLOOKUP(B513,'تقرير المصروفات حسب الشهر'!$C$1270:$AD$1381,6,FALSE),0)</f>
        <v>800</v>
      </c>
      <c r="N513" s="292" t="e">
        <f>#REF!</f>
        <v>#REF!</v>
      </c>
      <c r="O513" s="296" t="e">
        <f t="shared" si="12"/>
        <v>#REF!</v>
      </c>
    </row>
    <row r="514" spans="2:15" ht="17.399999999999999">
      <c r="B514" s="291" t="s">
        <v>68</v>
      </c>
      <c r="C514" s="292">
        <f>'تقرير المصروفات حسب الشهر'!H50</f>
        <v>0</v>
      </c>
      <c r="D514" s="292" t="e">
        <f>#REF!</f>
        <v>#REF!</v>
      </c>
      <c r="E514" s="292" t="e">
        <f>#REF!</f>
        <v>#REF!</v>
      </c>
      <c r="F514" s="292" t="e">
        <f>#REF!</f>
        <v>#REF!</v>
      </c>
      <c r="G514" s="292" t="e">
        <f>#REF!</f>
        <v>#REF!</v>
      </c>
      <c r="H514" s="292" t="e">
        <f>#REF!</f>
        <v>#REF!</v>
      </c>
      <c r="I514" s="292">
        <f>'تقرير المصروفات حسب الشهر'!H803</f>
        <v>0</v>
      </c>
      <c r="J514" s="292">
        <f>'تقرير المصروفات حسب الشهر'!H930</f>
        <v>0</v>
      </c>
      <c r="K514" s="292">
        <f>'تقرير المصروفات حسب الشهر'!H1057</f>
        <v>3608</v>
      </c>
      <c r="L514" s="292">
        <f>IFERROR(VLOOKUP(B514,'تقرير المصروفات حسب الشهر'!$C$1143:$AD$1254,6,FALSE),0)</f>
        <v>0</v>
      </c>
      <c r="M514" s="292">
        <f>IFERROR(VLOOKUP(B514,'تقرير المصروفات حسب الشهر'!$C$1270:$AD$1381,6,FALSE),0)</f>
        <v>0</v>
      </c>
      <c r="N514" s="292" t="e">
        <f>#REF!</f>
        <v>#REF!</v>
      </c>
      <c r="O514" s="296" t="e">
        <f t="shared" si="12"/>
        <v>#REF!</v>
      </c>
    </row>
    <row r="515" spans="2:15" ht="17.399999999999999">
      <c r="B515" s="291" t="s">
        <v>69</v>
      </c>
      <c r="C515" s="292">
        <f>'تقرير المصروفات حسب الشهر'!H51</f>
        <v>5600</v>
      </c>
      <c r="D515" s="292" t="e">
        <f>#REF!</f>
        <v>#REF!</v>
      </c>
      <c r="E515" s="292" t="e">
        <f>#REF!</f>
        <v>#REF!</v>
      </c>
      <c r="F515" s="292" t="e">
        <f>#REF!</f>
        <v>#REF!</v>
      </c>
      <c r="G515" s="292" t="e">
        <f>#REF!</f>
        <v>#REF!</v>
      </c>
      <c r="H515" s="292" t="e">
        <f>#REF!</f>
        <v>#REF!</v>
      </c>
      <c r="I515" s="292">
        <f>'تقرير المصروفات حسب الشهر'!H804</f>
        <v>0</v>
      </c>
      <c r="J515" s="292">
        <f>'تقرير المصروفات حسب الشهر'!H931</f>
        <v>0</v>
      </c>
      <c r="K515" s="292">
        <f>'تقرير المصروفات حسب الشهر'!H1058</f>
        <v>0</v>
      </c>
      <c r="L515" s="292">
        <f>IFERROR(VLOOKUP(B515,'تقرير المصروفات حسب الشهر'!$C$1143:$AD$1254,6,FALSE),0)</f>
        <v>0</v>
      </c>
      <c r="M515" s="292">
        <f>IFERROR(VLOOKUP(B515,'تقرير المصروفات حسب الشهر'!$C$1270:$AD$1381,6,FALSE),0)</f>
        <v>0</v>
      </c>
      <c r="N515" s="292" t="e">
        <f>#REF!</f>
        <v>#REF!</v>
      </c>
      <c r="O515" s="296" t="e">
        <f t="shared" si="12"/>
        <v>#REF!</v>
      </c>
    </row>
    <row r="516" spans="2:15" ht="17.399999999999999">
      <c r="B516" s="291" t="s">
        <v>70</v>
      </c>
      <c r="C516" s="292">
        <f>'تقرير المصروفات حسب الشهر'!H52</f>
        <v>0</v>
      </c>
      <c r="D516" s="292" t="e">
        <f>#REF!</f>
        <v>#REF!</v>
      </c>
      <c r="E516" s="292" t="e">
        <f>#REF!</f>
        <v>#REF!</v>
      </c>
      <c r="F516" s="292" t="e">
        <f>#REF!</f>
        <v>#REF!</v>
      </c>
      <c r="G516" s="292" t="e">
        <f>#REF!</f>
        <v>#REF!</v>
      </c>
      <c r="H516" s="292" t="e">
        <f>#REF!</f>
        <v>#REF!</v>
      </c>
      <c r="I516" s="292">
        <f>'تقرير المصروفات حسب الشهر'!H805</f>
        <v>0</v>
      </c>
      <c r="J516" s="292">
        <f>'تقرير المصروفات حسب الشهر'!H932</f>
        <v>0</v>
      </c>
      <c r="K516" s="292">
        <f>'تقرير المصروفات حسب الشهر'!H1059</f>
        <v>0</v>
      </c>
      <c r="L516" s="292">
        <f>IFERROR(VLOOKUP(B516,'تقرير المصروفات حسب الشهر'!$C$1143:$AD$1254,6,FALSE),0)</f>
        <v>0</v>
      </c>
      <c r="M516" s="292">
        <f>IFERROR(VLOOKUP(B516,'تقرير المصروفات حسب الشهر'!$C$1270:$AD$1381,6,FALSE),0)</f>
        <v>0</v>
      </c>
      <c r="N516" s="292" t="e">
        <f>#REF!</f>
        <v>#REF!</v>
      </c>
      <c r="O516" s="296" t="e">
        <f t="shared" si="12"/>
        <v>#REF!</v>
      </c>
    </row>
    <row r="517" spans="2:15" ht="17.399999999999999">
      <c r="B517" s="291" t="s">
        <v>71</v>
      </c>
      <c r="C517" s="292">
        <f>'تقرير المصروفات حسب الشهر'!H53</f>
        <v>0</v>
      </c>
      <c r="D517" s="292" t="e">
        <f>#REF!</f>
        <v>#REF!</v>
      </c>
      <c r="E517" s="292" t="e">
        <f>#REF!</f>
        <v>#REF!</v>
      </c>
      <c r="F517" s="292" t="e">
        <f>#REF!</f>
        <v>#REF!</v>
      </c>
      <c r="G517" s="292" t="e">
        <f>#REF!</f>
        <v>#REF!</v>
      </c>
      <c r="H517" s="292" t="e">
        <f>#REF!</f>
        <v>#REF!</v>
      </c>
      <c r="I517" s="292">
        <f>'تقرير المصروفات حسب الشهر'!H806</f>
        <v>0</v>
      </c>
      <c r="J517" s="292">
        <f>'تقرير المصروفات حسب الشهر'!H933</f>
        <v>0</v>
      </c>
      <c r="K517" s="292">
        <f>'تقرير المصروفات حسب الشهر'!H1060</f>
        <v>0</v>
      </c>
      <c r="L517" s="292">
        <f>IFERROR(VLOOKUP(B517,'تقرير المصروفات حسب الشهر'!$C$1143:$AD$1254,6,FALSE),0)</f>
        <v>0</v>
      </c>
      <c r="M517" s="292">
        <f>IFERROR(VLOOKUP(B517,'تقرير المصروفات حسب الشهر'!$C$1270:$AD$1381,6,FALSE),0)</f>
        <v>0</v>
      </c>
      <c r="N517" s="292" t="e">
        <f>#REF!</f>
        <v>#REF!</v>
      </c>
      <c r="O517" s="296" t="e">
        <f t="shared" si="12"/>
        <v>#REF!</v>
      </c>
    </row>
    <row r="518" spans="2:15" ht="17.399999999999999">
      <c r="B518" s="291" t="s">
        <v>159</v>
      </c>
      <c r="C518" s="292">
        <f>'تقرير المصروفات حسب الشهر'!H54</f>
        <v>0</v>
      </c>
      <c r="D518" s="292" t="e">
        <f>#REF!</f>
        <v>#REF!</v>
      </c>
      <c r="E518" s="292" t="e">
        <f>#REF!</f>
        <v>#REF!</v>
      </c>
      <c r="F518" s="292" t="e">
        <f>#REF!</f>
        <v>#REF!</v>
      </c>
      <c r="G518" s="292" t="e">
        <f>#REF!</f>
        <v>#REF!</v>
      </c>
      <c r="H518" s="292" t="e">
        <f>#REF!</f>
        <v>#REF!</v>
      </c>
      <c r="I518" s="292">
        <f>'تقرير المصروفات حسب الشهر'!H807</f>
        <v>0</v>
      </c>
      <c r="J518" s="292">
        <f>'تقرير المصروفات حسب الشهر'!H934</f>
        <v>0</v>
      </c>
      <c r="K518" s="292">
        <f>'تقرير المصروفات حسب الشهر'!H1061</f>
        <v>0</v>
      </c>
      <c r="L518" s="292">
        <f>IFERROR(VLOOKUP(B518,'تقرير المصروفات حسب الشهر'!$C$1143:$AD$1254,6,FALSE),0)</f>
        <v>0</v>
      </c>
      <c r="M518" s="292">
        <f>IFERROR(VLOOKUP(B518,'تقرير المصروفات حسب الشهر'!$C$1270:$AD$1381,6,FALSE),0)</f>
        <v>0</v>
      </c>
      <c r="N518" s="292" t="e">
        <f>#REF!</f>
        <v>#REF!</v>
      </c>
      <c r="O518" s="296" t="e">
        <f t="shared" si="12"/>
        <v>#REF!</v>
      </c>
    </row>
    <row r="519" spans="2:15" ht="17.399999999999999">
      <c r="B519" s="291" t="s">
        <v>72</v>
      </c>
      <c r="C519" s="292">
        <f>'تقرير المصروفات حسب الشهر'!H55</f>
        <v>0</v>
      </c>
      <c r="D519" s="292" t="e">
        <f>#REF!</f>
        <v>#REF!</v>
      </c>
      <c r="E519" s="292" t="e">
        <f>#REF!</f>
        <v>#REF!</v>
      </c>
      <c r="F519" s="292" t="e">
        <f>#REF!</f>
        <v>#REF!</v>
      </c>
      <c r="G519" s="292" t="e">
        <f>#REF!</f>
        <v>#REF!</v>
      </c>
      <c r="H519" s="292" t="e">
        <f>#REF!</f>
        <v>#REF!</v>
      </c>
      <c r="I519" s="292">
        <f>'تقرير المصروفات حسب الشهر'!H808</f>
        <v>0</v>
      </c>
      <c r="J519" s="292">
        <f>'تقرير المصروفات حسب الشهر'!H935</f>
        <v>0</v>
      </c>
      <c r="K519" s="292">
        <f>'تقرير المصروفات حسب الشهر'!H1062</f>
        <v>0</v>
      </c>
      <c r="L519" s="292">
        <f>IFERROR(VLOOKUP(B519,'تقرير المصروفات حسب الشهر'!$C$1143:$AD$1254,6,FALSE),0)</f>
        <v>0</v>
      </c>
      <c r="M519" s="292">
        <f>IFERROR(VLOOKUP(B519,'تقرير المصروفات حسب الشهر'!$C$1270:$AD$1381,6,FALSE),0)</f>
        <v>0</v>
      </c>
      <c r="N519" s="292" t="e">
        <f>#REF!</f>
        <v>#REF!</v>
      </c>
      <c r="O519" s="296" t="e">
        <f t="shared" si="12"/>
        <v>#REF!</v>
      </c>
    </row>
    <row r="520" spans="2:15" ht="17.399999999999999">
      <c r="B520" s="291" t="s">
        <v>73</v>
      </c>
      <c r="C520" s="292">
        <f>'تقرير المصروفات حسب الشهر'!H56</f>
        <v>0</v>
      </c>
      <c r="D520" s="292" t="e">
        <f>#REF!</f>
        <v>#REF!</v>
      </c>
      <c r="E520" s="292" t="e">
        <f>#REF!</f>
        <v>#REF!</v>
      </c>
      <c r="F520" s="292" t="e">
        <f>#REF!</f>
        <v>#REF!</v>
      </c>
      <c r="G520" s="292" t="e">
        <f>#REF!</f>
        <v>#REF!</v>
      </c>
      <c r="H520" s="292" t="e">
        <f>#REF!</f>
        <v>#REF!</v>
      </c>
      <c r="I520" s="292">
        <f>'تقرير المصروفات حسب الشهر'!H809</f>
        <v>0</v>
      </c>
      <c r="J520" s="292">
        <f>'تقرير المصروفات حسب الشهر'!H936</f>
        <v>0</v>
      </c>
      <c r="K520" s="292">
        <f>'تقرير المصروفات حسب الشهر'!H1063</f>
        <v>0</v>
      </c>
      <c r="L520" s="292">
        <f>IFERROR(VLOOKUP(B520,'تقرير المصروفات حسب الشهر'!$C$1143:$AD$1254,6,FALSE),0)</f>
        <v>0</v>
      </c>
      <c r="M520" s="292">
        <f>IFERROR(VLOOKUP(B520,'تقرير المصروفات حسب الشهر'!$C$1270:$AD$1381,6,FALSE),0)</f>
        <v>0</v>
      </c>
      <c r="N520" s="292" t="e">
        <f>#REF!</f>
        <v>#REF!</v>
      </c>
      <c r="O520" s="296" t="e">
        <f t="shared" si="12"/>
        <v>#REF!</v>
      </c>
    </row>
    <row r="521" spans="2:15" ht="17.399999999999999">
      <c r="B521" s="291" t="s">
        <v>74</v>
      </c>
      <c r="C521" s="292">
        <f>'تقرير المصروفات حسب الشهر'!H57</f>
        <v>0</v>
      </c>
      <c r="D521" s="292" t="e">
        <f>#REF!</f>
        <v>#REF!</v>
      </c>
      <c r="E521" s="292" t="e">
        <f>#REF!</f>
        <v>#REF!</v>
      </c>
      <c r="F521" s="292" t="e">
        <f>#REF!</f>
        <v>#REF!</v>
      </c>
      <c r="G521" s="292" t="e">
        <f>#REF!</f>
        <v>#REF!</v>
      </c>
      <c r="H521" s="292" t="e">
        <f>#REF!</f>
        <v>#REF!</v>
      </c>
      <c r="I521" s="292">
        <f>'تقرير المصروفات حسب الشهر'!H810</f>
        <v>0</v>
      </c>
      <c r="J521" s="292">
        <f>'تقرير المصروفات حسب الشهر'!H937</f>
        <v>0</v>
      </c>
      <c r="K521" s="292">
        <f>'تقرير المصروفات حسب الشهر'!H1064</f>
        <v>0</v>
      </c>
      <c r="L521" s="292">
        <f>IFERROR(VLOOKUP(B521,'تقرير المصروفات حسب الشهر'!$C$1143:$AD$1254,6,FALSE),0)</f>
        <v>0</v>
      </c>
      <c r="M521" s="292">
        <f>IFERROR(VLOOKUP(B521,'تقرير المصروفات حسب الشهر'!$C$1270:$AD$1381,6,FALSE),0)</f>
        <v>0</v>
      </c>
      <c r="N521" s="292" t="e">
        <f>#REF!</f>
        <v>#REF!</v>
      </c>
      <c r="O521" s="296" t="e">
        <f t="shared" si="12"/>
        <v>#REF!</v>
      </c>
    </row>
    <row r="522" spans="2:15" ht="17.399999999999999">
      <c r="B522" s="291" t="s">
        <v>246</v>
      </c>
      <c r="C522" s="292">
        <f>'تقرير المصروفات حسب الشهر'!H58</f>
        <v>0</v>
      </c>
      <c r="D522" s="292" t="e">
        <f>#REF!</f>
        <v>#REF!</v>
      </c>
      <c r="E522" s="292" t="e">
        <f>#REF!</f>
        <v>#REF!</v>
      </c>
      <c r="F522" s="292" t="e">
        <f>#REF!</f>
        <v>#REF!</v>
      </c>
      <c r="G522" s="292" t="e">
        <f>#REF!</f>
        <v>#REF!</v>
      </c>
      <c r="H522" s="292" t="e">
        <f>#REF!</f>
        <v>#REF!</v>
      </c>
      <c r="I522" s="292">
        <f>'تقرير المصروفات حسب الشهر'!H811</f>
        <v>0</v>
      </c>
      <c r="J522" s="292">
        <f>'تقرير المصروفات حسب الشهر'!H938</f>
        <v>0</v>
      </c>
      <c r="K522" s="292">
        <f>'تقرير المصروفات حسب الشهر'!H1065</f>
        <v>0</v>
      </c>
      <c r="L522" s="292">
        <f>IFERROR(VLOOKUP(B522,'تقرير المصروفات حسب الشهر'!$C$1143:$AD$1254,6,FALSE),0)</f>
        <v>0</v>
      </c>
      <c r="M522" s="292">
        <f>IFERROR(VLOOKUP(B522,'تقرير المصروفات حسب الشهر'!$C$1270:$AD$1381,6,FALSE),0)</f>
        <v>0</v>
      </c>
      <c r="N522" s="292" t="e">
        <f>#REF!</f>
        <v>#REF!</v>
      </c>
      <c r="O522" s="296" t="e">
        <f t="shared" si="12"/>
        <v>#REF!</v>
      </c>
    </row>
    <row r="523" spans="2:15" ht="17.399999999999999">
      <c r="B523" s="291" t="s">
        <v>75</v>
      </c>
      <c r="C523" s="292">
        <f>'تقرير المصروفات حسب الشهر'!H59</f>
        <v>0</v>
      </c>
      <c r="D523" s="292" t="e">
        <f>#REF!</f>
        <v>#REF!</v>
      </c>
      <c r="E523" s="292" t="e">
        <f>#REF!</f>
        <v>#REF!</v>
      </c>
      <c r="F523" s="292" t="e">
        <f>#REF!</f>
        <v>#REF!</v>
      </c>
      <c r="G523" s="292" t="e">
        <f>#REF!</f>
        <v>#REF!</v>
      </c>
      <c r="H523" s="292" t="e">
        <f>#REF!</f>
        <v>#REF!</v>
      </c>
      <c r="I523" s="292">
        <f>'تقرير المصروفات حسب الشهر'!H812</f>
        <v>0</v>
      </c>
      <c r="J523" s="292">
        <f>'تقرير المصروفات حسب الشهر'!H939</f>
        <v>0</v>
      </c>
      <c r="K523" s="292">
        <f>'تقرير المصروفات حسب الشهر'!H1066</f>
        <v>0</v>
      </c>
      <c r="L523" s="292">
        <f>IFERROR(VLOOKUP(B523,'تقرير المصروفات حسب الشهر'!$C$1143:$AD$1254,6,FALSE),0)</f>
        <v>0</v>
      </c>
      <c r="M523" s="292">
        <f>IFERROR(VLOOKUP(B523,'تقرير المصروفات حسب الشهر'!$C$1270:$AD$1381,6,FALSE),0)</f>
        <v>0</v>
      </c>
      <c r="N523" s="292" t="e">
        <f>#REF!</f>
        <v>#REF!</v>
      </c>
      <c r="O523" s="296" t="e">
        <f t="shared" si="12"/>
        <v>#REF!</v>
      </c>
    </row>
    <row r="524" spans="2:15" ht="17.399999999999999">
      <c r="B524" s="291" t="s">
        <v>76</v>
      </c>
      <c r="C524" s="292">
        <f>'تقرير المصروفات حسب الشهر'!H60</f>
        <v>0</v>
      </c>
      <c r="D524" s="292" t="e">
        <f>#REF!</f>
        <v>#REF!</v>
      </c>
      <c r="E524" s="292" t="e">
        <f>#REF!</f>
        <v>#REF!</v>
      </c>
      <c r="F524" s="292" t="e">
        <f>#REF!</f>
        <v>#REF!</v>
      </c>
      <c r="G524" s="292" t="e">
        <f>#REF!</f>
        <v>#REF!</v>
      </c>
      <c r="H524" s="292" t="e">
        <f>#REF!</f>
        <v>#REF!</v>
      </c>
      <c r="I524" s="292">
        <f>'تقرير المصروفات حسب الشهر'!H813</f>
        <v>0</v>
      </c>
      <c r="J524" s="292">
        <f>'تقرير المصروفات حسب الشهر'!H940</f>
        <v>0</v>
      </c>
      <c r="K524" s="292">
        <f>'تقرير المصروفات حسب الشهر'!H1067</f>
        <v>0</v>
      </c>
      <c r="L524" s="292">
        <f>IFERROR(VLOOKUP(B524,'تقرير المصروفات حسب الشهر'!$C$1143:$AD$1254,6,FALSE),0)</f>
        <v>0</v>
      </c>
      <c r="M524" s="292">
        <f>IFERROR(VLOOKUP(B524,'تقرير المصروفات حسب الشهر'!$C$1270:$AD$1381,6,FALSE),0)</f>
        <v>0</v>
      </c>
      <c r="N524" s="292" t="e">
        <f>#REF!</f>
        <v>#REF!</v>
      </c>
      <c r="O524" s="296" t="e">
        <f t="shared" si="12"/>
        <v>#REF!</v>
      </c>
    </row>
    <row r="525" spans="2:15" ht="17.399999999999999">
      <c r="B525" s="291" t="s">
        <v>77</v>
      </c>
      <c r="C525" s="292">
        <f>'تقرير المصروفات حسب الشهر'!H61</f>
        <v>0</v>
      </c>
      <c r="D525" s="292" t="e">
        <f>#REF!</f>
        <v>#REF!</v>
      </c>
      <c r="E525" s="292" t="e">
        <f>#REF!</f>
        <v>#REF!</v>
      </c>
      <c r="F525" s="292" t="e">
        <f>#REF!</f>
        <v>#REF!</v>
      </c>
      <c r="G525" s="292" t="e">
        <f>#REF!</f>
        <v>#REF!</v>
      </c>
      <c r="H525" s="292" t="e">
        <f>#REF!</f>
        <v>#REF!</v>
      </c>
      <c r="I525" s="292">
        <f>'تقرير المصروفات حسب الشهر'!H814</f>
        <v>0</v>
      </c>
      <c r="J525" s="292">
        <f>'تقرير المصروفات حسب الشهر'!H941</f>
        <v>0</v>
      </c>
      <c r="K525" s="292">
        <f>'تقرير المصروفات حسب الشهر'!H1068</f>
        <v>0</v>
      </c>
      <c r="L525" s="292">
        <f>IFERROR(VLOOKUP(B525,'تقرير المصروفات حسب الشهر'!$C$1143:$AD$1254,6,FALSE),0)</f>
        <v>0</v>
      </c>
      <c r="M525" s="292">
        <f>IFERROR(VLOOKUP(B525,'تقرير المصروفات حسب الشهر'!$C$1270:$AD$1381,6,FALSE),0)</f>
        <v>0</v>
      </c>
      <c r="N525" s="292" t="e">
        <f>#REF!</f>
        <v>#REF!</v>
      </c>
      <c r="O525" s="296" t="e">
        <f t="shared" si="12"/>
        <v>#REF!</v>
      </c>
    </row>
    <row r="526" spans="2:15" ht="17.399999999999999">
      <c r="B526" s="291" t="s">
        <v>78</v>
      </c>
      <c r="C526" s="292">
        <f>'تقرير المصروفات حسب الشهر'!H62</f>
        <v>0</v>
      </c>
      <c r="D526" s="292" t="e">
        <f>#REF!</f>
        <v>#REF!</v>
      </c>
      <c r="E526" s="292" t="e">
        <f>#REF!</f>
        <v>#REF!</v>
      </c>
      <c r="F526" s="292" t="e">
        <f>#REF!</f>
        <v>#REF!</v>
      </c>
      <c r="G526" s="292" t="e">
        <f>#REF!</f>
        <v>#REF!</v>
      </c>
      <c r="H526" s="292" t="e">
        <f>#REF!</f>
        <v>#REF!</v>
      </c>
      <c r="I526" s="292">
        <f>'تقرير المصروفات حسب الشهر'!H815</f>
        <v>0</v>
      </c>
      <c r="J526" s="292">
        <f>'تقرير المصروفات حسب الشهر'!H942</f>
        <v>0</v>
      </c>
      <c r="K526" s="292">
        <f>'تقرير المصروفات حسب الشهر'!H1069</f>
        <v>0</v>
      </c>
      <c r="L526" s="292">
        <f>IFERROR(VLOOKUP(B526,'تقرير المصروفات حسب الشهر'!$C$1143:$AD$1254,6,FALSE),0)</f>
        <v>0</v>
      </c>
      <c r="M526" s="292">
        <f>IFERROR(VLOOKUP(B526,'تقرير المصروفات حسب الشهر'!$C$1270:$AD$1381,6,FALSE),0)</f>
        <v>0</v>
      </c>
      <c r="N526" s="292" t="e">
        <f>#REF!</f>
        <v>#REF!</v>
      </c>
      <c r="O526" s="296" t="e">
        <f t="shared" si="12"/>
        <v>#REF!</v>
      </c>
    </row>
    <row r="527" spans="2:15" ht="17.399999999999999">
      <c r="B527" s="291" t="s">
        <v>79</v>
      </c>
      <c r="C527" s="292">
        <f>'تقرير المصروفات حسب الشهر'!H63</f>
        <v>0</v>
      </c>
      <c r="D527" s="292" t="e">
        <f>#REF!</f>
        <v>#REF!</v>
      </c>
      <c r="E527" s="292" t="e">
        <f>#REF!</f>
        <v>#REF!</v>
      </c>
      <c r="F527" s="292" t="e">
        <f>#REF!</f>
        <v>#REF!</v>
      </c>
      <c r="G527" s="292" t="e">
        <f>#REF!</f>
        <v>#REF!</v>
      </c>
      <c r="H527" s="292" t="e">
        <f>#REF!</f>
        <v>#REF!</v>
      </c>
      <c r="I527" s="292">
        <f>'تقرير المصروفات حسب الشهر'!H816</f>
        <v>0</v>
      </c>
      <c r="J527" s="292">
        <f>'تقرير المصروفات حسب الشهر'!H943</f>
        <v>0</v>
      </c>
      <c r="K527" s="292">
        <f>'تقرير المصروفات حسب الشهر'!H1070</f>
        <v>0</v>
      </c>
      <c r="L527" s="292">
        <f>IFERROR(VLOOKUP(B527,'تقرير المصروفات حسب الشهر'!$C$1143:$AD$1254,6,FALSE),0)</f>
        <v>0</v>
      </c>
      <c r="M527" s="292">
        <f>IFERROR(VLOOKUP(B527,'تقرير المصروفات حسب الشهر'!$C$1270:$AD$1381,6,FALSE),0)</f>
        <v>0</v>
      </c>
      <c r="N527" s="292" t="e">
        <f>#REF!</f>
        <v>#REF!</v>
      </c>
      <c r="O527" s="296" t="e">
        <f t="shared" si="12"/>
        <v>#REF!</v>
      </c>
    </row>
    <row r="528" spans="2:15" ht="17.399999999999999">
      <c r="B528" s="291" t="s">
        <v>80</v>
      </c>
      <c r="C528" s="292">
        <f>'تقرير المصروفات حسب الشهر'!H64</f>
        <v>0</v>
      </c>
      <c r="D528" s="292" t="e">
        <f>#REF!</f>
        <v>#REF!</v>
      </c>
      <c r="E528" s="292" t="e">
        <f>#REF!</f>
        <v>#REF!</v>
      </c>
      <c r="F528" s="292" t="e">
        <f>#REF!</f>
        <v>#REF!</v>
      </c>
      <c r="G528" s="292" t="e">
        <f>#REF!</f>
        <v>#REF!</v>
      </c>
      <c r="H528" s="292" t="e">
        <f>#REF!</f>
        <v>#REF!</v>
      </c>
      <c r="I528" s="292">
        <f>'تقرير المصروفات حسب الشهر'!H817</f>
        <v>0</v>
      </c>
      <c r="J528" s="292">
        <f>'تقرير المصروفات حسب الشهر'!H944</f>
        <v>0</v>
      </c>
      <c r="K528" s="292">
        <f>'تقرير المصروفات حسب الشهر'!H1071</f>
        <v>0</v>
      </c>
      <c r="L528" s="292">
        <f>IFERROR(VLOOKUP(B528,'تقرير المصروفات حسب الشهر'!$C$1143:$AD$1254,6,FALSE),0)</f>
        <v>0</v>
      </c>
      <c r="M528" s="292">
        <f>IFERROR(VLOOKUP(B528,'تقرير المصروفات حسب الشهر'!$C$1270:$AD$1381,6,FALSE),0)</f>
        <v>0</v>
      </c>
      <c r="N528" s="292" t="e">
        <f>#REF!</f>
        <v>#REF!</v>
      </c>
      <c r="O528" s="296" t="e">
        <f t="shared" si="12"/>
        <v>#REF!</v>
      </c>
    </row>
    <row r="529" spans="2:15" ht="17.399999999999999">
      <c r="B529" s="291" t="s">
        <v>81</v>
      </c>
      <c r="C529" s="292">
        <f>'تقرير المصروفات حسب الشهر'!H65</f>
        <v>0</v>
      </c>
      <c r="D529" s="292" t="e">
        <f>#REF!</f>
        <v>#REF!</v>
      </c>
      <c r="E529" s="292" t="e">
        <f>#REF!</f>
        <v>#REF!</v>
      </c>
      <c r="F529" s="292" t="e">
        <f>#REF!</f>
        <v>#REF!</v>
      </c>
      <c r="G529" s="292" t="e">
        <f>#REF!</f>
        <v>#REF!</v>
      </c>
      <c r="H529" s="292" t="e">
        <f>#REF!</f>
        <v>#REF!</v>
      </c>
      <c r="I529" s="292">
        <f>'تقرير المصروفات حسب الشهر'!H818</f>
        <v>0</v>
      </c>
      <c r="J529" s="292">
        <f>'تقرير المصروفات حسب الشهر'!H945</f>
        <v>0</v>
      </c>
      <c r="K529" s="292">
        <f>'تقرير المصروفات حسب الشهر'!H1072</f>
        <v>0</v>
      </c>
      <c r="L529" s="292">
        <f>IFERROR(VLOOKUP(B529,'تقرير المصروفات حسب الشهر'!$C$1143:$AD$1254,6,FALSE),0)</f>
        <v>0</v>
      </c>
      <c r="M529" s="292">
        <f>IFERROR(VLOOKUP(B529,'تقرير المصروفات حسب الشهر'!$C$1270:$AD$1381,6,FALSE),0)</f>
        <v>0</v>
      </c>
      <c r="N529" s="292" t="e">
        <f>#REF!</f>
        <v>#REF!</v>
      </c>
      <c r="O529" s="296" t="e">
        <f t="shared" si="12"/>
        <v>#REF!</v>
      </c>
    </row>
    <row r="530" spans="2:15" ht="17.399999999999999">
      <c r="B530" s="291" t="s">
        <v>82</v>
      </c>
      <c r="C530" s="292">
        <f>'تقرير المصروفات حسب الشهر'!H66</f>
        <v>0</v>
      </c>
      <c r="D530" s="292" t="e">
        <f>#REF!</f>
        <v>#REF!</v>
      </c>
      <c r="E530" s="292" t="e">
        <f>#REF!</f>
        <v>#REF!</v>
      </c>
      <c r="F530" s="292" t="e">
        <f>#REF!</f>
        <v>#REF!</v>
      </c>
      <c r="G530" s="292" t="e">
        <f>#REF!</f>
        <v>#REF!</v>
      </c>
      <c r="H530" s="292" t="e">
        <f>#REF!</f>
        <v>#REF!</v>
      </c>
      <c r="I530" s="292">
        <f>'تقرير المصروفات حسب الشهر'!H819</f>
        <v>0</v>
      </c>
      <c r="J530" s="292">
        <f>'تقرير المصروفات حسب الشهر'!H946</f>
        <v>0</v>
      </c>
      <c r="K530" s="292">
        <f>'تقرير المصروفات حسب الشهر'!H1073</f>
        <v>0</v>
      </c>
      <c r="L530" s="292">
        <f>IFERROR(VLOOKUP(B530,'تقرير المصروفات حسب الشهر'!$C$1143:$AD$1254,6,FALSE),0)</f>
        <v>0</v>
      </c>
      <c r="M530" s="292">
        <f>IFERROR(VLOOKUP(B530,'تقرير المصروفات حسب الشهر'!$C$1270:$AD$1381,6,FALSE),0)</f>
        <v>0</v>
      </c>
      <c r="N530" s="292" t="e">
        <f>#REF!</f>
        <v>#REF!</v>
      </c>
      <c r="O530" s="296" t="e">
        <f t="shared" si="12"/>
        <v>#REF!</v>
      </c>
    </row>
    <row r="531" spans="2:15" ht="17.399999999999999">
      <c r="B531" s="291" t="s">
        <v>83</v>
      </c>
      <c r="C531" s="292">
        <f>'تقرير المصروفات حسب الشهر'!H67</f>
        <v>0</v>
      </c>
      <c r="D531" s="292" t="e">
        <f>#REF!</f>
        <v>#REF!</v>
      </c>
      <c r="E531" s="292" t="e">
        <f>#REF!</f>
        <v>#REF!</v>
      </c>
      <c r="F531" s="292" t="e">
        <f>#REF!</f>
        <v>#REF!</v>
      </c>
      <c r="G531" s="292" t="e">
        <f>#REF!</f>
        <v>#REF!</v>
      </c>
      <c r="H531" s="292" t="e">
        <f>#REF!</f>
        <v>#REF!</v>
      </c>
      <c r="I531" s="292">
        <f>'تقرير المصروفات حسب الشهر'!H820</f>
        <v>0</v>
      </c>
      <c r="J531" s="292">
        <f>'تقرير المصروفات حسب الشهر'!H947</f>
        <v>0</v>
      </c>
      <c r="K531" s="292">
        <f>'تقرير المصروفات حسب الشهر'!H1074</f>
        <v>0</v>
      </c>
      <c r="L531" s="292">
        <f>IFERROR(VLOOKUP(B531,'تقرير المصروفات حسب الشهر'!$C$1143:$AD$1254,6,FALSE),0)</f>
        <v>0</v>
      </c>
      <c r="M531" s="292">
        <f>IFERROR(VLOOKUP(B531,'تقرير المصروفات حسب الشهر'!$C$1270:$AD$1381,6,FALSE),0)</f>
        <v>0</v>
      </c>
      <c r="N531" s="292" t="e">
        <f>#REF!</f>
        <v>#REF!</v>
      </c>
      <c r="O531" s="296" t="e">
        <f t="shared" si="12"/>
        <v>#REF!</v>
      </c>
    </row>
    <row r="532" spans="2:15" ht="17.399999999999999">
      <c r="B532" s="291" t="s">
        <v>84</v>
      </c>
      <c r="C532" s="292">
        <f>'تقرير المصروفات حسب الشهر'!H68</f>
        <v>0</v>
      </c>
      <c r="D532" s="292" t="e">
        <f>#REF!</f>
        <v>#REF!</v>
      </c>
      <c r="E532" s="292" t="e">
        <f>#REF!</f>
        <v>#REF!</v>
      </c>
      <c r="F532" s="292" t="e">
        <f>#REF!</f>
        <v>#REF!</v>
      </c>
      <c r="G532" s="292" t="e">
        <f>#REF!</f>
        <v>#REF!</v>
      </c>
      <c r="H532" s="292" t="e">
        <f>#REF!</f>
        <v>#REF!</v>
      </c>
      <c r="I532" s="292">
        <f>'تقرير المصروفات حسب الشهر'!H821</f>
        <v>22841</v>
      </c>
      <c r="J532" s="292">
        <f>'تقرير المصروفات حسب الشهر'!H948</f>
        <v>300</v>
      </c>
      <c r="K532" s="292">
        <f>'تقرير المصروفات حسب الشهر'!H1075</f>
        <v>200</v>
      </c>
      <c r="L532" s="292">
        <f>IFERROR(VLOOKUP(B532,'تقرير المصروفات حسب الشهر'!$C$1143:$AD$1254,6,FALSE),0)</f>
        <v>0</v>
      </c>
      <c r="M532" s="292">
        <f>IFERROR(VLOOKUP(B532,'تقرير المصروفات حسب الشهر'!$C$1270:$AD$1381,6,FALSE),0)</f>
        <v>0</v>
      </c>
      <c r="N532" s="292" t="e">
        <f>#REF!</f>
        <v>#REF!</v>
      </c>
      <c r="O532" s="296" t="e">
        <f t="shared" si="12"/>
        <v>#REF!</v>
      </c>
    </row>
    <row r="533" spans="2:15" ht="17.399999999999999">
      <c r="B533" s="291" t="s">
        <v>85</v>
      </c>
      <c r="C533" s="292">
        <f>'تقرير المصروفات حسب الشهر'!H69</f>
        <v>316</v>
      </c>
      <c r="D533" s="292" t="e">
        <f>#REF!</f>
        <v>#REF!</v>
      </c>
      <c r="E533" s="292" t="e">
        <f>#REF!</f>
        <v>#REF!</v>
      </c>
      <c r="F533" s="292" t="e">
        <f>#REF!</f>
        <v>#REF!</v>
      </c>
      <c r="G533" s="292" t="e">
        <f>#REF!</f>
        <v>#REF!</v>
      </c>
      <c r="H533" s="292" t="e">
        <f>#REF!</f>
        <v>#REF!</v>
      </c>
      <c r="I533" s="292">
        <f>'تقرير المصروفات حسب الشهر'!H822</f>
        <v>0</v>
      </c>
      <c r="J533" s="292">
        <f>'تقرير المصروفات حسب الشهر'!H949</f>
        <v>0</v>
      </c>
      <c r="K533" s="292">
        <f>'تقرير المصروفات حسب الشهر'!H1076</f>
        <v>0</v>
      </c>
      <c r="L533" s="292">
        <f>IFERROR(VLOOKUP(B533,'تقرير المصروفات حسب الشهر'!$C$1143:$AD$1254,6,FALSE),0)</f>
        <v>200</v>
      </c>
      <c r="M533" s="292">
        <f>IFERROR(VLOOKUP(B533,'تقرير المصروفات حسب الشهر'!$C$1270:$AD$1381,6,FALSE),0)</f>
        <v>0</v>
      </c>
      <c r="N533" s="292" t="e">
        <f>#REF!</f>
        <v>#REF!</v>
      </c>
      <c r="O533" s="296" t="e">
        <f t="shared" si="12"/>
        <v>#REF!</v>
      </c>
    </row>
    <row r="534" spans="2:15" ht="17.399999999999999">
      <c r="B534" s="291" t="s">
        <v>86</v>
      </c>
      <c r="C534" s="292">
        <f>'تقرير المصروفات حسب الشهر'!H70</f>
        <v>0</v>
      </c>
      <c r="D534" s="292" t="e">
        <f>#REF!</f>
        <v>#REF!</v>
      </c>
      <c r="E534" s="292" t="e">
        <f>#REF!</f>
        <v>#REF!</v>
      </c>
      <c r="F534" s="292" t="e">
        <f>#REF!</f>
        <v>#REF!</v>
      </c>
      <c r="G534" s="292" t="e">
        <f>#REF!</f>
        <v>#REF!</v>
      </c>
      <c r="H534" s="292" t="e">
        <f>#REF!</f>
        <v>#REF!</v>
      </c>
      <c r="I534" s="292">
        <f>'تقرير المصروفات حسب الشهر'!H823</f>
        <v>2255</v>
      </c>
      <c r="J534" s="292">
        <f>'تقرير المصروفات حسب الشهر'!H950</f>
        <v>0</v>
      </c>
      <c r="K534" s="292">
        <f>'تقرير المصروفات حسب الشهر'!H1077</f>
        <v>0</v>
      </c>
      <c r="L534" s="292">
        <f>IFERROR(VLOOKUP(B534,'تقرير المصروفات حسب الشهر'!$C$1143:$AD$1254,6,FALSE),0)</f>
        <v>0</v>
      </c>
      <c r="M534" s="292">
        <f>IFERROR(VLOOKUP(B534,'تقرير المصروفات حسب الشهر'!$C$1270:$AD$1381,6,FALSE),0)</f>
        <v>0</v>
      </c>
      <c r="N534" s="292" t="e">
        <f>#REF!</f>
        <v>#REF!</v>
      </c>
      <c r="O534" s="296" t="e">
        <f t="shared" si="12"/>
        <v>#REF!</v>
      </c>
    </row>
    <row r="535" spans="2:15" ht="17.399999999999999">
      <c r="B535" s="291" t="s">
        <v>87</v>
      </c>
      <c r="C535" s="292">
        <f>'تقرير المصروفات حسب الشهر'!H71</f>
        <v>0</v>
      </c>
      <c r="D535" s="292" t="e">
        <f>#REF!</f>
        <v>#REF!</v>
      </c>
      <c r="E535" s="292" t="e">
        <f>#REF!</f>
        <v>#REF!</v>
      </c>
      <c r="F535" s="292" t="e">
        <f>#REF!</f>
        <v>#REF!</v>
      </c>
      <c r="G535" s="292" t="e">
        <f>#REF!</f>
        <v>#REF!</v>
      </c>
      <c r="H535" s="292" t="e">
        <f>#REF!</f>
        <v>#REF!</v>
      </c>
      <c r="I535" s="292">
        <f>'تقرير المصروفات حسب الشهر'!H824</f>
        <v>0</v>
      </c>
      <c r="J535" s="292">
        <f>'تقرير المصروفات حسب الشهر'!H951</f>
        <v>0</v>
      </c>
      <c r="K535" s="292">
        <f>'تقرير المصروفات حسب الشهر'!H1078</f>
        <v>0</v>
      </c>
      <c r="L535" s="292">
        <f>IFERROR(VLOOKUP(B535,'تقرير المصروفات حسب الشهر'!$C$1143:$AD$1254,6,FALSE),0)</f>
        <v>0</v>
      </c>
      <c r="M535" s="292">
        <f>IFERROR(VLOOKUP(B535,'تقرير المصروفات حسب الشهر'!$C$1270:$AD$1381,6,FALSE),0)</f>
        <v>0</v>
      </c>
      <c r="N535" s="292" t="e">
        <f>#REF!</f>
        <v>#REF!</v>
      </c>
      <c r="O535" s="296" t="e">
        <f t="shared" si="12"/>
        <v>#REF!</v>
      </c>
    </row>
    <row r="536" spans="2:15" ht="17.399999999999999">
      <c r="B536" s="291" t="s">
        <v>88</v>
      </c>
      <c r="C536" s="292">
        <f>'تقرير المصروفات حسب الشهر'!H72</f>
        <v>0</v>
      </c>
      <c r="D536" s="292" t="e">
        <f>#REF!</f>
        <v>#REF!</v>
      </c>
      <c r="E536" s="292" t="e">
        <f>#REF!</f>
        <v>#REF!</v>
      </c>
      <c r="F536" s="292" t="e">
        <f>#REF!</f>
        <v>#REF!</v>
      </c>
      <c r="G536" s="292" t="e">
        <f>#REF!</f>
        <v>#REF!</v>
      </c>
      <c r="H536" s="292" t="e">
        <f>#REF!</f>
        <v>#REF!</v>
      </c>
      <c r="I536" s="292">
        <f>'تقرير المصروفات حسب الشهر'!H825</f>
        <v>0</v>
      </c>
      <c r="J536" s="292">
        <f>'تقرير المصروفات حسب الشهر'!H952</f>
        <v>0</v>
      </c>
      <c r="K536" s="292">
        <f>'تقرير المصروفات حسب الشهر'!H1079</f>
        <v>0</v>
      </c>
      <c r="L536" s="292">
        <f>IFERROR(VLOOKUP(B536,'تقرير المصروفات حسب الشهر'!$C$1143:$AD$1254,6,FALSE),0)</f>
        <v>0</v>
      </c>
      <c r="M536" s="292">
        <f>IFERROR(VLOOKUP(B536,'تقرير المصروفات حسب الشهر'!$C$1270:$AD$1381,6,FALSE),0)</f>
        <v>0</v>
      </c>
      <c r="N536" s="292" t="e">
        <f>#REF!</f>
        <v>#REF!</v>
      </c>
      <c r="O536" s="296" t="e">
        <f t="shared" si="12"/>
        <v>#REF!</v>
      </c>
    </row>
    <row r="537" spans="2:15" ht="17.399999999999999">
      <c r="B537" s="291" t="s">
        <v>89</v>
      </c>
      <c r="C537" s="292">
        <f>'تقرير المصروفات حسب الشهر'!H73</f>
        <v>0</v>
      </c>
      <c r="D537" s="292" t="e">
        <f>#REF!</f>
        <v>#REF!</v>
      </c>
      <c r="E537" s="292" t="e">
        <f>#REF!</f>
        <v>#REF!</v>
      </c>
      <c r="F537" s="292" t="e">
        <f>#REF!</f>
        <v>#REF!</v>
      </c>
      <c r="G537" s="292" t="e">
        <f>#REF!</f>
        <v>#REF!</v>
      </c>
      <c r="H537" s="292" t="e">
        <f>#REF!</f>
        <v>#REF!</v>
      </c>
      <c r="I537" s="292">
        <f>'تقرير المصروفات حسب الشهر'!H826</f>
        <v>979</v>
      </c>
      <c r="J537" s="292">
        <f>'تقرير المصروفات حسب الشهر'!H953</f>
        <v>1404.4</v>
      </c>
      <c r="K537" s="292">
        <f>'تقرير المصروفات حسب الشهر'!H1080</f>
        <v>0</v>
      </c>
      <c r="L537" s="292">
        <f>IFERROR(VLOOKUP(B537,'تقرير المصروفات حسب الشهر'!$C$1143:$AD$1254,6,FALSE),0)</f>
        <v>0</v>
      </c>
      <c r="M537" s="292">
        <f>IFERROR(VLOOKUP(B537,'تقرير المصروفات حسب الشهر'!$C$1270:$AD$1381,6,FALSE),0)</f>
        <v>0</v>
      </c>
      <c r="N537" s="292" t="e">
        <f>#REF!</f>
        <v>#REF!</v>
      </c>
      <c r="O537" s="296" t="e">
        <f t="shared" si="12"/>
        <v>#REF!</v>
      </c>
    </row>
    <row r="538" spans="2:15" ht="17.399999999999999">
      <c r="B538" s="291" t="s">
        <v>33</v>
      </c>
      <c r="C538" s="292">
        <f>'تقرير المصروفات حسب الشهر'!H74</f>
        <v>1735</v>
      </c>
      <c r="D538" s="292" t="e">
        <f>#REF!</f>
        <v>#REF!</v>
      </c>
      <c r="E538" s="292" t="e">
        <f>#REF!</f>
        <v>#REF!</v>
      </c>
      <c r="F538" s="292" t="e">
        <f>#REF!</f>
        <v>#REF!</v>
      </c>
      <c r="G538" s="292" t="e">
        <f>#REF!</f>
        <v>#REF!</v>
      </c>
      <c r="H538" s="292" t="e">
        <f>#REF!</f>
        <v>#REF!</v>
      </c>
      <c r="I538" s="292">
        <f>'تقرير المصروفات حسب الشهر'!H827</f>
        <v>0</v>
      </c>
      <c r="J538" s="292">
        <f>'تقرير المصروفات حسب الشهر'!H954</f>
        <v>0</v>
      </c>
      <c r="K538" s="292">
        <f>'تقرير المصروفات حسب الشهر'!H1081</f>
        <v>0</v>
      </c>
      <c r="L538" s="292">
        <f>IFERROR(VLOOKUP(B538,'تقرير المصروفات حسب الشهر'!$C$1143:$AD$1254,6,FALSE),0)</f>
        <v>2335.7600000000002</v>
      </c>
      <c r="M538" s="292">
        <f>IFERROR(VLOOKUP(B538,'تقرير المصروفات حسب الشهر'!$C$1270:$AD$1381,6,FALSE),0)</f>
        <v>1105.82</v>
      </c>
      <c r="N538" s="292" t="e">
        <f>#REF!</f>
        <v>#REF!</v>
      </c>
      <c r="O538" s="296" t="e">
        <f t="shared" si="12"/>
        <v>#REF!</v>
      </c>
    </row>
    <row r="539" spans="2:15" ht="17.399999999999999">
      <c r="B539" s="291" t="s">
        <v>90</v>
      </c>
      <c r="C539" s="292">
        <f>'تقرير المصروفات حسب الشهر'!H75</f>
        <v>0</v>
      </c>
      <c r="D539" s="292" t="e">
        <f>#REF!</f>
        <v>#REF!</v>
      </c>
      <c r="E539" s="292" t="e">
        <f>#REF!</f>
        <v>#REF!</v>
      </c>
      <c r="F539" s="292" t="e">
        <f>#REF!</f>
        <v>#REF!</v>
      </c>
      <c r="G539" s="292" t="e">
        <f>#REF!</f>
        <v>#REF!</v>
      </c>
      <c r="H539" s="292" t="e">
        <f>#REF!</f>
        <v>#REF!</v>
      </c>
      <c r="I539" s="292">
        <f>'تقرير المصروفات حسب الشهر'!H828</f>
        <v>0</v>
      </c>
      <c r="J539" s="292">
        <f>'تقرير المصروفات حسب الشهر'!H955</f>
        <v>0</v>
      </c>
      <c r="K539" s="292">
        <f>'تقرير المصروفات حسب الشهر'!H1082</f>
        <v>0</v>
      </c>
      <c r="L539" s="292">
        <f>IFERROR(VLOOKUP(B539,'تقرير المصروفات حسب الشهر'!$C$1143:$AD$1254,6,FALSE),0)</f>
        <v>0</v>
      </c>
      <c r="M539" s="292">
        <f>IFERROR(VLOOKUP(B539,'تقرير المصروفات حسب الشهر'!$C$1270:$AD$1381,6,FALSE),0)</f>
        <v>0</v>
      </c>
      <c r="N539" s="292" t="e">
        <f>#REF!</f>
        <v>#REF!</v>
      </c>
      <c r="O539" s="296" t="e">
        <f t="shared" ref="O539:O582" si="13">SUM(C539:N539)</f>
        <v>#REF!</v>
      </c>
    </row>
    <row r="540" spans="2:15" ht="17.399999999999999">
      <c r="B540" s="291" t="s">
        <v>91</v>
      </c>
      <c r="C540" s="292">
        <f>'تقرير المصروفات حسب الشهر'!H76</f>
        <v>0</v>
      </c>
      <c r="D540" s="292" t="e">
        <f>#REF!</f>
        <v>#REF!</v>
      </c>
      <c r="E540" s="292" t="e">
        <f>#REF!</f>
        <v>#REF!</v>
      </c>
      <c r="F540" s="292" t="e">
        <f>#REF!</f>
        <v>#REF!</v>
      </c>
      <c r="G540" s="292" t="e">
        <f>#REF!</f>
        <v>#REF!</v>
      </c>
      <c r="H540" s="292" t="e">
        <f>#REF!</f>
        <v>#REF!</v>
      </c>
      <c r="I540" s="292">
        <f>'تقرير المصروفات حسب الشهر'!H829</f>
        <v>0</v>
      </c>
      <c r="J540" s="292">
        <f>'تقرير المصروفات حسب الشهر'!H956</f>
        <v>0</v>
      </c>
      <c r="K540" s="292">
        <f>'تقرير المصروفات حسب الشهر'!H1083</f>
        <v>0</v>
      </c>
      <c r="L540" s="292">
        <f>IFERROR(VLOOKUP(B540,'تقرير المصروفات حسب الشهر'!$C$1143:$AD$1254,6,FALSE),0)</f>
        <v>0</v>
      </c>
      <c r="M540" s="292">
        <f>IFERROR(VLOOKUP(B540,'تقرير المصروفات حسب الشهر'!$C$1270:$AD$1381,6,FALSE),0)</f>
        <v>0</v>
      </c>
      <c r="N540" s="292" t="e">
        <f>#REF!</f>
        <v>#REF!</v>
      </c>
      <c r="O540" s="296" t="e">
        <f t="shared" si="13"/>
        <v>#REF!</v>
      </c>
    </row>
    <row r="541" spans="2:15" ht="17.399999999999999">
      <c r="B541" s="291" t="s">
        <v>92</v>
      </c>
      <c r="C541" s="292">
        <f>'تقرير المصروفات حسب الشهر'!H77</f>
        <v>0</v>
      </c>
      <c r="D541" s="292" t="e">
        <f>#REF!</f>
        <v>#REF!</v>
      </c>
      <c r="E541" s="292" t="e">
        <f>#REF!</f>
        <v>#REF!</v>
      </c>
      <c r="F541" s="292" t="e">
        <f>#REF!</f>
        <v>#REF!</v>
      </c>
      <c r="G541" s="292" t="e">
        <f>#REF!</f>
        <v>#REF!</v>
      </c>
      <c r="H541" s="292" t="e">
        <f>#REF!</f>
        <v>#REF!</v>
      </c>
      <c r="I541" s="292">
        <f>'تقرير المصروفات حسب الشهر'!H830</f>
        <v>0</v>
      </c>
      <c r="J541" s="292">
        <f>'تقرير المصروفات حسب الشهر'!H957</f>
        <v>0</v>
      </c>
      <c r="K541" s="292">
        <f>'تقرير المصروفات حسب الشهر'!H1084</f>
        <v>0</v>
      </c>
      <c r="L541" s="292">
        <f>IFERROR(VLOOKUP(B541,'تقرير المصروفات حسب الشهر'!$C$1143:$AD$1254,6,FALSE),0)</f>
        <v>0</v>
      </c>
      <c r="M541" s="292">
        <f>IFERROR(VLOOKUP(B541,'تقرير المصروفات حسب الشهر'!$C$1270:$AD$1381,6,FALSE),0)</f>
        <v>0</v>
      </c>
      <c r="N541" s="292" t="e">
        <f>#REF!</f>
        <v>#REF!</v>
      </c>
      <c r="O541" s="296" t="e">
        <f t="shared" si="13"/>
        <v>#REF!</v>
      </c>
    </row>
    <row r="542" spans="2:15" ht="17.399999999999999">
      <c r="B542" s="291" t="s">
        <v>93</v>
      </c>
      <c r="C542" s="292">
        <f>'تقرير المصروفات حسب الشهر'!H78</f>
        <v>0</v>
      </c>
      <c r="D542" s="292" t="e">
        <f>#REF!</f>
        <v>#REF!</v>
      </c>
      <c r="E542" s="292" t="e">
        <f>#REF!</f>
        <v>#REF!</v>
      </c>
      <c r="F542" s="292" t="e">
        <f>#REF!</f>
        <v>#REF!</v>
      </c>
      <c r="G542" s="292" t="e">
        <f>#REF!</f>
        <v>#REF!</v>
      </c>
      <c r="H542" s="292" t="e">
        <f>#REF!</f>
        <v>#REF!</v>
      </c>
      <c r="I542" s="292">
        <f>'تقرير المصروفات حسب الشهر'!H831</f>
        <v>2600</v>
      </c>
      <c r="J542" s="292">
        <f>'تقرير المصروفات حسب الشهر'!H958</f>
        <v>2500</v>
      </c>
      <c r="K542" s="292">
        <f>'تقرير المصروفات حسب الشهر'!H1085</f>
        <v>2500</v>
      </c>
      <c r="L542" s="292">
        <f>IFERROR(VLOOKUP(B542,'تقرير المصروفات حسب الشهر'!$C$1143:$AD$1254,6,FALSE),0)</f>
        <v>0</v>
      </c>
      <c r="M542" s="292">
        <f>IFERROR(VLOOKUP(B542,'تقرير المصروفات حسب الشهر'!$C$1270:$AD$1381,6,FALSE),0)</f>
        <v>0</v>
      </c>
      <c r="N542" s="292" t="e">
        <f>#REF!</f>
        <v>#REF!</v>
      </c>
      <c r="O542" s="296" t="e">
        <f t="shared" si="13"/>
        <v>#REF!</v>
      </c>
    </row>
    <row r="543" spans="2:15" ht="17.399999999999999">
      <c r="B543" s="291" t="s">
        <v>94</v>
      </c>
      <c r="C543" s="292">
        <f>'تقرير المصروفات حسب الشهر'!H79</f>
        <v>2500</v>
      </c>
      <c r="D543" s="292" t="e">
        <f>#REF!</f>
        <v>#REF!</v>
      </c>
      <c r="E543" s="292" t="e">
        <f>#REF!</f>
        <v>#REF!</v>
      </c>
      <c r="F543" s="292" t="e">
        <f>#REF!</f>
        <v>#REF!</v>
      </c>
      <c r="G543" s="292" t="e">
        <f>#REF!</f>
        <v>#REF!</v>
      </c>
      <c r="H543" s="292" t="e">
        <f>#REF!</f>
        <v>#REF!</v>
      </c>
      <c r="I543" s="292">
        <f>'تقرير المصروفات حسب الشهر'!H832</f>
        <v>5193</v>
      </c>
      <c r="J543" s="292">
        <f>'تقرير المصروفات حسب الشهر'!H959</f>
        <v>0</v>
      </c>
      <c r="K543" s="292">
        <f>'تقرير المصروفات حسب الشهر'!H1086</f>
        <v>0</v>
      </c>
      <c r="L543" s="292">
        <f>IFERROR(VLOOKUP(B543,'تقرير المصروفات حسب الشهر'!$C$1143:$AD$1254,6,FALSE),0)</f>
        <v>2500</v>
      </c>
      <c r="M543" s="292">
        <f>IFERROR(VLOOKUP(B543,'تقرير المصروفات حسب الشهر'!$C$1270:$AD$1381,6,FALSE),0)</f>
        <v>4500</v>
      </c>
      <c r="N543" s="292" t="e">
        <f>#REF!</f>
        <v>#REF!</v>
      </c>
      <c r="O543" s="296" t="e">
        <f t="shared" si="13"/>
        <v>#REF!</v>
      </c>
    </row>
    <row r="544" spans="2:15" ht="17.399999999999999">
      <c r="B544" s="291" t="s">
        <v>95</v>
      </c>
      <c r="C544" s="292">
        <f>'تقرير المصروفات حسب الشهر'!H80</f>
        <v>0</v>
      </c>
      <c r="D544" s="292" t="e">
        <f>#REF!</f>
        <v>#REF!</v>
      </c>
      <c r="E544" s="292" t="e">
        <f>#REF!</f>
        <v>#REF!</v>
      </c>
      <c r="F544" s="292" t="e">
        <f>#REF!</f>
        <v>#REF!</v>
      </c>
      <c r="G544" s="292" t="e">
        <f>#REF!</f>
        <v>#REF!</v>
      </c>
      <c r="H544" s="292" t="e">
        <f>#REF!</f>
        <v>#REF!</v>
      </c>
      <c r="I544" s="292">
        <f>'تقرير المصروفات حسب الشهر'!H833</f>
        <v>668</v>
      </c>
      <c r="J544" s="292">
        <f>'تقرير المصروفات حسب الشهر'!H960</f>
        <v>1331.8</v>
      </c>
      <c r="K544" s="292">
        <f>'تقرير المصروفات حسب الشهر'!H1087</f>
        <v>0</v>
      </c>
      <c r="L544" s="292">
        <f>IFERROR(VLOOKUP(B544,'تقرير المصروفات حسب الشهر'!$C$1143:$AD$1254,6,FALSE),0)</f>
        <v>0</v>
      </c>
      <c r="M544" s="292">
        <f>IFERROR(VLOOKUP(B544,'تقرير المصروفات حسب الشهر'!$C$1270:$AD$1381,6,FALSE),0)</f>
        <v>0</v>
      </c>
      <c r="N544" s="292" t="e">
        <f>#REF!</f>
        <v>#REF!</v>
      </c>
      <c r="O544" s="296" t="e">
        <f t="shared" si="13"/>
        <v>#REF!</v>
      </c>
    </row>
    <row r="545" spans="2:15" ht="17.399999999999999">
      <c r="B545" s="291" t="s">
        <v>96</v>
      </c>
      <c r="C545" s="292">
        <f>'تقرير المصروفات حسب الشهر'!H81</f>
        <v>0</v>
      </c>
      <c r="D545" s="292" t="e">
        <f>#REF!</f>
        <v>#REF!</v>
      </c>
      <c r="E545" s="292" t="e">
        <f>#REF!</f>
        <v>#REF!</v>
      </c>
      <c r="F545" s="292" t="e">
        <f>#REF!</f>
        <v>#REF!</v>
      </c>
      <c r="G545" s="292" t="e">
        <f>#REF!</f>
        <v>#REF!</v>
      </c>
      <c r="H545" s="292" t="e">
        <f>#REF!</f>
        <v>#REF!</v>
      </c>
      <c r="I545" s="292">
        <f>'تقرير المصروفات حسب الشهر'!H834</f>
        <v>823.96</v>
      </c>
      <c r="J545" s="292">
        <f>'تقرير المصروفات حسب الشهر'!H961</f>
        <v>1108.96</v>
      </c>
      <c r="K545" s="292">
        <f>'تقرير المصروفات حسب الشهر'!H1088</f>
        <v>823.96</v>
      </c>
      <c r="L545" s="292">
        <f>IFERROR(VLOOKUP(B545,'تقرير المصروفات حسب الشهر'!$C$1143:$AD$1254,6,FALSE),0)</f>
        <v>0</v>
      </c>
      <c r="M545" s="292">
        <f>IFERROR(VLOOKUP(B545,'تقرير المصروفات حسب الشهر'!$C$1270:$AD$1381,6,FALSE),0)</f>
        <v>0</v>
      </c>
      <c r="N545" s="292" t="e">
        <f>#REF!</f>
        <v>#REF!</v>
      </c>
      <c r="O545" s="296" t="e">
        <f t="shared" si="13"/>
        <v>#REF!</v>
      </c>
    </row>
    <row r="546" spans="2:15" ht="17.399999999999999">
      <c r="B546" s="291" t="s">
        <v>97</v>
      </c>
      <c r="C546" s="292">
        <f>'تقرير المصروفات حسب الشهر'!H82</f>
        <v>719.31</v>
      </c>
      <c r="D546" s="292" t="e">
        <f>#REF!</f>
        <v>#REF!</v>
      </c>
      <c r="E546" s="292" t="e">
        <f>#REF!</f>
        <v>#REF!</v>
      </c>
      <c r="F546" s="292" t="e">
        <f>#REF!</f>
        <v>#REF!</v>
      </c>
      <c r="G546" s="292" t="e">
        <f>#REF!</f>
        <v>#REF!</v>
      </c>
      <c r="H546" s="292" t="e">
        <f>#REF!</f>
        <v>#REF!</v>
      </c>
      <c r="I546" s="292">
        <f>'تقرير المصروفات حسب الشهر'!H835</f>
        <v>0</v>
      </c>
      <c r="J546" s="292">
        <f>'تقرير المصروفات حسب الشهر'!H962</f>
        <v>0</v>
      </c>
      <c r="K546" s="292">
        <f>'تقرير المصروفات حسب الشهر'!H1089</f>
        <v>2130</v>
      </c>
      <c r="L546" s="292">
        <f>IFERROR(VLOOKUP(B546,'تقرير المصروفات حسب الشهر'!$C$1143:$AD$1254,6,FALSE),0)</f>
        <v>823.96</v>
      </c>
      <c r="M546" s="292">
        <f>IFERROR(VLOOKUP(B546,'تقرير المصروفات حسب الشهر'!$C$1270:$AD$1381,6,FALSE),0)</f>
        <v>823.96</v>
      </c>
      <c r="N546" s="292" t="e">
        <f>#REF!</f>
        <v>#REF!</v>
      </c>
      <c r="O546" s="296" t="e">
        <f t="shared" si="13"/>
        <v>#REF!</v>
      </c>
    </row>
    <row r="547" spans="2:15" ht="17.399999999999999">
      <c r="B547" s="291" t="s">
        <v>192</v>
      </c>
      <c r="C547" s="292">
        <f>'تقرير المصروفات حسب الشهر'!H83</f>
        <v>0</v>
      </c>
      <c r="D547" s="292" t="e">
        <f>#REF!</f>
        <v>#REF!</v>
      </c>
      <c r="E547" s="292" t="e">
        <f>#REF!</f>
        <v>#REF!</v>
      </c>
      <c r="F547" s="292" t="e">
        <f>#REF!</f>
        <v>#REF!</v>
      </c>
      <c r="G547" s="292" t="e">
        <f>#REF!</f>
        <v>#REF!</v>
      </c>
      <c r="H547" s="292" t="e">
        <f>#REF!</f>
        <v>#REF!</v>
      </c>
      <c r="I547" s="292">
        <f>'تقرير المصروفات حسب الشهر'!H836</f>
        <v>0</v>
      </c>
      <c r="J547" s="292">
        <f>'تقرير المصروفات حسب الشهر'!H963</f>
        <v>0</v>
      </c>
      <c r="K547" s="292">
        <f>'تقرير المصروفات حسب الشهر'!H1090</f>
        <v>0</v>
      </c>
      <c r="L547" s="292">
        <f>IFERROR(VLOOKUP(B547,'تقرير المصروفات حسب الشهر'!$C$1143:$AD$1254,6,FALSE),0)</f>
        <v>1065</v>
      </c>
      <c r="M547" s="292">
        <f>IFERROR(VLOOKUP(B547,'تقرير المصروفات حسب الشهر'!$C$1270:$AD$1381,6,FALSE),0)</f>
        <v>1065</v>
      </c>
      <c r="N547" s="292" t="e">
        <f>#REF!</f>
        <v>#REF!</v>
      </c>
      <c r="O547" s="296" t="e">
        <f t="shared" si="13"/>
        <v>#REF!</v>
      </c>
    </row>
    <row r="548" spans="2:15" ht="17.399999999999999">
      <c r="B548" s="291" t="s">
        <v>98</v>
      </c>
      <c r="C548" s="292">
        <f>'تقرير المصروفات حسب الشهر'!H84</f>
        <v>0</v>
      </c>
      <c r="D548" s="292" t="e">
        <f>#REF!</f>
        <v>#REF!</v>
      </c>
      <c r="E548" s="292" t="e">
        <f>#REF!</f>
        <v>#REF!</v>
      </c>
      <c r="F548" s="292" t="e">
        <f>#REF!</f>
        <v>#REF!</v>
      </c>
      <c r="G548" s="292" t="e">
        <f>#REF!</f>
        <v>#REF!</v>
      </c>
      <c r="H548" s="292" t="e">
        <f>#REF!</f>
        <v>#REF!</v>
      </c>
      <c r="I548" s="292">
        <f>'تقرير المصروفات حسب الشهر'!H837</f>
        <v>0</v>
      </c>
      <c r="J548" s="292">
        <f>'تقرير المصروفات حسب الشهر'!H964</f>
        <v>0</v>
      </c>
      <c r="K548" s="292">
        <f>'تقرير المصروفات حسب الشهر'!H1091</f>
        <v>0</v>
      </c>
      <c r="L548" s="292">
        <f>IFERROR(VLOOKUP(B548,'تقرير المصروفات حسب الشهر'!$C$1143:$AD$1254,6,FALSE),0)</f>
        <v>0</v>
      </c>
      <c r="M548" s="292">
        <f>IFERROR(VLOOKUP(B548,'تقرير المصروفات حسب الشهر'!$C$1270:$AD$1381,6,FALSE),0)</f>
        <v>0</v>
      </c>
      <c r="N548" s="292" t="e">
        <f>#REF!</f>
        <v>#REF!</v>
      </c>
      <c r="O548" s="296" t="e">
        <f t="shared" si="13"/>
        <v>#REF!</v>
      </c>
    </row>
    <row r="549" spans="2:15" ht="17.399999999999999">
      <c r="B549" s="291" t="s">
        <v>99</v>
      </c>
      <c r="C549" s="292">
        <f>'تقرير المصروفات حسب الشهر'!H85</f>
        <v>0</v>
      </c>
      <c r="D549" s="292" t="e">
        <f>#REF!</f>
        <v>#REF!</v>
      </c>
      <c r="E549" s="292" t="e">
        <f>#REF!</f>
        <v>#REF!</v>
      </c>
      <c r="F549" s="292" t="e">
        <f>#REF!</f>
        <v>#REF!</v>
      </c>
      <c r="G549" s="292" t="e">
        <f>#REF!</f>
        <v>#REF!</v>
      </c>
      <c r="H549" s="292" t="e">
        <f>#REF!</f>
        <v>#REF!</v>
      </c>
      <c r="I549" s="292">
        <f>'تقرير المصروفات حسب الشهر'!H838</f>
        <v>0</v>
      </c>
      <c r="J549" s="292">
        <f>'تقرير المصروفات حسب الشهر'!H965</f>
        <v>0</v>
      </c>
      <c r="K549" s="292">
        <f>'تقرير المصروفات حسب الشهر'!H1092</f>
        <v>0</v>
      </c>
      <c r="L549" s="292">
        <f>IFERROR(VLOOKUP(B549,'تقرير المصروفات حسب الشهر'!$C$1143:$AD$1254,6,FALSE),0)</f>
        <v>0</v>
      </c>
      <c r="M549" s="292">
        <f>IFERROR(VLOOKUP(B549,'تقرير المصروفات حسب الشهر'!$C$1270:$AD$1381,6,FALSE),0)</f>
        <v>0</v>
      </c>
      <c r="N549" s="292" t="e">
        <f>#REF!</f>
        <v>#REF!</v>
      </c>
      <c r="O549" s="296" t="e">
        <f t="shared" si="13"/>
        <v>#REF!</v>
      </c>
    </row>
    <row r="550" spans="2:15" ht="17.399999999999999">
      <c r="B550" s="291" t="s">
        <v>100</v>
      </c>
      <c r="C550" s="292">
        <f>'تقرير المصروفات حسب الشهر'!H86</f>
        <v>9.2899999999999991</v>
      </c>
      <c r="D550" s="292" t="e">
        <f>#REF!</f>
        <v>#REF!</v>
      </c>
      <c r="E550" s="292" t="e">
        <f>#REF!</f>
        <v>#REF!</v>
      </c>
      <c r="F550" s="292" t="e">
        <f>#REF!</f>
        <v>#REF!</v>
      </c>
      <c r="G550" s="292" t="e">
        <f>#REF!</f>
        <v>#REF!</v>
      </c>
      <c r="H550" s="292" t="e">
        <f>#REF!</f>
        <v>#REF!</v>
      </c>
      <c r="I550" s="292">
        <f>'تقرير المصروفات حسب الشهر'!H839</f>
        <v>457.42</v>
      </c>
      <c r="J550" s="292">
        <f>'تقرير المصروفات حسب الشهر'!H966</f>
        <v>417.89</v>
      </c>
      <c r="K550" s="292">
        <f>'تقرير المصروفات حسب الشهر'!H1093</f>
        <v>385.17</v>
      </c>
      <c r="L550" s="292">
        <f>IFERROR(VLOOKUP(B550,'تقرير المصروفات حسب الشهر'!$C$1143:$AD$1254,6,FALSE),0)</f>
        <v>0</v>
      </c>
      <c r="M550" s="292">
        <f>IFERROR(VLOOKUP(B550,'تقرير المصروفات حسب الشهر'!$C$1270:$AD$1381,6,FALSE),0)</f>
        <v>0</v>
      </c>
      <c r="N550" s="292" t="e">
        <f>#REF!</f>
        <v>#REF!</v>
      </c>
      <c r="O550" s="296" t="e">
        <f t="shared" si="13"/>
        <v>#REF!</v>
      </c>
    </row>
    <row r="551" spans="2:15" ht="17.399999999999999">
      <c r="B551" s="291" t="s">
        <v>101</v>
      </c>
      <c r="C551" s="292">
        <f>'تقرير المصروفات حسب الشهر'!H87</f>
        <v>457.42</v>
      </c>
      <c r="D551" s="292" t="e">
        <f>#REF!</f>
        <v>#REF!</v>
      </c>
      <c r="E551" s="292" t="e">
        <f>#REF!</f>
        <v>#REF!</v>
      </c>
      <c r="F551" s="292" t="e">
        <f>#REF!</f>
        <v>#REF!</v>
      </c>
      <c r="G551" s="292" t="e">
        <f>#REF!</f>
        <v>#REF!</v>
      </c>
      <c r="H551" s="292" t="e">
        <f>#REF!</f>
        <v>#REF!</v>
      </c>
      <c r="I551" s="292">
        <f>'تقرير المصروفات حسب الشهر'!H840</f>
        <v>1865.74</v>
      </c>
      <c r="J551" s="292">
        <f>'تقرير المصروفات حسب الشهر'!H967</f>
        <v>1825.08</v>
      </c>
      <c r="K551" s="292">
        <f>'تقرير المصروفات حسب الشهر'!H1094</f>
        <v>1988.32</v>
      </c>
      <c r="L551" s="292">
        <f>IFERROR(VLOOKUP(B551,'تقرير المصروفات حسب الشهر'!$C$1143:$AD$1254,6,FALSE),0)</f>
        <v>385.17</v>
      </c>
      <c r="M551" s="292">
        <f>IFERROR(VLOOKUP(B551,'تقرير المصروفات حسب الشهر'!$C$1270:$AD$1381,6,FALSE),0)</f>
        <v>385.13</v>
      </c>
      <c r="N551" s="292" t="e">
        <f>#REF!</f>
        <v>#REF!</v>
      </c>
      <c r="O551" s="296" t="e">
        <f t="shared" si="13"/>
        <v>#REF!</v>
      </c>
    </row>
    <row r="552" spans="2:15" ht="17.399999999999999">
      <c r="B552" s="291" t="s">
        <v>102</v>
      </c>
      <c r="C552" s="292">
        <f>'تقرير المصروفات حسب الشهر'!H88</f>
        <v>1228.1500000000001</v>
      </c>
      <c r="D552" s="292" t="e">
        <f>#REF!</f>
        <v>#REF!</v>
      </c>
      <c r="E552" s="292" t="e">
        <f>#REF!</f>
        <v>#REF!</v>
      </c>
      <c r="F552" s="292" t="e">
        <f>#REF!</f>
        <v>#REF!</v>
      </c>
      <c r="G552" s="292" t="e">
        <f>#REF!</f>
        <v>#REF!</v>
      </c>
      <c r="H552" s="292" t="e">
        <f>#REF!</f>
        <v>#REF!</v>
      </c>
      <c r="I552" s="292">
        <f>'تقرير المصروفات حسب الشهر'!H841</f>
        <v>217.87</v>
      </c>
      <c r="J552" s="292">
        <f>'تقرير المصروفات حسب الشهر'!H968</f>
        <v>202.6</v>
      </c>
      <c r="K552" s="292">
        <f>'تقرير المصروفات حسب الشهر'!H1095</f>
        <v>164.43</v>
      </c>
      <c r="L552" s="292">
        <f>IFERROR(VLOOKUP(B552,'تقرير المصروفات حسب الشهر'!$C$1143:$AD$1254,6,FALSE),0)</f>
        <v>2013.41</v>
      </c>
      <c r="M552" s="292">
        <f>IFERROR(VLOOKUP(B552,'تقرير المصروفات حسب الشهر'!$C$1270:$AD$1381,6,FALSE),0)</f>
        <v>2013.31</v>
      </c>
      <c r="N552" s="292" t="e">
        <f>#REF!</f>
        <v>#REF!</v>
      </c>
      <c r="O552" s="296" t="e">
        <f t="shared" si="13"/>
        <v>#REF!</v>
      </c>
    </row>
    <row r="553" spans="2:15" ht="17.399999999999999">
      <c r="B553" s="291" t="s">
        <v>103</v>
      </c>
      <c r="C553" s="292">
        <f>'تقرير المصروفات حسب الشهر'!H89</f>
        <v>127.61</v>
      </c>
      <c r="D553" s="292" t="e">
        <f>#REF!</f>
        <v>#REF!</v>
      </c>
      <c r="E553" s="292" t="e">
        <f>#REF!</f>
        <v>#REF!</v>
      </c>
      <c r="F553" s="292" t="e">
        <f>#REF!</f>
        <v>#REF!</v>
      </c>
      <c r="G553" s="292" t="e">
        <f>#REF!</f>
        <v>#REF!</v>
      </c>
      <c r="H553" s="292" t="e">
        <f>#REF!</f>
        <v>#REF!</v>
      </c>
      <c r="I553" s="292">
        <f>'تقرير المصروفات حسب الشهر'!H842</f>
        <v>888.82</v>
      </c>
      <c r="J553" s="292">
        <f>'تقرير المصروفات حسب الشهر'!H969</f>
        <v>888.82</v>
      </c>
      <c r="K553" s="292">
        <f>'تقرير المصروفات حسب الشهر'!H1096</f>
        <v>888.82</v>
      </c>
      <c r="L553" s="292">
        <f>IFERROR(VLOOKUP(B553,'تقرير المصروفات حسب الشهر'!$C$1143:$AD$1254,6,FALSE),0)</f>
        <v>164.43</v>
      </c>
      <c r="M553" s="292">
        <f>IFERROR(VLOOKUP(B553,'تقرير المصروفات حسب الشهر'!$C$1270:$AD$1381,6,FALSE),0)</f>
        <v>164.39</v>
      </c>
      <c r="N553" s="292" t="e">
        <f>#REF!</f>
        <v>#REF!</v>
      </c>
      <c r="O553" s="296" t="e">
        <f t="shared" si="13"/>
        <v>#REF!</v>
      </c>
    </row>
    <row r="554" spans="2:15" ht="17.399999999999999">
      <c r="B554" s="291" t="s">
        <v>104</v>
      </c>
      <c r="C554" s="292">
        <f>'تقرير المصروفات حسب الشهر'!H90</f>
        <v>929.54</v>
      </c>
      <c r="D554" s="292" t="e">
        <f>#REF!</f>
        <v>#REF!</v>
      </c>
      <c r="E554" s="292" t="e">
        <f>#REF!</f>
        <v>#REF!</v>
      </c>
      <c r="F554" s="292" t="e">
        <f>#REF!</f>
        <v>#REF!</v>
      </c>
      <c r="G554" s="292" t="e">
        <f>#REF!</f>
        <v>#REF!</v>
      </c>
      <c r="H554" s="292" t="e">
        <f>#REF!</f>
        <v>#REF!</v>
      </c>
      <c r="I554" s="292">
        <f>'تقرير المصروفات حسب الشهر'!H843</f>
        <v>0</v>
      </c>
      <c r="J554" s="292">
        <f>'تقرير المصروفات حسب الشهر'!H970</f>
        <v>0</v>
      </c>
      <c r="K554" s="292">
        <f>'تقرير المصروفات حسب الشهر'!H1097</f>
        <v>0</v>
      </c>
      <c r="L554" s="292">
        <f>IFERROR(VLOOKUP(B554,'تقرير المصروفات حسب الشهر'!$C$1143:$AD$1254,6,FALSE),0)</f>
        <v>888.82</v>
      </c>
      <c r="M554" s="292">
        <f>IFERROR(VLOOKUP(B554,'تقرير المصروفات حسب الشهر'!$C$1270:$AD$1381,6,FALSE),0)</f>
        <v>888.71</v>
      </c>
      <c r="N554" s="292" t="e">
        <f>#REF!</f>
        <v>#REF!</v>
      </c>
      <c r="O554" s="296" t="e">
        <f t="shared" si="13"/>
        <v>#REF!</v>
      </c>
    </row>
    <row r="555" spans="2:15" ht="17.399999999999999">
      <c r="B555" s="291" t="s">
        <v>105</v>
      </c>
      <c r="C555" s="292">
        <f>'تقرير المصروفات حسب الشهر'!H91</f>
        <v>485.59</v>
      </c>
      <c r="D555" s="292" t="e">
        <f>#REF!</f>
        <v>#REF!</v>
      </c>
      <c r="E555" s="292" t="e">
        <f>#REF!</f>
        <v>#REF!</v>
      </c>
      <c r="F555" s="292" t="e">
        <f>#REF!</f>
        <v>#REF!</v>
      </c>
      <c r="G555" s="292" t="e">
        <f>#REF!</f>
        <v>#REF!</v>
      </c>
      <c r="H555" s="292" t="e">
        <f>#REF!</f>
        <v>#REF!</v>
      </c>
      <c r="I555" s="292">
        <f>'تقرير المصروفات حسب الشهر'!H844</f>
        <v>0</v>
      </c>
      <c r="J555" s="292">
        <f>'تقرير المصروفات حسب الشهر'!H971</f>
        <v>0</v>
      </c>
      <c r="K555" s="292">
        <f>'تقرير المصروفات حسب الشهر'!H1098</f>
        <v>0</v>
      </c>
      <c r="L555" s="292">
        <f>IFERROR(VLOOKUP(B555,'تقرير المصروفات حسب الشهر'!$C$1143:$AD$1254,6,FALSE),0)</f>
        <v>0</v>
      </c>
      <c r="M555" s="292">
        <f>IFERROR(VLOOKUP(B555,'تقرير المصروفات حسب الشهر'!$C$1270:$AD$1381,6,FALSE),0)</f>
        <v>0</v>
      </c>
      <c r="N555" s="292" t="e">
        <f>#REF!</f>
        <v>#REF!</v>
      </c>
      <c r="O555" s="296" t="e">
        <f t="shared" si="13"/>
        <v>#REF!</v>
      </c>
    </row>
    <row r="556" spans="2:15" ht="17.399999999999999">
      <c r="B556" s="291" t="s">
        <v>106</v>
      </c>
      <c r="C556" s="292">
        <f>'تقرير المصروفات حسب الشهر'!H92</f>
        <v>0</v>
      </c>
      <c r="D556" s="292" t="e">
        <f>#REF!</f>
        <v>#REF!</v>
      </c>
      <c r="E556" s="292" t="e">
        <f>#REF!</f>
        <v>#REF!</v>
      </c>
      <c r="F556" s="292" t="e">
        <f>#REF!</f>
        <v>#REF!</v>
      </c>
      <c r="G556" s="292" t="e">
        <f>#REF!</f>
        <v>#REF!</v>
      </c>
      <c r="H556" s="292" t="e">
        <f>#REF!</f>
        <v>#REF!</v>
      </c>
      <c r="I556" s="292">
        <f>'تقرير المصروفات حسب الشهر'!H845</f>
        <v>0</v>
      </c>
      <c r="J556" s="292">
        <f>'تقرير المصروفات حسب الشهر'!H972</f>
        <v>0</v>
      </c>
      <c r="K556" s="292">
        <f>'تقرير المصروفات حسب الشهر'!H1099</f>
        <v>0</v>
      </c>
      <c r="L556" s="292">
        <f>IFERROR(VLOOKUP(B556,'تقرير المصروفات حسب الشهر'!$C$1143:$AD$1254,6,FALSE),0)</f>
        <v>0</v>
      </c>
      <c r="M556" s="292">
        <f>IFERROR(VLOOKUP(B556,'تقرير المصروفات حسب الشهر'!$C$1270:$AD$1381,6,FALSE),0)</f>
        <v>0</v>
      </c>
      <c r="N556" s="292" t="e">
        <f>#REF!</f>
        <v>#REF!</v>
      </c>
      <c r="O556" s="296" t="e">
        <f t="shared" si="13"/>
        <v>#REF!</v>
      </c>
    </row>
    <row r="557" spans="2:15" ht="17.399999999999999">
      <c r="B557" s="291" t="s">
        <v>107</v>
      </c>
      <c r="C557" s="292">
        <f>'تقرير المصروفات حسب الشهر'!H93</f>
        <v>0</v>
      </c>
      <c r="D557" s="292" t="e">
        <f>#REF!</f>
        <v>#REF!</v>
      </c>
      <c r="E557" s="292" t="e">
        <f>#REF!</f>
        <v>#REF!</v>
      </c>
      <c r="F557" s="292" t="e">
        <f>#REF!</f>
        <v>#REF!</v>
      </c>
      <c r="G557" s="292" t="e">
        <f>#REF!</f>
        <v>#REF!</v>
      </c>
      <c r="H557" s="292" t="e">
        <f>#REF!</f>
        <v>#REF!</v>
      </c>
      <c r="I557" s="292">
        <f>'تقرير المصروفات حسب الشهر'!H846</f>
        <v>4021.25</v>
      </c>
      <c r="J557" s="292">
        <f>'تقرير المصروفات حسب الشهر'!H973</f>
        <v>4354.43</v>
      </c>
      <c r="K557" s="292">
        <f>'تقرير المصروفات حسب الشهر'!H1100</f>
        <v>5799.44</v>
      </c>
      <c r="L557" s="292">
        <f>IFERROR(VLOOKUP(B557,'تقرير المصروفات حسب الشهر'!$C$1143:$AD$1254,6,FALSE),0)</f>
        <v>0</v>
      </c>
      <c r="M557" s="292">
        <f>IFERROR(VLOOKUP(B557,'تقرير المصروفات حسب الشهر'!$C$1270:$AD$1381,6,FALSE),0)</f>
        <v>0</v>
      </c>
      <c r="N557" s="292" t="e">
        <f>#REF!</f>
        <v>#REF!</v>
      </c>
      <c r="O557" s="296" t="e">
        <f t="shared" si="13"/>
        <v>#REF!</v>
      </c>
    </row>
    <row r="558" spans="2:15" ht="17.399999999999999">
      <c r="B558" s="291" t="s">
        <v>108</v>
      </c>
      <c r="C558" s="292">
        <f>'تقرير المصروفات حسب الشهر'!H94</f>
        <v>5496.46</v>
      </c>
      <c r="D558" s="292" t="e">
        <f>#REF!</f>
        <v>#REF!</v>
      </c>
      <c r="E558" s="292" t="e">
        <f>#REF!</f>
        <v>#REF!</v>
      </c>
      <c r="F558" s="292" t="e">
        <f>#REF!</f>
        <v>#REF!</v>
      </c>
      <c r="G558" s="292" t="e">
        <f>#REF!</f>
        <v>#REF!</v>
      </c>
      <c r="H558" s="292" t="e">
        <f>#REF!</f>
        <v>#REF!</v>
      </c>
      <c r="I558" s="292">
        <f>'تقرير المصروفات حسب الشهر'!H847</f>
        <v>0</v>
      </c>
      <c r="J558" s="292">
        <f>'تقرير المصروفات حسب الشهر'!H974</f>
        <v>0</v>
      </c>
      <c r="K558" s="292">
        <f>'تقرير المصروفات حسب الشهر'!H1101</f>
        <v>0</v>
      </c>
      <c r="L558" s="292">
        <f>IFERROR(VLOOKUP(B558,'تقرير المصروفات حسب الشهر'!$C$1143:$AD$1254,6,FALSE),0)</f>
        <v>4882.3099999999995</v>
      </c>
      <c r="M558" s="292">
        <f>IFERROR(VLOOKUP(B558,'تقرير المصروفات حسب الشهر'!$C$1270:$AD$1381,6,FALSE),0)</f>
        <v>4822.34</v>
      </c>
      <c r="N558" s="292" t="e">
        <f>#REF!</f>
        <v>#REF!</v>
      </c>
      <c r="O558" s="296" t="e">
        <f t="shared" si="13"/>
        <v>#REF!</v>
      </c>
    </row>
    <row r="559" spans="2:15" ht="17.399999999999999">
      <c r="B559" s="291" t="s">
        <v>109</v>
      </c>
      <c r="C559" s="292">
        <f>'تقرير المصروفات حسب الشهر'!H95</f>
        <v>0</v>
      </c>
      <c r="D559" s="292" t="e">
        <f>#REF!</f>
        <v>#REF!</v>
      </c>
      <c r="E559" s="292" t="e">
        <f>#REF!</f>
        <v>#REF!</v>
      </c>
      <c r="F559" s="292" t="e">
        <f>#REF!</f>
        <v>#REF!</v>
      </c>
      <c r="G559" s="292" t="e">
        <f>#REF!</f>
        <v>#REF!</v>
      </c>
      <c r="H559" s="292" t="e">
        <f>#REF!</f>
        <v>#REF!</v>
      </c>
      <c r="I559" s="292">
        <f>'تقرير المصروفات حسب الشهر'!H848</f>
        <v>0</v>
      </c>
      <c r="J559" s="292">
        <f>'تقرير المصروفات حسب الشهر'!H975</f>
        <v>0</v>
      </c>
      <c r="K559" s="292">
        <f>'تقرير المصروفات حسب الشهر'!H1102</f>
        <v>0</v>
      </c>
      <c r="L559" s="292">
        <f>IFERROR(VLOOKUP(B559,'تقرير المصروفات حسب الشهر'!$C$1143:$AD$1254,6,FALSE),0)</f>
        <v>0</v>
      </c>
      <c r="M559" s="292">
        <f>IFERROR(VLOOKUP(B559,'تقرير المصروفات حسب الشهر'!$C$1270:$AD$1381,6,FALSE),0)</f>
        <v>0</v>
      </c>
      <c r="N559" s="292" t="e">
        <f>#REF!</f>
        <v>#REF!</v>
      </c>
      <c r="O559" s="296" t="e">
        <f t="shared" si="13"/>
        <v>#REF!</v>
      </c>
    </row>
    <row r="560" spans="2:15" ht="17.399999999999999">
      <c r="B560" s="291" t="s">
        <v>110</v>
      </c>
      <c r="C560" s="292">
        <f>'تقرير المصروفات حسب الشهر'!H96</f>
        <v>0</v>
      </c>
      <c r="D560" s="292" t="e">
        <f>#REF!</f>
        <v>#REF!</v>
      </c>
      <c r="E560" s="292" t="e">
        <f>#REF!</f>
        <v>#REF!</v>
      </c>
      <c r="F560" s="292" t="e">
        <f>#REF!</f>
        <v>#REF!</v>
      </c>
      <c r="G560" s="292" t="e">
        <f>#REF!</f>
        <v>#REF!</v>
      </c>
      <c r="H560" s="292" t="e">
        <f>#REF!</f>
        <v>#REF!</v>
      </c>
      <c r="I560" s="292">
        <f>'تقرير المصروفات حسب الشهر'!H849</f>
        <v>0</v>
      </c>
      <c r="J560" s="292">
        <f>'تقرير المصروفات حسب الشهر'!H976</f>
        <v>0</v>
      </c>
      <c r="K560" s="292">
        <f>'تقرير المصروفات حسب الشهر'!H1103</f>
        <v>0</v>
      </c>
      <c r="L560" s="292">
        <f>IFERROR(VLOOKUP(B560,'تقرير المصروفات حسب الشهر'!$C$1143:$AD$1254,6,FALSE),0)</f>
        <v>0</v>
      </c>
      <c r="M560" s="292">
        <f>IFERROR(VLOOKUP(B560,'تقرير المصروفات حسب الشهر'!$C$1270:$AD$1381,6,FALSE),0)</f>
        <v>0</v>
      </c>
      <c r="N560" s="292" t="e">
        <f>#REF!</f>
        <v>#REF!</v>
      </c>
      <c r="O560" s="296" t="e">
        <f t="shared" si="13"/>
        <v>#REF!</v>
      </c>
    </row>
    <row r="561" spans="2:15" ht="17.399999999999999">
      <c r="B561" s="291" t="s">
        <v>112</v>
      </c>
      <c r="C561" s="292">
        <f>'تقرير المصروفات حسب الشهر'!H97</f>
        <v>0</v>
      </c>
      <c r="D561" s="292" t="e">
        <f>#REF!</f>
        <v>#REF!</v>
      </c>
      <c r="E561" s="292" t="e">
        <f>#REF!</f>
        <v>#REF!</v>
      </c>
      <c r="F561" s="292" t="e">
        <f>#REF!</f>
        <v>#REF!</v>
      </c>
      <c r="G561" s="292" t="e">
        <f>#REF!</f>
        <v>#REF!</v>
      </c>
      <c r="H561" s="292" t="e">
        <f>#REF!</f>
        <v>#REF!</v>
      </c>
      <c r="I561" s="292">
        <f>'تقرير المصروفات حسب الشهر'!H850</f>
        <v>0</v>
      </c>
      <c r="J561" s="292">
        <f>'تقرير المصروفات حسب الشهر'!H977</f>
        <v>0</v>
      </c>
      <c r="K561" s="292">
        <f>'تقرير المصروفات حسب الشهر'!H1104</f>
        <v>0</v>
      </c>
      <c r="L561" s="292">
        <f>IFERROR(VLOOKUP(B561,'تقرير المصروفات حسب الشهر'!$C$1143:$AD$1254,6,FALSE),0)</f>
        <v>0</v>
      </c>
      <c r="M561" s="292">
        <f>IFERROR(VLOOKUP(B561,'تقرير المصروفات حسب الشهر'!$C$1270:$AD$1381,6,FALSE),0)</f>
        <v>0</v>
      </c>
      <c r="N561" s="292" t="e">
        <f>#REF!</f>
        <v>#REF!</v>
      </c>
      <c r="O561" s="296" t="e">
        <f t="shared" si="13"/>
        <v>#REF!</v>
      </c>
    </row>
    <row r="562" spans="2:15" ht="17.399999999999999">
      <c r="B562" s="291" t="s">
        <v>113</v>
      </c>
      <c r="C562" s="292">
        <f>'تقرير المصروفات حسب الشهر'!H98</f>
        <v>0</v>
      </c>
      <c r="D562" s="292" t="e">
        <f>#REF!</f>
        <v>#REF!</v>
      </c>
      <c r="E562" s="292" t="e">
        <f>#REF!</f>
        <v>#REF!</v>
      </c>
      <c r="F562" s="292" t="e">
        <f>#REF!</f>
        <v>#REF!</v>
      </c>
      <c r="G562" s="292" t="e">
        <f>#REF!</f>
        <v>#REF!</v>
      </c>
      <c r="H562" s="292" t="e">
        <f>#REF!</f>
        <v>#REF!</v>
      </c>
      <c r="I562" s="292">
        <f>'تقرير المصروفات حسب الشهر'!H851</f>
        <v>0</v>
      </c>
      <c r="J562" s="292">
        <f>'تقرير المصروفات حسب الشهر'!H978</f>
        <v>0</v>
      </c>
      <c r="K562" s="292">
        <f>'تقرير المصروفات حسب الشهر'!H1105</f>
        <v>0</v>
      </c>
      <c r="L562" s="292">
        <f>IFERROR(VLOOKUP(B562,'تقرير المصروفات حسب الشهر'!$C$1143:$AD$1254,6,FALSE),0)</f>
        <v>0</v>
      </c>
      <c r="M562" s="292">
        <f>IFERROR(VLOOKUP(B562,'تقرير المصروفات حسب الشهر'!$C$1270:$AD$1381,6,FALSE),0)</f>
        <v>0</v>
      </c>
      <c r="N562" s="292" t="e">
        <f>#REF!</f>
        <v>#REF!</v>
      </c>
      <c r="O562" s="296" t="e">
        <f t="shared" si="13"/>
        <v>#REF!</v>
      </c>
    </row>
    <row r="563" spans="2:15" ht="17.399999999999999">
      <c r="B563" s="291" t="s">
        <v>137</v>
      </c>
      <c r="C563" s="292">
        <f>'تقرير المصروفات حسب الشهر'!H99</f>
        <v>0</v>
      </c>
      <c r="D563" s="292" t="e">
        <f>#REF!</f>
        <v>#REF!</v>
      </c>
      <c r="E563" s="292" t="e">
        <f>#REF!</f>
        <v>#REF!</v>
      </c>
      <c r="F563" s="292" t="e">
        <f>#REF!</f>
        <v>#REF!</v>
      </c>
      <c r="G563" s="292" t="e">
        <f>#REF!</f>
        <v>#REF!</v>
      </c>
      <c r="H563" s="292" t="e">
        <f>#REF!</f>
        <v>#REF!</v>
      </c>
      <c r="I563" s="292">
        <f>'تقرير المصروفات حسب الشهر'!H852</f>
        <v>2315</v>
      </c>
      <c r="J563" s="292">
        <f>'تقرير المصروفات حسب الشهر'!H979</f>
        <v>905</v>
      </c>
      <c r="K563" s="292">
        <f>'تقرير المصروفات حسب الشهر'!H1106</f>
        <v>2696.85</v>
      </c>
      <c r="L563" s="292">
        <f>IFERROR(VLOOKUP(B563,'تقرير المصروفات حسب الشهر'!$C$1143:$AD$1254,6,FALSE),0)</f>
        <v>0</v>
      </c>
      <c r="M563" s="292">
        <f>IFERROR(VLOOKUP(B563,'تقرير المصروفات حسب الشهر'!$C$1270:$AD$1381,6,FALSE),0)</f>
        <v>0</v>
      </c>
      <c r="N563" s="292" t="e">
        <f>#REF!</f>
        <v>#REF!</v>
      </c>
      <c r="O563" s="296" t="e">
        <f t="shared" si="13"/>
        <v>#REF!</v>
      </c>
    </row>
    <row r="564" spans="2:15" ht="17.399999999999999">
      <c r="B564" s="291" t="s">
        <v>140</v>
      </c>
      <c r="C564" s="292">
        <f>'تقرير المصروفات حسب الشهر'!H100</f>
        <v>0</v>
      </c>
      <c r="D564" s="292" t="e">
        <f>#REF!</f>
        <v>#REF!</v>
      </c>
      <c r="E564" s="292" t="e">
        <f>#REF!</f>
        <v>#REF!</v>
      </c>
      <c r="F564" s="292" t="e">
        <f>#REF!</f>
        <v>#REF!</v>
      </c>
      <c r="G564" s="292" t="e">
        <f>#REF!</f>
        <v>#REF!</v>
      </c>
      <c r="H564" s="292" t="e">
        <f>#REF!</f>
        <v>#REF!</v>
      </c>
      <c r="I564" s="292">
        <f>'تقرير المصروفات حسب الشهر'!H853</f>
        <v>0</v>
      </c>
      <c r="J564" s="292">
        <f>'تقرير المصروفات حسب الشهر'!H980</f>
        <v>0</v>
      </c>
      <c r="K564" s="292">
        <f>'تقرير المصروفات حسب الشهر'!H1107</f>
        <v>0</v>
      </c>
      <c r="L564" s="292">
        <f>IFERROR(VLOOKUP(B564,'تقرير المصروفات حسب الشهر'!$C$1143:$AD$1254,6,FALSE),0)</f>
        <v>2607</v>
      </c>
      <c r="M564" s="292">
        <f>IFERROR(VLOOKUP(B564,'تقرير المصروفات حسب الشهر'!$C$1270:$AD$1381,6,FALSE),0)</f>
        <v>2401</v>
      </c>
      <c r="N564" s="292" t="e">
        <f>#REF!</f>
        <v>#REF!</v>
      </c>
      <c r="O564" s="296" t="e">
        <f t="shared" si="13"/>
        <v>#REF!</v>
      </c>
    </row>
    <row r="565" spans="2:15" ht="17.399999999999999">
      <c r="B565" s="291" t="s">
        <v>141</v>
      </c>
      <c r="C565" s="292">
        <f>'تقرير المصروفات حسب الشهر'!H101</f>
        <v>0</v>
      </c>
      <c r="D565" s="292" t="e">
        <f>#REF!</f>
        <v>#REF!</v>
      </c>
      <c r="E565" s="292" t="e">
        <f>#REF!</f>
        <v>#REF!</v>
      </c>
      <c r="F565" s="292" t="e">
        <f>#REF!</f>
        <v>#REF!</v>
      </c>
      <c r="G565" s="292" t="e">
        <f>#REF!</f>
        <v>#REF!</v>
      </c>
      <c r="H565" s="292" t="e">
        <f>#REF!</f>
        <v>#REF!</v>
      </c>
      <c r="I565" s="292">
        <f>'تقرير المصروفات حسب الشهر'!H854</f>
        <v>2700</v>
      </c>
      <c r="J565" s="292">
        <f>'تقرير المصروفات حسب الشهر'!H981</f>
        <v>0</v>
      </c>
      <c r="K565" s="292">
        <f>'تقرير المصروفات حسب الشهر'!H1108</f>
        <v>0</v>
      </c>
      <c r="L565" s="292">
        <f>IFERROR(VLOOKUP(B565,'تقرير المصروفات حسب الشهر'!$C$1143:$AD$1254,6,FALSE),0)</f>
        <v>0</v>
      </c>
      <c r="M565" s="292">
        <f>IFERROR(VLOOKUP(B565,'تقرير المصروفات حسب الشهر'!$C$1270:$AD$1381,6,FALSE),0)</f>
        <v>0</v>
      </c>
      <c r="N565" s="292" t="e">
        <f>#REF!</f>
        <v>#REF!</v>
      </c>
      <c r="O565" s="296" t="e">
        <f t="shared" si="13"/>
        <v>#REF!</v>
      </c>
    </row>
    <row r="566" spans="2:15" ht="17.399999999999999">
      <c r="B566" s="291" t="s">
        <v>193</v>
      </c>
      <c r="C566" s="292">
        <f>'تقرير المصروفات حسب الشهر'!H102</f>
        <v>0</v>
      </c>
      <c r="D566" s="292" t="e">
        <f>#REF!</f>
        <v>#REF!</v>
      </c>
      <c r="E566" s="292" t="e">
        <f>#REF!</f>
        <v>#REF!</v>
      </c>
      <c r="F566" s="292" t="e">
        <f>#REF!</f>
        <v>#REF!</v>
      </c>
      <c r="G566" s="292" t="e">
        <f>#REF!</f>
        <v>#REF!</v>
      </c>
      <c r="H566" s="292" t="e">
        <f>#REF!</f>
        <v>#REF!</v>
      </c>
      <c r="I566" s="292">
        <f>'تقرير المصروفات حسب الشهر'!H855</f>
        <v>0</v>
      </c>
      <c r="J566" s="292">
        <f>'تقرير المصروفات حسب الشهر'!H982</f>
        <v>0</v>
      </c>
      <c r="K566" s="292">
        <f>'تقرير المصروفات حسب الشهر'!H1109</f>
        <v>0</v>
      </c>
      <c r="L566" s="292">
        <f>IFERROR(VLOOKUP(B566,'تقرير المصروفات حسب الشهر'!$C$1143:$AD$1254,6,FALSE),0)</f>
        <v>0</v>
      </c>
      <c r="M566" s="292">
        <f>IFERROR(VLOOKUP(B566,'تقرير المصروفات حسب الشهر'!$C$1270:$AD$1381,6,FALSE),0)</f>
        <v>0</v>
      </c>
      <c r="N566" s="292" t="e">
        <f>#REF!</f>
        <v>#REF!</v>
      </c>
      <c r="O566" s="296" t="e">
        <f t="shared" si="13"/>
        <v>#REF!</v>
      </c>
    </row>
    <row r="567" spans="2:15" ht="17.399999999999999">
      <c r="B567" s="291" t="s">
        <v>148</v>
      </c>
      <c r="C567" s="292">
        <f>'تقرير المصروفات حسب الشهر'!H103</f>
        <v>0</v>
      </c>
      <c r="D567" s="292" t="e">
        <f>#REF!</f>
        <v>#REF!</v>
      </c>
      <c r="E567" s="292" t="e">
        <f>#REF!</f>
        <v>#REF!</v>
      </c>
      <c r="F567" s="292" t="e">
        <f>#REF!</f>
        <v>#REF!</v>
      </c>
      <c r="G567" s="292" t="e">
        <f>#REF!</f>
        <v>#REF!</v>
      </c>
      <c r="H567" s="292" t="e">
        <f>#REF!</f>
        <v>#REF!</v>
      </c>
      <c r="I567" s="292">
        <f>'تقرير المصروفات حسب الشهر'!H856</f>
        <v>0</v>
      </c>
      <c r="J567" s="292">
        <f>'تقرير المصروفات حسب الشهر'!H983</f>
        <v>0</v>
      </c>
      <c r="K567" s="292">
        <f>'تقرير المصروفات حسب الشهر'!H1110</f>
        <v>0</v>
      </c>
      <c r="L567" s="292">
        <f>IFERROR(VLOOKUP(B567,'تقرير المصروفات حسب الشهر'!$C$1143:$AD$1254,6,FALSE),0)</f>
        <v>0</v>
      </c>
      <c r="M567" s="292">
        <f>IFERROR(VLOOKUP(B567,'تقرير المصروفات حسب الشهر'!$C$1270:$AD$1381,6,FALSE),0)</f>
        <v>0</v>
      </c>
      <c r="N567" s="292" t="e">
        <f>#REF!</f>
        <v>#REF!</v>
      </c>
      <c r="O567" s="296" t="e">
        <f t="shared" si="13"/>
        <v>#REF!</v>
      </c>
    </row>
    <row r="568" spans="2:15" ht="17.399999999999999">
      <c r="B568" s="291" t="s">
        <v>186</v>
      </c>
      <c r="C568" s="292">
        <f>'تقرير المصروفات حسب الشهر'!H104</f>
        <v>0</v>
      </c>
      <c r="D568" s="292" t="e">
        <f>#REF!</f>
        <v>#REF!</v>
      </c>
      <c r="E568" s="292" t="e">
        <f>#REF!</f>
        <v>#REF!</v>
      </c>
      <c r="F568" s="292" t="e">
        <f>#REF!</f>
        <v>#REF!</v>
      </c>
      <c r="G568" s="292" t="e">
        <f>#REF!</f>
        <v>#REF!</v>
      </c>
      <c r="H568" s="292" t="e">
        <f>#REF!</f>
        <v>#REF!</v>
      </c>
      <c r="I568" s="292">
        <f>'تقرير المصروفات حسب الشهر'!H857</f>
        <v>0</v>
      </c>
      <c r="J568" s="292">
        <f>'تقرير المصروفات حسب الشهر'!H984</f>
        <v>0</v>
      </c>
      <c r="K568" s="292">
        <f>'تقرير المصروفات حسب الشهر'!H1111</f>
        <v>0</v>
      </c>
      <c r="L568" s="292">
        <f>IFERROR(VLOOKUP(B568,'تقرير المصروفات حسب الشهر'!$C$1143:$AD$1254,6,FALSE),0)</f>
        <v>0</v>
      </c>
      <c r="M568" s="292">
        <f>IFERROR(VLOOKUP(B568,'تقرير المصروفات حسب الشهر'!$C$1270:$AD$1381,6,FALSE),0)</f>
        <v>0</v>
      </c>
      <c r="N568" s="292" t="e">
        <f>#REF!</f>
        <v>#REF!</v>
      </c>
      <c r="O568" s="296" t="e">
        <f t="shared" si="13"/>
        <v>#REF!</v>
      </c>
    </row>
    <row r="569" spans="2:15" ht="17.399999999999999">
      <c r="B569" s="291" t="s">
        <v>171</v>
      </c>
      <c r="C569" s="292">
        <f>'تقرير المصروفات حسب الشهر'!H105</f>
        <v>0</v>
      </c>
      <c r="D569" s="292" t="e">
        <f>#REF!</f>
        <v>#REF!</v>
      </c>
      <c r="E569" s="292" t="e">
        <f>#REF!</f>
        <v>#REF!</v>
      </c>
      <c r="F569" s="292" t="e">
        <f>#REF!</f>
        <v>#REF!</v>
      </c>
      <c r="G569" s="292" t="e">
        <f>#REF!</f>
        <v>#REF!</v>
      </c>
      <c r="H569" s="292" t="e">
        <f>#REF!</f>
        <v>#REF!</v>
      </c>
      <c r="I569" s="292">
        <f>'تقرير المصروفات حسب الشهر'!H858</f>
        <v>0</v>
      </c>
      <c r="J569" s="292">
        <f>'تقرير المصروفات حسب الشهر'!H985</f>
        <v>0</v>
      </c>
      <c r="K569" s="292">
        <f>'تقرير المصروفات حسب الشهر'!H1112</f>
        <v>0</v>
      </c>
      <c r="L569" s="292">
        <f>IFERROR(VLOOKUP(B569,'تقرير المصروفات حسب الشهر'!$C$1143:$AD$1254,6,FALSE),0)</f>
        <v>0</v>
      </c>
      <c r="M569" s="292">
        <f>IFERROR(VLOOKUP(B569,'تقرير المصروفات حسب الشهر'!$C$1270:$AD$1381,6,FALSE),0)</f>
        <v>0</v>
      </c>
      <c r="N569" s="292" t="e">
        <f>#REF!</f>
        <v>#REF!</v>
      </c>
      <c r="O569" s="296" t="e">
        <f t="shared" si="13"/>
        <v>#REF!</v>
      </c>
    </row>
    <row r="570" spans="2:15" ht="17.399999999999999">
      <c r="B570" s="291" t="s">
        <v>180</v>
      </c>
      <c r="C570" s="292">
        <f>'تقرير المصروفات حسب الشهر'!H106</f>
        <v>0</v>
      </c>
      <c r="D570" s="292" t="e">
        <f>#REF!</f>
        <v>#REF!</v>
      </c>
      <c r="E570" s="292" t="e">
        <f>#REF!</f>
        <v>#REF!</v>
      </c>
      <c r="F570" s="292" t="e">
        <f>#REF!</f>
        <v>#REF!</v>
      </c>
      <c r="G570" s="292" t="e">
        <f>#REF!</f>
        <v>#REF!</v>
      </c>
      <c r="H570" s="292" t="e">
        <f>#REF!</f>
        <v>#REF!</v>
      </c>
      <c r="I570" s="292">
        <f>'تقرير المصروفات حسب الشهر'!H859</f>
        <v>1560</v>
      </c>
      <c r="J570" s="292">
        <f>'تقرير المصروفات حسب الشهر'!H986</f>
        <v>14012</v>
      </c>
      <c r="K570" s="292">
        <f>'تقرير المصروفات حسب الشهر'!H1113</f>
        <v>0</v>
      </c>
      <c r="L570" s="292">
        <f>IFERROR(VLOOKUP(B570,'تقرير المصروفات حسب الشهر'!$C$1143:$AD$1254,6,FALSE),0)</f>
        <v>0</v>
      </c>
      <c r="M570" s="292">
        <f>IFERROR(VLOOKUP(B570,'تقرير المصروفات حسب الشهر'!$C$1270:$AD$1381,6,FALSE),0)</f>
        <v>0</v>
      </c>
      <c r="N570" s="292" t="e">
        <f>#REF!</f>
        <v>#REF!</v>
      </c>
      <c r="O570" s="296" t="e">
        <f t="shared" si="13"/>
        <v>#REF!</v>
      </c>
    </row>
    <row r="571" spans="2:15" ht="17.399999999999999">
      <c r="B571" s="291" t="s">
        <v>183</v>
      </c>
      <c r="C571" s="292">
        <f>'تقرير المصروفات حسب الشهر'!H107</f>
        <v>0</v>
      </c>
      <c r="D571" s="292" t="e">
        <f>#REF!</f>
        <v>#REF!</v>
      </c>
      <c r="E571" s="292" t="e">
        <f>#REF!</f>
        <v>#REF!</v>
      </c>
      <c r="F571" s="292" t="e">
        <f>#REF!</f>
        <v>#REF!</v>
      </c>
      <c r="G571" s="292" t="e">
        <f>#REF!</f>
        <v>#REF!</v>
      </c>
      <c r="H571" s="292" t="e">
        <f>#REF!</f>
        <v>#REF!</v>
      </c>
      <c r="I571" s="292">
        <f>'تقرير المصروفات حسب الشهر'!H860</f>
        <v>0</v>
      </c>
      <c r="J571" s="292">
        <f>'تقرير المصروفات حسب الشهر'!H987</f>
        <v>0</v>
      </c>
      <c r="K571" s="292">
        <f>'تقرير المصروفات حسب الشهر'!H1114</f>
        <v>0</v>
      </c>
      <c r="L571" s="292">
        <f>IFERROR(VLOOKUP(B571,'تقرير المصروفات حسب الشهر'!$C$1143:$AD$1254,6,FALSE),0)</f>
        <v>0</v>
      </c>
      <c r="M571" s="292">
        <f>IFERROR(VLOOKUP(B571,'تقرير المصروفات حسب الشهر'!$C$1270:$AD$1381,6,FALSE),0)</f>
        <v>0</v>
      </c>
      <c r="N571" s="292" t="e">
        <f>#REF!</f>
        <v>#REF!</v>
      </c>
      <c r="O571" s="296" t="e">
        <f t="shared" si="13"/>
        <v>#REF!</v>
      </c>
    </row>
    <row r="572" spans="2:15" ht="17.399999999999999">
      <c r="B572" s="291" t="s">
        <v>195</v>
      </c>
      <c r="C572" s="292">
        <f>'تقرير المصروفات حسب الشهر'!H108</f>
        <v>0</v>
      </c>
      <c r="D572" s="292" t="e">
        <f>#REF!</f>
        <v>#REF!</v>
      </c>
      <c r="E572" s="292" t="e">
        <f>#REF!</f>
        <v>#REF!</v>
      </c>
      <c r="F572" s="292" t="e">
        <f>#REF!</f>
        <v>#REF!</v>
      </c>
      <c r="G572" s="292" t="e">
        <f>#REF!</f>
        <v>#REF!</v>
      </c>
      <c r="H572" s="292" t="e">
        <f>#REF!</f>
        <v>#REF!</v>
      </c>
      <c r="I572" s="292">
        <f>'تقرير المصروفات حسب الشهر'!H861</f>
        <v>0</v>
      </c>
      <c r="J572" s="292">
        <f>'تقرير المصروفات حسب الشهر'!H988</f>
        <v>0</v>
      </c>
      <c r="K572" s="292">
        <f>'تقرير المصروفات حسب الشهر'!H1115</f>
        <v>0</v>
      </c>
      <c r="L572" s="292">
        <f>IFERROR(VLOOKUP(B572,'تقرير المصروفات حسب الشهر'!$C$1143:$AD$1254,6,FALSE),0)</f>
        <v>0</v>
      </c>
      <c r="M572" s="292">
        <f>IFERROR(VLOOKUP(B572,'تقرير المصروفات حسب الشهر'!$C$1270:$AD$1381,6,FALSE),0)</f>
        <v>0</v>
      </c>
      <c r="N572" s="292" t="e">
        <f>#REF!</f>
        <v>#REF!</v>
      </c>
      <c r="O572" s="296" t="e">
        <f t="shared" si="13"/>
        <v>#REF!</v>
      </c>
    </row>
    <row r="573" spans="2:15" ht="17.399999999999999">
      <c r="B573" s="291" t="s">
        <v>189</v>
      </c>
      <c r="C573" s="292">
        <f>'تقرير المصروفات حسب الشهر'!H109</f>
        <v>0</v>
      </c>
      <c r="D573" s="292" t="e">
        <f>#REF!</f>
        <v>#REF!</v>
      </c>
      <c r="E573" s="292" t="e">
        <f>#REF!</f>
        <v>#REF!</v>
      </c>
      <c r="F573" s="292" t="e">
        <f>#REF!</f>
        <v>#REF!</v>
      </c>
      <c r="G573" s="292" t="e">
        <f>#REF!</f>
        <v>#REF!</v>
      </c>
      <c r="H573" s="292" t="e">
        <f>#REF!</f>
        <v>#REF!</v>
      </c>
      <c r="I573" s="292">
        <f>'تقرير المصروفات حسب الشهر'!H862</f>
        <v>0</v>
      </c>
      <c r="J573" s="292">
        <f>'تقرير المصروفات حسب الشهر'!H989</f>
        <v>0</v>
      </c>
      <c r="K573" s="292">
        <f>'تقرير المصروفات حسب الشهر'!H1116</f>
        <v>0</v>
      </c>
      <c r="L573" s="292">
        <f>IFERROR(VLOOKUP(B573,'تقرير المصروفات حسب الشهر'!$C$1143:$AD$1254,6,FALSE),0)</f>
        <v>0</v>
      </c>
      <c r="M573" s="292">
        <f>IFERROR(VLOOKUP(B573,'تقرير المصروفات حسب الشهر'!$C$1270:$AD$1381,6,FALSE),0)</f>
        <v>0</v>
      </c>
      <c r="N573" s="292" t="e">
        <f>#REF!</f>
        <v>#REF!</v>
      </c>
      <c r="O573" s="296" t="e">
        <f t="shared" si="13"/>
        <v>#REF!</v>
      </c>
    </row>
    <row r="574" spans="2:15" ht="17.399999999999999">
      <c r="B574" s="291" t="s">
        <v>188</v>
      </c>
      <c r="C574" s="292">
        <f>'تقرير المصروفات حسب الشهر'!H110</f>
        <v>0</v>
      </c>
      <c r="D574" s="292" t="e">
        <f>#REF!</f>
        <v>#REF!</v>
      </c>
      <c r="E574" s="292" t="e">
        <f>#REF!</f>
        <v>#REF!</v>
      </c>
      <c r="F574" s="292" t="e">
        <f>#REF!</f>
        <v>#REF!</v>
      </c>
      <c r="G574" s="292" t="e">
        <f>#REF!</f>
        <v>#REF!</v>
      </c>
      <c r="H574" s="292" t="e">
        <f>#REF!</f>
        <v>#REF!</v>
      </c>
      <c r="I574" s="292">
        <f>'تقرير المصروفات حسب الشهر'!H863</f>
        <v>0</v>
      </c>
      <c r="J574" s="292">
        <f>'تقرير المصروفات حسب الشهر'!H990</f>
        <v>0</v>
      </c>
      <c r="K574" s="292">
        <f>'تقرير المصروفات حسب الشهر'!H1117</f>
        <v>0</v>
      </c>
      <c r="L574" s="292">
        <f>IFERROR(VLOOKUP(B574,'تقرير المصروفات حسب الشهر'!$C$1143:$AD$1254,6,FALSE),0)</f>
        <v>0</v>
      </c>
      <c r="M574" s="292">
        <f>IFERROR(VLOOKUP(B574,'تقرير المصروفات حسب الشهر'!$C$1270:$AD$1381,6,FALSE),0)</f>
        <v>0</v>
      </c>
      <c r="N574" s="292" t="e">
        <f>#REF!</f>
        <v>#REF!</v>
      </c>
      <c r="O574" s="296" t="e">
        <f t="shared" si="13"/>
        <v>#REF!</v>
      </c>
    </row>
    <row r="575" spans="2:15" ht="17.399999999999999">
      <c r="B575" s="291" t="s">
        <v>196</v>
      </c>
      <c r="C575" s="292">
        <f>'تقرير المصروفات حسب الشهر'!H111</f>
        <v>0</v>
      </c>
      <c r="D575" s="292" t="e">
        <f>#REF!</f>
        <v>#REF!</v>
      </c>
      <c r="E575" s="292" t="e">
        <f>#REF!</f>
        <v>#REF!</v>
      </c>
      <c r="F575" s="292" t="e">
        <f>#REF!</f>
        <v>#REF!</v>
      </c>
      <c r="G575" s="292" t="e">
        <f>#REF!</f>
        <v>#REF!</v>
      </c>
      <c r="H575" s="292" t="e">
        <f>#REF!</f>
        <v>#REF!</v>
      </c>
      <c r="I575" s="292">
        <f>'تقرير المصروفات حسب الشهر'!H864</f>
        <v>0</v>
      </c>
      <c r="J575" s="292">
        <f>'تقرير المصروفات حسب الشهر'!H991</f>
        <v>0</v>
      </c>
      <c r="K575" s="292">
        <f>'تقرير المصروفات حسب الشهر'!H1118</f>
        <v>0</v>
      </c>
      <c r="L575" s="292">
        <f>IFERROR(VLOOKUP(B575,'تقرير المصروفات حسب الشهر'!$C$1143:$AD$1254,6,FALSE),0)</f>
        <v>0</v>
      </c>
      <c r="M575" s="292">
        <f>IFERROR(VLOOKUP(B575,'تقرير المصروفات حسب الشهر'!$C$1270:$AD$1381,6,FALSE),0)</f>
        <v>0</v>
      </c>
      <c r="N575" s="292" t="e">
        <f>#REF!</f>
        <v>#REF!</v>
      </c>
      <c r="O575" s="296" t="e">
        <f t="shared" si="13"/>
        <v>#REF!</v>
      </c>
    </row>
    <row r="576" spans="2:15" ht="17.399999999999999">
      <c r="B576" s="291" t="s">
        <v>197</v>
      </c>
      <c r="C576" s="292">
        <f>'تقرير المصروفات حسب الشهر'!H112</f>
        <v>0</v>
      </c>
      <c r="D576" s="292" t="e">
        <f>#REF!</f>
        <v>#REF!</v>
      </c>
      <c r="E576" s="292" t="e">
        <f>#REF!</f>
        <v>#REF!</v>
      </c>
      <c r="F576" s="292" t="e">
        <f>#REF!</f>
        <v>#REF!</v>
      </c>
      <c r="G576" s="292" t="e">
        <f>#REF!</f>
        <v>#REF!</v>
      </c>
      <c r="H576" s="292" t="e">
        <f>#REF!</f>
        <v>#REF!</v>
      </c>
      <c r="I576" s="292">
        <f>'تقرير المصروفات حسب الشهر'!H865</f>
        <v>0</v>
      </c>
      <c r="J576" s="292">
        <f>'تقرير المصروفات حسب الشهر'!H992</f>
        <v>0</v>
      </c>
      <c r="K576" s="292">
        <f>'تقرير المصروفات حسب الشهر'!H1119</f>
        <v>0</v>
      </c>
      <c r="L576" s="292">
        <f>IFERROR(VLOOKUP(B576,'تقرير المصروفات حسب الشهر'!$C$1143:$AD$1254,6,FALSE),0)</f>
        <v>0</v>
      </c>
      <c r="M576" s="292">
        <f>IFERROR(VLOOKUP(B576,'تقرير المصروفات حسب الشهر'!$C$1270:$AD$1381,6,FALSE),0)</f>
        <v>0</v>
      </c>
      <c r="N576" s="292" t="e">
        <f>#REF!</f>
        <v>#REF!</v>
      </c>
      <c r="O576" s="296" t="e">
        <f t="shared" si="13"/>
        <v>#REF!</v>
      </c>
    </row>
    <row r="577" spans="2:15" ht="17.399999999999999">
      <c r="B577" s="291" t="s">
        <v>198</v>
      </c>
      <c r="C577" s="292">
        <f>'تقرير المصروفات حسب الشهر'!H113</f>
        <v>0</v>
      </c>
      <c r="D577" s="292" t="e">
        <f>#REF!</f>
        <v>#REF!</v>
      </c>
      <c r="E577" s="292" t="e">
        <f>#REF!</f>
        <v>#REF!</v>
      </c>
      <c r="F577" s="292" t="e">
        <f>#REF!</f>
        <v>#REF!</v>
      </c>
      <c r="G577" s="292" t="e">
        <f>#REF!</f>
        <v>#REF!</v>
      </c>
      <c r="H577" s="292" t="e">
        <f>#REF!</f>
        <v>#REF!</v>
      </c>
      <c r="I577" s="292">
        <f>'تقرير المصروفات حسب الشهر'!H866</f>
        <v>0</v>
      </c>
      <c r="J577" s="292">
        <f>'تقرير المصروفات حسب الشهر'!H993</f>
        <v>0</v>
      </c>
      <c r="K577" s="292">
        <f>'تقرير المصروفات حسب الشهر'!H1120</f>
        <v>0</v>
      </c>
      <c r="L577" s="292">
        <f>IFERROR(VLOOKUP(B577,'تقرير المصروفات حسب الشهر'!$C$1143:$AD$1254,6,FALSE),0)</f>
        <v>0</v>
      </c>
      <c r="M577" s="292">
        <f>IFERROR(VLOOKUP(B577,'تقرير المصروفات حسب الشهر'!$C$1270:$AD$1381,6,FALSE),0)</f>
        <v>0</v>
      </c>
      <c r="N577" s="292" t="e">
        <f>#REF!</f>
        <v>#REF!</v>
      </c>
      <c r="O577" s="296" t="e">
        <f t="shared" si="13"/>
        <v>#REF!</v>
      </c>
    </row>
    <row r="578" spans="2:15" ht="17.399999999999999">
      <c r="B578" s="291" t="s">
        <v>201</v>
      </c>
      <c r="C578" s="292">
        <f>'تقرير المصروفات حسب الشهر'!H114</f>
        <v>0</v>
      </c>
      <c r="D578" s="292" t="e">
        <f>#REF!</f>
        <v>#REF!</v>
      </c>
      <c r="E578" s="292" t="e">
        <f>#REF!</f>
        <v>#REF!</v>
      </c>
      <c r="F578" s="292" t="e">
        <f>#REF!</f>
        <v>#REF!</v>
      </c>
      <c r="G578" s="292" t="e">
        <f>#REF!</f>
        <v>#REF!</v>
      </c>
      <c r="H578" s="292" t="e">
        <f>#REF!</f>
        <v>#REF!</v>
      </c>
      <c r="I578" s="292">
        <f>'تقرير المصروفات حسب الشهر'!H867</f>
        <v>0</v>
      </c>
      <c r="J578" s="292">
        <f>'تقرير المصروفات حسب الشهر'!H994</f>
        <v>0</v>
      </c>
      <c r="K578" s="292">
        <f>'تقرير المصروفات حسب الشهر'!H1121</f>
        <v>0</v>
      </c>
      <c r="L578" s="292">
        <f>IFERROR(VLOOKUP(B578,'تقرير المصروفات حسب الشهر'!$C$1143:$AD$1254,6,FALSE),0)</f>
        <v>0</v>
      </c>
      <c r="M578" s="292">
        <f>IFERROR(VLOOKUP(B578,'تقرير المصروفات حسب الشهر'!$C$1270:$AD$1381,6,FALSE),0)</f>
        <v>0</v>
      </c>
      <c r="N578" s="292" t="e">
        <f>#REF!</f>
        <v>#REF!</v>
      </c>
      <c r="O578" s="296" t="e">
        <f t="shared" si="13"/>
        <v>#REF!</v>
      </c>
    </row>
    <row r="579" spans="2:15" ht="17.399999999999999">
      <c r="B579" s="291" t="s">
        <v>202</v>
      </c>
      <c r="C579" s="292">
        <f>'تقرير المصروفات حسب الشهر'!H115</f>
        <v>0</v>
      </c>
      <c r="D579" s="292" t="e">
        <f>#REF!</f>
        <v>#REF!</v>
      </c>
      <c r="E579" s="292" t="e">
        <f>#REF!</f>
        <v>#REF!</v>
      </c>
      <c r="F579" s="292" t="e">
        <f>#REF!</f>
        <v>#REF!</v>
      </c>
      <c r="G579" s="292" t="e">
        <f>#REF!</f>
        <v>#REF!</v>
      </c>
      <c r="H579" s="292" t="e">
        <f>#REF!</f>
        <v>#REF!</v>
      </c>
      <c r="I579" s="292">
        <f>'تقرير المصروفات حسب الشهر'!H868</f>
        <v>0</v>
      </c>
      <c r="J579" s="292">
        <f>'تقرير المصروفات حسب الشهر'!H995</f>
        <v>0</v>
      </c>
      <c r="K579" s="292">
        <f>'تقرير المصروفات حسب الشهر'!H1122</f>
        <v>0</v>
      </c>
      <c r="L579" s="292">
        <f>IFERROR(VLOOKUP(B579,'تقرير المصروفات حسب الشهر'!$C$1143:$AD$1254,6,FALSE),0)</f>
        <v>0</v>
      </c>
      <c r="M579" s="292">
        <f>IFERROR(VLOOKUP(B579,'تقرير المصروفات حسب الشهر'!$C$1270:$AD$1381,6,FALSE),0)</f>
        <v>0</v>
      </c>
      <c r="N579" s="292" t="e">
        <f>#REF!</f>
        <v>#REF!</v>
      </c>
      <c r="O579" s="296" t="e">
        <f t="shared" si="13"/>
        <v>#REF!</v>
      </c>
    </row>
    <row r="580" spans="2:15" ht="17.399999999999999">
      <c r="B580" s="291" t="s">
        <v>206</v>
      </c>
      <c r="C580" s="292">
        <f>'تقرير المصروفات حسب الشهر'!H116</f>
        <v>0</v>
      </c>
      <c r="D580" s="292" t="e">
        <f>#REF!</f>
        <v>#REF!</v>
      </c>
      <c r="E580" s="292" t="e">
        <f>#REF!</f>
        <v>#REF!</v>
      </c>
      <c r="F580" s="292" t="e">
        <f>#REF!</f>
        <v>#REF!</v>
      </c>
      <c r="G580" s="292" t="e">
        <f>#REF!</f>
        <v>#REF!</v>
      </c>
      <c r="H580" s="292" t="e">
        <f>#REF!</f>
        <v>#REF!</v>
      </c>
      <c r="I580" s="292">
        <f>'تقرير المصروفات حسب الشهر'!H869</f>
        <v>862.5</v>
      </c>
      <c r="J580" s="292">
        <f>'تقرير المصروفات حسب الشهر'!H996</f>
        <v>862.5</v>
      </c>
      <c r="K580" s="292">
        <f>'تقرير المصروفات حسب الشهر'!H1123</f>
        <v>862.5</v>
      </c>
      <c r="L580" s="292">
        <f>IFERROR(VLOOKUP(B580,'تقرير المصروفات حسب الشهر'!$C$1143:$AD$1254,6,FALSE),0)</f>
        <v>0</v>
      </c>
      <c r="M580" s="292">
        <f>IFERROR(VLOOKUP(B580,'تقرير المصروفات حسب الشهر'!$C$1270:$AD$1381,6,FALSE),0)</f>
        <v>0</v>
      </c>
      <c r="N580" s="292" t="e">
        <f>#REF!</f>
        <v>#REF!</v>
      </c>
      <c r="O580" s="296" t="e">
        <f t="shared" si="13"/>
        <v>#REF!</v>
      </c>
    </row>
    <row r="581" spans="2:15" ht="17.399999999999999">
      <c r="B581" s="291" t="s">
        <v>207</v>
      </c>
      <c r="C581" s="292">
        <f>'تقرير المصروفات حسب الشهر'!H117</f>
        <v>431.25</v>
      </c>
      <c r="D581" s="292" t="e">
        <f>#REF!</f>
        <v>#REF!</v>
      </c>
      <c r="E581" s="292" t="e">
        <f>#REF!</f>
        <v>#REF!</v>
      </c>
      <c r="F581" s="292" t="e">
        <f>#REF!</f>
        <v>#REF!</v>
      </c>
      <c r="G581" s="292" t="e">
        <f>#REF!</f>
        <v>#REF!</v>
      </c>
      <c r="H581" s="292" t="e">
        <f>#REF!</f>
        <v>#REF!</v>
      </c>
      <c r="I581" s="292">
        <f>'تقرير المصروفات حسب الشهر'!H870</f>
        <v>0</v>
      </c>
      <c r="J581" s="292">
        <f>'تقرير المصروفات حسب الشهر'!H997</f>
        <v>0</v>
      </c>
      <c r="K581" s="292">
        <f>'تقرير المصروفات حسب الشهر'!H1124</f>
        <v>0</v>
      </c>
      <c r="L581" s="292">
        <f>IFERROR(VLOOKUP(B581,'تقرير المصروفات حسب الشهر'!$C$1143:$AD$1254,6,FALSE),0)</f>
        <v>862.5</v>
      </c>
      <c r="M581" s="292">
        <f>IFERROR(VLOOKUP(B581,'تقرير المصروفات حسب الشهر'!$C$1270:$AD$1381,6,FALSE),0)</f>
        <v>862.5</v>
      </c>
      <c r="N581" s="292" t="e">
        <f>#REF!</f>
        <v>#REF!</v>
      </c>
      <c r="O581" s="296" t="e">
        <f t="shared" si="13"/>
        <v>#REF!</v>
      </c>
    </row>
    <row r="582" spans="2:15" ht="17.399999999999999">
      <c r="B582" s="291" t="s">
        <v>208</v>
      </c>
      <c r="C582" s="292">
        <f>'تقرير المصروفات حسب الشهر'!H118</f>
        <v>0</v>
      </c>
      <c r="D582" s="292" t="e">
        <f>#REF!</f>
        <v>#REF!</v>
      </c>
      <c r="E582" s="292" t="e">
        <f>#REF!</f>
        <v>#REF!</v>
      </c>
      <c r="F582" s="292" t="e">
        <f>#REF!</f>
        <v>#REF!</v>
      </c>
      <c r="G582" s="292" t="e">
        <f>#REF!</f>
        <v>#REF!</v>
      </c>
      <c r="H582" s="292">
        <v>0</v>
      </c>
      <c r="I582" s="292">
        <f>'تقرير المصروفات حسب الشهر'!H871</f>
        <v>0</v>
      </c>
      <c r="J582" s="292">
        <f>'تقرير المصروفات حسب الشهر'!H998</f>
        <v>0</v>
      </c>
      <c r="K582" s="292">
        <f>'تقرير المصروفات حسب الشهر'!H1125</f>
        <v>0</v>
      </c>
      <c r="L582" s="292">
        <f>IFERROR(VLOOKUP(B582,'تقرير المصروفات حسب الشهر'!$C$1143:$AD$1254,6,FALSE),0)</f>
        <v>0</v>
      </c>
      <c r="M582" s="292">
        <f>IFERROR(VLOOKUP(B582,'تقرير المصروفات حسب الشهر'!$C$1270:$AD$1381,6,FALSE),0)</f>
        <v>0</v>
      </c>
      <c r="N582" s="292" t="e">
        <f>#REF!</f>
        <v>#REF!</v>
      </c>
      <c r="O582" s="296" t="e">
        <f t="shared" si="13"/>
        <v>#REF!</v>
      </c>
    </row>
    <row r="583" spans="2:15" ht="17.399999999999999">
      <c r="B583" s="291" t="s">
        <v>236</v>
      </c>
      <c r="C583" s="292">
        <f>'تقرير المصروفات حسب الشهر'!H119</f>
        <v>0</v>
      </c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6"/>
    </row>
    <row r="584" spans="2:15" ht="17.399999999999999">
      <c r="B584" s="291" t="s">
        <v>209</v>
      </c>
      <c r="C584" s="292">
        <f>'تقرير المصروفات حسب الشهر'!H120</f>
        <v>0</v>
      </c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6"/>
    </row>
    <row r="585" spans="2:15" ht="17.399999999999999">
      <c r="B585" s="291" t="s">
        <v>360</v>
      </c>
      <c r="C585" s="292">
        <f>'تقرير المصروفات حسب الشهر'!H121</f>
        <v>199696.6</v>
      </c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6"/>
    </row>
    <row r="586" spans="2:15" ht="17.399999999999999">
      <c r="B586" s="337" t="s">
        <v>18</v>
      </c>
      <c r="C586" s="338">
        <f>SUM(C474:C585)</f>
        <v>511847.77</v>
      </c>
      <c r="D586" s="338" t="e">
        <f t="shared" ref="D586:O586" si="14">SUM(D474:D572)</f>
        <v>#REF!</v>
      </c>
      <c r="E586" s="338" t="e">
        <f t="shared" si="14"/>
        <v>#REF!</v>
      </c>
      <c r="F586" s="338" t="e">
        <f t="shared" si="14"/>
        <v>#REF!</v>
      </c>
      <c r="G586" s="338" t="e">
        <f t="shared" si="14"/>
        <v>#REF!</v>
      </c>
      <c r="H586" s="338" t="e">
        <f t="shared" si="14"/>
        <v>#REF!</v>
      </c>
      <c r="I586" s="338">
        <f t="shared" si="14"/>
        <v>565660.1</v>
      </c>
      <c r="J586" s="338">
        <f t="shared" si="14"/>
        <v>575179.55999999994</v>
      </c>
      <c r="K586" s="338">
        <f t="shared" si="14"/>
        <v>562885.53999999992</v>
      </c>
      <c r="L586" s="338">
        <f t="shared" si="14"/>
        <v>518376.42999999993</v>
      </c>
      <c r="M586" s="338">
        <f t="shared" si="14"/>
        <v>519077.83</v>
      </c>
      <c r="N586" s="338" t="e">
        <f t="shared" si="14"/>
        <v>#REF!</v>
      </c>
      <c r="O586" s="338" t="e">
        <f t="shared" si="14"/>
        <v>#REF!</v>
      </c>
    </row>
    <row r="588" spans="2:15" ht="13.8" thickBot="1"/>
    <row r="589" spans="2:15" ht="31.2" thickTop="1" thickBot="1">
      <c r="B589" s="643" t="s">
        <v>215</v>
      </c>
      <c r="C589" s="644"/>
      <c r="D589" s="644"/>
      <c r="E589" s="644"/>
      <c r="F589" s="644"/>
      <c r="G589" s="644"/>
      <c r="H589" s="644"/>
      <c r="I589" s="644"/>
      <c r="J589" s="644"/>
      <c r="K589" s="644"/>
      <c r="L589" s="644"/>
      <c r="M589" s="644"/>
      <c r="N589" s="644"/>
      <c r="O589" s="645"/>
    </row>
    <row r="590" spans="2:15" ht="17.399999999999999">
      <c r="B590" s="30" t="s">
        <v>23</v>
      </c>
      <c r="C590" s="33" t="s">
        <v>0</v>
      </c>
      <c r="D590" s="33" t="s">
        <v>1</v>
      </c>
      <c r="E590" s="34" t="s">
        <v>2</v>
      </c>
      <c r="F590" s="34" t="s">
        <v>3</v>
      </c>
      <c r="G590" s="34" t="s">
        <v>4</v>
      </c>
      <c r="H590" s="34" t="s">
        <v>5</v>
      </c>
      <c r="I590" s="34" t="s">
        <v>6</v>
      </c>
      <c r="J590" s="34" t="s">
        <v>7</v>
      </c>
      <c r="K590" s="34" t="s">
        <v>8</v>
      </c>
      <c r="L590" s="34" t="s">
        <v>9</v>
      </c>
      <c r="M590" s="34" t="s">
        <v>10</v>
      </c>
      <c r="N590" s="35" t="s">
        <v>11</v>
      </c>
      <c r="O590" s="36" t="s">
        <v>18</v>
      </c>
    </row>
    <row r="591" spans="2:15" ht="17.399999999999999">
      <c r="B591" s="42" t="s">
        <v>40</v>
      </c>
      <c r="C591" s="39">
        <f>'تقرير المصروفات حسب الشهر'!I10</f>
        <v>0</v>
      </c>
      <c r="D591" s="31" t="e">
        <f>#REF!</f>
        <v>#REF!</v>
      </c>
      <c r="E591" s="31" t="e">
        <f>#REF!</f>
        <v>#REF!</v>
      </c>
      <c r="F591" s="31" t="e">
        <f>#REF!</f>
        <v>#REF!</v>
      </c>
      <c r="G591" s="31" t="e">
        <f>#REF!</f>
        <v>#REF!</v>
      </c>
      <c r="H591" s="31" t="e">
        <f>#REF!</f>
        <v>#REF!</v>
      </c>
      <c r="I591" s="31">
        <f>'تقرير المصروفات حسب الشهر'!I763</f>
        <v>0</v>
      </c>
      <c r="J591" s="31">
        <f>'تقرير المصروفات حسب الشهر'!I890</f>
        <v>0</v>
      </c>
      <c r="K591" s="31">
        <f>'تقرير المصروفات حسب الشهر'!I1017</f>
        <v>0</v>
      </c>
      <c r="L591" s="292">
        <f>IFERROR(VLOOKUP(B591,'تقرير المصروفات حسب الشهر'!$C$1143:$AD$1254,7,FALSE),0)</f>
        <v>0</v>
      </c>
      <c r="M591" s="292" t="str">
        <f>IFERROR(VLOOKUP(B591,'تقرير المصروفات حسب الشهر'!$C$1270:$AD$1381,7,FALSE),0)</f>
        <v xml:space="preserve"> </v>
      </c>
      <c r="N591" s="31" t="e">
        <f>#REF!</f>
        <v>#REF!</v>
      </c>
      <c r="O591" s="37" t="e">
        <f>SUM(C591:N591)</f>
        <v>#REF!</v>
      </c>
    </row>
    <row r="592" spans="2:15" ht="17.399999999999999">
      <c r="B592" s="42" t="s">
        <v>41</v>
      </c>
      <c r="C592" s="39">
        <f>'تقرير المصروفات حسب الشهر'!I11</f>
        <v>37720.32</v>
      </c>
      <c r="D592" s="31" t="e">
        <f>#REF!</f>
        <v>#REF!</v>
      </c>
      <c r="E592" s="31" t="e">
        <f>#REF!</f>
        <v>#REF!</v>
      </c>
      <c r="F592" s="31" t="e">
        <f>#REF!</f>
        <v>#REF!</v>
      </c>
      <c r="G592" s="31" t="e">
        <f>#REF!</f>
        <v>#REF!</v>
      </c>
      <c r="H592" s="31" t="e">
        <f>#REF!</f>
        <v>#REF!</v>
      </c>
      <c r="I592" s="31">
        <f>'تقرير المصروفات حسب الشهر'!I764</f>
        <v>39426.625</v>
      </c>
      <c r="J592" s="31">
        <f>'تقرير المصروفات حسب الشهر'!I891</f>
        <v>42282.119999999995</v>
      </c>
      <c r="K592" s="31">
        <f>'تقرير المصروفات حسب الشهر'!I1018</f>
        <v>36645.910000000003</v>
      </c>
      <c r="L592" s="292">
        <f>IFERROR(VLOOKUP(B592,'تقرير المصروفات حسب الشهر'!$C$1143:$AD$1254,7,FALSE),0)</f>
        <v>41130.9</v>
      </c>
      <c r="M592" s="292">
        <f>IFERROR(VLOOKUP(B592,'تقرير المصروفات حسب الشهر'!$C$1270:$AD$1381,7,FALSE),0)</f>
        <v>44025.24</v>
      </c>
      <c r="N592" s="31" t="e">
        <f>#REF!</f>
        <v>#REF!</v>
      </c>
      <c r="O592" s="37" t="e">
        <f t="shared" ref="O592:O655" si="15">SUM(C592:N592)</f>
        <v>#REF!</v>
      </c>
    </row>
    <row r="593" spans="2:15" ht="17.399999999999999">
      <c r="B593" s="42" t="s">
        <v>26</v>
      </c>
      <c r="C593" s="39">
        <f>'تقرير المصروفات حسب الشهر'!I12</f>
        <v>0</v>
      </c>
      <c r="D593" s="31" t="e">
        <f>#REF!</f>
        <v>#REF!</v>
      </c>
      <c r="E593" s="31" t="e">
        <f>#REF!</f>
        <v>#REF!</v>
      </c>
      <c r="F593" s="31" t="e">
        <f>#REF!</f>
        <v>#REF!</v>
      </c>
      <c r="G593" s="31" t="e">
        <f>#REF!</f>
        <v>#REF!</v>
      </c>
      <c r="H593" s="31" t="e">
        <f>#REF!</f>
        <v>#REF!</v>
      </c>
      <c r="I593" s="31">
        <f>'تقرير المصروفات حسب الشهر'!I765</f>
        <v>0</v>
      </c>
      <c r="J593" s="31">
        <f>'تقرير المصروفات حسب الشهر'!I892</f>
        <v>0</v>
      </c>
      <c r="K593" s="31">
        <f>'تقرير المصروفات حسب الشهر'!I1019</f>
        <v>0</v>
      </c>
      <c r="L593" s="292">
        <f>IFERROR(VLOOKUP(B593,'تقرير المصروفات حسب الشهر'!$C$1143:$AD$1254,7,FALSE),0)</f>
        <v>0</v>
      </c>
      <c r="M593" s="292">
        <f>IFERROR(VLOOKUP(B593,'تقرير المصروفات حسب الشهر'!$C$1270:$AD$1381,7,FALSE),0)</f>
        <v>0</v>
      </c>
      <c r="N593" s="31" t="e">
        <f>#REF!</f>
        <v>#REF!</v>
      </c>
      <c r="O593" s="37" t="e">
        <f t="shared" si="15"/>
        <v>#REF!</v>
      </c>
    </row>
    <row r="594" spans="2:15" ht="17.399999999999999">
      <c r="B594" s="42" t="s">
        <v>27</v>
      </c>
      <c r="C594" s="39">
        <f>'تقرير المصروفات حسب الشهر'!I13</f>
        <v>0</v>
      </c>
      <c r="D594" s="31" t="e">
        <f>#REF!</f>
        <v>#REF!</v>
      </c>
      <c r="E594" s="31" t="e">
        <f>#REF!</f>
        <v>#REF!</v>
      </c>
      <c r="F594" s="31" t="e">
        <f>#REF!</f>
        <v>#REF!</v>
      </c>
      <c r="G594" s="31" t="e">
        <f>#REF!</f>
        <v>#REF!</v>
      </c>
      <c r="H594" s="31" t="e">
        <f>#REF!</f>
        <v>#REF!</v>
      </c>
      <c r="I594" s="31">
        <f>'تقرير المصروفات حسب الشهر'!I766</f>
        <v>0</v>
      </c>
      <c r="J594" s="31">
        <f>'تقرير المصروفات حسب الشهر'!I893</f>
        <v>0</v>
      </c>
      <c r="K594" s="31">
        <f>'تقرير المصروفات حسب الشهر'!I1020</f>
        <v>0</v>
      </c>
      <c r="L594" s="292">
        <f>IFERROR(VLOOKUP(B594,'تقرير المصروفات حسب الشهر'!$C$1143:$AD$1254,7,FALSE),0)</f>
        <v>0</v>
      </c>
      <c r="M594" s="292">
        <f>IFERROR(VLOOKUP(B594,'تقرير المصروفات حسب الشهر'!$C$1270:$AD$1381,7,FALSE),0)</f>
        <v>0</v>
      </c>
      <c r="N594" s="31" t="e">
        <f>#REF!</f>
        <v>#REF!</v>
      </c>
      <c r="O594" s="37" t="e">
        <f t="shared" si="15"/>
        <v>#REF!</v>
      </c>
    </row>
    <row r="595" spans="2:15" ht="17.399999999999999">
      <c r="B595" s="42" t="s">
        <v>42</v>
      </c>
      <c r="C595" s="39">
        <f>'تقرير المصروفات حسب الشهر'!I14</f>
        <v>0</v>
      </c>
      <c r="D595" s="31" t="e">
        <f>#REF!</f>
        <v>#REF!</v>
      </c>
      <c r="E595" s="31" t="e">
        <f>#REF!</f>
        <v>#REF!</v>
      </c>
      <c r="F595" s="31" t="e">
        <f>#REF!</f>
        <v>#REF!</v>
      </c>
      <c r="G595" s="31" t="e">
        <f>#REF!</f>
        <v>#REF!</v>
      </c>
      <c r="H595" s="31" t="e">
        <f>#REF!</f>
        <v>#REF!</v>
      </c>
      <c r="I595" s="31">
        <f>'تقرير المصروفات حسب الشهر'!I767</f>
        <v>0</v>
      </c>
      <c r="J595" s="31">
        <f>'تقرير المصروفات حسب الشهر'!I894</f>
        <v>0</v>
      </c>
      <c r="K595" s="31">
        <f>'تقرير المصروفات حسب الشهر'!I1021</f>
        <v>0</v>
      </c>
      <c r="L595" s="292">
        <f>IFERROR(VLOOKUP(B595,'تقرير المصروفات حسب الشهر'!$C$1143:$AD$1254,7,FALSE),0)</f>
        <v>0</v>
      </c>
      <c r="M595" s="292">
        <f>IFERROR(VLOOKUP(B595,'تقرير المصروفات حسب الشهر'!$C$1270:$AD$1381,7,FALSE),0)</f>
        <v>0</v>
      </c>
      <c r="N595" s="31" t="e">
        <f>#REF!</f>
        <v>#REF!</v>
      </c>
      <c r="O595" s="37" t="e">
        <f t="shared" si="15"/>
        <v>#REF!</v>
      </c>
    </row>
    <row r="596" spans="2:15" ht="17.399999999999999">
      <c r="B596" s="42" t="s">
        <v>43</v>
      </c>
      <c r="C596" s="39">
        <f>'تقرير المصروفات حسب الشهر'!I15</f>
        <v>0</v>
      </c>
      <c r="D596" s="31" t="e">
        <f>#REF!</f>
        <v>#REF!</v>
      </c>
      <c r="E596" s="31" t="e">
        <f>#REF!</f>
        <v>#REF!</v>
      </c>
      <c r="F596" s="31" t="e">
        <f>#REF!</f>
        <v>#REF!</v>
      </c>
      <c r="G596" s="31" t="e">
        <f>#REF!</f>
        <v>#REF!</v>
      </c>
      <c r="H596" s="31" t="e">
        <f>#REF!</f>
        <v>#REF!</v>
      </c>
      <c r="I596" s="31">
        <f>'تقرير المصروفات حسب الشهر'!I768</f>
        <v>0</v>
      </c>
      <c r="J596" s="31">
        <f>'تقرير المصروفات حسب الشهر'!I895</f>
        <v>0</v>
      </c>
      <c r="K596" s="31">
        <f>'تقرير المصروفات حسب الشهر'!I1022</f>
        <v>0</v>
      </c>
      <c r="L596" s="292">
        <f>IFERROR(VLOOKUP(B596,'تقرير المصروفات حسب الشهر'!$C$1143:$AD$1254,7,FALSE),0)</f>
        <v>0</v>
      </c>
      <c r="M596" s="292">
        <f>IFERROR(VLOOKUP(B596,'تقرير المصروفات حسب الشهر'!$C$1270:$AD$1381,7,FALSE),0)</f>
        <v>0</v>
      </c>
      <c r="N596" s="31" t="e">
        <f>#REF!</f>
        <v>#REF!</v>
      </c>
      <c r="O596" s="37" t="e">
        <f t="shared" si="15"/>
        <v>#REF!</v>
      </c>
    </row>
    <row r="597" spans="2:15" ht="17.399999999999999">
      <c r="B597" s="42" t="s">
        <v>44</v>
      </c>
      <c r="C597" s="39">
        <f>'تقرير المصروفات حسب الشهر'!I16</f>
        <v>0</v>
      </c>
      <c r="D597" s="31" t="e">
        <f>#REF!</f>
        <v>#REF!</v>
      </c>
      <c r="E597" s="31" t="e">
        <f>#REF!</f>
        <v>#REF!</v>
      </c>
      <c r="F597" s="31" t="e">
        <f>#REF!</f>
        <v>#REF!</v>
      </c>
      <c r="G597" s="31" t="e">
        <f>#REF!</f>
        <v>#REF!</v>
      </c>
      <c r="H597" s="31" t="e">
        <f>#REF!</f>
        <v>#REF!</v>
      </c>
      <c r="I597" s="31">
        <f>'تقرير المصروفات حسب الشهر'!I769</f>
        <v>0</v>
      </c>
      <c r="J597" s="31">
        <f>'تقرير المصروفات حسب الشهر'!I896</f>
        <v>0</v>
      </c>
      <c r="K597" s="31">
        <f>'تقرير المصروفات حسب الشهر'!I1023</f>
        <v>0</v>
      </c>
      <c r="L597" s="292">
        <f>IFERROR(VLOOKUP(B597,'تقرير المصروفات حسب الشهر'!$C$1143:$AD$1254,7,FALSE),0)</f>
        <v>0</v>
      </c>
      <c r="M597" s="292">
        <f>IFERROR(VLOOKUP(B597,'تقرير المصروفات حسب الشهر'!$C$1270:$AD$1381,7,FALSE),0)</f>
        <v>0</v>
      </c>
      <c r="N597" s="31" t="e">
        <f>#REF!</f>
        <v>#REF!</v>
      </c>
      <c r="O597" s="37" t="e">
        <f t="shared" si="15"/>
        <v>#REF!</v>
      </c>
    </row>
    <row r="598" spans="2:15" ht="17.399999999999999">
      <c r="B598" s="42" t="s">
        <v>45</v>
      </c>
      <c r="C598" s="39">
        <f>'تقرير المصروفات حسب الشهر'!I17</f>
        <v>0</v>
      </c>
      <c r="D598" s="31" t="e">
        <f>#REF!</f>
        <v>#REF!</v>
      </c>
      <c r="E598" s="31" t="e">
        <f>#REF!</f>
        <v>#REF!</v>
      </c>
      <c r="F598" s="31" t="e">
        <f>#REF!</f>
        <v>#REF!</v>
      </c>
      <c r="G598" s="31" t="e">
        <f>#REF!</f>
        <v>#REF!</v>
      </c>
      <c r="H598" s="31" t="e">
        <f>#REF!</f>
        <v>#REF!</v>
      </c>
      <c r="I598" s="31">
        <f>'تقرير المصروفات حسب الشهر'!I770</f>
        <v>0</v>
      </c>
      <c r="J598" s="31">
        <f>'تقرير المصروفات حسب الشهر'!I897</f>
        <v>0</v>
      </c>
      <c r="K598" s="31">
        <f>'تقرير المصروفات حسب الشهر'!I1024</f>
        <v>0</v>
      </c>
      <c r="L598" s="292">
        <f>IFERROR(VLOOKUP(B598,'تقرير المصروفات حسب الشهر'!$C$1143:$AD$1254,7,FALSE),0)</f>
        <v>0</v>
      </c>
      <c r="M598" s="292">
        <f>IFERROR(VLOOKUP(B598,'تقرير المصروفات حسب الشهر'!$C$1270:$AD$1381,7,FALSE),0)</f>
        <v>0</v>
      </c>
      <c r="N598" s="31" t="e">
        <f>#REF!</f>
        <v>#REF!</v>
      </c>
      <c r="O598" s="37" t="e">
        <f t="shared" si="15"/>
        <v>#REF!</v>
      </c>
    </row>
    <row r="599" spans="2:15" ht="17.399999999999999">
      <c r="B599" s="42" t="s">
        <v>156</v>
      </c>
      <c r="C599" s="39">
        <f>'تقرير المصروفات حسب الشهر'!I18</f>
        <v>0</v>
      </c>
      <c r="D599" s="31" t="e">
        <f>#REF!</f>
        <v>#REF!</v>
      </c>
      <c r="E599" s="31" t="e">
        <f>#REF!</f>
        <v>#REF!</v>
      </c>
      <c r="F599" s="31" t="e">
        <f>#REF!</f>
        <v>#REF!</v>
      </c>
      <c r="G599" s="31" t="e">
        <f>#REF!</f>
        <v>#REF!</v>
      </c>
      <c r="H599" s="31" t="e">
        <f>#REF!</f>
        <v>#REF!</v>
      </c>
      <c r="I599" s="31">
        <f>'تقرير المصروفات حسب الشهر'!I771</f>
        <v>0</v>
      </c>
      <c r="J599" s="31">
        <f>'تقرير المصروفات حسب الشهر'!I898</f>
        <v>0</v>
      </c>
      <c r="K599" s="31">
        <f>'تقرير المصروفات حسب الشهر'!I1025</f>
        <v>0</v>
      </c>
      <c r="L599" s="292">
        <f>IFERROR(VLOOKUP(B599,'تقرير المصروفات حسب الشهر'!$C$1143:$AD$1254,7,FALSE),0)</f>
        <v>0</v>
      </c>
      <c r="M599" s="292">
        <f>IFERROR(VLOOKUP(B599,'تقرير المصروفات حسب الشهر'!$C$1270:$AD$1381,7,FALSE),0)</f>
        <v>0</v>
      </c>
      <c r="N599" s="31" t="e">
        <f>#REF!</f>
        <v>#REF!</v>
      </c>
      <c r="O599" s="37" t="e">
        <f t="shared" si="15"/>
        <v>#REF!</v>
      </c>
    </row>
    <row r="600" spans="2:15" ht="17.399999999999999">
      <c r="B600" s="42" t="s">
        <v>46</v>
      </c>
      <c r="C600" s="39">
        <f>'تقرير المصروفات حسب الشهر'!I19</f>
        <v>84.95</v>
      </c>
      <c r="D600" s="31" t="e">
        <f>#REF!</f>
        <v>#REF!</v>
      </c>
      <c r="E600" s="31" t="e">
        <f>#REF!</f>
        <v>#REF!</v>
      </c>
      <c r="F600" s="31" t="e">
        <f>#REF!</f>
        <v>#REF!</v>
      </c>
      <c r="G600" s="31" t="e">
        <f>#REF!</f>
        <v>#REF!</v>
      </c>
      <c r="H600" s="31" t="e">
        <f>#REF!</f>
        <v>#REF!</v>
      </c>
      <c r="I600" s="31">
        <f>'تقرير المصروفات حسب الشهر'!I772</f>
        <v>84.95</v>
      </c>
      <c r="J600" s="31">
        <f>'تقرير المصروفات حسب الشهر'!I899</f>
        <v>84.95</v>
      </c>
      <c r="K600" s="31">
        <f>'تقرير المصروفات حسب الشهر'!I1026</f>
        <v>84.95</v>
      </c>
      <c r="L600" s="292">
        <f>IFERROR(VLOOKUP(B600,'تقرير المصروفات حسب الشهر'!$C$1143:$AD$1254,7,FALSE),0)</f>
        <v>84.95</v>
      </c>
      <c r="M600" s="292">
        <f>IFERROR(VLOOKUP(B600,'تقرير المصروفات حسب الشهر'!$C$1270:$AD$1381,7,FALSE),0)</f>
        <v>84.95</v>
      </c>
      <c r="N600" s="31" t="e">
        <f>#REF!</f>
        <v>#REF!</v>
      </c>
      <c r="O600" s="37" t="e">
        <f t="shared" si="15"/>
        <v>#REF!</v>
      </c>
    </row>
    <row r="601" spans="2:15" ht="17.399999999999999">
      <c r="B601" s="42" t="s">
        <v>47</v>
      </c>
      <c r="C601" s="39">
        <f>'تقرير المصروفات حسب الشهر'!I20</f>
        <v>0</v>
      </c>
      <c r="D601" s="31" t="e">
        <f>#REF!</f>
        <v>#REF!</v>
      </c>
      <c r="E601" s="31" t="e">
        <f>#REF!</f>
        <v>#REF!</v>
      </c>
      <c r="F601" s="31" t="e">
        <f>#REF!</f>
        <v>#REF!</v>
      </c>
      <c r="G601" s="31" t="e">
        <f>#REF!</f>
        <v>#REF!</v>
      </c>
      <c r="H601" s="31" t="e">
        <f>#REF!</f>
        <v>#REF!</v>
      </c>
      <c r="I601" s="31">
        <f>'تقرير المصروفات حسب الشهر'!I773</f>
        <v>0</v>
      </c>
      <c r="J601" s="31">
        <f>'تقرير المصروفات حسب الشهر'!I900</f>
        <v>0</v>
      </c>
      <c r="K601" s="31">
        <f>'تقرير المصروفات حسب الشهر'!I1027</f>
        <v>0</v>
      </c>
      <c r="L601" s="292">
        <f>IFERROR(VLOOKUP(B601,'تقرير المصروفات حسب الشهر'!$C$1143:$AD$1254,7,FALSE),0)</f>
        <v>0</v>
      </c>
      <c r="M601" s="292">
        <f>IFERROR(VLOOKUP(B601,'تقرير المصروفات حسب الشهر'!$C$1270:$AD$1381,7,FALSE),0)</f>
        <v>0</v>
      </c>
      <c r="N601" s="31" t="e">
        <f>#REF!</f>
        <v>#REF!</v>
      </c>
      <c r="O601" s="37" t="e">
        <f t="shared" si="15"/>
        <v>#REF!</v>
      </c>
    </row>
    <row r="602" spans="2:15" ht="17.399999999999999">
      <c r="B602" s="42" t="s">
        <v>48</v>
      </c>
      <c r="C602" s="39">
        <f>'تقرير المصروفات حسب الشهر'!I21</f>
        <v>0</v>
      </c>
      <c r="D602" s="31" t="e">
        <f>#REF!</f>
        <v>#REF!</v>
      </c>
      <c r="E602" s="31" t="e">
        <f>#REF!</f>
        <v>#REF!</v>
      </c>
      <c r="F602" s="31" t="e">
        <f>#REF!</f>
        <v>#REF!</v>
      </c>
      <c r="G602" s="31" t="e">
        <f>#REF!</f>
        <v>#REF!</v>
      </c>
      <c r="H602" s="31" t="e">
        <f>#REF!</f>
        <v>#REF!</v>
      </c>
      <c r="I602" s="31">
        <f>'تقرير المصروفات حسب الشهر'!I774</f>
        <v>0</v>
      </c>
      <c r="J602" s="31">
        <f>'تقرير المصروفات حسب الشهر'!I901</f>
        <v>0</v>
      </c>
      <c r="K602" s="31">
        <f>'تقرير المصروفات حسب الشهر'!I1028</f>
        <v>0</v>
      </c>
      <c r="L602" s="292">
        <f>IFERROR(VLOOKUP(B602,'تقرير المصروفات حسب الشهر'!$C$1143:$AD$1254,7,FALSE),0)</f>
        <v>0</v>
      </c>
      <c r="M602" s="292">
        <f>IFERROR(VLOOKUP(B602,'تقرير المصروفات حسب الشهر'!$C$1270:$AD$1381,7,FALSE),0)</f>
        <v>0</v>
      </c>
      <c r="N602" s="31" t="e">
        <f>#REF!</f>
        <v>#REF!</v>
      </c>
      <c r="O602" s="37" t="e">
        <f t="shared" si="15"/>
        <v>#REF!</v>
      </c>
    </row>
    <row r="603" spans="2:15" ht="17.399999999999999">
      <c r="B603" s="42" t="s">
        <v>49</v>
      </c>
      <c r="C603" s="39">
        <f>'تقرير المصروفات حسب الشهر'!I22</f>
        <v>0</v>
      </c>
      <c r="D603" s="31" t="e">
        <f>#REF!</f>
        <v>#REF!</v>
      </c>
      <c r="E603" s="31" t="e">
        <f>#REF!</f>
        <v>#REF!</v>
      </c>
      <c r="F603" s="31" t="e">
        <f>#REF!</f>
        <v>#REF!</v>
      </c>
      <c r="G603" s="31" t="e">
        <f>#REF!</f>
        <v>#REF!</v>
      </c>
      <c r="H603" s="31" t="e">
        <f>#REF!</f>
        <v>#REF!</v>
      </c>
      <c r="I603" s="31">
        <f>'تقرير المصروفات حسب الشهر'!I775</f>
        <v>0</v>
      </c>
      <c r="J603" s="31">
        <f>'تقرير المصروفات حسب الشهر'!I902</f>
        <v>0</v>
      </c>
      <c r="K603" s="31">
        <f>'تقرير المصروفات حسب الشهر'!I1029</f>
        <v>0</v>
      </c>
      <c r="L603" s="292">
        <f>IFERROR(VLOOKUP(B603,'تقرير المصروفات حسب الشهر'!$C$1143:$AD$1254,7,FALSE),0)</f>
        <v>0</v>
      </c>
      <c r="M603" s="292">
        <f>IFERROR(VLOOKUP(B603,'تقرير المصروفات حسب الشهر'!$C$1270:$AD$1381,7,FALSE),0)</f>
        <v>0</v>
      </c>
      <c r="N603" s="31" t="e">
        <f>#REF!</f>
        <v>#REF!</v>
      </c>
      <c r="O603" s="37" t="e">
        <f t="shared" si="15"/>
        <v>#REF!</v>
      </c>
    </row>
    <row r="604" spans="2:15" ht="17.399999999999999">
      <c r="B604" s="42" t="s">
        <v>158</v>
      </c>
      <c r="C604" s="39">
        <f>'تقرير المصروفات حسب الشهر'!I23</f>
        <v>0</v>
      </c>
      <c r="D604" s="31" t="e">
        <f>#REF!</f>
        <v>#REF!</v>
      </c>
      <c r="E604" s="31" t="e">
        <f>#REF!</f>
        <v>#REF!</v>
      </c>
      <c r="F604" s="31" t="e">
        <f>#REF!</f>
        <v>#REF!</v>
      </c>
      <c r="G604" s="31" t="e">
        <f>#REF!</f>
        <v>#REF!</v>
      </c>
      <c r="H604" s="31" t="e">
        <f>#REF!</f>
        <v>#REF!</v>
      </c>
      <c r="I604" s="31">
        <f>'تقرير المصروفات حسب الشهر'!I776</f>
        <v>0</v>
      </c>
      <c r="J604" s="31">
        <f>'تقرير المصروفات حسب الشهر'!I903</f>
        <v>0</v>
      </c>
      <c r="K604" s="31">
        <f>'تقرير المصروفات حسب الشهر'!I1030</f>
        <v>0</v>
      </c>
      <c r="L604" s="292">
        <f>IFERROR(VLOOKUP(B604,'تقرير المصروفات حسب الشهر'!$C$1143:$AD$1254,7,FALSE),0)</f>
        <v>0</v>
      </c>
      <c r="M604" s="292">
        <f>IFERROR(VLOOKUP(B604,'تقرير المصروفات حسب الشهر'!$C$1270:$AD$1381,7,FALSE),0)</f>
        <v>0</v>
      </c>
      <c r="N604" s="31" t="e">
        <f>#REF!</f>
        <v>#REF!</v>
      </c>
      <c r="O604" s="37" t="e">
        <f t="shared" si="15"/>
        <v>#REF!</v>
      </c>
    </row>
    <row r="605" spans="2:15" ht="17.399999999999999">
      <c r="B605" s="42" t="s">
        <v>50</v>
      </c>
      <c r="C605" s="39">
        <f>'تقرير المصروفات حسب الشهر'!I24</f>
        <v>750</v>
      </c>
      <c r="D605" s="31" t="e">
        <f>#REF!</f>
        <v>#REF!</v>
      </c>
      <c r="E605" s="31" t="e">
        <f>#REF!</f>
        <v>#REF!</v>
      </c>
      <c r="F605" s="31" t="e">
        <f>#REF!</f>
        <v>#REF!</v>
      </c>
      <c r="G605" s="31" t="e">
        <f>#REF!</f>
        <v>#REF!</v>
      </c>
      <c r="H605" s="31" t="e">
        <f>#REF!</f>
        <v>#REF!</v>
      </c>
      <c r="I605" s="31">
        <f>'تقرير المصروفات حسب الشهر'!I777</f>
        <v>0</v>
      </c>
      <c r="J605" s="31">
        <f>'تقرير المصروفات حسب الشهر'!I904</f>
        <v>1540</v>
      </c>
      <c r="K605" s="31">
        <f>'تقرير المصروفات حسب الشهر'!I1031</f>
        <v>0</v>
      </c>
      <c r="L605" s="292">
        <f>IFERROR(VLOOKUP(B605,'تقرير المصروفات حسب الشهر'!$C$1143:$AD$1254,7,FALSE),0)</f>
        <v>3080</v>
      </c>
      <c r="M605" s="292">
        <f>IFERROR(VLOOKUP(B605,'تقرير المصروفات حسب الشهر'!$C$1270:$AD$1381,7,FALSE),0)</f>
        <v>0</v>
      </c>
      <c r="N605" s="31" t="e">
        <f>#REF!</f>
        <v>#REF!</v>
      </c>
      <c r="O605" s="37" t="e">
        <f t="shared" si="15"/>
        <v>#REF!</v>
      </c>
    </row>
    <row r="606" spans="2:15" ht="17.399999999999999">
      <c r="B606" s="42" t="s">
        <v>51</v>
      </c>
      <c r="C606" s="39">
        <f>'تقرير المصروفات حسب الشهر'!I25</f>
        <v>0</v>
      </c>
      <c r="D606" s="31" t="e">
        <f>#REF!</f>
        <v>#REF!</v>
      </c>
      <c r="E606" s="31" t="e">
        <f>#REF!</f>
        <v>#REF!</v>
      </c>
      <c r="F606" s="31" t="e">
        <f>#REF!</f>
        <v>#REF!</v>
      </c>
      <c r="G606" s="31" t="e">
        <f>#REF!</f>
        <v>#REF!</v>
      </c>
      <c r="H606" s="31" t="e">
        <f>#REF!</f>
        <v>#REF!</v>
      </c>
      <c r="I606" s="31">
        <f>'تقرير المصروفات حسب الشهر'!I778</f>
        <v>0</v>
      </c>
      <c r="J606" s="31">
        <f>'تقرير المصروفات حسب الشهر'!I905</f>
        <v>0</v>
      </c>
      <c r="K606" s="31">
        <f>'تقرير المصروفات حسب الشهر'!I1032</f>
        <v>0</v>
      </c>
      <c r="L606" s="292">
        <f>IFERROR(VLOOKUP(B606,'تقرير المصروفات حسب الشهر'!$C$1143:$AD$1254,7,FALSE),0)</f>
        <v>0</v>
      </c>
      <c r="M606" s="292">
        <f>IFERROR(VLOOKUP(B606,'تقرير المصروفات حسب الشهر'!$C$1270:$AD$1381,7,FALSE),0)</f>
        <v>0</v>
      </c>
      <c r="N606" s="31" t="e">
        <f>#REF!</f>
        <v>#REF!</v>
      </c>
      <c r="O606" s="37" t="e">
        <f t="shared" si="15"/>
        <v>#REF!</v>
      </c>
    </row>
    <row r="607" spans="2:15" ht="17.399999999999999">
      <c r="B607" s="42" t="s">
        <v>52</v>
      </c>
      <c r="C607" s="39">
        <f>'تقرير المصروفات حسب الشهر'!I26</f>
        <v>0</v>
      </c>
      <c r="D607" s="31" t="e">
        <f>#REF!</f>
        <v>#REF!</v>
      </c>
      <c r="E607" s="31" t="e">
        <f>#REF!</f>
        <v>#REF!</v>
      </c>
      <c r="F607" s="31" t="e">
        <f>#REF!</f>
        <v>#REF!</v>
      </c>
      <c r="G607" s="31" t="e">
        <f>#REF!</f>
        <v>#REF!</v>
      </c>
      <c r="H607" s="31" t="e">
        <f>#REF!</f>
        <v>#REF!</v>
      </c>
      <c r="I607" s="31">
        <f>'تقرير المصروفات حسب الشهر'!I779</f>
        <v>0</v>
      </c>
      <c r="J607" s="31">
        <f>'تقرير المصروفات حسب الشهر'!I906</f>
        <v>0</v>
      </c>
      <c r="K607" s="31">
        <f>'تقرير المصروفات حسب الشهر'!I1033</f>
        <v>0</v>
      </c>
      <c r="L607" s="292">
        <f>IFERROR(VLOOKUP(B607,'تقرير المصروفات حسب الشهر'!$C$1143:$AD$1254,7,FALSE),0)</f>
        <v>0</v>
      </c>
      <c r="M607" s="292">
        <f>IFERROR(VLOOKUP(B607,'تقرير المصروفات حسب الشهر'!$C$1270:$AD$1381,7,FALSE),0)</f>
        <v>0</v>
      </c>
      <c r="N607" s="31" t="e">
        <f>#REF!</f>
        <v>#REF!</v>
      </c>
      <c r="O607" s="37" t="e">
        <f t="shared" si="15"/>
        <v>#REF!</v>
      </c>
    </row>
    <row r="608" spans="2:15" ht="17.399999999999999">
      <c r="B608" s="42" t="s">
        <v>174</v>
      </c>
      <c r="C608" s="39">
        <f>'تقرير المصروفات حسب الشهر'!I27</f>
        <v>25000</v>
      </c>
      <c r="D608" s="31" t="e">
        <f>#REF!</f>
        <v>#REF!</v>
      </c>
      <c r="E608" s="31" t="e">
        <f>#REF!</f>
        <v>#REF!</v>
      </c>
      <c r="F608" s="31" t="e">
        <f>#REF!</f>
        <v>#REF!</v>
      </c>
      <c r="G608" s="31" t="e">
        <f>#REF!</f>
        <v>#REF!</v>
      </c>
      <c r="H608" s="31" t="e">
        <f>#REF!</f>
        <v>#REF!</v>
      </c>
      <c r="I608" s="31">
        <f>'تقرير المصروفات حسب الشهر'!I780</f>
        <v>31668</v>
      </c>
      <c r="J608" s="31">
        <f>'تقرير المصروفات حسب الشهر'!I907</f>
        <v>0</v>
      </c>
      <c r="K608" s="31">
        <f>'تقرير المصروفات حسب الشهر'!I1034</f>
        <v>0</v>
      </c>
      <c r="L608" s="292">
        <f>IFERROR(VLOOKUP(B608,'تقرير المصروفات حسب الشهر'!$C$1143:$AD$1254,7,FALSE),0)</f>
        <v>25000</v>
      </c>
      <c r="M608" s="292">
        <f>IFERROR(VLOOKUP(B608,'تقرير المصروفات حسب الشهر'!$C$1270:$AD$1381,7,FALSE),0)</f>
        <v>506</v>
      </c>
      <c r="N608" s="31" t="e">
        <f>#REF!</f>
        <v>#REF!</v>
      </c>
      <c r="O608" s="37" t="e">
        <f t="shared" si="15"/>
        <v>#REF!</v>
      </c>
    </row>
    <row r="609" spans="2:15" ht="17.399999999999999">
      <c r="B609" s="42" t="s">
        <v>53</v>
      </c>
      <c r="C609" s="39">
        <f>'تقرير المصروفات حسب الشهر'!I28</f>
        <v>0</v>
      </c>
      <c r="D609" s="31" t="e">
        <f>#REF!</f>
        <v>#REF!</v>
      </c>
      <c r="E609" s="31" t="e">
        <f>#REF!</f>
        <v>#REF!</v>
      </c>
      <c r="F609" s="31" t="e">
        <f>#REF!</f>
        <v>#REF!</v>
      </c>
      <c r="G609" s="31" t="e">
        <f>#REF!</f>
        <v>#REF!</v>
      </c>
      <c r="H609" s="31" t="e">
        <f>#REF!</f>
        <v>#REF!</v>
      </c>
      <c r="I609" s="31">
        <f>'تقرير المصروفات حسب الشهر'!I781</f>
        <v>0</v>
      </c>
      <c r="J609" s="31">
        <f>'تقرير المصروفات حسب الشهر'!I908</f>
        <v>0</v>
      </c>
      <c r="K609" s="31">
        <f>'تقرير المصروفات حسب الشهر'!I1035</f>
        <v>0</v>
      </c>
      <c r="L609" s="292">
        <f>IFERROR(VLOOKUP(B609,'تقرير المصروفات حسب الشهر'!$C$1143:$AD$1254,7,FALSE),0)</f>
        <v>0</v>
      </c>
      <c r="M609" s="292">
        <f>IFERROR(VLOOKUP(B609,'تقرير المصروفات حسب الشهر'!$C$1270:$AD$1381,7,FALSE),0)</f>
        <v>0</v>
      </c>
      <c r="N609" s="31" t="e">
        <f>#REF!</f>
        <v>#REF!</v>
      </c>
      <c r="O609" s="37" t="e">
        <f t="shared" si="15"/>
        <v>#REF!</v>
      </c>
    </row>
    <row r="610" spans="2:15" ht="17.399999999999999">
      <c r="B610" s="42" t="s">
        <v>191</v>
      </c>
      <c r="C610" s="39">
        <f>'تقرير المصروفات حسب الشهر'!I29</f>
        <v>0</v>
      </c>
      <c r="D610" s="31" t="e">
        <f>#REF!</f>
        <v>#REF!</v>
      </c>
      <c r="E610" s="31" t="e">
        <f>#REF!</f>
        <v>#REF!</v>
      </c>
      <c r="F610" s="31" t="e">
        <f>#REF!</f>
        <v>#REF!</v>
      </c>
      <c r="G610" s="31" t="e">
        <f>#REF!</f>
        <v>#REF!</v>
      </c>
      <c r="H610" s="31" t="e">
        <f>#REF!</f>
        <v>#REF!</v>
      </c>
      <c r="I610" s="31">
        <f>'تقرير المصروفات حسب الشهر'!I782</f>
        <v>0</v>
      </c>
      <c r="J610" s="31">
        <f>'تقرير المصروفات حسب الشهر'!I909</f>
        <v>0</v>
      </c>
      <c r="K610" s="31">
        <f>'تقرير المصروفات حسب الشهر'!I1036</f>
        <v>0</v>
      </c>
      <c r="L610" s="292">
        <f>IFERROR(VLOOKUP(B610,'تقرير المصروفات حسب الشهر'!$C$1143:$AD$1254,7,FALSE),0)</f>
        <v>0</v>
      </c>
      <c r="M610" s="292">
        <f>IFERROR(VLOOKUP(B610,'تقرير المصروفات حسب الشهر'!$C$1270:$AD$1381,7,FALSE),0)</f>
        <v>0</v>
      </c>
      <c r="N610" s="31" t="e">
        <f>#REF!</f>
        <v>#REF!</v>
      </c>
      <c r="O610" s="37" t="e">
        <f t="shared" si="15"/>
        <v>#REF!</v>
      </c>
    </row>
    <row r="611" spans="2:15" ht="17.399999999999999">
      <c r="B611" s="42" t="s">
        <v>29</v>
      </c>
      <c r="C611" s="39">
        <f>'تقرير المصروفات حسب الشهر'!I30</f>
        <v>0</v>
      </c>
      <c r="D611" s="31" t="e">
        <f>#REF!</f>
        <v>#REF!</v>
      </c>
      <c r="E611" s="31" t="e">
        <f>#REF!</f>
        <v>#REF!</v>
      </c>
      <c r="F611" s="31" t="e">
        <f>#REF!</f>
        <v>#REF!</v>
      </c>
      <c r="G611" s="31" t="e">
        <f>#REF!</f>
        <v>#REF!</v>
      </c>
      <c r="H611" s="31" t="e">
        <f>#REF!</f>
        <v>#REF!</v>
      </c>
      <c r="I611" s="31">
        <f>'تقرير المصروفات حسب الشهر'!I783</f>
        <v>0</v>
      </c>
      <c r="J611" s="31">
        <f>'تقرير المصروفات حسب الشهر'!I910</f>
        <v>0</v>
      </c>
      <c r="K611" s="31">
        <f>'تقرير المصروفات حسب الشهر'!I1037</f>
        <v>0</v>
      </c>
      <c r="L611" s="292">
        <f>IFERROR(VLOOKUP(B611,'تقرير المصروفات حسب الشهر'!$C$1143:$AD$1254,7,FALSE),0)</f>
        <v>0</v>
      </c>
      <c r="M611" s="292">
        <f>IFERROR(VLOOKUP(B611,'تقرير المصروفات حسب الشهر'!$C$1270:$AD$1381,7,FALSE),0)</f>
        <v>0</v>
      </c>
      <c r="N611" s="31" t="e">
        <f>#REF!</f>
        <v>#REF!</v>
      </c>
      <c r="O611" s="37" t="e">
        <f t="shared" si="15"/>
        <v>#REF!</v>
      </c>
    </row>
    <row r="612" spans="2:15" ht="17.399999999999999">
      <c r="B612" s="42" t="s">
        <v>54</v>
      </c>
      <c r="C612" s="39">
        <f>'تقرير المصروفات حسب الشهر'!I31</f>
        <v>0</v>
      </c>
      <c r="D612" s="31" t="e">
        <f>#REF!</f>
        <v>#REF!</v>
      </c>
      <c r="E612" s="31" t="e">
        <f>#REF!</f>
        <v>#REF!</v>
      </c>
      <c r="F612" s="31" t="e">
        <f>#REF!</f>
        <v>#REF!</v>
      </c>
      <c r="G612" s="31" t="e">
        <f>#REF!</f>
        <v>#REF!</v>
      </c>
      <c r="H612" s="31" t="e">
        <f>#REF!</f>
        <v>#REF!</v>
      </c>
      <c r="I612" s="31">
        <f>'تقرير المصروفات حسب الشهر'!I784</f>
        <v>0</v>
      </c>
      <c r="J612" s="31">
        <f>'تقرير المصروفات حسب الشهر'!I911</f>
        <v>0</v>
      </c>
      <c r="K612" s="31">
        <f>'تقرير المصروفات حسب الشهر'!I1038</f>
        <v>0</v>
      </c>
      <c r="L612" s="292">
        <f>IFERROR(VLOOKUP(B612,'تقرير المصروفات حسب الشهر'!$C$1143:$AD$1254,7,FALSE),0)</f>
        <v>0</v>
      </c>
      <c r="M612" s="292">
        <f>IFERROR(VLOOKUP(B612,'تقرير المصروفات حسب الشهر'!$C$1270:$AD$1381,7,FALSE),0)</f>
        <v>0</v>
      </c>
      <c r="N612" s="31" t="e">
        <f>#REF!</f>
        <v>#REF!</v>
      </c>
      <c r="O612" s="37" t="e">
        <f t="shared" si="15"/>
        <v>#REF!</v>
      </c>
    </row>
    <row r="613" spans="2:15" ht="17.399999999999999">
      <c r="B613" s="42" t="s">
        <v>31</v>
      </c>
      <c r="C613" s="39">
        <f>'تقرير المصروفات حسب الشهر'!I32</f>
        <v>0</v>
      </c>
      <c r="D613" s="31" t="e">
        <f>#REF!</f>
        <v>#REF!</v>
      </c>
      <c r="E613" s="31" t="e">
        <f>#REF!</f>
        <v>#REF!</v>
      </c>
      <c r="F613" s="31" t="e">
        <f>#REF!</f>
        <v>#REF!</v>
      </c>
      <c r="G613" s="31" t="e">
        <f>#REF!</f>
        <v>#REF!</v>
      </c>
      <c r="H613" s="31" t="e">
        <f>#REF!</f>
        <v>#REF!</v>
      </c>
      <c r="I613" s="31">
        <f>'تقرير المصروفات حسب الشهر'!I785</f>
        <v>0</v>
      </c>
      <c r="J613" s="31">
        <f>'تقرير المصروفات حسب الشهر'!I912</f>
        <v>0</v>
      </c>
      <c r="K613" s="31">
        <f>'تقرير المصروفات حسب الشهر'!I1039</f>
        <v>0</v>
      </c>
      <c r="L613" s="292">
        <f>IFERROR(VLOOKUP(B613,'تقرير المصروفات حسب الشهر'!$C$1143:$AD$1254,7,FALSE),0)</f>
        <v>0</v>
      </c>
      <c r="M613" s="292">
        <f>IFERROR(VLOOKUP(B613,'تقرير المصروفات حسب الشهر'!$C$1270:$AD$1381,7,FALSE),0)</f>
        <v>0</v>
      </c>
      <c r="N613" s="31" t="e">
        <f>#REF!</f>
        <v>#REF!</v>
      </c>
      <c r="O613" s="37" t="e">
        <f t="shared" si="15"/>
        <v>#REF!</v>
      </c>
    </row>
    <row r="614" spans="2:15" ht="17.399999999999999">
      <c r="B614" s="42" t="s">
        <v>55</v>
      </c>
      <c r="C614" s="39">
        <f>'تقرير المصروفات حسب الشهر'!I33</f>
        <v>0</v>
      </c>
      <c r="D614" s="31" t="e">
        <f>#REF!</f>
        <v>#REF!</v>
      </c>
      <c r="E614" s="31" t="e">
        <f>#REF!</f>
        <v>#REF!</v>
      </c>
      <c r="F614" s="31" t="e">
        <f>#REF!</f>
        <v>#REF!</v>
      </c>
      <c r="G614" s="31" t="e">
        <f>#REF!</f>
        <v>#REF!</v>
      </c>
      <c r="H614" s="31" t="e">
        <f>#REF!</f>
        <v>#REF!</v>
      </c>
      <c r="I614" s="31">
        <f>'تقرير المصروفات حسب الشهر'!I786</f>
        <v>0</v>
      </c>
      <c r="J614" s="31">
        <f>'تقرير المصروفات حسب الشهر'!I913</f>
        <v>0</v>
      </c>
      <c r="K614" s="31">
        <f>'تقرير المصروفات حسب الشهر'!I1040</f>
        <v>0</v>
      </c>
      <c r="L614" s="292">
        <f>IFERROR(VLOOKUP(B614,'تقرير المصروفات حسب الشهر'!$C$1143:$AD$1254,7,FALSE),0)</f>
        <v>0</v>
      </c>
      <c r="M614" s="292">
        <f>IFERROR(VLOOKUP(B614,'تقرير المصروفات حسب الشهر'!$C$1270:$AD$1381,7,FALSE),0)</f>
        <v>0</v>
      </c>
      <c r="N614" s="31" t="e">
        <f>#REF!</f>
        <v>#REF!</v>
      </c>
      <c r="O614" s="37" t="e">
        <f t="shared" si="15"/>
        <v>#REF!</v>
      </c>
    </row>
    <row r="615" spans="2:15" ht="17.399999999999999">
      <c r="B615" s="42" t="s">
        <v>56</v>
      </c>
      <c r="C615" s="39">
        <f>'تقرير المصروفات حسب الشهر'!I34</f>
        <v>0</v>
      </c>
      <c r="D615" s="31" t="e">
        <f>#REF!</f>
        <v>#REF!</v>
      </c>
      <c r="E615" s="31" t="e">
        <f>#REF!</f>
        <v>#REF!</v>
      </c>
      <c r="F615" s="31" t="e">
        <f>#REF!</f>
        <v>#REF!</v>
      </c>
      <c r="G615" s="31" t="e">
        <f>#REF!</f>
        <v>#REF!</v>
      </c>
      <c r="H615" s="31" t="e">
        <f>#REF!</f>
        <v>#REF!</v>
      </c>
      <c r="I615" s="31">
        <f>'تقرير المصروفات حسب الشهر'!I787</f>
        <v>0</v>
      </c>
      <c r="J615" s="31">
        <f>'تقرير المصروفات حسب الشهر'!I914</f>
        <v>0</v>
      </c>
      <c r="K615" s="31">
        <f>'تقرير المصروفات حسب الشهر'!I1041</f>
        <v>0</v>
      </c>
      <c r="L615" s="292">
        <f>IFERROR(VLOOKUP(B615,'تقرير المصروفات حسب الشهر'!$C$1143:$AD$1254,7,FALSE),0)</f>
        <v>0</v>
      </c>
      <c r="M615" s="292">
        <f>IFERROR(VLOOKUP(B615,'تقرير المصروفات حسب الشهر'!$C$1270:$AD$1381,7,FALSE),0)</f>
        <v>0</v>
      </c>
      <c r="N615" s="31" t="e">
        <f>#REF!</f>
        <v>#REF!</v>
      </c>
      <c r="O615" s="37" t="e">
        <f t="shared" si="15"/>
        <v>#REF!</v>
      </c>
    </row>
    <row r="616" spans="2:15" ht="17.399999999999999">
      <c r="B616" s="42" t="s">
        <v>57</v>
      </c>
      <c r="C616" s="39">
        <f>'تقرير المصروفات حسب الشهر'!I35</f>
        <v>0</v>
      </c>
      <c r="D616" s="31" t="e">
        <f>#REF!</f>
        <v>#REF!</v>
      </c>
      <c r="E616" s="31" t="e">
        <f>#REF!</f>
        <v>#REF!</v>
      </c>
      <c r="F616" s="31" t="e">
        <f>#REF!</f>
        <v>#REF!</v>
      </c>
      <c r="G616" s="31" t="e">
        <f>#REF!</f>
        <v>#REF!</v>
      </c>
      <c r="H616" s="31" t="e">
        <f>#REF!</f>
        <v>#REF!</v>
      </c>
      <c r="I616" s="31">
        <f>'تقرير المصروفات حسب الشهر'!I788</f>
        <v>0</v>
      </c>
      <c r="J616" s="31">
        <f>'تقرير المصروفات حسب الشهر'!I915</f>
        <v>0</v>
      </c>
      <c r="K616" s="31">
        <f>'تقرير المصروفات حسب الشهر'!I1042</f>
        <v>0</v>
      </c>
      <c r="L616" s="292">
        <f>IFERROR(VLOOKUP(B616,'تقرير المصروفات حسب الشهر'!$C$1143:$AD$1254,7,FALSE),0)</f>
        <v>0</v>
      </c>
      <c r="M616" s="292">
        <f>IFERROR(VLOOKUP(B616,'تقرير المصروفات حسب الشهر'!$C$1270:$AD$1381,7,FALSE),0)</f>
        <v>0</v>
      </c>
      <c r="N616" s="31" t="e">
        <f>#REF!</f>
        <v>#REF!</v>
      </c>
      <c r="O616" s="37" t="e">
        <f t="shared" si="15"/>
        <v>#REF!</v>
      </c>
    </row>
    <row r="617" spans="2:15" ht="17.399999999999999">
      <c r="B617" s="42" t="s">
        <v>58</v>
      </c>
      <c r="C617" s="39">
        <f>'تقرير المصروفات حسب الشهر'!I36</f>
        <v>0</v>
      </c>
      <c r="D617" s="31" t="e">
        <f>#REF!</f>
        <v>#REF!</v>
      </c>
      <c r="E617" s="31" t="e">
        <f>#REF!</f>
        <v>#REF!</v>
      </c>
      <c r="F617" s="31" t="e">
        <f>#REF!</f>
        <v>#REF!</v>
      </c>
      <c r="G617" s="31" t="e">
        <f>#REF!</f>
        <v>#REF!</v>
      </c>
      <c r="H617" s="31" t="e">
        <f>#REF!</f>
        <v>#REF!</v>
      </c>
      <c r="I617" s="31">
        <f>'تقرير المصروفات حسب الشهر'!I789</f>
        <v>0</v>
      </c>
      <c r="J617" s="31">
        <f>'تقرير المصروفات حسب الشهر'!I916</f>
        <v>0</v>
      </c>
      <c r="K617" s="31">
        <f>'تقرير المصروفات حسب الشهر'!I1043</f>
        <v>0</v>
      </c>
      <c r="L617" s="292">
        <f>IFERROR(VLOOKUP(B617,'تقرير المصروفات حسب الشهر'!$C$1143:$AD$1254,7,FALSE),0)</f>
        <v>0</v>
      </c>
      <c r="M617" s="292">
        <f>IFERROR(VLOOKUP(B617,'تقرير المصروفات حسب الشهر'!$C$1270:$AD$1381,7,FALSE),0)</f>
        <v>0</v>
      </c>
      <c r="N617" s="31" t="e">
        <f>#REF!</f>
        <v>#REF!</v>
      </c>
      <c r="O617" s="37" t="e">
        <f t="shared" si="15"/>
        <v>#REF!</v>
      </c>
    </row>
    <row r="618" spans="2:15" ht="17.399999999999999">
      <c r="B618" s="42" t="s">
        <v>59</v>
      </c>
      <c r="C618" s="39">
        <f>'تقرير المصروفات حسب الشهر'!I37</f>
        <v>0</v>
      </c>
      <c r="D618" s="31" t="e">
        <f>#REF!</f>
        <v>#REF!</v>
      </c>
      <c r="E618" s="31" t="e">
        <f>#REF!</f>
        <v>#REF!</v>
      </c>
      <c r="F618" s="31" t="e">
        <f>#REF!</f>
        <v>#REF!</v>
      </c>
      <c r="G618" s="31" t="e">
        <f>#REF!</f>
        <v>#REF!</v>
      </c>
      <c r="H618" s="31" t="e">
        <f>#REF!</f>
        <v>#REF!</v>
      </c>
      <c r="I618" s="31">
        <f>'تقرير المصروفات حسب الشهر'!I790</f>
        <v>0</v>
      </c>
      <c r="J618" s="31">
        <f>'تقرير المصروفات حسب الشهر'!I917</f>
        <v>0</v>
      </c>
      <c r="K618" s="31">
        <f>'تقرير المصروفات حسب الشهر'!I1044</f>
        <v>0</v>
      </c>
      <c r="L618" s="292">
        <f>IFERROR(VLOOKUP(B618,'تقرير المصروفات حسب الشهر'!$C$1143:$AD$1254,7,FALSE),0)</f>
        <v>0</v>
      </c>
      <c r="M618" s="292">
        <f>IFERROR(VLOOKUP(B618,'تقرير المصروفات حسب الشهر'!$C$1270:$AD$1381,7,FALSE),0)</f>
        <v>0</v>
      </c>
      <c r="N618" s="31" t="e">
        <f>#REF!</f>
        <v>#REF!</v>
      </c>
      <c r="O618" s="37" t="e">
        <f t="shared" si="15"/>
        <v>#REF!</v>
      </c>
    </row>
    <row r="619" spans="2:15" ht="17.399999999999999">
      <c r="B619" s="42" t="s">
        <v>60</v>
      </c>
      <c r="C619" s="39">
        <f>'تقرير المصروفات حسب الشهر'!I38</f>
        <v>0</v>
      </c>
      <c r="D619" s="31" t="e">
        <f>#REF!</f>
        <v>#REF!</v>
      </c>
      <c r="E619" s="31" t="e">
        <f>#REF!</f>
        <v>#REF!</v>
      </c>
      <c r="F619" s="31" t="e">
        <f>#REF!</f>
        <v>#REF!</v>
      </c>
      <c r="G619" s="31" t="e">
        <f>#REF!</f>
        <v>#REF!</v>
      </c>
      <c r="H619" s="31" t="e">
        <f>#REF!</f>
        <v>#REF!</v>
      </c>
      <c r="I619" s="31">
        <f>'تقرير المصروفات حسب الشهر'!I791</f>
        <v>0</v>
      </c>
      <c r="J619" s="31">
        <f>'تقرير المصروفات حسب الشهر'!I918</f>
        <v>0</v>
      </c>
      <c r="K619" s="31">
        <f>'تقرير المصروفات حسب الشهر'!I1045</f>
        <v>0</v>
      </c>
      <c r="L619" s="292">
        <f>IFERROR(VLOOKUP(B619,'تقرير المصروفات حسب الشهر'!$C$1143:$AD$1254,7,FALSE),0)</f>
        <v>0</v>
      </c>
      <c r="M619" s="292">
        <f>IFERROR(VLOOKUP(B619,'تقرير المصروفات حسب الشهر'!$C$1270:$AD$1381,7,FALSE),0)</f>
        <v>0</v>
      </c>
      <c r="N619" s="31" t="e">
        <f>#REF!</f>
        <v>#REF!</v>
      </c>
      <c r="O619" s="37" t="e">
        <f t="shared" si="15"/>
        <v>#REF!</v>
      </c>
    </row>
    <row r="620" spans="2:15" ht="17.399999999999999">
      <c r="B620" s="42" t="s">
        <v>61</v>
      </c>
      <c r="C620" s="39">
        <f>'تقرير المصروفات حسب الشهر'!I39</f>
        <v>0</v>
      </c>
      <c r="D620" s="31" t="e">
        <f>#REF!</f>
        <v>#REF!</v>
      </c>
      <c r="E620" s="31" t="e">
        <f>#REF!</f>
        <v>#REF!</v>
      </c>
      <c r="F620" s="31" t="e">
        <f>#REF!</f>
        <v>#REF!</v>
      </c>
      <c r="G620" s="31" t="e">
        <f>#REF!</f>
        <v>#REF!</v>
      </c>
      <c r="H620" s="31" t="e">
        <f>#REF!</f>
        <v>#REF!</v>
      </c>
      <c r="I620" s="31">
        <f>'تقرير المصروفات حسب الشهر'!I792</f>
        <v>100</v>
      </c>
      <c r="J620" s="31">
        <f>'تقرير المصروفات حسب الشهر'!I919</f>
        <v>0</v>
      </c>
      <c r="K620" s="31">
        <f>'تقرير المصروفات حسب الشهر'!I1046</f>
        <v>0</v>
      </c>
      <c r="L620" s="292">
        <f>IFERROR(VLOOKUP(B620,'تقرير المصروفات حسب الشهر'!$C$1143:$AD$1254,7,FALSE),0)</f>
        <v>0</v>
      </c>
      <c r="M620" s="292">
        <f>IFERROR(VLOOKUP(B620,'تقرير المصروفات حسب الشهر'!$C$1270:$AD$1381,7,FALSE),0)</f>
        <v>0</v>
      </c>
      <c r="N620" s="31" t="e">
        <f>#REF!</f>
        <v>#REF!</v>
      </c>
      <c r="O620" s="37" t="e">
        <f t="shared" si="15"/>
        <v>#REF!</v>
      </c>
    </row>
    <row r="621" spans="2:15" ht="17.399999999999999">
      <c r="B621" s="42" t="s">
        <v>62</v>
      </c>
      <c r="C621" s="39">
        <f>'تقرير المصروفات حسب الشهر'!I40</f>
        <v>0</v>
      </c>
      <c r="D621" s="31" t="e">
        <f>#REF!</f>
        <v>#REF!</v>
      </c>
      <c r="E621" s="31" t="e">
        <f>#REF!</f>
        <v>#REF!</v>
      </c>
      <c r="F621" s="31" t="e">
        <f>#REF!</f>
        <v>#REF!</v>
      </c>
      <c r="G621" s="31" t="e">
        <f>#REF!</f>
        <v>#REF!</v>
      </c>
      <c r="H621" s="31" t="e">
        <f>#REF!</f>
        <v>#REF!</v>
      </c>
      <c r="I621" s="31">
        <f>'تقرير المصروفات حسب الشهر'!I793</f>
        <v>0</v>
      </c>
      <c r="J621" s="31">
        <f>'تقرير المصروفات حسب الشهر'!I920</f>
        <v>17000</v>
      </c>
      <c r="K621" s="31">
        <f>'تقرير المصروفات حسب الشهر'!I1047</f>
        <v>0</v>
      </c>
      <c r="L621" s="292">
        <f>IFERROR(VLOOKUP(B621,'تقرير المصروفات حسب الشهر'!$C$1143:$AD$1254,7,FALSE),0)</f>
        <v>0</v>
      </c>
      <c r="M621" s="292">
        <f>IFERROR(VLOOKUP(B621,'تقرير المصروفات حسب الشهر'!$C$1270:$AD$1381,7,FALSE),0)</f>
        <v>0</v>
      </c>
      <c r="N621" s="31" t="e">
        <f>#REF!</f>
        <v>#REF!</v>
      </c>
      <c r="O621" s="37" t="e">
        <f t="shared" si="15"/>
        <v>#REF!</v>
      </c>
    </row>
    <row r="622" spans="2:15" ht="17.399999999999999">
      <c r="B622" s="42" t="s">
        <v>63</v>
      </c>
      <c r="C622" s="39">
        <f>'تقرير المصروفات حسب الشهر'!I41</f>
        <v>0</v>
      </c>
      <c r="D622" s="31" t="e">
        <f>#REF!</f>
        <v>#REF!</v>
      </c>
      <c r="E622" s="31" t="e">
        <f>#REF!</f>
        <v>#REF!</v>
      </c>
      <c r="F622" s="31" t="e">
        <f>#REF!</f>
        <v>#REF!</v>
      </c>
      <c r="G622" s="31" t="e">
        <f>#REF!</f>
        <v>#REF!</v>
      </c>
      <c r="H622" s="31" t="e">
        <f>#REF!</f>
        <v>#REF!</v>
      </c>
      <c r="I622" s="31">
        <f>'تقرير المصروفات حسب الشهر'!I794</f>
        <v>0</v>
      </c>
      <c r="J622" s="31">
        <f>'تقرير المصروفات حسب الشهر'!I921</f>
        <v>0</v>
      </c>
      <c r="K622" s="31">
        <f>'تقرير المصروفات حسب الشهر'!I1048</f>
        <v>0</v>
      </c>
      <c r="L622" s="292">
        <f>IFERROR(VLOOKUP(B622,'تقرير المصروفات حسب الشهر'!$C$1143:$AD$1254,7,FALSE),0)</f>
        <v>0</v>
      </c>
      <c r="M622" s="292">
        <f>IFERROR(VLOOKUP(B622,'تقرير المصروفات حسب الشهر'!$C$1270:$AD$1381,7,FALSE),0)</f>
        <v>0</v>
      </c>
      <c r="N622" s="31" t="e">
        <f>#REF!</f>
        <v>#REF!</v>
      </c>
      <c r="O622" s="37" t="e">
        <f t="shared" si="15"/>
        <v>#REF!</v>
      </c>
    </row>
    <row r="623" spans="2:15" ht="17.399999999999999">
      <c r="B623" s="42" t="s">
        <v>64</v>
      </c>
      <c r="C623" s="39">
        <f>'تقرير المصروفات حسب الشهر'!I42</f>
        <v>600</v>
      </c>
      <c r="D623" s="31" t="e">
        <f>#REF!</f>
        <v>#REF!</v>
      </c>
      <c r="E623" s="31" t="e">
        <f>#REF!</f>
        <v>#REF!</v>
      </c>
      <c r="F623" s="31" t="e">
        <f>#REF!</f>
        <v>#REF!</v>
      </c>
      <c r="G623" s="31" t="e">
        <f>#REF!</f>
        <v>#REF!</v>
      </c>
      <c r="H623" s="31" t="e">
        <f>#REF!</f>
        <v>#REF!</v>
      </c>
      <c r="I623" s="31">
        <f>'تقرير المصروفات حسب الشهر'!I795</f>
        <v>0</v>
      </c>
      <c r="J623" s="31">
        <f>'تقرير المصروفات حسب الشهر'!I922</f>
        <v>0</v>
      </c>
      <c r="K623" s="31">
        <f>'تقرير المصروفات حسب الشهر'!I1049</f>
        <v>0</v>
      </c>
      <c r="L623" s="292">
        <f>IFERROR(VLOOKUP(B623,'تقرير المصروفات حسب الشهر'!$C$1143:$AD$1254,7,FALSE),0)</f>
        <v>0</v>
      </c>
      <c r="M623" s="292">
        <f>IFERROR(VLOOKUP(B623,'تقرير المصروفات حسب الشهر'!$C$1270:$AD$1381,7,FALSE),0)</f>
        <v>0</v>
      </c>
      <c r="N623" s="31" t="e">
        <f>#REF!</f>
        <v>#REF!</v>
      </c>
      <c r="O623" s="37" t="e">
        <f t="shared" si="15"/>
        <v>#REF!</v>
      </c>
    </row>
    <row r="624" spans="2:15" ht="17.399999999999999">
      <c r="B624" s="42" t="s">
        <v>28</v>
      </c>
      <c r="C624" s="39">
        <f>'تقرير المصروفات حسب الشهر'!I43</f>
        <v>0</v>
      </c>
      <c r="D624" s="31" t="e">
        <f>#REF!</f>
        <v>#REF!</v>
      </c>
      <c r="E624" s="31" t="e">
        <f>#REF!</f>
        <v>#REF!</v>
      </c>
      <c r="F624" s="31" t="e">
        <f>#REF!</f>
        <v>#REF!</v>
      </c>
      <c r="G624" s="31" t="e">
        <f>#REF!</f>
        <v>#REF!</v>
      </c>
      <c r="H624" s="31" t="e">
        <f>#REF!</f>
        <v>#REF!</v>
      </c>
      <c r="I624" s="31">
        <f>'تقرير المصروفات حسب الشهر'!I796</f>
        <v>0</v>
      </c>
      <c r="J624" s="31">
        <f>'تقرير المصروفات حسب الشهر'!I923</f>
        <v>0</v>
      </c>
      <c r="K624" s="31">
        <f>'تقرير المصروفات حسب الشهر'!I1050</f>
        <v>0</v>
      </c>
      <c r="L624" s="292">
        <f>IFERROR(VLOOKUP(B624,'تقرير المصروفات حسب الشهر'!$C$1143:$AD$1254,7,FALSE),0)</f>
        <v>0</v>
      </c>
      <c r="M624" s="292">
        <f>IFERROR(VLOOKUP(B624,'تقرير المصروفات حسب الشهر'!$C$1270:$AD$1381,7,FALSE),0)</f>
        <v>0</v>
      </c>
      <c r="N624" s="31" t="e">
        <f>#REF!</f>
        <v>#REF!</v>
      </c>
      <c r="O624" s="37" t="e">
        <f t="shared" si="15"/>
        <v>#REF!</v>
      </c>
    </row>
    <row r="625" spans="2:15" ht="17.399999999999999">
      <c r="B625" s="42" t="s">
        <v>157</v>
      </c>
      <c r="C625" s="39">
        <f>'تقرير المصروفات حسب الشهر'!I44</f>
        <v>0</v>
      </c>
      <c r="D625" s="31" t="e">
        <f>#REF!</f>
        <v>#REF!</v>
      </c>
      <c r="E625" s="31" t="e">
        <f>#REF!</f>
        <v>#REF!</v>
      </c>
      <c r="F625" s="31" t="e">
        <f>#REF!</f>
        <v>#REF!</v>
      </c>
      <c r="G625" s="31" t="e">
        <f>#REF!</f>
        <v>#REF!</v>
      </c>
      <c r="H625" s="31" t="e">
        <f>#REF!</f>
        <v>#REF!</v>
      </c>
      <c r="I625" s="31">
        <f>'تقرير المصروفات حسب الشهر'!I797</f>
        <v>0</v>
      </c>
      <c r="J625" s="31">
        <f>'تقرير المصروفات حسب الشهر'!I924</f>
        <v>0</v>
      </c>
      <c r="K625" s="31">
        <f>'تقرير المصروفات حسب الشهر'!I1051</f>
        <v>0</v>
      </c>
      <c r="L625" s="292">
        <f>IFERROR(VLOOKUP(B625,'تقرير المصروفات حسب الشهر'!$C$1143:$AD$1254,7,FALSE),0)</f>
        <v>0</v>
      </c>
      <c r="M625" s="292">
        <f>IFERROR(VLOOKUP(B625,'تقرير المصروفات حسب الشهر'!$C$1270:$AD$1381,7,FALSE),0)</f>
        <v>0</v>
      </c>
      <c r="N625" s="31" t="e">
        <f>#REF!</f>
        <v>#REF!</v>
      </c>
      <c r="O625" s="37" t="e">
        <f t="shared" si="15"/>
        <v>#REF!</v>
      </c>
    </row>
    <row r="626" spans="2:15" ht="17.399999999999999">
      <c r="B626" s="42" t="s">
        <v>65</v>
      </c>
      <c r="C626" s="39">
        <f>'تقرير المصروفات حسب الشهر'!I45</f>
        <v>0</v>
      </c>
      <c r="D626" s="31" t="e">
        <f>#REF!</f>
        <v>#REF!</v>
      </c>
      <c r="E626" s="31" t="e">
        <f>#REF!</f>
        <v>#REF!</v>
      </c>
      <c r="F626" s="31" t="e">
        <f>#REF!</f>
        <v>#REF!</v>
      </c>
      <c r="G626" s="31" t="e">
        <f>#REF!</f>
        <v>#REF!</v>
      </c>
      <c r="H626" s="31" t="e">
        <f>#REF!</f>
        <v>#REF!</v>
      </c>
      <c r="I626" s="31">
        <f>'تقرير المصروفات حسب الشهر'!I798</f>
        <v>0</v>
      </c>
      <c r="J626" s="31">
        <f>'تقرير المصروفات حسب الشهر'!I925</f>
        <v>0</v>
      </c>
      <c r="K626" s="31">
        <f>'تقرير المصروفات حسب الشهر'!I1052</f>
        <v>0</v>
      </c>
      <c r="L626" s="292">
        <f>IFERROR(VLOOKUP(B626,'تقرير المصروفات حسب الشهر'!$C$1143:$AD$1254,7,FALSE),0)</f>
        <v>0</v>
      </c>
      <c r="M626" s="292">
        <f>IFERROR(VLOOKUP(B626,'تقرير المصروفات حسب الشهر'!$C$1270:$AD$1381,7,FALSE),0)</f>
        <v>0</v>
      </c>
      <c r="N626" s="31" t="e">
        <f>#REF!</f>
        <v>#REF!</v>
      </c>
      <c r="O626" s="37" t="e">
        <f t="shared" si="15"/>
        <v>#REF!</v>
      </c>
    </row>
    <row r="627" spans="2:15" ht="17.399999999999999">
      <c r="B627" s="42" t="s">
        <v>66</v>
      </c>
      <c r="C627" s="39">
        <f>'تقرير المصروفات حسب الشهر'!I46</f>
        <v>0</v>
      </c>
      <c r="D627" s="31" t="e">
        <f>#REF!</f>
        <v>#REF!</v>
      </c>
      <c r="E627" s="31" t="e">
        <f>#REF!</f>
        <v>#REF!</v>
      </c>
      <c r="F627" s="31" t="e">
        <f>#REF!</f>
        <v>#REF!</v>
      </c>
      <c r="G627" s="31" t="e">
        <f>#REF!</f>
        <v>#REF!</v>
      </c>
      <c r="H627" s="31" t="e">
        <f>#REF!</f>
        <v>#REF!</v>
      </c>
      <c r="I627" s="31">
        <f>'تقرير المصروفات حسب الشهر'!I799</f>
        <v>0</v>
      </c>
      <c r="J627" s="31">
        <f>'تقرير المصروفات حسب الشهر'!I926</f>
        <v>0</v>
      </c>
      <c r="K627" s="31">
        <f>'تقرير المصروفات حسب الشهر'!I1053</f>
        <v>0</v>
      </c>
      <c r="L627" s="292">
        <f>IFERROR(VLOOKUP(B627,'تقرير المصروفات حسب الشهر'!$C$1143:$AD$1254,7,FALSE),0)</f>
        <v>0</v>
      </c>
      <c r="M627" s="292">
        <f>IFERROR(VLOOKUP(B627,'تقرير المصروفات حسب الشهر'!$C$1270:$AD$1381,7,FALSE),0)</f>
        <v>0</v>
      </c>
      <c r="N627" s="31" t="e">
        <f>#REF!</f>
        <v>#REF!</v>
      </c>
      <c r="O627" s="37" t="e">
        <f t="shared" si="15"/>
        <v>#REF!</v>
      </c>
    </row>
    <row r="628" spans="2:15" ht="17.399999999999999">
      <c r="B628" s="42" t="s">
        <v>30</v>
      </c>
      <c r="C628" s="39">
        <f>'تقرير المصروفات حسب الشهر'!I47</f>
        <v>0</v>
      </c>
      <c r="D628" s="31" t="e">
        <f>#REF!</f>
        <v>#REF!</v>
      </c>
      <c r="E628" s="31" t="e">
        <f>#REF!</f>
        <v>#REF!</v>
      </c>
      <c r="F628" s="31" t="e">
        <f>#REF!</f>
        <v>#REF!</v>
      </c>
      <c r="G628" s="31" t="e">
        <f>#REF!</f>
        <v>#REF!</v>
      </c>
      <c r="H628" s="31" t="e">
        <f>#REF!</f>
        <v>#REF!</v>
      </c>
      <c r="I628" s="31">
        <f>'تقرير المصروفات حسب الشهر'!I800</f>
        <v>0</v>
      </c>
      <c r="J628" s="31">
        <f>'تقرير المصروفات حسب الشهر'!I927</f>
        <v>0</v>
      </c>
      <c r="K628" s="31">
        <f>'تقرير المصروفات حسب الشهر'!I1054</f>
        <v>0</v>
      </c>
      <c r="L628" s="292">
        <f>IFERROR(VLOOKUP(B628,'تقرير المصروفات حسب الشهر'!$C$1143:$AD$1254,7,FALSE),0)</f>
        <v>0</v>
      </c>
      <c r="M628" s="292">
        <f>IFERROR(VLOOKUP(B628,'تقرير المصروفات حسب الشهر'!$C$1270:$AD$1381,7,FALSE),0)</f>
        <v>0</v>
      </c>
      <c r="N628" s="31" t="e">
        <f>#REF!</f>
        <v>#REF!</v>
      </c>
      <c r="O628" s="37" t="e">
        <f t="shared" si="15"/>
        <v>#REF!</v>
      </c>
    </row>
    <row r="629" spans="2:15" ht="17.399999999999999">
      <c r="B629" s="42" t="s">
        <v>67</v>
      </c>
      <c r="C629" s="39">
        <f>'تقرير المصروفات حسب الشهر'!I48</f>
        <v>3120</v>
      </c>
      <c r="D629" s="31" t="e">
        <f>#REF!</f>
        <v>#REF!</v>
      </c>
      <c r="E629" s="31" t="e">
        <f>#REF!</f>
        <v>#REF!</v>
      </c>
      <c r="F629" s="31" t="e">
        <f>#REF!</f>
        <v>#REF!</v>
      </c>
      <c r="G629" s="31" t="e">
        <f>#REF!</f>
        <v>#REF!</v>
      </c>
      <c r="H629" s="31" t="e">
        <f>#REF!</f>
        <v>#REF!</v>
      </c>
      <c r="I629" s="31">
        <f>'تقرير المصروفات حسب الشهر'!I801</f>
        <v>0</v>
      </c>
      <c r="J629" s="31">
        <f>'تقرير المصروفات حسب الشهر'!I928</f>
        <v>1650</v>
      </c>
      <c r="K629" s="31">
        <f>'تقرير المصروفات حسب الشهر'!I1055</f>
        <v>0</v>
      </c>
      <c r="L629" s="292">
        <f>IFERROR(VLOOKUP(B629,'تقرير المصروفات حسب الشهر'!$C$1143:$AD$1254,7,FALSE),0)</f>
        <v>3300</v>
      </c>
      <c r="M629" s="292">
        <f>IFERROR(VLOOKUP(B629,'تقرير المصروفات حسب الشهر'!$C$1270:$AD$1381,7,FALSE),0)</f>
        <v>0</v>
      </c>
      <c r="N629" s="31" t="e">
        <f>#REF!</f>
        <v>#REF!</v>
      </c>
      <c r="O629" s="37" t="e">
        <f t="shared" si="15"/>
        <v>#REF!</v>
      </c>
    </row>
    <row r="630" spans="2:15" ht="17.399999999999999">
      <c r="B630" s="42" t="s">
        <v>111</v>
      </c>
      <c r="C630" s="39">
        <f>'تقرير المصروفات حسب الشهر'!I49</f>
        <v>0</v>
      </c>
      <c r="D630" s="31" t="e">
        <f>#REF!</f>
        <v>#REF!</v>
      </c>
      <c r="E630" s="31" t="e">
        <f>#REF!</f>
        <v>#REF!</v>
      </c>
      <c r="F630" s="31" t="e">
        <f>#REF!</f>
        <v>#REF!</v>
      </c>
      <c r="G630" s="31" t="e">
        <f>#REF!</f>
        <v>#REF!</v>
      </c>
      <c r="H630" s="31" t="e">
        <f>#REF!</f>
        <v>#REF!</v>
      </c>
      <c r="I630" s="31">
        <f>'تقرير المصروفات حسب الشهر'!I802</f>
        <v>0</v>
      </c>
      <c r="J630" s="31">
        <f>'تقرير المصروفات حسب الشهر'!I929</f>
        <v>0</v>
      </c>
      <c r="K630" s="31">
        <f>'تقرير المصروفات حسب الشهر'!I1056</f>
        <v>0</v>
      </c>
      <c r="L630" s="292">
        <f>IFERROR(VLOOKUP(B630,'تقرير المصروفات حسب الشهر'!$C$1143:$AD$1254,7,FALSE),0)</f>
        <v>0</v>
      </c>
      <c r="M630" s="292">
        <f>IFERROR(VLOOKUP(B630,'تقرير المصروفات حسب الشهر'!$C$1270:$AD$1381,7,FALSE),0)</f>
        <v>0</v>
      </c>
      <c r="N630" s="31" t="e">
        <f>#REF!</f>
        <v>#REF!</v>
      </c>
      <c r="O630" s="37" t="e">
        <f t="shared" si="15"/>
        <v>#REF!</v>
      </c>
    </row>
    <row r="631" spans="2:15" ht="17.399999999999999">
      <c r="B631" s="42" t="s">
        <v>68</v>
      </c>
      <c r="C631" s="39">
        <f>'تقرير المصروفات حسب الشهر'!I50</f>
        <v>0</v>
      </c>
      <c r="D631" s="31" t="e">
        <f>#REF!</f>
        <v>#REF!</v>
      </c>
      <c r="E631" s="31" t="e">
        <f>#REF!</f>
        <v>#REF!</v>
      </c>
      <c r="F631" s="31" t="e">
        <f>#REF!</f>
        <v>#REF!</v>
      </c>
      <c r="G631" s="31" t="e">
        <f>#REF!</f>
        <v>#REF!</v>
      </c>
      <c r="H631" s="31" t="e">
        <f>#REF!</f>
        <v>#REF!</v>
      </c>
      <c r="I631" s="31">
        <f>'تقرير المصروفات حسب الشهر'!I803</f>
        <v>0</v>
      </c>
      <c r="J631" s="31">
        <f>'تقرير المصروفات حسب الشهر'!I930</f>
        <v>0</v>
      </c>
      <c r="K631" s="31">
        <f>'تقرير المصروفات حسب الشهر'!I1057</f>
        <v>0</v>
      </c>
      <c r="L631" s="292">
        <f>IFERROR(VLOOKUP(B631,'تقرير المصروفات حسب الشهر'!$C$1143:$AD$1254,7,FALSE),0)</f>
        <v>0</v>
      </c>
      <c r="M631" s="292">
        <f>IFERROR(VLOOKUP(B631,'تقرير المصروفات حسب الشهر'!$C$1270:$AD$1381,7,FALSE),0)</f>
        <v>0</v>
      </c>
      <c r="N631" s="31" t="e">
        <f>#REF!</f>
        <v>#REF!</v>
      </c>
      <c r="O631" s="37" t="e">
        <f t="shared" si="15"/>
        <v>#REF!</v>
      </c>
    </row>
    <row r="632" spans="2:15" ht="17.399999999999999">
      <c r="B632" s="42" t="s">
        <v>69</v>
      </c>
      <c r="C632" s="39">
        <f>'تقرير المصروفات حسب الشهر'!I51</f>
        <v>0</v>
      </c>
      <c r="D632" s="31" t="e">
        <f>#REF!</f>
        <v>#REF!</v>
      </c>
      <c r="E632" s="31" t="e">
        <f>#REF!</f>
        <v>#REF!</v>
      </c>
      <c r="F632" s="31" t="e">
        <f>#REF!</f>
        <v>#REF!</v>
      </c>
      <c r="G632" s="31" t="e">
        <f>#REF!</f>
        <v>#REF!</v>
      </c>
      <c r="H632" s="31" t="e">
        <f>#REF!</f>
        <v>#REF!</v>
      </c>
      <c r="I632" s="31">
        <f>'تقرير المصروفات حسب الشهر'!I804</f>
        <v>0</v>
      </c>
      <c r="J632" s="31">
        <f>'تقرير المصروفات حسب الشهر'!I931</f>
        <v>0</v>
      </c>
      <c r="K632" s="31">
        <f>'تقرير المصروفات حسب الشهر'!I1058</f>
        <v>0</v>
      </c>
      <c r="L632" s="292">
        <f>IFERROR(VLOOKUP(B632,'تقرير المصروفات حسب الشهر'!$C$1143:$AD$1254,7,FALSE),0)</f>
        <v>0</v>
      </c>
      <c r="M632" s="292">
        <f>IFERROR(VLOOKUP(B632,'تقرير المصروفات حسب الشهر'!$C$1270:$AD$1381,7,FALSE),0)</f>
        <v>0</v>
      </c>
      <c r="N632" s="31" t="e">
        <f>#REF!</f>
        <v>#REF!</v>
      </c>
      <c r="O632" s="37" t="e">
        <f t="shared" si="15"/>
        <v>#REF!</v>
      </c>
    </row>
    <row r="633" spans="2:15" ht="17.399999999999999">
      <c r="B633" s="42" t="s">
        <v>70</v>
      </c>
      <c r="C633" s="39">
        <f>'تقرير المصروفات حسب الشهر'!I52</f>
        <v>415</v>
      </c>
      <c r="D633" s="31" t="e">
        <f>#REF!</f>
        <v>#REF!</v>
      </c>
      <c r="E633" s="31" t="e">
        <f>#REF!</f>
        <v>#REF!</v>
      </c>
      <c r="F633" s="31" t="e">
        <f>#REF!</f>
        <v>#REF!</v>
      </c>
      <c r="G633" s="31" t="e">
        <f>#REF!</f>
        <v>#REF!</v>
      </c>
      <c r="H633" s="31" t="e">
        <f>#REF!</f>
        <v>#REF!</v>
      </c>
      <c r="I633" s="31">
        <f>'تقرير المصروفات حسب الشهر'!I805</f>
        <v>440</v>
      </c>
      <c r="J633" s="31">
        <f>'تقرير المصروفات حسب الشهر'!I932</f>
        <v>420</v>
      </c>
      <c r="K633" s="31">
        <f>'تقرير المصروفات حسب الشهر'!I1059</f>
        <v>2855</v>
      </c>
      <c r="L633" s="292">
        <f>IFERROR(VLOOKUP(B633,'تقرير المصروفات حسب الشهر'!$C$1143:$AD$1254,7,FALSE),0)</f>
        <v>440</v>
      </c>
      <c r="M633" s="292">
        <f>IFERROR(VLOOKUP(B633,'تقرير المصروفات حسب الشهر'!$C$1270:$AD$1381,7,FALSE),0)</f>
        <v>605</v>
      </c>
      <c r="N633" s="31" t="e">
        <f>#REF!</f>
        <v>#REF!</v>
      </c>
      <c r="O633" s="37" t="e">
        <f t="shared" si="15"/>
        <v>#REF!</v>
      </c>
    </row>
    <row r="634" spans="2:15" ht="17.399999999999999">
      <c r="B634" s="42" t="s">
        <v>71</v>
      </c>
      <c r="C634" s="39">
        <f>'تقرير المصروفات حسب الشهر'!I53</f>
        <v>0</v>
      </c>
      <c r="D634" s="31" t="e">
        <f>#REF!</f>
        <v>#REF!</v>
      </c>
      <c r="E634" s="31" t="e">
        <f>#REF!</f>
        <v>#REF!</v>
      </c>
      <c r="F634" s="31" t="e">
        <f>#REF!</f>
        <v>#REF!</v>
      </c>
      <c r="G634" s="31" t="e">
        <f>#REF!</f>
        <v>#REF!</v>
      </c>
      <c r="H634" s="31" t="e">
        <f>#REF!</f>
        <v>#REF!</v>
      </c>
      <c r="I634" s="31">
        <f>'تقرير المصروفات حسب الشهر'!I806</f>
        <v>0</v>
      </c>
      <c r="J634" s="31">
        <f>'تقرير المصروفات حسب الشهر'!I933</f>
        <v>0</v>
      </c>
      <c r="K634" s="31">
        <f>'تقرير المصروفات حسب الشهر'!I1060</f>
        <v>0</v>
      </c>
      <c r="L634" s="292">
        <f>IFERROR(VLOOKUP(B634,'تقرير المصروفات حسب الشهر'!$C$1143:$AD$1254,7,FALSE),0)</f>
        <v>0</v>
      </c>
      <c r="M634" s="292">
        <f>IFERROR(VLOOKUP(B634,'تقرير المصروفات حسب الشهر'!$C$1270:$AD$1381,7,FALSE),0)</f>
        <v>0</v>
      </c>
      <c r="N634" s="31" t="e">
        <f>#REF!</f>
        <v>#REF!</v>
      </c>
      <c r="O634" s="37" t="e">
        <f t="shared" si="15"/>
        <v>#REF!</v>
      </c>
    </row>
    <row r="635" spans="2:15" ht="17.399999999999999">
      <c r="B635" s="42" t="s">
        <v>159</v>
      </c>
      <c r="C635" s="39">
        <f>'تقرير المصروفات حسب الشهر'!I54</f>
        <v>0</v>
      </c>
      <c r="D635" s="31" t="e">
        <f>#REF!</f>
        <v>#REF!</v>
      </c>
      <c r="E635" s="31" t="e">
        <f>#REF!</f>
        <v>#REF!</v>
      </c>
      <c r="F635" s="31" t="e">
        <f>#REF!</f>
        <v>#REF!</v>
      </c>
      <c r="G635" s="31" t="e">
        <f>#REF!</f>
        <v>#REF!</v>
      </c>
      <c r="H635" s="31" t="e">
        <f>#REF!</f>
        <v>#REF!</v>
      </c>
      <c r="I635" s="31">
        <f>'تقرير المصروفات حسب الشهر'!I807</f>
        <v>0</v>
      </c>
      <c r="J635" s="31">
        <f>'تقرير المصروفات حسب الشهر'!I934</f>
        <v>0</v>
      </c>
      <c r="K635" s="31">
        <f>'تقرير المصروفات حسب الشهر'!I1061</f>
        <v>0</v>
      </c>
      <c r="L635" s="292">
        <f>IFERROR(VLOOKUP(B635,'تقرير المصروفات حسب الشهر'!$C$1143:$AD$1254,7,FALSE),0)</f>
        <v>0</v>
      </c>
      <c r="M635" s="292">
        <f>IFERROR(VLOOKUP(B635,'تقرير المصروفات حسب الشهر'!$C$1270:$AD$1381,7,FALSE),0)</f>
        <v>0</v>
      </c>
      <c r="N635" s="31" t="e">
        <f>#REF!</f>
        <v>#REF!</v>
      </c>
      <c r="O635" s="37" t="e">
        <f t="shared" si="15"/>
        <v>#REF!</v>
      </c>
    </row>
    <row r="636" spans="2:15" ht="17.399999999999999">
      <c r="B636" s="42" t="s">
        <v>72</v>
      </c>
      <c r="C636" s="39">
        <f>'تقرير المصروفات حسب الشهر'!I55</f>
        <v>0</v>
      </c>
      <c r="D636" s="31" t="e">
        <f>#REF!</f>
        <v>#REF!</v>
      </c>
      <c r="E636" s="31" t="e">
        <f>#REF!</f>
        <v>#REF!</v>
      </c>
      <c r="F636" s="31" t="e">
        <f>#REF!</f>
        <v>#REF!</v>
      </c>
      <c r="G636" s="31" t="e">
        <f>#REF!</f>
        <v>#REF!</v>
      </c>
      <c r="H636" s="31" t="e">
        <f>#REF!</f>
        <v>#REF!</v>
      </c>
      <c r="I636" s="31">
        <f>'تقرير المصروفات حسب الشهر'!I808</f>
        <v>0</v>
      </c>
      <c r="J636" s="31">
        <f>'تقرير المصروفات حسب الشهر'!I935</f>
        <v>0</v>
      </c>
      <c r="K636" s="31">
        <f>'تقرير المصروفات حسب الشهر'!I1062</f>
        <v>0</v>
      </c>
      <c r="L636" s="292">
        <f>IFERROR(VLOOKUP(B636,'تقرير المصروفات حسب الشهر'!$C$1143:$AD$1254,7,FALSE),0)</f>
        <v>0</v>
      </c>
      <c r="M636" s="292">
        <f>IFERROR(VLOOKUP(B636,'تقرير المصروفات حسب الشهر'!$C$1270:$AD$1381,7,FALSE),0)</f>
        <v>0</v>
      </c>
      <c r="N636" s="31" t="e">
        <f>#REF!</f>
        <v>#REF!</v>
      </c>
      <c r="O636" s="37" t="e">
        <f t="shared" si="15"/>
        <v>#REF!</v>
      </c>
    </row>
    <row r="637" spans="2:15" ht="17.399999999999999">
      <c r="B637" s="42" t="s">
        <v>73</v>
      </c>
      <c r="C637" s="39">
        <f>'تقرير المصروفات حسب الشهر'!I56</f>
        <v>0</v>
      </c>
      <c r="D637" s="31" t="e">
        <f>#REF!</f>
        <v>#REF!</v>
      </c>
      <c r="E637" s="31" t="e">
        <f>#REF!</f>
        <v>#REF!</v>
      </c>
      <c r="F637" s="31" t="e">
        <f>#REF!</f>
        <v>#REF!</v>
      </c>
      <c r="G637" s="31" t="e">
        <f>#REF!</f>
        <v>#REF!</v>
      </c>
      <c r="H637" s="31" t="e">
        <f>#REF!</f>
        <v>#REF!</v>
      </c>
      <c r="I637" s="31">
        <f>'تقرير المصروفات حسب الشهر'!I809</f>
        <v>0</v>
      </c>
      <c r="J637" s="31">
        <f>'تقرير المصروفات حسب الشهر'!I936</f>
        <v>0</v>
      </c>
      <c r="K637" s="31">
        <f>'تقرير المصروفات حسب الشهر'!I1063</f>
        <v>0</v>
      </c>
      <c r="L637" s="292">
        <f>IFERROR(VLOOKUP(B637,'تقرير المصروفات حسب الشهر'!$C$1143:$AD$1254,7,FALSE),0)</f>
        <v>0</v>
      </c>
      <c r="M637" s="292">
        <f>IFERROR(VLOOKUP(B637,'تقرير المصروفات حسب الشهر'!$C$1270:$AD$1381,7,FALSE),0)</f>
        <v>0</v>
      </c>
      <c r="N637" s="31" t="e">
        <f>#REF!</f>
        <v>#REF!</v>
      </c>
      <c r="O637" s="37" t="e">
        <f t="shared" si="15"/>
        <v>#REF!</v>
      </c>
    </row>
    <row r="638" spans="2:15" ht="17.399999999999999">
      <c r="B638" s="42" t="s">
        <v>74</v>
      </c>
      <c r="C638" s="39">
        <f>'تقرير المصروفات حسب الشهر'!I57</f>
        <v>0</v>
      </c>
      <c r="D638" s="31" t="e">
        <f>#REF!</f>
        <v>#REF!</v>
      </c>
      <c r="E638" s="31" t="e">
        <f>#REF!</f>
        <v>#REF!</v>
      </c>
      <c r="F638" s="31" t="e">
        <f>#REF!</f>
        <v>#REF!</v>
      </c>
      <c r="G638" s="31" t="e">
        <f>#REF!</f>
        <v>#REF!</v>
      </c>
      <c r="H638" s="31" t="e">
        <f>#REF!</f>
        <v>#REF!</v>
      </c>
      <c r="I638" s="31">
        <f>'تقرير المصروفات حسب الشهر'!I810</f>
        <v>0</v>
      </c>
      <c r="J638" s="31">
        <f>'تقرير المصروفات حسب الشهر'!I937</f>
        <v>0</v>
      </c>
      <c r="K638" s="31">
        <f>'تقرير المصروفات حسب الشهر'!I1064</f>
        <v>0</v>
      </c>
      <c r="L638" s="292">
        <f>IFERROR(VLOOKUP(B638,'تقرير المصروفات حسب الشهر'!$C$1143:$AD$1254,7,FALSE),0)</f>
        <v>0</v>
      </c>
      <c r="M638" s="292">
        <f>IFERROR(VLOOKUP(B638,'تقرير المصروفات حسب الشهر'!$C$1270:$AD$1381,7,FALSE),0)</f>
        <v>0</v>
      </c>
      <c r="N638" s="31" t="e">
        <f>#REF!</f>
        <v>#REF!</v>
      </c>
      <c r="O638" s="37" t="e">
        <f t="shared" si="15"/>
        <v>#REF!</v>
      </c>
    </row>
    <row r="639" spans="2:15" ht="17.399999999999999">
      <c r="B639" s="42" t="s">
        <v>246</v>
      </c>
      <c r="C639" s="39">
        <f>'تقرير المصروفات حسب الشهر'!I58</f>
        <v>0</v>
      </c>
      <c r="D639" s="31" t="e">
        <f>#REF!</f>
        <v>#REF!</v>
      </c>
      <c r="E639" s="31" t="e">
        <f>#REF!</f>
        <v>#REF!</v>
      </c>
      <c r="F639" s="31" t="e">
        <f>#REF!</f>
        <v>#REF!</v>
      </c>
      <c r="G639" s="31" t="e">
        <f>#REF!</f>
        <v>#REF!</v>
      </c>
      <c r="H639" s="31" t="e">
        <f>#REF!</f>
        <v>#REF!</v>
      </c>
      <c r="I639" s="31">
        <f>'تقرير المصروفات حسب الشهر'!I811</f>
        <v>0</v>
      </c>
      <c r="J639" s="31">
        <f>'تقرير المصروفات حسب الشهر'!I938</f>
        <v>0</v>
      </c>
      <c r="K639" s="31">
        <f>'تقرير المصروفات حسب الشهر'!I1065</f>
        <v>0</v>
      </c>
      <c r="L639" s="292">
        <f>IFERROR(VLOOKUP(B639,'تقرير المصروفات حسب الشهر'!$C$1143:$AD$1254,7,FALSE),0)</f>
        <v>0</v>
      </c>
      <c r="M639" s="292">
        <f>IFERROR(VLOOKUP(B639,'تقرير المصروفات حسب الشهر'!$C$1270:$AD$1381,7,FALSE),0)</f>
        <v>0</v>
      </c>
      <c r="N639" s="31" t="e">
        <f>#REF!</f>
        <v>#REF!</v>
      </c>
      <c r="O639" s="37" t="e">
        <f t="shared" si="15"/>
        <v>#REF!</v>
      </c>
    </row>
    <row r="640" spans="2:15" ht="17.399999999999999">
      <c r="B640" s="42" t="s">
        <v>75</v>
      </c>
      <c r="C640" s="39">
        <f>'تقرير المصروفات حسب الشهر'!I59</f>
        <v>0</v>
      </c>
      <c r="D640" s="31" t="e">
        <f>#REF!</f>
        <v>#REF!</v>
      </c>
      <c r="E640" s="31" t="e">
        <f>#REF!</f>
        <v>#REF!</v>
      </c>
      <c r="F640" s="31" t="e">
        <f>#REF!</f>
        <v>#REF!</v>
      </c>
      <c r="G640" s="31" t="e">
        <f>#REF!</f>
        <v>#REF!</v>
      </c>
      <c r="H640" s="31" t="e">
        <f>#REF!</f>
        <v>#REF!</v>
      </c>
      <c r="I640" s="31">
        <f>'تقرير المصروفات حسب الشهر'!I812</f>
        <v>0</v>
      </c>
      <c r="J640" s="31">
        <f>'تقرير المصروفات حسب الشهر'!I939</f>
        <v>0</v>
      </c>
      <c r="K640" s="31">
        <f>'تقرير المصروفات حسب الشهر'!I1066</f>
        <v>0</v>
      </c>
      <c r="L640" s="292">
        <f>IFERROR(VLOOKUP(B640,'تقرير المصروفات حسب الشهر'!$C$1143:$AD$1254,7,FALSE),0)</f>
        <v>0</v>
      </c>
      <c r="M640" s="292">
        <f>IFERROR(VLOOKUP(B640,'تقرير المصروفات حسب الشهر'!$C$1270:$AD$1381,7,FALSE),0)</f>
        <v>0</v>
      </c>
      <c r="N640" s="31" t="e">
        <f>#REF!</f>
        <v>#REF!</v>
      </c>
      <c r="O640" s="37" t="e">
        <f t="shared" si="15"/>
        <v>#REF!</v>
      </c>
    </row>
    <row r="641" spans="2:15" ht="17.399999999999999">
      <c r="B641" s="42" t="s">
        <v>76</v>
      </c>
      <c r="C641" s="39">
        <f>'تقرير المصروفات حسب الشهر'!I60</f>
        <v>0</v>
      </c>
      <c r="D641" s="31" t="e">
        <f>#REF!</f>
        <v>#REF!</v>
      </c>
      <c r="E641" s="31" t="e">
        <f>#REF!</f>
        <v>#REF!</v>
      </c>
      <c r="F641" s="31" t="e">
        <f>#REF!</f>
        <v>#REF!</v>
      </c>
      <c r="G641" s="31" t="e">
        <f>#REF!</f>
        <v>#REF!</v>
      </c>
      <c r="H641" s="31" t="e">
        <f>#REF!</f>
        <v>#REF!</v>
      </c>
      <c r="I641" s="31">
        <f>'تقرير المصروفات حسب الشهر'!I813</f>
        <v>0</v>
      </c>
      <c r="J641" s="31">
        <f>'تقرير المصروفات حسب الشهر'!I940</f>
        <v>0</v>
      </c>
      <c r="K641" s="31">
        <f>'تقرير المصروفات حسب الشهر'!I1067</f>
        <v>0</v>
      </c>
      <c r="L641" s="292">
        <f>IFERROR(VLOOKUP(B641,'تقرير المصروفات حسب الشهر'!$C$1143:$AD$1254,7,FALSE),0)</f>
        <v>0</v>
      </c>
      <c r="M641" s="292">
        <f>IFERROR(VLOOKUP(B641,'تقرير المصروفات حسب الشهر'!$C$1270:$AD$1381,7,FALSE),0)</f>
        <v>0</v>
      </c>
      <c r="N641" s="31" t="e">
        <f>#REF!</f>
        <v>#REF!</v>
      </c>
      <c r="O641" s="37" t="e">
        <f t="shared" si="15"/>
        <v>#REF!</v>
      </c>
    </row>
    <row r="642" spans="2:15" ht="17.399999999999999">
      <c r="B642" s="42" t="s">
        <v>77</v>
      </c>
      <c r="C642" s="39">
        <f>'تقرير المصروفات حسب الشهر'!I61</f>
        <v>0</v>
      </c>
      <c r="D642" s="31" t="e">
        <f>#REF!</f>
        <v>#REF!</v>
      </c>
      <c r="E642" s="31" t="e">
        <f>#REF!</f>
        <v>#REF!</v>
      </c>
      <c r="F642" s="31" t="e">
        <f>#REF!</f>
        <v>#REF!</v>
      </c>
      <c r="G642" s="31" t="e">
        <f>#REF!</f>
        <v>#REF!</v>
      </c>
      <c r="H642" s="31" t="e">
        <f>#REF!</f>
        <v>#REF!</v>
      </c>
      <c r="I642" s="31">
        <f>'تقرير المصروفات حسب الشهر'!I814</f>
        <v>0</v>
      </c>
      <c r="J642" s="31">
        <f>'تقرير المصروفات حسب الشهر'!I941</f>
        <v>0</v>
      </c>
      <c r="K642" s="31">
        <f>'تقرير المصروفات حسب الشهر'!I1068</f>
        <v>0</v>
      </c>
      <c r="L642" s="292">
        <f>IFERROR(VLOOKUP(B642,'تقرير المصروفات حسب الشهر'!$C$1143:$AD$1254,7,FALSE),0)</f>
        <v>0</v>
      </c>
      <c r="M642" s="292">
        <f>IFERROR(VLOOKUP(B642,'تقرير المصروفات حسب الشهر'!$C$1270:$AD$1381,7,FALSE),0)</f>
        <v>0</v>
      </c>
      <c r="N642" s="31" t="e">
        <f>#REF!</f>
        <v>#REF!</v>
      </c>
      <c r="O642" s="37" t="e">
        <f t="shared" si="15"/>
        <v>#REF!</v>
      </c>
    </row>
    <row r="643" spans="2:15" ht="17.399999999999999">
      <c r="B643" s="42" t="s">
        <v>78</v>
      </c>
      <c r="C643" s="39">
        <f>'تقرير المصروفات حسب الشهر'!I62</f>
        <v>0</v>
      </c>
      <c r="D643" s="31" t="e">
        <f>#REF!</f>
        <v>#REF!</v>
      </c>
      <c r="E643" s="31" t="e">
        <f>#REF!</f>
        <v>#REF!</v>
      </c>
      <c r="F643" s="31" t="e">
        <f>#REF!</f>
        <v>#REF!</v>
      </c>
      <c r="G643" s="31" t="e">
        <f>#REF!</f>
        <v>#REF!</v>
      </c>
      <c r="H643" s="31" t="e">
        <f>#REF!</f>
        <v>#REF!</v>
      </c>
      <c r="I643" s="31">
        <f>'تقرير المصروفات حسب الشهر'!I815</f>
        <v>0</v>
      </c>
      <c r="J643" s="31">
        <f>'تقرير المصروفات حسب الشهر'!I942</f>
        <v>0</v>
      </c>
      <c r="K643" s="31">
        <f>'تقرير المصروفات حسب الشهر'!I1069</f>
        <v>0</v>
      </c>
      <c r="L643" s="292">
        <f>IFERROR(VLOOKUP(B643,'تقرير المصروفات حسب الشهر'!$C$1143:$AD$1254,7,FALSE),0)</f>
        <v>0</v>
      </c>
      <c r="M643" s="292">
        <f>IFERROR(VLOOKUP(B643,'تقرير المصروفات حسب الشهر'!$C$1270:$AD$1381,7,FALSE),0)</f>
        <v>0</v>
      </c>
      <c r="N643" s="31" t="e">
        <f>#REF!</f>
        <v>#REF!</v>
      </c>
      <c r="O643" s="37" t="e">
        <f t="shared" si="15"/>
        <v>#REF!</v>
      </c>
    </row>
    <row r="644" spans="2:15" ht="17.399999999999999">
      <c r="B644" s="42" t="s">
        <v>79</v>
      </c>
      <c r="C644" s="39">
        <f>'تقرير المصروفات حسب الشهر'!I63</f>
        <v>0</v>
      </c>
      <c r="D644" s="31" t="e">
        <f>#REF!</f>
        <v>#REF!</v>
      </c>
      <c r="E644" s="31" t="e">
        <f>#REF!</f>
        <v>#REF!</v>
      </c>
      <c r="F644" s="31" t="e">
        <f>#REF!</f>
        <v>#REF!</v>
      </c>
      <c r="G644" s="31" t="e">
        <f>#REF!</f>
        <v>#REF!</v>
      </c>
      <c r="H644" s="31" t="e">
        <f>#REF!</f>
        <v>#REF!</v>
      </c>
      <c r="I644" s="31">
        <f>'تقرير المصروفات حسب الشهر'!I816</f>
        <v>0</v>
      </c>
      <c r="J644" s="31">
        <f>'تقرير المصروفات حسب الشهر'!I943</f>
        <v>0</v>
      </c>
      <c r="K644" s="31">
        <f>'تقرير المصروفات حسب الشهر'!I1070</f>
        <v>0</v>
      </c>
      <c r="L644" s="292">
        <f>IFERROR(VLOOKUP(B644,'تقرير المصروفات حسب الشهر'!$C$1143:$AD$1254,7,FALSE),0)</f>
        <v>0</v>
      </c>
      <c r="M644" s="292">
        <f>IFERROR(VLOOKUP(B644,'تقرير المصروفات حسب الشهر'!$C$1270:$AD$1381,7,FALSE),0)</f>
        <v>0</v>
      </c>
      <c r="N644" s="31" t="e">
        <f>#REF!</f>
        <v>#REF!</v>
      </c>
      <c r="O644" s="37" t="e">
        <f t="shared" si="15"/>
        <v>#REF!</v>
      </c>
    </row>
    <row r="645" spans="2:15" ht="17.399999999999999">
      <c r="B645" s="42" t="s">
        <v>80</v>
      </c>
      <c r="C645" s="39">
        <f>'تقرير المصروفات حسب الشهر'!I64</f>
        <v>0</v>
      </c>
      <c r="D645" s="31" t="e">
        <f>#REF!</f>
        <v>#REF!</v>
      </c>
      <c r="E645" s="31" t="e">
        <f>#REF!</f>
        <v>#REF!</v>
      </c>
      <c r="F645" s="31" t="e">
        <f>#REF!</f>
        <v>#REF!</v>
      </c>
      <c r="G645" s="31" t="e">
        <f>#REF!</f>
        <v>#REF!</v>
      </c>
      <c r="H645" s="31" t="e">
        <f>#REF!</f>
        <v>#REF!</v>
      </c>
      <c r="I645" s="31">
        <f>'تقرير المصروفات حسب الشهر'!I817</f>
        <v>0</v>
      </c>
      <c r="J645" s="31">
        <f>'تقرير المصروفات حسب الشهر'!I944</f>
        <v>0</v>
      </c>
      <c r="K645" s="31">
        <f>'تقرير المصروفات حسب الشهر'!I1071</f>
        <v>0</v>
      </c>
      <c r="L645" s="292">
        <f>IFERROR(VLOOKUP(B645,'تقرير المصروفات حسب الشهر'!$C$1143:$AD$1254,7,FALSE),0)</f>
        <v>0</v>
      </c>
      <c r="M645" s="292">
        <f>IFERROR(VLOOKUP(B645,'تقرير المصروفات حسب الشهر'!$C$1270:$AD$1381,7,FALSE),0)</f>
        <v>0</v>
      </c>
      <c r="N645" s="31" t="e">
        <f>#REF!</f>
        <v>#REF!</v>
      </c>
      <c r="O645" s="37" t="e">
        <f t="shared" si="15"/>
        <v>#REF!</v>
      </c>
    </row>
    <row r="646" spans="2:15" ht="17.399999999999999">
      <c r="B646" s="42" t="s">
        <v>81</v>
      </c>
      <c r="C646" s="39">
        <f>'تقرير المصروفات حسب الشهر'!I65</f>
        <v>0</v>
      </c>
      <c r="D646" s="31" t="e">
        <f>#REF!</f>
        <v>#REF!</v>
      </c>
      <c r="E646" s="31" t="e">
        <f>#REF!</f>
        <v>#REF!</v>
      </c>
      <c r="F646" s="31" t="e">
        <f>#REF!</f>
        <v>#REF!</v>
      </c>
      <c r="G646" s="31" t="e">
        <f>#REF!</f>
        <v>#REF!</v>
      </c>
      <c r="H646" s="31" t="e">
        <f>#REF!</f>
        <v>#REF!</v>
      </c>
      <c r="I646" s="31">
        <f>'تقرير المصروفات حسب الشهر'!I818</f>
        <v>0</v>
      </c>
      <c r="J646" s="31">
        <f>'تقرير المصروفات حسب الشهر'!I945</f>
        <v>0</v>
      </c>
      <c r="K646" s="31">
        <f>'تقرير المصروفات حسب الشهر'!I1072</f>
        <v>0</v>
      </c>
      <c r="L646" s="292">
        <f>IFERROR(VLOOKUP(B646,'تقرير المصروفات حسب الشهر'!$C$1143:$AD$1254,7,FALSE),0)</f>
        <v>0</v>
      </c>
      <c r="M646" s="292">
        <f>IFERROR(VLOOKUP(B646,'تقرير المصروفات حسب الشهر'!$C$1270:$AD$1381,7,FALSE),0)</f>
        <v>0</v>
      </c>
      <c r="N646" s="31" t="e">
        <f>#REF!</f>
        <v>#REF!</v>
      </c>
      <c r="O646" s="37" t="e">
        <f t="shared" si="15"/>
        <v>#REF!</v>
      </c>
    </row>
    <row r="647" spans="2:15" ht="17.399999999999999">
      <c r="B647" s="42" t="s">
        <v>82</v>
      </c>
      <c r="C647" s="39">
        <f>'تقرير المصروفات حسب الشهر'!I66</f>
        <v>0</v>
      </c>
      <c r="D647" s="31" t="e">
        <f>#REF!</f>
        <v>#REF!</v>
      </c>
      <c r="E647" s="31" t="e">
        <f>#REF!</f>
        <v>#REF!</v>
      </c>
      <c r="F647" s="31" t="e">
        <f>#REF!</f>
        <v>#REF!</v>
      </c>
      <c r="G647" s="31" t="e">
        <f>#REF!</f>
        <v>#REF!</v>
      </c>
      <c r="H647" s="31" t="e">
        <f>#REF!</f>
        <v>#REF!</v>
      </c>
      <c r="I647" s="31">
        <f>'تقرير المصروفات حسب الشهر'!I819</f>
        <v>0</v>
      </c>
      <c r="J647" s="31">
        <f>'تقرير المصروفات حسب الشهر'!I946</f>
        <v>0</v>
      </c>
      <c r="K647" s="31">
        <f>'تقرير المصروفات حسب الشهر'!I1073</f>
        <v>0</v>
      </c>
      <c r="L647" s="292">
        <f>IFERROR(VLOOKUP(B647,'تقرير المصروفات حسب الشهر'!$C$1143:$AD$1254,7,FALSE),0)</f>
        <v>0</v>
      </c>
      <c r="M647" s="292">
        <f>IFERROR(VLOOKUP(B647,'تقرير المصروفات حسب الشهر'!$C$1270:$AD$1381,7,FALSE),0)</f>
        <v>0</v>
      </c>
      <c r="N647" s="31" t="e">
        <f>#REF!</f>
        <v>#REF!</v>
      </c>
      <c r="O647" s="37" t="e">
        <f t="shared" si="15"/>
        <v>#REF!</v>
      </c>
    </row>
    <row r="648" spans="2:15" ht="17.399999999999999">
      <c r="B648" s="42" t="s">
        <v>83</v>
      </c>
      <c r="C648" s="39">
        <f>'تقرير المصروفات حسب الشهر'!I67</f>
        <v>0</v>
      </c>
      <c r="D648" s="31" t="e">
        <f>#REF!</f>
        <v>#REF!</v>
      </c>
      <c r="E648" s="31" t="e">
        <f>#REF!</f>
        <v>#REF!</v>
      </c>
      <c r="F648" s="31" t="e">
        <f>#REF!</f>
        <v>#REF!</v>
      </c>
      <c r="G648" s="31" t="e">
        <f>#REF!</f>
        <v>#REF!</v>
      </c>
      <c r="H648" s="31" t="e">
        <f>#REF!</f>
        <v>#REF!</v>
      </c>
      <c r="I648" s="31">
        <f>'تقرير المصروفات حسب الشهر'!I820</f>
        <v>0</v>
      </c>
      <c r="J648" s="31">
        <f>'تقرير المصروفات حسب الشهر'!I947</f>
        <v>0</v>
      </c>
      <c r="K648" s="31">
        <f>'تقرير المصروفات حسب الشهر'!I1074</f>
        <v>0</v>
      </c>
      <c r="L648" s="292">
        <f>IFERROR(VLOOKUP(B648,'تقرير المصروفات حسب الشهر'!$C$1143:$AD$1254,7,FALSE),0)</f>
        <v>0</v>
      </c>
      <c r="M648" s="292">
        <f>IFERROR(VLOOKUP(B648,'تقرير المصروفات حسب الشهر'!$C$1270:$AD$1381,7,FALSE),0)</f>
        <v>0</v>
      </c>
      <c r="N648" s="31" t="e">
        <f>#REF!</f>
        <v>#REF!</v>
      </c>
      <c r="O648" s="37" t="e">
        <f t="shared" si="15"/>
        <v>#REF!</v>
      </c>
    </row>
    <row r="649" spans="2:15" ht="17.399999999999999">
      <c r="B649" s="42" t="s">
        <v>84</v>
      </c>
      <c r="C649" s="39">
        <f>'تقرير المصروفات حسب الشهر'!I68</f>
        <v>0</v>
      </c>
      <c r="D649" s="31" t="e">
        <f>#REF!</f>
        <v>#REF!</v>
      </c>
      <c r="E649" s="31" t="e">
        <f>#REF!</f>
        <v>#REF!</v>
      </c>
      <c r="F649" s="31" t="e">
        <f>#REF!</f>
        <v>#REF!</v>
      </c>
      <c r="G649" s="31" t="e">
        <f>#REF!</f>
        <v>#REF!</v>
      </c>
      <c r="H649" s="31" t="e">
        <f>#REF!</f>
        <v>#REF!</v>
      </c>
      <c r="I649" s="31">
        <f>'تقرير المصروفات حسب الشهر'!I821</f>
        <v>12000</v>
      </c>
      <c r="J649" s="31">
        <f>'تقرير المصروفات حسب الشهر'!I948</f>
        <v>1185</v>
      </c>
      <c r="K649" s="31">
        <f>'تقرير المصروفات حسب الشهر'!I1075</f>
        <v>18085</v>
      </c>
      <c r="L649" s="292">
        <f>IFERROR(VLOOKUP(B649,'تقرير المصروفات حسب الشهر'!$C$1143:$AD$1254,7,FALSE),0)</f>
        <v>0</v>
      </c>
      <c r="M649" s="292">
        <f>IFERROR(VLOOKUP(B649,'تقرير المصروفات حسب الشهر'!$C$1270:$AD$1381,7,FALSE),0)</f>
        <v>0</v>
      </c>
      <c r="N649" s="31" t="e">
        <f>#REF!</f>
        <v>#REF!</v>
      </c>
      <c r="O649" s="37" t="e">
        <f t="shared" si="15"/>
        <v>#REF!</v>
      </c>
    </row>
    <row r="650" spans="2:15" ht="17.399999999999999">
      <c r="B650" s="42" t="s">
        <v>85</v>
      </c>
      <c r="C650" s="39">
        <f>'تقرير المصروفات حسب الشهر'!I69</f>
        <v>22776</v>
      </c>
      <c r="D650" s="31" t="e">
        <f>#REF!</f>
        <v>#REF!</v>
      </c>
      <c r="E650" s="31" t="e">
        <f>#REF!</f>
        <v>#REF!</v>
      </c>
      <c r="F650" s="31" t="e">
        <f>#REF!</f>
        <v>#REF!</v>
      </c>
      <c r="G650" s="31" t="e">
        <f>#REF!</f>
        <v>#REF!</v>
      </c>
      <c r="H650" s="31" t="e">
        <f>#REF!</f>
        <v>#REF!</v>
      </c>
      <c r="I650" s="31">
        <f>'تقرير المصروفات حسب الشهر'!I822</f>
        <v>0</v>
      </c>
      <c r="J650" s="31">
        <f>'تقرير المصروفات حسب الشهر'!I949</f>
        <v>0</v>
      </c>
      <c r="K650" s="31">
        <f>'تقرير المصروفات حسب الشهر'!I1076</f>
        <v>0</v>
      </c>
      <c r="L650" s="292">
        <f>IFERROR(VLOOKUP(B650,'تقرير المصروفات حسب الشهر'!$C$1143:$AD$1254,7,FALSE),0)</f>
        <v>23085</v>
      </c>
      <c r="M650" s="292">
        <f>IFERROR(VLOOKUP(B650,'تقرير المصروفات حسب الشهر'!$C$1270:$AD$1381,7,FALSE),0)</f>
        <v>26085</v>
      </c>
      <c r="N650" s="31" t="e">
        <f>#REF!</f>
        <v>#REF!</v>
      </c>
      <c r="O650" s="37" t="e">
        <f t="shared" si="15"/>
        <v>#REF!</v>
      </c>
    </row>
    <row r="651" spans="2:15" ht="17.399999999999999">
      <c r="B651" s="42" t="s">
        <v>86</v>
      </c>
      <c r="C651" s="39">
        <f>'تقرير المصروفات حسب الشهر'!I70</f>
        <v>0</v>
      </c>
      <c r="D651" s="31" t="e">
        <f>#REF!</f>
        <v>#REF!</v>
      </c>
      <c r="E651" s="31" t="e">
        <f>#REF!</f>
        <v>#REF!</v>
      </c>
      <c r="F651" s="31" t="e">
        <f>#REF!</f>
        <v>#REF!</v>
      </c>
      <c r="G651" s="31" t="e">
        <f>#REF!</f>
        <v>#REF!</v>
      </c>
      <c r="H651" s="31" t="e">
        <f>#REF!</f>
        <v>#REF!</v>
      </c>
      <c r="I651" s="31">
        <f>'تقرير المصروفات حسب الشهر'!I823</f>
        <v>440</v>
      </c>
      <c r="J651" s="31">
        <f>'تقرير المصروفات حسب الشهر'!I950</f>
        <v>0</v>
      </c>
      <c r="K651" s="31">
        <f>'تقرير المصروفات حسب الشهر'!I1077</f>
        <v>0</v>
      </c>
      <c r="L651" s="292">
        <f>IFERROR(VLOOKUP(B651,'تقرير المصروفات حسب الشهر'!$C$1143:$AD$1254,7,FALSE),0)</f>
        <v>0</v>
      </c>
      <c r="M651" s="292">
        <f>IFERROR(VLOOKUP(B651,'تقرير المصروفات حسب الشهر'!$C$1270:$AD$1381,7,FALSE),0)</f>
        <v>0</v>
      </c>
      <c r="N651" s="31" t="e">
        <f>#REF!</f>
        <v>#REF!</v>
      </c>
      <c r="O651" s="37" t="e">
        <f t="shared" si="15"/>
        <v>#REF!</v>
      </c>
    </row>
    <row r="652" spans="2:15" ht="17.399999999999999">
      <c r="B652" s="42" t="s">
        <v>87</v>
      </c>
      <c r="C652" s="39">
        <f>'تقرير المصروفات حسب الشهر'!I71</f>
        <v>0</v>
      </c>
      <c r="D652" s="31" t="e">
        <f>#REF!</f>
        <v>#REF!</v>
      </c>
      <c r="E652" s="31" t="e">
        <f>#REF!</f>
        <v>#REF!</v>
      </c>
      <c r="F652" s="31" t="e">
        <f>#REF!</f>
        <v>#REF!</v>
      </c>
      <c r="G652" s="31" t="e">
        <f>#REF!</f>
        <v>#REF!</v>
      </c>
      <c r="H652" s="31" t="e">
        <f>#REF!</f>
        <v>#REF!</v>
      </c>
      <c r="I652" s="31">
        <f>'تقرير المصروفات حسب الشهر'!I824</f>
        <v>0</v>
      </c>
      <c r="J652" s="31">
        <f>'تقرير المصروفات حسب الشهر'!I951</f>
        <v>0</v>
      </c>
      <c r="K652" s="31">
        <f>'تقرير المصروفات حسب الشهر'!I1078</f>
        <v>0</v>
      </c>
      <c r="L652" s="292">
        <f>IFERROR(VLOOKUP(B652,'تقرير المصروفات حسب الشهر'!$C$1143:$AD$1254,7,FALSE),0)</f>
        <v>1200</v>
      </c>
      <c r="M652" s="292">
        <f>IFERROR(VLOOKUP(B652,'تقرير المصروفات حسب الشهر'!$C$1270:$AD$1381,7,FALSE),0)</f>
        <v>0</v>
      </c>
      <c r="N652" s="31" t="e">
        <f>#REF!</f>
        <v>#REF!</v>
      </c>
      <c r="O652" s="37" t="e">
        <f t="shared" si="15"/>
        <v>#REF!</v>
      </c>
    </row>
    <row r="653" spans="2:15" ht="17.399999999999999">
      <c r="B653" s="42" t="s">
        <v>88</v>
      </c>
      <c r="C653" s="39">
        <f>'تقرير المصروفات حسب الشهر'!I72</f>
        <v>0</v>
      </c>
      <c r="D653" s="31" t="e">
        <f>#REF!</f>
        <v>#REF!</v>
      </c>
      <c r="E653" s="31" t="e">
        <f>#REF!</f>
        <v>#REF!</v>
      </c>
      <c r="F653" s="31" t="e">
        <f>#REF!</f>
        <v>#REF!</v>
      </c>
      <c r="G653" s="31" t="e">
        <f>#REF!</f>
        <v>#REF!</v>
      </c>
      <c r="H653" s="31" t="e">
        <f>#REF!</f>
        <v>#REF!</v>
      </c>
      <c r="I653" s="31">
        <f>'تقرير المصروفات حسب الشهر'!I825</f>
        <v>0</v>
      </c>
      <c r="J653" s="31">
        <f>'تقرير المصروفات حسب الشهر'!I952</f>
        <v>0</v>
      </c>
      <c r="K653" s="31">
        <f>'تقرير المصروفات حسب الشهر'!I1079</f>
        <v>0</v>
      </c>
      <c r="L653" s="292">
        <f>IFERROR(VLOOKUP(B653,'تقرير المصروفات حسب الشهر'!$C$1143:$AD$1254,7,FALSE),0)</f>
        <v>0</v>
      </c>
      <c r="M653" s="292">
        <f>IFERROR(VLOOKUP(B653,'تقرير المصروفات حسب الشهر'!$C$1270:$AD$1381,7,FALSE),0)</f>
        <v>0</v>
      </c>
      <c r="N653" s="31" t="e">
        <f>#REF!</f>
        <v>#REF!</v>
      </c>
      <c r="O653" s="37" t="e">
        <f t="shared" si="15"/>
        <v>#REF!</v>
      </c>
    </row>
    <row r="654" spans="2:15" ht="17.399999999999999">
      <c r="B654" s="42" t="s">
        <v>89</v>
      </c>
      <c r="C654" s="39">
        <f>'تقرير المصروفات حسب الشهر'!I73</f>
        <v>0</v>
      </c>
      <c r="D654" s="31" t="e">
        <f>#REF!</f>
        <v>#REF!</v>
      </c>
      <c r="E654" s="31" t="e">
        <f>#REF!</f>
        <v>#REF!</v>
      </c>
      <c r="F654" s="31" t="e">
        <f>#REF!</f>
        <v>#REF!</v>
      </c>
      <c r="G654" s="31" t="e">
        <f>#REF!</f>
        <v>#REF!</v>
      </c>
      <c r="H654" s="31" t="e">
        <f>#REF!</f>
        <v>#REF!</v>
      </c>
      <c r="I654" s="31">
        <f>'تقرير المصروفات حسب الشهر'!I826</f>
        <v>979</v>
      </c>
      <c r="J654" s="31">
        <f>'تقرير المصروفات حسب الشهر'!I953</f>
        <v>0</v>
      </c>
      <c r="K654" s="31">
        <f>'تقرير المصروفات حسب الشهر'!I1080</f>
        <v>1921</v>
      </c>
      <c r="L654" s="292">
        <f>IFERROR(VLOOKUP(B654,'تقرير المصروفات حسب الشهر'!$C$1143:$AD$1254,7,FALSE),0)</f>
        <v>0</v>
      </c>
      <c r="M654" s="292">
        <f>IFERROR(VLOOKUP(B654,'تقرير المصروفات حسب الشهر'!$C$1270:$AD$1381,7,FALSE),0)</f>
        <v>0</v>
      </c>
      <c r="N654" s="31" t="e">
        <f>#REF!</f>
        <v>#REF!</v>
      </c>
      <c r="O654" s="37" t="e">
        <f t="shared" si="15"/>
        <v>#REF!</v>
      </c>
    </row>
    <row r="655" spans="2:15" ht="17.399999999999999">
      <c r="B655" s="42" t="s">
        <v>33</v>
      </c>
      <c r="C655" s="39">
        <f>'تقرير المصروفات حسب الشهر'!I74</f>
        <v>1735</v>
      </c>
      <c r="D655" s="31" t="e">
        <f>#REF!</f>
        <v>#REF!</v>
      </c>
      <c r="E655" s="31" t="e">
        <f>#REF!</f>
        <v>#REF!</v>
      </c>
      <c r="F655" s="31" t="e">
        <f>#REF!</f>
        <v>#REF!</v>
      </c>
      <c r="G655" s="31" t="e">
        <f>#REF!</f>
        <v>#REF!</v>
      </c>
      <c r="H655" s="31" t="e">
        <f>#REF!</f>
        <v>#REF!</v>
      </c>
      <c r="I655" s="31">
        <f>'تقرير المصروفات حسب الشهر'!I827</f>
        <v>0</v>
      </c>
      <c r="J655" s="31">
        <f>'تقرير المصروفات حسب الشهر'!I954</f>
        <v>0</v>
      </c>
      <c r="K655" s="31">
        <f>'تقرير المصروفات حسب الشهر'!I1081</f>
        <v>0</v>
      </c>
      <c r="L655" s="292">
        <f>IFERROR(VLOOKUP(B655,'تقرير المصروفات حسب الشهر'!$C$1143:$AD$1254,7,FALSE),0)</f>
        <v>1000</v>
      </c>
      <c r="M655" s="292">
        <f>IFERROR(VLOOKUP(B655,'تقرير المصروفات حسب الشهر'!$C$1270:$AD$1381,7,FALSE),0)</f>
        <v>1105.82</v>
      </c>
      <c r="N655" s="31" t="e">
        <f>#REF!</f>
        <v>#REF!</v>
      </c>
      <c r="O655" s="37" t="e">
        <f t="shared" si="15"/>
        <v>#REF!</v>
      </c>
    </row>
    <row r="656" spans="2:15" ht="17.399999999999999">
      <c r="B656" s="42" t="s">
        <v>90</v>
      </c>
      <c r="C656" s="39">
        <f>'تقرير المصروفات حسب الشهر'!I75</f>
        <v>0</v>
      </c>
      <c r="D656" s="31" t="e">
        <f>#REF!</f>
        <v>#REF!</v>
      </c>
      <c r="E656" s="31" t="e">
        <f>#REF!</f>
        <v>#REF!</v>
      </c>
      <c r="F656" s="31" t="e">
        <f>#REF!</f>
        <v>#REF!</v>
      </c>
      <c r="G656" s="31" t="e">
        <f>#REF!</f>
        <v>#REF!</v>
      </c>
      <c r="H656" s="31" t="e">
        <f>#REF!</f>
        <v>#REF!</v>
      </c>
      <c r="I656" s="31">
        <f>'تقرير المصروفات حسب الشهر'!I828</f>
        <v>0</v>
      </c>
      <c r="J656" s="31">
        <f>'تقرير المصروفات حسب الشهر'!I955</f>
        <v>0</v>
      </c>
      <c r="K656" s="31">
        <f>'تقرير المصروفات حسب الشهر'!I1082</f>
        <v>0</v>
      </c>
      <c r="L656" s="292">
        <f>IFERROR(VLOOKUP(B656,'تقرير المصروفات حسب الشهر'!$C$1143:$AD$1254,7,FALSE),0)</f>
        <v>0</v>
      </c>
      <c r="M656" s="292">
        <f>IFERROR(VLOOKUP(B656,'تقرير المصروفات حسب الشهر'!$C$1270:$AD$1381,7,FALSE),0)</f>
        <v>0</v>
      </c>
      <c r="N656" s="31" t="e">
        <f>#REF!</f>
        <v>#REF!</v>
      </c>
      <c r="O656" s="37" t="e">
        <f t="shared" ref="O656:O699" si="16">SUM(C656:N656)</f>
        <v>#REF!</v>
      </c>
    </row>
    <row r="657" spans="2:15" ht="17.399999999999999">
      <c r="B657" s="42" t="s">
        <v>91</v>
      </c>
      <c r="C657" s="39">
        <f>'تقرير المصروفات حسب الشهر'!I76</f>
        <v>0</v>
      </c>
      <c r="D657" s="31" t="e">
        <f>#REF!</f>
        <v>#REF!</v>
      </c>
      <c r="E657" s="31" t="e">
        <f>#REF!</f>
        <v>#REF!</v>
      </c>
      <c r="F657" s="31" t="e">
        <f>#REF!</f>
        <v>#REF!</v>
      </c>
      <c r="G657" s="31" t="e">
        <f>#REF!</f>
        <v>#REF!</v>
      </c>
      <c r="H657" s="31" t="e">
        <f>#REF!</f>
        <v>#REF!</v>
      </c>
      <c r="I657" s="31">
        <f>'تقرير المصروفات حسب الشهر'!I829</f>
        <v>0</v>
      </c>
      <c r="J657" s="31">
        <f>'تقرير المصروفات حسب الشهر'!I956</f>
        <v>0</v>
      </c>
      <c r="K657" s="31">
        <f>'تقرير المصروفات حسب الشهر'!I1083</f>
        <v>0</v>
      </c>
      <c r="L657" s="292">
        <f>IFERROR(VLOOKUP(B657,'تقرير المصروفات حسب الشهر'!$C$1143:$AD$1254,7,FALSE),0)</f>
        <v>0</v>
      </c>
      <c r="M657" s="292">
        <f>IFERROR(VLOOKUP(B657,'تقرير المصروفات حسب الشهر'!$C$1270:$AD$1381,7,FALSE),0)</f>
        <v>0</v>
      </c>
      <c r="N657" s="31" t="e">
        <f>#REF!</f>
        <v>#REF!</v>
      </c>
      <c r="O657" s="37" t="e">
        <f t="shared" si="16"/>
        <v>#REF!</v>
      </c>
    </row>
    <row r="658" spans="2:15" ht="17.399999999999999">
      <c r="B658" s="42" t="s">
        <v>92</v>
      </c>
      <c r="C658" s="39">
        <f>'تقرير المصروفات حسب الشهر'!I77</f>
        <v>0</v>
      </c>
      <c r="D658" s="31" t="e">
        <f>#REF!</f>
        <v>#REF!</v>
      </c>
      <c r="E658" s="31" t="e">
        <f>#REF!</f>
        <v>#REF!</v>
      </c>
      <c r="F658" s="31" t="e">
        <f>#REF!</f>
        <v>#REF!</v>
      </c>
      <c r="G658" s="31" t="e">
        <f>#REF!</f>
        <v>#REF!</v>
      </c>
      <c r="H658" s="31" t="e">
        <f>#REF!</f>
        <v>#REF!</v>
      </c>
      <c r="I658" s="31">
        <f>'تقرير المصروفات حسب الشهر'!I830</f>
        <v>0</v>
      </c>
      <c r="J658" s="31">
        <f>'تقرير المصروفات حسب الشهر'!I957</f>
        <v>0</v>
      </c>
      <c r="K658" s="31">
        <f>'تقرير المصروفات حسب الشهر'!I1084</f>
        <v>0</v>
      </c>
      <c r="L658" s="292">
        <f>IFERROR(VLOOKUP(B658,'تقرير المصروفات حسب الشهر'!$C$1143:$AD$1254,7,FALSE),0)</f>
        <v>0</v>
      </c>
      <c r="M658" s="292">
        <f>IFERROR(VLOOKUP(B658,'تقرير المصروفات حسب الشهر'!$C$1270:$AD$1381,7,FALSE),0)</f>
        <v>0</v>
      </c>
      <c r="N658" s="31" t="e">
        <f>#REF!</f>
        <v>#REF!</v>
      </c>
      <c r="O658" s="37" t="e">
        <f t="shared" si="16"/>
        <v>#REF!</v>
      </c>
    </row>
    <row r="659" spans="2:15" ht="17.399999999999999">
      <c r="B659" s="42" t="s">
        <v>93</v>
      </c>
      <c r="C659" s="39">
        <f>'تقرير المصروفات حسب الشهر'!I78</f>
        <v>0</v>
      </c>
      <c r="D659" s="31" t="e">
        <f>#REF!</f>
        <v>#REF!</v>
      </c>
      <c r="E659" s="31" t="e">
        <f>#REF!</f>
        <v>#REF!</v>
      </c>
      <c r="F659" s="31" t="e">
        <f>#REF!</f>
        <v>#REF!</v>
      </c>
      <c r="G659" s="31" t="e">
        <f>#REF!</f>
        <v>#REF!</v>
      </c>
      <c r="H659" s="31" t="e">
        <f>#REF!</f>
        <v>#REF!</v>
      </c>
      <c r="I659" s="31">
        <f>'تقرير المصروفات حسب الشهر'!I831</f>
        <v>450</v>
      </c>
      <c r="J659" s="31">
        <f>'تقرير المصروفات حسب الشهر'!I958</f>
        <v>450</v>
      </c>
      <c r="K659" s="31">
        <f>'تقرير المصروفات حسب الشهر'!I1085</f>
        <v>1050</v>
      </c>
      <c r="L659" s="292">
        <f>IFERROR(VLOOKUP(B659,'تقرير المصروفات حسب الشهر'!$C$1143:$AD$1254,7,FALSE),0)</f>
        <v>0</v>
      </c>
      <c r="M659" s="292">
        <f>IFERROR(VLOOKUP(B659,'تقرير المصروفات حسب الشهر'!$C$1270:$AD$1381,7,FALSE),0)</f>
        <v>0</v>
      </c>
      <c r="N659" s="31" t="e">
        <f>#REF!</f>
        <v>#REF!</v>
      </c>
      <c r="O659" s="37" t="e">
        <f t="shared" si="16"/>
        <v>#REF!</v>
      </c>
    </row>
    <row r="660" spans="2:15" ht="17.399999999999999">
      <c r="B660" s="42" t="s">
        <v>94</v>
      </c>
      <c r="C660" s="39">
        <f>'تقرير المصروفات حسب الشهر'!I79</f>
        <v>350</v>
      </c>
      <c r="D660" s="31" t="e">
        <f>#REF!</f>
        <v>#REF!</v>
      </c>
      <c r="E660" s="31" t="e">
        <f>#REF!</f>
        <v>#REF!</v>
      </c>
      <c r="F660" s="31" t="e">
        <f>#REF!</f>
        <v>#REF!</v>
      </c>
      <c r="G660" s="31" t="e">
        <f>#REF!</f>
        <v>#REF!</v>
      </c>
      <c r="H660" s="31" t="e">
        <f>#REF!</f>
        <v>#REF!</v>
      </c>
      <c r="I660" s="31">
        <f>'تقرير المصروفات حسب الشهر'!I832</f>
        <v>0</v>
      </c>
      <c r="J660" s="31">
        <f>'تقرير المصروفات حسب الشهر'!I959</f>
        <v>0</v>
      </c>
      <c r="K660" s="31">
        <f>'تقرير المصروفات حسب الشهر'!I1086</f>
        <v>0</v>
      </c>
      <c r="L660" s="292">
        <f>IFERROR(VLOOKUP(B660,'تقرير المصروفات حسب الشهر'!$C$1143:$AD$1254,7,FALSE),0)</f>
        <v>750</v>
      </c>
      <c r="M660" s="292">
        <f>IFERROR(VLOOKUP(B660,'تقرير المصروفات حسب الشهر'!$C$1270:$AD$1381,7,FALSE),0)</f>
        <v>900</v>
      </c>
      <c r="N660" s="31" t="e">
        <f>#REF!</f>
        <v>#REF!</v>
      </c>
      <c r="O660" s="37" t="e">
        <f t="shared" si="16"/>
        <v>#REF!</v>
      </c>
    </row>
    <row r="661" spans="2:15" ht="17.399999999999999">
      <c r="B661" s="42" t="s">
        <v>95</v>
      </c>
      <c r="C661" s="39">
        <f>'تقرير المصروفات حسب الشهر'!I80</f>
        <v>0</v>
      </c>
      <c r="D661" s="31" t="e">
        <f>#REF!</f>
        <v>#REF!</v>
      </c>
      <c r="E661" s="31" t="e">
        <f>#REF!</f>
        <v>#REF!</v>
      </c>
      <c r="F661" s="31" t="e">
        <f>#REF!</f>
        <v>#REF!</v>
      </c>
      <c r="G661" s="31" t="e">
        <f>#REF!</f>
        <v>#REF!</v>
      </c>
      <c r="H661" s="31" t="e">
        <f>#REF!</f>
        <v>#REF!</v>
      </c>
      <c r="I661" s="31">
        <f>'تقرير المصروفات حسب الشهر'!I833</f>
        <v>668</v>
      </c>
      <c r="J661" s="31">
        <f>'تقرير المصروفات حسب الشهر'!I960</f>
        <v>0</v>
      </c>
      <c r="K661" s="31">
        <f>'تقرير المصروفات حسب الشهر'!I1087</f>
        <v>0</v>
      </c>
      <c r="L661" s="292">
        <f>IFERROR(VLOOKUP(B661,'تقرير المصروفات حسب الشهر'!$C$1143:$AD$1254,7,FALSE),0)</f>
        <v>0</v>
      </c>
      <c r="M661" s="292">
        <f>IFERROR(VLOOKUP(B661,'تقرير المصروفات حسب الشهر'!$C$1270:$AD$1381,7,FALSE),0)</f>
        <v>0</v>
      </c>
      <c r="N661" s="31" t="e">
        <f>#REF!</f>
        <v>#REF!</v>
      </c>
      <c r="O661" s="37" t="e">
        <f t="shared" si="16"/>
        <v>#REF!</v>
      </c>
    </row>
    <row r="662" spans="2:15" ht="17.399999999999999">
      <c r="B662" s="42" t="s">
        <v>96</v>
      </c>
      <c r="C662" s="39">
        <f>'تقرير المصروفات حسب الشهر'!I81</f>
        <v>0</v>
      </c>
      <c r="D662" s="31" t="e">
        <f>#REF!</f>
        <v>#REF!</v>
      </c>
      <c r="E662" s="31" t="e">
        <f>#REF!</f>
        <v>#REF!</v>
      </c>
      <c r="F662" s="31" t="e">
        <f>#REF!</f>
        <v>#REF!</v>
      </c>
      <c r="G662" s="31" t="e">
        <f>#REF!</f>
        <v>#REF!</v>
      </c>
      <c r="H662" s="31" t="e">
        <f>#REF!</f>
        <v>#REF!</v>
      </c>
      <c r="I662" s="31">
        <f>'تقرير المصروفات حسب الشهر'!I834</f>
        <v>401.17</v>
      </c>
      <c r="J662" s="31">
        <f>'تقرير المصروفات حسب الشهر'!I961</f>
        <v>760.96</v>
      </c>
      <c r="K662" s="31">
        <f>'تقرير المصروفات حسب الشهر'!I1088</f>
        <v>400.96</v>
      </c>
      <c r="L662" s="292">
        <f>IFERROR(VLOOKUP(B662,'تقرير المصروفات حسب الشهر'!$C$1143:$AD$1254,7,FALSE),0)</f>
        <v>0</v>
      </c>
      <c r="M662" s="292">
        <f>IFERROR(VLOOKUP(B662,'تقرير المصروفات حسب الشهر'!$C$1270:$AD$1381,7,FALSE),0)</f>
        <v>0</v>
      </c>
      <c r="N662" s="31" t="e">
        <f>#REF!</f>
        <v>#REF!</v>
      </c>
      <c r="O662" s="37" t="e">
        <f t="shared" si="16"/>
        <v>#REF!</v>
      </c>
    </row>
    <row r="663" spans="2:15" ht="17.399999999999999">
      <c r="B663" s="42" t="s">
        <v>97</v>
      </c>
      <c r="C663" s="39">
        <f>'تقرير المصروفات حسب الشهر'!I82</f>
        <v>296.31</v>
      </c>
      <c r="D663" s="31" t="e">
        <f>#REF!</f>
        <v>#REF!</v>
      </c>
      <c r="E663" s="31" t="e">
        <f>#REF!</f>
        <v>#REF!</v>
      </c>
      <c r="F663" s="31" t="e">
        <f>#REF!</f>
        <v>#REF!</v>
      </c>
      <c r="G663" s="31" t="e">
        <f>#REF!</f>
        <v>#REF!</v>
      </c>
      <c r="H663" s="31" t="e">
        <f>#REF!</f>
        <v>#REF!</v>
      </c>
      <c r="I663" s="31">
        <f>'تقرير المصروفات حسب الشهر'!I835</f>
        <v>0</v>
      </c>
      <c r="J663" s="31">
        <f>'تقرير المصروفات حسب الشهر'!I962</f>
        <v>0</v>
      </c>
      <c r="K663" s="31">
        <f>'تقرير المصروفات حسب الشهر'!I1089</f>
        <v>2130</v>
      </c>
      <c r="L663" s="292">
        <f>IFERROR(VLOOKUP(B663,'تقرير المصروفات حسب الشهر'!$C$1143:$AD$1254,7,FALSE),0)</f>
        <v>400.96</v>
      </c>
      <c r="M663" s="292">
        <f>IFERROR(VLOOKUP(B663,'تقرير المصروفات حسب الشهر'!$C$1270:$AD$1381,7,FALSE),0)</f>
        <v>709.96</v>
      </c>
      <c r="N663" s="31" t="e">
        <f>#REF!</f>
        <v>#REF!</v>
      </c>
      <c r="O663" s="37" t="e">
        <f t="shared" si="16"/>
        <v>#REF!</v>
      </c>
    </row>
    <row r="664" spans="2:15" ht="17.399999999999999">
      <c r="B664" s="42" t="s">
        <v>192</v>
      </c>
      <c r="C664" s="39">
        <f>'تقرير المصروفات حسب الشهر'!I83</f>
        <v>0</v>
      </c>
      <c r="D664" s="31" t="e">
        <f>#REF!</f>
        <v>#REF!</v>
      </c>
      <c r="E664" s="31" t="e">
        <f>#REF!</f>
        <v>#REF!</v>
      </c>
      <c r="F664" s="31" t="e">
        <f>#REF!</f>
        <v>#REF!</v>
      </c>
      <c r="G664" s="31" t="e">
        <f>#REF!</f>
        <v>#REF!</v>
      </c>
      <c r="H664" s="31" t="e">
        <f>#REF!</f>
        <v>#REF!</v>
      </c>
      <c r="I664" s="31">
        <f>'تقرير المصروفات حسب الشهر'!I836</f>
        <v>0</v>
      </c>
      <c r="J664" s="31">
        <f>'تقرير المصروفات حسب الشهر'!I963</f>
        <v>0</v>
      </c>
      <c r="K664" s="31">
        <f>'تقرير المصروفات حسب الشهر'!I1090</f>
        <v>0</v>
      </c>
      <c r="L664" s="292">
        <f>IFERROR(VLOOKUP(B664,'تقرير المصروفات حسب الشهر'!$C$1143:$AD$1254,7,FALSE),0)</f>
        <v>1065</v>
      </c>
      <c r="M664" s="292">
        <f>IFERROR(VLOOKUP(B664,'تقرير المصروفات حسب الشهر'!$C$1270:$AD$1381,7,FALSE),0)</f>
        <v>1065</v>
      </c>
      <c r="N664" s="31" t="e">
        <f>#REF!</f>
        <v>#REF!</v>
      </c>
      <c r="O664" s="37" t="e">
        <f t="shared" si="16"/>
        <v>#REF!</v>
      </c>
    </row>
    <row r="665" spans="2:15" ht="17.399999999999999">
      <c r="B665" s="42" t="s">
        <v>98</v>
      </c>
      <c r="C665" s="39">
        <f>'تقرير المصروفات حسب الشهر'!I84</f>
        <v>0</v>
      </c>
      <c r="D665" s="31" t="e">
        <f>#REF!</f>
        <v>#REF!</v>
      </c>
      <c r="E665" s="31" t="e">
        <f>#REF!</f>
        <v>#REF!</v>
      </c>
      <c r="F665" s="31" t="e">
        <f>#REF!</f>
        <v>#REF!</v>
      </c>
      <c r="G665" s="31" t="e">
        <f>#REF!</f>
        <v>#REF!</v>
      </c>
      <c r="H665" s="31" t="e">
        <f>#REF!</f>
        <v>#REF!</v>
      </c>
      <c r="I665" s="31">
        <f>'تقرير المصروفات حسب الشهر'!I837</f>
        <v>0</v>
      </c>
      <c r="J665" s="31">
        <f>'تقرير المصروفات حسب الشهر'!I964</f>
        <v>0</v>
      </c>
      <c r="K665" s="31">
        <f>'تقرير المصروفات حسب الشهر'!I1091</f>
        <v>0</v>
      </c>
      <c r="L665" s="292">
        <f>IFERROR(VLOOKUP(B665,'تقرير المصروفات حسب الشهر'!$C$1143:$AD$1254,7,FALSE),0)</f>
        <v>0</v>
      </c>
      <c r="M665" s="292">
        <f>IFERROR(VLOOKUP(B665,'تقرير المصروفات حسب الشهر'!$C$1270:$AD$1381,7,FALSE),0)</f>
        <v>0</v>
      </c>
      <c r="N665" s="31" t="e">
        <f>#REF!</f>
        <v>#REF!</v>
      </c>
      <c r="O665" s="37" t="e">
        <f t="shared" si="16"/>
        <v>#REF!</v>
      </c>
    </row>
    <row r="666" spans="2:15" ht="17.399999999999999">
      <c r="B666" s="42" t="s">
        <v>99</v>
      </c>
      <c r="C666" s="39">
        <f>'تقرير المصروفات حسب الشهر'!I85</f>
        <v>0</v>
      </c>
      <c r="D666" s="31" t="e">
        <f>#REF!</f>
        <v>#REF!</v>
      </c>
      <c r="E666" s="31" t="e">
        <f>#REF!</f>
        <v>#REF!</v>
      </c>
      <c r="F666" s="31" t="e">
        <f>#REF!</f>
        <v>#REF!</v>
      </c>
      <c r="G666" s="31" t="e">
        <f>#REF!</f>
        <v>#REF!</v>
      </c>
      <c r="H666" s="31" t="e">
        <f>#REF!</f>
        <v>#REF!</v>
      </c>
      <c r="I666" s="31">
        <f>'تقرير المصروفات حسب الشهر'!I838</f>
        <v>0</v>
      </c>
      <c r="J666" s="31">
        <f>'تقرير المصروفات حسب الشهر'!I965</f>
        <v>0</v>
      </c>
      <c r="K666" s="31">
        <f>'تقرير المصروفات حسب الشهر'!I1092</f>
        <v>0</v>
      </c>
      <c r="L666" s="292">
        <f>IFERROR(VLOOKUP(B666,'تقرير المصروفات حسب الشهر'!$C$1143:$AD$1254,7,FALSE),0)</f>
        <v>0</v>
      </c>
      <c r="M666" s="292">
        <f>IFERROR(VLOOKUP(B666,'تقرير المصروفات حسب الشهر'!$C$1270:$AD$1381,7,FALSE),0)</f>
        <v>0</v>
      </c>
      <c r="N666" s="31" t="e">
        <f>#REF!</f>
        <v>#REF!</v>
      </c>
      <c r="O666" s="37" t="e">
        <f t="shared" si="16"/>
        <v>#REF!</v>
      </c>
    </row>
    <row r="667" spans="2:15" ht="17.399999999999999">
      <c r="B667" s="42" t="s">
        <v>100</v>
      </c>
      <c r="C667" s="39">
        <f>'تقرير المصروفات حسب الشهر'!I86</f>
        <v>13.58</v>
      </c>
      <c r="D667" s="31" t="e">
        <f>#REF!</f>
        <v>#REF!</v>
      </c>
      <c r="E667" s="31" t="e">
        <f>#REF!</f>
        <v>#REF!</v>
      </c>
      <c r="F667" s="31" t="e">
        <f>#REF!</f>
        <v>#REF!</v>
      </c>
      <c r="G667" s="31" t="e">
        <f>#REF!</f>
        <v>#REF!</v>
      </c>
      <c r="H667" s="31" t="e">
        <f>#REF!</f>
        <v>#REF!</v>
      </c>
      <c r="I667" s="31">
        <f>'تقرير المصروفات حسب الشهر'!I839</f>
        <v>0</v>
      </c>
      <c r="J667" s="31">
        <f>'تقرير المصروفات حسب الشهر'!I966</f>
        <v>0</v>
      </c>
      <c r="K667" s="31">
        <f>'تقرير المصروفات حسب الشهر'!I1093</f>
        <v>0</v>
      </c>
      <c r="L667" s="292">
        <f>IFERROR(VLOOKUP(B667,'تقرير المصروفات حسب الشهر'!$C$1143:$AD$1254,7,FALSE),0)</f>
        <v>0</v>
      </c>
      <c r="M667" s="292">
        <f>IFERROR(VLOOKUP(B667,'تقرير المصروفات حسب الشهر'!$C$1270:$AD$1381,7,FALSE),0)</f>
        <v>0</v>
      </c>
      <c r="N667" s="31" t="e">
        <f>#REF!</f>
        <v>#REF!</v>
      </c>
      <c r="O667" s="37" t="e">
        <f t="shared" si="16"/>
        <v>#REF!</v>
      </c>
    </row>
    <row r="668" spans="2:15" ht="17.399999999999999">
      <c r="B668" s="42" t="s">
        <v>101</v>
      </c>
      <c r="C668" s="39">
        <f>'تقرير المصروفات حسب الشهر'!I87</f>
        <v>0</v>
      </c>
      <c r="D668" s="31" t="e">
        <f>#REF!</f>
        <v>#REF!</v>
      </c>
      <c r="E668" s="31" t="e">
        <f>#REF!</f>
        <v>#REF!</v>
      </c>
      <c r="F668" s="31" t="e">
        <f>#REF!</f>
        <v>#REF!</v>
      </c>
      <c r="G668" s="31" t="e">
        <f>#REF!</f>
        <v>#REF!</v>
      </c>
      <c r="H668" s="31" t="e">
        <f>#REF!</f>
        <v>#REF!</v>
      </c>
      <c r="I668" s="31">
        <f>'تقرير المصروفات حسب الشهر'!I840</f>
        <v>667.77</v>
      </c>
      <c r="J668" s="31">
        <f>'تقرير المصروفات حسب الشهر'!I967</f>
        <v>667.77</v>
      </c>
      <c r="K668" s="31">
        <f>'تقرير المصروفات حسب الشهر'!I1094</f>
        <v>667.77</v>
      </c>
      <c r="L668" s="292">
        <f>IFERROR(VLOOKUP(B668,'تقرير المصروفات حسب الشهر'!$C$1143:$AD$1254,7,FALSE),0)</f>
        <v>0</v>
      </c>
      <c r="M668" s="292">
        <f>IFERROR(VLOOKUP(B668,'تقرير المصروفات حسب الشهر'!$C$1270:$AD$1381,7,FALSE),0)</f>
        <v>0</v>
      </c>
      <c r="N668" s="31" t="e">
        <f>#REF!</f>
        <v>#REF!</v>
      </c>
      <c r="O668" s="37" t="e">
        <f t="shared" si="16"/>
        <v>#REF!</v>
      </c>
    </row>
    <row r="669" spans="2:15" ht="17.399999999999999">
      <c r="B669" s="42" t="s">
        <v>102</v>
      </c>
      <c r="C669" s="39">
        <f>'تقرير المصروفات حسب الشهر'!I88</f>
        <v>790.43</v>
      </c>
      <c r="D669" s="31" t="e">
        <f>#REF!</f>
        <v>#REF!</v>
      </c>
      <c r="E669" s="31" t="e">
        <f>#REF!</f>
        <v>#REF!</v>
      </c>
      <c r="F669" s="31" t="e">
        <f>#REF!</f>
        <v>#REF!</v>
      </c>
      <c r="G669" s="31" t="e">
        <f>#REF!</f>
        <v>#REF!</v>
      </c>
      <c r="H669" s="31" t="e">
        <f>#REF!</f>
        <v>#REF!</v>
      </c>
      <c r="I669" s="31">
        <f>'تقرير المصروفات حسب الشهر'!I841</f>
        <v>53.44</v>
      </c>
      <c r="J669" s="31">
        <f>'تقرير المصروفات حسب الشهر'!I968</f>
        <v>38.17</v>
      </c>
      <c r="K669" s="31">
        <f>'تقرير المصروفات حسب الشهر'!I1095</f>
        <v>0</v>
      </c>
      <c r="L669" s="292">
        <f>IFERROR(VLOOKUP(B669,'تقرير المصروفات حسب الشهر'!$C$1143:$AD$1254,7,FALSE),0)</f>
        <v>665.7</v>
      </c>
      <c r="M669" s="292">
        <f>IFERROR(VLOOKUP(B669,'تقرير المصروفات حسب الشهر'!$C$1270:$AD$1381,7,FALSE),0)</f>
        <v>634.4</v>
      </c>
      <c r="N669" s="31" t="e">
        <f>#REF!</f>
        <v>#REF!</v>
      </c>
      <c r="O669" s="37" t="e">
        <f t="shared" si="16"/>
        <v>#REF!</v>
      </c>
    </row>
    <row r="670" spans="2:15" ht="17.399999999999999">
      <c r="B670" s="42" t="s">
        <v>103</v>
      </c>
      <c r="C670" s="39">
        <f>'تقرير المصروفات حسب الشهر'!I89</f>
        <v>53.44</v>
      </c>
      <c r="D670" s="31" t="e">
        <f>#REF!</f>
        <v>#REF!</v>
      </c>
      <c r="E670" s="31" t="e">
        <f>#REF!</f>
        <v>#REF!</v>
      </c>
      <c r="F670" s="31" t="e">
        <f>#REF!</f>
        <v>#REF!</v>
      </c>
      <c r="G670" s="31" t="e">
        <f>#REF!</f>
        <v>#REF!</v>
      </c>
      <c r="H670" s="31" t="e">
        <f>#REF!</f>
        <v>#REF!</v>
      </c>
      <c r="I670" s="31">
        <f>'تقرير المصروفات حسب الشهر'!I842</f>
        <v>107.34</v>
      </c>
      <c r="J670" s="31">
        <f>'تقرير المصروفات حسب الشهر'!I969</f>
        <v>107.34</v>
      </c>
      <c r="K670" s="31">
        <f>'تقرير المصروفات حسب الشهر'!I1096</f>
        <v>107.34</v>
      </c>
      <c r="L670" s="292">
        <f>IFERROR(VLOOKUP(B670,'تقرير المصروفات حسب الشهر'!$C$1143:$AD$1254,7,FALSE),0)</f>
        <v>0</v>
      </c>
      <c r="M670" s="292">
        <f>IFERROR(VLOOKUP(B670,'تقرير المصروفات حسب الشهر'!$C$1270:$AD$1381,7,FALSE),0)</f>
        <v>0</v>
      </c>
      <c r="N670" s="31" t="e">
        <f>#REF!</f>
        <v>#REF!</v>
      </c>
      <c r="O670" s="37" t="e">
        <f t="shared" si="16"/>
        <v>#REF!</v>
      </c>
    </row>
    <row r="671" spans="2:15" ht="17.399999999999999">
      <c r="B671" s="42" t="s">
        <v>104</v>
      </c>
      <c r="C671" s="39">
        <f>'تقرير المصروفات حسب الشهر'!I90</f>
        <v>107.34</v>
      </c>
      <c r="D671" s="31" t="e">
        <f>#REF!</f>
        <v>#REF!</v>
      </c>
      <c r="E671" s="31" t="e">
        <f>#REF!</f>
        <v>#REF!</v>
      </c>
      <c r="F671" s="31" t="e">
        <f>#REF!</f>
        <v>#REF!</v>
      </c>
      <c r="G671" s="31" t="e">
        <f>#REF!</f>
        <v>#REF!</v>
      </c>
      <c r="H671" s="31" t="e">
        <f>#REF!</f>
        <v>#REF!</v>
      </c>
      <c r="I671" s="31">
        <f>'تقرير المصروفات حسب الشهر'!I843</f>
        <v>87.25</v>
      </c>
      <c r="J671" s="31">
        <f>'تقرير المصروفات حسب الشهر'!I970</f>
        <v>87.25</v>
      </c>
      <c r="K671" s="31">
        <f>'تقرير المصروفات حسب الشهر'!I1097</f>
        <v>87.25</v>
      </c>
      <c r="L671" s="292">
        <f>IFERROR(VLOOKUP(B671,'تقرير المصروفات حسب الشهر'!$C$1143:$AD$1254,7,FALSE),0)</f>
        <v>107.34</v>
      </c>
      <c r="M671" s="292">
        <f>IFERROR(VLOOKUP(B671,'تقرير المصروفات حسب الشهر'!$C$1270:$AD$1381,7,FALSE),0)</f>
        <v>107.34</v>
      </c>
      <c r="N671" s="31" t="e">
        <f>#REF!</f>
        <v>#REF!</v>
      </c>
      <c r="O671" s="37" t="e">
        <f t="shared" si="16"/>
        <v>#REF!</v>
      </c>
    </row>
    <row r="672" spans="2:15" ht="17.399999999999999">
      <c r="B672" s="42" t="s">
        <v>105</v>
      </c>
      <c r="C672" s="39">
        <f>'تقرير المصروفات حسب الشهر'!I91</f>
        <v>87.25</v>
      </c>
      <c r="D672" s="31" t="e">
        <f>#REF!</f>
        <v>#REF!</v>
      </c>
      <c r="E672" s="31" t="e">
        <f>#REF!</f>
        <v>#REF!</v>
      </c>
      <c r="F672" s="31" t="e">
        <f>#REF!</f>
        <v>#REF!</v>
      </c>
      <c r="G672" s="31" t="e">
        <f>#REF!</f>
        <v>#REF!</v>
      </c>
      <c r="H672" s="31" t="e">
        <f>#REF!</f>
        <v>#REF!</v>
      </c>
      <c r="I672" s="31">
        <f>'تقرير المصروفات حسب الشهر'!I844</f>
        <v>0</v>
      </c>
      <c r="J672" s="31">
        <f>'تقرير المصروفات حسب الشهر'!I971</f>
        <v>0</v>
      </c>
      <c r="K672" s="31">
        <f>'تقرير المصروفات حسب الشهر'!I1098</f>
        <v>0</v>
      </c>
      <c r="L672" s="292">
        <f>IFERROR(VLOOKUP(B672,'تقرير المصروفات حسب الشهر'!$C$1143:$AD$1254,7,FALSE),0)</f>
        <v>87.25</v>
      </c>
      <c r="M672" s="292">
        <f>IFERROR(VLOOKUP(B672,'تقرير المصروفات حسب الشهر'!$C$1270:$AD$1381,7,FALSE),0)</f>
        <v>87.25</v>
      </c>
      <c r="N672" s="31" t="e">
        <f>#REF!</f>
        <v>#REF!</v>
      </c>
      <c r="O672" s="37" t="e">
        <f t="shared" si="16"/>
        <v>#REF!</v>
      </c>
    </row>
    <row r="673" spans="2:15" ht="17.399999999999999">
      <c r="B673" s="42" t="s">
        <v>106</v>
      </c>
      <c r="C673" s="39">
        <f>'تقرير المصروفات حسب الشهر'!I92</f>
        <v>0</v>
      </c>
      <c r="D673" s="31" t="e">
        <f>#REF!</f>
        <v>#REF!</v>
      </c>
      <c r="E673" s="31" t="e">
        <f>#REF!</f>
        <v>#REF!</v>
      </c>
      <c r="F673" s="31" t="e">
        <f>#REF!</f>
        <v>#REF!</v>
      </c>
      <c r="G673" s="31" t="e">
        <f>#REF!</f>
        <v>#REF!</v>
      </c>
      <c r="H673" s="31" t="e">
        <f>#REF!</f>
        <v>#REF!</v>
      </c>
      <c r="I673" s="31">
        <f>'تقرير المصروفات حسب الشهر'!I845</f>
        <v>0</v>
      </c>
      <c r="J673" s="31">
        <f>'تقرير المصروفات حسب الشهر'!I972</f>
        <v>0</v>
      </c>
      <c r="K673" s="31">
        <f>'تقرير المصروفات حسب الشهر'!I1099</f>
        <v>0</v>
      </c>
      <c r="L673" s="292">
        <f>IFERROR(VLOOKUP(B673,'تقرير المصروفات حسب الشهر'!$C$1143:$AD$1254,7,FALSE),0)</f>
        <v>0</v>
      </c>
      <c r="M673" s="292">
        <f>IFERROR(VLOOKUP(B673,'تقرير المصروفات حسب الشهر'!$C$1270:$AD$1381,7,FALSE),0)</f>
        <v>0</v>
      </c>
      <c r="N673" s="31" t="e">
        <f>#REF!</f>
        <v>#REF!</v>
      </c>
      <c r="O673" s="37" t="e">
        <f t="shared" si="16"/>
        <v>#REF!</v>
      </c>
    </row>
    <row r="674" spans="2:15" ht="17.399999999999999">
      <c r="B674" s="42" t="s">
        <v>107</v>
      </c>
      <c r="C674" s="39">
        <f>'تقرير المصروفات حسب الشهر'!I93</f>
        <v>0</v>
      </c>
      <c r="D674" s="31" t="e">
        <f>#REF!</f>
        <v>#REF!</v>
      </c>
      <c r="E674" s="31" t="e">
        <f>#REF!</f>
        <v>#REF!</v>
      </c>
      <c r="F674" s="31" t="e">
        <f>#REF!</f>
        <v>#REF!</v>
      </c>
      <c r="G674" s="31" t="e">
        <f>#REF!</f>
        <v>#REF!</v>
      </c>
      <c r="H674" s="31" t="e">
        <f>#REF!</f>
        <v>#REF!</v>
      </c>
      <c r="I674" s="31">
        <f>'تقرير المصروفات حسب الشهر'!I846</f>
        <v>0</v>
      </c>
      <c r="J674" s="31">
        <f>'تقرير المصروفات حسب الشهر'!I973</f>
        <v>0</v>
      </c>
      <c r="K674" s="31">
        <f>'تقرير المصروفات حسب الشهر'!I1100</f>
        <v>0</v>
      </c>
      <c r="L674" s="292">
        <f>IFERROR(VLOOKUP(B674,'تقرير المصروفات حسب الشهر'!$C$1143:$AD$1254,7,FALSE),0)</f>
        <v>0</v>
      </c>
      <c r="M674" s="292">
        <f>IFERROR(VLOOKUP(B674,'تقرير المصروفات حسب الشهر'!$C$1270:$AD$1381,7,FALSE),0)</f>
        <v>0</v>
      </c>
      <c r="N674" s="31" t="e">
        <f>#REF!</f>
        <v>#REF!</v>
      </c>
      <c r="O674" s="37" t="e">
        <f t="shared" si="16"/>
        <v>#REF!</v>
      </c>
    </row>
    <row r="675" spans="2:15" ht="17.399999999999999">
      <c r="B675" s="42" t="s">
        <v>108</v>
      </c>
      <c r="C675" s="39">
        <f>'تقرير المصروفات حسب الشهر'!I94</f>
        <v>0</v>
      </c>
      <c r="D675" s="31" t="e">
        <f>#REF!</f>
        <v>#REF!</v>
      </c>
      <c r="E675" s="31" t="e">
        <f>#REF!</f>
        <v>#REF!</v>
      </c>
      <c r="F675" s="31" t="e">
        <f>#REF!</f>
        <v>#REF!</v>
      </c>
      <c r="G675" s="31" t="e">
        <f>#REF!</f>
        <v>#REF!</v>
      </c>
      <c r="H675" s="31" t="e">
        <f>#REF!</f>
        <v>#REF!</v>
      </c>
      <c r="I675" s="31">
        <f>'تقرير المصروفات حسب الشهر'!I847</f>
        <v>0</v>
      </c>
      <c r="J675" s="31">
        <f>'تقرير المصروفات حسب الشهر'!I974</f>
        <v>0</v>
      </c>
      <c r="K675" s="31">
        <f>'تقرير المصروفات حسب الشهر'!I1101</f>
        <v>0</v>
      </c>
      <c r="L675" s="292">
        <f>IFERROR(VLOOKUP(B675,'تقرير المصروفات حسب الشهر'!$C$1143:$AD$1254,7,FALSE),0)</f>
        <v>0</v>
      </c>
      <c r="M675" s="292">
        <f>IFERROR(VLOOKUP(B675,'تقرير المصروفات حسب الشهر'!$C$1270:$AD$1381,7,FALSE),0)</f>
        <v>0</v>
      </c>
      <c r="N675" s="31" t="e">
        <f>#REF!</f>
        <v>#REF!</v>
      </c>
      <c r="O675" s="37" t="e">
        <f t="shared" si="16"/>
        <v>#REF!</v>
      </c>
    </row>
    <row r="676" spans="2:15" ht="17.399999999999999">
      <c r="B676" s="42" t="s">
        <v>109</v>
      </c>
      <c r="C676" s="39">
        <f>'تقرير المصروفات حسب الشهر'!I95</f>
        <v>0</v>
      </c>
      <c r="D676" s="31" t="e">
        <f>#REF!</f>
        <v>#REF!</v>
      </c>
      <c r="E676" s="31" t="e">
        <f>#REF!</f>
        <v>#REF!</v>
      </c>
      <c r="F676" s="31" t="e">
        <f>#REF!</f>
        <v>#REF!</v>
      </c>
      <c r="G676" s="31" t="e">
        <f>#REF!</f>
        <v>#REF!</v>
      </c>
      <c r="H676" s="31" t="e">
        <f>#REF!</f>
        <v>#REF!</v>
      </c>
      <c r="I676" s="31">
        <f>'تقرير المصروفات حسب الشهر'!I848</f>
        <v>0</v>
      </c>
      <c r="J676" s="31">
        <f>'تقرير المصروفات حسب الشهر'!I975</f>
        <v>0</v>
      </c>
      <c r="K676" s="31">
        <f>'تقرير المصروفات حسب الشهر'!I1102</f>
        <v>0</v>
      </c>
      <c r="L676" s="292">
        <f>IFERROR(VLOOKUP(B676,'تقرير المصروفات حسب الشهر'!$C$1143:$AD$1254,7,FALSE),0)</f>
        <v>0</v>
      </c>
      <c r="M676" s="292">
        <f>IFERROR(VLOOKUP(B676,'تقرير المصروفات حسب الشهر'!$C$1270:$AD$1381,7,FALSE),0)</f>
        <v>0</v>
      </c>
      <c r="N676" s="31" t="e">
        <f>#REF!</f>
        <v>#REF!</v>
      </c>
      <c r="O676" s="37" t="e">
        <f t="shared" si="16"/>
        <v>#REF!</v>
      </c>
    </row>
    <row r="677" spans="2:15" ht="17.399999999999999">
      <c r="B677" s="42" t="s">
        <v>110</v>
      </c>
      <c r="C677" s="39">
        <f>'تقرير المصروفات حسب الشهر'!I96</f>
        <v>0</v>
      </c>
      <c r="D677" s="31" t="e">
        <f>#REF!</f>
        <v>#REF!</v>
      </c>
      <c r="E677" s="31" t="e">
        <f>#REF!</f>
        <v>#REF!</v>
      </c>
      <c r="F677" s="31" t="e">
        <f>#REF!</f>
        <v>#REF!</v>
      </c>
      <c r="G677" s="31" t="e">
        <f>#REF!</f>
        <v>#REF!</v>
      </c>
      <c r="H677" s="31" t="e">
        <f>#REF!</f>
        <v>#REF!</v>
      </c>
      <c r="I677" s="31">
        <f>'تقرير المصروفات حسب الشهر'!I849</f>
        <v>0</v>
      </c>
      <c r="J677" s="31">
        <f>'تقرير المصروفات حسب الشهر'!I976</f>
        <v>0</v>
      </c>
      <c r="K677" s="31">
        <f>'تقرير المصروفات حسب الشهر'!I1103</f>
        <v>0</v>
      </c>
      <c r="L677" s="292">
        <f>IFERROR(VLOOKUP(B677,'تقرير المصروفات حسب الشهر'!$C$1143:$AD$1254,7,FALSE),0)</f>
        <v>0</v>
      </c>
      <c r="M677" s="292">
        <f>IFERROR(VLOOKUP(B677,'تقرير المصروفات حسب الشهر'!$C$1270:$AD$1381,7,FALSE),0)</f>
        <v>0</v>
      </c>
      <c r="N677" s="31" t="e">
        <f>#REF!</f>
        <v>#REF!</v>
      </c>
      <c r="O677" s="37" t="e">
        <f t="shared" si="16"/>
        <v>#REF!</v>
      </c>
    </row>
    <row r="678" spans="2:15" ht="17.399999999999999">
      <c r="B678" s="42" t="s">
        <v>112</v>
      </c>
      <c r="C678" s="39">
        <f>'تقرير المصروفات حسب الشهر'!I97</f>
        <v>0</v>
      </c>
      <c r="D678" s="31" t="e">
        <f>#REF!</f>
        <v>#REF!</v>
      </c>
      <c r="E678" s="31" t="e">
        <f>#REF!</f>
        <v>#REF!</v>
      </c>
      <c r="F678" s="31" t="e">
        <f>#REF!</f>
        <v>#REF!</v>
      </c>
      <c r="G678" s="31" t="e">
        <f>#REF!</f>
        <v>#REF!</v>
      </c>
      <c r="H678" s="31" t="e">
        <f>#REF!</f>
        <v>#REF!</v>
      </c>
      <c r="I678" s="31">
        <f>'تقرير المصروفات حسب الشهر'!I850</f>
        <v>0</v>
      </c>
      <c r="J678" s="31">
        <f>'تقرير المصروفات حسب الشهر'!I977</f>
        <v>0</v>
      </c>
      <c r="K678" s="31">
        <f>'تقرير المصروفات حسب الشهر'!I1104</f>
        <v>0</v>
      </c>
      <c r="L678" s="292">
        <f>IFERROR(VLOOKUP(B678,'تقرير المصروفات حسب الشهر'!$C$1143:$AD$1254,7,FALSE),0)</f>
        <v>0</v>
      </c>
      <c r="M678" s="292">
        <f>IFERROR(VLOOKUP(B678,'تقرير المصروفات حسب الشهر'!$C$1270:$AD$1381,7,FALSE),0)</f>
        <v>0</v>
      </c>
      <c r="N678" s="31" t="e">
        <f>#REF!</f>
        <v>#REF!</v>
      </c>
      <c r="O678" s="37" t="e">
        <f t="shared" si="16"/>
        <v>#REF!</v>
      </c>
    </row>
    <row r="679" spans="2:15" ht="17.399999999999999">
      <c r="B679" s="42" t="s">
        <v>113</v>
      </c>
      <c r="C679" s="39">
        <f>'تقرير المصروفات حسب الشهر'!I98</f>
        <v>0</v>
      </c>
      <c r="D679" s="31" t="e">
        <f>#REF!</f>
        <v>#REF!</v>
      </c>
      <c r="E679" s="31" t="e">
        <f>#REF!</f>
        <v>#REF!</v>
      </c>
      <c r="F679" s="31" t="e">
        <f>#REF!</f>
        <v>#REF!</v>
      </c>
      <c r="G679" s="31" t="e">
        <f>#REF!</f>
        <v>#REF!</v>
      </c>
      <c r="H679" s="31" t="e">
        <f>#REF!</f>
        <v>#REF!</v>
      </c>
      <c r="I679" s="31">
        <f>'تقرير المصروفات حسب الشهر'!I851</f>
        <v>0</v>
      </c>
      <c r="J679" s="31">
        <f>'تقرير المصروفات حسب الشهر'!I978</f>
        <v>0</v>
      </c>
      <c r="K679" s="31">
        <f>'تقرير المصروفات حسب الشهر'!I1105</f>
        <v>0</v>
      </c>
      <c r="L679" s="292">
        <f>IFERROR(VLOOKUP(B679,'تقرير المصروفات حسب الشهر'!$C$1143:$AD$1254,7,FALSE),0)</f>
        <v>0</v>
      </c>
      <c r="M679" s="292">
        <f>IFERROR(VLOOKUP(B679,'تقرير المصروفات حسب الشهر'!$C$1270:$AD$1381,7,FALSE),0)</f>
        <v>0</v>
      </c>
      <c r="N679" s="31" t="e">
        <f>#REF!</f>
        <v>#REF!</v>
      </c>
      <c r="O679" s="37" t="e">
        <f t="shared" si="16"/>
        <v>#REF!</v>
      </c>
    </row>
    <row r="680" spans="2:15" ht="17.399999999999999">
      <c r="B680" s="42" t="s">
        <v>137</v>
      </c>
      <c r="C680" s="39">
        <f>'تقرير المصروفات حسب الشهر'!I99</f>
        <v>0</v>
      </c>
      <c r="D680" s="31" t="e">
        <f>#REF!</f>
        <v>#REF!</v>
      </c>
      <c r="E680" s="31" t="e">
        <f>#REF!</f>
        <v>#REF!</v>
      </c>
      <c r="F680" s="31" t="e">
        <f>#REF!</f>
        <v>#REF!</v>
      </c>
      <c r="G680" s="31" t="e">
        <f>#REF!</f>
        <v>#REF!</v>
      </c>
      <c r="H680" s="31" t="e">
        <f>#REF!</f>
        <v>#REF!</v>
      </c>
      <c r="I680" s="31">
        <f>'تقرير المصروفات حسب الشهر'!I852</f>
        <v>0</v>
      </c>
      <c r="J680" s="31">
        <f>'تقرير المصروفات حسب الشهر'!I979</f>
        <v>0</v>
      </c>
      <c r="K680" s="31">
        <f>'تقرير المصروفات حسب الشهر'!I1106</f>
        <v>0</v>
      </c>
      <c r="L680" s="292">
        <f>IFERROR(VLOOKUP(B680,'تقرير المصروفات حسب الشهر'!$C$1143:$AD$1254,7,FALSE),0)</f>
        <v>0</v>
      </c>
      <c r="M680" s="292">
        <f>IFERROR(VLOOKUP(B680,'تقرير المصروفات حسب الشهر'!$C$1270:$AD$1381,7,FALSE),0)</f>
        <v>0</v>
      </c>
      <c r="N680" s="31" t="e">
        <f>#REF!</f>
        <v>#REF!</v>
      </c>
      <c r="O680" s="37" t="e">
        <f t="shared" si="16"/>
        <v>#REF!</v>
      </c>
    </row>
    <row r="681" spans="2:15" ht="17.399999999999999">
      <c r="B681" s="42" t="s">
        <v>140</v>
      </c>
      <c r="C681" s="39">
        <f>'تقرير المصروفات حسب الشهر'!I100</f>
        <v>0</v>
      </c>
      <c r="D681" s="31" t="e">
        <f>#REF!</f>
        <v>#REF!</v>
      </c>
      <c r="E681" s="31" t="e">
        <f>#REF!</f>
        <v>#REF!</v>
      </c>
      <c r="F681" s="31" t="e">
        <f>#REF!</f>
        <v>#REF!</v>
      </c>
      <c r="G681" s="31" t="e">
        <f>#REF!</f>
        <v>#REF!</v>
      </c>
      <c r="H681" s="31" t="e">
        <f>#REF!</f>
        <v>#REF!</v>
      </c>
      <c r="I681" s="31">
        <f>'تقرير المصروفات حسب الشهر'!I853</f>
        <v>0</v>
      </c>
      <c r="J681" s="31">
        <f>'تقرير المصروفات حسب الشهر'!I980</f>
        <v>0</v>
      </c>
      <c r="K681" s="31">
        <f>'تقرير المصروفات حسب الشهر'!I1107</f>
        <v>0</v>
      </c>
      <c r="L681" s="292">
        <f>IFERROR(VLOOKUP(B681,'تقرير المصروفات حسب الشهر'!$C$1143:$AD$1254,7,FALSE),0)</f>
        <v>0</v>
      </c>
      <c r="M681" s="292">
        <f>IFERROR(VLOOKUP(B681,'تقرير المصروفات حسب الشهر'!$C$1270:$AD$1381,7,FALSE),0)</f>
        <v>0</v>
      </c>
      <c r="N681" s="31" t="e">
        <f>#REF!</f>
        <v>#REF!</v>
      </c>
      <c r="O681" s="37" t="e">
        <f t="shared" si="16"/>
        <v>#REF!</v>
      </c>
    </row>
    <row r="682" spans="2:15" ht="17.399999999999999">
      <c r="B682" s="42" t="s">
        <v>141</v>
      </c>
      <c r="C682" s="39">
        <f>'تقرير المصروفات حسب الشهر'!I101</f>
        <v>0</v>
      </c>
      <c r="D682" s="31" t="e">
        <f>#REF!</f>
        <v>#REF!</v>
      </c>
      <c r="E682" s="31" t="e">
        <f>#REF!</f>
        <v>#REF!</v>
      </c>
      <c r="F682" s="31" t="e">
        <f>#REF!</f>
        <v>#REF!</v>
      </c>
      <c r="G682" s="31" t="e">
        <f>#REF!</f>
        <v>#REF!</v>
      </c>
      <c r="H682" s="31" t="e">
        <f>#REF!</f>
        <v>#REF!</v>
      </c>
      <c r="I682" s="31">
        <f>'تقرير المصروفات حسب الشهر'!I854</f>
        <v>0</v>
      </c>
      <c r="J682" s="31">
        <f>'تقرير المصروفات حسب الشهر'!I981</f>
        <v>0</v>
      </c>
      <c r="K682" s="31">
        <f>'تقرير المصروفات حسب الشهر'!I1108</f>
        <v>0</v>
      </c>
      <c r="L682" s="292">
        <f>IFERROR(VLOOKUP(B682,'تقرير المصروفات حسب الشهر'!$C$1143:$AD$1254,7,FALSE),0)</f>
        <v>0</v>
      </c>
      <c r="M682" s="292">
        <f>IFERROR(VLOOKUP(B682,'تقرير المصروفات حسب الشهر'!$C$1270:$AD$1381,7,FALSE),0)</f>
        <v>0</v>
      </c>
      <c r="N682" s="31" t="e">
        <f>#REF!</f>
        <v>#REF!</v>
      </c>
      <c r="O682" s="37" t="e">
        <f t="shared" si="16"/>
        <v>#REF!</v>
      </c>
    </row>
    <row r="683" spans="2:15" ht="17.399999999999999">
      <c r="B683" s="42" t="s">
        <v>193</v>
      </c>
      <c r="C683" s="39">
        <f>'تقرير المصروفات حسب الشهر'!I102</f>
        <v>0</v>
      </c>
      <c r="D683" s="31" t="e">
        <f>#REF!</f>
        <v>#REF!</v>
      </c>
      <c r="E683" s="31" t="e">
        <f>#REF!</f>
        <v>#REF!</v>
      </c>
      <c r="F683" s="31" t="e">
        <f>#REF!</f>
        <v>#REF!</v>
      </c>
      <c r="G683" s="31" t="e">
        <f>#REF!</f>
        <v>#REF!</v>
      </c>
      <c r="H683" s="31" t="e">
        <f>#REF!</f>
        <v>#REF!</v>
      </c>
      <c r="I683" s="31">
        <f>'تقرير المصروفات حسب الشهر'!I855</f>
        <v>0</v>
      </c>
      <c r="J683" s="31">
        <f>'تقرير المصروفات حسب الشهر'!I982</f>
        <v>0</v>
      </c>
      <c r="K683" s="31">
        <f>'تقرير المصروفات حسب الشهر'!I1109</f>
        <v>0</v>
      </c>
      <c r="L683" s="292">
        <f>IFERROR(VLOOKUP(B683,'تقرير المصروفات حسب الشهر'!$C$1143:$AD$1254,7,FALSE),0)</f>
        <v>0</v>
      </c>
      <c r="M683" s="292">
        <f>IFERROR(VLOOKUP(B683,'تقرير المصروفات حسب الشهر'!$C$1270:$AD$1381,7,FALSE),0)</f>
        <v>0</v>
      </c>
      <c r="N683" s="31" t="e">
        <f>#REF!</f>
        <v>#REF!</v>
      </c>
      <c r="O683" s="37" t="e">
        <f t="shared" si="16"/>
        <v>#REF!</v>
      </c>
    </row>
    <row r="684" spans="2:15" ht="17.399999999999999">
      <c r="B684" s="42" t="s">
        <v>148</v>
      </c>
      <c r="C684" s="39">
        <f>'تقرير المصروفات حسب الشهر'!I103</f>
        <v>0</v>
      </c>
      <c r="D684" s="31" t="e">
        <f>#REF!</f>
        <v>#REF!</v>
      </c>
      <c r="E684" s="31" t="e">
        <f>#REF!</f>
        <v>#REF!</v>
      </c>
      <c r="F684" s="31" t="e">
        <f>#REF!</f>
        <v>#REF!</v>
      </c>
      <c r="G684" s="31" t="e">
        <f>#REF!</f>
        <v>#REF!</v>
      </c>
      <c r="H684" s="31" t="e">
        <f>#REF!</f>
        <v>#REF!</v>
      </c>
      <c r="I684" s="31">
        <f>'تقرير المصروفات حسب الشهر'!I856</f>
        <v>0</v>
      </c>
      <c r="J684" s="31">
        <f>'تقرير المصروفات حسب الشهر'!I983</f>
        <v>0</v>
      </c>
      <c r="K684" s="31">
        <f>'تقرير المصروفات حسب الشهر'!I1110</f>
        <v>0</v>
      </c>
      <c r="L684" s="292">
        <f>IFERROR(VLOOKUP(B684,'تقرير المصروفات حسب الشهر'!$C$1143:$AD$1254,7,FALSE),0)</f>
        <v>0</v>
      </c>
      <c r="M684" s="292">
        <f>IFERROR(VLOOKUP(B684,'تقرير المصروفات حسب الشهر'!$C$1270:$AD$1381,7,FALSE),0)</f>
        <v>0</v>
      </c>
      <c r="N684" s="31" t="e">
        <f>#REF!</f>
        <v>#REF!</v>
      </c>
      <c r="O684" s="37" t="e">
        <f t="shared" si="16"/>
        <v>#REF!</v>
      </c>
    </row>
    <row r="685" spans="2:15" ht="17.399999999999999">
      <c r="B685" s="42" t="s">
        <v>186</v>
      </c>
      <c r="C685" s="39">
        <f>'تقرير المصروفات حسب الشهر'!I104</f>
        <v>0</v>
      </c>
      <c r="D685" s="31" t="e">
        <f>#REF!</f>
        <v>#REF!</v>
      </c>
      <c r="E685" s="31" t="e">
        <f>#REF!</f>
        <v>#REF!</v>
      </c>
      <c r="F685" s="31" t="e">
        <f>#REF!</f>
        <v>#REF!</v>
      </c>
      <c r="G685" s="31" t="e">
        <f>#REF!</f>
        <v>#REF!</v>
      </c>
      <c r="H685" s="31" t="e">
        <f>#REF!</f>
        <v>#REF!</v>
      </c>
      <c r="I685" s="31">
        <f>'تقرير المصروفات حسب الشهر'!I857</f>
        <v>0</v>
      </c>
      <c r="J685" s="31">
        <f>'تقرير المصروفات حسب الشهر'!I984</f>
        <v>0</v>
      </c>
      <c r="K685" s="31">
        <f>'تقرير المصروفات حسب الشهر'!I1111</f>
        <v>0</v>
      </c>
      <c r="L685" s="292">
        <f>IFERROR(VLOOKUP(B685,'تقرير المصروفات حسب الشهر'!$C$1143:$AD$1254,7,FALSE),0)</f>
        <v>0</v>
      </c>
      <c r="M685" s="292">
        <f>IFERROR(VLOOKUP(B685,'تقرير المصروفات حسب الشهر'!$C$1270:$AD$1381,7,FALSE),0)</f>
        <v>0</v>
      </c>
      <c r="N685" s="31" t="e">
        <f>#REF!</f>
        <v>#REF!</v>
      </c>
      <c r="O685" s="37" t="e">
        <f t="shared" si="16"/>
        <v>#REF!</v>
      </c>
    </row>
    <row r="686" spans="2:15" ht="17.399999999999999">
      <c r="B686" s="42" t="s">
        <v>171</v>
      </c>
      <c r="C686" s="39">
        <f>'تقرير المصروفات حسب الشهر'!I105</f>
        <v>0</v>
      </c>
      <c r="D686" s="31" t="e">
        <f>#REF!</f>
        <v>#REF!</v>
      </c>
      <c r="E686" s="31" t="e">
        <f>#REF!</f>
        <v>#REF!</v>
      </c>
      <c r="F686" s="31" t="e">
        <f>#REF!</f>
        <v>#REF!</v>
      </c>
      <c r="G686" s="31" t="e">
        <f>#REF!</f>
        <v>#REF!</v>
      </c>
      <c r="H686" s="31" t="e">
        <f>#REF!</f>
        <v>#REF!</v>
      </c>
      <c r="I686" s="31">
        <f>'تقرير المصروفات حسب الشهر'!I858</f>
        <v>0</v>
      </c>
      <c r="J686" s="31">
        <f>'تقرير المصروفات حسب الشهر'!I985</f>
        <v>0</v>
      </c>
      <c r="K686" s="31">
        <f>'تقرير المصروفات حسب الشهر'!I1112</f>
        <v>0</v>
      </c>
      <c r="L686" s="292">
        <f>IFERROR(VLOOKUP(B686,'تقرير المصروفات حسب الشهر'!$C$1143:$AD$1254,7,FALSE),0)</f>
        <v>0</v>
      </c>
      <c r="M686" s="292">
        <f>IFERROR(VLOOKUP(B686,'تقرير المصروفات حسب الشهر'!$C$1270:$AD$1381,7,FALSE),0)</f>
        <v>0</v>
      </c>
      <c r="N686" s="31" t="e">
        <f>#REF!</f>
        <v>#REF!</v>
      </c>
      <c r="O686" s="37" t="e">
        <f t="shared" si="16"/>
        <v>#REF!</v>
      </c>
    </row>
    <row r="687" spans="2:15" ht="17.399999999999999">
      <c r="B687" s="42" t="s">
        <v>180</v>
      </c>
      <c r="C687" s="39">
        <f>'تقرير المصروفات حسب الشهر'!I106</f>
        <v>0</v>
      </c>
      <c r="D687" s="31" t="e">
        <f>#REF!</f>
        <v>#REF!</v>
      </c>
      <c r="E687" s="31" t="e">
        <f>#REF!</f>
        <v>#REF!</v>
      </c>
      <c r="F687" s="31" t="e">
        <f>#REF!</f>
        <v>#REF!</v>
      </c>
      <c r="G687" s="31" t="e">
        <f>#REF!</f>
        <v>#REF!</v>
      </c>
      <c r="H687" s="31" t="e">
        <f>#REF!</f>
        <v>#REF!</v>
      </c>
      <c r="I687" s="31">
        <f>'تقرير المصروفات حسب الشهر'!I859</f>
        <v>0</v>
      </c>
      <c r="J687" s="31">
        <f>'تقرير المصروفات حسب الشهر'!I986</f>
        <v>0</v>
      </c>
      <c r="K687" s="31">
        <f>'تقرير المصروفات حسب الشهر'!I1113</f>
        <v>0</v>
      </c>
      <c r="L687" s="292">
        <f>IFERROR(VLOOKUP(B687,'تقرير المصروفات حسب الشهر'!$C$1143:$AD$1254,7,FALSE),0)</f>
        <v>0</v>
      </c>
      <c r="M687" s="292">
        <f>IFERROR(VLOOKUP(B687,'تقرير المصروفات حسب الشهر'!$C$1270:$AD$1381,7,FALSE),0)</f>
        <v>0</v>
      </c>
      <c r="N687" s="31" t="e">
        <f>#REF!</f>
        <v>#REF!</v>
      </c>
      <c r="O687" s="37" t="e">
        <f t="shared" si="16"/>
        <v>#REF!</v>
      </c>
    </row>
    <row r="688" spans="2:15" ht="17.399999999999999">
      <c r="B688" s="42" t="s">
        <v>183</v>
      </c>
      <c r="C688" s="39">
        <f>'تقرير المصروفات حسب الشهر'!I107</f>
        <v>0</v>
      </c>
      <c r="D688" s="31" t="e">
        <f>#REF!</f>
        <v>#REF!</v>
      </c>
      <c r="E688" s="31" t="e">
        <f>#REF!</f>
        <v>#REF!</v>
      </c>
      <c r="F688" s="31" t="e">
        <f>#REF!</f>
        <v>#REF!</v>
      </c>
      <c r="G688" s="31" t="e">
        <f>#REF!</f>
        <v>#REF!</v>
      </c>
      <c r="H688" s="31" t="e">
        <f>#REF!</f>
        <v>#REF!</v>
      </c>
      <c r="I688" s="31">
        <f>'تقرير المصروفات حسب الشهر'!I860</f>
        <v>0</v>
      </c>
      <c r="J688" s="31">
        <f>'تقرير المصروفات حسب الشهر'!I987</f>
        <v>0</v>
      </c>
      <c r="K688" s="31">
        <f>'تقرير المصروفات حسب الشهر'!I1114</f>
        <v>0</v>
      </c>
      <c r="L688" s="292">
        <f>IFERROR(VLOOKUP(B688,'تقرير المصروفات حسب الشهر'!$C$1143:$AD$1254,7,FALSE),0)</f>
        <v>0</v>
      </c>
      <c r="M688" s="292">
        <f>IFERROR(VLOOKUP(B688,'تقرير المصروفات حسب الشهر'!$C$1270:$AD$1381,7,FALSE),0)</f>
        <v>0</v>
      </c>
      <c r="N688" s="31" t="e">
        <f>#REF!</f>
        <v>#REF!</v>
      </c>
      <c r="O688" s="37" t="e">
        <f t="shared" si="16"/>
        <v>#REF!</v>
      </c>
    </row>
    <row r="689" spans="2:15" ht="17.399999999999999">
      <c r="B689" s="42" t="s">
        <v>195</v>
      </c>
      <c r="C689" s="39">
        <f>'تقرير المصروفات حسب الشهر'!I108</f>
        <v>0</v>
      </c>
      <c r="D689" s="31" t="e">
        <f>#REF!</f>
        <v>#REF!</v>
      </c>
      <c r="E689" s="31" t="e">
        <f>#REF!</f>
        <v>#REF!</v>
      </c>
      <c r="F689" s="31" t="e">
        <f>#REF!</f>
        <v>#REF!</v>
      </c>
      <c r="G689" s="31" t="e">
        <f>#REF!</f>
        <v>#REF!</v>
      </c>
      <c r="H689" s="31" t="e">
        <f>#REF!</f>
        <v>#REF!</v>
      </c>
      <c r="I689" s="31">
        <f>'تقرير المصروفات حسب الشهر'!I861</f>
        <v>0</v>
      </c>
      <c r="J689" s="31">
        <f>'تقرير المصروفات حسب الشهر'!I988</f>
        <v>0</v>
      </c>
      <c r="K689" s="31">
        <f>'تقرير المصروفات حسب الشهر'!I1115</f>
        <v>0</v>
      </c>
      <c r="L689" s="292">
        <f>IFERROR(VLOOKUP(B689,'تقرير المصروفات حسب الشهر'!$C$1143:$AD$1254,7,FALSE),0)</f>
        <v>0</v>
      </c>
      <c r="M689" s="292">
        <f>IFERROR(VLOOKUP(B689,'تقرير المصروفات حسب الشهر'!$C$1270:$AD$1381,7,FALSE),0)</f>
        <v>0</v>
      </c>
      <c r="N689" s="31" t="e">
        <f>#REF!</f>
        <v>#REF!</v>
      </c>
      <c r="O689" s="37" t="e">
        <f t="shared" si="16"/>
        <v>#REF!</v>
      </c>
    </row>
    <row r="690" spans="2:15" ht="17.399999999999999">
      <c r="B690" s="42" t="s">
        <v>189</v>
      </c>
      <c r="C690" s="39">
        <f>'تقرير المصروفات حسب الشهر'!I109</f>
        <v>0</v>
      </c>
      <c r="D690" s="31" t="e">
        <f>#REF!</f>
        <v>#REF!</v>
      </c>
      <c r="E690" s="31" t="e">
        <f>#REF!</f>
        <v>#REF!</v>
      </c>
      <c r="F690" s="31" t="e">
        <f>#REF!</f>
        <v>#REF!</v>
      </c>
      <c r="G690" s="31" t="e">
        <f>#REF!</f>
        <v>#REF!</v>
      </c>
      <c r="H690" s="31" t="e">
        <f>#REF!</f>
        <v>#REF!</v>
      </c>
      <c r="I690" s="31">
        <f>'تقرير المصروفات حسب الشهر'!I862</f>
        <v>0</v>
      </c>
      <c r="J690" s="31">
        <f>'تقرير المصروفات حسب الشهر'!I989</f>
        <v>0</v>
      </c>
      <c r="K690" s="31">
        <f>'تقرير المصروفات حسب الشهر'!I1116</f>
        <v>0</v>
      </c>
      <c r="L690" s="292">
        <f>IFERROR(VLOOKUP(B690,'تقرير المصروفات حسب الشهر'!$C$1143:$AD$1254,7,FALSE),0)</f>
        <v>0</v>
      </c>
      <c r="M690" s="292">
        <f>IFERROR(VLOOKUP(B690,'تقرير المصروفات حسب الشهر'!$C$1270:$AD$1381,7,FALSE),0)</f>
        <v>0</v>
      </c>
      <c r="N690" s="31" t="e">
        <f>#REF!</f>
        <v>#REF!</v>
      </c>
      <c r="O690" s="37" t="e">
        <f t="shared" si="16"/>
        <v>#REF!</v>
      </c>
    </row>
    <row r="691" spans="2:15" ht="17.399999999999999">
      <c r="B691" s="42" t="s">
        <v>188</v>
      </c>
      <c r="C691" s="39">
        <f>'تقرير المصروفات حسب الشهر'!I110</f>
        <v>0</v>
      </c>
      <c r="D691" s="31" t="e">
        <f>#REF!</f>
        <v>#REF!</v>
      </c>
      <c r="E691" s="31" t="e">
        <f>#REF!</f>
        <v>#REF!</v>
      </c>
      <c r="F691" s="31" t="e">
        <f>#REF!</f>
        <v>#REF!</v>
      </c>
      <c r="G691" s="31" t="e">
        <f>#REF!</f>
        <v>#REF!</v>
      </c>
      <c r="H691" s="31" t="e">
        <f>#REF!</f>
        <v>#REF!</v>
      </c>
      <c r="I691" s="31">
        <f>'تقرير المصروفات حسب الشهر'!I863</f>
        <v>0</v>
      </c>
      <c r="J691" s="31">
        <f>'تقرير المصروفات حسب الشهر'!I990</f>
        <v>0</v>
      </c>
      <c r="K691" s="31">
        <f>'تقرير المصروفات حسب الشهر'!I1117</f>
        <v>0</v>
      </c>
      <c r="L691" s="292">
        <f>IFERROR(VLOOKUP(B691,'تقرير المصروفات حسب الشهر'!$C$1143:$AD$1254,7,FALSE),0)</f>
        <v>0</v>
      </c>
      <c r="M691" s="292">
        <f>IFERROR(VLOOKUP(B691,'تقرير المصروفات حسب الشهر'!$C$1270:$AD$1381,7,FALSE),0)</f>
        <v>0</v>
      </c>
      <c r="N691" s="31" t="e">
        <f>#REF!</f>
        <v>#REF!</v>
      </c>
      <c r="O691" s="37" t="e">
        <f t="shared" si="16"/>
        <v>#REF!</v>
      </c>
    </row>
    <row r="692" spans="2:15" ht="17.399999999999999">
      <c r="B692" s="42" t="s">
        <v>196</v>
      </c>
      <c r="C692" s="39">
        <f>'تقرير المصروفات حسب الشهر'!I111</f>
        <v>0</v>
      </c>
      <c r="D692" s="31" t="e">
        <f>#REF!</f>
        <v>#REF!</v>
      </c>
      <c r="E692" s="31" t="e">
        <f>#REF!</f>
        <v>#REF!</v>
      </c>
      <c r="F692" s="31" t="e">
        <f>#REF!</f>
        <v>#REF!</v>
      </c>
      <c r="G692" s="31" t="e">
        <f>#REF!</f>
        <v>#REF!</v>
      </c>
      <c r="H692" s="31" t="e">
        <f>#REF!</f>
        <v>#REF!</v>
      </c>
      <c r="I692" s="31">
        <f>'تقرير المصروفات حسب الشهر'!I864</f>
        <v>0</v>
      </c>
      <c r="J692" s="31">
        <f>'تقرير المصروفات حسب الشهر'!I991</f>
        <v>0</v>
      </c>
      <c r="K692" s="31">
        <f>'تقرير المصروفات حسب الشهر'!I1118</f>
        <v>0</v>
      </c>
      <c r="L692" s="292">
        <f>IFERROR(VLOOKUP(B692,'تقرير المصروفات حسب الشهر'!$C$1143:$AD$1254,7,FALSE),0)</f>
        <v>0</v>
      </c>
      <c r="M692" s="292">
        <f>IFERROR(VLOOKUP(B692,'تقرير المصروفات حسب الشهر'!$C$1270:$AD$1381,7,FALSE),0)</f>
        <v>0</v>
      </c>
      <c r="N692" s="31" t="e">
        <f>#REF!</f>
        <v>#REF!</v>
      </c>
      <c r="O692" s="37" t="e">
        <f t="shared" si="16"/>
        <v>#REF!</v>
      </c>
    </row>
    <row r="693" spans="2:15" ht="17.399999999999999">
      <c r="B693" s="42" t="s">
        <v>197</v>
      </c>
      <c r="C693" s="39">
        <f>'تقرير المصروفات حسب الشهر'!I112</f>
        <v>0</v>
      </c>
      <c r="D693" s="31" t="e">
        <f>#REF!</f>
        <v>#REF!</v>
      </c>
      <c r="E693" s="31" t="e">
        <f>#REF!</f>
        <v>#REF!</v>
      </c>
      <c r="F693" s="31" t="e">
        <f>#REF!</f>
        <v>#REF!</v>
      </c>
      <c r="G693" s="31" t="e">
        <f>#REF!</f>
        <v>#REF!</v>
      </c>
      <c r="H693" s="31" t="e">
        <f>#REF!</f>
        <v>#REF!</v>
      </c>
      <c r="I693" s="31">
        <f>'تقرير المصروفات حسب الشهر'!I865</f>
        <v>0</v>
      </c>
      <c r="J693" s="31">
        <f>'تقرير المصروفات حسب الشهر'!I992</f>
        <v>0</v>
      </c>
      <c r="K693" s="31">
        <f>'تقرير المصروفات حسب الشهر'!I1119</f>
        <v>0</v>
      </c>
      <c r="L693" s="292">
        <f>IFERROR(VLOOKUP(B693,'تقرير المصروفات حسب الشهر'!$C$1143:$AD$1254,7,FALSE),0)</f>
        <v>0</v>
      </c>
      <c r="M693" s="292">
        <f>IFERROR(VLOOKUP(B693,'تقرير المصروفات حسب الشهر'!$C$1270:$AD$1381,7,FALSE),0)</f>
        <v>0</v>
      </c>
      <c r="N693" s="31" t="e">
        <f>#REF!</f>
        <v>#REF!</v>
      </c>
      <c r="O693" s="37" t="e">
        <f t="shared" si="16"/>
        <v>#REF!</v>
      </c>
    </row>
    <row r="694" spans="2:15" ht="17.399999999999999">
      <c r="B694" s="42" t="s">
        <v>198</v>
      </c>
      <c r="C694" s="39">
        <f>'تقرير المصروفات حسب الشهر'!I113</f>
        <v>0</v>
      </c>
      <c r="D694" s="31" t="e">
        <f>#REF!</f>
        <v>#REF!</v>
      </c>
      <c r="E694" s="31" t="e">
        <f>#REF!</f>
        <v>#REF!</v>
      </c>
      <c r="F694" s="31" t="e">
        <f>#REF!</f>
        <v>#REF!</v>
      </c>
      <c r="G694" s="31" t="e">
        <f>#REF!</f>
        <v>#REF!</v>
      </c>
      <c r="H694" s="31" t="e">
        <f>#REF!</f>
        <v>#REF!</v>
      </c>
      <c r="I694" s="31">
        <f>'تقرير المصروفات حسب الشهر'!I866</f>
        <v>0</v>
      </c>
      <c r="J694" s="31">
        <f>'تقرير المصروفات حسب الشهر'!I993</f>
        <v>0</v>
      </c>
      <c r="K694" s="31">
        <f>'تقرير المصروفات حسب الشهر'!I1120</f>
        <v>0</v>
      </c>
      <c r="L694" s="292">
        <f>IFERROR(VLOOKUP(B694,'تقرير المصروفات حسب الشهر'!$C$1143:$AD$1254,7,FALSE),0)</f>
        <v>0</v>
      </c>
      <c r="M694" s="292">
        <f>IFERROR(VLOOKUP(B694,'تقرير المصروفات حسب الشهر'!$C$1270:$AD$1381,7,FALSE),0)</f>
        <v>0</v>
      </c>
      <c r="N694" s="31" t="e">
        <f>#REF!</f>
        <v>#REF!</v>
      </c>
      <c r="O694" s="37" t="e">
        <f t="shared" si="16"/>
        <v>#REF!</v>
      </c>
    </row>
    <row r="695" spans="2:15" ht="17.399999999999999">
      <c r="B695" s="42" t="s">
        <v>201</v>
      </c>
      <c r="C695" s="39">
        <f>'تقرير المصروفات حسب الشهر'!I114</f>
        <v>0</v>
      </c>
      <c r="D695" s="31" t="e">
        <f>#REF!</f>
        <v>#REF!</v>
      </c>
      <c r="E695" s="31" t="e">
        <f>#REF!</f>
        <v>#REF!</v>
      </c>
      <c r="F695" s="31" t="e">
        <f>#REF!</f>
        <v>#REF!</v>
      </c>
      <c r="G695" s="31" t="e">
        <f>#REF!</f>
        <v>#REF!</v>
      </c>
      <c r="H695" s="31" t="e">
        <f>#REF!</f>
        <v>#REF!</v>
      </c>
      <c r="I695" s="31">
        <f>'تقرير المصروفات حسب الشهر'!I867</f>
        <v>0</v>
      </c>
      <c r="J695" s="31">
        <f>'تقرير المصروفات حسب الشهر'!I994</f>
        <v>0</v>
      </c>
      <c r="K695" s="31">
        <f>'تقرير المصروفات حسب الشهر'!I1121</f>
        <v>0</v>
      </c>
      <c r="L695" s="292">
        <f>IFERROR(VLOOKUP(B695,'تقرير المصروفات حسب الشهر'!$C$1143:$AD$1254,7,FALSE),0)</f>
        <v>0</v>
      </c>
      <c r="M695" s="292">
        <f>IFERROR(VLOOKUP(B695,'تقرير المصروفات حسب الشهر'!$C$1270:$AD$1381,7,FALSE),0)</f>
        <v>0</v>
      </c>
      <c r="N695" s="31" t="e">
        <f>#REF!</f>
        <v>#REF!</v>
      </c>
      <c r="O695" s="37" t="e">
        <f t="shared" si="16"/>
        <v>#REF!</v>
      </c>
    </row>
    <row r="696" spans="2:15" ht="17.399999999999999">
      <c r="B696" s="42" t="s">
        <v>202</v>
      </c>
      <c r="C696" s="39">
        <f>'تقرير المصروفات حسب الشهر'!I115</f>
        <v>0</v>
      </c>
      <c r="D696" s="31" t="e">
        <f>#REF!</f>
        <v>#REF!</v>
      </c>
      <c r="E696" s="31" t="e">
        <f>#REF!</f>
        <v>#REF!</v>
      </c>
      <c r="F696" s="31" t="e">
        <f>#REF!</f>
        <v>#REF!</v>
      </c>
      <c r="G696" s="31" t="e">
        <f>#REF!</f>
        <v>#REF!</v>
      </c>
      <c r="H696" s="31" t="e">
        <f>#REF!</f>
        <v>#REF!</v>
      </c>
      <c r="I696" s="31">
        <f>'تقرير المصروفات حسب الشهر'!I868</f>
        <v>0</v>
      </c>
      <c r="J696" s="31">
        <f>'تقرير المصروفات حسب الشهر'!I995</f>
        <v>0</v>
      </c>
      <c r="K696" s="31">
        <f>'تقرير المصروفات حسب الشهر'!I1122</f>
        <v>0</v>
      </c>
      <c r="L696" s="292">
        <f>IFERROR(VLOOKUP(B696,'تقرير المصروفات حسب الشهر'!$C$1143:$AD$1254,7,FALSE),0)</f>
        <v>0</v>
      </c>
      <c r="M696" s="292">
        <f>IFERROR(VLOOKUP(B696,'تقرير المصروفات حسب الشهر'!$C$1270:$AD$1381,7,FALSE),0)</f>
        <v>0</v>
      </c>
      <c r="N696" s="31" t="e">
        <f>#REF!</f>
        <v>#REF!</v>
      </c>
      <c r="O696" s="37" t="e">
        <f t="shared" si="16"/>
        <v>#REF!</v>
      </c>
    </row>
    <row r="697" spans="2:15" ht="17.399999999999999">
      <c r="B697" s="42" t="s">
        <v>206</v>
      </c>
      <c r="C697" s="39">
        <f>'تقرير المصروفات حسب الشهر'!I116</f>
        <v>0</v>
      </c>
      <c r="D697" s="31" t="e">
        <f>#REF!</f>
        <v>#REF!</v>
      </c>
      <c r="E697" s="31" t="e">
        <f>#REF!</f>
        <v>#REF!</v>
      </c>
      <c r="F697" s="31" t="e">
        <f>#REF!</f>
        <v>#REF!</v>
      </c>
      <c r="G697" s="31" t="e">
        <f>#REF!</f>
        <v>#REF!</v>
      </c>
      <c r="H697" s="31" t="e">
        <f>#REF!</f>
        <v>#REF!</v>
      </c>
      <c r="I697" s="31">
        <f>'تقرير المصروفات حسب الشهر'!I869</f>
        <v>1293.75</v>
      </c>
      <c r="J697" s="31">
        <f>'تقرير المصروفات حسب الشهر'!I996</f>
        <v>1293.75</v>
      </c>
      <c r="K697" s="31">
        <f>'تقرير المصروفات حسب الشهر'!I1123</f>
        <v>1293.75</v>
      </c>
      <c r="L697" s="292">
        <f>IFERROR(VLOOKUP(B697,'تقرير المصروفات حسب الشهر'!$C$1143:$AD$1254,7,FALSE),0)</f>
        <v>0</v>
      </c>
      <c r="M697" s="292">
        <f>IFERROR(VLOOKUP(B697,'تقرير المصروفات حسب الشهر'!$C$1270:$AD$1381,7,FALSE),0)</f>
        <v>0</v>
      </c>
      <c r="N697" s="31" t="e">
        <f>#REF!</f>
        <v>#REF!</v>
      </c>
      <c r="O697" s="37" t="e">
        <f t="shared" si="16"/>
        <v>#REF!</v>
      </c>
    </row>
    <row r="698" spans="2:15" ht="17.399999999999999">
      <c r="B698" s="42" t="s">
        <v>207</v>
      </c>
      <c r="C698" s="39">
        <f>'تقرير المصروفات حسب الشهر'!I117</f>
        <v>1293.75</v>
      </c>
      <c r="D698" s="31" t="e">
        <f>#REF!</f>
        <v>#REF!</v>
      </c>
      <c r="E698" s="31" t="e">
        <f>#REF!</f>
        <v>#REF!</v>
      </c>
      <c r="F698" s="31" t="e">
        <f>#REF!</f>
        <v>#REF!</v>
      </c>
      <c r="G698" s="31" t="e">
        <f>#REF!</f>
        <v>#REF!</v>
      </c>
      <c r="H698" s="31" t="e">
        <f>#REF!</f>
        <v>#REF!</v>
      </c>
      <c r="I698" s="31">
        <f>'تقرير المصروفات حسب الشهر'!I870</f>
        <v>0</v>
      </c>
      <c r="J698" s="31">
        <f>'تقرير المصروفات حسب الشهر'!I997</f>
        <v>0</v>
      </c>
      <c r="K698" s="31">
        <f>'تقرير المصروفات حسب الشهر'!I1124</f>
        <v>0</v>
      </c>
      <c r="L698" s="292">
        <f>IFERROR(VLOOKUP(B698,'تقرير المصروفات حسب الشهر'!$C$1143:$AD$1254,7,FALSE),0)</f>
        <v>1293.75</v>
      </c>
      <c r="M698" s="292">
        <f>IFERROR(VLOOKUP(B698,'تقرير المصروفات حسب الشهر'!$C$1270:$AD$1381,7,FALSE),0)</f>
        <v>1293.75</v>
      </c>
      <c r="N698" s="31" t="e">
        <f>#REF!</f>
        <v>#REF!</v>
      </c>
      <c r="O698" s="37" t="e">
        <f t="shared" si="16"/>
        <v>#REF!</v>
      </c>
    </row>
    <row r="699" spans="2:15" ht="17.399999999999999">
      <c r="B699" s="43" t="s">
        <v>208</v>
      </c>
      <c r="C699" s="39">
        <f>'تقرير المصروفات حسب الشهر'!I118</f>
        <v>0</v>
      </c>
      <c r="D699" s="31" t="e">
        <f>#REF!</f>
        <v>#REF!</v>
      </c>
      <c r="E699" s="31" t="e">
        <f>#REF!</f>
        <v>#REF!</v>
      </c>
      <c r="F699" s="31" t="e">
        <f>#REF!</f>
        <v>#REF!</v>
      </c>
      <c r="G699" s="31" t="e">
        <f>#REF!</f>
        <v>#REF!</v>
      </c>
      <c r="H699" s="31">
        <v>0</v>
      </c>
      <c r="I699" s="31">
        <f>'تقرير المصروفات حسب الشهر'!I871</f>
        <v>0</v>
      </c>
      <c r="J699" s="31">
        <f>'تقرير المصروفات حسب الشهر'!I998</f>
        <v>0</v>
      </c>
      <c r="K699" s="31">
        <f>'تقرير المصروفات حسب الشهر'!I1125</f>
        <v>0</v>
      </c>
      <c r="L699" s="292">
        <f>IFERROR(VLOOKUP(B699,'تقرير المصروفات حسب الشهر'!$C$1143:$AD$1254,7,FALSE),0)</f>
        <v>0</v>
      </c>
      <c r="M699" s="292">
        <f>IFERROR(VLOOKUP(B699,'تقرير المصروفات حسب الشهر'!$C$1270:$AD$1381,7,FALSE),0)</f>
        <v>0</v>
      </c>
      <c r="N699" s="31" t="e">
        <f>#REF!</f>
        <v>#REF!</v>
      </c>
      <c r="O699" s="37" t="e">
        <f t="shared" si="16"/>
        <v>#REF!</v>
      </c>
    </row>
    <row r="700" spans="2:15" ht="17.399999999999999">
      <c r="B700" s="437" t="s">
        <v>236</v>
      </c>
      <c r="C700" s="39">
        <f>'تقرير المصروفات حسب الشهر'!I119</f>
        <v>0</v>
      </c>
      <c r="D700" s="438"/>
      <c r="E700" s="438"/>
      <c r="F700" s="438"/>
      <c r="G700" s="438"/>
      <c r="H700" s="438"/>
      <c r="I700" s="438"/>
      <c r="J700" s="438"/>
      <c r="K700" s="438"/>
      <c r="L700" s="439"/>
      <c r="M700" s="439"/>
      <c r="N700" s="438"/>
      <c r="O700" s="440"/>
    </row>
    <row r="701" spans="2:15" ht="17.399999999999999">
      <c r="B701" s="437" t="s">
        <v>209</v>
      </c>
      <c r="C701" s="39">
        <f>'تقرير المصروفات حسب الشهر'!I120</f>
        <v>0</v>
      </c>
      <c r="D701" s="438"/>
      <c r="E701" s="438"/>
      <c r="F701" s="438"/>
      <c r="G701" s="438"/>
      <c r="H701" s="438"/>
      <c r="I701" s="438"/>
      <c r="J701" s="438"/>
      <c r="K701" s="438"/>
      <c r="L701" s="439"/>
      <c r="M701" s="439"/>
      <c r="N701" s="438"/>
      <c r="O701" s="440"/>
    </row>
    <row r="702" spans="2:15" ht="18" thickBot="1">
      <c r="B702" s="437" t="s">
        <v>360</v>
      </c>
      <c r="C702" s="39">
        <f>'تقرير المصروفات حسب الشهر'!I121</f>
        <v>0</v>
      </c>
      <c r="D702" s="438"/>
      <c r="E702" s="438"/>
      <c r="F702" s="438"/>
      <c r="G702" s="438"/>
      <c r="H702" s="438"/>
      <c r="I702" s="438"/>
      <c r="J702" s="438"/>
      <c r="K702" s="438"/>
      <c r="L702" s="439"/>
      <c r="M702" s="439"/>
      <c r="N702" s="438"/>
      <c r="O702" s="440"/>
    </row>
    <row r="703" spans="2:15" ht="21.6" thickBot="1">
      <c r="B703" s="29" t="s">
        <v>18</v>
      </c>
      <c r="C703" s="41">
        <f>SUM(C591:C702)</f>
        <v>95193.369999999981</v>
      </c>
      <c r="D703" s="41" t="e">
        <f t="shared" ref="D703:O703" si="17">SUM(D591:D699)</f>
        <v>#REF!</v>
      </c>
      <c r="E703" s="41" t="e">
        <f t="shared" si="17"/>
        <v>#REF!</v>
      </c>
      <c r="F703" s="41" t="e">
        <f t="shared" si="17"/>
        <v>#REF!</v>
      </c>
      <c r="G703" s="41" t="e">
        <f t="shared" si="17"/>
        <v>#REF!</v>
      </c>
      <c r="H703" s="41" t="e">
        <f t="shared" si="17"/>
        <v>#REF!</v>
      </c>
      <c r="I703" s="41">
        <f t="shared" si="17"/>
        <v>88867.294999999998</v>
      </c>
      <c r="J703" s="41">
        <f t="shared" si="17"/>
        <v>67567.309999999983</v>
      </c>
      <c r="K703" s="41">
        <f t="shared" si="17"/>
        <v>65328.929999999993</v>
      </c>
      <c r="L703" s="41">
        <f t="shared" si="17"/>
        <v>102690.85</v>
      </c>
      <c r="M703" s="41">
        <f t="shared" si="17"/>
        <v>77209.710000000006</v>
      </c>
      <c r="N703" s="41" t="e">
        <f t="shared" si="17"/>
        <v>#REF!</v>
      </c>
      <c r="O703" s="41" t="e">
        <f t="shared" si="17"/>
        <v>#REF!</v>
      </c>
    </row>
    <row r="705" spans="2:15" ht="13.8" thickBot="1"/>
    <row r="706" spans="2:15" ht="31.2" thickTop="1" thickBot="1">
      <c r="B706" s="643" t="s">
        <v>216</v>
      </c>
      <c r="C706" s="644"/>
      <c r="D706" s="644"/>
      <c r="E706" s="644"/>
      <c r="F706" s="644"/>
      <c r="G706" s="644"/>
      <c r="H706" s="644"/>
      <c r="I706" s="644"/>
      <c r="J706" s="644"/>
      <c r="K706" s="644"/>
      <c r="L706" s="644"/>
      <c r="M706" s="644"/>
      <c r="N706" s="644"/>
      <c r="O706" s="645"/>
    </row>
    <row r="707" spans="2:15" ht="17.399999999999999">
      <c r="B707" s="30" t="s">
        <v>23</v>
      </c>
      <c r="C707" s="33" t="s">
        <v>0</v>
      </c>
      <c r="D707" s="33" t="s">
        <v>1</v>
      </c>
      <c r="E707" s="34" t="s">
        <v>2</v>
      </c>
      <c r="F707" s="34" t="s">
        <v>3</v>
      </c>
      <c r="G707" s="34" t="s">
        <v>4</v>
      </c>
      <c r="H707" s="34" t="s">
        <v>5</v>
      </c>
      <c r="I707" s="34" t="s">
        <v>6</v>
      </c>
      <c r="J707" s="34" t="s">
        <v>7</v>
      </c>
      <c r="K707" s="34" t="s">
        <v>8</v>
      </c>
      <c r="L707" s="34" t="s">
        <v>9</v>
      </c>
      <c r="M707" s="34" t="s">
        <v>10</v>
      </c>
      <c r="N707" s="35" t="s">
        <v>11</v>
      </c>
      <c r="O707" s="36" t="s">
        <v>18</v>
      </c>
    </row>
    <row r="708" spans="2:15" ht="17.399999999999999">
      <c r="B708" s="42" t="s">
        <v>40</v>
      </c>
      <c r="C708" s="39">
        <f>'تقرير المصروفات حسب الشهر'!J10</f>
        <v>0</v>
      </c>
      <c r="D708" s="31" t="e">
        <f>#REF!</f>
        <v>#REF!</v>
      </c>
      <c r="E708" s="31" t="e">
        <f>#REF!</f>
        <v>#REF!</v>
      </c>
      <c r="F708" s="31" t="e">
        <f>#REF!</f>
        <v>#REF!</v>
      </c>
      <c r="G708" s="31" t="e">
        <f>#REF!</f>
        <v>#REF!</v>
      </c>
      <c r="H708" s="31" t="e">
        <f>#REF!</f>
        <v>#REF!</v>
      </c>
      <c r="I708" s="31">
        <f>'تقرير المصروفات حسب الشهر'!J763</f>
        <v>0</v>
      </c>
      <c r="J708" s="31">
        <f>'تقرير المصروفات حسب الشهر'!J890</f>
        <v>0</v>
      </c>
      <c r="K708" s="31">
        <f>'تقرير المصروفات حسب الشهر'!J1017</f>
        <v>0</v>
      </c>
      <c r="L708" s="292">
        <f>IFERROR(VLOOKUP(B708,'تقرير المصروفات حسب الشهر'!$C$1143:$AD$1254,8,FALSE),0)</f>
        <v>0</v>
      </c>
      <c r="M708" s="292">
        <f>IFERROR(VLOOKUP(B708,'تقرير المصروفات حسب الشهر'!$C$1270:$AD$1381,8,FALSE),0)</f>
        <v>0</v>
      </c>
      <c r="N708" s="31" t="e">
        <f>#REF!</f>
        <v>#REF!</v>
      </c>
      <c r="O708" s="37" t="e">
        <f>SUM(C708:N708)</f>
        <v>#REF!</v>
      </c>
    </row>
    <row r="709" spans="2:15" ht="17.399999999999999">
      <c r="B709" s="42" t="s">
        <v>41</v>
      </c>
      <c r="C709" s="39">
        <f>'تقرير المصروفات حسب الشهر'!J11</f>
        <v>14221.32</v>
      </c>
      <c r="D709" s="31" t="e">
        <f>#REF!</f>
        <v>#REF!</v>
      </c>
      <c r="E709" s="31" t="e">
        <f>#REF!</f>
        <v>#REF!</v>
      </c>
      <c r="F709" s="31" t="e">
        <f>#REF!</f>
        <v>#REF!</v>
      </c>
      <c r="G709" s="31" t="e">
        <f>#REF!</f>
        <v>#REF!</v>
      </c>
      <c r="H709" s="31" t="e">
        <f>#REF!</f>
        <v>#REF!</v>
      </c>
      <c r="I709" s="31">
        <f>'تقرير المصروفات حسب الشهر'!J764</f>
        <v>21298.639999999999</v>
      </c>
      <c r="J709" s="31">
        <f>'تقرير المصروفات حسب الشهر'!J891</f>
        <v>21718.85</v>
      </c>
      <c r="K709" s="31">
        <f>'تقرير المصروفات حسب الشهر'!J1018</f>
        <v>20122.419999999998</v>
      </c>
      <c r="L709" s="292">
        <f>IFERROR(VLOOKUP(B709,'تقرير المصروفات حسب الشهر'!$C$1143:$AD$1254,8,FALSE),0)</f>
        <v>22652.78</v>
      </c>
      <c r="M709" s="292">
        <f>IFERROR(VLOOKUP(B709,'تقرير المصروفات حسب الشهر'!$C$1270:$AD$1381,8,FALSE),0)</f>
        <v>23089.91</v>
      </c>
      <c r="N709" s="31" t="e">
        <f>#REF!</f>
        <v>#REF!</v>
      </c>
      <c r="O709" s="37" t="e">
        <f t="shared" ref="O709:O772" si="18">SUM(C709:N709)</f>
        <v>#REF!</v>
      </c>
    </row>
    <row r="710" spans="2:15" ht="17.399999999999999">
      <c r="B710" s="42" t="s">
        <v>26</v>
      </c>
      <c r="C710" s="39">
        <f>'تقرير المصروفات حسب الشهر'!J12</f>
        <v>0</v>
      </c>
      <c r="D710" s="31" t="e">
        <f>#REF!</f>
        <v>#REF!</v>
      </c>
      <c r="E710" s="31" t="e">
        <f>#REF!</f>
        <v>#REF!</v>
      </c>
      <c r="F710" s="31" t="e">
        <f>#REF!</f>
        <v>#REF!</v>
      </c>
      <c r="G710" s="31" t="e">
        <f>#REF!</f>
        <v>#REF!</v>
      </c>
      <c r="H710" s="31" t="e">
        <f>#REF!</f>
        <v>#REF!</v>
      </c>
      <c r="I710" s="31">
        <f>'تقرير المصروفات حسب الشهر'!J765</f>
        <v>0</v>
      </c>
      <c r="J710" s="31">
        <f>'تقرير المصروفات حسب الشهر'!J892</f>
        <v>0</v>
      </c>
      <c r="K710" s="31">
        <f>'تقرير المصروفات حسب الشهر'!J1019</f>
        <v>0</v>
      </c>
      <c r="L710" s="292">
        <f>IFERROR(VLOOKUP(B710,'تقرير المصروفات حسب الشهر'!$C$1143:$AD$1254,8,FALSE),0)</f>
        <v>0</v>
      </c>
      <c r="M710" s="292">
        <f>IFERROR(VLOOKUP(B710,'تقرير المصروفات حسب الشهر'!$C$1270:$AD$1381,8,FALSE),0)</f>
        <v>0</v>
      </c>
      <c r="N710" s="31" t="e">
        <f>#REF!</f>
        <v>#REF!</v>
      </c>
      <c r="O710" s="37" t="e">
        <f t="shared" si="18"/>
        <v>#REF!</v>
      </c>
    </row>
    <row r="711" spans="2:15" ht="17.399999999999999">
      <c r="B711" s="42" t="s">
        <v>27</v>
      </c>
      <c r="C711" s="39">
        <f>'تقرير المصروفات حسب الشهر'!J13</f>
        <v>0</v>
      </c>
      <c r="D711" s="31" t="e">
        <f>#REF!</f>
        <v>#REF!</v>
      </c>
      <c r="E711" s="31" t="e">
        <f>#REF!</f>
        <v>#REF!</v>
      </c>
      <c r="F711" s="31" t="e">
        <f>#REF!</f>
        <v>#REF!</v>
      </c>
      <c r="G711" s="31" t="e">
        <f>#REF!</f>
        <v>#REF!</v>
      </c>
      <c r="H711" s="31" t="e">
        <f>#REF!</f>
        <v>#REF!</v>
      </c>
      <c r="I711" s="31">
        <f>'تقرير المصروفات حسب الشهر'!J766</f>
        <v>0</v>
      </c>
      <c r="J711" s="31">
        <f>'تقرير المصروفات حسب الشهر'!J893</f>
        <v>0</v>
      </c>
      <c r="K711" s="31">
        <f>'تقرير المصروفات حسب الشهر'!J1020</f>
        <v>0</v>
      </c>
      <c r="L711" s="292">
        <f>IFERROR(VLOOKUP(B711,'تقرير المصروفات حسب الشهر'!$C$1143:$AD$1254,8,FALSE),0)</f>
        <v>0</v>
      </c>
      <c r="M711" s="292">
        <f>IFERROR(VLOOKUP(B711,'تقرير المصروفات حسب الشهر'!$C$1270:$AD$1381,8,FALSE),0)</f>
        <v>0</v>
      </c>
      <c r="N711" s="31" t="e">
        <f>#REF!</f>
        <v>#REF!</v>
      </c>
      <c r="O711" s="37" t="e">
        <f t="shared" si="18"/>
        <v>#REF!</v>
      </c>
    </row>
    <row r="712" spans="2:15" ht="17.399999999999999">
      <c r="B712" s="42" t="s">
        <v>42</v>
      </c>
      <c r="C712" s="39">
        <f>'تقرير المصروفات حسب الشهر'!J14</f>
        <v>0</v>
      </c>
      <c r="D712" s="31" t="e">
        <f>#REF!</f>
        <v>#REF!</v>
      </c>
      <c r="E712" s="31" t="e">
        <f>#REF!</f>
        <v>#REF!</v>
      </c>
      <c r="F712" s="31" t="e">
        <f>#REF!</f>
        <v>#REF!</v>
      </c>
      <c r="G712" s="31" t="e">
        <f>#REF!</f>
        <v>#REF!</v>
      </c>
      <c r="H712" s="31" t="e">
        <f>#REF!</f>
        <v>#REF!</v>
      </c>
      <c r="I712" s="31">
        <f>'تقرير المصروفات حسب الشهر'!J767</f>
        <v>0</v>
      </c>
      <c r="J712" s="31">
        <f>'تقرير المصروفات حسب الشهر'!J894</f>
        <v>0</v>
      </c>
      <c r="K712" s="31">
        <f>'تقرير المصروفات حسب الشهر'!J1021</f>
        <v>0</v>
      </c>
      <c r="L712" s="292">
        <f>IFERROR(VLOOKUP(B712,'تقرير المصروفات حسب الشهر'!$C$1143:$AD$1254,8,FALSE),0)</f>
        <v>0</v>
      </c>
      <c r="M712" s="292">
        <f>IFERROR(VLOOKUP(B712,'تقرير المصروفات حسب الشهر'!$C$1270:$AD$1381,8,FALSE),0)</f>
        <v>0</v>
      </c>
      <c r="N712" s="31" t="e">
        <f>#REF!</f>
        <v>#REF!</v>
      </c>
      <c r="O712" s="37" t="e">
        <f t="shared" si="18"/>
        <v>#REF!</v>
      </c>
    </row>
    <row r="713" spans="2:15" ht="17.399999999999999">
      <c r="B713" s="42" t="s">
        <v>43</v>
      </c>
      <c r="C713" s="39">
        <f>'تقرير المصروفات حسب الشهر'!J15</f>
        <v>0</v>
      </c>
      <c r="D713" s="31" t="e">
        <f>#REF!</f>
        <v>#REF!</v>
      </c>
      <c r="E713" s="31" t="e">
        <f>#REF!</f>
        <v>#REF!</v>
      </c>
      <c r="F713" s="31" t="e">
        <f>#REF!</f>
        <v>#REF!</v>
      </c>
      <c r="G713" s="31" t="e">
        <f>#REF!</f>
        <v>#REF!</v>
      </c>
      <c r="H713" s="31" t="e">
        <f>#REF!</f>
        <v>#REF!</v>
      </c>
      <c r="I713" s="31">
        <f>'تقرير المصروفات حسب الشهر'!J768</f>
        <v>0</v>
      </c>
      <c r="J713" s="31">
        <f>'تقرير المصروفات حسب الشهر'!J895</f>
        <v>0</v>
      </c>
      <c r="K713" s="31">
        <f>'تقرير المصروفات حسب الشهر'!J1022</f>
        <v>0</v>
      </c>
      <c r="L713" s="292">
        <f>IFERROR(VLOOKUP(B713,'تقرير المصروفات حسب الشهر'!$C$1143:$AD$1254,8,FALSE),0)</f>
        <v>0</v>
      </c>
      <c r="M713" s="292">
        <f>IFERROR(VLOOKUP(B713,'تقرير المصروفات حسب الشهر'!$C$1270:$AD$1381,8,FALSE),0)</f>
        <v>0</v>
      </c>
      <c r="N713" s="31" t="e">
        <f>#REF!</f>
        <v>#REF!</v>
      </c>
      <c r="O713" s="37" t="e">
        <f t="shared" si="18"/>
        <v>#REF!</v>
      </c>
    </row>
    <row r="714" spans="2:15" ht="17.399999999999999">
      <c r="B714" s="42" t="s">
        <v>44</v>
      </c>
      <c r="C714" s="39">
        <f>'تقرير المصروفات حسب الشهر'!J16</f>
        <v>0</v>
      </c>
      <c r="D714" s="31" t="e">
        <f>#REF!</f>
        <v>#REF!</v>
      </c>
      <c r="E714" s="31" t="e">
        <f>#REF!</f>
        <v>#REF!</v>
      </c>
      <c r="F714" s="31" t="e">
        <f>#REF!</f>
        <v>#REF!</v>
      </c>
      <c r="G714" s="31" t="e">
        <f>#REF!</f>
        <v>#REF!</v>
      </c>
      <c r="H714" s="31" t="e">
        <f>#REF!</f>
        <v>#REF!</v>
      </c>
      <c r="I714" s="31">
        <f>'تقرير المصروفات حسب الشهر'!J769</f>
        <v>0</v>
      </c>
      <c r="J714" s="31">
        <f>'تقرير المصروفات حسب الشهر'!J896</f>
        <v>0</v>
      </c>
      <c r="K714" s="31">
        <f>'تقرير المصروفات حسب الشهر'!J1023</f>
        <v>0</v>
      </c>
      <c r="L714" s="292">
        <f>IFERROR(VLOOKUP(B714,'تقرير المصروفات حسب الشهر'!$C$1143:$AD$1254,8,FALSE),0)</f>
        <v>0</v>
      </c>
      <c r="M714" s="292">
        <f>IFERROR(VLOOKUP(B714,'تقرير المصروفات حسب الشهر'!$C$1270:$AD$1381,8,FALSE),0)</f>
        <v>0</v>
      </c>
      <c r="N714" s="31" t="e">
        <f>#REF!</f>
        <v>#REF!</v>
      </c>
      <c r="O714" s="37" t="e">
        <f t="shared" si="18"/>
        <v>#REF!</v>
      </c>
    </row>
    <row r="715" spans="2:15" ht="17.399999999999999">
      <c r="B715" s="42" t="s">
        <v>45</v>
      </c>
      <c r="C715" s="39">
        <f>'تقرير المصروفات حسب الشهر'!J17</f>
        <v>0</v>
      </c>
      <c r="D715" s="31" t="e">
        <f>#REF!</f>
        <v>#REF!</v>
      </c>
      <c r="E715" s="31" t="e">
        <f>#REF!</f>
        <v>#REF!</v>
      </c>
      <c r="F715" s="31" t="e">
        <f>#REF!</f>
        <v>#REF!</v>
      </c>
      <c r="G715" s="31" t="e">
        <f>#REF!</f>
        <v>#REF!</v>
      </c>
      <c r="H715" s="31" t="e">
        <f>#REF!</f>
        <v>#REF!</v>
      </c>
      <c r="I715" s="31">
        <f>'تقرير المصروفات حسب الشهر'!J770</f>
        <v>0</v>
      </c>
      <c r="J715" s="31">
        <f>'تقرير المصروفات حسب الشهر'!J897</f>
        <v>0</v>
      </c>
      <c r="K715" s="31">
        <f>'تقرير المصروفات حسب الشهر'!J1024</f>
        <v>0</v>
      </c>
      <c r="L715" s="292">
        <f>IFERROR(VLOOKUP(B715,'تقرير المصروفات حسب الشهر'!$C$1143:$AD$1254,8,FALSE),0)</f>
        <v>0</v>
      </c>
      <c r="M715" s="292">
        <f>IFERROR(VLOOKUP(B715,'تقرير المصروفات حسب الشهر'!$C$1270:$AD$1381,8,FALSE),0)</f>
        <v>0</v>
      </c>
      <c r="N715" s="31" t="e">
        <f>#REF!</f>
        <v>#REF!</v>
      </c>
      <c r="O715" s="37" t="e">
        <f t="shared" si="18"/>
        <v>#REF!</v>
      </c>
    </row>
    <row r="716" spans="2:15" ht="17.399999999999999">
      <c r="B716" s="42" t="s">
        <v>156</v>
      </c>
      <c r="C716" s="39">
        <f>'تقرير المصروفات حسب الشهر'!J18</f>
        <v>0</v>
      </c>
      <c r="D716" s="31" t="e">
        <f>#REF!</f>
        <v>#REF!</v>
      </c>
      <c r="E716" s="31" t="e">
        <f>#REF!</f>
        <v>#REF!</v>
      </c>
      <c r="F716" s="31" t="e">
        <f>#REF!</f>
        <v>#REF!</v>
      </c>
      <c r="G716" s="31" t="e">
        <f>#REF!</f>
        <v>#REF!</v>
      </c>
      <c r="H716" s="31" t="e">
        <f>#REF!</f>
        <v>#REF!</v>
      </c>
      <c r="I716" s="31">
        <f>'تقرير المصروفات حسب الشهر'!J771</f>
        <v>0</v>
      </c>
      <c r="J716" s="31">
        <f>'تقرير المصروفات حسب الشهر'!J898</f>
        <v>0</v>
      </c>
      <c r="K716" s="31">
        <f>'تقرير المصروفات حسب الشهر'!J1025</f>
        <v>0</v>
      </c>
      <c r="L716" s="292">
        <f>IFERROR(VLOOKUP(B716,'تقرير المصروفات حسب الشهر'!$C$1143:$AD$1254,8,FALSE),0)</f>
        <v>0</v>
      </c>
      <c r="M716" s="292">
        <f>IFERROR(VLOOKUP(B716,'تقرير المصروفات حسب الشهر'!$C$1270:$AD$1381,8,FALSE),0)</f>
        <v>0</v>
      </c>
      <c r="N716" s="31" t="e">
        <f>#REF!</f>
        <v>#REF!</v>
      </c>
      <c r="O716" s="37" t="e">
        <f t="shared" si="18"/>
        <v>#REF!</v>
      </c>
    </row>
    <row r="717" spans="2:15" ht="17.399999999999999">
      <c r="B717" s="42" t="s">
        <v>46</v>
      </c>
      <c r="C717" s="39">
        <f>'تقرير المصروفات حسب الشهر'!J19</f>
        <v>0</v>
      </c>
      <c r="D717" s="31" t="e">
        <f>#REF!</f>
        <v>#REF!</v>
      </c>
      <c r="E717" s="31" t="e">
        <f>#REF!</f>
        <v>#REF!</v>
      </c>
      <c r="F717" s="31" t="e">
        <f>#REF!</f>
        <v>#REF!</v>
      </c>
      <c r="G717" s="31" t="e">
        <f>#REF!</f>
        <v>#REF!</v>
      </c>
      <c r="H717" s="31" t="e">
        <f>#REF!</f>
        <v>#REF!</v>
      </c>
      <c r="I717" s="31">
        <f>'تقرير المصروفات حسب الشهر'!J772</f>
        <v>50.97</v>
      </c>
      <c r="J717" s="31">
        <f>'تقرير المصروفات حسب الشهر'!J899</f>
        <v>50.97</v>
      </c>
      <c r="K717" s="31">
        <f>'تقرير المصروفات حسب الشهر'!J1026</f>
        <v>50.97</v>
      </c>
      <c r="L717" s="292">
        <f>IFERROR(VLOOKUP(B717,'تقرير المصروفات حسب الشهر'!$C$1143:$AD$1254,8,FALSE),0)</f>
        <v>50.97</v>
      </c>
      <c r="M717" s="292">
        <f>IFERROR(VLOOKUP(B717,'تقرير المصروفات حسب الشهر'!$C$1270:$AD$1381,8,FALSE),0)</f>
        <v>0</v>
      </c>
      <c r="N717" s="31" t="e">
        <f>#REF!</f>
        <v>#REF!</v>
      </c>
      <c r="O717" s="37" t="e">
        <f t="shared" si="18"/>
        <v>#REF!</v>
      </c>
    </row>
    <row r="718" spans="2:15" ht="17.399999999999999">
      <c r="B718" s="42" t="s">
        <v>47</v>
      </c>
      <c r="C718" s="39">
        <f>'تقرير المصروفات حسب الشهر'!J20</f>
        <v>0</v>
      </c>
      <c r="D718" s="31" t="e">
        <f>#REF!</f>
        <v>#REF!</v>
      </c>
      <c r="E718" s="31" t="e">
        <f>#REF!</f>
        <v>#REF!</v>
      </c>
      <c r="F718" s="31" t="e">
        <f>#REF!</f>
        <v>#REF!</v>
      </c>
      <c r="G718" s="31" t="e">
        <f>#REF!</f>
        <v>#REF!</v>
      </c>
      <c r="H718" s="31" t="e">
        <f>#REF!</f>
        <v>#REF!</v>
      </c>
      <c r="I718" s="31">
        <f>'تقرير المصروفات حسب الشهر'!J773</f>
        <v>0</v>
      </c>
      <c r="J718" s="31">
        <f>'تقرير المصروفات حسب الشهر'!J900</f>
        <v>0</v>
      </c>
      <c r="K718" s="31">
        <f>'تقرير المصروفات حسب الشهر'!J1027</f>
        <v>0</v>
      </c>
      <c r="L718" s="292">
        <f>IFERROR(VLOOKUP(B718,'تقرير المصروفات حسب الشهر'!$C$1143:$AD$1254,8,FALSE),0)</f>
        <v>0</v>
      </c>
      <c r="M718" s="292">
        <f>IFERROR(VLOOKUP(B718,'تقرير المصروفات حسب الشهر'!$C$1270:$AD$1381,8,FALSE),0)</f>
        <v>0</v>
      </c>
      <c r="N718" s="31" t="e">
        <f>#REF!</f>
        <v>#REF!</v>
      </c>
      <c r="O718" s="37" t="e">
        <f t="shared" si="18"/>
        <v>#REF!</v>
      </c>
    </row>
    <row r="719" spans="2:15" ht="17.399999999999999">
      <c r="B719" s="42" t="s">
        <v>48</v>
      </c>
      <c r="C719" s="39">
        <f>'تقرير المصروفات حسب الشهر'!J21</f>
        <v>0</v>
      </c>
      <c r="D719" s="31" t="e">
        <f>#REF!</f>
        <v>#REF!</v>
      </c>
      <c r="E719" s="31" t="e">
        <f>#REF!</f>
        <v>#REF!</v>
      </c>
      <c r="F719" s="31" t="e">
        <f>#REF!</f>
        <v>#REF!</v>
      </c>
      <c r="G719" s="31" t="e">
        <f>#REF!</f>
        <v>#REF!</v>
      </c>
      <c r="H719" s="31" t="e">
        <f>#REF!</f>
        <v>#REF!</v>
      </c>
      <c r="I719" s="31">
        <f>'تقرير المصروفات حسب الشهر'!J774</f>
        <v>0</v>
      </c>
      <c r="J719" s="31">
        <f>'تقرير المصروفات حسب الشهر'!J901</f>
        <v>0</v>
      </c>
      <c r="K719" s="31">
        <f>'تقرير المصروفات حسب الشهر'!J1028</f>
        <v>0</v>
      </c>
      <c r="L719" s="292">
        <f>IFERROR(VLOOKUP(B719,'تقرير المصروفات حسب الشهر'!$C$1143:$AD$1254,8,FALSE),0)</f>
        <v>0</v>
      </c>
      <c r="M719" s="292">
        <f>IFERROR(VLOOKUP(B719,'تقرير المصروفات حسب الشهر'!$C$1270:$AD$1381,8,FALSE),0)</f>
        <v>0</v>
      </c>
      <c r="N719" s="31" t="e">
        <f>#REF!</f>
        <v>#REF!</v>
      </c>
      <c r="O719" s="37" t="e">
        <f t="shared" si="18"/>
        <v>#REF!</v>
      </c>
    </row>
    <row r="720" spans="2:15" ht="17.399999999999999">
      <c r="B720" s="42" t="s">
        <v>49</v>
      </c>
      <c r="C720" s="39">
        <f>'تقرير المصروفات حسب الشهر'!J22</f>
        <v>0</v>
      </c>
      <c r="D720" s="31" t="e">
        <f>#REF!</f>
        <v>#REF!</v>
      </c>
      <c r="E720" s="31" t="e">
        <f>#REF!</f>
        <v>#REF!</v>
      </c>
      <c r="F720" s="31" t="e">
        <f>#REF!</f>
        <v>#REF!</v>
      </c>
      <c r="G720" s="31" t="e">
        <f>#REF!</f>
        <v>#REF!</v>
      </c>
      <c r="H720" s="31" t="e">
        <f>#REF!</f>
        <v>#REF!</v>
      </c>
      <c r="I720" s="31">
        <f>'تقرير المصروفات حسب الشهر'!J775</f>
        <v>0</v>
      </c>
      <c r="J720" s="31">
        <f>'تقرير المصروفات حسب الشهر'!J902</f>
        <v>0</v>
      </c>
      <c r="K720" s="31">
        <f>'تقرير المصروفات حسب الشهر'!J1029</f>
        <v>0</v>
      </c>
      <c r="L720" s="292">
        <f>IFERROR(VLOOKUP(B720,'تقرير المصروفات حسب الشهر'!$C$1143:$AD$1254,8,FALSE),0)</f>
        <v>0</v>
      </c>
      <c r="M720" s="292">
        <f>IFERROR(VLOOKUP(B720,'تقرير المصروفات حسب الشهر'!$C$1270:$AD$1381,8,FALSE),0)</f>
        <v>0</v>
      </c>
      <c r="N720" s="31" t="e">
        <f>#REF!</f>
        <v>#REF!</v>
      </c>
      <c r="O720" s="37" t="e">
        <f t="shared" si="18"/>
        <v>#REF!</v>
      </c>
    </row>
    <row r="721" spans="2:15" ht="17.399999999999999">
      <c r="B721" s="42" t="s">
        <v>158</v>
      </c>
      <c r="C721" s="39">
        <f>'تقرير المصروفات حسب الشهر'!J23</f>
        <v>0</v>
      </c>
      <c r="D721" s="31" t="e">
        <f>#REF!</f>
        <v>#REF!</v>
      </c>
      <c r="E721" s="31" t="e">
        <f>#REF!</f>
        <v>#REF!</v>
      </c>
      <c r="F721" s="31" t="e">
        <f>#REF!</f>
        <v>#REF!</v>
      </c>
      <c r="G721" s="31" t="e">
        <f>#REF!</f>
        <v>#REF!</v>
      </c>
      <c r="H721" s="31" t="e">
        <f>#REF!</f>
        <v>#REF!</v>
      </c>
      <c r="I721" s="31">
        <f>'تقرير المصروفات حسب الشهر'!J776</f>
        <v>0</v>
      </c>
      <c r="J721" s="31">
        <f>'تقرير المصروفات حسب الشهر'!J903</f>
        <v>0</v>
      </c>
      <c r="K721" s="31">
        <f>'تقرير المصروفات حسب الشهر'!J1030</f>
        <v>0</v>
      </c>
      <c r="L721" s="292">
        <f>IFERROR(VLOOKUP(B721,'تقرير المصروفات حسب الشهر'!$C$1143:$AD$1254,8,FALSE),0)</f>
        <v>0</v>
      </c>
      <c r="M721" s="292">
        <f>IFERROR(VLOOKUP(B721,'تقرير المصروفات حسب الشهر'!$C$1270:$AD$1381,8,FALSE),0)</f>
        <v>0</v>
      </c>
      <c r="N721" s="31" t="e">
        <f>#REF!</f>
        <v>#REF!</v>
      </c>
      <c r="O721" s="37" t="e">
        <f t="shared" si="18"/>
        <v>#REF!</v>
      </c>
    </row>
    <row r="722" spans="2:15" ht="17.399999999999999">
      <c r="B722" s="42" t="s">
        <v>50</v>
      </c>
      <c r="C722" s="39">
        <f>'تقرير المصروفات حسب الشهر'!J24</f>
        <v>0</v>
      </c>
      <c r="D722" s="31" t="e">
        <f>#REF!</f>
        <v>#REF!</v>
      </c>
      <c r="E722" s="31" t="e">
        <f>#REF!</f>
        <v>#REF!</v>
      </c>
      <c r="F722" s="31" t="e">
        <f>#REF!</f>
        <v>#REF!</v>
      </c>
      <c r="G722" s="31" t="e">
        <f>#REF!</f>
        <v>#REF!</v>
      </c>
      <c r="H722" s="31" t="e">
        <f>#REF!</f>
        <v>#REF!</v>
      </c>
      <c r="I722" s="31">
        <f>'تقرير المصروفات حسب الشهر'!J777</f>
        <v>0</v>
      </c>
      <c r="J722" s="31">
        <f>'تقرير المصروفات حسب الشهر'!J904</f>
        <v>770</v>
      </c>
      <c r="K722" s="31">
        <f>'تقرير المصروفات حسب الشهر'!J1031</f>
        <v>0</v>
      </c>
      <c r="L722" s="292">
        <f>IFERROR(VLOOKUP(B722,'تقرير المصروفات حسب الشهر'!$C$1143:$AD$1254,8,FALSE),0)</f>
        <v>1540</v>
      </c>
      <c r="M722" s="292">
        <f>IFERROR(VLOOKUP(B722,'تقرير المصروفات حسب الشهر'!$C$1270:$AD$1381,8,FALSE),0)</f>
        <v>0</v>
      </c>
      <c r="N722" s="31" t="e">
        <f>#REF!</f>
        <v>#REF!</v>
      </c>
      <c r="O722" s="37" t="e">
        <f t="shared" si="18"/>
        <v>#REF!</v>
      </c>
    </row>
    <row r="723" spans="2:15" ht="17.399999999999999">
      <c r="B723" s="42" t="s">
        <v>51</v>
      </c>
      <c r="C723" s="39">
        <f>'تقرير المصروفات حسب الشهر'!J25</f>
        <v>0</v>
      </c>
      <c r="D723" s="31" t="e">
        <f>#REF!</f>
        <v>#REF!</v>
      </c>
      <c r="E723" s="31" t="e">
        <f>#REF!</f>
        <v>#REF!</v>
      </c>
      <c r="F723" s="31" t="e">
        <f>#REF!</f>
        <v>#REF!</v>
      </c>
      <c r="G723" s="31" t="e">
        <f>#REF!</f>
        <v>#REF!</v>
      </c>
      <c r="H723" s="31" t="e">
        <f>#REF!</f>
        <v>#REF!</v>
      </c>
      <c r="I723" s="31">
        <f>'تقرير المصروفات حسب الشهر'!J778</f>
        <v>0</v>
      </c>
      <c r="J723" s="31">
        <f>'تقرير المصروفات حسب الشهر'!J905</f>
        <v>4500</v>
      </c>
      <c r="K723" s="31">
        <f>'تقرير المصروفات حسب الشهر'!J1032</f>
        <v>0</v>
      </c>
      <c r="L723" s="292">
        <f>IFERROR(VLOOKUP(B723,'تقرير المصروفات حسب الشهر'!$C$1143:$AD$1254,8,FALSE),0)</f>
        <v>2250</v>
      </c>
      <c r="M723" s="292">
        <f>IFERROR(VLOOKUP(B723,'تقرير المصروفات حسب الشهر'!$C$1270:$AD$1381,8,FALSE),0)</f>
        <v>0</v>
      </c>
      <c r="N723" s="31" t="e">
        <f>#REF!</f>
        <v>#REF!</v>
      </c>
      <c r="O723" s="37" t="e">
        <f t="shared" si="18"/>
        <v>#REF!</v>
      </c>
    </row>
    <row r="724" spans="2:15" ht="17.399999999999999">
      <c r="B724" s="42" t="s">
        <v>52</v>
      </c>
      <c r="C724" s="39">
        <f>'تقرير المصروفات حسب الشهر'!J26</f>
        <v>0</v>
      </c>
      <c r="D724" s="31" t="e">
        <f>#REF!</f>
        <v>#REF!</v>
      </c>
      <c r="E724" s="31" t="e">
        <f>#REF!</f>
        <v>#REF!</v>
      </c>
      <c r="F724" s="31" t="e">
        <f>#REF!</f>
        <v>#REF!</v>
      </c>
      <c r="G724" s="31" t="e">
        <f>#REF!</f>
        <v>#REF!</v>
      </c>
      <c r="H724" s="31" t="e">
        <f>#REF!</f>
        <v>#REF!</v>
      </c>
      <c r="I724" s="31">
        <f>'تقرير المصروفات حسب الشهر'!J779</f>
        <v>0</v>
      </c>
      <c r="J724" s="31">
        <f>'تقرير المصروفات حسب الشهر'!J906</f>
        <v>0</v>
      </c>
      <c r="K724" s="31">
        <f>'تقرير المصروفات حسب الشهر'!J1033</f>
        <v>0</v>
      </c>
      <c r="L724" s="292">
        <f>IFERROR(VLOOKUP(B724,'تقرير المصروفات حسب الشهر'!$C$1143:$AD$1254,8,FALSE),0)</f>
        <v>0</v>
      </c>
      <c r="M724" s="292">
        <f>IFERROR(VLOOKUP(B724,'تقرير المصروفات حسب الشهر'!$C$1270:$AD$1381,8,FALSE),0)</f>
        <v>0</v>
      </c>
      <c r="N724" s="31" t="e">
        <f>#REF!</f>
        <v>#REF!</v>
      </c>
      <c r="O724" s="37" t="e">
        <f t="shared" si="18"/>
        <v>#REF!</v>
      </c>
    </row>
    <row r="725" spans="2:15" ht="17.399999999999999">
      <c r="B725" s="42" t="s">
        <v>174</v>
      </c>
      <c r="C725" s="39">
        <f>'تقرير المصروفات حسب الشهر'!J27</f>
        <v>0</v>
      </c>
      <c r="D725" s="31" t="e">
        <f>#REF!</f>
        <v>#REF!</v>
      </c>
      <c r="E725" s="31" t="e">
        <f>#REF!</f>
        <v>#REF!</v>
      </c>
      <c r="F725" s="31" t="e">
        <f>#REF!</f>
        <v>#REF!</v>
      </c>
      <c r="G725" s="31" t="e">
        <f>#REF!</f>
        <v>#REF!</v>
      </c>
      <c r="H725" s="31" t="e">
        <f>#REF!</f>
        <v>#REF!</v>
      </c>
      <c r="I725" s="31">
        <f>'تقرير المصروفات حسب الشهر'!J780</f>
        <v>0</v>
      </c>
      <c r="J725" s="31">
        <f>'تقرير المصروفات حسب الشهر'!J907</f>
        <v>0</v>
      </c>
      <c r="K725" s="31">
        <f>'تقرير المصروفات حسب الشهر'!J1034</f>
        <v>0</v>
      </c>
      <c r="L725" s="292">
        <f>IFERROR(VLOOKUP(B725,'تقرير المصروفات حسب الشهر'!$C$1143:$AD$1254,8,FALSE),0)</f>
        <v>0</v>
      </c>
      <c r="M725" s="292">
        <f>IFERROR(VLOOKUP(B725,'تقرير المصروفات حسب الشهر'!$C$1270:$AD$1381,8,FALSE),0)</f>
        <v>506</v>
      </c>
      <c r="N725" s="31" t="e">
        <f>#REF!</f>
        <v>#REF!</v>
      </c>
      <c r="O725" s="37" t="e">
        <f t="shared" si="18"/>
        <v>#REF!</v>
      </c>
    </row>
    <row r="726" spans="2:15" ht="17.399999999999999">
      <c r="B726" s="42" t="s">
        <v>53</v>
      </c>
      <c r="C726" s="39">
        <f>'تقرير المصروفات حسب الشهر'!J28</f>
        <v>0</v>
      </c>
      <c r="D726" s="31" t="e">
        <f>#REF!</f>
        <v>#REF!</v>
      </c>
      <c r="E726" s="31" t="e">
        <f>#REF!</f>
        <v>#REF!</v>
      </c>
      <c r="F726" s="31" t="e">
        <f>#REF!</f>
        <v>#REF!</v>
      </c>
      <c r="G726" s="31" t="e">
        <f>#REF!</f>
        <v>#REF!</v>
      </c>
      <c r="H726" s="31" t="e">
        <f>#REF!</f>
        <v>#REF!</v>
      </c>
      <c r="I726" s="31">
        <f>'تقرير المصروفات حسب الشهر'!J781</f>
        <v>0</v>
      </c>
      <c r="J726" s="31">
        <f>'تقرير المصروفات حسب الشهر'!J908</f>
        <v>0</v>
      </c>
      <c r="K726" s="31">
        <f>'تقرير المصروفات حسب الشهر'!J1035</f>
        <v>0</v>
      </c>
      <c r="L726" s="292">
        <f>IFERROR(VLOOKUP(B726,'تقرير المصروفات حسب الشهر'!$C$1143:$AD$1254,8,FALSE),0)</f>
        <v>0</v>
      </c>
      <c r="M726" s="292">
        <f>IFERROR(VLOOKUP(B726,'تقرير المصروفات حسب الشهر'!$C$1270:$AD$1381,8,FALSE),0)</f>
        <v>0</v>
      </c>
      <c r="N726" s="31" t="e">
        <f>#REF!</f>
        <v>#REF!</v>
      </c>
      <c r="O726" s="37" t="e">
        <f t="shared" si="18"/>
        <v>#REF!</v>
      </c>
    </row>
    <row r="727" spans="2:15" ht="17.399999999999999">
      <c r="B727" s="42" t="s">
        <v>191</v>
      </c>
      <c r="C727" s="39">
        <f>'تقرير المصروفات حسب الشهر'!J29</f>
        <v>0</v>
      </c>
      <c r="D727" s="31" t="e">
        <f>#REF!</f>
        <v>#REF!</v>
      </c>
      <c r="E727" s="31" t="e">
        <f>#REF!</f>
        <v>#REF!</v>
      </c>
      <c r="F727" s="31" t="e">
        <f>#REF!</f>
        <v>#REF!</v>
      </c>
      <c r="G727" s="31" t="e">
        <f>#REF!</f>
        <v>#REF!</v>
      </c>
      <c r="H727" s="31" t="e">
        <f>#REF!</f>
        <v>#REF!</v>
      </c>
      <c r="I727" s="31">
        <f>'تقرير المصروفات حسب الشهر'!J782</f>
        <v>0</v>
      </c>
      <c r="J727" s="31">
        <f>'تقرير المصروفات حسب الشهر'!J909</f>
        <v>0</v>
      </c>
      <c r="K727" s="31">
        <f>'تقرير المصروفات حسب الشهر'!J1036</f>
        <v>0</v>
      </c>
      <c r="L727" s="292">
        <f>IFERROR(VLOOKUP(B727,'تقرير المصروفات حسب الشهر'!$C$1143:$AD$1254,8,FALSE),0)</f>
        <v>0</v>
      </c>
      <c r="M727" s="292">
        <f>IFERROR(VLOOKUP(B727,'تقرير المصروفات حسب الشهر'!$C$1270:$AD$1381,8,FALSE),0)</f>
        <v>0</v>
      </c>
      <c r="N727" s="31" t="e">
        <f>#REF!</f>
        <v>#REF!</v>
      </c>
      <c r="O727" s="37" t="e">
        <f t="shared" si="18"/>
        <v>#REF!</v>
      </c>
    </row>
    <row r="728" spans="2:15" ht="17.399999999999999">
      <c r="B728" s="42" t="s">
        <v>29</v>
      </c>
      <c r="C728" s="39">
        <f>'تقرير المصروفات حسب الشهر'!J30</f>
        <v>0</v>
      </c>
      <c r="D728" s="31" t="e">
        <f>#REF!</f>
        <v>#REF!</v>
      </c>
      <c r="E728" s="31" t="e">
        <f>#REF!</f>
        <v>#REF!</v>
      </c>
      <c r="F728" s="31" t="e">
        <f>#REF!</f>
        <v>#REF!</v>
      </c>
      <c r="G728" s="31" t="e">
        <f>#REF!</f>
        <v>#REF!</v>
      </c>
      <c r="H728" s="31" t="e">
        <f>#REF!</f>
        <v>#REF!</v>
      </c>
      <c r="I728" s="31">
        <f>'تقرير المصروفات حسب الشهر'!J783</f>
        <v>0</v>
      </c>
      <c r="J728" s="31">
        <f>'تقرير المصروفات حسب الشهر'!J910</f>
        <v>0</v>
      </c>
      <c r="K728" s="31">
        <f>'تقرير المصروفات حسب الشهر'!J1037</f>
        <v>0</v>
      </c>
      <c r="L728" s="292">
        <f>IFERROR(VLOOKUP(B728,'تقرير المصروفات حسب الشهر'!$C$1143:$AD$1254,8,FALSE),0)</f>
        <v>0</v>
      </c>
      <c r="M728" s="292">
        <f>IFERROR(VLOOKUP(B728,'تقرير المصروفات حسب الشهر'!$C$1270:$AD$1381,8,FALSE),0)</f>
        <v>0</v>
      </c>
      <c r="N728" s="31" t="e">
        <f>#REF!</f>
        <v>#REF!</v>
      </c>
      <c r="O728" s="37" t="e">
        <f t="shared" si="18"/>
        <v>#REF!</v>
      </c>
    </row>
    <row r="729" spans="2:15" ht="17.399999999999999">
      <c r="B729" s="42" t="s">
        <v>54</v>
      </c>
      <c r="C729" s="39">
        <f>'تقرير المصروفات حسب الشهر'!J31</f>
        <v>0</v>
      </c>
      <c r="D729" s="31" t="e">
        <f>#REF!</f>
        <v>#REF!</v>
      </c>
      <c r="E729" s="31" t="e">
        <f>#REF!</f>
        <v>#REF!</v>
      </c>
      <c r="F729" s="31" t="e">
        <f>#REF!</f>
        <v>#REF!</v>
      </c>
      <c r="G729" s="31" t="e">
        <f>#REF!</f>
        <v>#REF!</v>
      </c>
      <c r="H729" s="31" t="e">
        <f>#REF!</f>
        <v>#REF!</v>
      </c>
      <c r="I729" s="31">
        <f>'تقرير المصروفات حسب الشهر'!J784</f>
        <v>0</v>
      </c>
      <c r="J729" s="31">
        <f>'تقرير المصروفات حسب الشهر'!J911</f>
        <v>0</v>
      </c>
      <c r="K729" s="31">
        <f>'تقرير المصروفات حسب الشهر'!J1038</f>
        <v>0</v>
      </c>
      <c r="L729" s="292">
        <f>IFERROR(VLOOKUP(B729,'تقرير المصروفات حسب الشهر'!$C$1143:$AD$1254,8,FALSE),0)</f>
        <v>0</v>
      </c>
      <c r="M729" s="292">
        <f>IFERROR(VLOOKUP(B729,'تقرير المصروفات حسب الشهر'!$C$1270:$AD$1381,8,FALSE),0)</f>
        <v>0</v>
      </c>
      <c r="N729" s="31" t="e">
        <f>#REF!</f>
        <v>#REF!</v>
      </c>
      <c r="O729" s="37" t="e">
        <f t="shared" si="18"/>
        <v>#REF!</v>
      </c>
    </row>
    <row r="730" spans="2:15" ht="17.399999999999999">
      <c r="B730" s="42" t="s">
        <v>31</v>
      </c>
      <c r="C730" s="39">
        <f>'تقرير المصروفات حسب الشهر'!J32</f>
        <v>0</v>
      </c>
      <c r="D730" s="31" t="e">
        <f>#REF!</f>
        <v>#REF!</v>
      </c>
      <c r="E730" s="31" t="e">
        <f>#REF!</f>
        <v>#REF!</v>
      </c>
      <c r="F730" s="31" t="e">
        <f>#REF!</f>
        <v>#REF!</v>
      </c>
      <c r="G730" s="31" t="e">
        <f>#REF!</f>
        <v>#REF!</v>
      </c>
      <c r="H730" s="31" t="e">
        <f>#REF!</f>
        <v>#REF!</v>
      </c>
      <c r="I730" s="31">
        <f>'تقرير المصروفات حسب الشهر'!J785</f>
        <v>0</v>
      </c>
      <c r="J730" s="31">
        <f>'تقرير المصروفات حسب الشهر'!J912</f>
        <v>0</v>
      </c>
      <c r="K730" s="31">
        <f>'تقرير المصروفات حسب الشهر'!J1039</f>
        <v>0</v>
      </c>
      <c r="L730" s="292">
        <f>IFERROR(VLOOKUP(B730,'تقرير المصروفات حسب الشهر'!$C$1143:$AD$1254,8,FALSE),0)</f>
        <v>0</v>
      </c>
      <c r="M730" s="292">
        <f>IFERROR(VLOOKUP(B730,'تقرير المصروفات حسب الشهر'!$C$1270:$AD$1381,8,FALSE),0)</f>
        <v>0</v>
      </c>
      <c r="N730" s="31" t="e">
        <f>#REF!</f>
        <v>#REF!</v>
      </c>
      <c r="O730" s="37" t="e">
        <f t="shared" si="18"/>
        <v>#REF!</v>
      </c>
    </row>
    <row r="731" spans="2:15" ht="17.399999999999999">
      <c r="B731" s="42" t="s">
        <v>55</v>
      </c>
      <c r="C731" s="39">
        <f>'تقرير المصروفات حسب الشهر'!J33</f>
        <v>0</v>
      </c>
      <c r="D731" s="31" t="e">
        <f>#REF!</f>
        <v>#REF!</v>
      </c>
      <c r="E731" s="31" t="e">
        <f>#REF!</f>
        <v>#REF!</v>
      </c>
      <c r="F731" s="31" t="e">
        <f>#REF!</f>
        <v>#REF!</v>
      </c>
      <c r="G731" s="31" t="e">
        <f>#REF!</f>
        <v>#REF!</v>
      </c>
      <c r="H731" s="31" t="e">
        <f>#REF!</f>
        <v>#REF!</v>
      </c>
      <c r="I731" s="31">
        <f>'تقرير المصروفات حسب الشهر'!J786</f>
        <v>0</v>
      </c>
      <c r="J731" s="31">
        <f>'تقرير المصروفات حسب الشهر'!J913</f>
        <v>0</v>
      </c>
      <c r="K731" s="31">
        <f>'تقرير المصروفات حسب الشهر'!J1040</f>
        <v>0</v>
      </c>
      <c r="L731" s="292">
        <f>IFERROR(VLOOKUP(B731,'تقرير المصروفات حسب الشهر'!$C$1143:$AD$1254,8,FALSE),0)</f>
        <v>0</v>
      </c>
      <c r="M731" s="292">
        <f>IFERROR(VLOOKUP(B731,'تقرير المصروفات حسب الشهر'!$C$1270:$AD$1381,8,FALSE),0)</f>
        <v>0</v>
      </c>
      <c r="N731" s="31" t="e">
        <f>#REF!</f>
        <v>#REF!</v>
      </c>
      <c r="O731" s="37" t="e">
        <f t="shared" si="18"/>
        <v>#REF!</v>
      </c>
    </row>
    <row r="732" spans="2:15" ht="17.399999999999999">
      <c r="B732" s="42" t="s">
        <v>56</v>
      </c>
      <c r="C732" s="39">
        <f>'تقرير المصروفات حسب الشهر'!J34</f>
        <v>0</v>
      </c>
      <c r="D732" s="31" t="e">
        <f>#REF!</f>
        <v>#REF!</v>
      </c>
      <c r="E732" s="31" t="e">
        <f>#REF!</f>
        <v>#REF!</v>
      </c>
      <c r="F732" s="31" t="e">
        <f>#REF!</f>
        <v>#REF!</v>
      </c>
      <c r="G732" s="31" t="e">
        <f>#REF!</f>
        <v>#REF!</v>
      </c>
      <c r="H732" s="31" t="e">
        <f>#REF!</f>
        <v>#REF!</v>
      </c>
      <c r="I732" s="31">
        <f>'تقرير المصروفات حسب الشهر'!J787</f>
        <v>0</v>
      </c>
      <c r="J732" s="31">
        <f>'تقرير المصروفات حسب الشهر'!J914</f>
        <v>0</v>
      </c>
      <c r="K732" s="31">
        <f>'تقرير المصروفات حسب الشهر'!J1041</f>
        <v>0</v>
      </c>
      <c r="L732" s="292">
        <f>IFERROR(VLOOKUP(B732,'تقرير المصروفات حسب الشهر'!$C$1143:$AD$1254,8,FALSE),0)</f>
        <v>0</v>
      </c>
      <c r="M732" s="292">
        <f>IFERROR(VLOOKUP(B732,'تقرير المصروفات حسب الشهر'!$C$1270:$AD$1381,8,FALSE),0)</f>
        <v>0</v>
      </c>
      <c r="N732" s="31" t="e">
        <f>#REF!</f>
        <v>#REF!</v>
      </c>
      <c r="O732" s="37" t="e">
        <f t="shared" si="18"/>
        <v>#REF!</v>
      </c>
    </row>
    <row r="733" spans="2:15" ht="17.399999999999999">
      <c r="B733" s="42" t="s">
        <v>57</v>
      </c>
      <c r="C733" s="39">
        <f>'تقرير المصروفات حسب الشهر'!J35</f>
        <v>0</v>
      </c>
      <c r="D733" s="31" t="e">
        <f>#REF!</f>
        <v>#REF!</v>
      </c>
      <c r="E733" s="31" t="e">
        <f>#REF!</f>
        <v>#REF!</v>
      </c>
      <c r="F733" s="31" t="e">
        <f>#REF!</f>
        <v>#REF!</v>
      </c>
      <c r="G733" s="31" t="e">
        <f>#REF!</f>
        <v>#REF!</v>
      </c>
      <c r="H733" s="31" t="e">
        <f>#REF!</f>
        <v>#REF!</v>
      </c>
      <c r="I733" s="31">
        <f>'تقرير المصروفات حسب الشهر'!J788</f>
        <v>0</v>
      </c>
      <c r="J733" s="31">
        <f>'تقرير المصروفات حسب الشهر'!J915</f>
        <v>0</v>
      </c>
      <c r="K733" s="31">
        <f>'تقرير المصروفات حسب الشهر'!J1042</f>
        <v>0</v>
      </c>
      <c r="L733" s="292">
        <f>IFERROR(VLOOKUP(B733,'تقرير المصروفات حسب الشهر'!$C$1143:$AD$1254,8,FALSE),0)</f>
        <v>0</v>
      </c>
      <c r="M733" s="292">
        <f>IFERROR(VLOOKUP(B733,'تقرير المصروفات حسب الشهر'!$C$1270:$AD$1381,8,FALSE),0)</f>
        <v>0</v>
      </c>
      <c r="N733" s="31" t="e">
        <f>#REF!</f>
        <v>#REF!</v>
      </c>
      <c r="O733" s="37" t="e">
        <f t="shared" si="18"/>
        <v>#REF!</v>
      </c>
    </row>
    <row r="734" spans="2:15" ht="17.399999999999999">
      <c r="B734" s="42" t="s">
        <v>58</v>
      </c>
      <c r="C734" s="39">
        <f>'تقرير المصروفات حسب الشهر'!J36</f>
        <v>0</v>
      </c>
      <c r="D734" s="31" t="e">
        <f>#REF!</f>
        <v>#REF!</v>
      </c>
      <c r="E734" s="31" t="e">
        <f>#REF!</f>
        <v>#REF!</v>
      </c>
      <c r="F734" s="31" t="e">
        <f>#REF!</f>
        <v>#REF!</v>
      </c>
      <c r="G734" s="31" t="e">
        <f>#REF!</f>
        <v>#REF!</v>
      </c>
      <c r="H734" s="31" t="e">
        <f>#REF!</f>
        <v>#REF!</v>
      </c>
      <c r="I734" s="31">
        <f>'تقرير المصروفات حسب الشهر'!J789</f>
        <v>0</v>
      </c>
      <c r="J734" s="31">
        <f>'تقرير المصروفات حسب الشهر'!J916</f>
        <v>0</v>
      </c>
      <c r="K734" s="31">
        <f>'تقرير المصروفات حسب الشهر'!J1043</f>
        <v>0</v>
      </c>
      <c r="L734" s="292">
        <f>IFERROR(VLOOKUP(B734,'تقرير المصروفات حسب الشهر'!$C$1143:$AD$1254,8,FALSE),0)</f>
        <v>0</v>
      </c>
      <c r="M734" s="292">
        <f>IFERROR(VLOOKUP(B734,'تقرير المصروفات حسب الشهر'!$C$1270:$AD$1381,8,FALSE),0)</f>
        <v>0</v>
      </c>
      <c r="N734" s="31" t="e">
        <f>#REF!</f>
        <v>#REF!</v>
      </c>
      <c r="O734" s="37" t="e">
        <f t="shared" si="18"/>
        <v>#REF!</v>
      </c>
    </row>
    <row r="735" spans="2:15" ht="17.399999999999999">
      <c r="B735" s="42" t="s">
        <v>59</v>
      </c>
      <c r="C735" s="39">
        <f>'تقرير المصروفات حسب الشهر'!J37</f>
        <v>0</v>
      </c>
      <c r="D735" s="31" t="e">
        <f>#REF!</f>
        <v>#REF!</v>
      </c>
      <c r="E735" s="31" t="e">
        <f>#REF!</f>
        <v>#REF!</v>
      </c>
      <c r="F735" s="31" t="e">
        <f>#REF!</f>
        <v>#REF!</v>
      </c>
      <c r="G735" s="31" t="e">
        <f>#REF!</f>
        <v>#REF!</v>
      </c>
      <c r="H735" s="31" t="e">
        <f>#REF!</f>
        <v>#REF!</v>
      </c>
      <c r="I735" s="31">
        <f>'تقرير المصروفات حسب الشهر'!J790</f>
        <v>0</v>
      </c>
      <c r="J735" s="31">
        <f>'تقرير المصروفات حسب الشهر'!J917</f>
        <v>0</v>
      </c>
      <c r="K735" s="31">
        <f>'تقرير المصروفات حسب الشهر'!J1044</f>
        <v>0</v>
      </c>
      <c r="L735" s="292">
        <f>IFERROR(VLOOKUP(B735,'تقرير المصروفات حسب الشهر'!$C$1143:$AD$1254,8,FALSE),0)</f>
        <v>0</v>
      </c>
      <c r="M735" s="292">
        <f>IFERROR(VLOOKUP(B735,'تقرير المصروفات حسب الشهر'!$C$1270:$AD$1381,8,FALSE),0)</f>
        <v>0</v>
      </c>
      <c r="N735" s="31" t="e">
        <f>#REF!</f>
        <v>#REF!</v>
      </c>
      <c r="O735" s="37" t="e">
        <f t="shared" si="18"/>
        <v>#REF!</v>
      </c>
    </row>
    <row r="736" spans="2:15" ht="17.399999999999999">
      <c r="B736" s="42" t="s">
        <v>60</v>
      </c>
      <c r="C736" s="39">
        <f>'تقرير المصروفات حسب الشهر'!J38</f>
        <v>0</v>
      </c>
      <c r="D736" s="31" t="e">
        <f>#REF!</f>
        <v>#REF!</v>
      </c>
      <c r="E736" s="31" t="e">
        <f>#REF!</f>
        <v>#REF!</v>
      </c>
      <c r="F736" s="31" t="e">
        <f>#REF!</f>
        <v>#REF!</v>
      </c>
      <c r="G736" s="31" t="e">
        <f>#REF!</f>
        <v>#REF!</v>
      </c>
      <c r="H736" s="31" t="e">
        <f>#REF!</f>
        <v>#REF!</v>
      </c>
      <c r="I736" s="31">
        <f>'تقرير المصروفات حسب الشهر'!J791</f>
        <v>0</v>
      </c>
      <c r="J736" s="31">
        <f>'تقرير المصروفات حسب الشهر'!J918</f>
        <v>0</v>
      </c>
      <c r="K736" s="31">
        <f>'تقرير المصروفات حسب الشهر'!J1045</f>
        <v>0</v>
      </c>
      <c r="L736" s="292">
        <f>IFERROR(VLOOKUP(B736,'تقرير المصروفات حسب الشهر'!$C$1143:$AD$1254,8,FALSE),0)</f>
        <v>0</v>
      </c>
      <c r="M736" s="292">
        <f>IFERROR(VLOOKUP(B736,'تقرير المصروفات حسب الشهر'!$C$1270:$AD$1381,8,FALSE),0)</f>
        <v>0</v>
      </c>
      <c r="N736" s="31" t="e">
        <f>#REF!</f>
        <v>#REF!</v>
      </c>
      <c r="O736" s="37" t="e">
        <f t="shared" si="18"/>
        <v>#REF!</v>
      </c>
    </row>
    <row r="737" spans="2:15" ht="17.399999999999999">
      <c r="B737" s="42" t="s">
        <v>61</v>
      </c>
      <c r="C737" s="39">
        <f>'تقرير المصروفات حسب الشهر'!J39</f>
        <v>0</v>
      </c>
      <c r="D737" s="31" t="e">
        <f>#REF!</f>
        <v>#REF!</v>
      </c>
      <c r="E737" s="31" t="e">
        <f>#REF!</f>
        <v>#REF!</v>
      </c>
      <c r="F737" s="31" t="e">
        <f>#REF!</f>
        <v>#REF!</v>
      </c>
      <c r="G737" s="31" t="e">
        <f>#REF!</f>
        <v>#REF!</v>
      </c>
      <c r="H737" s="31" t="e">
        <f>#REF!</f>
        <v>#REF!</v>
      </c>
      <c r="I737" s="31">
        <f>'تقرير المصروفات حسب الشهر'!J792</f>
        <v>0</v>
      </c>
      <c r="J737" s="31">
        <f>'تقرير المصروفات حسب الشهر'!J919</f>
        <v>0</v>
      </c>
      <c r="K737" s="31">
        <f>'تقرير المصروفات حسب الشهر'!J1046</f>
        <v>0</v>
      </c>
      <c r="L737" s="292">
        <f>IFERROR(VLOOKUP(B737,'تقرير المصروفات حسب الشهر'!$C$1143:$AD$1254,8,FALSE),0)</f>
        <v>0</v>
      </c>
      <c r="M737" s="292">
        <f>IFERROR(VLOOKUP(B737,'تقرير المصروفات حسب الشهر'!$C$1270:$AD$1381,8,FALSE),0)</f>
        <v>0</v>
      </c>
      <c r="N737" s="31" t="e">
        <f>#REF!</f>
        <v>#REF!</v>
      </c>
      <c r="O737" s="37" t="e">
        <f t="shared" si="18"/>
        <v>#REF!</v>
      </c>
    </row>
    <row r="738" spans="2:15" ht="17.399999999999999">
      <c r="B738" s="42" t="s">
        <v>62</v>
      </c>
      <c r="C738" s="39">
        <f>'تقرير المصروفات حسب الشهر'!J40</f>
        <v>0</v>
      </c>
      <c r="D738" s="31" t="e">
        <f>#REF!</f>
        <v>#REF!</v>
      </c>
      <c r="E738" s="31" t="e">
        <f>#REF!</f>
        <v>#REF!</v>
      </c>
      <c r="F738" s="31" t="e">
        <f>#REF!</f>
        <v>#REF!</v>
      </c>
      <c r="G738" s="31" t="e">
        <f>#REF!</f>
        <v>#REF!</v>
      </c>
      <c r="H738" s="31" t="e">
        <f>#REF!</f>
        <v>#REF!</v>
      </c>
      <c r="I738" s="31">
        <f>'تقرير المصروفات حسب الشهر'!J793</f>
        <v>0</v>
      </c>
      <c r="J738" s="31">
        <f>'تقرير المصروفات حسب الشهر'!J920</f>
        <v>0</v>
      </c>
      <c r="K738" s="31">
        <f>'تقرير المصروفات حسب الشهر'!J1047</f>
        <v>0</v>
      </c>
      <c r="L738" s="292">
        <f>IFERROR(VLOOKUP(B738,'تقرير المصروفات حسب الشهر'!$C$1143:$AD$1254,8,FALSE),0)</f>
        <v>0</v>
      </c>
      <c r="M738" s="292">
        <f>IFERROR(VLOOKUP(B738,'تقرير المصروفات حسب الشهر'!$C$1270:$AD$1381,8,FALSE),0)</f>
        <v>0</v>
      </c>
      <c r="N738" s="31" t="e">
        <f>#REF!</f>
        <v>#REF!</v>
      </c>
      <c r="O738" s="37" t="e">
        <f t="shared" si="18"/>
        <v>#REF!</v>
      </c>
    </row>
    <row r="739" spans="2:15" ht="17.399999999999999">
      <c r="B739" s="42" t="s">
        <v>63</v>
      </c>
      <c r="C739" s="39">
        <f>'تقرير المصروفات حسب الشهر'!J41</f>
        <v>0</v>
      </c>
      <c r="D739" s="31" t="e">
        <f>#REF!</f>
        <v>#REF!</v>
      </c>
      <c r="E739" s="31" t="e">
        <f>#REF!</f>
        <v>#REF!</v>
      </c>
      <c r="F739" s="31" t="e">
        <f>#REF!</f>
        <v>#REF!</v>
      </c>
      <c r="G739" s="31" t="e">
        <f>#REF!</f>
        <v>#REF!</v>
      </c>
      <c r="H739" s="31" t="e">
        <f>#REF!</f>
        <v>#REF!</v>
      </c>
      <c r="I739" s="31">
        <f>'تقرير المصروفات حسب الشهر'!J794</f>
        <v>0</v>
      </c>
      <c r="J739" s="31">
        <f>'تقرير المصروفات حسب الشهر'!J921</f>
        <v>0</v>
      </c>
      <c r="K739" s="31">
        <f>'تقرير المصروفات حسب الشهر'!J1048</f>
        <v>0</v>
      </c>
      <c r="L739" s="292">
        <f>IFERROR(VLOOKUP(B739,'تقرير المصروفات حسب الشهر'!$C$1143:$AD$1254,8,FALSE),0)</f>
        <v>0</v>
      </c>
      <c r="M739" s="292">
        <f>IFERROR(VLOOKUP(B739,'تقرير المصروفات حسب الشهر'!$C$1270:$AD$1381,8,FALSE),0)</f>
        <v>0</v>
      </c>
      <c r="N739" s="31" t="e">
        <f>#REF!</f>
        <v>#REF!</v>
      </c>
      <c r="O739" s="37" t="e">
        <f t="shared" si="18"/>
        <v>#REF!</v>
      </c>
    </row>
    <row r="740" spans="2:15" ht="17.399999999999999">
      <c r="B740" s="42" t="s">
        <v>64</v>
      </c>
      <c r="C740" s="39">
        <f>'تقرير المصروفات حسب الشهر'!J42</f>
        <v>200</v>
      </c>
      <c r="D740" s="31" t="e">
        <f>#REF!</f>
        <v>#REF!</v>
      </c>
      <c r="E740" s="31" t="e">
        <f>#REF!</f>
        <v>#REF!</v>
      </c>
      <c r="F740" s="31" t="e">
        <f>#REF!</f>
        <v>#REF!</v>
      </c>
      <c r="G740" s="31" t="e">
        <f>#REF!</f>
        <v>#REF!</v>
      </c>
      <c r="H740" s="31" t="e">
        <f>#REF!</f>
        <v>#REF!</v>
      </c>
      <c r="I740" s="31">
        <f>'تقرير المصروفات حسب الشهر'!J795</f>
        <v>0</v>
      </c>
      <c r="J740" s="31">
        <f>'تقرير المصروفات حسب الشهر'!J922</f>
        <v>0</v>
      </c>
      <c r="K740" s="31">
        <f>'تقرير المصروفات حسب الشهر'!J1049</f>
        <v>0</v>
      </c>
      <c r="L740" s="292">
        <f>IFERROR(VLOOKUP(B740,'تقرير المصروفات حسب الشهر'!$C$1143:$AD$1254,8,FALSE),0)</f>
        <v>400</v>
      </c>
      <c r="M740" s="292">
        <f>IFERROR(VLOOKUP(B740,'تقرير المصروفات حسب الشهر'!$C$1270:$AD$1381,8,FALSE),0)</f>
        <v>0</v>
      </c>
      <c r="N740" s="31" t="e">
        <f>#REF!</f>
        <v>#REF!</v>
      </c>
      <c r="O740" s="37" t="e">
        <f t="shared" si="18"/>
        <v>#REF!</v>
      </c>
    </row>
    <row r="741" spans="2:15" ht="17.399999999999999">
      <c r="B741" s="42" t="s">
        <v>28</v>
      </c>
      <c r="C741" s="39">
        <f>'تقرير المصروفات حسب الشهر'!J43</f>
        <v>0</v>
      </c>
      <c r="D741" s="31" t="e">
        <f>#REF!</f>
        <v>#REF!</v>
      </c>
      <c r="E741" s="31" t="e">
        <f>#REF!</f>
        <v>#REF!</v>
      </c>
      <c r="F741" s="31" t="e">
        <f>#REF!</f>
        <v>#REF!</v>
      </c>
      <c r="G741" s="31" t="e">
        <f>#REF!</f>
        <v>#REF!</v>
      </c>
      <c r="H741" s="31" t="e">
        <f>#REF!</f>
        <v>#REF!</v>
      </c>
      <c r="I741" s="31">
        <f>'تقرير المصروفات حسب الشهر'!J796</f>
        <v>0</v>
      </c>
      <c r="J741" s="31">
        <f>'تقرير المصروفات حسب الشهر'!J923</f>
        <v>0</v>
      </c>
      <c r="K741" s="31">
        <f>'تقرير المصروفات حسب الشهر'!J1050</f>
        <v>0</v>
      </c>
      <c r="L741" s="292">
        <f>IFERROR(VLOOKUP(B741,'تقرير المصروفات حسب الشهر'!$C$1143:$AD$1254,8,FALSE),0)</f>
        <v>0</v>
      </c>
      <c r="M741" s="292">
        <f>IFERROR(VLOOKUP(B741,'تقرير المصروفات حسب الشهر'!$C$1270:$AD$1381,8,FALSE),0)</f>
        <v>0</v>
      </c>
      <c r="N741" s="31" t="e">
        <f>#REF!</f>
        <v>#REF!</v>
      </c>
      <c r="O741" s="37" t="e">
        <f t="shared" si="18"/>
        <v>#REF!</v>
      </c>
    </row>
    <row r="742" spans="2:15" ht="17.399999999999999">
      <c r="B742" s="42" t="s">
        <v>157</v>
      </c>
      <c r="C742" s="39">
        <f>'تقرير المصروفات حسب الشهر'!J44</f>
        <v>0</v>
      </c>
      <c r="D742" s="31" t="e">
        <f>#REF!</f>
        <v>#REF!</v>
      </c>
      <c r="E742" s="31" t="e">
        <f>#REF!</f>
        <v>#REF!</v>
      </c>
      <c r="F742" s="31" t="e">
        <f>#REF!</f>
        <v>#REF!</v>
      </c>
      <c r="G742" s="31" t="e">
        <f>#REF!</f>
        <v>#REF!</v>
      </c>
      <c r="H742" s="31" t="e">
        <f>#REF!</f>
        <v>#REF!</v>
      </c>
      <c r="I742" s="31">
        <f>'تقرير المصروفات حسب الشهر'!J797</f>
        <v>0</v>
      </c>
      <c r="J742" s="31">
        <f>'تقرير المصروفات حسب الشهر'!J924</f>
        <v>0</v>
      </c>
      <c r="K742" s="31">
        <f>'تقرير المصروفات حسب الشهر'!J1051</f>
        <v>0</v>
      </c>
      <c r="L742" s="292">
        <f>IFERROR(VLOOKUP(B742,'تقرير المصروفات حسب الشهر'!$C$1143:$AD$1254,8,FALSE),0)</f>
        <v>0</v>
      </c>
      <c r="M742" s="292">
        <f>IFERROR(VLOOKUP(B742,'تقرير المصروفات حسب الشهر'!$C$1270:$AD$1381,8,FALSE),0)</f>
        <v>0</v>
      </c>
      <c r="N742" s="31" t="e">
        <f>#REF!</f>
        <v>#REF!</v>
      </c>
      <c r="O742" s="37" t="e">
        <f t="shared" si="18"/>
        <v>#REF!</v>
      </c>
    </row>
    <row r="743" spans="2:15" ht="17.399999999999999">
      <c r="B743" s="42" t="s">
        <v>65</v>
      </c>
      <c r="C743" s="39">
        <f>'تقرير المصروفات حسب الشهر'!J45</f>
        <v>0</v>
      </c>
      <c r="D743" s="31" t="e">
        <f>#REF!</f>
        <v>#REF!</v>
      </c>
      <c r="E743" s="31" t="e">
        <f>#REF!</f>
        <v>#REF!</v>
      </c>
      <c r="F743" s="31" t="e">
        <f>#REF!</f>
        <v>#REF!</v>
      </c>
      <c r="G743" s="31" t="e">
        <f>#REF!</f>
        <v>#REF!</v>
      </c>
      <c r="H743" s="31" t="e">
        <f>#REF!</f>
        <v>#REF!</v>
      </c>
      <c r="I743" s="31">
        <f>'تقرير المصروفات حسب الشهر'!J798</f>
        <v>0</v>
      </c>
      <c r="J743" s="31">
        <f>'تقرير المصروفات حسب الشهر'!J925</f>
        <v>0</v>
      </c>
      <c r="K743" s="31">
        <f>'تقرير المصروفات حسب الشهر'!J1052</f>
        <v>0</v>
      </c>
      <c r="L743" s="292">
        <f>IFERROR(VLOOKUP(B743,'تقرير المصروفات حسب الشهر'!$C$1143:$AD$1254,8,FALSE),0)</f>
        <v>0</v>
      </c>
      <c r="M743" s="292">
        <f>IFERROR(VLOOKUP(B743,'تقرير المصروفات حسب الشهر'!$C$1270:$AD$1381,8,FALSE),0)</f>
        <v>0</v>
      </c>
      <c r="N743" s="31" t="e">
        <f>#REF!</f>
        <v>#REF!</v>
      </c>
      <c r="O743" s="37" t="e">
        <f t="shared" si="18"/>
        <v>#REF!</v>
      </c>
    </row>
    <row r="744" spans="2:15" ht="17.399999999999999">
      <c r="B744" s="42" t="s">
        <v>66</v>
      </c>
      <c r="C744" s="39">
        <f>'تقرير المصروفات حسب الشهر'!J46</f>
        <v>0</v>
      </c>
      <c r="D744" s="31" t="e">
        <f>#REF!</f>
        <v>#REF!</v>
      </c>
      <c r="E744" s="31" t="e">
        <f>#REF!</f>
        <v>#REF!</v>
      </c>
      <c r="F744" s="31" t="e">
        <f>#REF!</f>
        <v>#REF!</v>
      </c>
      <c r="G744" s="31" t="e">
        <f>#REF!</f>
        <v>#REF!</v>
      </c>
      <c r="H744" s="31" t="e">
        <f>#REF!</f>
        <v>#REF!</v>
      </c>
      <c r="I744" s="31">
        <f>'تقرير المصروفات حسب الشهر'!J799</f>
        <v>0</v>
      </c>
      <c r="J744" s="31">
        <f>'تقرير المصروفات حسب الشهر'!J926</f>
        <v>0</v>
      </c>
      <c r="K744" s="31">
        <f>'تقرير المصروفات حسب الشهر'!J1053</f>
        <v>0</v>
      </c>
      <c r="L744" s="292">
        <f>IFERROR(VLOOKUP(B744,'تقرير المصروفات حسب الشهر'!$C$1143:$AD$1254,8,FALSE),0)</f>
        <v>0</v>
      </c>
      <c r="M744" s="292">
        <f>IFERROR(VLOOKUP(B744,'تقرير المصروفات حسب الشهر'!$C$1270:$AD$1381,8,FALSE),0)</f>
        <v>0</v>
      </c>
      <c r="N744" s="31" t="e">
        <f>#REF!</f>
        <v>#REF!</v>
      </c>
      <c r="O744" s="37" t="e">
        <f t="shared" si="18"/>
        <v>#REF!</v>
      </c>
    </row>
    <row r="745" spans="2:15" ht="17.399999999999999">
      <c r="B745" s="42" t="s">
        <v>30</v>
      </c>
      <c r="C745" s="39">
        <f>'تقرير المصروفات حسب الشهر'!J47</f>
        <v>0</v>
      </c>
      <c r="D745" s="31" t="e">
        <f>#REF!</f>
        <v>#REF!</v>
      </c>
      <c r="E745" s="31" t="e">
        <f>#REF!</f>
        <v>#REF!</v>
      </c>
      <c r="F745" s="31" t="e">
        <f>#REF!</f>
        <v>#REF!</v>
      </c>
      <c r="G745" s="31" t="e">
        <f>#REF!</f>
        <v>#REF!</v>
      </c>
      <c r="H745" s="31" t="e">
        <f>#REF!</f>
        <v>#REF!</v>
      </c>
      <c r="I745" s="31">
        <f>'تقرير المصروفات حسب الشهر'!J800</f>
        <v>1500.25</v>
      </c>
      <c r="J745" s="31">
        <f>'تقرير المصروفات حسب الشهر'!J927</f>
        <v>0</v>
      </c>
      <c r="K745" s="31">
        <f>'تقرير المصروفات حسب الشهر'!J1054</f>
        <v>4222.25</v>
      </c>
      <c r="L745" s="292">
        <f>IFERROR(VLOOKUP(B745,'تقرير المصروفات حسب الشهر'!$C$1143:$AD$1254,8,FALSE),0)</f>
        <v>1300</v>
      </c>
      <c r="M745" s="292">
        <f>IFERROR(VLOOKUP(B745,'تقرير المصروفات حسب الشهر'!$C$1270:$AD$1381,8,FALSE),0)</f>
        <v>4555.25</v>
      </c>
      <c r="N745" s="31" t="e">
        <f>#REF!</f>
        <v>#REF!</v>
      </c>
      <c r="O745" s="37" t="e">
        <f t="shared" si="18"/>
        <v>#REF!</v>
      </c>
    </row>
    <row r="746" spans="2:15" ht="17.399999999999999">
      <c r="B746" s="42" t="s">
        <v>67</v>
      </c>
      <c r="C746" s="39">
        <f>'تقرير المصروفات حسب الشهر'!J48</f>
        <v>0</v>
      </c>
      <c r="D746" s="31" t="e">
        <f>#REF!</f>
        <v>#REF!</v>
      </c>
      <c r="E746" s="31" t="e">
        <f>#REF!</f>
        <v>#REF!</v>
      </c>
      <c r="F746" s="31" t="e">
        <f>#REF!</f>
        <v>#REF!</v>
      </c>
      <c r="G746" s="31" t="e">
        <f>#REF!</f>
        <v>#REF!</v>
      </c>
      <c r="H746" s="31" t="e">
        <f>#REF!</f>
        <v>#REF!</v>
      </c>
      <c r="I746" s="31">
        <f>'تقرير المصروفات حسب الشهر'!J801</f>
        <v>0</v>
      </c>
      <c r="J746" s="31">
        <f>'تقرير المصروفات حسب الشهر'!J928</f>
        <v>4158</v>
      </c>
      <c r="K746" s="31">
        <f>'تقرير المصروفات حسب الشهر'!J1055</f>
        <v>0</v>
      </c>
      <c r="L746" s="292">
        <f>IFERROR(VLOOKUP(B746,'تقرير المصروفات حسب الشهر'!$C$1143:$AD$1254,8,FALSE),0)</f>
        <v>1980</v>
      </c>
      <c r="M746" s="292">
        <f>IFERROR(VLOOKUP(B746,'تقرير المصروفات حسب الشهر'!$C$1270:$AD$1381,8,FALSE),0)</f>
        <v>0</v>
      </c>
      <c r="N746" s="31" t="e">
        <f>#REF!</f>
        <v>#REF!</v>
      </c>
      <c r="O746" s="37" t="e">
        <f t="shared" si="18"/>
        <v>#REF!</v>
      </c>
    </row>
    <row r="747" spans="2:15" ht="17.399999999999999">
      <c r="B747" s="42" t="s">
        <v>111</v>
      </c>
      <c r="C747" s="39">
        <f>'تقرير المصروفات حسب الشهر'!J49</f>
        <v>0</v>
      </c>
      <c r="D747" s="31" t="e">
        <f>#REF!</f>
        <v>#REF!</v>
      </c>
      <c r="E747" s="31" t="e">
        <f>#REF!</f>
        <v>#REF!</v>
      </c>
      <c r="F747" s="31" t="e">
        <f>#REF!</f>
        <v>#REF!</v>
      </c>
      <c r="G747" s="31" t="e">
        <f>#REF!</f>
        <v>#REF!</v>
      </c>
      <c r="H747" s="31" t="e">
        <f>#REF!</f>
        <v>#REF!</v>
      </c>
      <c r="I747" s="31">
        <f>'تقرير المصروفات حسب الشهر'!J802</f>
        <v>0</v>
      </c>
      <c r="J747" s="31">
        <f>'تقرير المصروفات حسب الشهر'!J929</f>
        <v>0</v>
      </c>
      <c r="K747" s="31">
        <f>'تقرير المصروفات حسب الشهر'!J1056</f>
        <v>350</v>
      </c>
      <c r="L747" s="292">
        <f>IFERROR(VLOOKUP(B747,'تقرير المصروفات حسب الشهر'!$C$1143:$AD$1254,8,FALSE),0)</f>
        <v>0</v>
      </c>
      <c r="M747" s="292">
        <f>IFERROR(VLOOKUP(B747,'تقرير المصروفات حسب الشهر'!$C$1270:$AD$1381,8,FALSE),0)</f>
        <v>0</v>
      </c>
      <c r="N747" s="31" t="e">
        <f>#REF!</f>
        <v>#REF!</v>
      </c>
      <c r="O747" s="37" t="e">
        <f t="shared" si="18"/>
        <v>#REF!</v>
      </c>
    </row>
    <row r="748" spans="2:15" ht="17.399999999999999">
      <c r="B748" s="42" t="s">
        <v>68</v>
      </c>
      <c r="C748" s="39">
        <f>'تقرير المصروفات حسب الشهر'!J50</f>
        <v>0</v>
      </c>
      <c r="D748" s="31" t="e">
        <f>#REF!</f>
        <v>#REF!</v>
      </c>
      <c r="E748" s="31" t="e">
        <f>#REF!</f>
        <v>#REF!</v>
      </c>
      <c r="F748" s="31" t="e">
        <f>#REF!</f>
        <v>#REF!</v>
      </c>
      <c r="G748" s="31" t="e">
        <f>#REF!</f>
        <v>#REF!</v>
      </c>
      <c r="H748" s="31" t="e">
        <f>#REF!</f>
        <v>#REF!</v>
      </c>
      <c r="I748" s="31">
        <f>'تقرير المصروفات حسب الشهر'!J803</f>
        <v>0</v>
      </c>
      <c r="J748" s="31">
        <f>'تقرير المصروفات حسب الشهر'!J930</f>
        <v>0</v>
      </c>
      <c r="K748" s="31">
        <f>'تقرير المصروفات حسب الشهر'!J1057</f>
        <v>0</v>
      </c>
      <c r="L748" s="292">
        <f>IFERROR(VLOOKUP(B748,'تقرير المصروفات حسب الشهر'!$C$1143:$AD$1254,8,FALSE),0)</f>
        <v>0</v>
      </c>
      <c r="M748" s="292">
        <f>IFERROR(VLOOKUP(B748,'تقرير المصروفات حسب الشهر'!$C$1270:$AD$1381,8,FALSE),0)</f>
        <v>0</v>
      </c>
      <c r="N748" s="31" t="e">
        <f>#REF!</f>
        <v>#REF!</v>
      </c>
      <c r="O748" s="37" t="e">
        <f t="shared" si="18"/>
        <v>#REF!</v>
      </c>
    </row>
    <row r="749" spans="2:15" ht="17.399999999999999">
      <c r="B749" s="42" t="s">
        <v>69</v>
      </c>
      <c r="C749" s="39">
        <f>'تقرير المصروفات حسب الشهر'!J51</f>
        <v>0</v>
      </c>
      <c r="D749" s="31" t="e">
        <f>#REF!</f>
        <v>#REF!</v>
      </c>
      <c r="E749" s="31" t="e">
        <f>#REF!</f>
        <v>#REF!</v>
      </c>
      <c r="F749" s="31" t="e">
        <f>#REF!</f>
        <v>#REF!</v>
      </c>
      <c r="G749" s="31" t="e">
        <f>#REF!</f>
        <v>#REF!</v>
      </c>
      <c r="H749" s="31" t="e">
        <f>#REF!</f>
        <v>#REF!</v>
      </c>
      <c r="I749" s="31">
        <f>'تقرير المصروفات حسب الشهر'!J804</f>
        <v>0</v>
      </c>
      <c r="J749" s="31">
        <f>'تقرير المصروفات حسب الشهر'!J931</f>
        <v>0</v>
      </c>
      <c r="K749" s="31">
        <f>'تقرير المصروفات حسب الشهر'!J1058</f>
        <v>0</v>
      </c>
      <c r="L749" s="292">
        <f>IFERROR(VLOOKUP(B749,'تقرير المصروفات حسب الشهر'!$C$1143:$AD$1254,8,FALSE),0)</f>
        <v>0</v>
      </c>
      <c r="M749" s="292">
        <f>IFERROR(VLOOKUP(B749,'تقرير المصروفات حسب الشهر'!$C$1270:$AD$1381,8,FALSE),0)</f>
        <v>0</v>
      </c>
      <c r="N749" s="31" t="e">
        <f>#REF!</f>
        <v>#REF!</v>
      </c>
      <c r="O749" s="37" t="e">
        <f t="shared" si="18"/>
        <v>#REF!</v>
      </c>
    </row>
    <row r="750" spans="2:15" ht="17.399999999999999">
      <c r="B750" s="42" t="s">
        <v>70</v>
      </c>
      <c r="C750" s="39">
        <f>'تقرير المصروفات حسب الشهر'!J52</f>
        <v>0</v>
      </c>
      <c r="D750" s="31" t="e">
        <f>#REF!</f>
        <v>#REF!</v>
      </c>
      <c r="E750" s="31" t="e">
        <f>#REF!</f>
        <v>#REF!</v>
      </c>
      <c r="F750" s="31" t="e">
        <f>#REF!</f>
        <v>#REF!</v>
      </c>
      <c r="G750" s="31" t="e">
        <f>#REF!</f>
        <v>#REF!</v>
      </c>
      <c r="H750" s="31" t="e">
        <f>#REF!</f>
        <v>#REF!</v>
      </c>
      <c r="I750" s="31">
        <f>'تقرير المصروفات حسب الشهر'!J805</f>
        <v>0</v>
      </c>
      <c r="J750" s="31">
        <f>'تقرير المصروفات حسب الشهر'!J932</f>
        <v>0</v>
      </c>
      <c r="K750" s="31">
        <f>'تقرير المصروفات حسب الشهر'!J1059</f>
        <v>0</v>
      </c>
      <c r="L750" s="292">
        <f>IFERROR(VLOOKUP(B750,'تقرير المصروفات حسب الشهر'!$C$1143:$AD$1254,8,FALSE),0)</f>
        <v>0</v>
      </c>
      <c r="M750" s="292">
        <f>IFERROR(VLOOKUP(B750,'تقرير المصروفات حسب الشهر'!$C$1270:$AD$1381,8,FALSE),0)</f>
        <v>0</v>
      </c>
      <c r="N750" s="31" t="e">
        <f>#REF!</f>
        <v>#REF!</v>
      </c>
      <c r="O750" s="37" t="e">
        <f t="shared" si="18"/>
        <v>#REF!</v>
      </c>
    </row>
    <row r="751" spans="2:15" ht="17.399999999999999">
      <c r="B751" s="42" t="s">
        <v>71</v>
      </c>
      <c r="C751" s="39">
        <f>'تقرير المصروفات حسب الشهر'!J53</f>
        <v>0</v>
      </c>
      <c r="D751" s="31" t="e">
        <f>#REF!</f>
        <v>#REF!</v>
      </c>
      <c r="E751" s="31" t="e">
        <f>#REF!</f>
        <v>#REF!</v>
      </c>
      <c r="F751" s="31" t="e">
        <f>#REF!</f>
        <v>#REF!</v>
      </c>
      <c r="G751" s="31" t="e">
        <f>#REF!</f>
        <v>#REF!</v>
      </c>
      <c r="H751" s="31" t="e">
        <f>#REF!</f>
        <v>#REF!</v>
      </c>
      <c r="I751" s="31">
        <f>'تقرير المصروفات حسب الشهر'!J806</f>
        <v>0</v>
      </c>
      <c r="J751" s="31">
        <f>'تقرير المصروفات حسب الشهر'!J933</f>
        <v>0</v>
      </c>
      <c r="K751" s="31">
        <f>'تقرير المصروفات حسب الشهر'!J1060</f>
        <v>0</v>
      </c>
      <c r="L751" s="292">
        <f>IFERROR(VLOOKUP(B751,'تقرير المصروفات حسب الشهر'!$C$1143:$AD$1254,8,FALSE),0)</f>
        <v>0</v>
      </c>
      <c r="M751" s="292">
        <f>IFERROR(VLOOKUP(B751,'تقرير المصروفات حسب الشهر'!$C$1270:$AD$1381,8,FALSE),0)</f>
        <v>0</v>
      </c>
      <c r="N751" s="31" t="e">
        <f>#REF!</f>
        <v>#REF!</v>
      </c>
      <c r="O751" s="37" t="e">
        <f t="shared" si="18"/>
        <v>#REF!</v>
      </c>
    </row>
    <row r="752" spans="2:15" ht="17.399999999999999">
      <c r="B752" s="42" t="s">
        <v>159</v>
      </c>
      <c r="C752" s="39">
        <f>'تقرير المصروفات حسب الشهر'!J54</f>
        <v>0</v>
      </c>
      <c r="D752" s="31" t="e">
        <f>#REF!</f>
        <v>#REF!</v>
      </c>
      <c r="E752" s="31" t="e">
        <f>#REF!</f>
        <v>#REF!</v>
      </c>
      <c r="F752" s="31" t="e">
        <f>#REF!</f>
        <v>#REF!</v>
      </c>
      <c r="G752" s="31" t="e">
        <f>#REF!</f>
        <v>#REF!</v>
      </c>
      <c r="H752" s="31" t="e">
        <f>#REF!</f>
        <v>#REF!</v>
      </c>
      <c r="I752" s="31">
        <f>'تقرير المصروفات حسب الشهر'!J807</f>
        <v>0</v>
      </c>
      <c r="J752" s="31">
        <f>'تقرير المصروفات حسب الشهر'!J934</f>
        <v>0</v>
      </c>
      <c r="K752" s="31">
        <f>'تقرير المصروفات حسب الشهر'!J1061</f>
        <v>0</v>
      </c>
      <c r="L752" s="292">
        <f>IFERROR(VLOOKUP(B752,'تقرير المصروفات حسب الشهر'!$C$1143:$AD$1254,8,FALSE),0)</f>
        <v>0</v>
      </c>
      <c r="M752" s="292">
        <f>IFERROR(VLOOKUP(B752,'تقرير المصروفات حسب الشهر'!$C$1270:$AD$1381,8,FALSE),0)</f>
        <v>0</v>
      </c>
      <c r="N752" s="31" t="e">
        <f>#REF!</f>
        <v>#REF!</v>
      </c>
      <c r="O752" s="37" t="e">
        <f t="shared" si="18"/>
        <v>#REF!</v>
      </c>
    </row>
    <row r="753" spans="2:15" ht="17.399999999999999">
      <c r="B753" s="42" t="s">
        <v>72</v>
      </c>
      <c r="C753" s="39">
        <f>'تقرير المصروفات حسب الشهر'!J55</f>
        <v>0</v>
      </c>
      <c r="D753" s="31" t="e">
        <f>#REF!</f>
        <v>#REF!</v>
      </c>
      <c r="E753" s="31" t="e">
        <f>#REF!</f>
        <v>#REF!</v>
      </c>
      <c r="F753" s="31" t="e">
        <f>#REF!</f>
        <v>#REF!</v>
      </c>
      <c r="G753" s="31" t="e">
        <f>#REF!</f>
        <v>#REF!</v>
      </c>
      <c r="H753" s="31" t="e">
        <f>#REF!</f>
        <v>#REF!</v>
      </c>
      <c r="I753" s="31">
        <f>'تقرير المصروفات حسب الشهر'!J808</f>
        <v>0</v>
      </c>
      <c r="J753" s="31">
        <f>'تقرير المصروفات حسب الشهر'!J935</f>
        <v>0</v>
      </c>
      <c r="K753" s="31">
        <f>'تقرير المصروفات حسب الشهر'!J1062</f>
        <v>0</v>
      </c>
      <c r="L753" s="292">
        <f>IFERROR(VLOOKUP(B753,'تقرير المصروفات حسب الشهر'!$C$1143:$AD$1254,8,FALSE),0)</f>
        <v>0</v>
      </c>
      <c r="M753" s="292">
        <f>IFERROR(VLOOKUP(B753,'تقرير المصروفات حسب الشهر'!$C$1270:$AD$1381,8,FALSE),0)</f>
        <v>0</v>
      </c>
      <c r="N753" s="31" t="e">
        <f>#REF!</f>
        <v>#REF!</v>
      </c>
      <c r="O753" s="37" t="e">
        <f t="shared" si="18"/>
        <v>#REF!</v>
      </c>
    </row>
    <row r="754" spans="2:15" ht="17.399999999999999">
      <c r="B754" s="42" t="s">
        <v>73</v>
      </c>
      <c r="C754" s="39">
        <f>'تقرير المصروفات حسب الشهر'!J56</f>
        <v>0</v>
      </c>
      <c r="D754" s="31" t="e">
        <f>#REF!</f>
        <v>#REF!</v>
      </c>
      <c r="E754" s="31" t="e">
        <f>#REF!</f>
        <v>#REF!</v>
      </c>
      <c r="F754" s="31" t="e">
        <f>#REF!</f>
        <v>#REF!</v>
      </c>
      <c r="G754" s="31" t="e">
        <f>#REF!</f>
        <v>#REF!</v>
      </c>
      <c r="H754" s="31" t="e">
        <f>#REF!</f>
        <v>#REF!</v>
      </c>
      <c r="I754" s="31">
        <f>'تقرير المصروفات حسب الشهر'!J809</f>
        <v>0</v>
      </c>
      <c r="J754" s="31">
        <f>'تقرير المصروفات حسب الشهر'!J936</f>
        <v>0</v>
      </c>
      <c r="K754" s="31">
        <f>'تقرير المصروفات حسب الشهر'!J1063</f>
        <v>0</v>
      </c>
      <c r="L754" s="292">
        <f>IFERROR(VLOOKUP(B754,'تقرير المصروفات حسب الشهر'!$C$1143:$AD$1254,8,FALSE),0)</f>
        <v>0</v>
      </c>
      <c r="M754" s="292">
        <f>IFERROR(VLOOKUP(B754,'تقرير المصروفات حسب الشهر'!$C$1270:$AD$1381,8,FALSE),0)</f>
        <v>0</v>
      </c>
      <c r="N754" s="31" t="e">
        <f>#REF!</f>
        <v>#REF!</v>
      </c>
      <c r="O754" s="37" t="e">
        <f t="shared" si="18"/>
        <v>#REF!</v>
      </c>
    </row>
    <row r="755" spans="2:15" ht="17.399999999999999">
      <c r="B755" s="42" t="s">
        <v>74</v>
      </c>
      <c r="C755" s="39">
        <f>'تقرير المصروفات حسب الشهر'!J57</f>
        <v>0</v>
      </c>
      <c r="D755" s="31" t="e">
        <f>#REF!</f>
        <v>#REF!</v>
      </c>
      <c r="E755" s="31" t="e">
        <f>#REF!</f>
        <v>#REF!</v>
      </c>
      <c r="F755" s="31" t="e">
        <f>#REF!</f>
        <v>#REF!</v>
      </c>
      <c r="G755" s="31" t="e">
        <f>#REF!</f>
        <v>#REF!</v>
      </c>
      <c r="H755" s="31" t="e">
        <f>#REF!</f>
        <v>#REF!</v>
      </c>
      <c r="I755" s="31">
        <f>'تقرير المصروفات حسب الشهر'!J810</f>
        <v>0</v>
      </c>
      <c r="J755" s="31">
        <f>'تقرير المصروفات حسب الشهر'!J937</f>
        <v>0</v>
      </c>
      <c r="K755" s="31">
        <f>'تقرير المصروفات حسب الشهر'!J1064</f>
        <v>0</v>
      </c>
      <c r="L755" s="292">
        <f>IFERROR(VLOOKUP(B755,'تقرير المصروفات حسب الشهر'!$C$1143:$AD$1254,8,FALSE),0)</f>
        <v>0</v>
      </c>
      <c r="M755" s="292">
        <f>IFERROR(VLOOKUP(B755,'تقرير المصروفات حسب الشهر'!$C$1270:$AD$1381,8,FALSE),0)</f>
        <v>0</v>
      </c>
      <c r="N755" s="31" t="e">
        <f>#REF!</f>
        <v>#REF!</v>
      </c>
      <c r="O755" s="37" t="e">
        <f t="shared" si="18"/>
        <v>#REF!</v>
      </c>
    </row>
    <row r="756" spans="2:15" ht="17.399999999999999">
      <c r="B756" s="42" t="s">
        <v>246</v>
      </c>
      <c r="C756" s="39">
        <f>'تقرير المصروفات حسب الشهر'!J58</f>
        <v>0</v>
      </c>
      <c r="D756" s="31" t="e">
        <f>#REF!</f>
        <v>#REF!</v>
      </c>
      <c r="E756" s="31" t="e">
        <f>#REF!</f>
        <v>#REF!</v>
      </c>
      <c r="F756" s="31" t="e">
        <f>#REF!</f>
        <v>#REF!</v>
      </c>
      <c r="G756" s="31" t="e">
        <f>#REF!</f>
        <v>#REF!</v>
      </c>
      <c r="H756" s="31" t="e">
        <f>#REF!</f>
        <v>#REF!</v>
      </c>
      <c r="I756" s="31">
        <f>'تقرير المصروفات حسب الشهر'!J811</f>
        <v>0</v>
      </c>
      <c r="J756" s="31">
        <f>'تقرير المصروفات حسب الشهر'!J938</f>
        <v>0</v>
      </c>
      <c r="K756" s="31">
        <f>'تقرير المصروفات حسب الشهر'!J1065</f>
        <v>0</v>
      </c>
      <c r="L756" s="292">
        <f>IFERROR(VLOOKUP(B756,'تقرير المصروفات حسب الشهر'!$C$1143:$AD$1254,8,FALSE),0)</f>
        <v>0</v>
      </c>
      <c r="M756" s="292">
        <f>IFERROR(VLOOKUP(B756,'تقرير المصروفات حسب الشهر'!$C$1270:$AD$1381,8,FALSE),0)</f>
        <v>0</v>
      </c>
      <c r="N756" s="31" t="e">
        <f>#REF!</f>
        <v>#REF!</v>
      </c>
      <c r="O756" s="37" t="e">
        <f t="shared" si="18"/>
        <v>#REF!</v>
      </c>
    </row>
    <row r="757" spans="2:15" ht="17.399999999999999">
      <c r="B757" s="42" t="s">
        <v>75</v>
      </c>
      <c r="C757" s="39">
        <f>'تقرير المصروفات حسب الشهر'!J59</f>
        <v>0</v>
      </c>
      <c r="D757" s="31" t="e">
        <f>#REF!</f>
        <v>#REF!</v>
      </c>
      <c r="E757" s="31" t="e">
        <f>#REF!</f>
        <v>#REF!</v>
      </c>
      <c r="F757" s="31" t="e">
        <f>#REF!</f>
        <v>#REF!</v>
      </c>
      <c r="G757" s="31" t="e">
        <f>#REF!</f>
        <v>#REF!</v>
      </c>
      <c r="H757" s="31" t="e">
        <f>#REF!</f>
        <v>#REF!</v>
      </c>
      <c r="I757" s="31">
        <f>'تقرير المصروفات حسب الشهر'!J812</f>
        <v>0</v>
      </c>
      <c r="J757" s="31">
        <f>'تقرير المصروفات حسب الشهر'!J939</f>
        <v>0</v>
      </c>
      <c r="K757" s="31">
        <f>'تقرير المصروفات حسب الشهر'!J1066</f>
        <v>0</v>
      </c>
      <c r="L757" s="292">
        <f>IFERROR(VLOOKUP(B757,'تقرير المصروفات حسب الشهر'!$C$1143:$AD$1254,8,FALSE),0)</f>
        <v>0</v>
      </c>
      <c r="M757" s="292">
        <f>IFERROR(VLOOKUP(B757,'تقرير المصروفات حسب الشهر'!$C$1270:$AD$1381,8,FALSE),0)</f>
        <v>0</v>
      </c>
      <c r="N757" s="31" t="e">
        <f>#REF!</f>
        <v>#REF!</v>
      </c>
      <c r="O757" s="37" t="e">
        <f t="shared" si="18"/>
        <v>#REF!</v>
      </c>
    </row>
    <row r="758" spans="2:15" ht="17.399999999999999">
      <c r="B758" s="42" t="s">
        <v>76</v>
      </c>
      <c r="C758" s="39">
        <f>'تقرير المصروفات حسب الشهر'!J60</f>
        <v>0</v>
      </c>
      <c r="D758" s="31" t="e">
        <f>#REF!</f>
        <v>#REF!</v>
      </c>
      <c r="E758" s="31" t="e">
        <f>#REF!</f>
        <v>#REF!</v>
      </c>
      <c r="F758" s="31" t="e">
        <f>#REF!</f>
        <v>#REF!</v>
      </c>
      <c r="G758" s="31" t="e">
        <f>#REF!</f>
        <v>#REF!</v>
      </c>
      <c r="H758" s="31" t="e">
        <f>#REF!</f>
        <v>#REF!</v>
      </c>
      <c r="I758" s="31">
        <f>'تقرير المصروفات حسب الشهر'!J813</f>
        <v>0</v>
      </c>
      <c r="J758" s="31">
        <f>'تقرير المصروفات حسب الشهر'!J940</f>
        <v>0</v>
      </c>
      <c r="K758" s="31">
        <f>'تقرير المصروفات حسب الشهر'!J1067</f>
        <v>0</v>
      </c>
      <c r="L758" s="292">
        <f>IFERROR(VLOOKUP(B758,'تقرير المصروفات حسب الشهر'!$C$1143:$AD$1254,8,FALSE),0)</f>
        <v>0</v>
      </c>
      <c r="M758" s="292">
        <f>IFERROR(VLOOKUP(B758,'تقرير المصروفات حسب الشهر'!$C$1270:$AD$1381,8,FALSE),0)</f>
        <v>0</v>
      </c>
      <c r="N758" s="31" t="e">
        <f>#REF!</f>
        <v>#REF!</v>
      </c>
      <c r="O758" s="37" t="e">
        <f t="shared" si="18"/>
        <v>#REF!</v>
      </c>
    </row>
    <row r="759" spans="2:15" ht="17.399999999999999">
      <c r="B759" s="42" t="s">
        <v>77</v>
      </c>
      <c r="C759" s="39">
        <f>'تقرير المصروفات حسب الشهر'!J61</f>
        <v>0</v>
      </c>
      <c r="D759" s="31" t="e">
        <f>#REF!</f>
        <v>#REF!</v>
      </c>
      <c r="E759" s="31" t="e">
        <f>#REF!</f>
        <v>#REF!</v>
      </c>
      <c r="F759" s="31" t="e">
        <f>#REF!</f>
        <v>#REF!</v>
      </c>
      <c r="G759" s="31" t="e">
        <f>#REF!</f>
        <v>#REF!</v>
      </c>
      <c r="H759" s="31" t="e">
        <f>#REF!</f>
        <v>#REF!</v>
      </c>
      <c r="I759" s="31">
        <f>'تقرير المصروفات حسب الشهر'!J814</f>
        <v>0</v>
      </c>
      <c r="J759" s="31">
        <f>'تقرير المصروفات حسب الشهر'!J941</f>
        <v>0</v>
      </c>
      <c r="K759" s="31">
        <f>'تقرير المصروفات حسب الشهر'!J1068</f>
        <v>0</v>
      </c>
      <c r="L759" s="292">
        <f>IFERROR(VLOOKUP(B759,'تقرير المصروفات حسب الشهر'!$C$1143:$AD$1254,8,FALSE),0)</f>
        <v>0</v>
      </c>
      <c r="M759" s="292">
        <f>IFERROR(VLOOKUP(B759,'تقرير المصروفات حسب الشهر'!$C$1270:$AD$1381,8,FALSE),0)</f>
        <v>0</v>
      </c>
      <c r="N759" s="31" t="e">
        <f>#REF!</f>
        <v>#REF!</v>
      </c>
      <c r="O759" s="37" t="e">
        <f t="shared" si="18"/>
        <v>#REF!</v>
      </c>
    </row>
    <row r="760" spans="2:15" ht="17.399999999999999">
      <c r="B760" s="42" t="s">
        <v>78</v>
      </c>
      <c r="C760" s="39">
        <f>'تقرير المصروفات حسب الشهر'!J62</f>
        <v>0</v>
      </c>
      <c r="D760" s="31" t="e">
        <f>#REF!</f>
        <v>#REF!</v>
      </c>
      <c r="E760" s="31" t="e">
        <f>#REF!</f>
        <v>#REF!</v>
      </c>
      <c r="F760" s="31" t="e">
        <f>#REF!</f>
        <v>#REF!</v>
      </c>
      <c r="G760" s="31" t="e">
        <f>#REF!</f>
        <v>#REF!</v>
      </c>
      <c r="H760" s="31" t="e">
        <f>#REF!</f>
        <v>#REF!</v>
      </c>
      <c r="I760" s="31">
        <f>'تقرير المصروفات حسب الشهر'!J815</f>
        <v>0</v>
      </c>
      <c r="J760" s="31">
        <f>'تقرير المصروفات حسب الشهر'!J942</f>
        <v>0</v>
      </c>
      <c r="K760" s="31">
        <f>'تقرير المصروفات حسب الشهر'!J1069</f>
        <v>0</v>
      </c>
      <c r="L760" s="292">
        <f>IFERROR(VLOOKUP(B760,'تقرير المصروفات حسب الشهر'!$C$1143:$AD$1254,8,FALSE),0)</f>
        <v>0</v>
      </c>
      <c r="M760" s="292">
        <f>IFERROR(VLOOKUP(B760,'تقرير المصروفات حسب الشهر'!$C$1270:$AD$1381,8,FALSE),0)</f>
        <v>0</v>
      </c>
      <c r="N760" s="31" t="e">
        <f>#REF!</f>
        <v>#REF!</v>
      </c>
      <c r="O760" s="37" t="e">
        <f t="shared" si="18"/>
        <v>#REF!</v>
      </c>
    </row>
    <row r="761" spans="2:15" ht="17.399999999999999">
      <c r="B761" s="42" t="s">
        <v>79</v>
      </c>
      <c r="C761" s="39">
        <f>'تقرير المصروفات حسب الشهر'!J63</f>
        <v>0</v>
      </c>
      <c r="D761" s="31" t="e">
        <f>#REF!</f>
        <v>#REF!</v>
      </c>
      <c r="E761" s="31" t="e">
        <f>#REF!</f>
        <v>#REF!</v>
      </c>
      <c r="F761" s="31" t="e">
        <f>#REF!</f>
        <v>#REF!</v>
      </c>
      <c r="G761" s="31" t="e">
        <f>#REF!</f>
        <v>#REF!</v>
      </c>
      <c r="H761" s="31" t="e">
        <f>#REF!</f>
        <v>#REF!</v>
      </c>
      <c r="I761" s="31">
        <f>'تقرير المصروفات حسب الشهر'!J816</f>
        <v>0</v>
      </c>
      <c r="J761" s="31">
        <f>'تقرير المصروفات حسب الشهر'!J943</f>
        <v>0</v>
      </c>
      <c r="K761" s="31">
        <f>'تقرير المصروفات حسب الشهر'!J1070</f>
        <v>0</v>
      </c>
      <c r="L761" s="292">
        <f>IFERROR(VLOOKUP(B761,'تقرير المصروفات حسب الشهر'!$C$1143:$AD$1254,8,FALSE),0)</f>
        <v>0</v>
      </c>
      <c r="M761" s="292">
        <f>IFERROR(VLOOKUP(B761,'تقرير المصروفات حسب الشهر'!$C$1270:$AD$1381,8,FALSE),0)</f>
        <v>0</v>
      </c>
      <c r="N761" s="31" t="e">
        <f>#REF!</f>
        <v>#REF!</v>
      </c>
      <c r="O761" s="37" t="e">
        <f t="shared" si="18"/>
        <v>#REF!</v>
      </c>
    </row>
    <row r="762" spans="2:15" ht="17.399999999999999">
      <c r="B762" s="42" t="s">
        <v>80</v>
      </c>
      <c r="C762" s="39">
        <f>'تقرير المصروفات حسب الشهر'!J64</f>
        <v>0</v>
      </c>
      <c r="D762" s="31" t="e">
        <f>#REF!</f>
        <v>#REF!</v>
      </c>
      <c r="E762" s="31" t="e">
        <f>#REF!</f>
        <v>#REF!</v>
      </c>
      <c r="F762" s="31" t="e">
        <f>#REF!</f>
        <v>#REF!</v>
      </c>
      <c r="G762" s="31" t="e">
        <f>#REF!</f>
        <v>#REF!</v>
      </c>
      <c r="H762" s="31" t="e">
        <f>#REF!</f>
        <v>#REF!</v>
      </c>
      <c r="I762" s="31">
        <f>'تقرير المصروفات حسب الشهر'!J817</f>
        <v>0</v>
      </c>
      <c r="J762" s="31">
        <f>'تقرير المصروفات حسب الشهر'!J944</f>
        <v>0</v>
      </c>
      <c r="K762" s="31">
        <f>'تقرير المصروفات حسب الشهر'!J1071</f>
        <v>0</v>
      </c>
      <c r="L762" s="292">
        <f>IFERROR(VLOOKUP(B762,'تقرير المصروفات حسب الشهر'!$C$1143:$AD$1254,8,FALSE),0)</f>
        <v>0</v>
      </c>
      <c r="M762" s="292">
        <f>IFERROR(VLOOKUP(B762,'تقرير المصروفات حسب الشهر'!$C$1270:$AD$1381,8,FALSE),0)</f>
        <v>0</v>
      </c>
      <c r="N762" s="31" t="e">
        <f>#REF!</f>
        <v>#REF!</v>
      </c>
      <c r="O762" s="37" t="e">
        <f t="shared" si="18"/>
        <v>#REF!</v>
      </c>
    </row>
    <row r="763" spans="2:15" ht="17.399999999999999">
      <c r="B763" s="42" t="s">
        <v>81</v>
      </c>
      <c r="C763" s="39">
        <f>'تقرير المصروفات حسب الشهر'!J65</f>
        <v>0</v>
      </c>
      <c r="D763" s="31" t="e">
        <f>#REF!</f>
        <v>#REF!</v>
      </c>
      <c r="E763" s="31" t="e">
        <f>#REF!</f>
        <v>#REF!</v>
      </c>
      <c r="F763" s="31" t="e">
        <f>#REF!</f>
        <v>#REF!</v>
      </c>
      <c r="G763" s="31" t="e">
        <f>#REF!</f>
        <v>#REF!</v>
      </c>
      <c r="H763" s="31" t="e">
        <f>#REF!</f>
        <v>#REF!</v>
      </c>
      <c r="I763" s="31">
        <f>'تقرير المصروفات حسب الشهر'!J818</f>
        <v>0</v>
      </c>
      <c r="J763" s="31">
        <f>'تقرير المصروفات حسب الشهر'!J945</f>
        <v>0</v>
      </c>
      <c r="K763" s="31">
        <f>'تقرير المصروفات حسب الشهر'!J1072</f>
        <v>0</v>
      </c>
      <c r="L763" s="292">
        <f>IFERROR(VLOOKUP(B763,'تقرير المصروفات حسب الشهر'!$C$1143:$AD$1254,8,FALSE),0)</f>
        <v>0</v>
      </c>
      <c r="M763" s="292">
        <f>IFERROR(VLOOKUP(B763,'تقرير المصروفات حسب الشهر'!$C$1270:$AD$1381,8,FALSE),0)</f>
        <v>0</v>
      </c>
      <c r="N763" s="31" t="e">
        <f>#REF!</f>
        <v>#REF!</v>
      </c>
      <c r="O763" s="37" t="e">
        <f t="shared" si="18"/>
        <v>#REF!</v>
      </c>
    </row>
    <row r="764" spans="2:15" ht="17.399999999999999">
      <c r="B764" s="42" t="s">
        <v>82</v>
      </c>
      <c r="C764" s="39">
        <f>'تقرير المصروفات حسب الشهر'!J66</f>
        <v>0</v>
      </c>
      <c r="D764" s="31" t="e">
        <f>#REF!</f>
        <v>#REF!</v>
      </c>
      <c r="E764" s="31" t="e">
        <f>#REF!</f>
        <v>#REF!</v>
      </c>
      <c r="F764" s="31" t="e">
        <f>#REF!</f>
        <v>#REF!</v>
      </c>
      <c r="G764" s="31" t="e">
        <f>#REF!</f>
        <v>#REF!</v>
      </c>
      <c r="H764" s="31" t="e">
        <f>#REF!</f>
        <v>#REF!</v>
      </c>
      <c r="I764" s="31">
        <f>'تقرير المصروفات حسب الشهر'!J819</f>
        <v>0</v>
      </c>
      <c r="J764" s="31">
        <f>'تقرير المصروفات حسب الشهر'!J946</f>
        <v>0</v>
      </c>
      <c r="K764" s="31">
        <f>'تقرير المصروفات حسب الشهر'!J1073</f>
        <v>0</v>
      </c>
      <c r="L764" s="292">
        <f>IFERROR(VLOOKUP(B764,'تقرير المصروفات حسب الشهر'!$C$1143:$AD$1254,8,FALSE),0)</f>
        <v>0</v>
      </c>
      <c r="M764" s="292">
        <f>IFERROR(VLOOKUP(B764,'تقرير المصروفات حسب الشهر'!$C$1270:$AD$1381,8,FALSE),0)</f>
        <v>0</v>
      </c>
      <c r="N764" s="31" t="e">
        <f>#REF!</f>
        <v>#REF!</v>
      </c>
      <c r="O764" s="37" t="e">
        <f t="shared" si="18"/>
        <v>#REF!</v>
      </c>
    </row>
    <row r="765" spans="2:15" ht="17.399999999999999">
      <c r="B765" s="42" t="s">
        <v>83</v>
      </c>
      <c r="C765" s="39">
        <f>'تقرير المصروفات حسب الشهر'!J67</f>
        <v>0</v>
      </c>
      <c r="D765" s="31" t="e">
        <f>#REF!</f>
        <v>#REF!</v>
      </c>
      <c r="E765" s="31" t="e">
        <f>#REF!</f>
        <v>#REF!</v>
      </c>
      <c r="F765" s="31" t="e">
        <f>#REF!</f>
        <v>#REF!</v>
      </c>
      <c r="G765" s="31" t="e">
        <f>#REF!</f>
        <v>#REF!</v>
      </c>
      <c r="H765" s="31" t="e">
        <f>#REF!</f>
        <v>#REF!</v>
      </c>
      <c r="I765" s="31">
        <f>'تقرير المصروفات حسب الشهر'!J820</f>
        <v>0</v>
      </c>
      <c r="J765" s="31">
        <f>'تقرير المصروفات حسب الشهر'!J947</f>
        <v>0</v>
      </c>
      <c r="K765" s="31">
        <f>'تقرير المصروفات حسب الشهر'!J1074</f>
        <v>0</v>
      </c>
      <c r="L765" s="292">
        <f>IFERROR(VLOOKUP(B765,'تقرير المصروفات حسب الشهر'!$C$1143:$AD$1254,8,FALSE),0)</f>
        <v>0</v>
      </c>
      <c r="M765" s="292">
        <f>IFERROR(VLOOKUP(B765,'تقرير المصروفات حسب الشهر'!$C$1270:$AD$1381,8,FALSE),0)</f>
        <v>0</v>
      </c>
      <c r="N765" s="31" t="e">
        <f>#REF!</f>
        <v>#REF!</v>
      </c>
      <c r="O765" s="37" t="e">
        <f t="shared" si="18"/>
        <v>#REF!</v>
      </c>
    </row>
    <row r="766" spans="2:15" ht="17.399999999999999">
      <c r="B766" s="42" t="s">
        <v>84</v>
      </c>
      <c r="C766" s="39">
        <f>'تقرير المصروفات حسب الشهر'!J68</f>
        <v>0</v>
      </c>
      <c r="D766" s="31" t="e">
        <f>#REF!</f>
        <v>#REF!</v>
      </c>
      <c r="E766" s="31" t="e">
        <f>#REF!</f>
        <v>#REF!</v>
      </c>
      <c r="F766" s="31" t="e">
        <f>#REF!</f>
        <v>#REF!</v>
      </c>
      <c r="G766" s="31" t="e">
        <f>#REF!</f>
        <v>#REF!</v>
      </c>
      <c r="H766" s="31" t="e">
        <f>#REF!</f>
        <v>#REF!</v>
      </c>
      <c r="I766" s="31">
        <f>'تقرير المصروفات حسب الشهر'!J821</f>
        <v>0</v>
      </c>
      <c r="J766" s="31">
        <f>'تقرير المصروفات حسب الشهر'!J948</f>
        <v>300</v>
      </c>
      <c r="K766" s="31">
        <f>'تقرير المصروفات حسب الشهر'!J1075</f>
        <v>200</v>
      </c>
      <c r="L766" s="292">
        <f>IFERROR(VLOOKUP(B766,'تقرير المصروفات حسب الشهر'!$C$1143:$AD$1254,8,FALSE),0)</f>
        <v>0</v>
      </c>
      <c r="M766" s="292">
        <f>IFERROR(VLOOKUP(B766,'تقرير المصروفات حسب الشهر'!$C$1270:$AD$1381,8,FALSE),0)</f>
        <v>0</v>
      </c>
      <c r="N766" s="31" t="e">
        <f>#REF!</f>
        <v>#REF!</v>
      </c>
      <c r="O766" s="37" t="e">
        <f t="shared" si="18"/>
        <v>#REF!</v>
      </c>
    </row>
    <row r="767" spans="2:15" ht="17.399999999999999">
      <c r="B767" s="42" t="s">
        <v>85</v>
      </c>
      <c r="C767" s="39">
        <f>'تقرير المصروفات حسب الشهر'!J69</f>
        <v>1316</v>
      </c>
      <c r="D767" s="31" t="e">
        <f>#REF!</f>
        <v>#REF!</v>
      </c>
      <c r="E767" s="31" t="e">
        <f>#REF!</f>
        <v>#REF!</v>
      </c>
      <c r="F767" s="31" t="e">
        <f>#REF!</f>
        <v>#REF!</v>
      </c>
      <c r="G767" s="31" t="e">
        <f>#REF!</f>
        <v>#REF!</v>
      </c>
      <c r="H767" s="31" t="e">
        <f>#REF!</f>
        <v>#REF!</v>
      </c>
      <c r="I767" s="31">
        <f>'تقرير المصروفات حسب الشهر'!J822</f>
        <v>0</v>
      </c>
      <c r="J767" s="31">
        <f>'تقرير المصروفات حسب الشهر'!J949</f>
        <v>0</v>
      </c>
      <c r="K767" s="31">
        <f>'تقرير المصروفات حسب الشهر'!J1076</f>
        <v>0</v>
      </c>
      <c r="L767" s="292">
        <f>IFERROR(VLOOKUP(B767,'تقرير المصروفات حسب الشهر'!$C$1143:$AD$1254,8,FALSE),0)</f>
        <v>200</v>
      </c>
      <c r="M767" s="292">
        <f>IFERROR(VLOOKUP(B767,'تقرير المصروفات حسب الشهر'!$C$1270:$AD$1381,8,FALSE),0)</f>
        <v>200</v>
      </c>
      <c r="N767" s="31" t="e">
        <f>#REF!</f>
        <v>#REF!</v>
      </c>
      <c r="O767" s="37" t="e">
        <f t="shared" si="18"/>
        <v>#REF!</v>
      </c>
    </row>
    <row r="768" spans="2:15" ht="17.399999999999999">
      <c r="B768" s="42" t="s">
        <v>86</v>
      </c>
      <c r="C768" s="39">
        <f>'تقرير المصروفات حسب الشهر'!J70</f>
        <v>0</v>
      </c>
      <c r="D768" s="31" t="e">
        <f>#REF!</f>
        <v>#REF!</v>
      </c>
      <c r="E768" s="31" t="e">
        <f>#REF!</f>
        <v>#REF!</v>
      </c>
      <c r="F768" s="31" t="e">
        <f>#REF!</f>
        <v>#REF!</v>
      </c>
      <c r="G768" s="31" t="e">
        <f>#REF!</f>
        <v>#REF!</v>
      </c>
      <c r="H768" s="31" t="e">
        <f>#REF!</f>
        <v>#REF!</v>
      </c>
      <c r="I768" s="31">
        <f>'تقرير المصروفات حسب الشهر'!J823</f>
        <v>0</v>
      </c>
      <c r="J768" s="31">
        <f>'تقرير المصروفات حسب الشهر'!J950</f>
        <v>0</v>
      </c>
      <c r="K768" s="31">
        <f>'تقرير المصروفات حسب الشهر'!J1077</f>
        <v>0</v>
      </c>
      <c r="L768" s="292">
        <f>IFERROR(VLOOKUP(B768,'تقرير المصروفات حسب الشهر'!$C$1143:$AD$1254,8,FALSE),0)</f>
        <v>0</v>
      </c>
      <c r="M768" s="292">
        <f>IFERROR(VLOOKUP(B768,'تقرير المصروفات حسب الشهر'!$C$1270:$AD$1381,8,FALSE),0)</f>
        <v>0</v>
      </c>
      <c r="N768" s="31" t="e">
        <f>#REF!</f>
        <v>#REF!</v>
      </c>
      <c r="O768" s="37" t="e">
        <f t="shared" si="18"/>
        <v>#REF!</v>
      </c>
    </row>
    <row r="769" spans="2:15" ht="17.399999999999999">
      <c r="B769" s="42" t="s">
        <v>87</v>
      </c>
      <c r="C769" s="39">
        <f>'تقرير المصروفات حسب الشهر'!J71</f>
        <v>0</v>
      </c>
      <c r="D769" s="31" t="e">
        <f>#REF!</f>
        <v>#REF!</v>
      </c>
      <c r="E769" s="31" t="e">
        <f>#REF!</f>
        <v>#REF!</v>
      </c>
      <c r="F769" s="31" t="e">
        <f>#REF!</f>
        <v>#REF!</v>
      </c>
      <c r="G769" s="31" t="e">
        <f>#REF!</f>
        <v>#REF!</v>
      </c>
      <c r="H769" s="31" t="e">
        <f>#REF!</f>
        <v>#REF!</v>
      </c>
      <c r="I769" s="31">
        <f>'تقرير المصروفات حسب الشهر'!J824</f>
        <v>0</v>
      </c>
      <c r="J769" s="31">
        <f>'تقرير المصروفات حسب الشهر'!J951</f>
        <v>0</v>
      </c>
      <c r="K769" s="31">
        <f>'تقرير المصروفات حسب الشهر'!J1078</f>
        <v>0</v>
      </c>
      <c r="L769" s="292">
        <f>IFERROR(VLOOKUP(B769,'تقرير المصروفات حسب الشهر'!$C$1143:$AD$1254,8,FALSE),0)</f>
        <v>0</v>
      </c>
      <c r="M769" s="292">
        <f>IFERROR(VLOOKUP(B769,'تقرير المصروفات حسب الشهر'!$C$1270:$AD$1381,8,FALSE),0)</f>
        <v>0</v>
      </c>
      <c r="N769" s="31" t="e">
        <f>#REF!</f>
        <v>#REF!</v>
      </c>
      <c r="O769" s="37" t="e">
        <f t="shared" si="18"/>
        <v>#REF!</v>
      </c>
    </row>
    <row r="770" spans="2:15" ht="17.399999999999999">
      <c r="B770" s="42" t="s">
        <v>88</v>
      </c>
      <c r="C770" s="39">
        <f>'تقرير المصروفات حسب الشهر'!J72</f>
        <v>0</v>
      </c>
      <c r="D770" s="31" t="e">
        <f>#REF!</f>
        <v>#REF!</v>
      </c>
      <c r="E770" s="31" t="e">
        <f>#REF!</f>
        <v>#REF!</v>
      </c>
      <c r="F770" s="31" t="e">
        <f>#REF!</f>
        <v>#REF!</v>
      </c>
      <c r="G770" s="31" t="e">
        <f>#REF!</f>
        <v>#REF!</v>
      </c>
      <c r="H770" s="31" t="e">
        <f>#REF!</f>
        <v>#REF!</v>
      </c>
      <c r="I770" s="31">
        <f>'تقرير المصروفات حسب الشهر'!J825</f>
        <v>0</v>
      </c>
      <c r="J770" s="31">
        <f>'تقرير المصروفات حسب الشهر'!J952</f>
        <v>0</v>
      </c>
      <c r="K770" s="31">
        <f>'تقرير المصروفات حسب الشهر'!J1079</f>
        <v>0</v>
      </c>
      <c r="L770" s="292">
        <f>IFERROR(VLOOKUP(B770,'تقرير المصروفات حسب الشهر'!$C$1143:$AD$1254,8,FALSE),0)</f>
        <v>0</v>
      </c>
      <c r="M770" s="292">
        <f>IFERROR(VLOOKUP(B770,'تقرير المصروفات حسب الشهر'!$C$1270:$AD$1381,8,FALSE),0)</f>
        <v>0</v>
      </c>
      <c r="N770" s="31" t="e">
        <f>#REF!</f>
        <v>#REF!</v>
      </c>
      <c r="O770" s="37" t="e">
        <f t="shared" si="18"/>
        <v>#REF!</v>
      </c>
    </row>
    <row r="771" spans="2:15" ht="17.399999999999999">
      <c r="B771" s="42" t="s">
        <v>89</v>
      </c>
      <c r="C771" s="39">
        <f>'تقرير المصروفات حسب الشهر'!J73</f>
        <v>0</v>
      </c>
      <c r="D771" s="31" t="e">
        <f>#REF!</f>
        <v>#REF!</v>
      </c>
      <c r="E771" s="31" t="e">
        <f>#REF!</f>
        <v>#REF!</v>
      </c>
      <c r="F771" s="31" t="e">
        <f>#REF!</f>
        <v>#REF!</v>
      </c>
      <c r="G771" s="31" t="e">
        <f>#REF!</f>
        <v>#REF!</v>
      </c>
      <c r="H771" s="31" t="e">
        <f>#REF!</f>
        <v>#REF!</v>
      </c>
      <c r="I771" s="31">
        <f>'تقرير المصروفات حسب الشهر'!J826</f>
        <v>979</v>
      </c>
      <c r="J771" s="31">
        <f>'تقرير المصروفات حسب الشهر'!J953</f>
        <v>0</v>
      </c>
      <c r="K771" s="31">
        <f>'تقرير المصروفات حسب الشهر'!J1080</f>
        <v>0</v>
      </c>
      <c r="L771" s="292">
        <f>IFERROR(VLOOKUP(B771,'تقرير المصروفات حسب الشهر'!$C$1143:$AD$1254,8,FALSE),0)</f>
        <v>0</v>
      </c>
      <c r="M771" s="292">
        <f>IFERROR(VLOOKUP(B771,'تقرير المصروفات حسب الشهر'!$C$1270:$AD$1381,8,FALSE),0)</f>
        <v>0</v>
      </c>
      <c r="N771" s="31" t="e">
        <f>#REF!</f>
        <v>#REF!</v>
      </c>
      <c r="O771" s="37" t="e">
        <f t="shared" si="18"/>
        <v>#REF!</v>
      </c>
    </row>
    <row r="772" spans="2:15" ht="17.399999999999999">
      <c r="B772" s="42" t="s">
        <v>33</v>
      </c>
      <c r="C772" s="39">
        <f>'تقرير المصروفات حسب الشهر'!J74</f>
        <v>0</v>
      </c>
      <c r="D772" s="31" t="e">
        <f>#REF!</f>
        <v>#REF!</v>
      </c>
      <c r="E772" s="31" t="e">
        <f>#REF!</f>
        <v>#REF!</v>
      </c>
      <c r="F772" s="31" t="e">
        <f>#REF!</f>
        <v>#REF!</v>
      </c>
      <c r="G772" s="31" t="e">
        <f>#REF!</f>
        <v>#REF!</v>
      </c>
      <c r="H772" s="31" t="e">
        <f>#REF!</f>
        <v>#REF!</v>
      </c>
      <c r="I772" s="31">
        <f>'تقرير المصروفات حسب الشهر'!J827</f>
        <v>0</v>
      </c>
      <c r="J772" s="31">
        <f>'تقرير المصروفات حسب الشهر'!J954</f>
        <v>0</v>
      </c>
      <c r="K772" s="31">
        <f>'تقرير المصروفات حسب الشهر'!J1081</f>
        <v>0</v>
      </c>
      <c r="L772" s="292">
        <f>IFERROR(VLOOKUP(B772,'تقرير المصروفات حسب الشهر'!$C$1143:$AD$1254,8,FALSE),0)</f>
        <v>1075.76</v>
      </c>
      <c r="M772" s="292">
        <f>IFERROR(VLOOKUP(B772,'تقرير المصروفات حسب الشهر'!$C$1270:$AD$1381,8,FALSE),0)</f>
        <v>2207.5700000000002</v>
      </c>
      <c r="N772" s="31" t="e">
        <f>#REF!</f>
        <v>#REF!</v>
      </c>
      <c r="O772" s="37" t="e">
        <f t="shared" si="18"/>
        <v>#REF!</v>
      </c>
    </row>
    <row r="773" spans="2:15" ht="17.399999999999999">
      <c r="B773" s="42" t="s">
        <v>90</v>
      </c>
      <c r="C773" s="39">
        <f>'تقرير المصروفات حسب الشهر'!J75</f>
        <v>0</v>
      </c>
      <c r="D773" s="31" t="e">
        <f>#REF!</f>
        <v>#REF!</v>
      </c>
      <c r="E773" s="31" t="e">
        <f>#REF!</f>
        <v>#REF!</v>
      </c>
      <c r="F773" s="31" t="e">
        <f>#REF!</f>
        <v>#REF!</v>
      </c>
      <c r="G773" s="31" t="e">
        <f>#REF!</f>
        <v>#REF!</v>
      </c>
      <c r="H773" s="31" t="e">
        <f>#REF!</f>
        <v>#REF!</v>
      </c>
      <c r="I773" s="31">
        <f>'تقرير المصروفات حسب الشهر'!J828</f>
        <v>0</v>
      </c>
      <c r="J773" s="31">
        <f>'تقرير المصروفات حسب الشهر'!J955</f>
        <v>0</v>
      </c>
      <c r="K773" s="31">
        <f>'تقرير المصروفات حسب الشهر'!J1082</f>
        <v>0</v>
      </c>
      <c r="L773" s="292">
        <f>IFERROR(VLOOKUP(B773,'تقرير المصروفات حسب الشهر'!$C$1143:$AD$1254,8,FALSE),0)</f>
        <v>0</v>
      </c>
      <c r="M773" s="292">
        <f>IFERROR(VLOOKUP(B773,'تقرير المصروفات حسب الشهر'!$C$1270:$AD$1381,8,FALSE),0)</f>
        <v>0</v>
      </c>
      <c r="N773" s="31" t="e">
        <f>#REF!</f>
        <v>#REF!</v>
      </c>
      <c r="O773" s="37" t="e">
        <f t="shared" ref="O773:O816" si="19">SUM(C773:N773)</f>
        <v>#REF!</v>
      </c>
    </row>
    <row r="774" spans="2:15" ht="17.399999999999999">
      <c r="B774" s="42" t="s">
        <v>91</v>
      </c>
      <c r="C774" s="39">
        <f>'تقرير المصروفات حسب الشهر'!J76</f>
        <v>0</v>
      </c>
      <c r="D774" s="31" t="e">
        <f>#REF!</f>
        <v>#REF!</v>
      </c>
      <c r="E774" s="31" t="e">
        <f>#REF!</f>
        <v>#REF!</v>
      </c>
      <c r="F774" s="31" t="e">
        <f>#REF!</f>
        <v>#REF!</v>
      </c>
      <c r="G774" s="31" t="e">
        <f>#REF!</f>
        <v>#REF!</v>
      </c>
      <c r="H774" s="31" t="e">
        <f>#REF!</f>
        <v>#REF!</v>
      </c>
      <c r="I774" s="31">
        <f>'تقرير المصروفات حسب الشهر'!J829</f>
        <v>0</v>
      </c>
      <c r="J774" s="31">
        <f>'تقرير المصروفات حسب الشهر'!J956</f>
        <v>0</v>
      </c>
      <c r="K774" s="31">
        <f>'تقرير المصروفات حسب الشهر'!J1083</f>
        <v>0</v>
      </c>
      <c r="L774" s="292">
        <f>IFERROR(VLOOKUP(B774,'تقرير المصروفات حسب الشهر'!$C$1143:$AD$1254,8,FALSE),0)</f>
        <v>0</v>
      </c>
      <c r="M774" s="292">
        <f>IFERROR(VLOOKUP(B774,'تقرير المصروفات حسب الشهر'!$C$1270:$AD$1381,8,FALSE),0)</f>
        <v>0</v>
      </c>
      <c r="N774" s="31" t="e">
        <f>#REF!</f>
        <v>#REF!</v>
      </c>
      <c r="O774" s="37" t="e">
        <f t="shared" si="19"/>
        <v>#REF!</v>
      </c>
    </row>
    <row r="775" spans="2:15" ht="17.399999999999999">
      <c r="B775" s="42" t="s">
        <v>92</v>
      </c>
      <c r="C775" s="39">
        <f>'تقرير المصروفات حسب الشهر'!J77</f>
        <v>0</v>
      </c>
      <c r="D775" s="31" t="e">
        <f>#REF!</f>
        <v>#REF!</v>
      </c>
      <c r="E775" s="31" t="e">
        <f>#REF!</f>
        <v>#REF!</v>
      </c>
      <c r="F775" s="31" t="e">
        <f>#REF!</f>
        <v>#REF!</v>
      </c>
      <c r="G775" s="31" t="e">
        <f>#REF!</f>
        <v>#REF!</v>
      </c>
      <c r="H775" s="31" t="e">
        <f>#REF!</f>
        <v>#REF!</v>
      </c>
      <c r="I775" s="31">
        <f>'تقرير المصروفات حسب الشهر'!J830</f>
        <v>0</v>
      </c>
      <c r="J775" s="31">
        <f>'تقرير المصروفات حسب الشهر'!J957</f>
        <v>0</v>
      </c>
      <c r="K775" s="31">
        <f>'تقرير المصروفات حسب الشهر'!J1084</f>
        <v>0</v>
      </c>
      <c r="L775" s="292">
        <f>IFERROR(VLOOKUP(B775,'تقرير المصروفات حسب الشهر'!$C$1143:$AD$1254,8,FALSE),0)</f>
        <v>0</v>
      </c>
      <c r="M775" s="292">
        <f>IFERROR(VLOOKUP(B775,'تقرير المصروفات حسب الشهر'!$C$1270:$AD$1381,8,FALSE),0)</f>
        <v>0</v>
      </c>
      <c r="N775" s="31" t="e">
        <f>#REF!</f>
        <v>#REF!</v>
      </c>
      <c r="O775" s="37" t="e">
        <f t="shared" si="19"/>
        <v>#REF!</v>
      </c>
    </row>
    <row r="776" spans="2:15" ht="17.399999999999999">
      <c r="B776" s="42" t="s">
        <v>93</v>
      </c>
      <c r="C776" s="39">
        <f>'تقرير المصروفات حسب الشهر'!J78</f>
        <v>0</v>
      </c>
      <c r="D776" s="31" t="e">
        <f>#REF!</f>
        <v>#REF!</v>
      </c>
      <c r="E776" s="31" t="e">
        <f>#REF!</f>
        <v>#REF!</v>
      </c>
      <c r="F776" s="31" t="e">
        <f>#REF!</f>
        <v>#REF!</v>
      </c>
      <c r="G776" s="31" t="e">
        <f>#REF!</f>
        <v>#REF!</v>
      </c>
      <c r="H776" s="31" t="e">
        <f>#REF!</f>
        <v>#REF!</v>
      </c>
      <c r="I776" s="31">
        <f>'تقرير المصروفات حسب الشهر'!J831</f>
        <v>0</v>
      </c>
      <c r="J776" s="31">
        <f>'تقرير المصروفات حسب الشهر'!J958</f>
        <v>0</v>
      </c>
      <c r="K776" s="31">
        <f>'تقرير المصروفات حسب الشهر'!J1085</f>
        <v>0</v>
      </c>
      <c r="L776" s="292">
        <f>IFERROR(VLOOKUP(B776,'تقرير المصروفات حسب الشهر'!$C$1143:$AD$1254,8,FALSE),0)</f>
        <v>0</v>
      </c>
      <c r="M776" s="292">
        <f>IFERROR(VLOOKUP(B776,'تقرير المصروفات حسب الشهر'!$C$1270:$AD$1381,8,FALSE),0)</f>
        <v>0</v>
      </c>
      <c r="N776" s="31" t="e">
        <f>#REF!</f>
        <v>#REF!</v>
      </c>
      <c r="O776" s="37" t="e">
        <f t="shared" si="19"/>
        <v>#REF!</v>
      </c>
    </row>
    <row r="777" spans="2:15" ht="17.399999999999999">
      <c r="B777" s="42" t="s">
        <v>94</v>
      </c>
      <c r="C777" s="39">
        <f>'تقرير المصروفات حسب الشهر'!J79</f>
        <v>0</v>
      </c>
      <c r="D777" s="31" t="e">
        <f>#REF!</f>
        <v>#REF!</v>
      </c>
      <c r="E777" s="31" t="e">
        <f>#REF!</f>
        <v>#REF!</v>
      </c>
      <c r="F777" s="31" t="e">
        <f>#REF!</f>
        <v>#REF!</v>
      </c>
      <c r="G777" s="31" t="e">
        <f>#REF!</f>
        <v>#REF!</v>
      </c>
      <c r="H777" s="31" t="e">
        <f>#REF!</f>
        <v>#REF!</v>
      </c>
      <c r="I777" s="31">
        <f>'تقرير المصروفات حسب الشهر'!J832</f>
        <v>0</v>
      </c>
      <c r="J777" s="31">
        <f>'تقرير المصروفات حسب الشهر'!J959</f>
        <v>0</v>
      </c>
      <c r="K777" s="31">
        <f>'تقرير المصروفات حسب الشهر'!J1086</f>
        <v>0</v>
      </c>
      <c r="L777" s="292">
        <f>IFERROR(VLOOKUP(B777,'تقرير المصروفات حسب الشهر'!$C$1143:$AD$1254,8,FALSE),0)</f>
        <v>0</v>
      </c>
      <c r="M777" s="292">
        <f>IFERROR(VLOOKUP(B777,'تقرير المصروفات حسب الشهر'!$C$1270:$AD$1381,8,FALSE),0)</f>
        <v>0</v>
      </c>
      <c r="N777" s="31" t="e">
        <f>#REF!</f>
        <v>#REF!</v>
      </c>
      <c r="O777" s="37" t="e">
        <f t="shared" si="19"/>
        <v>#REF!</v>
      </c>
    </row>
    <row r="778" spans="2:15" ht="17.399999999999999">
      <c r="B778" s="42" t="s">
        <v>95</v>
      </c>
      <c r="C778" s="39">
        <f>'تقرير المصروفات حسب الشهر'!J80</f>
        <v>0</v>
      </c>
      <c r="D778" s="31" t="e">
        <f>#REF!</f>
        <v>#REF!</v>
      </c>
      <c r="E778" s="31" t="e">
        <f>#REF!</f>
        <v>#REF!</v>
      </c>
      <c r="F778" s="31" t="e">
        <f>#REF!</f>
        <v>#REF!</v>
      </c>
      <c r="G778" s="31" t="e">
        <f>#REF!</f>
        <v>#REF!</v>
      </c>
      <c r="H778" s="31" t="e">
        <f>#REF!</f>
        <v>#REF!</v>
      </c>
      <c r="I778" s="31">
        <f>'تقرير المصروفات حسب الشهر'!J833</f>
        <v>668</v>
      </c>
      <c r="J778" s="31">
        <f>'تقرير المصروفات حسب الشهر'!J960</f>
        <v>0</v>
      </c>
      <c r="K778" s="31">
        <f>'تقرير المصروفات حسب الشهر'!J1087</f>
        <v>0</v>
      </c>
      <c r="L778" s="292">
        <f>IFERROR(VLOOKUP(B778,'تقرير المصروفات حسب الشهر'!$C$1143:$AD$1254,8,FALSE),0)</f>
        <v>0</v>
      </c>
      <c r="M778" s="292">
        <f>IFERROR(VLOOKUP(B778,'تقرير المصروفات حسب الشهر'!$C$1270:$AD$1381,8,FALSE),0)</f>
        <v>0</v>
      </c>
      <c r="N778" s="31" t="e">
        <f>#REF!</f>
        <v>#REF!</v>
      </c>
      <c r="O778" s="37" t="e">
        <f t="shared" si="19"/>
        <v>#REF!</v>
      </c>
    </row>
    <row r="779" spans="2:15" ht="17.399999999999999">
      <c r="B779" s="42" t="s">
        <v>96</v>
      </c>
      <c r="C779" s="39">
        <f>'تقرير المصروفات حسب الشهر'!J81</f>
        <v>0</v>
      </c>
      <c r="D779" s="31" t="e">
        <f>#REF!</f>
        <v>#REF!</v>
      </c>
      <c r="E779" s="31" t="e">
        <f>#REF!</f>
        <v>#REF!</v>
      </c>
      <c r="F779" s="31" t="e">
        <f>#REF!</f>
        <v>#REF!</v>
      </c>
      <c r="G779" s="31" t="e">
        <f>#REF!</f>
        <v>#REF!</v>
      </c>
      <c r="H779" s="31" t="e">
        <f>#REF!</f>
        <v>#REF!</v>
      </c>
      <c r="I779" s="31">
        <f>'تقرير المصروفات حسب الشهر'!J834</f>
        <v>0</v>
      </c>
      <c r="J779" s="31">
        <f>'تقرير المصروفات حسب الشهر'!J961</f>
        <v>450</v>
      </c>
      <c r="K779" s="31">
        <f>'تقرير المصروفات حسب الشهر'!J1088</f>
        <v>0</v>
      </c>
      <c r="L779" s="292">
        <f>IFERROR(VLOOKUP(B779,'تقرير المصروفات حسب الشهر'!$C$1143:$AD$1254,8,FALSE),0)</f>
        <v>0</v>
      </c>
      <c r="M779" s="292">
        <f>IFERROR(VLOOKUP(B779,'تقرير المصروفات حسب الشهر'!$C$1270:$AD$1381,8,FALSE),0)</f>
        <v>0</v>
      </c>
      <c r="N779" s="31" t="e">
        <f>#REF!</f>
        <v>#REF!</v>
      </c>
      <c r="O779" s="37" t="e">
        <f t="shared" si="19"/>
        <v>#REF!</v>
      </c>
    </row>
    <row r="780" spans="2:15" ht="17.399999999999999">
      <c r="B780" s="42" t="s">
        <v>97</v>
      </c>
      <c r="C780" s="39">
        <f>'تقرير المصروفات حسب الشهر'!J82</f>
        <v>440</v>
      </c>
      <c r="D780" s="31" t="e">
        <f>#REF!</f>
        <v>#REF!</v>
      </c>
      <c r="E780" s="31" t="e">
        <f>#REF!</f>
        <v>#REF!</v>
      </c>
      <c r="F780" s="31" t="e">
        <f>#REF!</f>
        <v>#REF!</v>
      </c>
      <c r="G780" s="31" t="e">
        <f>#REF!</f>
        <v>#REF!</v>
      </c>
      <c r="H780" s="31" t="e">
        <f>#REF!</f>
        <v>#REF!</v>
      </c>
      <c r="I780" s="31">
        <f>'تقرير المصروفات حسب الشهر'!J835</f>
        <v>0</v>
      </c>
      <c r="J780" s="31">
        <f>'تقرير المصروفات حسب الشهر'!J962</f>
        <v>0</v>
      </c>
      <c r="K780" s="31">
        <f>'تقرير المصروفات حسب الشهر'!J1089</f>
        <v>2130</v>
      </c>
      <c r="L780" s="292">
        <f>IFERROR(VLOOKUP(B780,'تقرير المصروفات حسب الشهر'!$C$1143:$AD$1254,8,FALSE),0)</f>
        <v>474</v>
      </c>
      <c r="M780" s="292">
        <f>IFERROR(VLOOKUP(B780,'تقرير المصروفات حسب الشهر'!$C$1270:$AD$1381,8,FALSE),0)</f>
        <v>800</v>
      </c>
      <c r="N780" s="31" t="e">
        <f>#REF!</f>
        <v>#REF!</v>
      </c>
      <c r="O780" s="37" t="e">
        <f t="shared" si="19"/>
        <v>#REF!</v>
      </c>
    </row>
    <row r="781" spans="2:15" ht="17.399999999999999">
      <c r="B781" s="42" t="s">
        <v>192</v>
      </c>
      <c r="C781" s="39">
        <f>'تقرير المصروفات حسب الشهر'!J83</f>
        <v>0</v>
      </c>
      <c r="D781" s="31" t="e">
        <f>#REF!</f>
        <v>#REF!</v>
      </c>
      <c r="E781" s="31" t="e">
        <f>#REF!</f>
        <v>#REF!</v>
      </c>
      <c r="F781" s="31" t="e">
        <f>#REF!</f>
        <v>#REF!</v>
      </c>
      <c r="G781" s="31" t="e">
        <f>#REF!</f>
        <v>#REF!</v>
      </c>
      <c r="H781" s="31" t="e">
        <f>#REF!</f>
        <v>#REF!</v>
      </c>
      <c r="I781" s="31">
        <f>'تقرير المصروفات حسب الشهر'!J836</f>
        <v>0</v>
      </c>
      <c r="J781" s="31">
        <f>'تقرير المصروفات حسب الشهر'!J963</f>
        <v>0</v>
      </c>
      <c r="K781" s="31">
        <f>'تقرير المصروفات حسب الشهر'!J1090</f>
        <v>0</v>
      </c>
      <c r="L781" s="292">
        <f>IFERROR(VLOOKUP(B781,'تقرير المصروفات حسب الشهر'!$C$1143:$AD$1254,8,FALSE),0)</f>
        <v>1065</v>
      </c>
      <c r="M781" s="292">
        <f>IFERROR(VLOOKUP(B781,'تقرير المصروفات حسب الشهر'!$C$1270:$AD$1381,8,FALSE),0)</f>
        <v>1065</v>
      </c>
      <c r="N781" s="31" t="e">
        <f>#REF!</f>
        <v>#REF!</v>
      </c>
      <c r="O781" s="37" t="e">
        <f t="shared" si="19"/>
        <v>#REF!</v>
      </c>
    </row>
    <row r="782" spans="2:15" ht="17.399999999999999">
      <c r="B782" s="42" t="s">
        <v>98</v>
      </c>
      <c r="C782" s="39">
        <f>'تقرير المصروفات حسب الشهر'!J84</f>
        <v>0</v>
      </c>
      <c r="D782" s="31" t="e">
        <f>#REF!</f>
        <v>#REF!</v>
      </c>
      <c r="E782" s="31" t="e">
        <f>#REF!</f>
        <v>#REF!</v>
      </c>
      <c r="F782" s="31" t="e">
        <f>#REF!</f>
        <v>#REF!</v>
      </c>
      <c r="G782" s="31" t="e">
        <f>#REF!</f>
        <v>#REF!</v>
      </c>
      <c r="H782" s="31" t="e">
        <f>#REF!</f>
        <v>#REF!</v>
      </c>
      <c r="I782" s="31">
        <f>'تقرير المصروفات حسب الشهر'!J837</f>
        <v>0</v>
      </c>
      <c r="J782" s="31">
        <f>'تقرير المصروفات حسب الشهر'!J964</f>
        <v>0</v>
      </c>
      <c r="K782" s="31">
        <f>'تقرير المصروفات حسب الشهر'!J1091</f>
        <v>0</v>
      </c>
      <c r="L782" s="292">
        <f>IFERROR(VLOOKUP(B782,'تقرير المصروفات حسب الشهر'!$C$1143:$AD$1254,8,FALSE),0)</f>
        <v>0</v>
      </c>
      <c r="M782" s="292">
        <f>IFERROR(VLOOKUP(B782,'تقرير المصروفات حسب الشهر'!$C$1270:$AD$1381,8,FALSE),0)</f>
        <v>0</v>
      </c>
      <c r="N782" s="31" t="e">
        <f>#REF!</f>
        <v>#REF!</v>
      </c>
      <c r="O782" s="37" t="e">
        <f t="shared" si="19"/>
        <v>#REF!</v>
      </c>
    </row>
    <row r="783" spans="2:15" ht="17.399999999999999">
      <c r="B783" s="42" t="s">
        <v>99</v>
      </c>
      <c r="C783" s="39">
        <f>'تقرير المصروفات حسب الشهر'!J85</f>
        <v>0</v>
      </c>
      <c r="D783" s="31" t="e">
        <f>#REF!</f>
        <v>#REF!</v>
      </c>
      <c r="E783" s="31" t="e">
        <f>#REF!</f>
        <v>#REF!</v>
      </c>
      <c r="F783" s="31" t="e">
        <f>#REF!</f>
        <v>#REF!</v>
      </c>
      <c r="G783" s="31" t="e">
        <f>#REF!</f>
        <v>#REF!</v>
      </c>
      <c r="H783" s="31" t="e">
        <f>#REF!</f>
        <v>#REF!</v>
      </c>
      <c r="I783" s="31">
        <f>'تقرير المصروفات حسب الشهر'!J838</f>
        <v>0</v>
      </c>
      <c r="J783" s="31">
        <f>'تقرير المصروفات حسب الشهر'!J965</f>
        <v>0</v>
      </c>
      <c r="K783" s="31">
        <f>'تقرير المصروفات حسب الشهر'!J1092</f>
        <v>0</v>
      </c>
      <c r="L783" s="292">
        <f>IFERROR(VLOOKUP(B783,'تقرير المصروفات حسب الشهر'!$C$1143:$AD$1254,8,FALSE),0)</f>
        <v>0</v>
      </c>
      <c r="M783" s="292">
        <f>IFERROR(VLOOKUP(B783,'تقرير المصروفات حسب الشهر'!$C$1270:$AD$1381,8,FALSE),0)</f>
        <v>0</v>
      </c>
      <c r="N783" s="31" t="e">
        <f>#REF!</f>
        <v>#REF!</v>
      </c>
      <c r="O783" s="37" t="e">
        <f t="shared" si="19"/>
        <v>#REF!</v>
      </c>
    </row>
    <row r="784" spans="2:15" ht="17.399999999999999">
      <c r="B784" s="42" t="s">
        <v>100</v>
      </c>
      <c r="C784" s="39">
        <f>'تقرير المصروفات حسب الشهر'!J86</f>
        <v>0</v>
      </c>
      <c r="D784" s="31" t="e">
        <f>#REF!</f>
        <v>#REF!</v>
      </c>
      <c r="E784" s="31" t="e">
        <f>#REF!</f>
        <v>#REF!</v>
      </c>
      <c r="F784" s="31" t="e">
        <f>#REF!</f>
        <v>#REF!</v>
      </c>
      <c r="G784" s="31" t="e">
        <f>#REF!</f>
        <v>#REF!</v>
      </c>
      <c r="H784" s="31" t="e">
        <f>#REF!</f>
        <v>#REF!</v>
      </c>
      <c r="I784" s="31">
        <f>'تقرير المصروفات حسب الشهر'!J839</f>
        <v>0</v>
      </c>
      <c r="J784" s="31">
        <f>'تقرير المصروفات حسب الشهر'!J966</f>
        <v>0</v>
      </c>
      <c r="K784" s="31">
        <f>'تقرير المصروفات حسب الشهر'!J1093</f>
        <v>0</v>
      </c>
      <c r="L784" s="292">
        <f>IFERROR(VLOOKUP(B784,'تقرير المصروفات حسب الشهر'!$C$1143:$AD$1254,8,FALSE),0)</f>
        <v>0</v>
      </c>
      <c r="M784" s="292">
        <f>IFERROR(VLOOKUP(B784,'تقرير المصروفات حسب الشهر'!$C$1270:$AD$1381,8,FALSE),0)</f>
        <v>0</v>
      </c>
      <c r="N784" s="31" t="e">
        <f>#REF!</f>
        <v>#REF!</v>
      </c>
      <c r="O784" s="37" t="e">
        <f t="shared" si="19"/>
        <v>#REF!</v>
      </c>
    </row>
    <row r="785" spans="2:15" ht="17.399999999999999">
      <c r="B785" s="42" t="s">
        <v>101</v>
      </c>
      <c r="C785" s="39">
        <f>'تقرير المصروفات حسب الشهر'!J87</f>
        <v>0</v>
      </c>
      <c r="D785" s="31" t="e">
        <f>#REF!</f>
        <v>#REF!</v>
      </c>
      <c r="E785" s="31" t="e">
        <f>#REF!</f>
        <v>#REF!</v>
      </c>
      <c r="F785" s="31" t="e">
        <f>#REF!</f>
        <v>#REF!</v>
      </c>
      <c r="G785" s="31" t="e">
        <f>#REF!</f>
        <v>#REF!</v>
      </c>
      <c r="H785" s="31" t="e">
        <f>#REF!</f>
        <v>#REF!</v>
      </c>
      <c r="I785" s="31">
        <f>'تقرير المصروفات حسب الشهر'!J840</f>
        <v>198.48</v>
      </c>
      <c r="J785" s="31">
        <f>'تقرير المصروفات حسب الشهر'!J967</f>
        <v>233.06</v>
      </c>
      <c r="K785" s="31">
        <f>'تقرير المصروفات حسب الشهر'!J1094</f>
        <v>233.07</v>
      </c>
      <c r="L785" s="292">
        <f>IFERROR(VLOOKUP(B785,'تقرير المصروفات حسب الشهر'!$C$1143:$AD$1254,8,FALSE),0)</f>
        <v>0</v>
      </c>
      <c r="M785" s="292">
        <f>IFERROR(VLOOKUP(B785,'تقرير المصروفات حسب الشهر'!$C$1270:$AD$1381,8,FALSE),0)</f>
        <v>0</v>
      </c>
      <c r="N785" s="31" t="e">
        <f>#REF!</f>
        <v>#REF!</v>
      </c>
      <c r="O785" s="37" t="e">
        <f t="shared" si="19"/>
        <v>#REF!</v>
      </c>
    </row>
    <row r="786" spans="2:15" ht="17.399999999999999">
      <c r="B786" s="42" t="s">
        <v>102</v>
      </c>
      <c r="C786" s="39">
        <f>'تقرير المصروفات حسب الشهر'!J88</f>
        <v>0</v>
      </c>
      <c r="D786" s="31" t="e">
        <f>#REF!</f>
        <v>#REF!</v>
      </c>
      <c r="E786" s="31" t="e">
        <f>#REF!</f>
        <v>#REF!</v>
      </c>
      <c r="F786" s="31" t="e">
        <f>#REF!</f>
        <v>#REF!</v>
      </c>
      <c r="G786" s="31" t="e">
        <f>#REF!</f>
        <v>#REF!</v>
      </c>
      <c r="H786" s="31" t="e">
        <f>#REF!</f>
        <v>#REF!</v>
      </c>
      <c r="I786" s="31">
        <f>'تقرير المصروفات حسب الشهر'!J841</f>
        <v>53.44</v>
      </c>
      <c r="J786" s="31">
        <f>'تقرير المصروفات حسب الشهر'!J968</f>
        <v>38.17</v>
      </c>
      <c r="K786" s="31">
        <f>'تقرير المصروفات حسب الشهر'!J1095</f>
        <v>0</v>
      </c>
      <c r="L786" s="292">
        <f>IFERROR(VLOOKUP(B786,'تقرير المصروفات حسب الشهر'!$C$1143:$AD$1254,8,FALSE),0)</f>
        <v>409.62</v>
      </c>
      <c r="M786" s="292">
        <f>IFERROR(VLOOKUP(B786,'تقرير المصروفات حسب الشهر'!$C$1270:$AD$1381,8,FALSE),0)</f>
        <v>409.62</v>
      </c>
      <c r="N786" s="31" t="e">
        <f>#REF!</f>
        <v>#REF!</v>
      </c>
      <c r="O786" s="37" t="e">
        <f t="shared" si="19"/>
        <v>#REF!</v>
      </c>
    </row>
    <row r="787" spans="2:15" ht="17.399999999999999">
      <c r="B787" s="42" t="s">
        <v>103</v>
      </c>
      <c r="C787" s="39">
        <f>'تقرير المصروفات حسب الشهر'!J89</f>
        <v>53.44</v>
      </c>
      <c r="D787" s="31" t="e">
        <f>#REF!</f>
        <v>#REF!</v>
      </c>
      <c r="E787" s="31" t="e">
        <f>#REF!</f>
        <v>#REF!</v>
      </c>
      <c r="F787" s="31" t="e">
        <f>#REF!</f>
        <v>#REF!</v>
      </c>
      <c r="G787" s="31" t="e">
        <f>#REF!</f>
        <v>#REF!</v>
      </c>
      <c r="H787" s="31" t="e">
        <f>#REF!</f>
        <v>#REF!</v>
      </c>
      <c r="I787" s="31">
        <f>'تقرير المصروفات حسب الشهر'!J842</f>
        <v>147.91999999999999</v>
      </c>
      <c r="J787" s="31">
        <f>'تقرير المصروفات حسب الشهر'!J969</f>
        <v>147.91999999999999</v>
      </c>
      <c r="K787" s="31">
        <f>'تقرير المصروفات حسب الشهر'!J1096</f>
        <v>147.91999999999999</v>
      </c>
      <c r="L787" s="292">
        <f>IFERROR(VLOOKUP(B787,'تقرير المصروفات حسب الشهر'!$C$1143:$AD$1254,8,FALSE),0)</f>
        <v>0</v>
      </c>
      <c r="M787" s="292">
        <f>IFERROR(VLOOKUP(B787,'تقرير المصروفات حسب الشهر'!$C$1270:$AD$1381,8,FALSE),0)</f>
        <v>0</v>
      </c>
      <c r="N787" s="31" t="e">
        <f>#REF!</f>
        <v>#REF!</v>
      </c>
      <c r="O787" s="37" t="e">
        <f t="shared" si="19"/>
        <v>#REF!</v>
      </c>
    </row>
    <row r="788" spans="2:15" ht="17.399999999999999">
      <c r="B788" s="42" t="s">
        <v>104</v>
      </c>
      <c r="C788" s="39">
        <f>'تقرير المصروفات حسب الشهر'!J90</f>
        <v>0</v>
      </c>
      <c r="D788" s="31" t="e">
        <f>#REF!</f>
        <v>#REF!</v>
      </c>
      <c r="E788" s="31" t="e">
        <f>#REF!</f>
        <v>#REF!</v>
      </c>
      <c r="F788" s="31" t="e">
        <f>#REF!</f>
        <v>#REF!</v>
      </c>
      <c r="G788" s="31" t="e">
        <f>#REF!</f>
        <v>#REF!</v>
      </c>
      <c r="H788" s="31" t="e">
        <f>#REF!</f>
        <v>#REF!</v>
      </c>
      <c r="I788" s="31">
        <f>'تقرير المصروفات حسب الشهر'!J843</f>
        <v>0</v>
      </c>
      <c r="J788" s="31">
        <f>'تقرير المصروفات حسب الشهر'!J970</f>
        <v>0</v>
      </c>
      <c r="K788" s="31">
        <f>'تقرير المصروفات حسب الشهر'!J1097</f>
        <v>-0.01</v>
      </c>
      <c r="L788" s="292">
        <f>IFERROR(VLOOKUP(B788,'تقرير المصروفات حسب الشهر'!$C$1143:$AD$1254,8,FALSE),0)</f>
        <v>147.91999999999999</v>
      </c>
      <c r="M788" s="292">
        <f>IFERROR(VLOOKUP(B788,'تقرير المصروفات حسب الشهر'!$C$1270:$AD$1381,8,FALSE),0)</f>
        <v>147.91999999999999</v>
      </c>
      <c r="N788" s="31" t="e">
        <f>#REF!</f>
        <v>#REF!</v>
      </c>
      <c r="O788" s="37" t="e">
        <f t="shared" si="19"/>
        <v>#REF!</v>
      </c>
    </row>
    <row r="789" spans="2:15" ht="17.399999999999999">
      <c r="B789" s="42" t="s">
        <v>105</v>
      </c>
      <c r="C789" s="39">
        <f>'تقرير المصروفات حسب الشهر'!J91</f>
        <v>0</v>
      </c>
      <c r="D789" s="31" t="e">
        <f>#REF!</f>
        <v>#REF!</v>
      </c>
      <c r="E789" s="31" t="e">
        <f>#REF!</f>
        <v>#REF!</v>
      </c>
      <c r="F789" s="31" t="e">
        <f>#REF!</f>
        <v>#REF!</v>
      </c>
      <c r="G789" s="31" t="e">
        <f>#REF!</f>
        <v>#REF!</v>
      </c>
      <c r="H789" s="31" t="e">
        <f>#REF!</f>
        <v>#REF!</v>
      </c>
      <c r="I789" s="31">
        <f>'تقرير المصروفات حسب الشهر'!J844</f>
        <v>0</v>
      </c>
      <c r="J789" s="31">
        <f>'تقرير المصروفات حسب الشهر'!J971</f>
        <v>0</v>
      </c>
      <c r="K789" s="31">
        <f>'تقرير المصروفات حسب الشهر'!J1098</f>
        <v>0</v>
      </c>
      <c r="L789" s="292">
        <f>IFERROR(VLOOKUP(B789,'تقرير المصروفات حسب الشهر'!$C$1143:$AD$1254,8,FALSE),0)</f>
        <v>35.630000000000003</v>
      </c>
      <c r="M789" s="292">
        <f>IFERROR(VLOOKUP(B789,'تقرير المصروفات حسب الشهر'!$C$1270:$AD$1381,8,FALSE),0)</f>
        <v>35.630000000000003</v>
      </c>
      <c r="N789" s="31" t="e">
        <f>#REF!</f>
        <v>#REF!</v>
      </c>
      <c r="O789" s="37" t="e">
        <f t="shared" si="19"/>
        <v>#REF!</v>
      </c>
    </row>
    <row r="790" spans="2:15" ht="17.399999999999999">
      <c r="B790" s="42" t="s">
        <v>106</v>
      </c>
      <c r="C790" s="39">
        <f>'تقرير المصروفات حسب الشهر'!J92</f>
        <v>0</v>
      </c>
      <c r="D790" s="31" t="e">
        <f>#REF!</f>
        <v>#REF!</v>
      </c>
      <c r="E790" s="31" t="e">
        <f>#REF!</f>
        <v>#REF!</v>
      </c>
      <c r="F790" s="31" t="e">
        <f>#REF!</f>
        <v>#REF!</v>
      </c>
      <c r="G790" s="31" t="e">
        <f>#REF!</f>
        <v>#REF!</v>
      </c>
      <c r="H790" s="31" t="e">
        <f>#REF!</f>
        <v>#REF!</v>
      </c>
      <c r="I790" s="31">
        <f>'تقرير المصروفات حسب الشهر'!J845</f>
        <v>0</v>
      </c>
      <c r="J790" s="31">
        <f>'تقرير المصروفات حسب الشهر'!J972</f>
        <v>0</v>
      </c>
      <c r="K790" s="31">
        <f>'تقرير المصروفات حسب الشهر'!J1099</f>
        <v>0</v>
      </c>
      <c r="L790" s="292">
        <f>IFERROR(VLOOKUP(B790,'تقرير المصروفات حسب الشهر'!$C$1143:$AD$1254,8,FALSE),0)</f>
        <v>0</v>
      </c>
      <c r="M790" s="292">
        <f>IFERROR(VLOOKUP(B790,'تقرير المصروفات حسب الشهر'!$C$1270:$AD$1381,8,FALSE),0)</f>
        <v>0</v>
      </c>
      <c r="N790" s="31" t="e">
        <f>#REF!</f>
        <v>#REF!</v>
      </c>
      <c r="O790" s="37" t="e">
        <f t="shared" si="19"/>
        <v>#REF!</v>
      </c>
    </row>
    <row r="791" spans="2:15" ht="17.399999999999999">
      <c r="B791" s="42" t="s">
        <v>107</v>
      </c>
      <c r="C791" s="39">
        <f>'تقرير المصروفات حسب الشهر'!J93</f>
        <v>0</v>
      </c>
      <c r="D791" s="31" t="e">
        <f>#REF!</f>
        <v>#REF!</v>
      </c>
      <c r="E791" s="31" t="e">
        <f>#REF!</f>
        <v>#REF!</v>
      </c>
      <c r="F791" s="31" t="e">
        <f>#REF!</f>
        <v>#REF!</v>
      </c>
      <c r="G791" s="31" t="e">
        <f>#REF!</f>
        <v>#REF!</v>
      </c>
      <c r="H791" s="31" t="e">
        <f>#REF!</f>
        <v>#REF!</v>
      </c>
      <c r="I791" s="31">
        <f>'تقرير المصروفات حسب الشهر'!J846</f>
        <v>0</v>
      </c>
      <c r="J791" s="31">
        <f>'تقرير المصروفات حسب الشهر'!J973</f>
        <v>0</v>
      </c>
      <c r="K791" s="31">
        <f>'تقرير المصروفات حسب الشهر'!J1100</f>
        <v>0</v>
      </c>
      <c r="L791" s="292">
        <f>IFERROR(VLOOKUP(B791,'تقرير المصروفات حسب الشهر'!$C$1143:$AD$1254,8,FALSE),0)</f>
        <v>0</v>
      </c>
      <c r="M791" s="292">
        <f>IFERROR(VLOOKUP(B791,'تقرير المصروفات حسب الشهر'!$C$1270:$AD$1381,8,FALSE),0)</f>
        <v>0</v>
      </c>
      <c r="N791" s="31" t="e">
        <f>#REF!</f>
        <v>#REF!</v>
      </c>
      <c r="O791" s="37" t="e">
        <f t="shared" si="19"/>
        <v>#REF!</v>
      </c>
    </row>
    <row r="792" spans="2:15" ht="17.399999999999999">
      <c r="B792" s="42" t="s">
        <v>108</v>
      </c>
      <c r="C792" s="39">
        <f>'تقرير المصروفات حسب الشهر'!J94</f>
        <v>0</v>
      </c>
      <c r="D792" s="31" t="e">
        <f>#REF!</f>
        <v>#REF!</v>
      </c>
      <c r="E792" s="31" t="e">
        <f>#REF!</f>
        <v>#REF!</v>
      </c>
      <c r="F792" s="31" t="e">
        <f>#REF!</f>
        <v>#REF!</v>
      </c>
      <c r="G792" s="31" t="e">
        <f>#REF!</f>
        <v>#REF!</v>
      </c>
      <c r="H792" s="31" t="e">
        <f>#REF!</f>
        <v>#REF!</v>
      </c>
      <c r="I792" s="31">
        <f>'تقرير المصروفات حسب الشهر'!J847</f>
        <v>0</v>
      </c>
      <c r="J792" s="31">
        <f>'تقرير المصروفات حسب الشهر'!J974</f>
        <v>0</v>
      </c>
      <c r="K792" s="31">
        <f>'تقرير المصروفات حسب الشهر'!J1101</f>
        <v>0</v>
      </c>
      <c r="L792" s="292">
        <f>IFERROR(VLOOKUP(B792,'تقرير المصروفات حسب الشهر'!$C$1143:$AD$1254,8,FALSE),0)</f>
        <v>0</v>
      </c>
      <c r="M792" s="292">
        <f>IFERROR(VLOOKUP(B792,'تقرير المصروفات حسب الشهر'!$C$1270:$AD$1381,8,FALSE),0)</f>
        <v>0</v>
      </c>
      <c r="N792" s="31" t="e">
        <f>#REF!</f>
        <v>#REF!</v>
      </c>
      <c r="O792" s="37" t="e">
        <f t="shared" si="19"/>
        <v>#REF!</v>
      </c>
    </row>
    <row r="793" spans="2:15" ht="17.399999999999999">
      <c r="B793" s="42" t="s">
        <v>109</v>
      </c>
      <c r="C793" s="39">
        <f>'تقرير المصروفات حسب الشهر'!J95</f>
        <v>0</v>
      </c>
      <c r="D793" s="31" t="e">
        <f>#REF!</f>
        <v>#REF!</v>
      </c>
      <c r="E793" s="31" t="e">
        <f>#REF!</f>
        <v>#REF!</v>
      </c>
      <c r="F793" s="31" t="e">
        <f>#REF!</f>
        <v>#REF!</v>
      </c>
      <c r="G793" s="31" t="e">
        <f>#REF!</f>
        <v>#REF!</v>
      </c>
      <c r="H793" s="31" t="e">
        <f>#REF!</f>
        <v>#REF!</v>
      </c>
      <c r="I793" s="31">
        <f>'تقرير المصروفات حسب الشهر'!J848</f>
        <v>0</v>
      </c>
      <c r="J793" s="31">
        <f>'تقرير المصروفات حسب الشهر'!J975</f>
        <v>0</v>
      </c>
      <c r="K793" s="31">
        <f>'تقرير المصروفات حسب الشهر'!J1102</f>
        <v>0</v>
      </c>
      <c r="L793" s="292">
        <f>IFERROR(VLOOKUP(B793,'تقرير المصروفات حسب الشهر'!$C$1143:$AD$1254,8,FALSE),0)</f>
        <v>0</v>
      </c>
      <c r="M793" s="292">
        <f>IFERROR(VLOOKUP(B793,'تقرير المصروفات حسب الشهر'!$C$1270:$AD$1381,8,FALSE),0)</f>
        <v>0</v>
      </c>
      <c r="N793" s="31" t="e">
        <f>#REF!</f>
        <v>#REF!</v>
      </c>
      <c r="O793" s="37" t="e">
        <f t="shared" si="19"/>
        <v>#REF!</v>
      </c>
    </row>
    <row r="794" spans="2:15" ht="17.399999999999999">
      <c r="B794" s="42" t="s">
        <v>110</v>
      </c>
      <c r="C794" s="39">
        <f>'تقرير المصروفات حسب الشهر'!J96</f>
        <v>0</v>
      </c>
      <c r="D794" s="31" t="e">
        <f>#REF!</f>
        <v>#REF!</v>
      </c>
      <c r="E794" s="31" t="e">
        <f>#REF!</f>
        <v>#REF!</v>
      </c>
      <c r="F794" s="31" t="e">
        <f>#REF!</f>
        <v>#REF!</v>
      </c>
      <c r="G794" s="31" t="e">
        <f>#REF!</f>
        <v>#REF!</v>
      </c>
      <c r="H794" s="31" t="e">
        <f>#REF!</f>
        <v>#REF!</v>
      </c>
      <c r="I794" s="31">
        <f>'تقرير المصروفات حسب الشهر'!J849</f>
        <v>0</v>
      </c>
      <c r="J794" s="31">
        <f>'تقرير المصروفات حسب الشهر'!J976</f>
        <v>0</v>
      </c>
      <c r="K794" s="31">
        <f>'تقرير المصروفات حسب الشهر'!J1103</f>
        <v>0</v>
      </c>
      <c r="L794" s="292">
        <f>IFERROR(VLOOKUP(B794,'تقرير المصروفات حسب الشهر'!$C$1143:$AD$1254,8,FALSE),0)</f>
        <v>0</v>
      </c>
      <c r="M794" s="292">
        <f>IFERROR(VLOOKUP(B794,'تقرير المصروفات حسب الشهر'!$C$1270:$AD$1381,8,FALSE),0)</f>
        <v>0</v>
      </c>
      <c r="N794" s="31" t="e">
        <f>#REF!</f>
        <v>#REF!</v>
      </c>
      <c r="O794" s="37" t="e">
        <f t="shared" si="19"/>
        <v>#REF!</v>
      </c>
    </row>
    <row r="795" spans="2:15" ht="17.399999999999999">
      <c r="B795" s="42" t="s">
        <v>112</v>
      </c>
      <c r="C795" s="39">
        <f>'تقرير المصروفات حسب الشهر'!J97</f>
        <v>0</v>
      </c>
      <c r="D795" s="31" t="e">
        <f>#REF!</f>
        <v>#REF!</v>
      </c>
      <c r="E795" s="31" t="e">
        <f>#REF!</f>
        <v>#REF!</v>
      </c>
      <c r="F795" s="31" t="e">
        <f>#REF!</f>
        <v>#REF!</v>
      </c>
      <c r="G795" s="31" t="e">
        <f>#REF!</f>
        <v>#REF!</v>
      </c>
      <c r="H795" s="31" t="e">
        <f>#REF!</f>
        <v>#REF!</v>
      </c>
      <c r="I795" s="31">
        <f>'تقرير المصروفات حسب الشهر'!J850</f>
        <v>0</v>
      </c>
      <c r="J795" s="31">
        <f>'تقرير المصروفات حسب الشهر'!J977</f>
        <v>0</v>
      </c>
      <c r="K795" s="31">
        <f>'تقرير المصروفات حسب الشهر'!J1104</f>
        <v>0</v>
      </c>
      <c r="L795" s="292">
        <f>IFERROR(VLOOKUP(B795,'تقرير المصروفات حسب الشهر'!$C$1143:$AD$1254,8,FALSE),0)</f>
        <v>0</v>
      </c>
      <c r="M795" s="292">
        <f>IFERROR(VLOOKUP(B795,'تقرير المصروفات حسب الشهر'!$C$1270:$AD$1381,8,FALSE),0)</f>
        <v>0</v>
      </c>
      <c r="N795" s="31" t="e">
        <f>#REF!</f>
        <v>#REF!</v>
      </c>
      <c r="O795" s="37" t="e">
        <f t="shared" si="19"/>
        <v>#REF!</v>
      </c>
    </row>
    <row r="796" spans="2:15" ht="17.399999999999999">
      <c r="B796" s="42" t="s">
        <v>113</v>
      </c>
      <c r="C796" s="39">
        <f>'تقرير المصروفات حسب الشهر'!J98</f>
        <v>0</v>
      </c>
      <c r="D796" s="31" t="e">
        <f>#REF!</f>
        <v>#REF!</v>
      </c>
      <c r="E796" s="31" t="e">
        <f>#REF!</f>
        <v>#REF!</v>
      </c>
      <c r="F796" s="31" t="e">
        <f>#REF!</f>
        <v>#REF!</v>
      </c>
      <c r="G796" s="31" t="e">
        <f>#REF!</f>
        <v>#REF!</v>
      </c>
      <c r="H796" s="31" t="e">
        <f>#REF!</f>
        <v>#REF!</v>
      </c>
      <c r="I796" s="31">
        <f>'تقرير المصروفات حسب الشهر'!J851</f>
        <v>0</v>
      </c>
      <c r="J796" s="31">
        <f>'تقرير المصروفات حسب الشهر'!J978</f>
        <v>0</v>
      </c>
      <c r="K796" s="31">
        <f>'تقرير المصروفات حسب الشهر'!J1105</f>
        <v>0</v>
      </c>
      <c r="L796" s="292">
        <f>IFERROR(VLOOKUP(B796,'تقرير المصروفات حسب الشهر'!$C$1143:$AD$1254,8,FALSE),0)</f>
        <v>0</v>
      </c>
      <c r="M796" s="292">
        <f>IFERROR(VLOOKUP(B796,'تقرير المصروفات حسب الشهر'!$C$1270:$AD$1381,8,FALSE),0)</f>
        <v>0</v>
      </c>
      <c r="N796" s="31" t="e">
        <f>#REF!</f>
        <v>#REF!</v>
      </c>
      <c r="O796" s="37" t="e">
        <f t="shared" si="19"/>
        <v>#REF!</v>
      </c>
    </row>
    <row r="797" spans="2:15" ht="17.399999999999999">
      <c r="B797" s="42" t="s">
        <v>137</v>
      </c>
      <c r="C797" s="39">
        <f>'تقرير المصروفات حسب الشهر'!J99</f>
        <v>0</v>
      </c>
      <c r="D797" s="31" t="e">
        <f>#REF!</f>
        <v>#REF!</v>
      </c>
      <c r="E797" s="31" t="e">
        <f>#REF!</f>
        <v>#REF!</v>
      </c>
      <c r="F797" s="31" t="e">
        <f>#REF!</f>
        <v>#REF!</v>
      </c>
      <c r="G797" s="31" t="e">
        <f>#REF!</f>
        <v>#REF!</v>
      </c>
      <c r="H797" s="31" t="e">
        <f>#REF!</f>
        <v>#REF!</v>
      </c>
      <c r="I797" s="31">
        <f>'تقرير المصروفات حسب الشهر'!J852</f>
        <v>0</v>
      </c>
      <c r="J797" s="31">
        <f>'تقرير المصروفات حسب الشهر'!J979</f>
        <v>0</v>
      </c>
      <c r="K797" s="31">
        <f>'تقرير المصروفات حسب الشهر'!J1106</f>
        <v>0</v>
      </c>
      <c r="L797" s="292">
        <f>IFERROR(VLOOKUP(B797,'تقرير المصروفات حسب الشهر'!$C$1143:$AD$1254,8,FALSE),0)</f>
        <v>0</v>
      </c>
      <c r="M797" s="292">
        <f>IFERROR(VLOOKUP(B797,'تقرير المصروفات حسب الشهر'!$C$1270:$AD$1381,8,FALSE),0)</f>
        <v>0</v>
      </c>
      <c r="N797" s="31" t="e">
        <f>#REF!</f>
        <v>#REF!</v>
      </c>
      <c r="O797" s="37" t="e">
        <f t="shared" si="19"/>
        <v>#REF!</v>
      </c>
    </row>
    <row r="798" spans="2:15" ht="17.399999999999999">
      <c r="B798" s="42" t="s">
        <v>140</v>
      </c>
      <c r="C798" s="39">
        <f>'تقرير المصروفات حسب الشهر'!J100</f>
        <v>300</v>
      </c>
      <c r="D798" s="31" t="e">
        <f>#REF!</f>
        <v>#REF!</v>
      </c>
      <c r="E798" s="31" t="e">
        <f>#REF!</f>
        <v>#REF!</v>
      </c>
      <c r="F798" s="31" t="e">
        <f>#REF!</f>
        <v>#REF!</v>
      </c>
      <c r="G798" s="31" t="e">
        <f>#REF!</f>
        <v>#REF!</v>
      </c>
      <c r="H798" s="31" t="e">
        <f>#REF!</f>
        <v>#REF!</v>
      </c>
      <c r="I798" s="31">
        <f>'تقرير المصروفات حسب الشهر'!J853</f>
        <v>0</v>
      </c>
      <c r="J798" s="31">
        <f>'تقرير المصروفات حسب الشهر'!J980</f>
        <v>0</v>
      </c>
      <c r="K798" s="31">
        <f>'تقرير المصروفات حسب الشهر'!J1107</f>
        <v>0</v>
      </c>
      <c r="L798" s="292">
        <f>IFERROR(VLOOKUP(B798,'تقرير المصروفات حسب الشهر'!$C$1143:$AD$1254,8,FALSE),0)</f>
        <v>0</v>
      </c>
      <c r="M798" s="292">
        <f>IFERROR(VLOOKUP(B798,'تقرير المصروفات حسب الشهر'!$C$1270:$AD$1381,8,FALSE),0)</f>
        <v>0</v>
      </c>
      <c r="N798" s="31" t="e">
        <f>#REF!</f>
        <v>#REF!</v>
      </c>
      <c r="O798" s="37" t="e">
        <f t="shared" si="19"/>
        <v>#REF!</v>
      </c>
    </row>
    <row r="799" spans="2:15" ht="17.399999999999999">
      <c r="B799" s="42" t="s">
        <v>141</v>
      </c>
      <c r="C799" s="39">
        <f>'تقرير المصروفات حسب الشهر'!J101</f>
        <v>0</v>
      </c>
      <c r="D799" s="31" t="e">
        <f>#REF!</f>
        <v>#REF!</v>
      </c>
      <c r="E799" s="31" t="e">
        <f>#REF!</f>
        <v>#REF!</v>
      </c>
      <c r="F799" s="31" t="e">
        <f>#REF!</f>
        <v>#REF!</v>
      </c>
      <c r="G799" s="31" t="e">
        <f>#REF!</f>
        <v>#REF!</v>
      </c>
      <c r="H799" s="31" t="e">
        <f>#REF!</f>
        <v>#REF!</v>
      </c>
      <c r="I799" s="31">
        <f>'تقرير المصروفات حسب الشهر'!J854</f>
        <v>0</v>
      </c>
      <c r="J799" s="31">
        <f>'تقرير المصروفات حسب الشهر'!J981</f>
        <v>0</v>
      </c>
      <c r="K799" s="31">
        <f>'تقرير المصروفات حسب الشهر'!J1108</f>
        <v>0</v>
      </c>
      <c r="L799" s="292">
        <f>IFERROR(VLOOKUP(B799,'تقرير المصروفات حسب الشهر'!$C$1143:$AD$1254,8,FALSE),0)</f>
        <v>0</v>
      </c>
      <c r="M799" s="292">
        <f>IFERROR(VLOOKUP(B799,'تقرير المصروفات حسب الشهر'!$C$1270:$AD$1381,8,FALSE),0)</f>
        <v>0</v>
      </c>
      <c r="N799" s="31" t="e">
        <f>#REF!</f>
        <v>#REF!</v>
      </c>
      <c r="O799" s="37" t="e">
        <f t="shared" si="19"/>
        <v>#REF!</v>
      </c>
    </row>
    <row r="800" spans="2:15" ht="17.399999999999999">
      <c r="B800" s="42" t="s">
        <v>193</v>
      </c>
      <c r="C800" s="39">
        <f>'تقرير المصروفات حسب الشهر'!J102</f>
        <v>0</v>
      </c>
      <c r="D800" s="31" t="e">
        <f>#REF!</f>
        <v>#REF!</v>
      </c>
      <c r="E800" s="31" t="e">
        <f>#REF!</f>
        <v>#REF!</v>
      </c>
      <c r="F800" s="31" t="e">
        <f>#REF!</f>
        <v>#REF!</v>
      </c>
      <c r="G800" s="31" t="e">
        <f>#REF!</f>
        <v>#REF!</v>
      </c>
      <c r="H800" s="31" t="e">
        <f>#REF!</f>
        <v>#REF!</v>
      </c>
      <c r="I800" s="31">
        <f>'تقرير المصروفات حسب الشهر'!J855</f>
        <v>0</v>
      </c>
      <c r="J800" s="31">
        <f>'تقرير المصروفات حسب الشهر'!J982</f>
        <v>0</v>
      </c>
      <c r="K800" s="31">
        <f>'تقرير المصروفات حسب الشهر'!J1109</f>
        <v>0</v>
      </c>
      <c r="L800" s="292">
        <f>IFERROR(VLOOKUP(B800,'تقرير المصروفات حسب الشهر'!$C$1143:$AD$1254,8,FALSE),0)</f>
        <v>0</v>
      </c>
      <c r="M800" s="292">
        <f>IFERROR(VLOOKUP(B800,'تقرير المصروفات حسب الشهر'!$C$1270:$AD$1381,8,FALSE),0)</f>
        <v>0</v>
      </c>
      <c r="N800" s="31" t="e">
        <f>#REF!</f>
        <v>#REF!</v>
      </c>
      <c r="O800" s="37" t="e">
        <f t="shared" si="19"/>
        <v>#REF!</v>
      </c>
    </row>
    <row r="801" spans="2:15" ht="17.399999999999999">
      <c r="B801" s="42" t="s">
        <v>148</v>
      </c>
      <c r="C801" s="39">
        <f>'تقرير المصروفات حسب الشهر'!J103</f>
        <v>0</v>
      </c>
      <c r="D801" s="31" t="e">
        <f>#REF!</f>
        <v>#REF!</v>
      </c>
      <c r="E801" s="31" t="e">
        <f>#REF!</f>
        <v>#REF!</v>
      </c>
      <c r="F801" s="31" t="e">
        <f>#REF!</f>
        <v>#REF!</v>
      </c>
      <c r="G801" s="31" t="e">
        <f>#REF!</f>
        <v>#REF!</v>
      </c>
      <c r="H801" s="31" t="e">
        <f>#REF!</f>
        <v>#REF!</v>
      </c>
      <c r="I801" s="31">
        <f>'تقرير المصروفات حسب الشهر'!J856</f>
        <v>0</v>
      </c>
      <c r="J801" s="31">
        <f>'تقرير المصروفات حسب الشهر'!J983</f>
        <v>0</v>
      </c>
      <c r="K801" s="31">
        <f>'تقرير المصروفات حسب الشهر'!J1110</f>
        <v>0</v>
      </c>
      <c r="L801" s="292">
        <f>IFERROR(VLOOKUP(B801,'تقرير المصروفات حسب الشهر'!$C$1143:$AD$1254,8,FALSE),0)</f>
        <v>0</v>
      </c>
      <c r="M801" s="292">
        <f>IFERROR(VLOOKUP(B801,'تقرير المصروفات حسب الشهر'!$C$1270:$AD$1381,8,FALSE),0)</f>
        <v>0</v>
      </c>
      <c r="N801" s="31" t="e">
        <f>#REF!</f>
        <v>#REF!</v>
      </c>
      <c r="O801" s="37" t="e">
        <f t="shared" si="19"/>
        <v>#REF!</v>
      </c>
    </row>
    <row r="802" spans="2:15" ht="17.399999999999999">
      <c r="B802" s="42" t="s">
        <v>186</v>
      </c>
      <c r="C802" s="39">
        <f>'تقرير المصروفات حسب الشهر'!J104</f>
        <v>0</v>
      </c>
      <c r="D802" s="31" t="e">
        <f>#REF!</f>
        <v>#REF!</v>
      </c>
      <c r="E802" s="31" t="e">
        <f>#REF!</f>
        <v>#REF!</v>
      </c>
      <c r="F802" s="31" t="e">
        <f>#REF!</f>
        <v>#REF!</v>
      </c>
      <c r="G802" s="31" t="e">
        <f>#REF!</f>
        <v>#REF!</v>
      </c>
      <c r="H802" s="31" t="e">
        <f>#REF!</f>
        <v>#REF!</v>
      </c>
      <c r="I802" s="31">
        <f>'تقرير المصروفات حسب الشهر'!J857</f>
        <v>0</v>
      </c>
      <c r="J802" s="31">
        <f>'تقرير المصروفات حسب الشهر'!J984</f>
        <v>0</v>
      </c>
      <c r="K802" s="31">
        <f>'تقرير المصروفات حسب الشهر'!J1111</f>
        <v>0</v>
      </c>
      <c r="L802" s="292">
        <f>IFERROR(VLOOKUP(B802,'تقرير المصروفات حسب الشهر'!$C$1143:$AD$1254,8,FALSE),0)</f>
        <v>0</v>
      </c>
      <c r="M802" s="292">
        <f>IFERROR(VLOOKUP(B802,'تقرير المصروفات حسب الشهر'!$C$1270:$AD$1381,8,FALSE),0)</f>
        <v>0</v>
      </c>
      <c r="N802" s="31" t="e">
        <f>#REF!</f>
        <v>#REF!</v>
      </c>
      <c r="O802" s="37" t="e">
        <f t="shared" si="19"/>
        <v>#REF!</v>
      </c>
    </row>
    <row r="803" spans="2:15" ht="17.399999999999999">
      <c r="B803" s="42" t="s">
        <v>171</v>
      </c>
      <c r="C803" s="39">
        <f>'تقرير المصروفات حسب الشهر'!J105</f>
        <v>0</v>
      </c>
      <c r="D803" s="31" t="e">
        <f>#REF!</f>
        <v>#REF!</v>
      </c>
      <c r="E803" s="31" t="e">
        <f>#REF!</f>
        <v>#REF!</v>
      </c>
      <c r="F803" s="31" t="e">
        <f>#REF!</f>
        <v>#REF!</v>
      </c>
      <c r="G803" s="31" t="e">
        <f>#REF!</f>
        <v>#REF!</v>
      </c>
      <c r="H803" s="31" t="e">
        <f>#REF!</f>
        <v>#REF!</v>
      </c>
      <c r="I803" s="31">
        <f>'تقرير المصروفات حسب الشهر'!J858</f>
        <v>0</v>
      </c>
      <c r="J803" s="31">
        <f>'تقرير المصروفات حسب الشهر'!J985</f>
        <v>0</v>
      </c>
      <c r="K803" s="31">
        <f>'تقرير المصروفات حسب الشهر'!J1112</f>
        <v>0</v>
      </c>
      <c r="L803" s="292">
        <f>IFERROR(VLOOKUP(B803,'تقرير المصروفات حسب الشهر'!$C$1143:$AD$1254,8,FALSE),0)</f>
        <v>0</v>
      </c>
      <c r="M803" s="292">
        <f>IFERROR(VLOOKUP(B803,'تقرير المصروفات حسب الشهر'!$C$1270:$AD$1381,8,FALSE),0)</f>
        <v>0</v>
      </c>
      <c r="N803" s="31" t="e">
        <f>#REF!</f>
        <v>#REF!</v>
      </c>
      <c r="O803" s="37" t="e">
        <f t="shared" si="19"/>
        <v>#REF!</v>
      </c>
    </row>
    <row r="804" spans="2:15" ht="17.399999999999999">
      <c r="B804" s="42" t="s">
        <v>180</v>
      </c>
      <c r="C804" s="39">
        <f>'تقرير المصروفات حسب الشهر'!J106</f>
        <v>0</v>
      </c>
      <c r="D804" s="31" t="e">
        <f>#REF!</f>
        <v>#REF!</v>
      </c>
      <c r="E804" s="31" t="e">
        <f>#REF!</f>
        <v>#REF!</v>
      </c>
      <c r="F804" s="31" t="e">
        <f>#REF!</f>
        <v>#REF!</v>
      </c>
      <c r="G804" s="31" t="e">
        <f>#REF!</f>
        <v>#REF!</v>
      </c>
      <c r="H804" s="31" t="e">
        <f>#REF!</f>
        <v>#REF!</v>
      </c>
      <c r="I804" s="31">
        <f>'تقرير المصروفات حسب الشهر'!J859</f>
        <v>0</v>
      </c>
      <c r="J804" s="31">
        <f>'تقرير المصروفات حسب الشهر'!J986</f>
        <v>77</v>
      </c>
      <c r="K804" s="31">
        <f>'تقرير المصروفات حسب الشهر'!J1113</f>
        <v>0</v>
      </c>
      <c r="L804" s="292">
        <f>IFERROR(VLOOKUP(B804,'تقرير المصروفات حسب الشهر'!$C$1143:$AD$1254,8,FALSE),0)</f>
        <v>0</v>
      </c>
      <c r="M804" s="292">
        <f>IFERROR(VLOOKUP(B804,'تقرير المصروفات حسب الشهر'!$C$1270:$AD$1381,8,FALSE),0)</f>
        <v>0</v>
      </c>
      <c r="N804" s="31" t="e">
        <f>#REF!</f>
        <v>#REF!</v>
      </c>
      <c r="O804" s="37" t="e">
        <f t="shared" si="19"/>
        <v>#REF!</v>
      </c>
    </row>
    <row r="805" spans="2:15" ht="17.399999999999999">
      <c r="B805" s="42" t="s">
        <v>183</v>
      </c>
      <c r="C805" s="39">
        <f>'تقرير المصروفات حسب الشهر'!J107</f>
        <v>0</v>
      </c>
      <c r="D805" s="31" t="e">
        <f>#REF!</f>
        <v>#REF!</v>
      </c>
      <c r="E805" s="31" t="e">
        <f>#REF!</f>
        <v>#REF!</v>
      </c>
      <c r="F805" s="31" t="e">
        <f>#REF!</f>
        <v>#REF!</v>
      </c>
      <c r="G805" s="31" t="e">
        <f>#REF!</f>
        <v>#REF!</v>
      </c>
      <c r="H805" s="31" t="e">
        <f>#REF!</f>
        <v>#REF!</v>
      </c>
      <c r="I805" s="31">
        <f>'تقرير المصروفات حسب الشهر'!J860</f>
        <v>0</v>
      </c>
      <c r="J805" s="31">
        <f>'تقرير المصروفات حسب الشهر'!J987</f>
        <v>0</v>
      </c>
      <c r="K805" s="31">
        <f>'تقرير المصروفات حسب الشهر'!J1114</f>
        <v>0</v>
      </c>
      <c r="L805" s="292">
        <f>IFERROR(VLOOKUP(B805,'تقرير المصروفات حسب الشهر'!$C$1143:$AD$1254,8,FALSE),0)</f>
        <v>0</v>
      </c>
      <c r="M805" s="292">
        <f>IFERROR(VLOOKUP(B805,'تقرير المصروفات حسب الشهر'!$C$1270:$AD$1381,8,FALSE),0)</f>
        <v>0</v>
      </c>
      <c r="N805" s="31" t="e">
        <f>#REF!</f>
        <v>#REF!</v>
      </c>
      <c r="O805" s="37" t="e">
        <f t="shared" si="19"/>
        <v>#REF!</v>
      </c>
    </row>
    <row r="806" spans="2:15" ht="17.399999999999999">
      <c r="B806" s="42" t="s">
        <v>195</v>
      </c>
      <c r="C806" s="39">
        <f>'تقرير المصروفات حسب الشهر'!J108</f>
        <v>0</v>
      </c>
      <c r="D806" s="31" t="e">
        <f>#REF!</f>
        <v>#REF!</v>
      </c>
      <c r="E806" s="31" t="e">
        <f>#REF!</f>
        <v>#REF!</v>
      </c>
      <c r="F806" s="31" t="e">
        <f>#REF!</f>
        <v>#REF!</v>
      </c>
      <c r="G806" s="31" t="e">
        <f>#REF!</f>
        <v>#REF!</v>
      </c>
      <c r="H806" s="31" t="e">
        <f>#REF!</f>
        <v>#REF!</v>
      </c>
      <c r="I806" s="31">
        <f>'تقرير المصروفات حسب الشهر'!J861</f>
        <v>0</v>
      </c>
      <c r="J806" s="31">
        <f>'تقرير المصروفات حسب الشهر'!J988</f>
        <v>0</v>
      </c>
      <c r="K806" s="31">
        <f>'تقرير المصروفات حسب الشهر'!J1115</f>
        <v>0</v>
      </c>
      <c r="L806" s="292">
        <f>IFERROR(VLOOKUP(B806,'تقرير المصروفات حسب الشهر'!$C$1143:$AD$1254,8,FALSE),0)</f>
        <v>0</v>
      </c>
      <c r="M806" s="292">
        <f>IFERROR(VLOOKUP(B806,'تقرير المصروفات حسب الشهر'!$C$1270:$AD$1381,8,FALSE),0)</f>
        <v>0</v>
      </c>
      <c r="N806" s="31" t="e">
        <f>#REF!</f>
        <v>#REF!</v>
      </c>
      <c r="O806" s="37" t="e">
        <f t="shared" si="19"/>
        <v>#REF!</v>
      </c>
    </row>
    <row r="807" spans="2:15" ht="17.399999999999999">
      <c r="B807" s="42" t="s">
        <v>189</v>
      </c>
      <c r="C807" s="39">
        <f>'تقرير المصروفات حسب الشهر'!J109</f>
        <v>0</v>
      </c>
      <c r="D807" s="31" t="e">
        <f>#REF!</f>
        <v>#REF!</v>
      </c>
      <c r="E807" s="31" t="e">
        <f>#REF!</f>
        <v>#REF!</v>
      </c>
      <c r="F807" s="31" t="e">
        <f>#REF!</f>
        <v>#REF!</v>
      </c>
      <c r="G807" s="31" t="e">
        <f>#REF!</f>
        <v>#REF!</v>
      </c>
      <c r="H807" s="31" t="e">
        <f>#REF!</f>
        <v>#REF!</v>
      </c>
      <c r="I807" s="31">
        <f>'تقرير المصروفات حسب الشهر'!J862</f>
        <v>0</v>
      </c>
      <c r="J807" s="31">
        <f>'تقرير المصروفات حسب الشهر'!J989</f>
        <v>0</v>
      </c>
      <c r="K807" s="31">
        <f>'تقرير المصروفات حسب الشهر'!J1116</f>
        <v>0</v>
      </c>
      <c r="L807" s="292">
        <f>IFERROR(VLOOKUP(B807,'تقرير المصروفات حسب الشهر'!$C$1143:$AD$1254,8,FALSE),0)</f>
        <v>0</v>
      </c>
      <c r="M807" s="292">
        <f>IFERROR(VLOOKUP(B807,'تقرير المصروفات حسب الشهر'!$C$1270:$AD$1381,8,FALSE),0)</f>
        <v>0</v>
      </c>
      <c r="N807" s="31" t="e">
        <f>#REF!</f>
        <v>#REF!</v>
      </c>
      <c r="O807" s="37" t="e">
        <f t="shared" si="19"/>
        <v>#REF!</v>
      </c>
    </row>
    <row r="808" spans="2:15" ht="17.399999999999999">
      <c r="B808" s="42" t="s">
        <v>188</v>
      </c>
      <c r="C808" s="39">
        <f>'تقرير المصروفات حسب الشهر'!J110</f>
        <v>0</v>
      </c>
      <c r="D808" s="31" t="e">
        <f>#REF!</f>
        <v>#REF!</v>
      </c>
      <c r="E808" s="31" t="e">
        <f>#REF!</f>
        <v>#REF!</v>
      </c>
      <c r="F808" s="31" t="e">
        <f>#REF!</f>
        <v>#REF!</v>
      </c>
      <c r="G808" s="31" t="e">
        <f>#REF!</f>
        <v>#REF!</v>
      </c>
      <c r="H808" s="31" t="e">
        <f>#REF!</f>
        <v>#REF!</v>
      </c>
      <c r="I808" s="31">
        <f>'تقرير المصروفات حسب الشهر'!J863</f>
        <v>0</v>
      </c>
      <c r="J808" s="31">
        <f>'تقرير المصروفات حسب الشهر'!J990</f>
        <v>0</v>
      </c>
      <c r="K808" s="31">
        <f>'تقرير المصروفات حسب الشهر'!J1117</f>
        <v>0</v>
      </c>
      <c r="L808" s="292">
        <f>IFERROR(VLOOKUP(B808,'تقرير المصروفات حسب الشهر'!$C$1143:$AD$1254,8,FALSE),0)</f>
        <v>0</v>
      </c>
      <c r="M808" s="292">
        <f>IFERROR(VLOOKUP(B808,'تقرير المصروفات حسب الشهر'!$C$1270:$AD$1381,8,FALSE),0)</f>
        <v>0</v>
      </c>
      <c r="N808" s="31" t="e">
        <f>#REF!</f>
        <v>#REF!</v>
      </c>
      <c r="O808" s="37" t="e">
        <f t="shared" si="19"/>
        <v>#REF!</v>
      </c>
    </row>
    <row r="809" spans="2:15" ht="17.399999999999999">
      <c r="B809" s="42" t="s">
        <v>196</v>
      </c>
      <c r="C809" s="39">
        <f>'تقرير المصروفات حسب الشهر'!J111</f>
        <v>0</v>
      </c>
      <c r="D809" s="31" t="e">
        <f>#REF!</f>
        <v>#REF!</v>
      </c>
      <c r="E809" s="31" t="e">
        <f>#REF!</f>
        <v>#REF!</v>
      </c>
      <c r="F809" s="31" t="e">
        <f>#REF!</f>
        <v>#REF!</v>
      </c>
      <c r="G809" s="31" t="e">
        <f>#REF!</f>
        <v>#REF!</v>
      </c>
      <c r="H809" s="31" t="e">
        <f>#REF!</f>
        <v>#REF!</v>
      </c>
      <c r="I809" s="31">
        <f>'تقرير المصروفات حسب الشهر'!J864</f>
        <v>0</v>
      </c>
      <c r="J809" s="31">
        <f>'تقرير المصروفات حسب الشهر'!J991</f>
        <v>0</v>
      </c>
      <c r="K809" s="31">
        <f>'تقرير المصروفات حسب الشهر'!J1118</f>
        <v>0</v>
      </c>
      <c r="L809" s="292">
        <f>IFERROR(VLOOKUP(B809,'تقرير المصروفات حسب الشهر'!$C$1143:$AD$1254,8,FALSE),0)</f>
        <v>0</v>
      </c>
      <c r="M809" s="292">
        <f>IFERROR(VLOOKUP(B809,'تقرير المصروفات حسب الشهر'!$C$1270:$AD$1381,8,FALSE),0)</f>
        <v>0</v>
      </c>
      <c r="N809" s="31" t="e">
        <f>#REF!</f>
        <v>#REF!</v>
      </c>
      <c r="O809" s="37" t="e">
        <f t="shared" si="19"/>
        <v>#REF!</v>
      </c>
    </row>
    <row r="810" spans="2:15" ht="17.399999999999999">
      <c r="B810" s="42" t="s">
        <v>197</v>
      </c>
      <c r="C810" s="39">
        <f>'تقرير المصروفات حسب الشهر'!J112</f>
        <v>0</v>
      </c>
      <c r="D810" s="31" t="e">
        <f>#REF!</f>
        <v>#REF!</v>
      </c>
      <c r="E810" s="31" t="e">
        <f>#REF!</f>
        <v>#REF!</v>
      </c>
      <c r="F810" s="31" t="e">
        <f>#REF!</f>
        <v>#REF!</v>
      </c>
      <c r="G810" s="31" t="e">
        <f>#REF!</f>
        <v>#REF!</v>
      </c>
      <c r="H810" s="31" t="e">
        <f>#REF!</f>
        <v>#REF!</v>
      </c>
      <c r="I810" s="31">
        <f>'تقرير المصروفات حسب الشهر'!J865</f>
        <v>0</v>
      </c>
      <c r="J810" s="31">
        <f>'تقرير المصروفات حسب الشهر'!J992</f>
        <v>0</v>
      </c>
      <c r="K810" s="31">
        <f>'تقرير المصروفات حسب الشهر'!J1119</f>
        <v>0</v>
      </c>
      <c r="L810" s="292">
        <f>IFERROR(VLOOKUP(B810,'تقرير المصروفات حسب الشهر'!$C$1143:$AD$1254,8,FALSE),0)</f>
        <v>0</v>
      </c>
      <c r="M810" s="292">
        <f>IFERROR(VLOOKUP(B810,'تقرير المصروفات حسب الشهر'!$C$1270:$AD$1381,8,FALSE),0)</f>
        <v>0</v>
      </c>
      <c r="N810" s="31" t="e">
        <f>#REF!</f>
        <v>#REF!</v>
      </c>
      <c r="O810" s="37" t="e">
        <f t="shared" si="19"/>
        <v>#REF!</v>
      </c>
    </row>
    <row r="811" spans="2:15" ht="17.399999999999999">
      <c r="B811" s="42" t="s">
        <v>198</v>
      </c>
      <c r="C811" s="39">
        <f>'تقرير المصروفات حسب الشهر'!J113</f>
        <v>0</v>
      </c>
      <c r="D811" s="31" t="e">
        <f>#REF!</f>
        <v>#REF!</v>
      </c>
      <c r="E811" s="31" t="e">
        <f>#REF!</f>
        <v>#REF!</v>
      </c>
      <c r="F811" s="31" t="e">
        <f>#REF!</f>
        <v>#REF!</v>
      </c>
      <c r="G811" s="31" t="e">
        <f>#REF!</f>
        <v>#REF!</v>
      </c>
      <c r="H811" s="31" t="e">
        <f>#REF!</f>
        <v>#REF!</v>
      </c>
      <c r="I811" s="31">
        <f>'تقرير المصروفات حسب الشهر'!J866</f>
        <v>0</v>
      </c>
      <c r="J811" s="31">
        <f>'تقرير المصروفات حسب الشهر'!J993</f>
        <v>0</v>
      </c>
      <c r="K811" s="31">
        <f>'تقرير المصروفات حسب الشهر'!J1120</f>
        <v>0</v>
      </c>
      <c r="L811" s="292">
        <f>IFERROR(VLOOKUP(B811,'تقرير المصروفات حسب الشهر'!$C$1143:$AD$1254,8,FALSE),0)</f>
        <v>0</v>
      </c>
      <c r="M811" s="292">
        <f>IFERROR(VLOOKUP(B811,'تقرير المصروفات حسب الشهر'!$C$1270:$AD$1381,8,FALSE),0)</f>
        <v>0</v>
      </c>
      <c r="N811" s="31" t="e">
        <f>#REF!</f>
        <v>#REF!</v>
      </c>
      <c r="O811" s="37" t="e">
        <f t="shared" si="19"/>
        <v>#REF!</v>
      </c>
    </row>
    <row r="812" spans="2:15" ht="17.399999999999999">
      <c r="B812" s="42" t="s">
        <v>201</v>
      </c>
      <c r="C812" s="39">
        <f>'تقرير المصروفات حسب الشهر'!J114</f>
        <v>0</v>
      </c>
      <c r="D812" s="31" t="e">
        <f>#REF!</f>
        <v>#REF!</v>
      </c>
      <c r="E812" s="31" t="e">
        <f>#REF!</f>
        <v>#REF!</v>
      </c>
      <c r="F812" s="31" t="e">
        <f>#REF!</f>
        <v>#REF!</v>
      </c>
      <c r="G812" s="31" t="e">
        <f>#REF!</f>
        <v>#REF!</v>
      </c>
      <c r="H812" s="31" t="e">
        <f>#REF!</f>
        <v>#REF!</v>
      </c>
      <c r="I812" s="31">
        <f>'تقرير المصروفات حسب الشهر'!J867</f>
        <v>0</v>
      </c>
      <c r="J812" s="31">
        <f>'تقرير المصروفات حسب الشهر'!J994</f>
        <v>0</v>
      </c>
      <c r="K812" s="31">
        <f>'تقرير المصروفات حسب الشهر'!J1121</f>
        <v>0</v>
      </c>
      <c r="L812" s="292">
        <f>IFERROR(VLOOKUP(B812,'تقرير المصروفات حسب الشهر'!$C$1143:$AD$1254,8,FALSE),0)</f>
        <v>0</v>
      </c>
      <c r="M812" s="292">
        <f>IFERROR(VLOOKUP(B812,'تقرير المصروفات حسب الشهر'!$C$1270:$AD$1381,8,FALSE),0)</f>
        <v>0</v>
      </c>
      <c r="N812" s="31" t="e">
        <f>#REF!</f>
        <v>#REF!</v>
      </c>
      <c r="O812" s="37" t="e">
        <f t="shared" si="19"/>
        <v>#REF!</v>
      </c>
    </row>
    <row r="813" spans="2:15" ht="17.399999999999999">
      <c r="B813" s="42" t="s">
        <v>202</v>
      </c>
      <c r="C813" s="39">
        <f>'تقرير المصروفات حسب الشهر'!J115</f>
        <v>0</v>
      </c>
      <c r="D813" s="31" t="e">
        <f>#REF!</f>
        <v>#REF!</v>
      </c>
      <c r="E813" s="31" t="e">
        <f>#REF!</f>
        <v>#REF!</v>
      </c>
      <c r="F813" s="31" t="e">
        <f>#REF!</f>
        <v>#REF!</v>
      </c>
      <c r="G813" s="31" t="e">
        <f>#REF!</f>
        <v>#REF!</v>
      </c>
      <c r="H813" s="31" t="e">
        <f>#REF!</f>
        <v>#REF!</v>
      </c>
      <c r="I813" s="31">
        <f>'تقرير المصروفات حسب الشهر'!J868</f>
        <v>0</v>
      </c>
      <c r="J813" s="31">
        <f>'تقرير المصروفات حسب الشهر'!J995</f>
        <v>0</v>
      </c>
      <c r="K813" s="31">
        <f>'تقرير المصروفات حسب الشهر'!J1122</f>
        <v>0</v>
      </c>
      <c r="L813" s="292">
        <f>IFERROR(VLOOKUP(B813,'تقرير المصروفات حسب الشهر'!$C$1143:$AD$1254,8,FALSE),0)</f>
        <v>0</v>
      </c>
      <c r="M813" s="292">
        <f>IFERROR(VLOOKUP(B813,'تقرير المصروفات حسب الشهر'!$C$1270:$AD$1381,8,FALSE),0)</f>
        <v>0</v>
      </c>
      <c r="N813" s="31" t="e">
        <f>#REF!</f>
        <v>#REF!</v>
      </c>
      <c r="O813" s="37" t="e">
        <f t="shared" si="19"/>
        <v>#REF!</v>
      </c>
    </row>
    <row r="814" spans="2:15" ht="17.399999999999999">
      <c r="B814" s="42" t="s">
        <v>206</v>
      </c>
      <c r="C814" s="39">
        <f>'تقرير المصروفات حسب الشهر'!J116</f>
        <v>0</v>
      </c>
      <c r="D814" s="31" t="e">
        <f>#REF!</f>
        <v>#REF!</v>
      </c>
      <c r="E814" s="31" t="e">
        <f>#REF!</f>
        <v>#REF!</v>
      </c>
      <c r="F814" s="31" t="e">
        <f>#REF!</f>
        <v>#REF!</v>
      </c>
      <c r="G814" s="31" t="e">
        <f>#REF!</f>
        <v>#REF!</v>
      </c>
      <c r="H814" s="31" t="e">
        <f>#REF!</f>
        <v>#REF!</v>
      </c>
      <c r="I814" s="31">
        <f>'تقرير المصروفات حسب الشهر'!J869</f>
        <v>0</v>
      </c>
      <c r="J814" s="31">
        <f>'تقرير المصروفات حسب الشهر'!J996</f>
        <v>0</v>
      </c>
      <c r="K814" s="31">
        <f>'تقرير المصروفات حسب الشهر'!J1123</f>
        <v>0</v>
      </c>
      <c r="L814" s="292">
        <f>IFERROR(VLOOKUP(B814,'تقرير المصروفات حسب الشهر'!$C$1143:$AD$1254,8,FALSE),0)</f>
        <v>0</v>
      </c>
      <c r="M814" s="292">
        <f>IFERROR(VLOOKUP(B814,'تقرير المصروفات حسب الشهر'!$C$1270:$AD$1381,8,FALSE),0)</f>
        <v>0</v>
      </c>
      <c r="N814" s="31" t="e">
        <f>#REF!</f>
        <v>#REF!</v>
      </c>
      <c r="O814" s="37" t="e">
        <f t="shared" si="19"/>
        <v>#REF!</v>
      </c>
    </row>
    <row r="815" spans="2:15" ht="17.399999999999999">
      <c r="B815" s="42" t="s">
        <v>207</v>
      </c>
      <c r="C815" s="39">
        <f>'تقرير المصروفات حسب الشهر'!J117</f>
        <v>0</v>
      </c>
      <c r="D815" s="31" t="e">
        <f>#REF!</f>
        <v>#REF!</v>
      </c>
      <c r="E815" s="31" t="e">
        <f>#REF!</f>
        <v>#REF!</v>
      </c>
      <c r="F815" s="31" t="e">
        <f>#REF!</f>
        <v>#REF!</v>
      </c>
      <c r="G815" s="31" t="e">
        <f>#REF!</f>
        <v>#REF!</v>
      </c>
      <c r="H815" s="31" t="e">
        <f>#REF!</f>
        <v>#REF!</v>
      </c>
      <c r="I815" s="31">
        <f>'تقرير المصروفات حسب الشهر'!J870</f>
        <v>0</v>
      </c>
      <c r="J815" s="31">
        <f>'تقرير المصروفات حسب الشهر'!J997</f>
        <v>0</v>
      </c>
      <c r="K815" s="31">
        <f>'تقرير المصروفات حسب الشهر'!J1124</f>
        <v>0</v>
      </c>
      <c r="L815" s="292">
        <f>IFERROR(VLOOKUP(B815,'تقرير المصروفات حسب الشهر'!$C$1143:$AD$1254,8,FALSE),0)</f>
        <v>0</v>
      </c>
      <c r="M815" s="292">
        <f>IFERROR(VLOOKUP(B815,'تقرير المصروفات حسب الشهر'!$C$1270:$AD$1381,8,FALSE),0)</f>
        <v>0</v>
      </c>
      <c r="N815" s="31" t="e">
        <f>#REF!</f>
        <v>#REF!</v>
      </c>
      <c r="O815" s="37" t="e">
        <f t="shared" si="19"/>
        <v>#REF!</v>
      </c>
    </row>
    <row r="816" spans="2:15" ht="17.399999999999999">
      <c r="B816" s="43" t="s">
        <v>208</v>
      </c>
      <c r="C816" s="39">
        <f>'تقرير المصروفات حسب الشهر'!J118</f>
        <v>0</v>
      </c>
      <c r="D816" s="31" t="e">
        <f>#REF!</f>
        <v>#REF!</v>
      </c>
      <c r="E816" s="31" t="e">
        <f>#REF!</f>
        <v>#REF!</v>
      </c>
      <c r="F816" s="31" t="e">
        <f>#REF!</f>
        <v>#REF!</v>
      </c>
      <c r="G816" s="31" t="e">
        <f>#REF!</f>
        <v>#REF!</v>
      </c>
      <c r="H816" s="31">
        <v>0</v>
      </c>
      <c r="I816" s="31">
        <f>'تقرير المصروفات حسب الشهر'!J871</f>
        <v>0</v>
      </c>
      <c r="J816" s="31">
        <f>'تقرير المصروفات حسب الشهر'!J998</f>
        <v>0</v>
      </c>
      <c r="K816" s="31">
        <f>'تقرير المصروفات حسب الشهر'!J1125</f>
        <v>0</v>
      </c>
      <c r="L816" s="292">
        <f>IFERROR(VLOOKUP(B816,'تقرير المصروفات حسب الشهر'!$C$1143:$AD$1254,8,FALSE),0)</f>
        <v>0</v>
      </c>
      <c r="M816" s="292">
        <f>IFERROR(VLOOKUP(B816,'تقرير المصروفات حسب الشهر'!$C$1270:$AD$1381,8,FALSE),0)</f>
        <v>0</v>
      </c>
      <c r="N816" s="31" t="e">
        <f>#REF!</f>
        <v>#REF!</v>
      </c>
      <c r="O816" s="37" t="e">
        <f t="shared" si="19"/>
        <v>#REF!</v>
      </c>
    </row>
    <row r="817" spans="2:15" ht="17.399999999999999">
      <c r="B817" s="437" t="s">
        <v>236</v>
      </c>
      <c r="C817" s="39">
        <f>'تقرير المصروفات حسب الشهر'!J119</f>
        <v>0</v>
      </c>
      <c r="D817" s="438"/>
      <c r="E817" s="438"/>
      <c r="F817" s="438"/>
      <c r="G817" s="438"/>
      <c r="H817" s="438"/>
      <c r="I817" s="438"/>
      <c r="J817" s="438"/>
      <c r="K817" s="438"/>
      <c r="L817" s="439"/>
      <c r="M817" s="439"/>
      <c r="N817" s="438"/>
      <c r="O817" s="440"/>
    </row>
    <row r="818" spans="2:15" ht="17.399999999999999">
      <c r="B818" s="437" t="s">
        <v>209</v>
      </c>
      <c r="C818" s="39">
        <f>'تقرير المصروفات حسب الشهر'!J120</f>
        <v>0</v>
      </c>
      <c r="D818" s="438"/>
      <c r="E818" s="438"/>
      <c r="F818" s="438"/>
      <c r="G818" s="438"/>
      <c r="H818" s="438"/>
      <c r="I818" s="438"/>
      <c r="J818" s="438"/>
      <c r="K818" s="438"/>
      <c r="L818" s="439"/>
      <c r="M818" s="439"/>
      <c r="N818" s="438"/>
      <c r="O818" s="440"/>
    </row>
    <row r="819" spans="2:15" ht="18" thickBot="1">
      <c r="B819" s="437" t="s">
        <v>360</v>
      </c>
      <c r="C819" s="39">
        <f>'تقرير المصروفات حسب الشهر'!J121</f>
        <v>0</v>
      </c>
      <c r="D819" s="438"/>
      <c r="E819" s="438"/>
      <c r="F819" s="438"/>
      <c r="G819" s="438"/>
      <c r="H819" s="438"/>
      <c r="I819" s="438"/>
      <c r="J819" s="438"/>
      <c r="K819" s="438"/>
      <c r="L819" s="439"/>
      <c r="M819" s="439"/>
      <c r="N819" s="438"/>
      <c r="O819" s="440"/>
    </row>
    <row r="820" spans="2:15" ht="21.6" thickBot="1">
      <c r="B820" s="29" t="s">
        <v>18</v>
      </c>
      <c r="C820" s="41">
        <f>SUM(C708:C819)</f>
        <v>16530.760000000002</v>
      </c>
      <c r="D820" s="41" t="e">
        <f t="shared" ref="D820:O820" si="20">SUM(D708:D816)</f>
        <v>#REF!</v>
      </c>
      <c r="E820" s="41" t="e">
        <f t="shared" si="20"/>
        <v>#REF!</v>
      </c>
      <c r="F820" s="41" t="e">
        <f t="shared" si="20"/>
        <v>#REF!</v>
      </c>
      <c r="G820" s="41" t="e">
        <f t="shared" si="20"/>
        <v>#REF!</v>
      </c>
      <c r="H820" s="41" t="e">
        <f t="shared" si="20"/>
        <v>#REF!</v>
      </c>
      <c r="I820" s="41">
        <f t="shared" si="20"/>
        <v>24896.699999999997</v>
      </c>
      <c r="J820" s="41">
        <f t="shared" si="20"/>
        <v>32443.969999999998</v>
      </c>
      <c r="K820" s="41">
        <f t="shared" si="20"/>
        <v>27456.62</v>
      </c>
      <c r="L820" s="41">
        <f t="shared" si="20"/>
        <v>33581.679999999993</v>
      </c>
      <c r="M820" s="41">
        <f t="shared" si="20"/>
        <v>33016.899999999994</v>
      </c>
      <c r="N820" s="41" t="e">
        <f t="shared" si="20"/>
        <v>#REF!</v>
      </c>
      <c r="O820" s="41" t="e">
        <f t="shared" si="20"/>
        <v>#REF!</v>
      </c>
    </row>
    <row r="822" spans="2:15" ht="13.8" thickBot="1"/>
    <row r="823" spans="2:15" ht="31.2" thickTop="1" thickBot="1">
      <c r="B823" s="643" t="s">
        <v>217</v>
      </c>
      <c r="C823" s="644"/>
      <c r="D823" s="644"/>
      <c r="E823" s="644"/>
      <c r="F823" s="644"/>
      <c r="G823" s="644"/>
      <c r="H823" s="644"/>
      <c r="I823" s="644"/>
      <c r="J823" s="644"/>
      <c r="K823" s="644"/>
      <c r="L823" s="644"/>
      <c r="M823" s="644"/>
      <c r="N823" s="644"/>
      <c r="O823" s="645"/>
    </row>
    <row r="824" spans="2:15" ht="17.399999999999999">
      <c r="B824" s="30" t="s">
        <v>23</v>
      </c>
      <c r="C824" s="33" t="s">
        <v>0</v>
      </c>
      <c r="D824" s="33" t="s">
        <v>1</v>
      </c>
      <c r="E824" s="34" t="s">
        <v>2</v>
      </c>
      <c r="F824" s="34" t="s">
        <v>3</v>
      </c>
      <c r="G824" s="34" t="s">
        <v>4</v>
      </c>
      <c r="H824" s="34" t="s">
        <v>5</v>
      </c>
      <c r="I824" s="34" t="s">
        <v>6</v>
      </c>
      <c r="J824" s="34" t="s">
        <v>7</v>
      </c>
      <c r="K824" s="34" t="s">
        <v>8</v>
      </c>
      <c r="L824" s="34" t="s">
        <v>9</v>
      </c>
      <c r="M824" s="34" t="s">
        <v>10</v>
      </c>
      <c r="N824" s="35" t="s">
        <v>11</v>
      </c>
      <c r="O824" s="36" t="s">
        <v>18</v>
      </c>
    </row>
    <row r="825" spans="2:15" ht="17.399999999999999">
      <c r="B825" s="42" t="s">
        <v>40</v>
      </c>
      <c r="C825" s="39">
        <f>'تقرير المصروفات حسب الشهر'!K10</f>
        <v>0</v>
      </c>
      <c r="D825" s="31" t="e">
        <f>#REF!</f>
        <v>#REF!</v>
      </c>
      <c r="E825" s="31" t="e">
        <f>#REF!</f>
        <v>#REF!</v>
      </c>
      <c r="F825" s="31" t="e">
        <f>#REF!</f>
        <v>#REF!</v>
      </c>
      <c r="G825" s="31" t="e">
        <f>#REF!</f>
        <v>#REF!</v>
      </c>
      <c r="H825" s="31" t="e">
        <f>#REF!</f>
        <v>#REF!</v>
      </c>
      <c r="I825" s="31">
        <f>'تقرير المصروفات حسب الشهر'!K763</f>
        <v>0</v>
      </c>
      <c r="J825" s="31">
        <f>'تقرير المصروفات حسب الشهر'!K890</f>
        <v>0</v>
      </c>
      <c r="K825" s="31">
        <f>'تقرير المصروفات حسب الشهر'!K1017</f>
        <v>0</v>
      </c>
      <c r="L825" s="292">
        <f>IFERROR(VLOOKUP(B825,'تقرير المصروفات حسب الشهر'!$C$1143:$AD$1254,9,FALSE),0)</f>
        <v>0</v>
      </c>
      <c r="M825" s="292">
        <f>IFERROR(VLOOKUP(B825,'تقرير المصروفات حسب الشهر'!$C$1270:$AD$1381,9,FALSE),0)</f>
        <v>0</v>
      </c>
      <c r="N825" s="31" t="e">
        <f>#REF!</f>
        <v>#REF!</v>
      </c>
      <c r="O825" s="37" t="e">
        <f>SUM(C825:N825)</f>
        <v>#REF!</v>
      </c>
    </row>
    <row r="826" spans="2:15" ht="17.399999999999999">
      <c r="B826" s="42" t="s">
        <v>41</v>
      </c>
      <c r="C826" s="39">
        <f>'تقرير المصروفات حسب الشهر'!K11</f>
        <v>9389.880000000001</v>
      </c>
      <c r="D826" s="31" t="e">
        <f>#REF!</f>
        <v>#REF!</v>
      </c>
      <c r="E826" s="31" t="e">
        <f>#REF!</f>
        <v>#REF!</v>
      </c>
      <c r="F826" s="31" t="e">
        <f>#REF!</f>
        <v>#REF!</v>
      </c>
      <c r="G826" s="31" t="e">
        <f>#REF!</f>
        <v>#REF!</v>
      </c>
      <c r="H826" s="31" t="e">
        <f>#REF!</f>
        <v>#REF!</v>
      </c>
      <c r="I826" s="31">
        <f>'تقرير المصروفات حسب الشهر'!K764</f>
        <v>14856.57</v>
      </c>
      <c r="J826" s="31">
        <f>'تقرير المصروفات حسب الشهر'!K891</f>
        <v>16255.18</v>
      </c>
      <c r="K826" s="31">
        <f>'تقرير المصروفات حسب الشهر'!K1018</f>
        <v>15390.5</v>
      </c>
      <c r="L826" s="292">
        <f>IFERROR(VLOOKUP(B826,'تقرير المصروفات حسب الشهر'!$C$1143:$AD$1254,9,FALSE),0)</f>
        <v>16812.72</v>
      </c>
      <c r="M826" s="292">
        <f>IFERROR(VLOOKUP(B826,'تقرير المصروفات حسب الشهر'!$C$1270:$AD$1381,9,FALSE),0)</f>
        <v>17969.650000000001</v>
      </c>
      <c r="N826" s="31" t="e">
        <f>#REF!</f>
        <v>#REF!</v>
      </c>
      <c r="O826" s="37" t="e">
        <f t="shared" ref="O826:O889" si="21">SUM(C826:N826)</f>
        <v>#REF!</v>
      </c>
    </row>
    <row r="827" spans="2:15" ht="17.399999999999999">
      <c r="B827" s="42" t="s">
        <v>26</v>
      </c>
      <c r="C827" s="39">
        <f>'تقرير المصروفات حسب الشهر'!K12</f>
        <v>0</v>
      </c>
      <c r="D827" s="31" t="e">
        <f>#REF!</f>
        <v>#REF!</v>
      </c>
      <c r="E827" s="31" t="e">
        <f>#REF!</f>
        <v>#REF!</v>
      </c>
      <c r="F827" s="31" t="e">
        <f>#REF!</f>
        <v>#REF!</v>
      </c>
      <c r="G827" s="31" t="e">
        <f>#REF!</f>
        <v>#REF!</v>
      </c>
      <c r="H827" s="31" t="e">
        <f>#REF!</f>
        <v>#REF!</v>
      </c>
      <c r="I827" s="31">
        <f>'تقرير المصروفات حسب الشهر'!K765</f>
        <v>0</v>
      </c>
      <c r="J827" s="31">
        <f>'تقرير المصروفات حسب الشهر'!K892</f>
        <v>0</v>
      </c>
      <c r="K827" s="31">
        <f>'تقرير المصروفات حسب الشهر'!K1019</f>
        <v>0</v>
      </c>
      <c r="L827" s="292">
        <f>IFERROR(VLOOKUP(B827,'تقرير المصروفات حسب الشهر'!$C$1143:$AD$1254,9,FALSE),0)</f>
        <v>0</v>
      </c>
      <c r="M827" s="292">
        <f>IFERROR(VLOOKUP(B827,'تقرير المصروفات حسب الشهر'!$C$1270:$AD$1381,9,FALSE),0)</f>
        <v>0</v>
      </c>
      <c r="N827" s="31" t="e">
        <f>#REF!</f>
        <v>#REF!</v>
      </c>
      <c r="O827" s="37" t="e">
        <f t="shared" si="21"/>
        <v>#REF!</v>
      </c>
    </row>
    <row r="828" spans="2:15" ht="17.399999999999999">
      <c r="B828" s="42" t="s">
        <v>27</v>
      </c>
      <c r="C828" s="39">
        <f>'تقرير المصروفات حسب الشهر'!K13</f>
        <v>0</v>
      </c>
      <c r="D828" s="31" t="e">
        <f>#REF!</f>
        <v>#REF!</v>
      </c>
      <c r="E828" s="31" t="e">
        <f>#REF!</f>
        <v>#REF!</v>
      </c>
      <c r="F828" s="31" t="e">
        <f>#REF!</f>
        <v>#REF!</v>
      </c>
      <c r="G828" s="31" t="e">
        <f>#REF!</f>
        <v>#REF!</v>
      </c>
      <c r="H828" s="31" t="e">
        <f>#REF!</f>
        <v>#REF!</v>
      </c>
      <c r="I828" s="31">
        <f>'تقرير المصروفات حسب الشهر'!K766</f>
        <v>0</v>
      </c>
      <c r="J828" s="31">
        <f>'تقرير المصروفات حسب الشهر'!K893</f>
        <v>0</v>
      </c>
      <c r="K828" s="31">
        <f>'تقرير المصروفات حسب الشهر'!K1020</f>
        <v>0</v>
      </c>
      <c r="L828" s="292">
        <f>IFERROR(VLOOKUP(B828,'تقرير المصروفات حسب الشهر'!$C$1143:$AD$1254,9,FALSE),0)</f>
        <v>0</v>
      </c>
      <c r="M828" s="292">
        <f>IFERROR(VLOOKUP(B828,'تقرير المصروفات حسب الشهر'!$C$1270:$AD$1381,9,FALSE),0)</f>
        <v>0</v>
      </c>
      <c r="N828" s="31" t="e">
        <f>#REF!</f>
        <v>#REF!</v>
      </c>
      <c r="O828" s="37" t="e">
        <f t="shared" si="21"/>
        <v>#REF!</v>
      </c>
    </row>
    <row r="829" spans="2:15" ht="17.399999999999999">
      <c r="B829" s="42" t="s">
        <v>42</v>
      </c>
      <c r="C829" s="39">
        <f>'تقرير المصروفات حسب الشهر'!K14</f>
        <v>0</v>
      </c>
      <c r="D829" s="31" t="e">
        <f>#REF!</f>
        <v>#REF!</v>
      </c>
      <c r="E829" s="31" t="e">
        <f>#REF!</f>
        <v>#REF!</v>
      </c>
      <c r="F829" s="31" t="e">
        <f>#REF!</f>
        <v>#REF!</v>
      </c>
      <c r="G829" s="31" t="e">
        <f>#REF!</f>
        <v>#REF!</v>
      </c>
      <c r="H829" s="31" t="e">
        <f>#REF!</f>
        <v>#REF!</v>
      </c>
      <c r="I829" s="31">
        <f>'تقرير المصروفات حسب الشهر'!K767</f>
        <v>0</v>
      </c>
      <c r="J829" s="31">
        <f>'تقرير المصروفات حسب الشهر'!K894</f>
        <v>0</v>
      </c>
      <c r="K829" s="31">
        <f>'تقرير المصروفات حسب الشهر'!K1021</f>
        <v>0</v>
      </c>
      <c r="L829" s="292">
        <f>IFERROR(VLOOKUP(B829,'تقرير المصروفات حسب الشهر'!$C$1143:$AD$1254,9,FALSE),0)</f>
        <v>0</v>
      </c>
      <c r="M829" s="292">
        <f>IFERROR(VLOOKUP(B829,'تقرير المصروفات حسب الشهر'!$C$1270:$AD$1381,9,FALSE),0)</f>
        <v>0</v>
      </c>
      <c r="N829" s="31" t="e">
        <f>#REF!</f>
        <v>#REF!</v>
      </c>
      <c r="O829" s="37" t="e">
        <f t="shared" si="21"/>
        <v>#REF!</v>
      </c>
    </row>
    <row r="830" spans="2:15" ht="17.399999999999999">
      <c r="B830" s="42" t="s">
        <v>43</v>
      </c>
      <c r="C830" s="39">
        <f>'تقرير المصروفات حسب الشهر'!K15</f>
        <v>0</v>
      </c>
      <c r="D830" s="31" t="e">
        <f>#REF!</f>
        <v>#REF!</v>
      </c>
      <c r="E830" s="31" t="e">
        <f>#REF!</f>
        <v>#REF!</v>
      </c>
      <c r="F830" s="31" t="e">
        <f>#REF!</f>
        <v>#REF!</v>
      </c>
      <c r="G830" s="31" t="e">
        <f>#REF!</f>
        <v>#REF!</v>
      </c>
      <c r="H830" s="31" t="e">
        <f>#REF!</f>
        <v>#REF!</v>
      </c>
      <c r="I830" s="31">
        <f>'تقرير المصروفات حسب الشهر'!K768</f>
        <v>0</v>
      </c>
      <c r="J830" s="31">
        <f>'تقرير المصروفات حسب الشهر'!K895</f>
        <v>0</v>
      </c>
      <c r="K830" s="31">
        <f>'تقرير المصروفات حسب الشهر'!K1022</f>
        <v>0</v>
      </c>
      <c r="L830" s="292">
        <f>IFERROR(VLOOKUP(B830,'تقرير المصروفات حسب الشهر'!$C$1143:$AD$1254,9,FALSE),0)</f>
        <v>0</v>
      </c>
      <c r="M830" s="292">
        <f>IFERROR(VLOOKUP(B830,'تقرير المصروفات حسب الشهر'!$C$1270:$AD$1381,9,FALSE),0)</f>
        <v>0</v>
      </c>
      <c r="N830" s="31" t="e">
        <f>#REF!</f>
        <v>#REF!</v>
      </c>
      <c r="O830" s="37" t="e">
        <f t="shared" si="21"/>
        <v>#REF!</v>
      </c>
    </row>
    <row r="831" spans="2:15" ht="17.399999999999999">
      <c r="B831" s="42" t="s">
        <v>44</v>
      </c>
      <c r="C831" s="39">
        <f>'تقرير المصروفات حسب الشهر'!K16</f>
        <v>0</v>
      </c>
      <c r="D831" s="31" t="e">
        <f>#REF!</f>
        <v>#REF!</v>
      </c>
      <c r="E831" s="31" t="e">
        <f>#REF!</f>
        <v>#REF!</v>
      </c>
      <c r="F831" s="31" t="e">
        <f>#REF!</f>
        <v>#REF!</v>
      </c>
      <c r="G831" s="31" t="e">
        <f>#REF!</f>
        <v>#REF!</v>
      </c>
      <c r="H831" s="31" t="e">
        <f>#REF!</f>
        <v>#REF!</v>
      </c>
      <c r="I831" s="31">
        <f>'تقرير المصروفات حسب الشهر'!K769</f>
        <v>0</v>
      </c>
      <c r="J831" s="31">
        <f>'تقرير المصروفات حسب الشهر'!K896</f>
        <v>0</v>
      </c>
      <c r="K831" s="31">
        <f>'تقرير المصروفات حسب الشهر'!K1023</f>
        <v>0</v>
      </c>
      <c r="L831" s="292">
        <f>IFERROR(VLOOKUP(B831,'تقرير المصروفات حسب الشهر'!$C$1143:$AD$1254,9,FALSE),0)</f>
        <v>0</v>
      </c>
      <c r="M831" s="292">
        <f>IFERROR(VLOOKUP(B831,'تقرير المصروفات حسب الشهر'!$C$1270:$AD$1381,9,FALSE),0)</f>
        <v>0</v>
      </c>
      <c r="N831" s="31" t="e">
        <f>#REF!</f>
        <v>#REF!</v>
      </c>
      <c r="O831" s="37" t="e">
        <f t="shared" si="21"/>
        <v>#REF!</v>
      </c>
    </row>
    <row r="832" spans="2:15" ht="17.399999999999999">
      <c r="B832" s="42" t="s">
        <v>45</v>
      </c>
      <c r="C832" s="39">
        <f>'تقرير المصروفات حسب الشهر'!K17</f>
        <v>0</v>
      </c>
      <c r="D832" s="31" t="e">
        <f>#REF!</f>
        <v>#REF!</v>
      </c>
      <c r="E832" s="31" t="e">
        <f>#REF!</f>
        <v>#REF!</v>
      </c>
      <c r="F832" s="31" t="e">
        <f>#REF!</f>
        <v>#REF!</v>
      </c>
      <c r="G832" s="31" t="e">
        <f>#REF!</f>
        <v>#REF!</v>
      </c>
      <c r="H832" s="31" t="e">
        <f>#REF!</f>
        <v>#REF!</v>
      </c>
      <c r="I832" s="31">
        <f>'تقرير المصروفات حسب الشهر'!K770</f>
        <v>0</v>
      </c>
      <c r="J832" s="31">
        <f>'تقرير المصروفات حسب الشهر'!K897</f>
        <v>0</v>
      </c>
      <c r="K832" s="31">
        <f>'تقرير المصروفات حسب الشهر'!K1024</f>
        <v>0</v>
      </c>
      <c r="L832" s="292">
        <f>IFERROR(VLOOKUP(B832,'تقرير المصروفات حسب الشهر'!$C$1143:$AD$1254,9,FALSE),0)</f>
        <v>0</v>
      </c>
      <c r="M832" s="292">
        <f>IFERROR(VLOOKUP(B832,'تقرير المصروفات حسب الشهر'!$C$1270:$AD$1381,9,FALSE),0)</f>
        <v>0</v>
      </c>
      <c r="N832" s="31" t="e">
        <f>#REF!</f>
        <v>#REF!</v>
      </c>
      <c r="O832" s="37" t="e">
        <f t="shared" si="21"/>
        <v>#REF!</v>
      </c>
    </row>
    <row r="833" spans="2:15" ht="17.399999999999999">
      <c r="B833" s="42" t="s">
        <v>156</v>
      </c>
      <c r="C833" s="39">
        <f>'تقرير المصروفات حسب الشهر'!K18</f>
        <v>0</v>
      </c>
      <c r="D833" s="31" t="e">
        <f>#REF!</f>
        <v>#REF!</v>
      </c>
      <c r="E833" s="31" t="e">
        <f>#REF!</f>
        <v>#REF!</v>
      </c>
      <c r="F833" s="31" t="e">
        <f>#REF!</f>
        <v>#REF!</v>
      </c>
      <c r="G833" s="31" t="e">
        <f>#REF!</f>
        <v>#REF!</v>
      </c>
      <c r="H833" s="31" t="e">
        <f>#REF!</f>
        <v>#REF!</v>
      </c>
      <c r="I833" s="31">
        <f>'تقرير المصروفات حسب الشهر'!K771</f>
        <v>0</v>
      </c>
      <c r="J833" s="31">
        <f>'تقرير المصروفات حسب الشهر'!K898</f>
        <v>0</v>
      </c>
      <c r="K833" s="31">
        <f>'تقرير المصروفات حسب الشهر'!K1025</f>
        <v>0</v>
      </c>
      <c r="L833" s="292">
        <f>IFERROR(VLOOKUP(B833,'تقرير المصروفات حسب الشهر'!$C$1143:$AD$1254,9,FALSE),0)</f>
        <v>0</v>
      </c>
      <c r="M833" s="292">
        <f>IFERROR(VLOOKUP(B833,'تقرير المصروفات حسب الشهر'!$C$1270:$AD$1381,9,FALSE),0)</f>
        <v>0</v>
      </c>
      <c r="N833" s="31" t="e">
        <f>#REF!</f>
        <v>#REF!</v>
      </c>
      <c r="O833" s="37" t="e">
        <f t="shared" si="21"/>
        <v>#REF!</v>
      </c>
    </row>
    <row r="834" spans="2:15" ht="17.399999999999999">
      <c r="B834" s="42" t="s">
        <v>46</v>
      </c>
      <c r="C834" s="39">
        <f>'تقرير المصروفات حسب الشهر'!K19</f>
        <v>523.88</v>
      </c>
      <c r="D834" s="31" t="e">
        <f>#REF!</f>
        <v>#REF!</v>
      </c>
      <c r="E834" s="31" t="e">
        <f>#REF!</f>
        <v>#REF!</v>
      </c>
      <c r="F834" s="31" t="e">
        <f>#REF!</f>
        <v>#REF!</v>
      </c>
      <c r="G834" s="31" t="e">
        <f>#REF!</f>
        <v>#REF!</v>
      </c>
      <c r="H834" s="31" t="e">
        <f>#REF!</f>
        <v>#REF!</v>
      </c>
      <c r="I834" s="31">
        <f>'تقرير المصروفات حسب الشهر'!K772</f>
        <v>523.88</v>
      </c>
      <c r="J834" s="31">
        <f>'تقرير المصروفات حسب الشهر'!K899</f>
        <v>523.88</v>
      </c>
      <c r="K834" s="31">
        <f>'تقرير المصروفات حسب الشهر'!K1026</f>
        <v>523.88</v>
      </c>
      <c r="L834" s="292">
        <f>IFERROR(VLOOKUP(B834,'تقرير المصروفات حسب الشهر'!$C$1143:$AD$1254,9,FALSE),0)</f>
        <v>523.88</v>
      </c>
      <c r="M834" s="292">
        <f>IFERROR(VLOOKUP(B834,'تقرير المصروفات حسب الشهر'!$C$1270:$AD$1381,9,FALSE),0)</f>
        <v>523.88</v>
      </c>
      <c r="N834" s="31" t="e">
        <f>#REF!</f>
        <v>#REF!</v>
      </c>
      <c r="O834" s="37" t="e">
        <f t="shared" si="21"/>
        <v>#REF!</v>
      </c>
    </row>
    <row r="835" spans="2:15" ht="17.399999999999999">
      <c r="B835" s="42" t="s">
        <v>47</v>
      </c>
      <c r="C835" s="39">
        <f>'تقرير المصروفات حسب الشهر'!K20</f>
        <v>0</v>
      </c>
      <c r="D835" s="31" t="e">
        <f>#REF!</f>
        <v>#REF!</v>
      </c>
      <c r="E835" s="31" t="e">
        <f>#REF!</f>
        <v>#REF!</v>
      </c>
      <c r="F835" s="31" t="e">
        <f>#REF!</f>
        <v>#REF!</v>
      </c>
      <c r="G835" s="31" t="e">
        <f>#REF!</f>
        <v>#REF!</v>
      </c>
      <c r="H835" s="31" t="e">
        <f>#REF!</f>
        <v>#REF!</v>
      </c>
      <c r="I835" s="31">
        <f>'تقرير المصروفات حسب الشهر'!K773</f>
        <v>0</v>
      </c>
      <c r="J835" s="31">
        <f>'تقرير المصروفات حسب الشهر'!K900</f>
        <v>0</v>
      </c>
      <c r="K835" s="31">
        <f>'تقرير المصروفات حسب الشهر'!K1027</f>
        <v>0</v>
      </c>
      <c r="L835" s="292">
        <f>IFERROR(VLOOKUP(B835,'تقرير المصروفات حسب الشهر'!$C$1143:$AD$1254,9,FALSE),0)</f>
        <v>0</v>
      </c>
      <c r="M835" s="292">
        <f>IFERROR(VLOOKUP(B835,'تقرير المصروفات حسب الشهر'!$C$1270:$AD$1381,9,FALSE),0)</f>
        <v>0</v>
      </c>
      <c r="N835" s="31" t="e">
        <f>#REF!</f>
        <v>#REF!</v>
      </c>
      <c r="O835" s="37" t="e">
        <f t="shared" si="21"/>
        <v>#REF!</v>
      </c>
    </row>
    <row r="836" spans="2:15" ht="17.399999999999999">
      <c r="B836" s="42" t="s">
        <v>48</v>
      </c>
      <c r="C836" s="39">
        <f>'تقرير المصروفات حسب الشهر'!K21</f>
        <v>0</v>
      </c>
      <c r="D836" s="31" t="e">
        <f>#REF!</f>
        <v>#REF!</v>
      </c>
      <c r="E836" s="31" t="e">
        <f>#REF!</f>
        <v>#REF!</v>
      </c>
      <c r="F836" s="31" t="e">
        <f>#REF!</f>
        <v>#REF!</v>
      </c>
      <c r="G836" s="31" t="e">
        <f>#REF!</f>
        <v>#REF!</v>
      </c>
      <c r="H836" s="31" t="e">
        <f>#REF!</f>
        <v>#REF!</v>
      </c>
      <c r="I836" s="31">
        <f>'تقرير المصروفات حسب الشهر'!K774</f>
        <v>0</v>
      </c>
      <c r="J836" s="31">
        <f>'تقرير المصروفات حسب الشهر'!K901</f>
        <v>0</v>
      </c>
      <c r="K836" s="31">
        <f>'تقرير المصروفات حسب الشهر'!K1028</f>
        <v>0</v>
      </c>
      <c r="L836" s="292">
        <f>IFERROR(VLOOKUP(B836,'تقرير المصروفات حسب الشهر'!$C$1143:$AD$1254,9,FALSE),0)</f>
        <v>0</v>
      </c>
      <c r="M836" s="292">
        <f>IFERROR(VLOOKUP(B836,'تقرير المصروفات حسب الشهر'!$C$1270:$AD$1381,9,FALSE),0)</f>
        <v>0</v>
      </c>
      <c r="N836" s="31" t="e">
        <f>#REF!</f>
        <v>#REF!</v>
      </c>
      <c r="O836" s="37" t="e">
        <f t="shared" si="21"/>
        <v>#REF!</v>
      </c>
    </row>
    <row r="837" spans="2:15" ht="17.399999999999999">
      <c r="B837" s="42" t="s">
        <v>49</v>
      </c>
      <c r="C837" s="39">
        <f>'تقرير المصروفات حسب الشهر'!K22</f>
        <v>0</v>
      </c>
      <c r="D837" s="31" t="e">
        <f>#REF!</f>
        <v>#REF!</v>
      </c>
      <c r="E837" s="31" t="e">
        <f>#REF!</f>
        <v>#REF!</v>
      </c>
      <c r="F837" s="31" t="e">
        <f>#REF!</f>
        <v>#REF!</v>
      </c>
      <c r="G837" s="31" t="e">
        <f>#REF!</f>
        <v>#REF!</v>
      </c>
      <c r="H837" s="31" t="e">
        <f>#REF!</f>
        <v>#REF!</v>
      </c>
      <c r="I837" s="31">
        <f>'تقرير المصروفات حسب الشهر'!K775</f>
        <v>0</v>
      </c>
      <c r="J837" s="31">
        <f>'تقرير المصروفات حسب الشهر'!K902</f>
        <v>0</v>
      </c>
      <c r="K837" s="31">
        <f>'تقرير المصروفات حسب الشهر'!K1029</f>
        <v>0</v>
      </c>
      <c r="L837" s="292">
        <f>IFERROR(VLOOKUP(B837,'تقرير المصروفات حسب الشهر'!$C$1143:$AD$1254,9,FALSE),0)</f>
        <v>0</v>
      </c>
      <c r="M837" s="292">
        <f>IFERROR(VLOOKUP(B837,'تقرير المصروفات حسب الشهر'!$C$1270:$AD$1381,9,FALSE),0)</f>
        <v>0</v>
      </c>
      <c r="N837" s="31" t="e">
        <f>#REF!</f>
        <v>#REF!</v>
      </c>
      <c r="O837" s="37" t="e">
        <f t="shared" si="21"/>
        <v>#REF!</v>
      </c>
    </row>
    <row r="838" spans="2:15" ht="17.399999999999999">
      <c r="B838" s="42" t="s">
        <v>158</v>
      </c>
      <c r="C838" s="39">
        <f>'تقرير المصروفات حسب الشهر'!K23</f>
        <v>0</v>
      </c>
      <c r="D838" s="31" t="e">
        <f>#REF!</f>
        <v>#REF!</v>
      </c>
      <c r="E838" s="31" t="e">
        <f>#REF!</f>
        <v>#REF!</v>
      </c>
      <c r="F838" s="31" t="e">
        <f>#REF!</f>
        <v>#REF!</v>
      </c>
      <c r="G838" s="31" t="e">
        <f>#REF!</f>
        <v>#REF!</v>
      </c>
      <c r="H838" s="31" t="e">
        <f>#REF!</f>
        <v>#REF!</v>
      </c>
      <c r="I838" s="31">
        <f>'تقرير المصروفات حسب الشهر'!K776</f>
        <v>0</v>
      </c>
      <c r="J838" s="31">
        <f>'تقرير المصروفات حسب الشهر'!K903</f>
        <v>0</v>
      </c>
      <c r="K838" s="31">
        <f>'تقرير المصروفات حسب الشهر'!K1030</f>
        <v>0</v>
      </c>
      <c r="L838" s="292">
        <f>IFERROR(VLOOKUP(B838,'تقرير المصروفات حسب الشهر'!$C$1143:$AD$1254,9,FALSE),0)</f>
        <v>0</v>
      </c>
      <c r="M838" s="292">
        <f>IFERROR(VLOOKUP(B838,'تقرير المصروفات حسب الشهر'!$C$1270:$AD$1381,9,FALSE),0)</f>
        <v>0</v>
      </c>
      <c r="N838" s="31" t="e">
        <f>#REF!</f>
        <v>#REF!</v>
      </c>
      <c r="O838" s="37" t="e">
        <f t="shared" si="21"/>
        <v>#REF!</v>
      </c>
    </row>
    <row r="839" spans="2:15" ht="17.399999999999999">
      <c r="B839" s="42" t="s">
        <v>50</v>
      </c>
      <c r="C839" s="39">
        <f>'تقرير المصروفات حسب الشهر'!K24</f>
        <v>0</v>
      </c>
      <c r="D839" s="31" t="e">
        <f>#REF!</f>
        <v>#REF!</v>
      </c>
      <c r="E839" s="31" t="e">
        <f>#REF!</f>
        <v>#REF!</v>
      </c>
      <c r="F839" s="31" t="e">
        <f>#REF!</f>
        <v>#REF!</v>
      </c>
      <c r="G839" s="31" t="e">
        <f>#REF!</f>
        <v>#REF!</v>
      </c>
      <c r="H839" s="31" t="e">
        <f>#REF!</f>
        <v>#REF!</v>
      </c>
      <c r="I839" s="31">
        <f>'تقرير المصروفات حسب الشهر'!K777</f>
        <v>0</v>
      </c>
      <c r="J839" s="31">
        <f>'تقرير المصروفات حسب الشهر'!K904</f>
        <v>770</v>
      </c>
      <c r="K839" s="31">
        <f>'تقرير المصروفات حسب الشهر'!K1031</f>
        <v>0</v>
      </c>
      <c r="L839" s="292">
        <f>IFERROR(VLOOKUP(B839,'تقرير المصروفات حسب الشهر'!$C$1143:$AD$1254,9,FALSE),0)</f>
        <v>770</v>
      </c>
      <c r="M839" s="292">
        <f>IFERROR(VLOOKUP(B839,'تقرير المصروفات حسب الشهر'!$C$1270:$AD$1381,9,FALSE),0)</f>
        <v>0</v>
      </c>
      <c r="N839" s="31" t="e">
        <f>#REF!</f>
        <v>#REF!</v>
      </c>
      <c r="O839" s="37" t="e">
        <f t="shared" si="21"/>
        <v>#REF!</v>
      </c>
    </row>
    <row r="840" spans="2:15" ht="17.399999999999999">
      <c r="B840" s="42" t="s">
        <v>51</v>
      </c>
      <c r="C840" s="39">
        <f>'تقرير المصروفات حسب الشهر'!K25</f>
        <v>0</v>
      </c>
      <c r="D840" s="31" t="e">
        <f>#REF!</f>
        <v>#REF!</v>
      </c>
      <c r="E840" s="31" t="e">
        <f>#REF!</f>
        <v>#REF!</v>
      </c>
      <c r="F840" s="31" t="e">
        <f>#REF!</f>
        <v>#REF!</v>
      </c>
      <c r="G840" s="31" t="e">
        <f>#REF!</f>
        <v>#REF!</v>
      </c>
      <c r="H840" s="31" t="e">
        <f>#REF!</f>
        <v>#REF!</v>
      </c>
      <c r="I840" s="31">
        <f>'تقرير المصروفات حسب الشهر'!K778</f>
        <v>0</v>
      </c>
      <c r="J840" s="31">
        <f>'تقرير المصروفات حسب الشهر'!K905</f>
        <v>0</v>
      </c>
      <c r="K840" s="31">
        <f>'تقرير المصروفات حسب الشهر'!K1032</f>
        <v>0</v>
      </c>
      <c r="L840" s="292">
        <f>IFERROR(VLOOKUP(B840,'تقرير المصروفات حسب الشهر'!$C$1143:$AD$1254,9,FALSE),0)</f>
        <v>0</v>
      </c>
      <c r="M840" s="292">
        <f>IFERROR(VLOOKUP(B840,'تقرير المصروفات حسب الشهر'!$C$1270:$AD$1381,9,FALSE),0)</f>
        <v>0</v>
      </c>
      <c r="N840" s="31" t="e">
        <f>#REF!</f>
        <v>#REF!</v>
      </c>
      <c r="O840" s="37" t="e">
        <f t="shared" si="21"/>
        <v>#REF!</v>
      </c>
    </row>
    <row r="841" spans="2:15" ht="17.399999999999999">
      <c r="B841" s="42" t="s">
        <v>52</v>
      </c>
      <c r="C841" s="39">
        <f>'تقرير المصروفات حسب الشهر'!K26</f>
        <v>0</v>
      </c>
      <c r="D841" s="31" t="e">
        <f>#REF!</f>
        <v>#REF!</v>
      </c>
      <c r="E841" s="31" t="e">
        <f>#REF!</f>
        <v>#REF!</v>
      </c>
      <c r="F841" s="31" t="e">
        <f>#REF!</f>
        <v>#REF!</v>
      </c>
      <c r="G841" s="31" t="e">
        <f>#REF!</f>
        <v>#REF!</v>
      </c>
      <c r="H841" s="31" t="e">
        <f>#REF!</f>
        <v>#REF!</v>
      </c>
      <c r="I841" s="31">
        <f>'تقرير المصروفات حسب الشهر'!K779</f>
        <v>0</v>
      </c>
      <c r="J841" s="31">
        <f>'تقرير المصروفات حسب الشهر'!K906</f>
        <v>0</v>
      </c>
      <c r="K841" s="31">
        <f>'تقرير المصروفات حسب الشهر'!K1033</f>
        <v>0</v>
      </c>
      <c r="L841" s="292">
        <f>IFERROR(VLOOKUP(B841,'تقرير المصروفات حسب الشهر'!$C$1143:$AD$1254,9,FALSE),0)</f>
        <v>0</v>
      </c>
      <c r="M841" s="292">
        <f>IFERROR(VLOOKUP(B841,'تقرير المصروفات حسب الشهر'!$C$1270:$AD$1381,9,FALSE),0)</f>
        <v>0</v>
      </c>
      <c r="N841" s="31" t="e">
        <f>#REF!</f>
        <v>#REF!</v>
      </c>
      <c r="O841" s="37" t="e">
        <f t="shared" si="21"/>
        <v>#REF!</v>
      </c>
    </row>
    <row r="842" spans="2:15" ht="17.399999999999999">
      <c r="B842" s="42" t="s">
        <v>174</v>
      </c>
      <c r="C842" s="39">
        <f>'تقرير المصروفات حسب الشهر'!K27</f>
        <v>0</v>
      </c>
      <c r="D842" s="31" t="e">
        <f>#REF!</f>
        <v>#REF!</v>
      </c>
      <c r="E842" s="31" t="e">
        <f>#REF!</f>
        <v>#REF!</v>
      </c>
      <c r="F842" s="31" t="e">
        <f>#REF!</f>
        <v>#REF!</v>
      </c>
      <c r="G842" s="31" t="e">
        <f>#REF!</f>
        <v>#REF!</v>
      </c>
      <c r="H842" s="31" t="e">
        <f>#REF!</f>
        <v>#REF!</v>
      </c>
      <c r="I842" s="31">
        <f>'تقرير المصروفات حسب الشهر'!K780</f>
        <v>0</v>
      </c>
      <c r="J842" s="31">
        <f>'تقرير المصروفات حسب الشهر'!K907</f>
        <v>0</v>
      </c>
      <c r="K842" s="31">
        <f>'تقرير المصروفات حسب الشهر'!K1034</f>
        <v>0</v>
      </c>
      <c r="L842" s="292">
        <f>IFERROR(VLOOKUP(B842,'تقرير المصروفات حسب الشهر'!$C$1143:$AD$1254,9,FALSE),0)</f>
        <v>0</v>
      </c>
      <c r="M842" s="292">
        <f>IFERROR(VLOOKUP(B842,'تقرير المصروفات حسب الشهر'!$C$1270:$AD$1381,9,FALSE),0)</f>
        <v>506</v>
      </c>
      <c r="N842" s="31" t="e">
        <f>#REF!</f>
        <v>#REF!</v>
      </c>
      <c r="O842" s="37" t="e">
        <f t="shared" si="21"/>
        <v>#REF!</v>
      </c>
    </row>
    <row r="843" spans="2:15" ht="17.399999999999999">
      <c r="B843" s="42" t="s">
        <v>53</v>
      </c>
      <c r="C843" s="39">
        <f>'تقرير المصروفات حسب الشهر'!K28</f>
        <v>0</v>
      </c>
      <c r="D843" s="31" t="e">
        <f>#REF!</f>
        <v>#REF!</v>
      </c>
      <c r="E843" s="31" t="e">
        <f>#REF!</f>
        <v>#REF!</v>
      </c>
      <c r="F843" s="31" t="e">
        <f>#REF!</f>
        <v>#REF!</v>
      </c>
      <c r="G843" s="31" t="e">
        <f>#REF!</f>
        <v>#REF!</v>
      </c>
      <c r="H843" s="31" t="e">
        <f>#REF!</f>
        <v>#REF!</v>
      </c>
      <c r="I843" s="31">
        <f>'تقرير المصروفات حسب الشهر'!K781</f>
        <v>0</v>
      </c>
      <c r="J843" s="31">
        <f>'تقرير المصروفات حسب الشهر'!K908</f>
        <v>0</v>
      </c>
      <c r="K843" s="31">
        <f>'تقرير المصروفات حسب الشهر'!K1035</f>
        <v>0</v>
      </c>
      <c r="L843" s="292">
        <f>IFERROR(VLOOKUP(B843,'تقرير المصروفات حسب الشهر'!$C$1143:$AD$1254,9,FALSE),0)</f>
        <v>0</v>
      </c>
      <c r="M843" s="292">
        <f>IFERROR(VLOOKUP(B843,'تقرير المصروفات حسب الشهر'!$C$1270:$AD$1381,9,FALSE),0)</f>
        <v>0</v>
      </c>
      <c r="N843" s="31" t="e">
        <f>#REF!</f>
        <v>#REF!</v>
      </c>
      <c r="O843" s="37" t="e">
        <f t="shared" si="21"/>
        <v>#REF!</v>
      </c>
    </row>
    <row r="844" spans="2:15" ht="17.399999999999999">
      <c r="B844" s="42" t="s">
        <v>191</v>
      </c>
      <c r="C844" s="39">
        <f>'تقرير المصروفات حسب الشهر'!K29</f>
        <v>0</v>
      </c>
      <c r="D844" s="31" t="e">
        <f>#REF!</f>
        <v>#REF!</v>
      </c>
      <c r="E844" s="31" t="e">
        <f>#REF!</f>
        <v>#REF!</v>
      </c>
      <c r="F844" s="31" t="e">
        <f>#REF!</f>
        <v>#REF!</v>
      </c>
      <c r="G844" s="31" t="e">
        <f>#REF!</f>
        <v>#REF!</v>
      </c>
      <c r="H844" s="31" t="e">
        <f>#REF!</f>
        <v>#REF!</v>
      </c>
      <c r="I844" s="31">
        <f>'تقرير المصروفات حسب الشهر'!K782</f>
        <v>0</v>
      </c>
      <c r="J844" s="31">
        <f>'تقرير المصروفات حسب الشهر'!K909</f>
        <v>0</v>
      </c>
      <c r="K844" s="31">
        <f>'تقرير المصروفات حسب الشهر'!K1036</f>
        <v>0</v>
      </c>
      <c r="L844" s="292">
        <f>IFERROR(VLOOKUP(B844,'تقرير المصروفات حسب الشهر'!$C$1143:$AD$1254,9,FALSE),0)</f>
        <v>0</v>
      </c>
      <c r="M844" s="292">
        <f>IFERROR(VLOOKUP(B844,'تقرير المصروفات حسب الشهر'!$C$1270:$AD$1381,9,FALSE),0)</f>
        <v>0</v>
      </c>
      <c r="N844" s="31" t="e">
        <f>#REF!</f>
        <v>#REF!</v>
      </c>
      <c r="O844" s="37" t="e">
        <f t="shared" si="21"/>
        <v>#REF!</v>
      </c>
    </row>
    <row r="845" spans="2:15" ht="17.399999999999999">
      <c r="B845" s="42" t="s">
        <v>29</v>
      </c>
      <c r="C845" s="39">
        <f>'تقرير المصروفات حسب الشهر'!K30</f>
        <v>0</v>
      </c>
      <c r="D845" s="31" t="e">
        <f>#REF!</f>
        <v>#REF!</v>
      </c>
      <c r="E845" s="31" t="e">
        <f>#REF!</f>
        <v>#REF!</v>
      </c>
      <c r="F845" s="31" t="e">
        <f>#REF!</f>
        <v>#REF!</v>
      </c>
      <c r="G845" s="31" t="e">
        <f>#REF!</f>
        <v>#REF!</v>
      </c>
      <c r="H845" s="31" t="e">
        <f>#REF!</f>
        <v>#REF!</v>
      </c>
      <c r="I845" s="31">
        <f>'تقرير المصروفات حسب الشهر'!K783</f>
        <v>0</v>
      </c>
      <c r="J845" s="31">
        <f>'تقرير المصروفات حسب الشهر'!K910</f>
        <v>0</v>
      </c>
      <c r="K845" s="31">
        <f>'تقرير المصروفات حسب الشهر'!K1037</f>
        <v>0</v>
      </c>
      <c r="L845" s="292">
        <f>IFERROR(VLOOKUP(B845,'تقرير المصروفات حسب الشهر'!$C$1143:$AD$1254,9,FALSE),0)</f>
        <v>0</v>
      </c>
      <c r="M845" s="292">
        <f>IFERROR(VLOOKUP(B845,'تقرير المصروفات حسب الشهر'!$C$1270:$AD$1381,9,FALSE),0)</f>
        <v>0</v>
      </c>
      <c r="N845" s="31" t="e">
        <f>#REF!</f>
        <v>#REF!</v>
      </c>
      <c r="O845" s="37" t="e">
        <f t="shared" si="21"/>
        <v>#REF!</v>
      </c>
    </row>
    <row r="846" spans="2:15" ht="17.399999999999999">
      <c r="B846" s="42" t="s">
        <v>54</v>
      </c>
      <c r="C846" s="39">
        <f>'تقرير المصروفات حسب الشهر'!K31</f>
        <v>0</v>
      </c>
      <c r="D846" s="31" t="e">
        <f>#REF!</f>
        <v>#REF!</v>
      </c>
      <c r="E846" s="31" t="e">
        <f>#REF!</f>
        <v>#REF!</v>
      </c>
      <c r="F846" s="31" t="e">
        <f>#REF!</f>
        <v>#REF!</v>
      </c>
      <c r="G846" s="31" t="e">
        <f>#REF!</f>
        <v>#REF!</v>
      </c>
      <c r="H846" s="31" t="e">
        <f>#REF!</f>
        <v>#REF!</v>
      </c>
      <c r="I846" s="31">
        <f>'تقرير المصروفات حسب الشهر'!K784</f>
        <v>0</v>
      </c>
      <c r="J846" s="31">
        <f>'تقرير المصروفات حسب الشهر'!K911</f>
        <v>0</v>
      </c>
      <c r="K846" s="31">
        <f>'تقرير المصروفات حسب الشهر'!K1038</f>
        <v>0</v>
      </c>
      <c r="L846" s="292">
        <f>IFERROR(VLOOKUP(B846,'تقرير المصروفات حسب الشهر'!$C$1143:$AD$1254,9,FALSE),0)</f>
        <v>0</v>
      </c>
      <c r="M846" s="292">
        <f>IFERROR(VLOOKUP(B846,'تقرير المصروفات حسب الشهر'!$C$1270:$AD$1381,9,FALSE),0)</f>
        <v>0</v>
      </c>
      <c r="N846" s="31" t="e">
        <f>#REF!</f>
        <v>#REF!</v>
      </c>
      <c r="O846" s="37" t="e">
        <f t="shared" si="21"/>
        <v>#REF!</v>
      </c>
    </row>
    <row r="847" spans="2:15" ht="17.399999999999999">
      <c r="B847" s="42" t="s">
        <v>31</v>
      </c>
      <c r="C847" s="39">
        <f>'تقرير المصروفات حسب الشهر'!K32</f>
        <v>0</v>
      </c>
      <c r="D847" s="31" t="e">
        <f>#REF!</f>
        <v>#REF!</v>
      </c>
      <c r="E847" s="31" t="e">
        <f>#REF!</f>
        <v>#REF!</v>
      </c>
      <c r="F847" s="31" t="e">
        <f>#REF!</f>
        <v>#REF!</v>
      </c>
      <c r="G847" s="31" t="e">
        <f>#REF!</f>
        <v>#REF!</v>
      </c>
      <c r="H847" s="31" t="e">
        <f>#REF!</f>
        <v>#REF!</v>
      </c>
      <c r="I847" s="31">
        <f>'تقرير المصروفات حسب الشهر'!K785</f>
        <v>0</v>
      </c>
      <c r="J847" s="31">
        <f>'تقرير المصروفات حسب الشهر'!K912</f>
        <v>0</v>
      </c>
      <c r="K847" s="31">
        <f>'تقرير المصروفات حسب الشهر'!K1039</f>
        <v>0</v>
      </c>
      <c r="L847" s="292">
        <f>IFERROR(VLOOKUP(B847,'تقرير المصروفات حسب الشهر'!$C$1143:$AD$1254,9,FALSE),0)</f>
        <v>0</v>
      </c>
      <c r="M847" s="292">
        <f>IFERROR(VLOOKUP(B847,'تقرير المصروفات حسب الشهر'!$C$1270:$AD$1381,9,FALSE),0)</f>
        <v>0</v>
      </c>
      <c r="N847" s="31" t="e">
        <f>#REF!</f>
        <v>#REF!</v>
      </c>
      <c r="O847" s="37" t="e">
        <f t="shared" si="21"/>
        <v>#REF!</v>
      </c>
    </row>
    <row r="848" spans="2:15" ht="17.399999999999999">
      <c r="B848" s="42" t="s">
        <v>55</v>
      </c>
      <c r="C848" s="39">
        <f>'تقرير المصروفات حسب الشهر'!K33</f>
        <v>0</v>
      </c>
      <c r="D848" s="31" t="e">
        <f>#REF!</f>
        <v>#REF!</v>
      </c>
      <c r="E848" s="31" t="e">
        <f>#REF!</f>
        <v>#REF!</v>
      </c>
      <c r="F848" s="31" t="e">
        <f>#REF!</f>
        <v>#REF!</v>
      </c>
      <c r="G848" s="31" t="e">
        <f>#REF!</f>
        <v>#REF!</v>
      </c>
      <c r="H848" s="31" t="e">
        <f>#REF!</f>
        <v>#REF!</v>
      </c>
      <c r="I848" s="31">
        <f>'تقرير المصروفات حسب الشهر'!K786</f>
        <v>0</v>
      </c>
      <c r="J848" s="31">
        <f>'تقرير المصروفات حسب الشهر'!K913</f>
        <v>0</v>
      </c>
      <c r="K848" s="31">
        <f>'تقرير المصروفات حسب الشهر'!K1040</f>
        <v>0</v>
      </c>
      <c r="L848" s="292">
        <f>IFERROR(VLOOKUP(B848,'تقرير المصروفات حسب الشهر'!$C$1143:$AD$1254,9,FALSE),0)</f>
        <v>0</v>
      </c>
      <c r="M848" s="292">
        <f>IFERROR(VLOOKUP(B848,'تقرير المصروفات حسب الشهر'!$C$1270:$AD$1381,9,FALSE),0)</f>
        <v>0</v>
      </c>
      <c r="N848" s="31" t="e">
        <f>#REF!</f>
        <v>#REF!</v>
      </c>
      <c r="O848" s="37" t="e">
        <f t="shared" si="21"/>
        <v>#REF!</v>
      </c>
    </row>
    <row r="849" spans="2:15" ht="17.399999999999999">
      <c r="B849" s="42" t="s">
        <v>56</v>
      </c>
      <c r="C849" s="39">
        <f>'تقرير المصروفات حسب الشهر'!K34</f>
        <v>0</v>
      </c>
      <c r="D849" s="31" t="e">
        <f>#REF!</f>
        <v>#REF!</v>
      </c>
      <c r="E849" s="31" t="e">
        <f>#REF!</f>
        <v>#REF!</v>
      </c>
      <c r="F849" s="31" t="e">
        <f>#REF!</f>
        <v>#REF!</v>
      </c>
      <c r="G849" s="31" t="e">
        <f>#REF!</f>
        <v>#REF!</v>
      </c>
      <c r="H849" s="31" t="e">
        <f>#REF!</f>
        <v>#REF!</v>
      </c>
      <c r="I849" s="31">
        <f>'تقرير المصروفات حسب الشهر'!K787</f>
        <v>0</v>
      </c>
      <c r="J849" s="31">
        <f>'تقرير المصروفات حسب الشهر'!K914</f>
        <v>0</v>
      </c>
      <c r="K849" s="31">
        <f>'تقرير المصروفات حسب الشهر'!K1041</f>
        <v>0</v>
      </c>
      <c r="L849" s="292">
        <f>IFERROR(VLOOKUP(B849,'تقرير المصروفات حسب الشهر'!$C$1143:$AD$1254,9,FALSE),0)</f>
        <v>0</v>
      </c>
      <c r="M849" s="292">
        <f>IFERROR(VLOOKUP(B849,'تقرير المصروفات حسب الشهر'!$C$1270:$AD$1381,9,FALSE),0)</f>
        <v>0</v>
      </c>
      <c r="N849" s="31" t="e">
        <f>#REF!</f>
        <v>#REF!</v>
      </c>
      <c r="O849" s="37" t="e">
        <f t="shared" si="21"/>
        <v>#REF!</v>
      </c>
    </row>
    <row r="850" spans="2:15" ht="17.399999999999999">
      <c r="B850" s="42" t="s">
        <v>57</v>
      </c>
      <c r="C850" s="39">
        <f>'تقرير المصروفات حسب الشهر'!K35</f>
        <v>0</v>
      </c>
      <c r="D850" s="31" t="e">
        <f>#REF!</f>
        <v>#REF!</v>
      </c>
      <c r="E850" s="31" t="e">
        <f>#REF!</f>
        <v>#REF!</v>
      </c>
      <c r="F850" s="31" t="e">
        <f>#REF!</f>
        <v>#REF!</v>
      </c>
      <c r="G850" s="31" t="e">
        <f>#REF!</f>
        <v>#REF!</v>
      </c>
      <c r="H850" s="31" t="e">
        <f>#REF!</f>
        <v>#REF!</v>
      </c>
      <c r="I850" s="31">
        <f>'تقرير المصروفات حسب الشهر'!K788</f>
        <v>0</v>
      </c>
      <c r="J850" s="31">
        <f>'تقرير المصروفات حسب الشهر'!K915</f>
        <v>0</v>
      </c>
      <c r="K850" s="31">
        <f>'تقرير المصروفات حسب الشهر'!K1042</f>
        <v>0</v>
      </c>
      <c r="L850" s="292">
        <f>IFERROR(VLOOKUP(B850,'تقرير المصروفات حسب الشهر'!$C$1143:$AD$1254,9,FALSE),0)</f>
        <v>0</v>
      </c>
      <c r="M850" s="292">
        <f>IFERROR(VLOOKUP(B850,'تقرير المصروفات حسب الشهر'!$C$1270:$AD$1381,9,FALSE),0)</f>
        <v>0</v>
      </c>
      <c r="N850" s="31" t="e">
        <f>#REF!</f>
        <v>#REF!</v>
      </c>
      <c r="O850" s="37" t="e">
        <f t="shared" si="21"/>
        <v>#REF!</v>
      </c>
    </row>
    <row r="851" spans="2:15" ht="17.399999999999999">
      <c r="B851" s="42" t="s">
        <v>58</v>
      </c>
      <c r="C851" s="39">
        <f>'تقرير المصروفات حسب الشهر'!K36</f>
        <v>0</v>
      </c>
      <c r="D851" s="31" t="e">
        <f>#REF!</f>
        <v>#REF!</v>
      </c>
      <c r="E851" s="31" t="e">
        <f>#REF!</f>
        <v>#REF!</v>
      </c>
      <c r="F851" s="31" t="e">
        <f>#REF!</f>
        <v>#REF!</v>
      </c>
      <c r="G851" s="31" t="e">
        <f>#REF!</f>
        <v>#REF!</v>
      </c>
      <c r="H851" s="31" t="e">
        <f>#REF!</f>
        <v>#REF!</v>
      </c>
      <c r="I851" s="31">
        <f>'تقرير المصروفات حسب الشهر'!K789</f>
        <v>0</v>
      </c>
      <c r="J851" s="31">
        <f>'تقرير المصروفات حسب الشهر'!K916</f>
        <v>0</v>
      </c>
      <c r="K851" s="31">
        <f>'تقرير المصروفات حسب الشهر'!K1043</f>
        <v>0</v>
      </c>
      <c r="L851" s="292">
        <f>IFERROR(VLOOKUP(B851,'تقرير المصروفات حسب الشهر'!$C$1143:$AD$1254,9,FALSE),0)</f>
        <v>0</v>
      </c>
      <c r="M851" s="292">
        <f>IFERROR(VLOOKUP(B851,'تقرير المصروفات حسب الشهر'!$C$1270:$AD$1381,9,FALSE),0)</f>
        <v>0</v>
      </c>
      <c r="N851" s="31" t="e">
        <f>#REF!</f>
        <v>#REF!</v>
      </c>
      <c r="O851" s="37" t="e">
        <f t="shared" si="21"/>
        <v>#REF!</v>
      </c>
    </row>
    <row r="852" spans="2:15" ht="17.399999999999999">
      <c r="B852" s="42" t="s">
        <v>59</v>
      </c>
      <c r="C852" s="39">
        <f>'تقرير المصروفات حسب الشهر'!K37</f>
        <v>0</v>
      </c>
      <c r="D852" s="31" t="e">
        <f>#REF!</f>
        <v>#REF!</v>
      </c>
      <c r="E852" s="31" t="e">
        <f>#REF!</f>
        <v>#REF!</v>
      </c>
      <c r="F852" s="31" t="e">
        <f>#REF!</f>
        <v>#REF!</v>
      </c>
      <c r="G852" s="31" t="e">
        <f>#REF!</f>
        <v>#REF!</v>
      </c>
      <c r="H852" s="31" t="e">
        <f>#REF!</f>
        <v>#REF!</v>
      </c>
      <c r="I852" s="31">
        <f>'تقرير المصروفات حسب الشهر'!K790</f>
        <v>0</v>
      </c>
      <c r="J852" s="31">
        <f>'تقرير المصروفات حسب الشهر'!K917</f>
        <v>0</v>
      </c>
      <c r="K852" s="31">
        <f>'تقرير المصروفات حسب الشهر'!K1044</f>
        <v>0</v>
      </c>
      <c r="L852" s="292">
        <f>IFERROR(VLOOKUP(B852,'تقرير المصروفات حسب الشهر'!$C$1143:$AD$1254,9,FALSE),0)</f>
        <v>0</v>
      </c>
      <c r="M852" s="292">
        <f>IFERROR(VLOOKUP(B852,'تقرير المصروفات حسب الشهر'!$C$1270:$AD$1381,9,FALSE),0)</f>
        <v>0</v>
      </c>
      <c r="N852" s="31" t="e">
        <f>#REF!</f>
        <v>#REF!</v>
      </c>
      <c r="O852" s="37" t="e">
        <f t="shared" si="21"/>
        <v>#REF!</v>
      </c>
    </row>
    <row r="853" spans="2:15" ht="17.399999999999999">
      <c r="B853" s="42" t="s">
        <v>60</v>
      </c>
      <c r="C853" s="39">
        <f>'تقرير المصروفات حسب الشهر'!K38</f>
        <v>0</v>
      </c>
      <c r="D853" s="31" t="e">
        <f>#REF!</f>
        <v>#REF!</v>
      </c>
      <c r="E853" s="31" t="e">
        <f>#REF!</f>
        <v>#REF!</v>
      </c>
      <c r="F853" s="31" t="e">
        <f>#REF!</f>
        <v>#REF!</v>
      </c>
      <c r="G853" s="31" t="e">
        <f>#REF!</f>
        <v>#REF!</v>
      </c>
      <c r="H853" s="31" t="e">
        <f>#REF!</f>
        <v>#REF!</v>
      </c>
      <c r="I853" s="31">
        <f>'تقرير المصروفات حسب الشهر'!K791</f>
        <v>0</v>
      </c>
      <c r="J853" s="31">
        <f>'تقرير المصروفات حسب الشهر'!K918</f>
        <v>0</v>
      </c>
      <c r="K853" s="31">
        <f>'تقرير المصروفات حسب الشهر'!K1045</f>
        <v>0</v>
      </c>
      <c r="L853" s="292">
        <f>IFERROR(VLOOKUP(B853,'تقرير المصروفات حسب الشهر'!$C$1143:$AD$1254,9,FALSE),0)</f>
        <v>0</v>
      </c>
      <c r="M853" s="292">
        <f>IFERROR(VLOOKUP(B853,'تقرير المصروفات حسب الشهر'!$C$1270:$AD$1381,9,FALSE),0)</f>
        <v>0</v>
      </c>
      <c r="N853" s="31" t="e">
        <f>#REF!</f>
        <v>#REF!</v>
      </c>
      <c r="O853" s="37" t="e">
        <f t="shared" si="21"/>
        <v>#REF!</v>
      </c>
    </row>
    <row r="854" spans="2:15" ht="17.399999999999999">
      <c r="B854" s="42" t="s">
        <v>61</v>
      </c>
      <c r="C854" s="39">
        <f>'تقرير المصروفات حسب الشهر'!K39</f>
        <v>0</v>
      </c>
      <c r="D854" s="31" t="e">
        <f>#REF!</f>
        <v>#REF!</v>
      </c>
      <c r="E854" s="31" t="e">
        <f>#REF!</f>
        <v>#REF!</v>
      </c>
      <c r="F854" s="31" t="e">
        <f>#REF!</f>
        <v>#REF!</v>
      </c>
      <c r="G854" s="31" t="e">
        <f>#REF!</f>
        <v>#REF!</v>
      </c>
      <c r="H854" s="31" t="e">
        <f>#REF!</f>
        <v>#REF!</v>
      </c>
      <c r="I854" s="31">
        <f>'تقرير المصروفات حسب الشهر'!K792</f>
        <v>0</v>
      </c>
      <c r="J854" s="31">
        <f>'تقرير المصروفات حسب الشهر'!K919</f>
        <v>0</v>
      </c>
      <c r="K854" s="31">
        <f>'تقرير المصروفات حسب الشهر'!K1046</f>
        <v>0</v>
      </c>
      <c r="L854" s="292">
        <f>IFERROR(VLOOKUP(B854,'تقرير المصروفات حسب الشهر'!$C$1143:$AD$1254,9,FALSE),0)</f>
        <v>0</v>
      </c>
      <c r="M854" s="292">
        <f>IFERROR(VLOOKUP(B854,'تقرير المصروفات حسب الشهر'!$C$1270:$AD$1381,9,FALSE),0)</f>
        <v>0</v>
      </c>
      <c r="N854" s="31" t="e">
        <f>#REF!</f>
        <v>#REF!</v>
      </c>
      <c r="O854" s="37" t="e">
        <f t="shared" si="21"/>
        <v>#REF!</v>
      </c>
    </row>
    <row r="855" spans="2:15" ht="17.399999999999999">
      <c r="B855" s="42" t="s">
        <v>62</v>
      </c>
      <c r="C855" s="39">
        <f>'تقرير المصروفات حسب الشهر'!K40</f>
        <v>2400</v>
      </c>
      <c r="D855" s="31" t="e">
        <f>#REF!</f>
        <v>#REF!</v>
      </c>
      <c r="E855" s="31" t="e">
        <f>#REF!</f>
        <v>#REF!</v>
      </c>
      <c r="F855" s="31" t="e">
        <f>#REF!</f>
        <v>#REF!</v>
      </c>
      <c r="G855" s="31" t="e">
        <f>#REF!</f>
        <v>#REF!</v>
      </c>
      <c r="H855" s="31" t="e">
        <f>#REF!</f>
        <v>#REF!</v>
      </c>
      <c r="I855" s="31">
        <f>'تقرير المصروفات حسب الشهر'!K793</f>
        <v>0</v>
      </c>
      <c r="J855" s="31">
        <f>'تقرير المصروفات حسب الشهر'!K920</f>
        <v>0</v>
      </c>
      <c r="K855" s="31">
        <f>'تقرير المصروفات حسب الشهر'!K1047</f>
        <v>0</v>
      </c>
      <c r="L855" s="292">
        <f>IFERROR(VLOOKUP(B855,'تقرير المصروفات حسب الشهر'!$C$1143:$AD$1254,9,FALSE),0)</f>
        <v>0</v>
      </c>
      <c r="M855" s="292">
        <f>IFERROR(VLOOKUP(B855,'تقرير المصروفات حسب الشهر'!$C$1270:$AD$1381,9,FALSE),0)</f>
        <v>0</v>
      </c>
      <c r="N855" s="31" t="e">
        <f>#REF!</f>
        <v>#REF!</v>
      </c>
      <c r="O855" s="37" t="e">
        <f t="shared" si="21"/>
        <v>#REF!</v>
      </c>
    </row>
    <row r="856" spans="2:15" ht="17.399999999999999">
      <c r="B856" s="42" t="s">
        <v>63</v>
      </c>
      <c r="C856" s="39">
        <f>'تقرير المصروفات حسب الشهر'!K41</f>
        <v>0</v>
      </c>
      <c r="D856" s="31" t="e">
        <f>#REF!</f>
        <v>#REF!</v>
      </c>
      <c r="E856" s="31" t="e">
        <f>#REF!</f>
        <v>#REF!</v>
      </c>
      <c r="F856" s="31" t="e">
        <f>#REF!</f>
        <v>#REF!</v>
      </c>
      <c r="G856" s="31" t="e">
        <f>#REF!</f>
        <v>#REF!</v>
      </c>
      <c r="H856" s="31" t="e">
        <f>#REF!</f>
        <v>#REF!</v>
      </c>
      <c r="I856" s="31">
        <f>'تقرير المصروفات حسب الشهر'!K794</f>
        <v>0</v>
      </c>
      <c r="J856" s="31">
        <f>'تقرير المصروفات حسب الشهر'!K921</f>
        <v>0</v>
      </c>
      <c r="K856" s="31">
        <f>'تقرير المصروفات حسب الشهر'!K1048</f>
        <v>0</v>
      </c>
      <c r="L856" s="292">
        <f>IFERROR(VLOOKUP(B856,'تقرير المصروفات حسب الشهر'!$C$1143:$AD$1254,9,FALSE),0)</f>
        <v>0</v>
      </c>
      <c r="M856" s="292">
        <f>IFERROR(VLOOKUP(B856,'تقرير المصروفات حسب الشهر'!$C$1270:$AD$1381,9,FALSE),0)</f>
        <v>0</v>
      </c>
      <c r="N856" s="31" t="e">
        <f>#REF!</f>
        <v>#REF!</v>
      </c>
      <c r="O856" s="37" t="e">
        <f t="shared" si="21"/>
        <v>#REF!</v>
      </c>
    </row>
    <row r="857" spans="2:15" ht="17.399999999999999">
      <c r="B857" s="42" t="s">
        <v>64</v>
      </c>
      <c r="C857" s="39">
        <f>'تقرير المصروفات حسب الشهر'!K42</f>
        <v>200</v>
      </c>
      <c r="D857" s="31" t="e">
        <f>#REF!</f>
        <v>#REF!</v>
      </c>
      <c r="E857" s="31" t="e">
        <f>#REF!</f>
        <v>#REF!</v>
      </c>
      <c r="F857" s="31" t="e">
        <f>#REF!</f>
        <v>#REF!</v>
      </c>
      <c r="G857" s="31" t="e">
        <f>#REF!</f>
        <v>#REF!</v>
      </c>
      <c r="H857" s="31" t="e">
        <f>#REF!</f>
        <v>#REF!</v>
      </c>
      <c r="I857" s="31">
        <f>'تقرير المصروفات حسب الشهر'!K795</f>
        <v>200</v>
      </c>
      <c r="J857" s="31">
        <f>'تقرير المصروفات حسب الشهر'!K922</f>
        <v>0</v>
      </c>
      <c r="K857" s="31">
        <f>'تقرير المصروفات حسب الشهر'!K1049</f>
        <v>0</v>
      </c>
      <c r="L857" s="292">
        <f>IFERROR(VLOOKUP(B857,'تقرير المصروفات حسب الشهر'!$C$1143:$AD$1254,9,FALSE),0)</f>
        <v>400</v>
      </c>
      <c r="M857" s="292">
        <f>IFERROR(VLOOKUP(B857,'تقرير المصروفات حسب الشهر'!$C$1270:$AD$1381,9,FALSE),0)</f>
        <v>0</v>
      </c>
      <c r="N857" s="31" t="e">
        <f>#REF!</f>
        <v>#REF!</v>
      </c>
      <c r="O857" s="37" t="e">
        <f t="shared" si="21"/>
        <v>#REF!</v>
      </c>
    </row>
    <row r="858" spans="2:15" ht="17.399999999999999">
      <c r="B858" s="42" t="s">
        <v>28</v>
      </c>
      <c r="C858" s="39">
        <f>'تقرير المصروفات حسب الشهر'!K43</f>
        <v>0</v>
      </c>
      <c r="D858" s="31" t="e">
        <f>#REF!</f>
        <v>#REF!</v>
      </c>
      <c r="E858" s="31" t="e">
        <f>#REF!</f>
        <v>#REF!</v>
      </c>
      <c r="F858" s="31" t="e">
        <f>#REF!</f>
        <v>#REF!</v>
      </c>
      <c r="G858" s="31" t="e">
        <f>#REF!</f>
        <v>#REF!</v>
      </c>
      <c r="H858" s="31" t="e">
        <f>#REF!</f>
        <v>#REF!</v>
      </c>
      <c r="I858" s="31">
        <f>'تقرير المصروفات حسب الشهر'!K796</f>
        <v>0</v>
      </c>
      <c r="J858" s="31">
        <f>'تقرير المصروفات حسب الشهر'!K923</f>
        <v>0</v>
      </c>
      <c r="K858" s="31">
        <f>'تقرير المصروفات حسب الشهر'!K1050</f>
        <v>0</v>
      </c>
      <c r="L858" s="292">
        <f>IFERROR(VLOOKUP(B858,'تقرير المصروفات حسب الشهر'!$C$1143:$AD$1254,9,FALSE),0)</f>
        <v>0</v>
      </c>
      <c r="M858" s="292">
        <f>IFERROR(VLOOKUP(B858,'تقرير المصروفات حسب الشهر'!$C$1270:$AD$1381,9,FALSE),0)</f>
        <v>0</v>
      </c>
      <c r="N858" s="31" t="e">
        <f>#REF!</f>
        <v>#REF!</v>
      </c>
      <c r="O858" s="37" t="e">
        <f t="shared" si="21"/>
        <v>#REF!</v>
      </c>
    </row>
    <row r="859" spans="2:15" ht="17.399999999999999">
      <c r="B859" s="42" t="s">
        <v>157</v>
      </c>
      <c r="C859" s="39">
        <f>'تقرير المصروفات حسب الشهر'!K44</f>
        <v>0</v>
      </c>
      <c r="D859" s="31" t="e">
        <f>#REF!</f>
        <v>#REF!</v>
      </c>
      <c r="E859" s="31" t="e">
        <f>#REF!</f>
        <v>#REF!</v>
      </c>
      <c r="F859" s="31" t="e">
        <f>#REF!</f>
        <v>#REF!</v>
      </c>
      <c r="G859" s="31" t="e">
        <f>#REF!</f>
        <v>#REF!</v>
      </c>
      <c r="H859" s="31" t="e">
        <f>#REF!</f>
        <v>#REF!</v>
      </c>
      <c r="I859" s="31">
        <f>'تقرير المصروفات حسب الشهر'!K797</f>
        <v>0</v>
      </c>
      <c r="J859" s="31">
        <f>'تقرير المصروفات حسب الشهر'!K924</f>
        <v>0</v>
      </c>
      <c r="K859" s="31">
        <f>'تقرير المصروفات حسب الشهر'!K1051</f>
        <v>0</v>
      </c>
      <c r="L859" s="292">
        <f>IFERROR(VLOOKUP(B859,'تقرير المصروفات حسب الشهر'!$C$1143:$AD$1254,9,FALSE),0)</f>
        <v>0</v>
      </c>
      <c r="M859" s="292">
        <f>IFERROR(VLOOKUP(B859,'تقرير المصروفات حسب الشهر'!$C$1270:$AD$1381,9,FALSE),0)</f>
        <v>0</v>
      </c>
      <c r="N859" s="31" t="e">
        <f>#REF!</f>
        <v>#REF!</v>
      </c>
      <c r="O859" s="37" t="e">
        <f t="shared" si="21"/>
        <v>#REF!</v>
      </c>
    </row>
    <row r="860" spans="2:15" ht="17.399999999999999">
      <c r="B860" s="42" t="s">
        <v>65</v>
      </c>
      <c r="C860" s="39">
        <f>'تقرير المصروفات حسب الشهر'!K45</f>
        <v>0</v>
      </c>
      <c r="D860" s="31" t="e">
        <f>#REF!</f>
        <v>#REF!</v>
      </c>
      <c r="E860" s="31" t="e">
        <f>#REF!</f>
        <v>#REF!</v>
      </c>
      <c r="F860" s="31" t="e">
        <f>#REF!</f>
        <v>#REF!</v>
      </c>
      <c r="G860" s="31" t="e">
        <f>#REF!</f>
        <v>#REF!</v>
      </c>
      <c r="H860" s="31" t="e">
        <f>#REF!</f>
        <v>#REF!</v>
      </c>
      <c r="I860" s="31">
        <f>'تقرير المصروفات حسب الشهر'!K798</f>
        <v>0</v>
      </c>
      <c r="J860" s="31">
        <f>'تقرير المصروفات حسب الشهر'!K925</f>
        <v>0</v>
      </c>
      <c r="K860" s="31">
        <f>'تقرير المصروفات حسب الشهر'!K1052</f>
        <v>0</v>
      </c>
      <c r="L860" s="292">
        <f>IFERROR(VLOOKUP(B860,'تقرير المصروفات حسب الشهر'!$C$1143:$AD$1254,9,FALSE),0)</f>
        <v>0</v>
      </c>
      <c r="M860" s="292">
        <f>IFERROR(VLOOKUP(B860,'تقرير المصروفات حسب الشهر'!$C$1270:$AD$1381,9,FALSE),0)</f>
        <v>0</v>
      </c>
      <c r="N860" s="31" t="e">
        <f>#REF!</f>
        <v>#REF!</v>
      </c>
      <c r="O860" s="37" t="e">
        <f t="shared" si="21"/>
        <v>#REF!</v>
      </c>
    </row>
    <row r="861" spans="2:15" ht="17.399999999999999">
      <c r="B861" s="42" t="s">
        <v>66</v>
      </c>
      <c r="C861" s="39">
        <f>'تقرير المصروفات حسب الشهر'!K46</f>
        <v>0</v>
      </c>
      <c r="D861" s="31" t="e">
        <f>#REF!</f>
        <v>#REF!</v>
      </c>
      <c r="E861" s="31" t="e">
        <f>#REF!</f>
        <v>#REF!</v>
      </c>
      <c r="F861" s="31" t="e">
        <f>#REF!</f>
        <v>#REF!</v>
      </c>
      <c r="G861" s="31" t="e">
        <f>#REF!</f>
        <v>#REF!</v>
      </c>
      <c r="H861" s="31" t="e">
        <f>#REF!</f>
        <v>#REF!</v>
      </c>
      <c r="I861" s="31">
        <f>'تقرير المصروفات حسب الشهر'!K799</f>
        <v>0</v>
      </c>
      <c r="J861" s="31">
        <f>'تقرير المصروفات حسب الشهر'!K926</f>
        <v>0</v>
      </c>
      <c r="K861" s="31">
        <f>'تقرير المصروفات حسب الشهر'!K1053</f>
        <v>0</v>
      </c>
      <c r="L861" s="292">
        <f>IFERROR(VLOOKUP(B861,'تقرير المصروفات حسب الشهر'!$C$1143:$AD$1254,9,FALSE),0)</f>
        <v>0</v>
      </c>
      <c r="M861" s="292">
        <f>IFERROR(VLOOKUP(B861,'تقرير المصروفات حسب الشهر'!$C$1270:$AD$1381,9,FALSE),0)</f>
        <v>0</v>
      </c>
      <c r="N861" s="31" t="e">
        <f>#REF!</f>
        <v>#REF!</v>
      </c>
      <c r="O861" s="37" t="e">
        <f t="shared" si="21"/>
        <v>#REF!</v>
      </c>
    </row>
    <row r="862" spans="2:15" ht="17.399999999999999">
      <c r="B862" s="42" t="s">
        <v>30</v>
      </c>
      <c r="C862" s="39">
        <f>'تقرير المصروفات حسب الشهر'!K47</f>
        <v>0</v>
      </c>
      <c r="D862" s="31" t="e">
        <f>#REF!</f>
        <v>#REF!</v>
      </c>
      <c r="E862" s="31" t="e">
        <f>#REF!</f>
        <v>#REF!</v>
      </c>
      <c r="F862" s="31" t="e">
        <f>#REF!</f>
        <v>#REF!</v>
      </c>
      <c r="G862" s="31" t="e">
        <f>#REF!</f>
        <v>#REF!</v>
      </c>
      <c r="H862" s="31" t="e">
        <f>#REF!</f>
        <v>#REF!</v>
      </c>
      <c r="I862" s="31">
        <f>'تقرير المصروفات حسب الشهر'!K800</f>
        <v>0</v>
      </c>
      <c r="J862" s="31">
        <f>'تقرير المصروفات حسب الشهر'!K927</f>
        <v>0</v>
      </c>
      <c r="K862" s="31">
        <f>'تقرير المصروفات حسب الشهر'!K1054</f>
        <v>0</v>
      </c>
      <c r="L862" s="292">
        <f>IFERROR(VLOOKUP(B862,'تقرير المصروفات حسب الشهر'!$C$1143:$AD$1254,9,FALSE),0)</f>
        <v>0</v>
      </c>
      <c r="M862" s="292">
        <f>IFERROR(VLOOKUP(B862,'تقرير المصروفات حسب الشهر'!$C$1270:$AD$1381,9,FALSE),0)</f>
        <v>0</v>
      </c>
      <c r="N862" s="31" t="e">
        <f>#REF!</f>
        <v>#REF!</v>
      </c>
      <c r="O862" s="37" t="e">
        <f t="shared" si="21"/>
        <v>#REF!</v>
      </c>
    </row>
    <row r="863" spans="2:15" ht="17.399999999999999">
      <c r="B863" s="42" t="s">
        <v>67</v>
      </c>
      <c r="C863" s="39">
        <f>'تقرير المصروفات حسب الشهر'!K48</f>
        <v>3120</v>
      </c>
      <c r="D863" s="31" t="e">
        <f>#REF!</f>
        <v>#REF!</v>
      </c>
      <c r="E863" s="31" t="e">
        <f>#REF!</f>
        <v>#REF!</v>
      </c>
      <c r="F863" s="31" t="e">
        <f>#REF!</f>
        <v>#REF!</v>
      </c>
      <c r="G863" s="31" t="e">
        <f>#REF!</f>
        <v>#REF!</v>
      </c>
      <c r="H863" s="31" t="e">
        <f>#REF!</f>
        <v>#REF!</v>
      </c>
      <c r="I863" s="31">
        <f>'تقرير المصروفات حسب الشهر'!K801</f>
        <v>0</v>
      </c>
      <c r="J863" s="31">
        <f>'تقرير المصروفات حسب الشهر'!K928</f>
        <v>3300</v>
      </c>
      <c r="K863" s="31">
        <f>'تقرير المصروفات حسب الشهر'!K1055</f>
        <v>0</v>
      </c>
      <c r="L863" s="292">
        <f>IFERROR(VLOOKUP(B863,'تقرير المصروفات حسب الشهر'!$C$1143:$AD$1254,9,FALSE),0)</f>
        <v>3300</v>
      </c>
      <c r="M863" s="292">
        <f>IFERROR(VLOOKUP(B863,'تقرير المصروفات حسب الشهر'!$C$1270:$AD$1381,9,FALSE),0)</f>
        <v>0</v>
      </c>
      <c r="N863" s="31" t="e">
        <f>#REF!</f>
        <v>#REF!</v>
      </c>
      <c r="O863" s="37" t="e">
        <f t="shared" si="21"/>
        <v>#REF!</v>
      </c>
    </row>
    <row r="864" spans="2:15" ht="17.399999999999999">
      <c r="B864" s="42" t="s">
        <v>111</v>
      </c>
      <c r="C864" s="39">
        <f>'تقرير المصروفات حسب الشهر'!K49</f>
        <v>0</v>
      </c>
      <c r="D864" s="31" t="e">
        <f>#REF!</f>
        <v>#REF!</v>
      </c>
      <c r="E864" s="31" t="e">
        <f>#REF!</f>
        <v>#REF!</v>
      </c>
      <c r="F864" s="31" t="e">
        <f>#REF!</f>
        <v>#REF!</v>
      </c>
      <c r="G864" s="31" t="e">
        <f>#REF!</f>
        <v>#REF!</v>
      </c>
      <c r="H864" s="31" t="e">
        <f>#REF!</f>
        <v>#REF!</v>
      </c>
      <c r="I864" s="31">
        <f>'تقرير المصروفات حسب الشهر'!K802</f>
        <v>0</v>
      </c>
      <c r="J864" s="31">
        <f>'تقرير المصروفات حسب الشهر'!K929</f>
        <v>0</v>
      </c>
      <c r="K864" s="31">
        <f>'تقرير المصروفات حسب الشهر'!K1056</f>
        <v>350</v>
      </c>
      <c r="L864" s="292">
        <f>IFERROR(VLOOKUP(B864,'تقرير المصروفات حسب الشهر'!$C$1143:$AD$1254,9,FALSE),0)</f>
        <v>0</v>
      </c>
      <c r="M864" s="292">
        <f>IFERROR(VLOOKUP(B864,'تقرير المصروفات حسب الشهر'!$C$1270:$AD$1381,9,FALSE),0)</f>
        <v>0</v>
      </c>
      <c r="N864" s="31" t="e">
        <f>#REF!</f>
        <v>#REF!</v>
      </c>
      <c r="O864" s="37" t="e">
        <f t="shared" si="21"/>
        <v>#REF!</v>
      </c>
    </row>
    <row r="865" spans="2:15" ht="17.399999999999999">
      <c r="B865" s="42" t="s">
        <v>68</v>
      </c>
      <c r="C865" s="39">
        <f>'تقرير المصروفات حسب الشهر'!K50</f>
        <v>0</v>
      </c>
      <c r="D865" s="31" t="e">
        <f>#REF!</f>
        <v>#REF!</v>
      </c>
      <c r="E865" s="31" t="e">
        <f>#REF!</f>
        <v>#REF!</v>
      </c>
      <c r="F865" s="31" t="e">
        <f>#REF!</f>
        <v>#REF!</v>
      </c>
      <c r="G865" s="31" t="e">
        <f>#REF!</f>
        <v>#REF!</v>
      </c>
      <c r="H865" s="31" t="e">
        <f>#REF!</f>
        <v>#REF!</v>
      </c>
      <c r="I865" s="31">
        <f>'تقرير المصروفات حسب الشهر'!K803</f>
        <v>0</v>
      </c>
      <c r="J865" s="31">
        <f>'تقرير المصروفات حسب الشهر'!K930</f>
        <v>0</v>
      </c>
      <c r="K865" s="31">
        <f>'تقرير المصروفات حسب الشهر'!K1057</f>
        <v>0</v>
      </c>
      <c r="L865" s="292">
        <f>IFERROR(VLOOKUP(B865,'تقرير المصروفات حسب الشهر'!$C$1143:$AD$1254,9,FALSE),0)</f>
        <v>0</v>
      </c>
      <c r="M865" s="292">
        <f>IFERROR(VLOOKUP(B865,'تقرير المصروفات حسب الشهر'!$C$1270:$AD$1381,9,FALSE),0)</f>
        <v>0</v>
      </c>
      <c r="N865" s="31" t="e">
        <f>#REF!</f>
        <v>#REF!</v>
      </c>
      <c r="O865" s="37" t="e">
        <f t="shared" si="21"/>
        <v>#REF!</v>
      </c>
    </row>
    <row r="866" spans="2:15" ht="17.399999999999999">
      <c r="B866" s="42" t="s">
        <v>69</v>
      </c>
      <c r="C866" s="39">
        <f>'تقرير المصروفات حسب الشهر'!K51</f>
        <v>0</v>
      </c>
      <c r="D866" s="31" t="e">
        <f>#REF!</f>
        <v>#REF!</v>
      </c>
      <c r="E866" s="31" t="e">
        <f>#REF!</f>
        <v>#REF!</v>
      </c>
      <c r="F866" s="31" t="e">
        <f>#REF!</f>
        <v>#REF!</v>
      </c>
      <c r="G866" s="31" t="e">
        <f>#REF!</f>
        <v>#REF!</v>
      </c>
      <c r="H866" s="31" t="e">
        <f>#REF!</f>
        <v>#REF!</v>
      </c>
      <c r="I866" s="31">
        <f>'تقرير المصروفات حسب الشهر'!K804</f>
        <v>0</v>
      </c>
      <c r="J866" s="31">
        <f>'تقرير المصروفات حسب الشهر'!K931</f>
        <v>0</v>
      </c>
      <c r="K866" s="31">
        <f>'تقرير المصروفات حسب الشهر'!K1058</f>
        <v>0</v>
      </c>
      <c r="L866" s="292">
        <f>IFERROR(VLOOKUP(B866,'تقرير المصروفات حسب الشهر'!$C$1143:$AD$1254,9,FALSE),0)</f>
        <v>0</v>
      </c>
      <c r="M866" s="292">
        <f>IFERROR(VLOOKUP(B866,'تقرير المصروفات حسب الشهر'!$C$1270:$AD$1381,9,FALSE),0)</f>
        <v>0</v>
      </c>
      <c r="N866" s="31" t="e">
        <f>#REF!</f>
        <v>#REF!</v>
      </c>
      <c r="O866" s="37" t="e">
        <f t="shared" si="21"/>
        <v>#REF!</v>
      </c>
    </row>
    <row r="867" spans="2:15" ht="17.399999999999999">
      <c r="B867" s="42" t="s">
        <v>70</v>
      </c>
      <c r="C867" s="39">
        <f>'تقرير المصروفات حسب الشهر'!K52</f>
        <v>0</v>
      </c>
      <c r="D867" s="31" t="e">
        <f>#REF!</f>
        <v>#REF!</v>
      </c>
      <c r="E867" s="31" t="e">
        <f>#REF!</f>
        <v>#REF!</v>
      </c>
      <c r="F867" s="31" t="e">
        <f>#REF!</f>
        <v>#REF!</v>
      </c>
      <c r="G867" s="31" t="e">
        <f>#REF!</f>
        <v>#REF!</v>
      </c>
      <c r="H867" s="31" t="e">
        <f>#REF!</f>
        <v>#REF!</v>
      </c>
      <c r="I867" s="31">
        <f>'تقرير المصروفات حسب الشهر'!K805</f>
        <v>0</v>
      </c>
      <c r="J867" s="31">
        <f>'تقرير المصروفات حسب الشهر'!K932</f>
        <v>0</v>
      </c>
      <c r="K867" s="31">
        <f>'تقرير المصروفات حسب الشهر'!K1059</f>
        <v>0</v>
      </c>
      <c r="L867" s="292">
        <f>IFERROR(VLOOKUP(B867,'تقرير المصروفات حسب الشهر'!$C$1143:$AD$1254,9,FALSE),0)</f>
        <v>0</v>
      </c>
      <c r="M867" s="292">
        <f>IFERROR(VLOOKUP(B867,'تقرير المصروفات حسب الشهر'!$C$1270:$AD$1381,9,FALSE),0)</f>
        <v>0</v>
      </c>
      <c r="N867" s="31" t="e">
        <f>#REF!</f>
        <v>#REF!</v>
      </c>
      <c r="O867" s="37" t="e">
        <f t="shared" si="21"/>
        <v>#REF!</v>
      </c>
    </row>
    <row r="868" spans="2:15" ht="17.399999999999999">
      <c r="B868" s="42" t="s">
        <v>71</v>
      </c>
      <c r="C868" s="39">
        <f>'تقرير المصروفات حسب الشهر'!K53</f>
        <v>0</v>
      </c>
      <c r="D868" s="31" t="e">
        <f>#REF!</f>
        <v>#REF!</v>
      </c>
      <c r="E868" s="31" t="e">
        <f>#REF!</f>
        <v>#REF!</v>
      </c>
      <c r="F868" s="31" t="e">
        <f>#REF!</f>
        <v>#REF!</v>
      </c>
      <c r="G868" s="31" t="e">
        <f>#REF!</f>
        <v>#REF!</v>
      </c>
      <c r="H868" s="31" t="e">
        <f>#REF!</f>
        <v>#REF!</v>
      </c>
      <c r="I868" s="31">
        <f>'تقرير المصروفات حسب الشهر'!K806</f>
        <v>0</v>
      </c>
      <c r="J868" s="31">
        <f>'تقرير المصروفات حسب الشهر'!K933</f>
        <v>0</v>
      </c>
      <c r="K868" s="31">
        <f>'تقرير المصروفات حسب الشهر'!K1060</f>
        <v>0</v>
      </c>
      <c r="L868" s="292">
        <f>IFERROR(VLOOKUP(B868,'تقرير المصروفات حسب الشهر'!$C$1143:$AD$1254,9,FALSE),0)</f>
        <v>0</v>
      </c>
      <c r="M868" s="292">
        <f>IFERROR(VLOOKUP(B868,'تقرير المصروفات حسب الشهر'!$C$1270:$AD$1381,9,FALSE),0)</f>
        <v>0</v>
      </c>
      <c r="N868" s="31" t="e">
        <f>#REF!</f>
        <v>#REF!</v>
      </c>
      <c r="O868" s="37" t="e">
        <f t="shared" si="21"/>
        <v>#REF!</v>
      </c>
    </row>
    <row r="869" spans="2:15" ht="17.399999999999999">
      <c r="B869" s="42" t="s">
        <v>159</v>
      </c>
      <c r="C869" s="39">
        <f>'تقرير المصروفات حسب الشهر'!K54</f>
        <v>0</v>
      </c>
      <c r="D869" s="31" t="e">
        <f>#REF!</f>
        <v>#REF!</v>
      </c>
      <c r="E869" s="31" t="e">
        <f>#REF!</f>
        <v>#REF!</v>
      </c>
      <c r="F869" s="31" t="e">
        <f>#REF!</f>
        <v>#REF!</v>
      </c>
      <c r="G869" s="31" t="e">
        <f>#REF!</f>
        <v>#REF!</v>
      </c>
      <c r="H869" s="31" t="e">
        <f>#REF!</f>
        <v>#REF!</v>
      </c>
      <c r="I869" s="31">
        <f>'تقرير المصروفات حسب الشهر'!K807</f>
        <v>0</v>
      </c>
      <c r="J869" s="31">
        <f>'تقرير المصروفات حسب الشهر'!K934</f>
        <v>0</v>
      </c>
      <c r="K869" s="31">
        <f>'تقرير المصروفات حسب الشهر'!K1061</f>
        <v>0</v>
      </c>
      <c r="L869" s="292">
        <f>IFERROR(VLOOKUP(B869,'تقرير المصروفات حسب الشهر'!$C$1143:$AD$1254,9,FALSE),0)</f>
        <v>0</v>
      </c>
      <c r="M869" s="292">
        <f>IFERROR(VLOOKUP(B869,'تقرير المصروفات حسب الشهر'!$C$1270:$AD$1381,9,FALSE),0)</f>
        <v>0</v>
      </c>
      <c r="N869" s="31" t="e">
        <f>#REF!</f>
        <v>#REF!</v>
      </c>
      <c r="O869" s="37" t="e">
        <f t="shared" si="21"/>
        <v>#REF!</v>
      </c>
    </row>
    <row r="870" spans="2:15" ht="17.399999999999999">
      <c r="B870" s="42" t="s">
        <v>72</v>
      </c>
      <c r="C870" s="39">
        <f>'تقرير المصروفات حسب الشهر'!K55</f>
        <v>0</v>
      </c>
      <c r="D870" s="31" t="e">
        <f>#REF!</f>
        <v>#REF!</v>
      </c>
      <c r="E870" s="31" t="e">
        <f>#REF!</f>
        <v>#REF!</v>
      </c>
      <c r="F870" s="31" t="e">
        <f>#REF!</f>
        <v>#REF!</v>
      </c>
      <c r="G870" s="31" t="e">
        <f>#REF!</f>
        <v>#REF!</v>
      </c>
      <c r="H870" s="31" t="e">
        <f>#REF!</f>
        <v>#REF!</v>
      </c>
      <c r="I870" s="31">
        <f>'تقرير المصروفات حسب الشهر'!K808</f>
        <v>0</v>
      </c>
      <c r="J870" s="31">
        <f>'تقرير المصروفات حسب الشهر'!K935</f>
        <v>0</v>
      </c>
      <c r="K870" s="31">
        <f>'تقرير المصروفات حسب الشهر'!K1062</f>
        <v>0</v>
      </c>
      <c r="L870" s="292">
        <f>IFERROR(VLOOKUP(B870,'تقرير المصروفات حسب الشهر'!$C$1143:$AD$1254,9,FALSE),0)</f>
        <v>0</v>
      </c>
      <c r="M870" s="292">
        <f>IFERROR(VLOOKUP(B870,'تقرير المصروفات حسب الشهر'!$C$1270:$AD$1381,9,FALSE),0)</f>
        <v>0</v>
      </c>
      <c r="N870" s="31" t="e">
        <f>#REF!</f>
        <v>#REF!</v>
      </c>
      <c r="O870" s="37" t="e">
        <f t="shared" si="21"/>
        <v>#REF!</v>
      </c>
    </row>
    <row r="871" spans="2:15" ht="17.399999999999999">
      <c r="B871" s="42" t="s">
        <v>73</v>
      </c>
      <c r="C871" s="39">
        <f>'تقرير المصروفات حسب الشهر'!K56</f>
        <v>0</v>
      </c>
      <c r="D871" s="31" t="e">
        <f>#REF!</f>
        <v>#REF!</v>
      </c>
      <c r="E871" s="31" t="e">
        <f>#REF!</f>
        <v>#REF!</v>
      </c>
      <c r="F871" s="31" t="e">
        <f>#REF!</f>
        <v>#REF!</v>
      </c>
      <c r="G871" s="31" t="e">
        <f>#REF!</f>
        <v>#REF!</v>
      </c>
      <c r="H871" s="31" t="e">
        <f>#REF!</f>
        <v>#REF!</v>
      </c>
      <c r="I871" s="31">
        <f>'تقرير المصروفات حسب الشهر'!K809</f>
        <v>0</v>
      </c>
      <c r="J871" s="31">
        <f>'تقرير المصروفات حسب الشهر'!K936</f>
        <v>0</v>
      </c>
      <c r="K871" s="31">
        <f>'تقرير المصروفات حسب الشهر'!K1063</f>
        <v>0</v>
      </c>
      <c r="L871" s="292">
        <f>IFERROR(VLOOKUP(B871,'تقرير المصروفات حسب الشهر'!$C$1143:$AD$1254,9,FALSE),0)</f>
        <v>0</v>
      </c>
      <c r="M871" s="292">
        <f>IFERROR(VLOOKUP(B871,'تقرير المصروفات حسب الشهر'!$C$1270:$AD$1381,9,FALSE),0)</f>
        <v>0</v>
      </c>
      <c r="N871" s="31" t="e">
        <f>#REF!</f>
        <v>#REF!</v>
      </c>
      <c r="O871" s="37" t="e">
        <f t="shared" si="21"/>
        <v>#REF!</v>
      </c>
    </row>
    <row r="872" spans="2:15" ht="17.399999999999999">
      <c r="B872" s="42" t="s">
        <v>74</v>
      </c>
      <c r="C872" s="39">
        <f>'تقرير المصروفات حسب الشهر'!K57</f>
        <v>0</v>
      </c>
      <c r="D872" s="31" t="e">
        <f>#REF!</f>
        <v>#REF!</v>
      </c>
      <c r="E872" s="31" t="e">
        <f>#REF!</f>
        <v>#REF!</v>
      </c>
      <c r="F872" s="31" t="e">
        <f>#REF!</f>
        <v>#REF!</v>
      </c>
      <c r="G872" s="31" t="e">
        <f>#REF!</f>
        <v>#REF!</v>
      </c>
      <c r="H872" s="31" t="e">
        <f>#REF!</f>
        <v>#REF!</v>
      </c>
      <c r="I872" s="31">
        <f>'تقرير المصروفات حسب الشهر'!K810</f>
        <v>0</v>
      </c>
      <c r="J872" s="31">
        <f>'تقرير المصروفات حسب الشهر'!K937</f>
        <v>0</v>
      </c>
      <c r="K872" s="31">
        <f>'تقرير المصروفات حسب الشهر'!K1064</f>
        <v>0</v>
      </c>
      <c r="L872" s="292">
        <f>IFERROR(VLOOKUP(B872,'تقرير المصروفات حسب الشهر'!$C$1143:$AD$1254,9,FALSE),0)</f>
        <v>0</v>
      </c>
      <c r="M872" s="292">
        <f>IFERROR(VLOOKUP(B872,'تقرير المصروفات حسب الشهر'!$C$1270:$AD$1381,9,FALSE),0)</f>
        <v>0</v>
      </c>
      <c r="N872" s="31" t="e">
        <f>#REF!</f>
        <v>#REF!</v>
      </c>
      <c r="O872" s="37" t="e">
        <f t="shared" si="21"/>
        <v>#REF!</v>
      </c>
    </row>
    <row r="873" spans="2:15" ht="17.399999999999999">
      <c r="B873" s="42" t="s">
        <v>246</v>
      </c>
      <c r="C873" s="39">
        <f>'تقرير المصروفات حسب الشهر'!K58</f>
        <v>0</v>
      </c>
      <c r="D873" s="31" t="e">
        <f>#REF!</f>
        <v>#REF!</v>
      </c>
      <c r="E873" s="31" t="e">
        <f>#REF!</f>
        <v>#REF!</v>
      </c>
      <c r="F873" s="31" t="e">
        <f>#REF!</f>
        <v>#REF!</v>
      </c>
      <c r="G873" s="31" t="e">
        <f>#REF!</f>
        <v>#REF!</v>
      </c>
      <c r="H873" s="31" t="e">
        <f>#REF!</f>
        <v>#REF!</v>
      </c>
      <c r="I873" s="31">
        <f>'تقرير المصروفات حسب الشهر'!K811</f>
        <v>0</v>
      </c>
      <c r="J873" s="31">
        <f>'تقرير المصروفات حسب الشهر'!K938</f>
        <v>0</v>
      </c>
      <c r="K873" s="31">
        <f>'تقرير المصروفات حسب الشهر'!K1065</f>
        <v>0</v>
      </c>
      <c r="L873" s="292">
        <f>IFERROR(VLOOKUP(B873,'تقرير المصروفات حسب الشهر'!$C$1143:$AD$1254,9,FALSE),0)</f>
        <v>0</v>
      </c>
      <c r="M873" s="292">
        <f>IFERROR(VLOOKUP(B873,'تقرير المصروفات حسب الشهر'!$C$1270:$AD$1381,9,FALSE),0)</f>
        <v>0</v>
      </c>
      <c r="N873" s="31" t="e">
        <f>#REF!</f>
        <v>#REF!</v>
      </c>
      <c r="O873" s="37" t="e">
        <f t="shared" si="21"/>
        <v>#REF!</v>
      </c>
    </row>
    <row r="874" spans="2:15" ht="17.399999999999999">
      <c r="B874" s="42" t="s">
        <v>75</v>
      </c>
      <c r="C874" s="39">
        <f>'تقرير المصروفات حسب الشهر'!K59</f>
        <v>0</v>
      </c>
      <c r="D874" s="31" t="e">
        <f>#REF!</f>
        <v>#REF!</v>
      </c>
      <c r="E874" s="31" t="e">
        <f>#REF!</f>
        <v>#REF!</v>
      </c>
      <c r="F874" s="31" t="e">
        <f>#REF!</f>
        <v>#REF!</v>
      </c>
      <c r="G874" s="31" t="e">
        <f>#REF!</f>
        <v>#REF!</v>
      </c>
      <c r="H874" s="31" t="e">
        <f>#REF!</f>
        <v>#REF!</v>
      </c>
      <c r="I874" s="31">
        <f>'تقرير المصروفات حسب الشهر'!K812</f>
        <v>0</v>
      </c>
      <c r="J874" s="31">
        <f>'تقرير المصروفات حسب الشهر'!K939</f>
        <v>0</v>
      </c>
      <c r="K874" s="31">
        <f>'تقرير المصروفات حسب الشهر'!K1066</f>
        <v>0</v>
      </c>
      <c r="L874" s="292">
        <f>IFERROR(VLOOKUP(B874,'تقرير المصروفات حسب الشهر'!$C$1143:$AD$1254,9,FALSE),0)</f>
        <v>0</v>
      </c>
      <c r="M874" s="292">
        <f>IFERROR(VLOOKUP(B874,'تقرير المصروفات حسب الشهر'!$C$1270:$AD$1381,9,FALSE),0)</f>
        <v>0</v>
      </c>
      <c r="N874" s="31" t="e">
        <f>#REF!</f>
        <v>#REF!</v>
      </c>
      <c r="O874" s="37" t="e">
        <f t="shared" si="21"/>
        <v>#REF!</v>
      </c>
    </row>
    <row r="875" spans="2:15" ht="17.399999999999999">
      <c r="B875" s="42" t="s">
        <v>76</v>
      </c>
      <c r="C875" s="39">
        <f>'تقرير المصروفات حسب الشهر'!K60</f>
        <v>0</v>
      </c>
      <c r="D875" s="31" t="e">
        <f>#REF!</f>
        <v>#REF!</v>
      </c>
      <c r="E875" s="31" t="e">
        <f>#REF!</f>
        <v>#REF!</v>
      </c>
      <c r="F875" s="31" t="e">
        <f>#REF!</f>
        <v>#REF!</v>
      </c>
      <c r="G875" s="31" t="e">
        <f>#REF!</f>
        <v>#REF!</v>
      </c>
      <c r="H875" s="31" t="e">
        <f>#REF!</f>
        <v>#REF!</v>
      </c>
      <c r="I875" s="31">
        <f>'تقرير المصروفات حسب الشهر'!K813</f>
        <v>0</v>
      </c>
      <c r="J875" s="31">
        <f>'تقرير المصروفات حسب الشهر'!K940</f>
        <v>0</v>
      </c>
      <c r="K875" s="31">
        <f>'تقرير المصروفات حسب الشهر'!K1067</f>
        <v>0</v>
      </c>
      <c r="L875" s="292">
        <f>IFERROR(VLOOKUP(B875,'تقرير المصروفات حسب الشهر'!$C$1143:$AD$1254,9,FALSE),0)</f>
        <v>0</v>
      </c>
      <c r="M875" s="292">
        <f>IFERROR(VLOOKUP(B875,'تقرير المصروفات حسب الشهر'!$C$1270:$AD$1381,9,FALSE),0)</f>
        <v>0</v>
      </c>
      <c r="N875" s="31" t="e">
        <f>#REF!</f>
        <v>#REF!</v>
      </c>
      <c r="O875" s="37" t="e">
        <f t="shared" si="21"/>
        <v>#REF!</v>
      </c>
    </row>
    <row r="876" spans="2:15" ht="17.399999999999999">
      <c r="B876" s="42" t="s">
        <v>77</v>
      </c>
      <c r="C876" s="39">
        <f>'تقرير المصروفات حسب الشهر'!K61</f>
        <v>0</v>
      </c>
      <c r="D876" s="31" t="e">
        <f>#REF!</f>
        <v>#REF!</v>
      </c>
      <c r="E876" s="31" t="e">
        <f>#REF!</f>
        <v>#REF!</v>
      </c>
      <c r="F876" s="31" t="e">
        <f>#REF!</f>
        <v>#REF!</v>
      </c>
      <c r="G876" s="31" t="e">
        <f>#REF!</f>
        <v>#REF!</v>
      </c>
      <c r="H876" s="31" t="e">
        <f>#REF!</f>
        <v>#REF!</v>
      </c>
      <c r="I876" s="31">
        <f>'تقرير المصروفات حسب الشهر'!K814</f>
        <v>0</v>
      </c>
      <c r="J876" s="31">
        <f>'تقرير المصروفات حسب الشهر'!K941</f>
        <v>0</v>
      </c>
      <c r="K876" s="31">
        <f>'تقرير المصروفات حسب الشهر'!K1068</f>
        <v>0</v>
      </c>
      <c r="L876" s="292">
        <f>IFERROR(VLOOKUP(B876,'تقرير المصروفات حسب الشهر'!$C$1143:$AD$1254,9,FALSE),0)</f>
        <v>0</v>
      </c>
      <c r="M876" s="292">
        <f>IFERROR(VLOOKUP(B876,'تقرير المصروفات حسب الشهر'!$C$1270:$AD$1381,9,FALSE),0)</f>
        <v>0</v>
      </c>
      <c r="N876" s="31" t="e">
        <f>#REF!</f>
        <v>#REF!</v>
      </c>
      <c r="O876" s="37" t="e">
        <f t="shared" si="21"/>
        <v>#REF!</v>
      </c>
    </row>
    <row r="877" spans="2:15" ht="17.399999999999999">
      <c r="B877" s="42" t="s">
        <v>78</v>
      </c>
      <c r="C877" s="39">
        <f>'تقرير المصروفات حسب الشهر'!K62</f>
        <v>0</v>
      </c>
      <c r="D877" s="31" t="e">
        <f>#REF!</f>
        <v>#REF!</v>
      </c>
      <c r="E877" s="31" t="e">
        <f>#REF!</f>
        <v>#REF!</v>
      </c>
      <c r="F877" s="31" t="e">
        <f>#REF!</f>
        <v>#REF!</v>
      </c>
      <c r="G877" s="31" t="e">
        <f>#REF!</f>
        <v>#REF!</v>
      </c>
      <c r="H877" s="31" t="e">
        <f>#REF!</f>
        <v>#REF!</v>
      </c>
      <c r="I877" s="31">
        <f>'تقرير المصروفات حسب الشهر'!K815</f>
        <v>0</v>
      </c>
      <c r="J877" s="31">
        <f>'تقرير المصروفات حسب الشهر'!K942</f>
        <v>0</v>
      </c>
      <c r="K877" s="31">
        <f>'تقرير المصروفات حسب الشهر'!K1069</f>
        <v>0</v>
      </c>
      <c r="L877" s="292">
        <f>IFERROR(VLOOKUP(B877,'تقرير المصروفات حسب الشهر'!$C$1143:$AD$1254,9,FALSE),0)</f>
        <v>0</v>
      </c>
      <c r="M877" s="292">
        <f>IFERROR(VLOOKUP(B877,'تقرير المصروفات حسب الشهر'!$C$1270:$AD$1381,9,FALSE),0)</f>
        <v>0</v>
      </c>
      <c r="N877" s="31" t="e">
        <f>#REF!</f>
        <v>#REF!</v>
      </c>
      <c r="O877" s="37" t="e">
        <f t="shared" si="21"/>
        <v>#REF!</v>
      </c>
    </row>
    <row r="878" spans="2:15" ht="17.399999999999999">
      <c r="B878" s="42" t="s">
        <v>79</v>
      </c>
      <c r="C878" s="39">
        <f>'تقرير المصروفات حسب الشهر'!K63</f>
        <v>0</v>
      </c>
      <c r="D878" s="31" t="e">
        <f>#REF!</f>
        <v>#REF!</v>
      </c>
      <c r="E878" s="31" t="e">
        <f>#REF!</f>
        <v>#REF!</v>
      </c>
      <c r="F878" s="31" t="e">
        <f>#REF!</f>
        <v>#REF!</v>
      </c>
      <c r="G878" s="31" t="e">
        <f>#REF!</f>
        <v>#REF!</v>
      </c>
      <c r="H878" s="31" t="e">
        <f>#REF!</f>
        <v>#REF!</v>
      </c>
      <c r="I878" s="31">
        <f>'تقرير المصروفات حسب الشهر'!K816</f>
        <v>0</v>
      </c>
      <c r="J878" s="31">
        <f>'تقرير المصروفات حسب الشهر'!K943</f>
        <v>0</v>
      </c>
      <c r="K878" s="31">
        <f>'تقرير المصروفات حسب الشهر'!K1070</f>
        <v>0</v>
      </c>
      <c r="L878" s="292">
        <f>IFERROR(VLOOKUP(B878,'تقرير المصروفات حسب الشهر'!$C$1143:$AD$1254,9,FALSE),0)</f>
        <v>0</v>
      </c>
      <c r="M878" s="292">
        <f>IFERROR(VLOOKUP(B878,'تقرير المصروفات حسب الشهر'!$C$1270:$AD$1381,9,FALSE),0)</f>
        <v>0</v>
      </c>
      <c r="N878" s="31" t="e">
        <f>#REF!</f>
        <v>#REF!</v>
      </c>
      <c r="O878" s="37" t="e">
        <f t="shared" si="21"/>
        <v>#REF!</v>
      </c>
    </row>
    <row r="879" spans="2:15" ht="17.399999999999999">
      <c r="B879" s="42" t="s">
        <v>80</v>
      </c>
      <c r="C879" s="39">
        <f>'تقرير المصروفات حسب الشهر'!K64</f>
        <v>0</v>
      </c>
      <c r="D879" s="31" t="e">
        <f>#REF!</f>
        <v>#REF!</v>
      </c>
      <c r="E879" s="31" t="e">
        <f>#REF!</f>
        <v>#REF!</v>
      </c>
      <c r="F879" s="31" t="e">
        <f>#REF!</f>
        <v>#REF!</v>
      </c>
      <c r="G879" s="31" t="e">
        <f>#REF!</f>
        <v>#REF!</v>
      </c>
      <c r="H879" s="31" t="e">
        <f>#REF!</f>
        <v>#REF!</v>
      </c>
      <c r="I879" s="31">
        <f>'تقرير المصروفات حسب الشهر'!K817</f>
        <v>0</v>
      </c>
      <c r="J879" s="31">
        <f>'تقرير المصروفات حسب الشهر'!K944</f>
        <v>0</v>
      </c>
      <c r="K879" s="31">
        <f>'تقرير المصروفات حسب الشهر'!K1071</f>
        <v>0</v>
      </c>
      <c r="L879" s="292">
        <f>IFERROR(VLOOKUP(B879,'تقرير المصروفات حسب الشهر'!$C$1143:$AD$1254,9,FALSE),0)</f>
        <v>0</v>
      </c>
      <c r="M879" s="292">
        <f>IFERROR(VLOOKUP(B879,'تقرير المصروفات حسب الشهر'!$C$1270:$AD$1381,9,FALSE),0)</f>
        <v>0</v>
      </c>
      <c r="N879" s="31" t="e">
        <f>#REF!</f>
        <v>#REF!</v>
      </c>
      <c r="O879" s="37" t="e">
        <f t="shared" si="21"/>
        <v>#REF!</v>
      </c>
    </row>
    <row r="880" spans="2:15" ht="17.399999999999999">
      <c r="B880" s="42" t="s">
        <v>81</v>
      </c>
      <c r="C880" s="39">
        <f>'تقرير المصروفات حسب الشهر'!K65</f>
        <v>0</v>
      </c>
      <c r="D880" s="31" t="e">
        <f>#REF!</f>
        <v>#REF!</v>
      </c>
      <c r="E880" s="31" t="e">
        <f>#REF!</f>
        <v>#REF!</v>
      </c>
      <c r="F880" s="31" t="e">
        <f>#REF!</f>
        <v>#REF!</v>
      </c>
      <c r="G880" s="31" t="e">
        <f>#REF!</f>
        <v>#REF!</v>
      </c>
      <c r="H880" s="31" t="e">
        <f>#REF!</f>
        <v>#REF!</v>
      </c>
      <c r="I880" s="31">
        <f>'تقرير المصروفات حسب الشهر'!K818</f>
        <v>0</v>
      </c>
      <c r="J880" s="31">
        <f>'تقرير المصروفات حسب الشهر'!K945</f>
        <v>0</v>
      </c>
      <c r="K880" s="31">
        <f>'تقرير المصروفات حسب الشهر'!K1072</f>
        <v>0</v>
      </c>
      <c r="L880" s="292">
        <f>IFERROR(VLOOKUP(B880,'تقرير المصروفات حسب الشهر'!$C$1143:$AD$1254,9,FALSE),0)</f>
        <v>0</v>
      </c>
      <c r="M880" s="292">
        <f>IFERROR(VLOOKUP(B880,'تقرير المصروفات حسب الشهر'!$C$1270:$AD$1381,9,FALSE),0)</f>
        <v>0</v>
      </c>
      <c r="N880" s="31" t="e">
        <f>#REF!</f>
        <v>#REF!</v>
      </c>
      <c r="O880" s="37" t="e">
        <f t="shared" si="21"/>
        <v>#REF!</v>
      </c>
    </row>
    <row r="881" spans="2:15" ht="17.399999999999999">
      <c r="B881" s="42" t="s">
        <v>82</v>
      </c>
      <c r="C881" s="39">
        <f>'تقرير المصروفات حسب الشهر'!K66</f>
        <v>0</v>
      </c>
      <c r="D881" s="31" t="e">
        <f>#REF!</f>
        <v>#REF!</v>
      </c>
      <c r="E881" s="31" t="e">
        <f>#REF!</f>
        <v>#REF!</v>
      </c>
      <c r="F881" s="31" t="e">
        <f>#REF!</f>
        <v>#REF!</v>
      </c>
      <c r="G881" s="31" t="e">
        <f>#REF!</f>
        <v>#REF!</v>
      </c>
      <c r="H881" s="31" t="e">
        <f>#REF!</f>
        <v>#REF!</v>
      </c>
      <c r="I881" s="31">
        <f>'تقرير المصروفات حسب الشهر'!K819</f>
        <v>0</v>
      </c>
      <c r="J881" s="31">
        <f>'تقرير المصروفات حسب الشهر'!K946</f>
        <v>0</v>
      </c>
      <c r="K881" s="31">
        <f>'تقرير المصروفات حسب الشهر'!K1073</f>
        <v>0</v>
      </c>
      <c r="L881" s="292">
        <f>IFERROR(VLOOKUP(B881,'تقرير المصروفات حسب الشهر'!$C$1143:$AD$1254,9,FALSE),0)</f>
        <v>0</v>
      </c>
      <c r="M881" s="292">
        <f>IFERROR(VLOOKUP(B881,'تقرير المصروفات حسب الشهر'!$C$1270:$AD$1381,9,FALSE),0)</f>
        <v>0</v>
      </c>
      <c r="N881" s="31" t="e">
        <f>#REF!</f>
        <v>#REF!</v>
      </c>
      <c r="O881" s="37" t="e">
        <f t="shared" si="21"/>
        <v>#REF!</v>
      </c>
    </row>
    <row r="882" spans="2:15" ht="17.399999999999999">
      <c r="B882" s="42" t="s">
        <v>83</v>
      </c>
      <c r="C882" s="39">
        <f>'تقرير المصروفات حسب الشهر'!K67</f>
        <v>0</v>
      </c>
      <c r="D882" s="31" t="e">
        <f>#REF!</f>
        <v>#REF!</v>
      </c>
      <c r="E882" s="31" t="e">
        <f>#REF!</f>
        <v>#REF!</v>
      </c>
      <c r="F882" s="31" t="e">
        <f>#REF!</f>
        <v>#REF!</v>
      </c>
      <c r="G882" s="31" t="e">
        <f>#REF!</f>
        <v>#REF!</v>
      </c>
      <c r="H882" s="31" t="e">
        <f>#REF!</f>
        <v>#REF!</v>
      </c>
      <c r="I882" s="31">
        <f>'تقرير المصروفات حسب الشهر'!K820</f>
        <v>0</v>
      </c>
      <c r="J882" s="31">
        <f>'تقرير المصروفات حسب الشهر'!K947</f>
        <v>0</v>
      </c>
      <c r="K882" s="31">
        <f>'تقرير المصروفات حسب الشهر'!K1074</f>
        <v>0</v>
      </c>
      <c r="L882" s="292">
        <f>IFERROR(VLOOKUP(B882,'تقرير المصروفات حسب الشهر'!$C$1143:$AD$1254,9,FALSE),0)</f>
        <v>0</v>
      </c>
      <c r="M882" s="292">
        <f>IFERROR(VLOOKUP(B882,'تقرير المصروفات حسب الشهر'!$C$1270:$AD$1381,9,FALSE),0)</f>
        <v>0</v>
      </c>
      <c r="N882" s="31" t="e">
        <f>#REF!</f>
        <v>#REF!</v>
      </c>
      <c r="O882" s="37" t="e">
        <f t="shared" si="21"/>
        <v>#REF!</v>
      </c>
    </row>
    <row r="883" spans="2:15" ht="17.399999999999999">
      <c r="B883" s="42" t="s">
        <v>84</v>
      </c>
      <c r="C883" s="39">
        <f>'تقرير المصروفات حسب الشهر'!K68</f>
        <v>0</v>
      </c>
      <c r="D883" s="31" t="e">
        <f>#REF!</f>
        <v>#REF!</v>
      </c>
      <c r="E883" s="31" t="e">
        <f>#REF!</f>
        <v>#REF!</v>
      </c>
      <c r="F883" s="31" t="e">
        <f>#REF!</f>
        <v>#REF!</v>
      </c>
      <c r="G883" s="31" t="e">
        <f>#REF!</f>
        <v>#REF!</v>
      </c>
      <c r="H883" s="31" t="e">
        <f>#REF!</f>
        <v>#REF!</v>
      </c>
      <c r="I883" s="31">
        <f>'تقرير المصروفات حسب الشهر'!K821</f>
        <v>0</v>
      </c>
      <c r="J883" s="31">
        <f>'تقرير المصروفات حسب الشهر'!K948</f>
        <v>300</v>
      </c>
      <c r="K883" s="31">
        <f>'تقرير المصروفات حسب الشهر'!K1075</f>
        <v>200</v>
      </c>
      <c r="L883" s="292">
        <f>IFERROR(VLOOKUP(B883,'تقرير المصروفات حسب الشهر'!$C$1143:$AD$1254,9,FALSE),0)</f>
        <v>0</v>
      </c>
      <c r="M883" s="292">
        <f>IFERROR(VLOOKUP(B883,'تقرير المصروفات حسب الشهر'!$C$1270:$AD$1381,9,FALSE),0)</f>
        <v>0</v>
      </c>
      <c r="N883" s="31" t="e">
        <f>#REF!</f>
        <v>#REF!</v>
      </c>
      <c r="O883" s="37" t="e">
        <f t="shared" si="21"/>
        <v>#REF!</v>
      </c>
    </row>
    <row r="884" spans="2:15" ht="17.399999999999999">
      <c r="B884" s="42" t="s">
        <v>85</v>
      </c>
      <c r="C884" s="39">
        <f>'تقرير المصروفات حسب الشهر'!K69</f>
        <v>316</v>
      </c>
      <c r="D884" s="31" t="e">
        <f>#REF!</f>
        <v>#REF!</v>
      </c>
      <c r="E884" s="31" t="e">
        <f>#REF!</f>
        <v>#REF!</v>
      </c>
      <c r="F884" s="31" t="e">
        <f>#REF!</f>
        <v>#REF!</v>
      </c>
      <c r="G884" s="31" t="e">
        <f>#REF!</f>
        <v>#REF!</v>
      </c>
      <c r="H884" s="31" t="e">
        <f>#REF!</f>
        <v>#REF!</v>
      </c>
      <c r="I884" s="31">
        <f>'تقرير المصروفات حسب الشهر'!K822</f>
        <v>0</v>
      </c>
      <c r="J884" s="31">
        <f>'تقرير المصروفات حسب الشهر'!K949</f>
        <v>0</v>
      </c>
      <c r="K884" s="31">
        <f>'تقرير المصروفات حسب الشهر'!K1076</f>
        <v>0</v>
      </c>
      <c r="L884" s="292">
        <f>IFERROR(VLOOKUP(B884,'تقرير المصروفات حسب الشهر'!$C$1143:$AD$1254,9,FALSE),0)</f>
        <v>200</v>
      </c>
      <c r="M884" s="292">
        <f>IFERROR(VLOOKUP(B884,'تقرير المصروفات حسب الشهر'!$C$1270:$AD$1381,9,FALSE),0)</f>
        <v>200</v>
      </c>
      <c r="N884" s="31" t="e">
        <f>#REF!</f>
        <v>#REF!</v>
      </c>
      <c r="O884" s="37" t="e">
        <f t="shared" si="21"/>
        <v>#REF!</v>
      </c>
    </row>
    <row r="885" spans="2:15" ht="17.399999999999999">
      <c r="B885" s="42" t="s">
        <v>86</v>
      </c>
      <c r="C885" s="39">
        <f>'تقرير المصروفات حسب الشهر'!K70</f>
        <v>0</v>
      </c>
      <c r="D885" s="31" t="e">
        <f>#REF!</f>
        <v>#REF!</v>
      </c>
      <c r="E885" s="31" t="e">
        <f>#REF!</f>
        <v>#REF!</v>
      </c>
      <c r="F885" s="31" t="e">
        <f>#REF!</f>
        <v>#REF!</v>
      </c>
      <c r="G885" s="31" t="e">
        <f>#REF!</f>
        <v>#REF!</v>
      </c>
      <c r="H885" s="31" t="e">
        <f>#REF!</f>
        <v>#REF!</v>
      </c>
      <c r="I885" s="31">
        <f>'تقرير المصروفات حسب الشهر'!K823</f>
        <v>0</v>
      </c>
      <c r="J885" s="31">
        <f>'تقرير المصروفات حسب الشهر'!K950</f>
        <v>0</v>
      </c>
      <c r="K885" s="31">
        <f>'تقرير المصروفات حسب الشهر'!K1077</f>
        <v>0</v>
      </c>
      <c r="L885" s="292">
        <f>IFERROR(VLOOKUP(B885,'تقرير المصروفات حسب الشهر'!$C$1143:$AD$1254,9,FALSE),0)</f>
        <v>0</v>
      </c>
      <c r="M885" s="292">
        <f>IFERROR(VLOOKUP(B885,'تقرير المصروفات حسب الشهر'!$C$1270:$AD$1381,9,FALSE),0)</f>
        <v>0</v>
      </c>
      <c r="N885" s="31" t="e">
        <f>#REF!</f>
        <v>#REF!</v>
      </c>
      <c r="O885" s="37" t="e">
        <f t="shared" si="21"/>
        <v>#REF!</v>
      </c>
    </row>
    <row r="886" spans="2:15" ht="17.399999999999999">
      <c r="B886" s="42" t="s">
        <v>87</v>
      </c>
      <c r="C886" s="39">
        <f>'تقرير المصروفات حسب الشهر'!K71</f>
        <v>0</v>
      </c>
      <c r="D886" s="31" t="e">
        <f>#REF!</f>
        <v>#REF!</v>
      </c>
      <c r="E886" s="31" t="e">
        <f>#REF!</f>
        <v>#REF!</v>
      </c>
      <c r="F886" s="31" t="e">
        <f>#REF!</f>
        <v>#REF!</v>
      </c>
      <c r="G886" s="31" t="e">
        <f>#REF!</f>
        <v>#REF!</v>
      </c>
      <c r="H886" s="31" t="e">
        <f>#REF!</f>
        <v>#REF!</v>
      </c>
      <c r="I886" s="31">
        <f>'تقرير المصروفات حسب الشهر'!K824</f>
        <v>0</v>
      </c>
      <c r="J886" s="31">
        <f>'تقرير المصروفات حسب الشهر'!K951</f>
        <v>0</v>
      </c>
      <c r="K886" s="31">
        <f>'تقرير المصروفات حسب الشهر'!K1078</f>
        <v>0</v>
      </c>
      <c r="L886" s="292">
        <f>IFERROR(VLOOKUP(B886,'تقرير المصروفات حسب الشهر'!$C$1143:$AD$1254,9,FALSE),0)</f>
        <v>0</v>
      </c>
      <c r="M886" s="292">
        <f>IFERROR(VLOOKUP(B886,'تقرير المصروفات حسب الشهر'!$C$1270:$AD$1381,9,FALSE),0)</f>
        <v>0</v>
      </c>
      <c r="N886" s="31" t="e">
        <f>#REF!</f>
        <v>#REF!</v>
      </c>
      <c r="O886" s="37" t="e">
        <f t="shared" si="21"/>
        <v>#REF!</v>
      </c>
    </row>
    <row r="887" spans="2:15" ht="17.399999999999999">
      <c r="B887" s="42" t="s">
        <v>88</v>
      </c>
      <c r="C887" s="39">
        <f>'تقرير المصروفات حسب الشهر'!K72</f>
        <v>0</v>
      </c>
      <c r="D887" s="31" t="e">
        <f>#REF!</f>
        <v>#REF!</v>
      </c>
      <c r="E887" s="31" t="e">
        <f>#REF!</f>
        <v>#REF!</v>
      </c>
      <c r="F887" s="31" t="e">
        <f>#REF!</f>
        <v>#REF!</v>
      </c>
      <c r="G887" s="31" t="e">
        <f>#REF!</f>
        <v>#REF!</v>
      </c>
      <c r="H887" s="31" t="e">
        <f>#REF!</f>
        <v>#REF!</v>
      </c>
      <c r="I887" s="31">
        <f>'تقرير المصروفات حسب الشهر'!K825</f>
        <v>0</v>
      </c>
      <c r="J887" s="31">
        <f>'تقرير المصروفات حسب الشهر'!K952</f>
        <v>0</v>
      </c>
      <c r="K887" s="31">
        <f>'تقرير المصروفات حسب الشهر'!K1079</f>
        <v>0</v>
      </c>
      <c r="L887" s="292">
        <f>IFERROR(VLOOKUP(B887,'تقرير المصروفات حسب الشهر'!$C$1143:$AD$1254,9,FALSE),0)</f>
        <v>0</v>
      </c>
      <c r="M887" s="292">
        <f>IFERROR(VLOOKUP(B887,'تقرير المصروفات حسب الشهر'!$C$1270:$AD$1381,9,FALSE),0)</f>
        <v>0</v>
      </c>
      <c r="N887" s="31" t="e">
        <f>#REF!</f>
        <v>#REF!</v>
      </c>
      <c r="O887" s="37" t="e">
        <f t="shared" si="21"/>
        <v>#REF!</v>
      </c>
    </row>
    <row r="888" spans="2:15" ht="17.399999999999999">
      <c r="B888" s="42" t="s">
        <v>89</v>
      </c>
      <c r="C888" s="39">
        <f>'تقرير المصروفات حسب الشهر'!K73</f>
        <v>0</v>
      </c>
      <c r="D888" s="31" t="e">
        <f>#REF!</f>
        <v>#REF!</v>
      </c>
      <c r="E888" s="31" t="e">
        <f>#REF!</f>
        <v>#REF!</v>
      </c>
      <c r="F888" s="31" t="e">
        <f>#REF!</f>
        <v>#REF!</v>
      </c>
      <c r="G888" s="31" t="e">
        <f>#REF!</f>
        <v>#REF!</v>
      </c>
      <c r="H888" s="31" t="e">
        <f>#REF!</f>
        <v>#REF!</v>
      </c>
      <c r="I888" s="31">
        <f>'تقرير المصروفات حسب الشهر'!K826</f>
        <v>979</v>
      </c>
      <c r="J888" s="31">
        <f>'تقرير المصروفات حسب الشهر'!K953</f>
        <v>0</v>
      </c>
      <c r="K888" s="31">
        <f>'تقرير المصروفات حسب الشهر'!K1080</f>
        <v>0</v>
      </c>
      <c r="L888" s="292">
        <f>IFERROR(VLOOKUP(B888,'تقرير المصروفات حسب الشهر'!$C$1143:$AD$1254,9,FALSE),0)</f>
        <v>0</v>
      </c>
      <c r="M888" s="292">
        <f>IFERROR(VLOOKUP(B888,'تقرير المصروفات حسب الشهر'!$C$1270:$AD$1381,9,FALSE),0)</f>
        <v>0</v>
      </c>
      <c r="N888" s="31" t="e">
        <f>#REF!</f>
        <v>#REF!</v>
      </c>
      <c r="O888" s="37" t="e">
        <f t="shared" si="21"/>
        <v>#REF!</v>
      </c>
    </row>
    <row r="889" spans="2:15" ht="17.399999999999999">
      <c r="B889" s="42" t="s">
        <v>33</v>
      </c>
      <c r="C889" s="39">
        <f>'تقرير المصروفات حسب الشهر'!K74</f>
        <v>0</v>
      </c>
      <c r="D889" s="31" t="e">
        <f>#REF!</f>
        <v>#REF!</v>
      </c>
      <c r="E889" s="31" t="e">
        <f>#REF!</f>
        <v>#REF!</v>
      </c>
      <c r="F889" s="31" t="e">
        <f>#REF!</f>
        <v>#REF!</v>
      </c>
      <c r="G889" s="31" t="e">
        <f>#REF!</f>
        <v>#REF!</v>
      </c>
      <c r="H889" s="31" t="e">
        <f>#REF!</f>
        <v>#REF!</v>
      </c>
      <c r="I889" s="31">
        <f>'تقرير المصروفات حسب الشهر'!K827</f>
        <v>0</v>
      </c>
      <c r="J889" s="31">
        <f>'تقرير المصروفات حسب الشهر'!K954</f>
        <v>0</v>
      </c>
      <c r="K889" s="31">
        <f>'تقرير المصروفات حسب الشهر'!K1081</f>
        <v>0</v>
      </c>
      <c r="L889" s="292">
        <f>IFERROR(VLOOKUP(B889,'تقرير المصروفات حسب الشهر'!$C$1143:$AD$1254,9,FALSE),0)</f>
        <v>1075.76</v>
      </c>
      <c r="M889" s="292">
        <f>IFERROR(VLOOKUP(B889,'تقرير المصروفات حسب الشهر'!$C$1270:$AD$1381,9,FALSE),0)</f>
        <v>2207.5700000000002</v>
      </c>
      <c r="N889" s="31" t="e">
        <f>#REF!</f>
        <v>#REF!</v>
      </c>
      <c r="O889" s="37" t="e">
        <f t="shared" si="21"/>
        <v>#REF!</v>
      </c>
    </row>
    <row r="890" spans="2:15" ht="17.399999999999999">
      <c r="B890" s="42" t="s">
        <v>90</v>
      </c>
      <c r="C890" s="39">
        <f>'تقرير المصروفات حسب الشهر'!K75</f>
        <v>0</v>
      </c>
      <c r="D890" s="31" t="e">
        <f>#REF!</f>
        <v>#REF!</v>
      </c>
      <c r="E890" s="31" t="e">
        <f>#REF!</f>
        <v>#REF!</v>
      </c>
      <c r="F890" s="31" t="e">
        <f>#REF!</f>
        <v>#REF!</v>
      </c>
      <c r="G890" s="31" t="e">
        <f>#REF!</f>
        <v>#REF!</v>
      </c>
      <c r="H890" s="31" t="e">
        <f>#REF!</f>
        <v>#REF!</v>
      </c>
      <c r="I890" s="31">
        <f>'تقرير المصروفات حسب الشهر'!K828</f>
        <v>0</v>
      </c>
      <c r="J890" s="31">
        <f>'تقرير المصروفات حسب الشهر'!K955</f>
        <v>0</v>
      </c>
      <c r="K890" s="31">
        <f>'تقرير المصروفات حسب الشهر'!K1082</f>
        <v>0</v>
      </c>
      <c r="L890" s="292">
        <f>IFERROR(VLOOKUP(B890,'تقرير المصروفات حسب الشهر'!$C$1143:$AD$1254,9,FALSE),0)</f>
        <v>0</v>
      </c>
      <c r="M890" s="292">
        <f>IFERROR(VLOOKUP(B890,'تقرير المصروفات حسب الشهر'!$C$1270:$AD$1381,9,FALSE),0)</f>
        <v>0</v>
      </c>
      <c r="N890" s="31" t="e">
        <f>#REF!</f>
        <v>#REF!</v>
      </c>
      <c r="O890" s="37" t="e">
        <f t="shared" ref="O890:O933" si="22">SUM(C890:N890)</f>
        <v>#REF!</v>
      </c>
    </row>
    <row r="891" spans="2:15" ht="17.399999999999999">
      <c r="B891" s="42" t="s">
        <v>91</v>
      </c>
      <c r="C891" s="39">
        <f>'تقرير المصروفات حسب الشهر'!K76</f>
        <v>0</v>
      </c>
      <c r="D891" s="31" t="e">
        <f>#REF!</f>
        <v>#REF!</v>
      </c>
      <c r="E891" s="31" t="e">
        <f>#REF!</f>
        <v>#REF!</v>
      </c>
      <c r="F891" s="31" t="e">
        <f>#REF!</f>
        <v>#REF!</v>
      </c>
      <c r="G891" s="31" t="e">
        <f>#REF!</f>
        <v>#REF!</v>
      </c>
      <c r="H891" s="31" t="e">
        <f>#REF!</f>
        <v>#REF!</v>
      </c>
      <c r="I891" s="31">
        <f>'تقرير المصروفات حسب الشهر'!K829</f>
        <v>0</v>
      </c>
      <c r="J891" s="31">
        <f>'تقرير المصروفات حسب الشهر'!K956</f>
        <v>0</v>
      </c>
      <c r="K891" s="31">
        <f>'تقرير المصروفات حسب الشهر'!K1083</f>
        <v>0</v>
      </c>
      <c r="L891" s="292">
        <f>IFERROR(VLOOKUP(B891,'تقرير المصروفات حسب الشهر'!$C$1143:$AD$1254,9,FALSE),0)</f>
        <v>0</v>
      </c>
      <c r="M891" s="292">
        <f>IFERROR(VLOOKUP(B891,'تقرير المصروفات حسب الشهر'!$C$1270:$AD$1381,9,FALSE),0)</f>
        <v>0</v>
      </c>
      <c r="N891" s="31" t="e">
        <f>#REF!</f>
        <v>#REF!</v>
      </c>
      <c r="O891" s="37" t="e">
        <f t="shared" si="22"/>
        <v>#REF!</v>
      </c>
    </row>
    <row r="892" spans="2:15" ht="17.399999999999999">
      <c r="B892" s="42" t="s">
        <v>92</v>
      </c>
      <c r="C892" s="39">
        <f>'تقرير المصروفات حسب الشهر'!K77</f>
        <v>0</v>
      </c>
      <c r="D892" s="31" t="e">
        <f>#REF!</f>
        <v>#REF!</v>
      </c>
      <c r="E892" s="31" t="e">
        <f>#REF!</f>
        <v>#REF!</v>
      </c>
      <c r="F892" s="31" t="e">
        <f>#REF!</f>
        <v>#REF!</v>
      </c>
      <c r="G892" s="31" t="e">
        <f>#REF!</f>
        <v>#REF!</v>
      </c>
      <c r="H892" s="31" t="e">
        <f>#REF!</f>
        <v>#REF!</v>
      </c>
      <c r="I892" s="31">
        <f>'تقرير المصروفات حسب الشهر'!K830</f>
        <v>0</v>
      </c>
      <c r="J892" s="31">
        <f>'تقرير المصروفات حسب الشهر'!K957</f>
        <v>0</v>
      </c>
      <c r="K892" s="31">
        <f>'تقرير المصروفات حسب الشهر'!K1084</f>
        <v>0</v>
      </c>
      <c r="L892" s="292">
        <f>IFERROR(VLOOKUP(B892,'تقرير المصروفات حسب الشهر'!$C$1143:$AD$1254,9,FALSE),0)</f>
        <v>0</v>
      </c>
      <c r="M892" s="292">
        <f>IFERROR(VLOOKUP(B892,'تقرير المصروفات حسب الشهر'!$C$1270:$AD$1381,9,FALSE),0)</f>
        <v>0</v>
      </c>
      <c r="N892" s="31" t="e">
        <f>#REF!</f>
        <v>#REF!</v>
      </c>
      <c r="O892" s="37" t="e">
        <f t="shared" si="22"/>
        <v>#REF!</v>
      </c>
    </row>
    <row r="893" spans="2:15" ht="17.399999999999999">
      <c r="B893" s="42" t="s">
        <v>93</v>
      </c>
      <c r="C893" s="39">
        <f>'تقرير المصروفات حسب الشهر'!K78</f>
        <v>0</v>
      </c>
      <c r="D893" s="31" t="e">
        <f>#REF!</f>
        <v>#REF!</v>
      </c>
      <c r="E893" s="31" t="e">
        <f>#REF!</f>
        <v>#REF!</v>
      </c>
      <c r="F893" s="31" t="e">
        <f>#REF!</f>
        <v>#REF!</v>
      </c>
      <c r="G893" s="31" t="e">
        <f>#REF!</f>
        <v>#REF!</v>
      </c>
      <c r="H893" s="31" t="e">
        <f>#REF!</f>
        <v>#REF!</v>
      </c>
      <c r="I893" s="31">
        <f>'تقرير المصروفات حسب الشهر'!K831</f>
        <v>0</v>
      </c>
      <c r="J893" s="31">
        <f>'تقرير المصروفات حسب الشهر'!K958</f>
        <v>0</v>
      </c>
      <c r="K893" s="31">
        <f>'تقرير المصروفات حسب الشهر'!K1085</f>
        <v>0</v>
      </c>
      <c r="L893" s="292">
        <f>IFERROR(VLOOKUP(B893,'تقرير المصروفات حسب الشهر'!$C$1143:$AD$1254,9,FALSE),0)</f>
        <v>0</v>
      </c>
      <c r="M893" s="292">
        <f>IFERROR(VLOOKUP(B893,'تقرير المصروفات حسب الشهر'!$C$1270:$AD$1381,9,FALSE),0)</f>
        <v>0</v>
      </c>
      <c r="N893" s="31" t="e">
        <f>#REF!</f>
        <v>#REF!</v>
      </c>
      <c r="O893" s="37" t="e">
        <f t="shared" si="22"/>
        <v>#REF!</v>
      </c>
    </row>
    <row r="894" spans="2:15" ht="17.399999999999999">
      <c r="B894" s="42" t="s">
        <v>94</v>
      </c>
      <c r="C894" s="39">
        <f>'تقرير المصروفات حسب الشهر'!K79</f>
        <v>0</v>
      </c>
      <c r="D894" s="31" t="e">
        <f>#REF!</f>
        <v>#REF!</v>
      </c>
      <c r="E894" s="31" t="e">
        <f>#REF!</f>
        <v>#REF!</v>
      </c>
      <c r="F894" s="31" t="e">
        <f>#REF!</f>
        <v>#REF!</v>
      </c>
      <c r="G894" s="31" t="e">
        <f>#REF!</f>
        <v>#REF!</v>
      </c>
      <c r="H894" s="31" t="e">
        <f>#REF!</f>
        <v>#REF!</v>
      </c>
      <c r="I894" s="31">
        <f>'تقرير المصروفات حسب الشهر'!K832</f>
        <v>0</v>
      </c>
      <c r="J894" s="31">
        <f>'تقرير المصروفات حسب الشهر'!K959</f>
        <v>0</v>
      </c>
      <c r="K894" s="31">
        <f>'تقرير المصروفات حسب الشهر'!K1086</f>
        <v>0</v>
      </c>
      <c r="L894" s="292">
        <f>IFERROR(VLOOKUP(B894,'تقرير المصروفات حسب الشهر'!$C$1143:$AD$1254,9,FALSE),0)</f>
        <v>0</v>
      </c>
      <c r="M894" s="292">
        <f>IFERROR(VLOOKUP(B894,'تقرير المصروفات حسب الشهر'!$C$1270:$AD$1381,9,FALSE),0)</f>
        <v>0</v>
      </c>
      <c r="N894" s="31" t="e">
        <f>#REF!</f>
        <v>#REF!</v>
      </c>
      <c r="O894" s="37" t="e">
        <f t="shared" si="22"/>
        <v>#REF!</v>
      </c>
    </row>
    <row r="895" spans="2:15" ht="17.399999999999999">
      <c r="B895" s="42" t="s">
        <v>95</v>
      </c>
      <c r="C895" s="39">
        <f>'تقرير المصروفات حسب الشهر'!K80</f>
        <v>0</v>
      </c>
      <c r="D895" s="31" t="e">
        <f>#REF!</f>
        <v>#REF!</v>
      </c>
      <c r="E895" s="31" t="e">
        <f>#REF!</f>
        <v>#REF!</v>
      </c>
      <c r="F895" s="31" t="e">
        <f>#REF!</f>
        <v>#REF!</v>
      </c>
      <c r="G895" s="31" t="e">
        <f>#REF!</f>
        <v>#REF!</v>
      </c>
      <c r="H895" s="31" t="e">
        <f>#REF!</f>
        <v>#REF!</v>
      </c>
      <c r="I895" s="31">
        <f>'تقرير المصروفات حسب الشهر'!K833</f>
        <v>688</v>
      </c>
      <c r="J895" s="31">
        <f>'تقرير المصروفات حسب الشهر'!K960</f>
        <v>0</v>
      </c>
      <c r="K895" s="31">
        <f>'تقرير المصروفات حسب الشهر'!K1087</f>
        <v>0</v>
      </c>
      <c r="L895" s="292">
        <f>IFERROR(VLOOKUP(B895,'تقرير المصروفات حسب الشهر'!$C$1143:$AD$1254,9,FALSE),0)</f>
        <v>0</v>
      </c>
      <c r="M895" s="292">
        <f>IFERROR(VLOOKUP(B895,'تقرير المصروفات حسب الشهر'!$C$1270:$AD$1381,9,FALSE),0)</f>
        <v>0</v>
      </c>
      <c r="N895" s="31" t="e">
        <f>#REF!</f>
        <v>#REF!</v>
      </c>
      <c r="O895" s="37" t="e">
        <f t="shared" si="22"/>
        <v>#REF!</v>
      </c>
    </row>
    <row r="896" spans="2:15" ht="17.399999999999999">
      <c r="B896" s="42" t="s">
        <v>96</v>
      </c>
      <c r="C896" s="39">
        <f>'تقرير المصروفات حسب الشهر'!K81</f>
        <v>0</v>
      </c>
      <c r="D896" s="31" t="e">
        <f>#REF!</f>
        <v>#REF!</v>
      </c>
      <c r="E896" s="31" t="e">
        <f>#REF!</f>
        <v>#REF!</v>
      </c>
      <c r="F896" s="31" t="e">
        <f>#REF!</f>
        <v>#REF!</v>
      </c>
      <c r="G896" s="31" t="e">
        <f>#REF!</f>
        <v>#REF!</v>
      </c>
      <c r="H896" s="31" t="e">
        <f>#REF!</f>
        <v>#REF!</v>
      </c>
      <c r="I896" s="31">
        <f>'تقرير المصروفات حسب الشهر'!K834</f>
        <v>400.96</v>
      </c>
      <c r="J896" s="31">
        <f>'تقرير المصروفات حسب الشهر'!K961</f>
        <v>400.96</v>
      </c>
      <c r="K896" s="31">
        <f>'تقرير المصروفات حسب الشهر'!K1088</f>
        <v>400.96</v>
      </c>
      <c r="L896" s="292">
        <f>IFERROR(VLOOKUP(B896,'تقرير المصروفات حسب الشهر'!$C$1143:$AD$1254,9,FALSE),0)</f>
        <v>0</v>
      </c>
      <c r="M896" s="292">
        <f>IFERROR(VLOOKUP(B896,'تقرير المصروفات حسب الشهر'!$C$1270:$AD$1381,9,FALSE),0)</f>
        <v>0</v>
      </c>
      <c r="N896" s="31" t="e">
        <f>#REF!</f>
        <v>#REF!</v>
      </c>
      <c r="O896" s="37" t="e">
        <f t="shared" si="22"/>
        <v>#REF!</v>
      </c>
    </row>
    <row r="897" spans="2:15" ht="17.399999999999999">
      <c r="B897" s="42" t="s">
        <v>97</v>
      </c>
      <c r="C897" s="39">
        <f>'تقرير المصروفات حسب الشهر'!K82</f>
        <v>296.31</v>
      </c>
      <c r="D897" s="31" t="e">
        <f>#REF!</f>
        <v>#REF!</v>
      </c>
      <c r="E897" s="31" t="e">
        <f>#REF!</f>
        <v>#REF!</v>
      </c>
      <c r="F897" s="31" t="e">
        <f>#REF!</f>
        <v>#REF!</v>
      </c>
      <c r="G897" s="31" t="e">
        <f>#REF!</f>
        <v>#REF!</v>
      </c>
      <c r="H897" s="31" t="e">
        <f>#REF!</f>
        <v>#REF!</v>
      </c>
      <c r="I897" s="31">
        <f>'تقرير المصروفات حسب الشهر'!K835</f>
        <v>0</v>
      </c>
      <c r="J897" s="31">
        <f>'تقرير المصروفات حسب الشهر'!K962</f>
        <v>0</v>
      </c>
      <c r="K897" s="31">
        <f>'تقرير المصروفات حسب الشهر'!K1089</f>
        <v>2130</v>
      </c>
      <c r="L897" s="292">
        <f>IFERROR(VLOOKUP(B897,'تقرير المصروفات حسب الشهر'!$C$1143:$AD$1254,9,FALSE),0)</f>
        <v>400.96</v>
      </c>
      <c r="M897" s="292">
        <f>IFERROR(VLOOKUP(B897,'تقرير المصروفات حسب الشهر'!$C$1270:$AD$1381,9,FALSE),0)</f>
        <v>400.96</v>
      </c>
      <c r="N897" s="31" t="e">
        <f>#REF!</f>
        <v>#REF!</v>
      </c>
      <c r="O897" s="37" t="e">
        <f t="shared" si="22"/>
        <v>#REF!</v>
      </c>
    </row>
    <row r="898" spans="2:15" ht="17.399999999999999">
      <c r="B898" s="42" t="s">
        <v>192</v>
      </c>
      <c r="C898" s="39">
        <f>'تقرير المصروفات حسب الشهر'!K83</f>
        <v>0</v>
      </c>
      <c r="D898" s="31" t="e">
        <f>#REF!</f>
        <v>#REF!</v>
      </c>
      <c r="E898" s="31" t="e">
        <f>#REF!</f>
        <v>#REF!</v>
      </c>
      <c r="F898" s="31" t="e">
        <f>#REF!</f>
        <v>#REF!</v>
      </c>
      <c r="G898" s="31" t="e">
        <f>#REF!</f>
        <v>#REF!</v>
      </c>
      <c r="H898" s="31" t="e">
        <f>#REF!</f>
        <v>#REF!</v>
      </c>
      <c r="I898" s="31">
        <f>'تقرير المصروفات حسب الشهر'!K836</f>
        <v>0</v>
      </c>
      <c r="J898" s="31">
        <f>'تقرير المصروفات حسب الشهر'!K963</f>
        <v>0</v>
      </c>
      <c r="K898" s="31">
        <f>'تقرير المصروفات حسب الشهر'!K1090</f>
        <v>0</v>
      </c>
      <c r="L898" s="292">
        <f>IFERROR(VLOOKUP(B898,'تقرير المصروفات حسب الشهر'!$C$1143:$AD$1254,9,FALSE),0)</f>
        <v>1065</v>
      </c>
      <c r="M898" s="292">
        <f>IFERROR(VLOOKUP(B898,'تقرير المصروفات حسب الشهر'!$C$1270:$AD$1381,9,FALSE),0)</f>
        <v>1065</v>
      </c>
      <c r="N898" s="31" t="e">
        <f>#REF!</f>
        <v>#REF!</v>
      </c>
      <c r="O898" s="37" t="e">
        <f t="shared" si="22"/>
        <v>#REF!</v>
      </c>
    </row>
    <row r="899" spans="2:15" ht="17.399999999999999">
      <c r="B899" s="42" t="s">
        <v>98</v>
      </c>
      <c r="C899" s="39">
        <f>'تقرير المصروفات حسب الشهر'!K84</f>
        <v>0</v>
      </c>
      <c r="D899" s="31" t="e">
        <f>#REF!</f>
        <v>#REF!</v>
      </c>
      <c r="E899" s="31" t="e">
        <f>#REF!</f>
        <v>#REF!</v>
      </c>
      <c r="F899" s="31" t="e">
        <f>#REF!</f>
        <v>#REF!</v>
      </c>
      <c r="G899" s="31" t="e">
        <f>#REF!</f>
        <v>#REF!</v>
      </c>
      <c r="H899" s="31" t="e">
        <f>#REF!</f>
        <v>#REF!</v>
      </c>
      <c r="I899" s="31">
        <f>'تقرير المصروفات حسب الشهر'!K837</f>
        <v>0</v>
      </c>
      <c r="J899" s="31">
        <f>'تقرير المصروفات حسب الشهر'!K964</f>
        <v>0</v>
      </c>
      <c r="K899" s="31">
        <f>'تقرير المصروفات حسب الشهر'!K1091</f>
        <v>0</v>
      </c>
      <c r="L899" s="292">
        <f>IFERROR(VLOOKUP(B899,'تقرير المصروفات حسب الشهر'!$C$1143:$AD$1254,9,FALSE),0)</f>
        <v>0</v>
      </c>
      <c r="M899" s="292">
        <f>IFERROR(VLOOKUP(B899,'تقرير المصروفات حسب الشهر'!$C$1270:$AD$1381,9,FALSE),0)</f>
        <v>0</v>
      </c>
      <c r="N899" s="31" t="e">
        <f>#REF!</f>
        <v>#REF!</v>
      </c>
      <c r="O899" s="37" t="e">
        <f t="shared" si="22"/>
        <v>#REF!</v>
      </c>
    </row>
    <row r="900" spans="2:15" ht="17.399999999999999">
      <c r="B900" s="42" t="s">
        <v>99</v>
      </c>
      <c r="C900" s="39">
        <f>'تقرير المصروفات حسب الشهر'!K85</f>
        <v>0</v>
      </c>
      <c r="D900" s="31" t="e">
        <f>#REF!</f>
        <v>#REF!</v>
      </c>
      <c r="E900" s="31" t="e">
        <f>#REF!</f>
        <v>#REF!</v>
      </c>
      <c r="F900" s="31" t="e">
        <f>#REF!</f>
        <v>#REF!</v>
      </c>
      <c r="G900" s="31" t="e">
        <f>#REF!</f>
        <v>#REF!</v>
      </c>
      <c r="H900" s="31" t="e">
        <f>#REF!</f>
        <v>#REF!</v>
      </c>
      <c r="I900" s="31">
        <f>'تقرير المصروفات حسب الشهر'!K838</f>
        <v>0</v>
      </c>
      <c r="J900" s="31">
        <f>'تقرير المصروفات حسب الشهر'!K965</f>
        <v>0</v>
      </c>
      <c r="K900" s="31">
        <f>'تقرير المصروفات حسب الشهر'!K1092</f>
        <v>0</v>
      </c>
      <c r="L900" s="292">
        <f>IFERROR(VLOOKUP(B900,'تقرير المصروفات حسب الشهر'!$C$1143:$AD$1254,9,FALSE),0)</f>
        <v>0</v>
      </c>
      <c r="M900" s="292">
        <f>IFERROR(VLOOKUP(B900,'تقرير المصروفات حسب الشهر'!$C$1270:$AD$1381,9,FALSE),0)</f>
        <v>0</v>
      </c>
      <c r="N900" s="31" t="e">
        <f>#REF!</f>
        <v>#REF!</v>
      </c>
      <c r="O900" s="37" t="e">
        <f t="shared" si="22"/>
        <v>#REF!</v>
      </c>
    </row>
    <row r="901" spans="2:15" ht="17.399999999999999">
      <c r="B901" s="42" t="s">
        <v>100</v>
      </c>
      <c r="C901" s="39">
        <f>'تقرير المصروفات حسب الشهر'!K86</f>
        <v>0</v>
      </c>
      <c r="D901" s="31" t="e">
        <f>#REF!</f>
        <v>#REF!</v>
      </c>
      <c r="E901" s="31" t="e">
        <f>#REF!</f>
        <v>#REF!</v>
      </c>
      <c r="F901" s="31" t="e">
        <f>#REF!</f>
        <v>#REF!</v>
      </c>
      <c r="G901" s="31" t="e">
        <f>#REF!</f>
        <v>#REF!</v>
      </c>
      <c r="H901" s="31" t="e">
        <f>#REF!</f>
        <v>#REF!</v>
      </c>
      <c r="I901" s="31">
        <f>'تقرير المصروفات حسب الشهر'!K839</f>
        <v>0</v>
      </c>
      <c r="J901" s="31">
        <f>'تقرير المصروفات حسب الشهر'!K966</f>
        <v>0</v>
      </c>
      <c r="K901" s="31">
        <f>'تقرير المصروفات حسب الشهر'!K1093</f>
        <v>0</v>
      </c>
      <c r="L901" s="292">
        <f>IFERROR(VLOOKUP(B901,'تقرير المصروفات حسب الشهر'!$C$1143:$AD$1254,9,FALSE),0)</f>
        <v>0</v>
      </c>
      <c r="M901" s="292">
        <f>IFERROR(VLOOKUP(B901,'تقرير المصروفات حسب الشهر'!$C$1270:$AD$1381,9,FALSE),0)</f>
        <v>0</v>
      </c>
      <c r="N901" s="31" t="e">
        <f>#REF!</f>
        <v>#REF!</v>
      </c>
      <c r="O901" s="37" t="e">
        <f t="shared" si="22"/>
        <v>#REF!</v>
      </c>
    </row>
    <row r="902" spans="2:15" ht="17.399999999999999">
      <c r="B902" s="42" t="s">
        <v>101</v>
      </c>
      <c r="C902" s="39">
        <f>'تقرير المصروفات حسب الشهر'!K87</f>
        <v>0</v>
      </c>
      <c r="D902" s="31" t="e">
        <f>#REF!</f>
        <v>#REF!</v>
      </c>
      <c r="E902" s="31" t="e">
        <f>#REF!</f>
        <v>#REF!</v>
      </c>
      <c r="F902" s="31" t="e">
        <f>#REF!</f>
        <v>#REF!</v>
      </c>
      <c r="G902" s="31" t="e">
        <f>#REF!</f>
        <v>#REF!</v>
      </c>
      <c r="H902" s="31" t="e">
        <f>#REF!</f>
        <v>#REF!</v>
      </c>
      <c r="I902" s="31">
        <f>'تقرير المصروفات حسب الشهر'!K840</f>
        <v>455.09</v>
      </c>
      <c r="J902" s="31">
        <f>'تقرير المصروفات حسب الشهر'!K967</f>
        <v>489.67</v>
      </c>
      <c r="K902" s="31">
        <f>'تقرير المصروفات حسب الشهر'!K1094</f>
        <v>489.67</v>
      </c>
      <c r="L902" s="292">
        <f>IFERROR(VLOOKUP(B902,'تقرير المصروفات حسب الشهر'!$C$1143:$AD$1254,9,FALSE),0)</f>
        <v>0</v>
      </c>
      <c r="M902" s="292">
        <f>IFERROR(VLOOKUP(B902,'تقرير المصروفات حسب الشهر'!$C$1270:$AD$1381,9,FALSE),0)</f>
        <v>0</v>
      </c>
      <c r="N902" s="31" t="e">
        <f>#REF!</f>
        <v>#REF!</v>
      </c>
      <c r="O902" s="37" t="e">
        <f t="shared" si="22"/>
        <v>#REF!</v>
      </c>
    </row>
    <row r="903" spans="2:15" ht="17.399999999999999">
      <c r="B903" s="42" t="s">
        <v>102</v>
      </c>
      <c r="C903" s="39">
        <f>'تقرير المصروفات حسب الشهر'!K88</f>
        <v>412.09</v>
      </c>
      <c r="D903" s="31" t="e">
        <f>#REF!</f>
        <v>#REF!</v>
      </c>
      <c r="E903" s="31" t="e">
        <f>#REF!</f>
        <v>#REF!</v>
      </c>
      <c r="F903" s="31" t="e">
        <f>#REF!</f>
        <v>#REF!</v>
      </c>
      <c r="G903" s="31" t="e">
        <f>#REF!</f>
        <v>#REF!</v>
      </c>
      <c r="H903" s="31" t="e">
        <f>#REF!</f>
        <v>#REF!</v>
      </c>
      <c r="I903" s="31">
        <f>'تقرير المصروفات حسب الشهر'!K841</f>
        <v>53.44</v>
      </c>
      <c r="J903" s="31">
        <f>'تقرير المصروفات حسب الشهر'!K968</f>
        <v>38.17</v>
      </c>
      <c r="K903" s="31">
        <f>'تقرير المصروفات حسب الشهر'!K1095</f>
        <v>0</v>
      </c>
      <c r="L903" s="292">
        <f>IFERROR(VLOOKUP(B903,'تقرير المصروفات حسب الشهر'!$C$1143:$AD$1254,9,FALSE),0)</f>
        <v>489.67</v>
      </c>
      <c r="M903" s="292">
        <f>IFERROR(VLOOKUP(B903,'تقرير المصروفات حسب الشهر'!$C$1270:$AD$1381,9,FALSE),0)</f>
        <v>489.67</v>
      </c>
      <c r="N903" s="31" t="e">
        <f>#REF!</f>
        <v>#REF!</v>
      </c>
      <c r="O903" s="37" t="e">
        <f t="shared" si="22"/>
        <v>#REF!</v>
      </c>
    </row>
    <row r="904" spans="2:15" ht="17.399999999999999">
      <c r="B904" s="42" t="s">
        <v>103</v>
      </c>
      <c r="C904" s="39">
        <f>'تقرير المصروفات حسب الشهر'!K89</f>
        <v>53.44</v>
      </c>
      <c r="D904" s="31" t="e">
        <f>#REF!</f>
        <v>#REF!</v>
      </c>
      <c r="E904" s="31" t="e">
        <f>#REF!</f>
        <v>#REF!</v>
      </c>
      <c r="F904" s="31" t="e">
        <f>#REF!</f>
        <v>#REF!</v>
      </c>
      <c r="G904" s="31" t="e">
        <f>#REF!</f>
        <v>#REF!</v>
      </c>
      <c r="H904" s="31" t="e">
        <f>#REF!</f>
        <v>#REF!</v>
      </c>
      <c r="I904" s="31">
        <f>'تقرير المصروفات حسب الشهر'!K842</f>
        <v>0</v>
      </c>
      <c r="J904" s="31">
        <f>'تقرير المصروفات حسب الشهر'!K969</f>
        <v>0</v>
      </c>
      <c r="K904" s="31">
        <f>'تقرير المصروفات حسب الشهر'!K1096</f>
        <v>0</v>
      </c>
      <c r="L904" s="292">
        <f>IFERROR(VLOOKUP(B904,'تقرير المصروفات حسب الشهر'!$C$1143:$AD$1254,9,FALSE),0)</f>
        <v>0</v>
      </c>
      <c r="M904" s="292">
        <f>IFERROR(VLOOKUP(B904,'تقرير المصروفات حسب الشهر'!$C$1270:$AD$1381,9,FALSE),0)</f>
        <v>0</v>
      </c>
      <c r="N904" s="31" t="e">
        <f>#REF!</f>
        <v>#REF!</v>
      </c>
      <c r="O904" s="37" t="e">
        <f t="shared" si="22"/>
        <v>#REF!</v>
      </c>
    </row>
    <row r="905" spans="2:15" ht="17.399999999999999">
      <c r="B905" s="42" t="s">
        <v>104</v>
      </c>
      <c r="C905" s="39">
        <f>'تقرير المصروفات حسب الشهر'!K90</f>
        <v>0</v>
      </c>
      <c r="D905" s="31" t="e">
        <f>#REF!</f>
        <v>#REF!</v>
      </c>
      <c r="E905" s="31" t="e">
        <f>#REF!</f>
        <v>#REF!</v>
      </c>
      <c r="F905" s="31" t="e">
        <f>#REF!</f>
        <v>#REF!</v>
      </c>
      <c r="G905" s="31" t="e">
        <f>#REF!</f>
        <v>#REF!</v>
      </c>
      <c r="H905" s="31" t="e">
        <f>#REF!</f>
        <v>#REF!</v>
      </c>
      <c r="I905" s="31">
        <f>'تقرير المصروفات حسب الشهر'!K843</f>
        <v>33.75</v>
      </c>
      <c r="J905" s="31">
        <f>'تقرير المصروفات حسب الشهر'!K970</f>
        <v>0</v>
      </c>
      <c r="K905" s="31">
        <f>'تقرير المصروفات حسب الشهر'!K1097</f>
        <v>0</v>
      </c>
      <c r="L905" s="292">
        <f>IFERROR(VLOOKUP(B905,'تقرير المصروفات حسب الشهر'!$C$1143:$AD$1254,9,FALSE),0)</f>
        <v>0</v>
      </c>
      <c r="M905" s="292">
        <f>IFERROR(VLOOKUP(B905,'تقرير المصروفات حسب الشهر'!$C$1270:$AD$1381,9,FALSE),0)</f>
        <v>0</v>
      </c>
      <c r="N905" s="31" t="e">
        <f>#REF!</f>
        <v>#REF!</v>
      </c>
      <c r="O905" s="37" t="e">
        <f t="shared" si="22"/>
        <v>#REF!</v>
      </c>
    </row>
    <row r="906" spans="2:15" ht="17.399999999999999">
      <c r="B906" s="42" t="s">
        <v>105</v>
      </c>
      <c r="C906" s="39">
        <f>'تقرير المصروفات حسب الشهر'!K91</f>
        <v>33.75</v>
      </c>
      <c r="D906" s="31" t="e">
        <f>#REF!</f>
        <v>#REF!</v>
      </c>
      <c r="E906" s="31" t="e">
        <f>#REF!</f>
        <v>#REF!</v>
      </c>
      <c r="F906" s="31" t="e">
        <f>#REF!</f>
        <v>#REF!</v>
      </c>
      <c r="G906" s="31" t="e">
        <f>#REF!</f>
        <v>#REF!</v>
      </c>
      <c r="H906" s="31" t="e">
        <f>#REF!</f>
        <v>#REF!</v>
      </c>
      <c r="I906" s="31">
        <f>'تقرير المصروفات حسب الشهر'!K844</f>
        <v>0</v>
      </c>
      <c r="J906" s="31">
        <f>'تقرير المصروفات حسب الشهر'!K971</f>
        <v>0</v>
      </c>
      <c r="K906" s="31">
        <f>'تقرير المصروفات حسب الشهر'!K1098</f>
        <v>0</v>
      </c>
      <c r="L906" s="292">
        <f>IFERROR(VLOOKUP(B906,'تقرير المصروفات حسب الشهر'!$C$1143:$AD$1254,9,FALSE),0)</f>
        <v>0</v>
      </c>
      <c r="M906" s="292">
        <f>IFERROR(VLOOKUP(B906,'تقرير المصروفات حسب الشهر'!$C$1270:$AD$1381,9,FALSE),0)</f>
        <v>0</v>
      </c>
      <c r="N906" s="31" t="e">
        <f>#REF!</f>
        <v>#REF!</v>
      </c>
      <c r="O906" s="37" t="e">
        <f t="shared" si="22"/>
        <v>#REF!</v>
      </c>
    </row>
    <row r="907" spans="2:15" ht="17.399999999999999">
      <c r="B907" s="42" t="s">
        <v>106</v>
      </c>
      <c r="C907" s="39">
        <f>'تقرير المصروفات حسب الشهر'!K92</f>
        <v>0</v>
      </c>
      <c r="D907" s="31" t="e">
        <f>#REF!</f>
        <v>#REF!</v>
      </c>
      <c r="E907" s="31" t="e">
        <f>#REF!</f>
        <v>#REF!</v>
      </c>
      <c r="F907" s="31" t="e">
        <f>#REF!</f>
        <v>#REF!</v>
      </c>
      <c r="G907" s="31" t="e">
        <f>#REF!</f>
        <v>#REF!</v>
      </c>
      <c r="H907" s="31" t="e">
        <f>#REF!</f>
        <v>#REF!</v>
      </c>
      <c r="I907" s="31">
        <f>'تقرير المصروفات حسب الشهر'!K845</f>
        <v>0</v>
      </c>
      <c r="J907" s="31">
        <f>'تقرير المصروفات حسب الشهر'!K972</f>
        <v>0</v>
      </c>
      <c r="K907" s="31">
        <f>'تقرير المصروفات حسب الشهر'!K1099</f>
        <v>0</v>
      </c>
      <c r="L907" s="292">
        <f>IFERROR(VLOOKUP(B907,'تقرير المصروفات حسب الشهر'!$C$1143:$AD$1254,9,FALSE),0)</f>
        <v>0</v>
      </c>
      <c r="M907" s="292">
        <f>IFERROR(VLOOKUP(B907,'تقرير المصروفات حسب الشهر'!$C$1270:$AD$1381,9,FALSE),0)</f>
        <v>0</v>
      </c>
      <c r="N907" s="31" t="e">
        <f>#REF!</f>
        <v>#REF!</v>
      </c>
      <c r="O907" s="37" t="e">
        <f t="shared" si="22"/>
        <v>#REF!</v>
      </c>
    </row>
    <row r="908" spans="2:15" ht="17.399999999999999">
      <c r="B908" s="42" t="s">
        <v>107</v>
      </c>
      <c r="C908" s="39">
        <f>'تقرير المصروفات حسب الشهر'!K93</f>
        <v>0</v>
      </c>
      <c r="D908" s="31" t="e">
        <f>#REF!</f>
        <v>#REF!</v>
      </c>
      <c r="E908" s="31" t="e">
        <f>#REF!</f>
        <v>#REF!</v>
      </c>
      <c r="F908" s="31" t="e">
        <f>#REF!</f>
        <v>#REF!</v>
      </c>
      <c r="G908" s="31" t="e">
        <f>#REF!</f>
        <v>#REF!</v>
      </c>
      <c r="H908" s="31" t="e">
        <f>#REF!</f>
        <v>#REF!</v>
      </c>
      <c r="I908" s="31">
        <f>'تقرير المصروفات حسب الشهر'!K846</f>
        <v>0</v>
      </c>
      <c r="J908" s="31">
        <f>'تقرير المصروفات حسب الشهر'!K973</f>
        <v>0</v>
      </c>
      <c r="K908" s="31">
        <f>'تقرير المصروفات حسب الشهر'!K1100</f>
        <v>0</v>
      </c>
      <c r="L908" s="292">
        <f>IFERROR(VLOOKUP(B908,'تقرير المصروفات حسب الشهر'!$C$1143:$AD$1254,9,FALSE),0)</f>
        <v>0</v>
      </c>
      <c r="M908" s="292">
        <f>IFERROR(VLOOKUP(B908,'تقرير المصروفات حسب الشهر'!$C$1270:$AD$1381,9,FALSE),0)</f>
        <v>0</v>
      </c>
      <c r="N908" s="31" t="e">
        <f>#REF!</f>
        <v>#REF!</v>
      </c>
      <c r="O908" s="37" t="e">
        <f t="shared" si="22"/>
        <v>#REF!</v>
      </c>
    </row>
    <row r="909" spans="2:15" ht="17.399999999999999">
      <c r="B909" s="42" t="s">
        <v>108</v>
      </c>
      <c r="C909" s="39">
        <f>'تقرير المصروفات حسب الشهر'!K94</f>
        <v>0</v>
      </c>
      <c r="D909" s="31" t="e">
        <f>#REF!</f>
        <v>#REF!</v>
      </c>
      <c r="E909" s="31" t="e">
        <f>#REF!</f>
        <v>#REF!</v>
      </c>
      <c r="F909" s="31" t="e">
        <f>#REF!</f>
        <v>#REF!</v>
      </c>
      <c r="G909" s="31" t="e">
        <f>#REF!</f>
        <v>#REF!</v>
      </c>
      <c r="H909" s="31" t="e">
        <f>#REF!</f>
        <v>#REF!</v>
      </c>
      <c r="I909" s="31">
        <f>'تقرير المصروفات حسب الشهر'!K847</f>
        <v>0</v>
      </c>
      <c r="J909" s="31">
        <f>'تقرير المصروفات حسب الشهر'!K974</f>
        <v>0</v>
      </c>
      <c r="K909" s="31">
        <f>'تقرير المصروفات حسب الشهر'!K1101</f>
        <v>0</v>
      </c>
      <c r="L909" s="292">
        <f>IFERROR(VLOOKUP(B909,'تقرير المصروفات حسب الشهر'!$C$1143:$AD$1254,9,FALSE),0)</f>
        <v>0</v>
      </c>
      <c r="M909" s="292">
        <f>IFERROR(VLOOKUP(B909,'تقرير المصروفات حسب الشهر'!$C$1270:$AD$1381,9,FALSE),0)</f>
        <v>0</v>
      </c>
      <c r="N909" s="31" t="e">
        <f>#REF!</f>
        <v>#REF!</v>
      </c>
      <c r="O909" s="37" t="e">
        <f t="shared" si="22"/>
        <v>#REF!</v>
      </c>
    </row>
    <row r="910" spans="2:15" ht="17.399999999999999">
      <c r="B910" s="42" t="s">
        <v>109</v>
      </c>
      <c r="C910" s="39">
        <f>'تقرير المصروفات حسب الشهر'!K95</f>
        <v>0</v>
      </c>
      <c r="D910" s="31" t="e">
        <f>#REF!</f>
        <v>#REF!</v>
      </c>
      <c r="E910" s="31" t="e">
        <f>#REF!</f>
        <v>#REF!</v>
      </c>
      <c r="F910" s="31" t="e">
        <f>#REF!</f>
        <v>#REF!</v>
      </c>
      <c r="G910" s="31" t="e">
        <f>#REF!</f>
        <v>#REF!</v>
      </c>
      <c r="H910" s="31" t="e">
        <f>#REF!</f>
        <v>#REF!</v>
      </c>
      <c r="I910" s="31">
        <f>'تقرير المصروفات حسب الشهر'!K848</f>
        <v>0</v>
      </c>
      <c r="J910" s="31">
        <f>'تقرير المصروفات حسب الشهر'!K975</f>
        <v>0</v>
      </c>
      <c r="K910" s="31">
        <f>'تقرير المصروفات حسب الشهر'!K1102</f>
        <v>0</v>
      </c>
      <c r="L910" s="292">
        <f>IFERROR(VLOOKUP(B910,'تقرير المصروفات حسب الشهر'!$C$1143:$AD$1254,9,FALSE),0)</f>
        <v>0</v>
      </c>
      <c r="M910" s="292">
        <f>IFERROR(VLOOKUP(B910,'تقرير المصروفات حسب الشهر'!$C$1270:$AD$1381,9,FALSE),0)</f>
        <v>0</v>
      </c>
      <c r="N910" s="31" t="e">
        <f>#REF!</f>
        <v>#REF!</v>
      </c>
      <c r="O910" s="37" t="e">
        <f t="shared" si="22"/>
        <v>#REF!</v>
      </c>
    </row>
    <row r="911" spans="2:15" ht="17.399999999999999">
      <c r="B911" s="42" t="s">
        <v>110</v>
      </c>
      <c r="C911" s="39">
        <f>'تقرير المصروفات حسب الشهر'!K96</f>
        <v>0</v>
      </c>
      <c r="D911" s="31" t="e">
        <f>#REF!</f>
        <v>#REF!</v>
      </c>
      <c r="E911" s="31" t="e">
        <f>#REF!</f>
        <v>#REF!</v>
      </c>
      <c r="F911" s="31" t="e">
        <f>#REF!</f>
        <v>#REF!</v>
      </c>
      <c r="G911" s="31" t="e">
        <f>#REF!</f>
        <v>#REF!</v>
      </c>
      <c r="H911" s="31" t="e">
        <f>#REF!</f>
        <v>#REF!</v>
      </c>
      <c r="I911" s="31">
        <f>'تقرير المصروفات حسب الشهر'!K849</f>
        <v>0</v>
      </c>
      <c r="J911" s="31">
        <f>'تقرير المصروفات حسب الشهر'!K976</f>
        <v>0</v>
      </c>
      <c r="K911" s="31">
        <f>'تقرير المصروفات حسب الشهر'!K1103</f>
        <v>0</v>
      </c>
      <c r="L911" s="292">
        <f>IFERROR(VLOOKUP(B911,'تقرير المصروفات حسب الشهر'!$C$1143:$AD$1254,9,FALSE),0)</f>
        <v>0</v>
      </c>
      <c r="M911" s="292">
        <f>IFERROR(VLOOKUP(B911,'تقرير المصروفات حسب الشهر'!$C$1270:$AD$1381,9,FALSE),0)</f>
        <v>0</v>
      </c>
      <c r="N911" s="31" t="e">
        <f>#REF!</f>
        <v>#REF!</v>
      </c>
      <c r="O911" s="37" t="e">
        <f t="shared" si="22"/>
        <v>#REF!</v>
      </c>
    </row>
    <row r="912" spans="2:15" ht="17.399999999999999">
      <c r="B912" s="42" t="s">
        <v>112</v>
      </c>
      <c r="C912" s="39">
        <f>'تقرير المصروفات حسب الشهر'!K97</f>
        <v>0</v>
      </c>
      <c r="D912" s="31" t="e">
        <f>#REF!</f>
        <v>#REF!</v>
      </c>
      <c r="E912" s="31" t="e">
        <f>#REF!</f>
        <v>#REF!</v>
      </c>
      <c r="F912" s="31" t="e">
        <f>#REF!</f>
        <v>#REF!</v>
      </c>
      <c r="G912" s="31" t="e">
        <f>#REF!</f>
        <v>#REF!</v>
      </c>
      <c r="H912" s="31" t="e">
        <f>#REF!</f>
        <v>#REF!</v>
      </c>
      <c r="I912" s="31">
        <f>'تقرير المصروفات حسب الشهر'!K850</f>
        <v>0</v>
      </c>
      <c r="J912" s="31">
        <f>'تقرير المصروفات حسب الشهر'!K977</f>
        <v>0</v>
      </c>
      <c r="K912" s="31">
        <f>'تقرير المصروفات حسب الشهر'!K1104</f>
        <v>0</v>
      </c>
      <c r="L912" s="292">
        <f>IFERROR(VLOOKUP(B912,'تقرير المصروفات حسب الشهر'!$C$1143:$AD$1254,9,FALSE),0)</f>
        <v>0</v>
      </c>
      <c r="M912" s="292">
        <f>IFERROR(VLOOKUP(B912,'تقرير المصروفات حسب الشهر'!$C$1270:$AD$1381,9,FALSE),0)</f>
        <v>0</v>
      </c>
      <c r="N912" s="31" t="e">
        <f>#REF!</f>
        <v>#REF!</v>
      </c>
      <c r="O912" s="37" t="e">
        <f t="shared" si="22"/>
        <v>#REF!</v>
      </c>
    </row>
    <row r="913" spans="2:15" ht="17.399999999999999">
      <c r="B913" s="42" t="s">
        <v>113</v>
      </c>
      <c r="C913" s="39">
        <f>'تقرير المصروفات حسب الشهر'!K98</f>
        <v>0</v>
      </c>
      <c r="D913" s="31" t="e">
        <f>#REF!</f>
        <v>#REF!</v>
      </c>
      <c r="E913" s="31" t="e">
        <f>#REF!</f>
        <v>#REF!</v>
      </c>
      <c r="F913" s="31" t="e">
        <f>#REF!</f>
        <v>#REF!</v>
      </c>
      <c r="G913" s="31" t="e">
        <f>#REF!</f>
        <v>#REF!</v>
      </c>
      <c r="H913" s="31" t="e">
        <f>#REF!</f>
        <v>#REF!</v>
      </c>
      <c r="I913" s="31">
        <f>'تقرير المصروفات حسب الشهر'!K851</f>
        <v>0</v>
      </c>
      <c r="J913" s="31">
        <f>'تقرير المصروفات حسب الشهر'!K978</f>
        <v>0</v>
      </c>
      <c r="K913" s="31">
        <f>'تقرير المصروفات حسب الشهر'!K1105</f>
        <v>0</v>
      </c>
      <c r="L913" s="292">
        <f>IFERROR(VLOOKUP(B913,'تقرير المصروفات حسب الشهر'!$C$1143:$AD$1254,9,FALSE),0)</f>
        <v>0</v>
      </c>
      <c r="M913" s="292">
        <f>IFERROR(VLOOKUP(B913,'تقرير المصروفات حسب الشهر'!$C$1270:$AD$1381,9,FALSE),0)</f>
        <v>0</v>
      </c>
      <c r="N913" s="31" t="e">
        <f>#REF!</f>
        <v>#REF!</v>
      </c>
      <c r="O913" s="37" t="e">
        <f t="shared" si="22"/>
        <v>#REF!</v>
      </c>
    </row>
    <row r="914" spans="2:15" ht="17.399999999999999">
      <c r="B914" s="42" t="s">
        <v>137</v>
      </c>
      <c r="C914" s="39">
        <f>'تقرير المصروفات حسب الشهر'!K99</f>
        <v>0</v>
      </c>
      <c r="D914" s="31" t="e">
        <f>#REF!</f>
        <v>#REF!</v>
      </c>
      <c r="E914" s="31" t="e">
        <f>#REF!</f>
        <v>#REF!</v>
      </c>
      <c r="F914" s="31" t="e">
        <f>#REF!</f>
        <v>#REF!</v>
      </c>
      <c r="G914" s="31" t="e">
        <f>#REF!</f>
        <v>#REF!</v>
      </c>
      <c r="H914" s="31" t="e">
        <f>#REF!</f>
        <v>#REF!</v>
      </c>
      <c r="I914" s="31">
        <f>'تقرير المصروفات حسب الشهر'!K852</f>
        <v>0</v>
      </c>
      <c r="J914" s="31">
        <f>'تقرير المصروفات حسب الشهر'!K979</f>
        <v>0</v>
      </c>
      <c r="K914" s="31">
        <f>'تقرير المصروفات حسب الشهر'!K1106</f>
        <v>0</v>
      </c>
      <c r="L914" s="292">
        <f>IFERROR(VLOOKUP(B914,'تقرير المصروفات حسب الشهر'!$C$1143:$AD$1254,9,FALSE),0)</f>
        <v>0</v>
      </c>
      <c r="M914" s="292">
        <f>IFERROR(VLOOKUP(B914,'تقرير المصروفات حسب الشهر'!$C$1270:$AD$1381,9,FALSE),0)</f>
        <v>0</v>
      </c>
      <c r="N914" s="31" t="e">
        <f>#REF!</f>
        <v>#REF!</v>
      </c>
      <c r="O914" s="37" t="e">
        <f t="shared" si="22"/>
        <v>#REF!</v>
      </c>
    </row>
    <row r="915" spans="2:15" ht="17.399999999999999">
      <c r="B915" s="42" t="s">
        <v>140</v>
      </c>
      <c r="C915" s="39">
        <f>'تقرير المصروفات حسب الشهر'!K100</f>
        <v>20</v>
      </c>
      <c r="D915" s="31" t="e">
        <f>#REF!</f>
        <v>#REF!</v>
      </c>
      <c r="E915" s="31" t="e">
        <f>#REF!</f>
        <v>#REF!</v>
      </c>
      <c r="F915" s="31" t="e">
        <f>#REF!</f>
        <v>#REF!</v>
      </c>
      <c r="G915" s="31" t="e">
        <f>#REF!</f>
        <v>#REF!</v>
      </c>
      <c r="H915" s="31" t="e">
        <f>#REF!</f>
        <v>#REF!</v>
      </c>
      <c r="I915" s="31">
        <f>'تقرير المصروفات حسب الشهر'!K853</f>
        <v>0</v>
      </c>
      <c r="J915" s="31">
        <f>'تقرير المصروفات حسب الشهر'!K980</f>
        <v>0</v>
      </c>
      <c r="K915" s="31">
        <f>'تقرير المصروفات حسب الشهر'!K1107</f>
        <v>0</v>
      </c>
      <c r="L915" s="292">
        <f>IFERROR(VLOOKUP(B915,'تقرير المصروفات حسب الشهر'!$C$1143:$AD$1254,9,FALSE),0)</f>
        <v>0</v>
      </c>
      <c r="M915" s="292">
        <f>IFERROR(VLOOKUP(B915,'تقرير المصروفات حسب الشهر'!$C$1270:$AD$1381,9,FALSE),0)</f>
        <v>0</v>
      </c>
      <c r="N915" s="31" t="e">
        <f>#REF!</f>
        <v>#REF!</v>
      </c>
      <c r="O915" s="37" t="e">
        <f t="shared" si="22"/>
        <v>#REF!</v>
      </c>
    </row>
    <row r="916" spans="2:15" ht="17.399999999999999">
      <c r="B916" s="42" t="s">
        <v>141</v>
      </c>
      <c r="C916" s="39">
        <f>'تقرير المصروفات حسب الشهر'!K101</f>
        <v>0</v>
      </c>
      <c r="D916" s="31" t="e">
        <f>#REF!</f>
        <v>#REF!</v>
      </c>
      <c r="E916" s="31" t="e">
        <f>#REF!</f>
        <v>#REF!</v>
      </c>
      <c r="F916" s="31" t="e">
        <f>#REF!</f>
        <v>#REF!</v>
      </c>
      <c r="G916" s="31" t="e">
        <f>#REF!</f>
        <v>#REF!</v>
      </c>
      <c r="H916" s="31" t="e">
        <f>#REF!</f>
        <v>#REF!</v>
      </c>
      <c r="I916" s="31">
        <f>'تقرير المصروفات حسب الشهر'!K854</f>
        <v>0</v>
      </c>
      <c r="J916" s="31">
        <f>'تقرير المصروفات حسب الشهر'!K981</f>
        <v>0</v>
      </c>
      <c r="K916" s="31">
        <f>'تقرير المصروفات حسب الشهر'!K1108</f>
        <v>0</v>
      </c>
      <c r="L916" s="292">
        <f>IFERROR(VLOOKUP(B916,'تقرير المصروفات حسب الشهر'!$C$1143:$AD$1254,9,FALSE),0)</f>
        <v>0</v>
      </c>
      <c r="M916" s="292">
        <f>IFERROR(VLOOKUP(B916,'تقرير المصروفات حسب الشهر'!$C$1270:$AD$1381,9,FALSE),0)</f>
        <v>0</v>
      </c>
      <c r="N916" s="31" t="e">
        <f>#REF!</f>
        <v>#REF!</v>
      </c>
      <c r="O916" s="37" t="e">
        <f t="shared" si="22"/>
        <v>#REF!</v>
      </c>
    </row>
    <row r="917" spans="2:15" ht="17.399999999999999">
      <c r="B917" s="42" t="s">
        <v>193</v>
      </c>
      <c r="C917" s="39">
        <f>'تقرير المصروفات حسب الشهر'!K102</f>
        <v>0</v>
      </c>
      <c r="D917" s="31" t="e">
        <f>#REF!</f>
        <v>#REF!</v>
      </c>
      <c r="E917" s="31" t="e">
        <f>#REF!</f>
        <v>#REF!</v>
      </c>
      <c r="F917" s="31" t="e">
        <f>#REF!</f>
        <v>#REF!</v>
      </c>
      <c r="G917" s="31" t="e">
        <f>#REF!</f>
        <v>#REF!</v>
      </c>
      <c r="H917" s="31" t="e">
        <f>#REF!</f>
        <v>#REF!</v>
      </c>
      <c r="I917" s="31">
        <f>'تقرير المصروفات حسب الشهر'!K855</f>
        <v>0</v>
      </c>
      <c r="J917" s="31">
        <f>'تقرير المصروفات حسب الشهر'!K982</f>
        <v>0</v>
      </c>
      <c r="K917" s="31">
        <f>'تقرير المصروفات حسب الشهر'!K1109</f>
        <v>0</v>
      </c>
      <c r="L917" s="292">
        <f>IFERROR(VLOOKUP(B917,'تقرير المصروفات حسب الشهر'!$C$1143:$AD$1254,9,FALSE),0)</f>
        <v>0</v>
      </c>
      <c r="M917" s="292">
        <f>IFERROR(VLOOKUP(B917,'تقرير المصروفات حسب الشهر'!$C$1270:$AD$1381,9,FALSE),0)</f>
        <v>0</v>
      </c>
      <c r="N917" s="31" t="e">
        <f>#REF!</f>
        <v>#REF!</v>
      </c>
      <c r="O917" s="37" t="e">
        <f t="shared" si="22"/>
        <v>#REF!</v>
      </c>
    </row>
    <row r="918" spans="2:15" ht="17.399999999999999">
      <c r="B918" s="42" t="s">
        <v>148</v>
      </c>
      <c r="C918" s="39">
        <f>'تقرير المصروفات حسب الشهر'!K103</f>
        <v>0</v>
      </c>
      <c r="D918" s="31" t="e">
        <f>#REF!</f>
        <v>#REF!</v>
      </c>
      <c r="E918" s="31" t="e">
        <f>#REF!</f>
        <v>#REF!</v>
      </c>
      <c r="F918" s="31" t="e">
        <f>#REF!</f>
        <v>#REF!</v>
      </c>
      <c r="G918" s="31" t="e">
        <f>#REF!</f>
        <v>#REF!</v>
      </c>
      <c r="H918" s="31" t="e">
        <f>#REF!</f>
        <v>#REF!</v>
      </c>
      <c r="I918" s="31">
        <f>'تقرير المصروفات حسب الشهر'!K856</f>
        <v>0</v>
      </c>
      <c r="J918" s="31">
        <f>'تقرير المصروفات حسب الشهر'!K983</f>
        <v>0</v>
      </c>
      <c r="K918" s="31">
        <f>'تقرير المصروفات حسب الشهر'!K1110</f>
        <v>0</v>
      </c>
      <c r="L918" s="292">
        <f>IFERROR(VLOOKUP(B918,'تقرير المصروفات حسب الشهر'!$C$1143:$AD$1254,9,FALSE),0)</f>
        <v>0</v>
      </c>
      <c r="M918" s="292">
        <f>IFERROR(VLOOKUP(B918,'تقرير المصروفات حسب الشهر'!$C$1270:$AD$1381,9,FALSE),0)</f>
        <v>0</v>
      </c>
      <c r="N918" s="31" t="e">
        <f>#REF!</f>
        <v>#REF!</v>
      </c>
      <c r="O918" s="37" t="e">
        <f t="shared" si="22"/>
        <v>#REF!</v>
      </c>
    </row>
    <row r="919" spans="2:15" ht="17.399999999999999">
      <c r="B919" s="42" t="s">
        <v>186</v>
      </c>
      <c r="C919" s="39">
        <f>'تقرير المصروفات حسب الشهر'!K104</f>
        <v>0</v>
      </c>
      <c r="D919" s="31" t="e">
        <f>#REF!</f>
        <v>#REF!</v>
      </c>
      <c r="E919" s="31" t="e">
        <f>#REF!</f>
        <v>#REF!</v>
      </c>
      <c r="F919" s="31" t="e">
        <f>#REF!</f>
        <v>#REF!</v>
      </c>
      <c r="G919" s="31" t="e">
        <f>#REF!</f>
        <v>#REF!</v>
      </c>
      <c r="H919" s="31" t="e">
        <f>#REF!</f>
        <v>#REF!</v>
      </c>
      <c r="I919" s="31">
        <f>'تقرير المصروفات حسب الشهر'!K857</f>
        <v>0</v>
      </c>
      <c r="J919" s="31">
        <f>'تقرير المصروفات حسب الشهر'!K984</f>
        <v>0</v>
      </c>
      <c r="K919" s="31">
        <f>'تقرير المصروفات حسب الشهر'!K1111</f>
        <v>0</v>
      </c>
      <c r="L919" s="292">
        <f>IFERROR(VLOOKUP(B919,'تقرير المصروفات حسب الشهر'!$C$1143:$AD$1254,9,FALSE),0)</f>
        <v>0</v>
      </c>
      <c r="M919" s="292">
        <f>IFERROR(VLOOKUP(B919,'تقرير المصروفات حسب الشهر'!$C$1270:$AD$1381,9,FALSE),0)</f>
        <v>0</v>
      </c>
      <c r="N919" s="31" t="e">
        <f>#REF!</f>
        <v>#REF!</v>
      </c>
      <c r="O919" s="37" t="e">
        <f t="shared" si="22"/>
        <v>#REF!</v>
      </c>
    </row>
    <row r="920" spans="2:15" ht="17.399999999999999">
      <c r="B920" s="42" t="s">
        <v>171</v>
      </c>
      <c r="C920" s="39">
        <f>'تقرير المصروفات حسب الشهر'!K105</f>
        <v>0</v>
      </c>
      <c r="D920" s="31" t="e">
        <f>#REF!</f>
        <v>#REF!</v>
      </c>
      <c r="E920" s="31" t="e">
        <f>#REF!</f>
        <v>#REF!</v>
      </c>
      <c r="F920" s="31" t="e">
        <f>#REF!</f>
        <v>#REF!</v>
      </c>
      <c r="G920" s="31" t="e">
        <f>#REF!</f>
        <v>#REF!</v>
      </c>
      <c r="H920" s="31" t="e">
        <f>#REF!</f>
        <v>#REF!</v>
      </c>
      <c r="I920" s="31">
        <f>'تقرير المصروفات حسب الشهر'!K858</f>
        <v>0</v>
      </c>
      <c r="J920" s="31">
        <f>'تقرير المصروفات حسب الشهر'!K985</f>
        <v>0</v>
      </c>
      <c r="K920" s="31">
        <f>'تقرير المصروفات حسب الشهر'!K1112</f>
        <v>0</v>
      </c>
      <c r="L920" s="292">
        <f>IFERROR(VLOOKUP(B920,'تقرير المصروفات حسب الشهر'!$C$1143:$AD$1254,9,FALSE),0)</f>
        <v>0</v>
      </c>
      <c r="M920" s="292">
        <f>IFERROR(VLOOKUP(B920,'تقرير المصروفات حسب الشهر'!$C$1270:$AD$1381,9,FALSE),0)</f>
        <v>0</v>
      </c>
      <c r="N920" s="31" t="e">
        <f>#REF!</f>
        <v>#REF!</v>
      </c>
      <c r="O920" s="37" t="e">
        <f t="shared" si="22"/>
        <v>#REF!</v>
      </c>
    </row>
    <row r="921" spans="2:15" ht="17.399999999999999">
      <c r="B921" s="42" t="s">
        <v>180</v>
      </c>
      <c r="C921" s="39">
        <f>'تقرير المصروفات حسب الشهر'!K106</f>
        <v>0</v>
      </c>
      <c r="D921" s="31" t="e">
        <f>#REF!</f>
        <v>#REF!</v>
      </c>
      <c r="E921" s="31" t="e">
        <f>#REF!</f>
        <v>#REF!</v>
      </c>
      <c r="F921" s="31" t="e">
        <f>#REF!</f>
        <v>#REF!</v>
      </c>
      <c r="G921" s="31" t="e">
        <f>#REF!</f>
        <v>#REF!</v>
      </c>
      <c r="H921" s="31" t="e">
        <f>#REF!</f>
        <v>#REF!</v>
      </c>
      <c r="I921" s="31">
        <f>'تقرير المصروفات حسب الشهر'!K859</f>
        <v>0</v>
      </c>
      <c r="J921" s="31">
        <f>'تقرير المصروفات حسب الشهر'!K986</f>
        <v>0</v>
      </c>
      <c r="K921" s="31">
        <f>'تقرير المصروفات حسب الشهر'!K1113</f>
        <v>0</v>
      </c>
      <c r="L921" s="292">
        <f>IFERROR(VLOOKUP(B921,'تقرير المصروفات حسب الشهر'!$C$1143:$AD$1254,9,FALSE),0)</f>
        <v>0</v>
      </c>
      <c r="M921" s="292">
        <f>IFERROR(VLOOKUP(B921,'تقرير المصروفات حسب الشهر'!$C$1270:$AD$1381,9,FALSE),0)</f>
        <v>0</v>
      </c>
      <c r="N921" s="31" t="e">
        <f>#REF!</f>
        <v>#REF!</v>
      </c>
      <c r="O921" s="37" t="e">
        <f t="shared" si="22"/>
        <v>#REF!</v>
      </c>
    </row>
    <row r="922" spans="2:15" ht="17.399999999999999">
      <c r="B922" s="42" t="s">
        <v>183</v>
      </c>
      <c r="C922" s="39">
        <f>'تقرير المصروفات حسب الشهر'!K107</f>
        <v>0</v>
      </c>
      <c r="D922" s="31" t="e">
        <f>#REF!</f>
        <v>#REF!</v>
      </c>
      <c r="E922" s="31" t="e">
        <f>#REF!</f>
        <v>#REF!</v>
      </c>
      <c r="F922" s="31" t="e">
        <f>#REF!</f>
        <v>#REF!</v>
      </c>
      <c r="G922" s="31" t="e">
        <f>#REF!</f>
        <v>#REF!</v>
      </c>
      <c r="H922" s="31" t="e">
        <f>#REF!</f>
        <v>#REF!</v>
      </c>
      <c r="I922" s="31">
        <f>'تقرير المصروفات حسب الشهر'!K860</f>
        <v>0</v>
      </c>
      <c r="J922" s="31">
        <f>'تقرير المصروفات حسب الشهر'!K987</f>
        <v>0</v>
      </c>
      <c r="K922" s="31">
        <f>'تقرير المصروفات حسب الشهر'!K1114</f>
        <v>0</v>
      </c>
      <c r="L922" s="292">
        <f>IFERROR(VLOOKUP(B922,'تقرير المصروفات حسب الشهر'!$C$1143:$AD$1254,9,FALSE),0)</f>
        <v>0</v>
      </c>
      <c r="M922" s="292">
        <f>IFERROR(VLOOKUP(B922,'تقرير المصروفات حسب الشهر'!$C$1270:$AD$1381,9,FALSE),0)</f>
        <v>0</v>
      </c>
      <c r="N922" s="31" t="e">
        <f>#REF!</f>
        <v>#REF!</v>
      </c>
      <c r="O922" s="37" t="e">
        <f t="shared" si="22"/>
        <v>#REF!</v>
      </c>
    </row>
    <row r="923" spans="2:15" ht="17.399999999999999">
      <c r="B923" s="42" t="s">
        <v>195</v>
      </c>
      <c r="C923" s="39">
        <f>'تقرير المصروفات حسب الشهر'!K108</f>
        <v>0</v>
      </c>
      <c r="D923" s="31" t="e">
        <f>#REF!</f>
        <v>#REF!</v>
      </c>
      <c r="E923" s="31" t="e">
        <f>#REF!</f>
        <v>#REF!</v>
      </c>
      <c r="F923" s="31" t="e">
        <f>#REF!</f>
        <v>#REF!</v>
      </c>
      <c r="G923" s="31" t="e">
        <f>#REF!</f>
        <v>#REF!</v>
      </c>
      <c r="H923" s="31" t="e">
        <f>#REF!</f>
        <v>#REF!</v>
      </c>
      <c r="I923" s="31">
        <f>'تقرير المصروفات حسب الشهر'!K861</f>
        <v>0</v>
      </c>
      <c r="J923" s="31">
        <f>'تقرير المصروفات حسب الشهر'!K988</f>
        <v>0</v>
      </c>
      <c r="K923" s="31">
        <f>'تقرير المصروفات حسب الشهر'!K1115</f>
        <v>0</v>
      </c>
      <c r="L923" s="292">
        <f>IFERROR(VLOOKUP(B923,'تقرير المصروفات حسب الشهر'!$C$1143:$AD$1254,9,FALSE),0)</f>
        <v>0</v>
      </c>
      <c r="M923" s="292">
        <f>IFERROR(VLOOKUP(B923,'تقرير المصروفات حسب الشهر'!$C$1270:$AD$1381,9,FALSE),0)</f>
        <v>0</v>
      </c>
      <c r="N923" s="31" t="e">
        <f>#REF!</f>
        <v>#REF!</v>
      </c>
      <c r="O923" s="37" t="e">
        <f t="shared" si="22"/>
        <v>#REF!</v>
      </c>
    </row>
    <row r="924" spans="2:15" ht="17.399999999999999">
      <c r="B924" s="42" t="s">
        <v>189</v>
      </c>
      <c r="C924" s="39">
        <f>'تقرير المصروفات حسب الشهر'!K109</f>
        <v>0</v>
      </c>
      <c r="D924" s="31" t="e">
        <f>#REF!</f>
        <v>#REF!</v>
      </c>
      <c r="E924" s="31" t="e">
        <f>#REF!</f>
        <v>#REF!</v>
      </c>
      <c r="F924" s="31" t="e">
        <f>#REF!</f>
        <v>#REF!</v>
      </c>
      <c r="G924" s="31" t="e">
        <f>#REF!</f>
        <v>#REF!</v>
      </c>
      <c r="H924" s="31" t="e">
        <f>#REF!</f>
        <v>#REF!</v>
      </c>
      <c r="I924" s="31">
        <f>'تقرير المصروفات حسب الشهر'!K862</f>
        <v>0</v>
      </c>
      <c r="J924" s="31">
        <f>'تقرير المصروفات حسب الشهر'!K989</f>
        <v>0</v>
      </c>
      <c r="K924" s="31">
        <f>'تقرير المصروفات حسب الشهر'!K1116</f>
        <v>0</v>
      </c>
      <c r="L924" s="292">
        <f>IFERROR(VLOOKUP(B924,'تقرير المصروفات حسب الشهر'!$C$1143:$AD$1254,9,FALSE),0)</f>
        <v>0</v>
      </c>
      <c r="M924" s="292">
        <f>IFERROR(VLOOKUP(B924,'تقرير المصروفات حسب الشهر'!$C$1270:$AD$1381,9,FALSE),0)</f>
        <v>0</v>
      </c>
      <c r="N924" s="31" t="e">
        <f>#REF!</f>
        <v>#REF!</v>
      </c>
      <c r="O924" s="37" t="e">
        <f t="shared" si="22"/>
        <v>#REF!</v>
      </c>
    </row>
    <row r="925" spans="2:15" ht="17.399999999999999">
      <c r="B925" s="42" t="s">
        <v>188</v>
      </c>
      <c r="C925" s="39">
        <f>'تقرير المصروفات حسب الشهر'!K110</f>
        <v>0</v>
      </c>
      <c r="D925" s="31" t="e">
        <f>#REF!</f>
        <v>#REF!</v>
      </c>
      <c r="E925" s="31" t="e">
        <f>#REF!</f>
        <v>#REF!</v>
      </c>
      <c r="F925" s="31" t="e">
        <f>#REF!</f>
        <v>#REF!</v>
      </c>
      <c r="G925" s="31" t="e">
        <f>#REF!</f>
        <v>#REF!</v>
      </c>
      <c r="H925" s="31" t="e">
        <f>#REF!</f>
        <v>#REF!</v>
      </c>
      <c r="I925" s="31">
        <f>'تقرير المصروفات حسب الشهر'!K863</f>
        <v>0</v>
      </c>
      <c r="J925" s="31">
        <f>'تقرير المصروفات حسب الشهر'!K990</f>
        <v>0</v>
      </c>
      <c r="K925" s="31">
        <f>'تقرير المصروفات حسب الشهر'!K1117</f>
        <v>0</v>
      </c>
      <c r="L925" s="292">
        <f>IFERROR(VLOOKUP(B925,'تقرير المصروفات حسب الشهر'!$C$1143:$AD$1254,9,FALSE),0)</f>
        <v>0</v>
      </c>
      <c r="M925" s="292">
        <f>IFERROR(VLOOKUP(B925,'تقرير المصروفات حسب الشهر'!$C$1270:$AD$1381,9,FALSE),0)</f>
        <v>0</v>
      </c>
      <c r="N925" s="31" t="e">
        <f>#REF!</f>
        <v>#REF!</v>
      </c>
      <c r="O925" s="37" t="e">
        <f t="shared" si="22"/>
        <v>#REF!</v>
      </c>
    </row>
    <row r="926" spans="2:15" ht="17.399999999999999">
      <c r="B926" s="42" t="s">
        <v>196</v>
      </c>
      <c r="C926" s="39">
        <f>'تقرير المصروفات حسب الشهر'!K111</f>
        <v>0</v>
      </c>
      <c r="D926" s="31" t="e">
        <f>#REF!</f>
        <v>#REF!</v>
      </c>
      <c r="E926" s="31" t="e">
        <f>#REF!</f>
        <v>#REF!</v>
      </c>
      <c r="F926" s="31" t="e">
        <f>#REF!</f>
        <v>#REF!</v>
      </c>
      <c r="G926" s="31" t="e">
        <f>#REF!</f>
        <v>#REF!</v>
      </c>
      <c r="H926" s="31" t="e">
        <f>#REF!</f>
        <v>#REF!</v>
      </c>
      <c r="I926" s="31">
        <f>'تقرير المصروفات حسب الشهر'!K864</f>
        <v>0</v>
      </c>
      <c r="J926" s="31">
        <f>'تقرير المصروفات حسب الشهر'!K991</f>
        <v>0</v>
      </c>
      <c r="K926" s="31">
        <f>'تقرير المصروفات حسب الشهر'!K1118</f>
        <v>0</v>
      </c>
      <c r="L926" s="292">
        <f>IFERROR(VLOOKUP(B926,'تقرير المصروفات حسب الشهر'!$C$1143:$AD$1254,9,FALSE),0)</f>
        <v>0</v>
      </c>
      <c r="M926" s="292">
        <f>IFERROR(VLOOKUP(B926,'تقرير المصروفات حسب الشهر'!$C$1270:$AD$1381,9,FALSE),0)</f>
        <v>0</v>
      </c>
      <c r="N926" s="31" t="e">
        <f>#REF!</f>
        <v>#REF!</v>
      </c>
      <c r="O926" s="37" t="e">
        <f t="shared" si="22"/>
        <v>#REF!</v>
      </c>
    </row>
    <row r="927" spans="2:15" ht="17.399999999999999">
      <c r="B927" s="42" t="s">
        <v>197</v>
      </c>
      <c r="C927" s="39">
        <f>'تقرير المصروفات حسب الشهر'!K112</f>
        <v>0</v>
      </c>
      <c r="D927" s="31" t="e">
        <f>#REF!</f>
        <v>#REF!</v>
      </c>
      <c r="E927" s="31" t="e">
        <f>#REF!</f>
        <v>#REF!</v>
      </c>
      <c r="F927" s="31" t="e">
        <f>#REF!</f>
        <v>#REF!</v>
      </c>
      <c r="G927" s="31" t="e">
        <f>#REF!</f>
        <v>#REF!</v>
      </c>
      <c r="H927" s="31" t="e">
        <f>#REF!</f>
        <v>#REF!</v>
      </c>
      <c r="I927" s="31">
        <f>'تقرير المصروفات حسب الشهر'!K865</f>
        <v>0</v>
      </c>
      <c r="J927" s="31">
        <f>'تقرير المصروفات حسب الشهر'!K992</f>
        <v>0</v>
      </c>
      <c r="K927" s="31">
        <f>'تقرير المصروفات حسب الشهر'!K1119</f>
        <v>0</v>
      </c>
      <c r="L927" s="292">
        <f>IFERROR(VLOOKUP(B927,'تقرير المصروفات حسب الشهر'!$C$1143:$AD$1254,9,FALSE),0)</f>
        <v>0</v>
      </c>
      <c r="M927" s="292">
        <f>IFERROR(VLOOKUP(B927,'تقرير المصروفات حسب الشهر'!$C$1270:$AD$1381,9,FALSE),0)</f>
        <v>0</v>
      </c>
      <c r="N927" s="31" t="e">
        <f>#REF!</f>
        <v>#REF!</v>
      </c>
      <c r="O927" s="37" t="e">
        <f t="shared" si="22"/>
        <v>#REF!</v>
      </c>
    </row>
    <row r="928" spans="2:15" ht="17.399999999999999">
      <c r="B928" s="42" t="s">
        <v>198</v>
      </c>
      <c r="C928" s="39">
        <f>'تقرير المصروفات حسب الشهر'!K113</f>
        <v>0</v>
      </c>
      <c r="D928" s="31" t="e">
        <f>#REF!</f>
        <v>#REF!</v>
      </c>
      <c r="E928" s="31" t="e">
        <f>#REF!</f>
        <v>#REF!</v>
      </c>
      <c r="F928" s="31" t="e">
        <f>#REF!</f>
        <v>#REF!</v>
      </c>
      <c r="G928" s="31" t="e">
        <f>#REF!</f>
        <v>#REF!</v>
      </c>
      <c r="H928" s="31" t="e">
        <f>#REF!</f>
        <v>#REF!</v>
      </c>
      <c r="I928" s="31">
        <f>'تقرير المصروفات حسب الشهر'!K866</f>
        <v>0</v>
      </c>
      <c r="J928" s="31">
        <f>'تقرير المصروفات حسب الشهر'!K993</f>
        <v>0</v>
      </c>
      <c r="K928" s="31">
        <f>'تقرير المصروفات حسب الشهر'!K1120</f>
        <v>0</v>
      </c>
      <c r="L928" s="292">
        <f>IFERROR(VLOOKUP(B928,'تقرير المصروفات حسب الشهر'!$C$1143:$AD$1254,9,FALSE),0)</f>
        <v>0</v>
      </c>
      <c r="M928" s="292">
        <f>IFERROR(VLOOKUP(B928,'تقرير المصروفات حسب الشهر'!$C$1270:$AD$1381,9,FALSE),0)</f>
        <v>0</v>
      </c>
      <c r="N928" s="31" t="e">
        <f>#REF!</f>
        <v>#REF!</v>
      </c>
      <c r="O928" s="37" t="e">
        <f t="shared" si="22"/>
        <v>#REF!</v>
      </c>
    </row>
    <row r="929" spans="2:15" ht="17.399999999999999">
      <c r="B929" s="42" t="s">
        <v>201</v>
      </c>
      <c r="C929" s="39">
        <f>'تقرير المصروفات حسب الشهر'!K114</f>
        <v>0</v>
      </c>
      <c r="D929" s="31" t="e">
        <f>#REF!</f>
        <v>#REF!</v>
      </c>
      <c r="E929" s="31" t="e">
        <f>#REF!</f>
        <v>#REF!</v>
      </c>
      <c r="F929" s="31" t="e">
        <f>#REF!</f>
        <v>#REF!</v>
      </c>
      <c r="G929" s="31" t="e">
        <f>#REF!</f>
        <v>#REF!</v>
      </c>
      <c r="H929" s="31" t="e">
        <f>#REF!</f>
        <v>#REF!</v>
      </c>
      <c r="I929" s="31">
        <f>'تقرير المصروفات حسب الشهر'!K867</f>
        <v>0</v>
      </c>
      <c r="J929" s="31">
        <f>'تقرير المصروفات حسب الشهر'!K994</f>
        <v>0</v>
      </c>
      <c r="K929" s="31">
        <f>'تقرير المصروفات حسب الشهر'!K1121</f>
        <v>0</v>
      </c>
      <c r="L929" s="292">
        <f>IFERROR(VLOOKUP(B929,'تقرير المصروفات حسب الشهر'!$C$1143:$AD$1254,9,FALSE),0)</f>
        <v>0</v>
      </c>
      <c r="M929" s="292">
        <f>IFERROR(VLOOKUP(B929,'تقرير المصروفات حسب الشهر'!$C$1270:$AD$1381,9,FALSE),0)</f>
        <v>0</v>
      </c>
      <c r="N929" s="31" t="e">
        <f>#REF!</f>
        <v>#REF!</v>
      </c>
      <c r="O929" s="37" t="e">
        <f t="shared" si="22"/>
        <v>#REF!</v>
      </c>
    </row>
    <row r="930" spans="2:15" ht="17.399999999999999">
      <c r="B930" s="42" t="s">
        <v>202</v>
      </c>
      <c r="C930" s="39">
        <f>'تقرير المصروفات حسب الشهر'!K115</f>
        <v>0</v>
      </c>
      <c r="D930" s="31" t="e">
        <f>#REF!</f>
        <v>#REF!</v>
      </c>
      <c r="E930" s="31" t="e">
        <f>#REF!</f>
        <v>#REF!</v>
      </c>
      <c r="F930" s="31" t="e">
        <f>#REF!</f>
        <v>#REF!</v>
      </c>
      <c r="G930" s="31" t="e">
        <f>#REF!</f>
        <v>#REF!</v>
      </c>
      <c r="H930" s="31" t="e">
        <f>#REF!</f>
        <v>#REF!</v>
      </c>
      <c r="I930" s="31">
        <f>'تقرير المصروفات حسب الشهر'!K868</f>
        <v>0</v>
      </c>
      <c r="J930" s="31">
        <f>'تقرير المصروفات حسب الشهر'!K995</f>
        <v>0</v>
      </c>
      <c r="K930" s="31">
        <f>'تقرير المصروفات حسب الشهر'!K1122</f>
        <v>0</v>
      </c>
      <c r="L930" s="292">
        <f>IFERROR(VLOOKUP(B930,'تقرير المصروفات حسب الشهر'!$C$1143:$AD$1254,9,FALSE),0)</f>
        <v>0</v>
      </c>
      <c r="M930" s="292">
        <f>IFERROR(VLOOKUP(B930,'تقرير المصروفات حسب الشهر'!$C$1270:$AD$1381,9,FALSE),0)</f>
        <v>0</v>
      </c>
      <c r="N930" s="31" t="e">
        <f>#REF!</f>
        <v>#REF!</v>
      </c>
      <c r="O930" s="37" t="e">
        <f t="shared" si="22"/>
        <v>#REF!</v>
      </c>
    </row>
    <row r="931" spans="2:15" ht="17.399999999999999">
      <c r="B931" s="42" t="s">
        <v>206</v>
      </c>
      <c r="C931" s="39">
        <f>'تقرير المصروفات حسب الشهر'!K116</f>
        <v>0</v>
      </c>
      <c r="D931" s="31" t="e">
        <f>#REF!</f>
        <v>#REF!</v>
      </c>
      <c r="E931" s="31" t="e">
        <f>#REF!</f>
        <v>#REF!</v>
      </c>
      <c r="F931" s="31" t="e">
        <f>#REF!</f>
        <v>#REF!</v>
      </c>
      <c r="G931" s="31" t="e">
        <f>#REF!</f>
        <v>#REF!</v>
      </c>
      <c r="H931" s="31" t="e">
        <f>#REF!</f>
        <v>#REF!</v>
      </c>
      <c r="I931" s="31">
        <f>'تقرير المصروفات حسب الشهر'!K869</f>
        <v>0</v>
      </c>
      <c r="J931" s="31">
        <f>'تقرير المصروفات حسب الشهر'!K996</f>
        <v>0</v>
      </c>
      <c r="K931" s="31">
        <f>'تقرير المصروفات حسب الشهر'!K1123</f>
        <v>0</v>
      </c>
      <c r="L931" s="292">
        <f>IFERROR(VLOOKUP(B931,'تقرير المصروفات حسب الشهر'!$C$1143:$AD$1254,9,FALSE),0)</f>
        <v>0</v>
      </c>
      <c r="M931" s="292">
        <f>IFERROR(VLOOKUP(B931,'تقرير المصروفات حسب الشهر'!$C$1270:$AD$1381,9,FALSE),0)</f>
        <v>0</v>
      </c>
      <c r="N931" s="31" t="e">
        <f>#REF!</f>
        <v>#REF!</v>
      </c>
      <c r="O931" s="37" t="e">
        <f t="shared" si="22"/>
        <v>#REF!</v>
      </c>
    </row>
    <row r="932" spans="2:15" ht="17.399999999999999">
      <c r="B932" s="42" t="s">
        <v>207</v>
      </c>
      <c r="C932" s="39">
        <f>'تقرير المصروفات حسب الشهر'!K117</f>
        <v>0</v>
      </c>
      <c r="D932" s="31" t="e">
        <f>#REF!</f>
        <v>#REF!</v>
      </c>
      <c r="E932" s="31" t="e">
        <f>#REF!</f>
        <v>#REF!</v>
      </c>
      <c r="F932" s="31" t="e">
        <f>#REF!</f>
        <v>#REF!</v>
      </c>
      <c r="G932" s="31" t="e">
        <f>#REF!</f>
        <v>#REF!</v>
      </c>
      <c r="H932" s="31" t="e">
        <f>#REF!</f>
        <v>#REF!</v>
      </c>
      <c r="I932" s="31">
        <f>'تقرير المصروفات حسب الشهر'!K870</f>
        <v>0</v>
      </c>
      <c r="J932" s="31">
        <f>'تقرير المصروفات حسب الشهر'!K997</f>
        <v>0</v>
      </c>
      <c r="K932" s="31">
        <f>'تقرير المصروفات حسب الشهر'!K1124</f>
        <v>0</v>
      </c>
      <c r="L932" s="292">
        <f>IFERROR(VLOOKUP(B932,'تقرير المصروفات حسب الشهر'!$C$1143:$AD$1254,9,FALSE),0)</f>
        <v>0</v>
      </c>
      <c r="M932" s="292">
        <f>IFERROR(VLOOKUP(B932,'تقرير المصروفات حسب الشهر'!$C$1270:$AD$1381,9,FALSE),0)</f>
        <v>0</v>
      </c>
      <c r="N932" s="31" t="e">
        <f>#REF!</f>
        <v>#REF!</v>
      </c>
      <c r="O932" s="37" t="e">
        <f t="shared" si="22"/>
        <v>#REF!</v>
      </c>
    </row>
    <row r="933" spans="2:15" ht="17.399999999999999">
      <c r="B933" s="43" t="s">
        <v>208</v>
      </c>
      <c r="C933" s="39">
        <f>'تقرير المصروفات حسب الشهر'!K118</f>
        <v>0</v>
      </c>
      <c r="D933" s="31" t="e">
        <f>#REF!</f>
        <v>#REF!</v>
      </c>
      <c r="E933" s="31" t="e">
        <f>#REF!</f>
        <v>#REF!</v>
      </c>
      <c r="F933" s="31" t="e">
        <f>#REF!</f>
        <v>#REF!</v>
      </c>
      <c r="G933" s="31" t="e">
        <f>#REF!</f>
        <v>#REF!</v>
      </c>
      <c r="H933" s="31">
        <v>0</v>
      </c>
      <c r="I933" s="31">
        <f>'تقرير المصروفات حسب الشهر'!K871</f>
        <v>0</v>
      </c>
      <c r="J933" s="31">
        <f>'تقرير المصروفات حسب الشهر'!K998</f>
        <v>0</v>
      </c>
      <c r="K933" s="31">
        <f>'تقرير المصروفات حسب الشهر'!K1125</f>
        <v>0</v>
      </c>
      <c r="L933" s="292">
        <f>IFERROR(VLOOKUP(B933,'تقرير المصروفات حسب الشهر'!$C$1143:$AD$1254,9,FALSE),0)</f>
        <v>0</v>
      </c>
      <c r="M933" s="292">
        <f>IFERROR(VLOOKUP(B933,'تقرير المصروفات حسب الشهر'!$C$1270:$AD$1381,9,FALSE),0)</f>
        <v>0</v>
      </c>
      <c r="N933" s="31" t="e">
        <f>#REF!</f>
        <v>#REF!</v>
      </c>
      <c r="O933" s="37" t="e">
        <f t="shared" si="22"/>
        <v>#REF!</v>
      </c>
    </row>
    <row r="934" spans="2:15" ht="17.399999999999999">
      <c r="B934" s="437" t="s">
        <v>236</v>
      </c>
      <c r="C934" s="39">
        <f>'تقرير المصروفات حسب الشهر'!K119</f>
        <v>0</v>
      </c>
      <c r="D934" s="438"/>
      <c r="E934" s="438"/>
      <c r="F934" s="438"/>
      <c r="G934" s="438"/>
      <c r="H934" s="438"/>
      <c r="I934" s="438"/>
      <c r="J934" s="438"/>
      <c r="K934" s="438"/>
      <c r="L934" s="439"/>
      <c r="M934" s="439"/>
      <c r="N934" s="438"/>
      <c r="O934" s="440"/>
    </row>
    <row r="935" spans="2:15" ht="17.399999999999999">
      <c r="B935" s="437" t="s">
        <v>209</v>
      </c>
      <c r="C935" s="39">
        <f>'تقرير المصروفات حسب الشهر'!K120</f>
        <v>0</v>
      </c>
      <c r="D935" s="438"/>
      <c r="E935" s="438"/>
      <c r="F935" s="438"/>
      <c r="G935" s="438"/>
      <c r="H935" s="438"/>
      <c r="I935" s="438"/>
      <c r="J935" s="438"/>
      <c r="K935" s="438"/>
      <c r="L935" s="439"/>
      <c r="M935" s="439"/>
      <c r="N935" s="438"/>
      <c r="O935" s="440"/>
    </row>
    <row r="936" spans="2:15" ht="18" thickBot="1">
      <c r="B936" s="437" t="s">
        <v>360</v>
      </c>
      <c r="C936" s="39">
        <f>'تقرير المصروفات حسب الشهر'!K121</f>
        <v>0</v>
      </c>
      <c r="D936" s="438"/>
      <c r="E936" s="438"/>
      <c r="F936" s="438"/>
      <c r="G936" s="438"/>
      <c r="H936" s="438"/>
      <c r="I936" s="438"/>
      <c r="J936" s="438"/>
      <c r="K936" s="438"/>
      <c r="L936" s="439"/>
      <c r="M936" s="439"/>
      <c r="N936" s="438"/>
      <c r="O936" s="440"/>
    </row>
    <row r="937" spans="2:15" ht="21.6" thickBot="1">
      <c r="B937" s="29" t="s">
        <v>18</v>
      </c>
      <c r="C937" s="41">
        <f>SUM(C825:C936)</f>
        <v>16765.349999999999</v>
      </c>
      <c r="D937" s="41" t="e">
        <f t="shared" ref="D937:O937" si="23">SUM(D825:D933)</f>
        <v>#REF!</v>
      </c>
      <c r="E937" s="41" t="e">
        <f t="shared" si="23"/>
        <v>#REF!</v>
      </c>
      <c r="F937" s="41" t="e">
        <f t="shared" si="23"/>
        <v>#REF!</v>
      </c>
      <c r="G937" s="41" t="e">
        <f t="shared" si="23"/>
        <v>#REF!</v>
      </c>
      <c r="H937" s="41" t="e">
        <f t="shared" si="23"/>
        <v>#REF!</v>
      </c>
      <c r="I937" s="41">
        <f t="shared" si="23"/>
        <v>18190.689999999995</v>
      </c>
      <c r="J937" s="41">
        <f t="shared" si="23"/>
        <v>22077.859999999997</v>
      </c>
      <c r="K937" s="41">
        <f t="shared" si="23"/>
        <v>19485.009999999995</v>
      </c>
      <c r="L937" s="41">
        <f t="shared" si="23"/>
        <v>25037.989999999998</v>
      </c>
      <c r="M937" s="41">
        <f t="shared" si="23"/>
        <v>23362.73</v>
      </c>
      <c r="N937" s="41" t="e">
        <f t="shared" si="23"/>
        <v>#REF!</v>
      </c>
      <c r="O937" s="41" t="e">
        <f t="shared" si="23"/>
        <v>#REF!</v>
      </c>
    </row>
    <row r="939" spans="2:15" ht="13.8" thickBot="1"/>
    <row r="940" spans="2:15" ht="31.2" thickTop="1" thickBot="1">
      <c r="B940" s="643" t="s">
        <v>218</v>
      </c>
      <c r="C940" s="644"/>
      <c r="D940" s="644"/>
      <c r="E940" s="644"/>
      <c r="F940" s="644"/>
      <c r="G940" s="644"/>
      <c r="H940" s="644"/>
      <c r="I940" s="644"/>
      <c r="J940" s="644"/>
      <c r="K940" s="644"/>
      <c r="L940" s="644"/>
      <c r="M940" s="644"/>
      <c r="N940" s="644"/>
      <c r="O940" s="645"/>
    </row>
    <row r="941" spans="2:15" ht="17.399999999999999">
      <c r="B941" s="30" t="s">
        <v>23</v>
      </c>
      <c r="C941" s="33" t="s">
        <v>0</v>
      </c>
      <c r="D941" s="33" t="s">
        <v>1</v>
      </c>
      <c r="E941" s="34" t="s">
        <v>2</v>
      </c>
      <c r="F941" s="34" t="s">
        <v>3</v>
      </c>
      <c r="G941" s="34" t="s">
        <v>4</v>
      </c>
      <c r="H941" s="34" t="s">
        <v>5</v>
      </c>
      <c r="I941" s="34" t="s">
        <v>6</v>
      </c>
      <c r="J941" s="34" t="s">
        <v>7</v>
      </c>
      <c r="K941" s="34" t="s">
        <v>8</v>
      </c>
      <c r="L941" s="34" t="s">
        <v>9</v>
      </c>
      <c r="M941" s="34" t="s">
        <v>10</v>
      </c>
      <c r="N941" s="35" t="s">
        <v>11</v>
      </c>
      <c r="O941" s="36" t="s">
        <v>18</v>
      </c>
    </row>
    <row r="942" spans="2:15" ht="17.399999999999999">
      <c r="B942" s="42" t="s">
        <v>40</v>
      </c>
      <c r="C942" s="39">
        <f>'تقرير المصروفات حسب الشهر'!L10</f>
        <v>0</v>
      </c>
      <c r="D942" s="31" t="e">
        <f>#REF!</f>
        <v>#REF!</v>
      </c>
      <c r="E942" s="31" t="e">
        <f>#REF!</f>
        <v>#REF!</v>
      </c>
      <c r="F942" s="31" t="e">
        <f>#REF!</f>
        <v>#REF!</v>
      </c>
      <c r="G942" s="31" t="e">
        <f>#REF!</f>
        <v>#REF!</v>
      </c>
      <c r="H942" s="31" t="e">
        <f>#REF!</f>
        <v>#REF!</v>
      </c>
      <c r="I942" s="31">
        <f>'تقرير المصروفات حسب الشهر'!L763</f>
        <v>0</v>
      </c>
      <c r="J942" s="31">
        <f>'تقرير المصروفات حسب الشهر'!L890</f>
        <v>0</v>
      </c>
      <c r="K942" s="31">
        <f>'تقرير المصروفات حسب الشهر'!L1017</f>
        <v>0</v>
      </c>
      <c r="L942" s="292">
        <f>IFERROR(VLOOKUP(B942,'تقرير المصروفات حسب الشهر'!$C$1143:$AD$1254,10,FALSE),0)</f>
        <v>0</v>
      </c>
      <c r="M942" s="292">
        <f>IFERROR(VLOOKUP(B942,'تقرير المصروفات حسب الشهر'!$C$1270:$AD$1381,10,FALSE),0)</f>
        <v>0</v>
      </c>
      <c r="N942" s="31" t="e">
        <f>#REF!</f>
        <v>#REF!</v>
      </c>
      <c r="O942" s="37" t="e">
        <f>SUM(C942:N942)</f>
        <v>#REF!</v>
      </c>
    </row>
    <row r="943" spans="2:15" ht="17.399999999999999">
      <c r="B943" s="42" t="s">
        <v>41</v>
      </c>
      <c r="C943" s="39">
        <f>'تقرير المصروفات حسب الشهر'!L11</f>
        <v>17656.900000000001</v>
      </c>
      <c r="D943" s="31" t="e">
        <f>#REF!</f>
        <v>#REF!</v>
      </c>
      <c r="E943" s="31" t="e">
        <f>#REF!</f>
        <v>#REF!</v>
      </c>
      <c r="F943" s="31" t="e">
        <f>#REF!</f>
        <v>#REF!</v>
      </c>
      <c r="G943" s="31" t="e">
        <f>#REF!</f>
        <v>#REF!</v>
      </c>
      <c r="H943" s="31" t="e">
        <f>#REF!</f>
        <v>#REF!</v>
      </c>
      <c r="I943" s="31">
        <f>'تقرير المصروفات حسب الشهر'!L764</f>
        <v>19326.59</v>
      </c>
      <c r="J943" s="31">
        <f>'تقرير المصروفات حسب الشهر'!L891</f>
        <v>19712.740000000002</v>
      </c>
      <c r="K943" s="31">
        <f>'تقرير المصروفات حسب الشهر'!L1018</f>
        <v>18081.86</v>
      </c>
      <c r="L943" s="292">
        <f>IFERROR(VLOOKUP(B943,'تقرير المصروفات حسب الشهر'!$C$1143:$AD$1254,10,FALSE),0)</f>
        <v>11173.6</v>
      </c>
      <c r="M943" s="292">
        <f>IFERROR(VLOOKUP(B943,'تقرير المصروفات حسب الشهر'!$C$1270:$AD$1381,10,FALSE),0)</f>
        <v>15475.33</v>
      </c>
      <c r="N943" s="31" t="e">
        <f>#REF!</f>
        <v>#REF!</v>
      </c>
      <c r="O943" s="37" t="e">
        <f t="shared" ref="O943:O1006" si="24">SUM(C943:N943)</f>
        <v>#REF!</v>
      </c>
    </row>
    <row r="944" spans="2:15" ht="17.399999999999999">
      <c r="B944" s="42" t="s">
        <v>26</v>
      </c>
      <c r="C944" s="39">
        <f>'تقرير المصروفات حسب الشهر'!L12</f>
        <v>0</v>
      </c>
      <c r="D944" s="31" t="e">
        <f>#REF!</f>
        <v>#REF!</v>
      </c>
      <c r="E944" s="31" t="e">
        <f>#REF!</f>
        <v>#REF!</v>
      </c>
      <c r="F944" s="31" t="e">
        <f>#REF!</f>
        <v>#REF!</v>
      </c>
      <c r="G944" s="31" t="e">
        <f>#REF!</f>
        <v>#REF!</v>
      </c>
      <c r="H944" s="31" t="e">
        <f>#REF!</f>
        <v>#REF!</v>
      </c>
      <c r="I944" s="31">
        <f>'تقرير المصروفات حسب الشهر'!L765</f>
        <v>0</v>
      </c>
      <c r="J944" s="31">
        <f>'تقرير المصروفات حسب الشهر'!L892</f>
        <v>0</v>
      </c>
      <c r="K944" s="31">
        <f>'تقرير المصروفات حسب الشهر'!L1019</f>
        <v>0</v>
      </c>
      <c r="L944" s="292">
        <f>IFERROR(VLOOKUP(B944,'تقرير المصروفات حسب الشهر'!$C$1143:$AD$1254,10,FALSE),0)</f>
        <v>0</v>
      </c>
      <c r="M944" s="292">
        <f>IFERROR(VLOOKUP(B944,'تقرير المصروفات حسب الشهر'!$C$1270:$AD$1381,10,FALSE),0)</f>
        <v>0</v>
      </c>
      <c r="N944" s="31" t="e">
        <f>#REF!</f>
        <v>#REF!</v>
      </c>
      <c r="O944" s="37" t="e">
        <f t="shared" si="24"/>
        <v>#REF!</v>
      </c>
    </row>
    <row r="945" spans="2:15" ht="17.399999999999999">
      <c r="B945" s="42" t="s">
        <v>27</v>
      </c>
      <c r="C945" s="39">
        <f>'تقرير المصروفات حسب الشهر'!L13</f>
        <v>0</v>
      </c>
      <c r="D945" s="31" t="e">
        <f>#REF!</f>
        <v>#REF!</v>
      </c>
      <c r="E945" s="31" t="e">
        <f>#REF!</f>
        <v>#REF!</v>
      </c>
      <c r="F945" s="31" t="e">
        <f>#REF!</f>
        <v>#REF!</v>
      </c>
      <c r="G945" s="31" t="e">
        <f>#REF!</f>
        <v>#REF!</v>
      </c>
      <c r="H945" s="31" t="e">
        <f>#REF!</f>
        <v>#REF!</v>
      </c>
      <c r="I945" s="31">
        <f>'تقرير المصروفات حسب الشهر'!L766</f>
        <v>0</v>
      </c>
      <c r="J945" s="31">
        <f>'تقرير المصروفات حسب الشهر'!L893</f>
        <v>0</v>
      </c>
      <c r="K945" s="31">
        <f>'تقرير المصروفات حسب الشهر'!L1020</f>
        <v>0</v>
      </c>
      <c r="L945" s="292">
        <f>IFERROR(VLOOKUP(B945,'تقرير المصروفات حسب الشهر'!$C$1143:$AD$1254,10,FALSE),0)</f>
        <v>0</v>
      </c>
      <c r="M945" s="292">
        <f>IFERROR(VLOOKUP(B945,'تقرير المصروفات حسب الشهر'!$C$1270:$AD$1381,10,FALSE),0)</f>
        <v>0</v>
      </c>
      <c r="N945" s="31" t="e">
        <f>#REF!</f>
        <v>#REF!</v>
      </c>
      <c r="O945" s="37" t="e">
        <f t="shared" si="24"/>
        <v>#REF!</v>
      </c>
    </row>
    <row r="946" spans="2:15" ht="17.399999999999999">
      <c r="B946" s="42" t="s">
        <v>42</v>
      </c>
      <c r="C946" s="39">
        <f>'تقرير المصروفات حسب الشهر'!L14</f>
        <v>0</v>
      </c>
      <c r="D946" s="31" t="e">
        <f>#REF!</f>
        <v>#REF!</v>
      </c>
      <c r="E946" s="31" t="e">
        <f>#REF!</f>
        <v>#REF!</v>
      </c>
      <c r="F946" s="31" t="e">
        <f>#REF!</f>
        <v>#REF!</v>
      </c>
      <c r="G946" s="31" t="e">
        <f>#REF!</f>
        <v>#REF!</v>
      </c>
      <c r="H946" s="31" t="e">
        <f>#REF!</f>
        <v>#REF!</v>
      </c>
      <c r="I946" s="31">
        <f>'تقرير المصروفات حسب الشهر'!L767</f>
        <v>0</v>
      </c>
      <c r="J946" s="31">
        <f>'تقرير المصروفات حسب الشهر'!L894</f>
        <v>0</v>
      </c>
      <c r="K946" s="31">
        <f>'تقرير المصروفات حسب الشهر'!L1021</f>
        <v>0</v>
      </c>
      <c r="L946" s="292">
        <f>IFERROR(VLOOKUP(B946,'تقرير المصروفات حسب الشهر'!$C$1143:$AD$1254,10,FALSE),0)</f>
        <v>0</v>
      </c>
      <c r="M946" s="292">
        <f>IFERROR(VLOOKUP(B946,'تقرير المصروفات حسب الشهر'!$C$1270:$AD$1381,10,FALSE),0)</f>
        <v>0</v>
      </c>
      <c r="N946" s="31" t="e">
        <f>#REF!</f>
        <v>#REF!</v>
      </c>
      <c r="O946" s="37" t="e">
        <f t="shared" si="24"/>
        <v>#REF!</v>
      </c>
    </row>
    <row r="947" spans="2:15" ht="17.399999999999999">
      <c r="B947" s="42" t="s">
        <v>43</v>
      </c>
      <c r="C947" s="39">
        <f>'تقرير المصروفات حسب الشهر'!L15</f>
        <v>0</v>
      </c>
      <c r="D947" s="31" t="e">
        <f>#REF!</f>
        <v>#REF!</v>
      </c>
      <c r="E947" s="31" t="e">
        <f>#REF!</f>
        <v>#REF!</v>
      </c>
      <c r="F947" s="31" t="e">
        <f>#REF!</f>
        <v>#REF!</v>
      </c>
      <c r="G947" s="31" t="e">
        <f>#REF!</f>
        <v>#REF!</v>
      </c>
      <c r="H947" s="31" t="e">
        <f>#REF!</f>
        <v>#REF!</v>
      </c>
      <c r="I947" s="31">
        <f>'تقرير المصروفات حسب الشهر'!L768</f>
        <v>0</v>
      </c>
      <c r="J947" s="31">
        <f>'تقرير المصروفات حسب الشهر'!L895</f>
        <v>0</v>
      </c>
      <c r="K947" s="31">
        <f>'تقرير المصروفات حسب الشهر'!L1022</f>
        <v>0</v>
      </c>
      <c r="L947" s="292">
        <f>IFERROR(VLOOKUP(B947,'تقرير المصروفات حسب الشهر'!$C$1143:$AD$1254,10,FALSE),0)</f>
        <v>0</v>
      </c>
      <c r="M947" s="292">
        <f>IFERROR(VLOOKUP(B947,'تقرير المصروفات حسب الشهر'!$C$1270:$AD$1381,10,FALSE),0)</f>
        <v>0</v>
      </c>
      <c r="N947" s="31" t="e">
        <f>#REF!</f>
        <v>#REF!</v>
      </c>
      <c r="O947" s="37" t="e">
        <f t="shared" si="24"/>
        <v>#REF!</v>
      </c>
    </row>
    <row r="948" spans="2:15" ht="17.399999999999999">
      <c r="B948" s="42" t="s">
        <v>44</v>
      </c>
      <c r="C948" s="39">
        <f>'تقرير المصروفات حسب الشهر'!L16</f>
        <v>0</v>
      </c>
      <c r="D948" s="31" t="e">
        <f>#REF!</f>
        <v>#REF!</v>
      </c>
      <c r="E948" s="31" t="e">
        <f>#REF!</f>
        <v>#REF!</v>
      </c>
      <c r="F948" s="31" t="e">
        <f>#REF!</f>
        <v>#REF!</v>
      </c>
      <c r="G948" s="31" t="e">
        <f>#REF!</f>
        <v>#REF!</v>
      </c>
      <c r="H948" s="31" t="e">
        <f>#REF!</f>
        <v>#REF!</v>
      </c>
      <c r="I948" s="31">
        <f>'تقرير المصروفات حسب الشهر'!L769</f>
        <v>0</v>
      </c>
      <c r="J948" s="31">
        <f>'تقرير المصروفات حسب الشهر'!L896</f>
        <v>0</v>
      </c>
      <c r="K948" s="31">
        <f>'تقرير المصروفات حسب الشهر'!L1023</f>
        <v>0</v>
      </c>
      <c r="L948" s="292">
        <f>IFERROR(VLOOKUP(B948,'تقرير المصروفات حسب الشهر'!$C$1143:$AD$1254,10,FALSE),0)</f>
        <v>0</v>
      </c>
      <c r="M948" s="292">
        <f>IFERROR(VLOOKUP(B948,'تقرير المصروفات حسب الشهر'!$C$1270:$AD$1381,10,FALSE),0)</f>
        <v>0</v>
      </c>
      <c r="N948" s="31" t="e">
        <f>#REF!</f>
        <v>#REF!</v>
      </c>
      <c r="O948" s="37" t="e">
        <f t="shared" si="24"/>
        <v>#REF!</v>
      </c>
    </row>
    <row r="949" spans="2:15" ht="17.399999999999999">
      <c r="B949" s="42" t="s">
        <v>45</v>
      </c>
      <c r="C949" s="39">
        <f>'تقرير المصروفات حسب الشهر'!L17</f>
        <v>0</v>
      </c>
      <c r="D949" s="31" t="e">
        <f>#REF!</f>
        <v>#REF!</v>
      </c>
      <c r="E949" s="31" t="e">
        <f>#REF!</f>
        <v>#REF!</v>
      </c>
      <c r="F949" s="31" t="e">
        <f>#REF!</f>
        <v>#REF!</v>
      </c>
      <c r="G949" s="31" t="e">
        <f>#REF!</f>
        <v>#REF!</v>
      </c>
      <c r="H949" s="31" t="e">
        <f>#REF!</f>
        <v>#REF!</v>
      </c>
      <c r="I949" s="31">
        <f>'تقرير المصروفات حسب الشهر'!L770</f>
        <v>0</v>
      </c>
      <c r="J949" s="31">
        <f>'تقرير المصروفات حسب الشهر'!L897</f>
        <v>0</v>
      </c>
      <c r="K949" s="31">
        <f>'تقرير المصروفات حسب الشهر'!L1024</f>
        <v>0</v>
      </c>
      <c r="L949" s="292">
        <f>IFERROR(VLOOKUP(B949,'تقرير المصروفات حسب الشهر'!$C$1143:$AD$1254,10,FALSE),0)</f>
        <v>0</v>
      </c>
      <c r="M949" s="292">
        <f>IFERROR(VLOOKUP(B949,'تقرير المصروفات حسب الشهر'!$C$1270:$AD$1381,10,FALSE),0)</f>
        <v>0</v>
      </c>
      <c r="N949" s="31" t="e">
        <f>#REF!</f>
        <v>#REF!</v>
      </c>
      <c r="O949" s="37" t="e">
        <f t="shared" si="24"/>
        <v>#REF!</v>
      </c>
    </row>
    <row r="950" spans="2:15" ht="17.399999999999999">
      <c r="B950" s="42" t="s">
        <v>156</v>
      </c>
      <c r="C950" s="39">
        <f>'تقرير المصروفات حسب الشهر'!L18</f>
        <v>0</v>
      </c>
      <c r="D950" s="31" t="e">
        <f>#REF!</f>
        <v>#REF!</v>
      </c>
      <c r="E950" s="31" t="e">
        <f>#REF!</f>
        <v>#REF!</v>
      </c>
      <c r="F950" s="31" t="e">
        <f>#REF!</f>
        <v>#REF!</v>
      </c>
      <c r="G950" s="31" t="e">
        <f>#REF!</f>
        <v>#REF!</v>
      </c>
      <c r="H950" s="31" t="e">
        <f>#REF!</f>
        <v>#REF!</v>
      </c>
      <c r="I950" s="31">
        <f>'تقرير المصروفات حسب الشهر'!L771</f>
        <v>0</v>
      </c>
      <c r="J950" s="31">
        <f>'تقرير المصروفات حسب الشهر'!L898</f>
        <v>0</v>
      </c>
      <c r="K950" s="31">
        <f>'تقرير المصروفات حسب الشهر'!L1025</f>
        <v>0</v>
      </c>
      <c r="L950" s="292">
        <f>IFERROR(VLOOKUP(B950,'تقرير المصروفات حسب الشهر'!$C$1143:$AD$1254,10,FALSE),0)</f>
        <v>0</v>
      </c>
      <c r="M950" s="292">
        <f>IFERROR(VLOOKUP(B950,'تقرير المصروفات حسب الشهر'!$C$1270:$AD$1381,10,FALSE),0)</f>
        <v>0</v>
      </c>
      <c r="N950" s="31" t="e">
        <f>#REF!</f>
        <v>#REF!</v>
      </c>
      <c r="O950" s="37" t="e">
        <f t="shared" si="24"/>
        <v>#REF!</v>
      </c>
    </row>
    <row r="951" spans="2:15" ht="17.399999999999999">
      <c r="B951" s="42" t="s">
        <v>46</v>
      </c>
      <c r="C951" s="39">
        <f>'تقرير المصروفات حسب الشهر'!L19</f>
        <v>65.87</v>
      </c>
      <c r="D951" s="31" t="e">
        <f>#REF!</f>
        <v>#REF!</v>
      </c>
      <c r="E951" s="31" t="e">
        <f>#REF!</f>
        <v>#REF!</v>
      </c>
      <c r="F951" s="31" t="e">
        <f>#REF!</f>
        <v>#REF!</v>
      </c>
      <c r="G951" s="31" t="e">
        <f>#REF!</f>
        <v>#REF!</v>
      </c>
      <c r="H951" s="31" t="e">
        <f>#REF!</f>
        <v>#REF!</v>
      </c>
      <c r="I951" s="31">
        <f>'تقرير المصروفات حسب الشهر'!L772</f>
        <v>65.87</v>
      </c>
      <c r="J951" s="31">
        <f>'تقرير المصروفات حسب الشهر'!L899</f>
        <v>65.87</v>
      </c>
      <c r="K951" s="31">
        <f>'تقرير المصروفات حسب الشهر'!L1026</f>
        <v>65.87</v>
      </c>
      <c r="L951" s="292">
        <f>IFERROR(VLOOKUP(B951,'تقرير المصروفات حسب الشهر'!$C$1143:$AD$1254,10,FALSE),0)</f>
        <v>65.88</v>
      </c>
      <c r="M951" s="292">
        <f>IFERROR(VLOOKUP(B951,'تقرير المصروفات حسب الشهر'!$C$1270:$AD$1381,10,FALSE),0)</f>
        <v>65.87</v>
      </c>
      <c r="N951" s="31" t="e">
        <f>#REF!</f>
        <v>#REF!</v>
      </c>
      <c r="O951" s="37" t="e">
        <f t="shared" si="24"/>
        <v>#REF!</v>
      </c>
    </row>
    <row r="952" spans="2:15" ht="17.399999999999999">
      <c r="B952" s="42" t="s">
        <v>47</v>
      </c>
      <c r="C952" s="39">
        <f>'تقرير المصروفات حسب الشهر'!L20</f>
        <v>0</v>
      </c>
      <c r="D952" s="31" t="e">
        <f>#REF!</f>
        <v>#REF!</v>
      </c>
      <c r="E952" s="31" t="e">
        <f>#REF!</f>
        <v>#REF!</v>
      </c>
      <c r="F952" s="31" t="e">
        <f>#REF!</f>
        <v>#REF!</v>
      </c>
      <c r="G952" s="31" t="e">
        <f>#REF!</f>
        <v>#REF!</v>
      </c>
      <c r="H952" s="31" t="e">
        <f>#REF!</f>
        <v>#REF!</v>
      </c>
      <c r="I952" s="31">
        <f>'تقرير المصروفات حسب الشهر'!L773</f>
        <v>0</v>
      </c>
      <c r="J952" s="31">
        <f>'تقرير المصروفات حسب الشهر'!L900</f>
        <v>0</v>
      </c>
      <c r="K952" s="31">
        <f>'تقرير المصروفات حسب الشهر'!L1027</f>
        <v>0</v>
      </c>
      <c r="L952" s="292">
        <f>IFERROR(VLOOKUP(B952,'تقرير المصروفات حسب الشهر'!$C$1143:$AD$1254,10,FALSE),0)</f>
        <v>0</v>
      </c>
      <c r="M952" s="292">
        <f>IFERROR(VLOOKUP(B952,'تقرير المصروفات حسب الشهر'!$C$1270:$AD$1381,10,FALSE),0)</f>
        <v>0</v>
      </c>
      <c r="N952" s="31" t="e">
        <f>#REF!</f>
        <v>#REF!</v>
      </c>
      <c r="O952" s="37" t="e">
        <f t="shared" si="24"/>
        <v>#REF!</v>
      </c>
    </row>
    <row r="953" spans="2:15" ht="17.399999999999999">
      <c r="B953" s="42" t="s">
        <v>48</v>
      </c>
      <c r="C953" s="39">
        <f>'تقرير المصروفات حسب الشهر'!L21</f>
        <v>0</v>
      </c>
      <c r="D953" s="31" t="e">
        <f>#REF!</f>
        <v>#REF!</v>
      </c>
      <c r="E953" s="31" t="e">
        <f>#REF!</f>
        <v>#REF!</v>
      </c>
      <c r="F953" s="31" t="e">
        <f>#REF!</f>
        <v>#REF!</v>
      </c>
      <c r="G953" s="31" t="e">
        <f>#REF!</f>
        <v>#REF!</v>
      </c>
      <c r="H953" s="31" t="e">
        <f>#REF!</f>
        <v>#REF!</v>
      </c>
      <c r="I953" s="31">
        <f>'تقرير المصروفات حسب الشهر'!L774</f>
        <v>0</v>
      </c>
      <c r="J953" s="31">
        <f>'تقرير المصروفات حسب الشهر'!L901</f>
        <v>0</v>
      </c>
      <c r="K953" s="31">
        <f>'تقرير المصروفات حسب الشهر'!L1028</f>
        <v>0</v>
      </c>
      <c r="L953" s="292">
        <f>IFERROR(VLOOKUP(B953,'تقرير المصروفات حسب الشهر'!$C$1143:$AD$1254,10,FALSE),0)</f>
        <v>0</v>
      </c>
      <c r="M953" s="292">
        <f>IFERROR(VLOOKUP(B953,'تقرير المصروفات حسب الشهر'!$C$1270:$AD$1381,10,FALSE),0)</f>
        <v>0</v>
      </c>
      <c r="N953" s="31" t="e">
        <f>#REF!</f>
        <v>#REF!</v>
      </c>
      <c r="O953" s="37" t="e">
        <f t="shared" si="24"/>
        <v>#REF!</v>
      </c>
    </row>
    <row r="954" spans="2:15" ht="17.399999999999999">
      <c r="B954" s="42" t="s">
        <v>49</v>
      </c>
      <c r="C954" s="39">
        <f>'تقرير المصروفات حسب الشهر'!L22</f>
        <v>0</v>
      </c>
      <c r="D954" s="31" t="e">
        <f>#REF!</f>
        <v>#REF!</v>
      </c>
      <c r="E954" s="31" t="e">
        <f>#REF!</f>
        <v>#REF!</v>
      </c>
      <c r="F954" s="31" t="e">
        <f>#REF!</f>
        <v>#REF!</v>
      </c>
      <c r="G954" s="31" t="e">
        <f>#REF!</f>
        <v>#REF!</v>
      </c>
      <c r="H954" s="31" t="e">
        <f>#REF!</f>
        <v>#REF!</v>
      </c>
      <c r="I954" s="31">
        <f>'تقرير المصروفات حسب الشهر'!L775</f>
        <v>0</v>
      </c>
      <c r="J954" s="31">
        <f>'تقرير المصروفات حسب الشهر'!L902</f>
        <v>0</v>
      </c>
      <c r="K954" s="31">
        <f>'تقرير المصروفات حسب الشهر'!L1029</f>
        <v>0</v>
      </c>
      <c r="L954" s="292">
        <f>IFERROR(VLOOKUP(B954,'تقرير المصروفات حسب الشهر'!$C$1143:$AD$1254,10,FALSE),0)</f>
        <v>0</v>
      </c>
      <c r="M954" s="292">
        <f>IFERROR(VLOOKUP(B954,'تقرير المصروفات حسب الشهر'!$C$1270:$AD$1381,10,FALSE),0)</f>
        <v>0</v>
      </c>
      <c r="N954" s="31" t="e">
        <f>#REF!</f>
        <v>#REF!</v>
      </c>
      <c r="O954" s="37" t="e">
        <f t="shared" si="24"/>
        <v>#REF!</v>
      </c>
    </row>
    <row r="955" spans="2:15" ht="17.399999999999999">
      <c r="B955" s="42" t="s">
        <v>158</v>
      </c>
      <c r="C955" s="39">
        <f>'تقرير المصروفات حسب الشهر'!L23</f>
        <v>0</v>
      </c>
      <c r="D955" s="31" t="e">
        <f>#REF!</f>
        <v>#REF!</v>
      </c>
      <c r="E955" s="31" t="e">
        <f>#REF!</f>
        <v>#REF!</v>
      </c>
      <c r="F955" s="31" t="e">
        <f>#REF!</f>
        <v>#REF!</v>
      </c>
      <c r="G955" s="31" t="e">
        <f>#REF!</f>
        <v>#REF!</v>
      </c>
      <c r="H955" s="31" t="e">
        <f>#REF!</f>
        <v>#REF!</v>
      </c>
      <c r="I955" s="31">
        <f>'تقرير المصروفات حسب الشهر'!L776</f>
        <v>0</v>
      </c>
      <c r="J955" s="31">
        <f>'تقرير المصروفات حسب الشهر'!L903</f>
        <v>0</v>
      </c>
      <c r="K955" s="31">
        <f>'تقرير المصروفات حسب الشهر'!L1030</f>
        <v>0</v>
      </c>
      <c r="L955" s="292">
        <f>IFERROR(VLOOKUP(B955,'تقرير المصروفات حسب الشهر'!$C$1143:$AD$1254,10,FALSE),0)</f>
        <v>0</v>
      </c>
      <c r="M955" s="292">
        <f>IFERROR(VLOOKUP(B955,'تقرير المصروفات حسب الشهر'!$C$1270:$AD$1381,10,FALSE),0)</f>
        <v>0</v>
      </c>
      <c r="N955" s="31" t="e">
        <f>#REF!</f>
        <v>#REF!</v>
      </c>
      <c r="O955" s="37" t="e">
        <f t="shared" si="24"/>
        <v>#REF!</v>
      </c>
    </row>
    <row r="956" spans="2:15" ht="17.399999999999999">
      <c r="B956" s="42" t="s">
        <v>50</v>
      </c>
      <c r="C956" s="39">
        <f>'تقرير المصروفات حسب الشهر'!L24</f>
        <v>1500</v>
      </c>
      <c r="D956" s="31" t="e">
        <f>#REF!</f>
        <v>#REF!</v>
      </c>
      <c r="E956" s="31" t="e">
        <f>#REF!</f>
        <v>#REF!</v>
      </c>
      <c r="F956" s="31" t="e">
        <f>#REF!</f>
        <v>#REF!</v>
      </c>
      <c r="G956" s="31" t="e">
        <f>#REF!</f>
        <v>#REF!</v>
      </c>
      <c r="H956" s="31" t="e">
        <f>#REF!</f>
        <v>#REF!</v>
      </c>
      <c r="I956" s="31">
        <f>'تقرير المصروفات حسب الشهر'!L777</f>
        <v>0</v>
      </c>
      <c r="J956" s="31">
        <f>'تقرير المصروفات حسب الشهر'!L904</f>
        <v>770</v>
      </c>
      <c r="K956" s="31">
        <f>'تقرير المصروفات حسب الشهر'!L1031</f>
        <v>0</v>
      </c>
      <c r="L956" s="292">
        <f>IFERROR(VLOOKUP(B956,'تقرير المصروفات حسب الشهر'!$C$1143:$AD$1254,10,FALSE),0)</f>
        <v>770</v>
      </c>
      <c r="M956" s="292">
        <f>IFERROR(VLOOKUP(B956,'تقرير المصروفات حسب الشهر'!$C$1270:$AD$1381,10,FALSE),0)</f>
        <v>0</v>
      </c>
      <c r="N956" s="31" t="e">
        <f>#REF!</f>
        <v>#REF!</v>
      </c>
      <c r="O956" s="37" t="e">
        <f t="shared" si="24"/>
        <v>#REF!</v>
      </c>
    </row>
    <row r="957" spans="2:15" ht="17.399999999999999">
      <c r="B957" s="42" t="s">
        <v>51</v>
      </c>
      <c r="C957" s="39">
        <f>'تقرير المصروفات حسب الشهر'!L25</f>
        <v>0</v>
      </c>
      <c r="D957" s="31" t="e">
        <f>#REF!</f>
        <v>#REF!</v>
      </c>
      <c r="E957" s="31" t="e">
        <f>#REF!</f>
        <v>#REF!</v>
      </c>
      <c r="F957" s="31" t="e">
        <f>#REF!</f>
        <v>#REF!</v>
      </c>
      <c r="G957" s="31" t="e">
        <f>#REF!</f>
        <v>#REF!</v>
      </c>
      <c r="H957" s="31" t="e">
        <f>#REF!</f>
        <v>#REF!</v>
      </c>
      <c r="I957" s="31">
        <f>'تقرير المصروفات حسب الشهر'!L778</f>
        <v>0</v>
      </c>
      <c r="J957" s="31">
        <f>'تقرير المصروفات حسب الشهر'!L905</f>
        <v>0</v>
      </c>
      <c r="K957" s="31">
        <f>'تقرير المصروفات حسب الشهر'!L1032</f>
        <v>0</v>
      </c>
      <c r="L957" s="292">
        <f>IFERROR(VLOOKUP(B957,'تقرير المصروفات حسب الشهر'!$C$1143:$AD$1254,10,FALSE),0)</f>
        <v>0</v>
      </c>
      <c r="M957" s="292">
        <f>IFERROR(VLOOKUP(B957,'تقرير المصروفات حسب الشهر'!$C$1270:$AD$1381,10,FALSE),0)</f>
        <v>0</v>
      </c>
      <c r="N957" s="31" t="e">
        <f>#REF!</f>
        <v>#REF!</v>
      </c>
      <c r="O957" s="37" t="e">
        <f t="shared" si="24"/>
        <v>#REF!</v>
      </c>
    </row>
    <row r="958" spans="2:15" ht="17.399999999999999">
      <c r="B958" s="42" t="s">
        <v>52</v>
      </c>
      <c r="C958" s="39">
        <f>'تقرير المصروفات حسب الشهر'!L26</f>
        <v>0</v>
      </c>
      <c r="D958" s="31" t="e">
        <f>#REF!</f>
        <v>#REF!</v>
      </c>
      <c r="E958" s="31" t="e">
        <f>#REF!</f>
        <v>#REF!</v>
      </c>
      <c r="F958" s="31" t="e">
        <f>#REF!</f>
        <v>#REF!</v>
      </c>
      <c r="G958" s="31" t="e">
        <f>#REF!</f>
        <v>#REF!</v>
      </c>
      <c r="H958" s="31" t="e">
        <f>#REF!</f>
        <v>#REF!</v>
      </c>
      <c r="I958" s="31">
        <f>'تقرير المصروفات حسب الشهر'!L779</f>
        <v>0</v>
      </c>
      <c r="J958" s="31">
        <f>'تقرير المصروفات حسب الشهر'!L906</f>
        <v>0</v>
      </c>
      <c r="K958" s="31">
        <f>'تقرير المصروفات حسب الشهر'!L1033</f>
        <v>0</v>
      </c>
      <c r="L958" s="292">
        <f>IFERROR(VLOOKUP(B958,'تقرير المصروفات حسب الشهر'!$C$1143:$AD$1254,10,FALSE),0)</f>
        <v>0</v>
      </c>
      <c r="M958" s="292">
        <f>IFERROR(VLOOKUP(B958,'تقرير المصروفات حسب الشهر'!$C$1270:$AD$1381,10,FALSE),0)</f>
        <v>0</v>
      </c>
      <c r="N958" s="31" t="e">
        <f>#REF!</f>
        <v>#REF!</v>
      </c>
      <c r="O958" s="37" t="e">
        <f t="shared" si="24"/>
        <v>#REF!</v>
      </c>
    </row>
    <row r="959" spans="2:15" ht="17.399999999999999">
      <c r="B959" s="42" t="s">
        <v>174</v>
      </c>
      <c r="C959" s="39">
        <f>'تقرير المصروفات حسب الشهر'!L27</f>
        <v>0</v>
      </c>
      <c r="D959" s="31" t="e">
        <f>#REF!</f>
        <v>#REF!</v>
      </c>
      <c r="E959" s="31" t="e">
        <f>#REF!</f>
        <v>#REF!</v>
      </c>
      <c r="F959" s="31" t="e">
        <f>#REF!</f>
        <v>#REF!</v>
      </c>
      <c r="G959" s="31" t="e">
        <f>#REF!</f>
        <v>#REF!</v>
      </c>
      <c r="H959" s="31" t="e">
        <f>#REF!</f>
        <v>#REF!</v>
      </c>
      <c r="I959" s="31">
        <f>'تقرير المصروفات حسب الشهر'!L780</f>
        <v>0</v>
      </c>
      <c r="J959" s="31">
        <f>'تقرير المصروفات حسب الشهر'!L907</f>
        <v>0</v>
      </c>
      <c r="K959" s="31">
        <f>'تقرير المصروفات حسب الشهر'!L1034</f>
        <v>0</v>
      </c>
      <c r="L959" s="292">
        <f>IFERROR(VLOOKUP(B959,'تقرير المصروفات حسب الشهر'!$C$1143:$AD$1254,10,FALSE),0)</f>
        <v>0</v>
      </c>
      <c r="M959" s="292">
        <f>IFERROR(VLOOKUP(B959,'تقرير المصروفات حسب الشهر'!$C$1270:$AD$1381,10,FALSE),0)</f>
        <v>506</v>
      </c>
      <c r="N959" s="31" t="e">
        <f>#REF!</f>
        <v>#REF!</v>
      </c>
      <c r="O959" s="37" t="e">
        <f t="shared" si="24"/>
        <v>#REF!</v>
      </c>
    </row>
    <row r="960" spans="2:15" ht="17.399999999999999">
      <c r="B960" s="42" t="s">
        <v>53</v>
      </c>
      <c r="C960" s="39">
        <f>'تقرير المصروفات حسب الشهر'!L28</f>
        <v>0</v>
      </c>
      <c r="D960" s="31" t="e">
        <f>#REF!</f>
        <v>#REF!</v>
      </c>
      <c r="E960" s="31" t="e">
        <f>#REF!</f>
        <v>#REF!</v>
      </c>
      <c r="F960" s="31" t="e">
        <f>#REF!</f>
        <v>#REF!</v>
      </c>
      <c r="G960" s="31" t="e">
        <f>#REF!</f>
        <v>#REF!</v>
      </c>
      <c r="H960" s="31" t="e">
        <f>#REF!</f>
        <v>#REF!</v>
      </c>
      <c r="I960" s="31">
        <f>'تقرير المصروفات حسب الشهر'!L781</f>
        <v>0</v>
      </c>
      <c r="J960" s="31">
        <f>'تقرير المصروفات حسب الشهر'!L908</f>
        <v>0</v>
      </c>
      <c r="K960" s="31">
        <f>'تقرير المصروفات حسب الشهر'!L1035</f>
        <v>0</v>
      </c>
      <c r="L960" s="292">
        <f>IFERROR(VLOOKUP(B960,'تقرير المصروفات حسب الشهر'!$C$1143:$AD$1254,10,FALSE),0)</f>
        <v>0</v>
      </c>
      <c r="M960" s="292">
        <f>IFERROR(VLOOKUP(B960,'تقرير المصروفات حسب الشهر'!$C$1270:$AD$1381,10,FALSE),0)</f>
        <v>0</v>
      </c>
      <c r="N960" s="31" t="e">
        <f>#REF!</f>
        <v>#REF!</v>
      </c>
      <c r="O960" s="37" t="e">
        <f t="shared" si="24"/>
        <v>#REF!</v>
      </c>
    </row>
    <row r="961" spans="2:15" ht="17.399999999999999">
      <c r="B961" s="42" t="s">
        <v>191</v>
      </c>
      <c r="C961" s="39">
        <f>'تقرير المصروفات حسب الشهر'!L29</f>
        <v>0</v>
      </c>
      <c r="D961" s="31" t="e">
        <f>#REF!</f>
        <v>#REF!</v>
      </c>
      <c r="E961" s="31" t="e">
        <f>#REF!</f>
        <v>#REF!</v>
      </c>
      <c r="F961" s="31" t="e">
        <f>#REF!</f>
        <v>#REF!</v>
      </c>
      <c r="G961" s="31" t="e">
        <f>#REF!</f>
        <v>#REF!</v>
      </c>
      <c r="H961" s="31" t="e">
        <f>#REF!</f>
        <v>#REF!</v>
      </c>
      <c r="I961" s="31">
        <f>'تقرير المصروفات حسب الشهر'!L782</f>
        <v>0</v>
      </c>
      <c r="J961" s="31">
        <f>'تقرير المصروفات حسب الشهر'!L909</f>
        <v>0</v>
      </c>
      <c r="K961" s="31">
        <f>'تقرير المصروفات حسب الشهر'!L1036</f>
        <v>0</v>
      </c>
      <c r="L961" s="292">
        <f>IFERROR(VLOOKUP(B961,'تقرير المصروفات حسب الشهر'!$C$1143:$AD$1254,10,FALSE),0)</f>
        <v>0</v>
      </c>
      <c r="M961" s="292">
        <f>IFERROR(VLOOKUP(B961,'تقرير المصروفات حسب الشهر'!$C$1270:$AD$1381,10,FALSE),0)</f>
        <v>0</v>
      </c>
      <c r="N961" s="31" t="e">
        <f>#REF!</f>
        <v>#REF!</v>
      </c>
      <c r="O961" s="37" t="e">
        <f t="shared" si="24"/>
        <v>#REF!</v>
      </c>
    </row>
    <row r="962" spans="2:15" ht="17.399999999999999">
      <c r="B962" s="42" t="s">
        <v>29</v>
      </c>
      <c r="C962" s="39">
        <f>'تقرير المصروفات حسب الشهر'!L30</f>
        <v>0</v>
      </c>
      <c r="D962" s="31" t="e">
        <f>#REF!</f>
        <v>#REF!</v>
      </c>
      <c r="E962" s="31" t="e">
        <f>#REF!</f>
        <v>#REF!</v>
      </c>
      <c r="F962" s="31" t="e">
        <f>#REF!</f>
        <v>#REF!</v>
      </c>
      <c r="G962" s="31" t="e">
        <f>#REF!</f>
        <v>#REF!</v>
      </c>
      <c r="H962" s="31" t="e">
        <f>#REF!</f>
        <v>#REF!</v>
      </c>
      <c r="I962" s="31">
        <f>'تقرير المصروفات حسب الشهر'!L783</f>
        <v>0</v>
      </c>
      <c r="J962" s="31">
        <f>'تقرير المصروفات حسب الشهر'!L910</f>
        <v>0</v>
      </c>
      <c r="K962" s="31">
        <f>'تقرير المصروفات حسب الشهر'!L1037</f>
        <v>0</v>
      </c>
      <c r="L962" s="292">
        <f>IFERROR(VLOOKUP(B962,'تقرير المصروفات حسب الشهر'!$C$1143:$AD$1254,10,FALSE),0)</f>
        <v>0</v>
      </c>
      <c r="M962" s="292">
        <f>IFERROR(VLOOKUP(B962,'تقرير المصروفات حسب الشهر'!$C$1270:$AD$1381,10,FALSE),0)</f>
        <v>0</v>
      </c>
      <c r="N962" s="31" t="e">
        <f>#REF!</f>
        <v>#REF!</v>
      </c>
      <c r="O962" s="37" t="e">
        <f t="shared" si="24"/>
        <v>#REF!</v>
      </c>
    </row>
    <row r="963" spans="2:15" ht="17.399999999999999">
      <c r="B963" s="42" t="s">
        <v>54</v>
      </c>
      <c r="C963" s="39">
        <f>'تقرير المصروفات حسب الشهر'!L31</f>
        <v>0</v>
      </c>
      <c r="D963" s="31" t="e">
        <f>#REF!</f>
        <v>#REF!</v>
      </c>
      <c r="E963" s="31" t="e">
        <f>#REF!</f>
        <v>#REF!</v>
      </c>
      <c r="F963" s="31" t="e">
        <f>#REF!</f>
        <v>#REF!</v>
      </c>
      <c r="G963" s="31" t="e">
        <f>#REF!</f>
        <v>#REF!</v>
      </c>
      <c r="H963" s="31" t="e">
        <f>#REF!</f>
        <v>#REF!</v>
      </c>
      <c r="I963" s="31">
        <f>'تقرير المصروفات حسب الشهر'!L784</f>
        <v>0</v>
      </c>
      <c r="J963" s="31">
        <f>'تقرير المصروفات حسب الشهر'!L911</f>
        <v>0</v>
      </c>
      <c r="K963" s="31">
        <f>'تقرير المصروفات حسب الشهر'!L1038</f>
        <v>0</v>
      </c>
      <c r="L963" s="292">
        <f>IFERROR(VLOOKUP(B963,'تقرير المصروفات حسب الشهر'!$C$1143:$AD$1254,10,FALSE),0)</f>
        <v>0</v>
      </c>
      <c r="M963" s="292">
        <f>IFERROR(VLOOKUP(B963,'تقرير المصروفات حسب الشهر'!$C$1270:$AD$1381,10,FALSE),0)</f>
        <v>0</v>
      </c>
      <c r="N963" s="31" t="e">
        <f>#REF!</f>
        <v>#REF!</v>
      </c>
      <c r="O963" s="37" t="e">
        <f t="shared" si="24"/>
        <v>#REF!</v>
      </c>
    </row>
    <row r="964" spans="2:15" ht="17.399999999999999">
      <c r="B964" s="42" t="s">
        <v>31</v>
      </c>
      <c r="C964" s="39">
        <f>'تقرير المصروفات حسب الشهر'!L32</f>
        <v>0</v>
      </c>
      <c r="D964" s="31" t="e">
        <f>#REF!</f>
        <v>#REF!</v>
      </c>
      <c r="E964" s="31" t="e">
        <f>#REF!</f>
        <v>#REF!</v>
      </c>
      <c r="F964" s="31" t="e">
        <f>#REF!</f>
        <v>#REF!</v>
      </c>
      <c r="G964" s="31" t="e">
        <f>#REF!</f>
        <v>#REF!</v>
      </c>
      <c r="H964" s="31" t="e">
        <f>#REF!</f>
        <v>#REF!</v>
      </c>
      <c r="I964" s="31">
        <f>'تقرير المصروفات حسب الشهر'!L785</f>
        <v>0</v>
      </c>
      <c r="J964" s="31">
        <f>'تقرير المصروفات حسب الشهر'!L912</f>
        <v>0</v>
      </c>
      <c r="K964" s="31">
        <f>'تقرير المصروفات حسب الشهر'!L1039</f>
        <v>0</v>
      </c>
      <c r="L964" s="292">
        <f>IFERROR(VLOOKUP(B964,'تقرير المصروفات حسب الشهر'!$C$1143:$AD$1254,10,FALSE),0)</f>
        <v>0</v>
      </c>
      <c r="M964" s="292">
        <f>IFERROR(VLOOKUP(B964,'تقرير المصروفات حسب الشهر'!$C$1270:$AD$1381,10,FALSE),0)</f>
        <v>0</v>
      </c>
      <c r="N964" s="31" t="e">
        <f>#REF!</f>
        <v>#REF!</v>
      </c>
      <c r="O964" s="37" t="e">
        <f t="shared" si="24"/>
        <v>#REF!</v>
      </c>
    </row>
    <row r="965" spans="2:15" ht="17.399999999999999">
      <c r="B965" s="42" t="s">
        <v>55</v>
      </c>
      <c r="C965" s="39">
        <f>'تقرير المصروفات حسب الشهر'!L33</f>
        <v>0</v>
      </c>
      <c r="D965" s="31" t="e">
        <f>#REF!</f>
        <v>#REF!</v>
      </c>
      <c r="E965" s="31" t="e">
        <f>#REF!</f>
        <v>#REF!</v>
      </c>
      <c r="F965" s="31" t="e">
        <f>#REF!</f>
        <v>#REF!</v>
      </c>
      <c r="G965" s="31" t="e">
        <f>#REF!</f>
        <v>#REF!</v>
      </c>
      <c r="H965" s="31" t="e">
        <f>#REF!</f>
        <v>#REF!</v>
      </c>
      <c r="I965" s="31">
        <f>'تقرير المصروفات حسب الشهر'!L786</f>
        <v>0</v>
      </c>
      <c r="J965" s="31">
        <f>'تقرير المصروفات حسب الشهر'!L913</f>
        <v>0</v>
      </c>
      <c r="K965" s="31">
        <f>'تقرير المصروفات حسب الشهر'!L1040</f>
        <v>0</v>
      </c>
      <c r="L965" s="292">
        <f>IFERROR(VLOOKUP(B965,'تقرير المصروفات حسب الشهر'!$C$1143:$AD$1254,10,FALSE),0)</f>
        <v>0</v>
      </c>
      <c r="M965" s="292">
        <f>IFERROR(VLOOKUP(B965,'تقرير المصروفات حسب الشهر'!$C$1270:$AD$1381,10,FALSE),0)</f>
        <v>0</v>
      </c>
      <c r="N965" s="31" t="e">
        <f>#REF!</f>
        <v>#REF!</v>
      </c>
      <c r="O965" s="37" t="e">
        <f t="shared" si="24"/>
        <v>#REF!</v>
      </c>
    </row>
    <row r="966" spans="2:15" ht="17.399999999999999">
      <c r="B966" s="42" t="s">
        <v>56</v>
      </c>
      <c r="C966" s="39">
        <f>'تقرير المصروفات حسب الشهر'!L34</f>
        <v>0</v>
      </c>
      <c r="D966" s="31" t="e">
        <f>#REF!</f>
        <v>#REF!</v>
      </c>
      <c r="E966" s="31" t="e">
        <f>#REF!</f>
        <v>#REF!</v>
      </c>
      <c r="F966" s="31" t="e">
        <f>#REF!</f>
        <v>#REF!</v>
      </c>
      <c r="G966" s="31" t="e">
        <f>#REF!</f>
        <v>#REF!</v>
      </c>
      <c r="H966" s="31" t="e">
        <f>#REF!</f>
        <v>#REF!</v>
      </c>
      <c r="I966" s="31">
        <f>'تقرير المصروفات حسب الشهر'!L787</f>
        <v>0</v>
      </c>
      <c r="J966" s="31">
        <f>'تقرير المصروفات حسب الشهر'!L914</f>
        <v>0</v>
      </c>
      <c r="K966" s="31">
        <f>'تقرير المصروفات حسب الشهر'!L1041</f>
        <v>0</v>
      </c>
      <c r="L966" s="292">
        <f>IFERROR(VLOOKUP(B966,'تقرير المصروفات حسب الشهر'!$C$1143:$AD$1254,10,FALSE),0)</f>
        <v>0</v>
      </c>
      <c r="M966" s="292">
        <f>IFERROR(VLOOKUP(B966,'تقرير المصروفات حسب الشهر'!$C$1270:$AD$1381,10,FALSE),0)</f>
        <v>0</v>
      </c>
      <c r="N966" s="31" t="e">
        <f>#REF!</f>
        <v>#REF!</v>
      </c>
      <c r="O966" s="37" t="e">
        <f t="shared" si="24"/>
        <v>#REF!</v>
      </c>
    </row>
    <row r="967" spans="2:15" ht="17.399999999999999">
      <c r="B967" s="42" t="s">
        <v>57</v>
      </c>
      <c r="C967" s="39">
        <f>'تقرير المصروفات حسب الشهر'!L35</f>
        <v>0</v>
      </c>
      <c r="D967" s="31" t="e">
        <f>#REF!</f>
        <v>#REF!</v>
      </c>
      <c r="E967" s="31" t="e">
        <f>#REF!</f>
        <v>#REF!</v>
      </c>
      <c r="F967" s="31" t="e">
        <f>#REF!</f>
        <v>#REF!</v>
      </c>
      <c r="G967" s="31" t="e">
        <f>#REF!</f>
        <v>#REF!</v>
      </c>
      <c r="H967" s="31" t="e">
        <f>#REF!</f>
        <v>#REF!</v>
      </c>
      <c r="I967" s="31">
        <f>'تقرير المصروفات حسب الشهر'!L788</f>
        <v>0</v>
      </c>
      <c r="J967" s="31">
        <f>'تقرير المصروفات حسب الشهر'!L915</f>
        <v>0</v>
      </c>
      <c r="K967" s="31">
        <f>'تقرير المصروفات حسب الشهر'!L1042</f>
        <v>0</v>
      </c>
      <c r="L967" s="292">
        <f>IFERROR(VLOOKUP(B967,'تقرير المصروفات حسب الشهر'!$C$1143:$AD$1254,10,FALSE),0)</f>
        <v>0</v>
      </c>
      <c r="M967" s="292">
        <f>IFERROR(VLOOKUP(B967,'تقرير المصروفات حسب الشهر'!$C$1270:$AD$1381,10,FALSE),0)</f>
        <v>0</v>
      </c>
      <c r="N967" s="31" t="e">
        <f>#REF!</f>
        <v>#REF!</v>
      </c>
      <c r="O967" s="37" t="e">
        <f t="shared" si="24"/>
        <v>#REF!</v>
      </c>
    </row>
    <row r="968" spans="2:15" ht="17.399999999999999">
      <c r="B968" s="42" t="s">
        <v>58</v>
      </c>
      <c r="C968" s="39">
        <f>'تقرير المصروفات حسب الشهر'!L36</f>
        <v>0</v>
      </c>
      <c r="D968" s="31" t="e">
        <f>#REF!</f>
        <v>#REF!</v>
      </c>
      <c r="E968" s="31" t="e">
        <f>#REF!</f>
        <v>#REF!</v>
      </c>
      <c r="F968" s="31" t="e">
        <f>#REF!</f>
        <v>#REF!</v>
      </c>
      <c r="G968" s="31" t="e">
        <f>#REF!</f>
        <v>#REF!</v>
      </c>
      <c r="H968" s="31" t="e">
        <f>#REF!</f>
        <v>#REF!</v>
      </c>
      <c r="I968" s="31">
        <f>'تقرير المصروفات حسب الشهر'!L789</f>
        <v>0</v>
      </c>
      <c r="J968" s="31">
        <f>'تقرير المصروفات حسب الشهر'!L916</f>
        <v>0</v>
      </c>
      <c r="K968" s="31">
        <f>'تقرير المصروفات حسب الشهر'!L1043</f>
        <v>0</v>
      </c>
      <c r="L968" s="292">
        <f>IFERROR(VLOOKUP(B968,'تقرير المصروفات حسب الشهر'!$C$1143:$AD$1254,10,FALSE),0)</f>
        <v>0</v>
      </c>
      <c r="M968" s="292">
        <f>IFERROR(VLOOKUP(B968,'تقرير المصروفات حسب الشهر'!$C$1270:$AD$1381,10,FALSE),0)</f>
        <v>0</v>
      </c>
      <c r="N968" s="31" t="e">
        <f>#REF!</f>
        <v>#REF!</v>
      </c>
      <c r="O968" s="37" t="e">
        <f t="shared" si="24"/>
        <v>#REF!</v>
      </c>
    </row>
    <row r="969" spans="2:15" ht="17.399999999999999">
      <c r="B969" s="42" t="s">
        <v>59</v>
      </c>
      <c r="C969" s="39">
        <f>'تقرير المصروفات حسب الشهر'!L37</f>
        <v>0</v>
      </c>
      <c r="D969" s="31" t="e">
        <f>#REF!</f>
        <v>#REF!</v>
      </c>
      <c r="E969" s="31" t="e">
        <f>#REF!</f>
        <v>#REF!</v>
      </c>
      <c r="F969" s="31" t="e">
        <f>#REF!</f>
        <v>#REF!</v>
      </c>
      <c r="G969" s="31" t="e">
        <f>#REF!</f>
        <v>#REF!</v>
      </c>
      <c r="H969" s="31" t="e">
        <f>#REF!</f>
        <v>#REF!</v>
      </c>
      <c r="I969" s="31">
        <f>'تقرير المصروفات حسب الشهر'!L790</f>
        <v>0</v>
      </c>
      <c r="J969" s="31">
        <f>'تقرير المصروفات حسب الشهر'!L917</f>
        <v>0</v>
      </c>
      <c r="K969" s="31">
        <f>'تقرير المصروفات حسب الشهر'!L1044</f>
        <v>0</v>
      </c>
      <c r="L969" s="292">
        <f>IFERROR(VLOOKUP(B969,'تقرير المصروفات حسب الشهر'!$C$1143:$AD$1254,10,FALSE),0)</f>
        <v>0</v>
      </c>
      <c r="M969" s="292">
        <f>IFERROR(VLOOKUP(B969,'تقرير المصروفات حسب الشهر'!$C$1270:$AD$1381,10,FALSE),0)</f>
        <v>0</v>
      </c>
      <c r="N969" s="31" t="e">
        <f>#REF!</f>
        <v>#REF!</v>
      </c>
      <c r="O969" s="37" t="e">
        <f t="shared" si="24"/>
        <v>#REF!</v>
      </c>
    </row>
    <row r="970" spans="2:15" ht="17.399999999999999">
      <c r="B970" s="42" t="s">
        <v>60</v>
      </c>
      <c r="C970" s="39">
        <f>'تقرير المصروفات حسب الشهر'!L38</f>
        <v>0</v>
      </c>
      <c r="D970" s="31" t="e">
        <f>#REF!</f>
        <v>#REF!</v>
      </c>
      <c r="E970" s="31" t="e">
        <f>#REF!</f>
        <v>#REF!</v>
      </c>
      <c r="F970" s="31" t="e">
        <f>#REF!</f>
        <v>#REF!</v>
      </c>
      <c r="G970" s="31" t="e">
        <f>#REF!</f>
        <v>#REF!</v>
      </c>
      <c r="H970" s="31" t="e">
        <f>#REF!</f>
        <v>#REF!</v>
      </c>
      <c r="I970" s="31">
        <f>'تقرير المصروفات حسب الشهر'!L791</f>
        <v>0</v>
      </c>
      <c r="J970" s="31">
        <f>'تقرير المصروفات حسب الشهر'!L918</f>
        <v>0</v>
      </c>
      <c r="K970" s="31">
        <f>'تقرير المصروفات حسب الشهر'!L1045</f>
        <v>0</v>
      </c>
      <c r="L970" s="292">
        <f>IFERROR(VLOOKUP(B970,'تقرير المصروفات حسب الشهر'!$C$1143:$AD$1254,10,FALSE),0)</f>
        <v>0</v>
      </c>
      <c r="M970" s="292">
        <f>IFERROR(VLOOKUP(B970,'تقرير المصروفات حسب الشهر'!$C$1270:$AD$1381,10,FALSE),0)</f>
        <v>0</v>
      </c>
      <c r="N970" s="31" t="e">
        <f>#REF!</f>
        <v>#REF!</v>
      </c>
      <c r="O970" s="37" t="e">
        <f t="shared" si="24"/>
        <v>#REF!</v>
      </c>
    </row>
    <row r="971" spans="2:15" ht="17.399999999999999">
      <c r="B971" s="42" t="s">
        <v>61</v>
      </c>
      <c r="C971" s="39">
        <f>'تقرير المصروفات حسب الشهر'!L39</f>
        <v>0</v>
      </c>
      <c r="D971" s="31" t="e">
        <f>#REF!</f>
        <v>#REF!</v>
      </c>
      <c r="E971" s="31" t="e">
        <f>#REF!</f>
        <v>#REF!</v>
      </c>
      <c r="F971" s="31" t="e">
        <f>#REF!</f>
        <v>#REF!</v>
      </c>
      <c r="G971" s="31" t="e">
        <f>#REF!</f>
        <v>#REF!</v>
      </c>
      <c r="H971" s="31" t="e">
        <f>#REF!</f>
        <v>#REF!</v>
      </c>
      <c r="I971" s="31">
        <f>'تقرير المصروفات حسب الشهر'!L792</f>
        <v>175</v>
      </c>
      <c r="J971" s="31">
        <f>'تقرير المصروفات حسب الشهر'!L919</f>
        <v>0</v>
      </c>
      <c r="K971" s="31">
        <f>'تقرير المصروفات حسب الشهر'!L1046</f>
        <v>0</v>
      </c>
      <c r="L971" s="292">
        <f>IFERROR(VLOOKUP(B971,'تقرير المصروفات حسب الشهر'!$C$1143:$AD$1254,10,FALSE),0)</f>
        <v>0</v>
      </c>
      <c r="M971" s="292">
        <f>IFERROR(VLOOKUP(B971,'تقرير المصروفات حسب الشهر'!$C$1270:$AD$1381,10,FALSE),0)</f>
        <v>0</v>
      </c>
      <c r="N971" s="31" t="e">
        <f>#REF!</f>
        <v>#REF!</v>
      </c>
      <c r="O971" s="37" t="e">
        <f t="shared" si="24"/>
        <v>#REF!</v>
      </c>
    </row>
    <row r="972" spans="2:15" ht="17.399999999999999">
      <c r="B972" s="42" t="s">
        <v>62</v>
      </c>
      <c r="C972" s="39">
        <f>'تقرير المصروفات حسب الشهر'!L40</f>
        <v>500</v>
      </c>
      <c r="D972" s="31" t="e">
        <f>#REF!</f>
        <v>#REF!</v>
      </c>
      <c r="E972" s="31" t="e">
        <f>#REF!</f>
        <v>#REF!</v>
      </c>
      <c r="F972" s="31" t="e">
        <f>#REF!</f>
        <v>#REF!</v>
      </c>
      <c r="G972" s="31" t="e">
        <f>#REF!</f>
        <v>#REF!</v>
      </c>
      <c r="H972" s="31" t="e">
        <f>#REF!</f>
        <v>#REF!</v>
      </c>
      <c r="I972" s="31">
        <f>'تقرير المصروفات حسب الشهر'!L793</f>
        <v>0</v>
      </c>
      <c r="J972" s="31">
        <f>'تقرير المصروفات حسب الشهر'!L920</f>
        <v>0</v>
      </c>
      <c r="K972" s="31">
        <f>'تقرير المصروفات حسب الشهر'!L1047</f>
        <v>0</v>
      </c>
      <c r="L972" s="292">
        <f>IFERROR(VLOOKUP(B972,'تقرير المصروفات حسب الشهر'!$C$1143:$AD$1254,10,FALSE),0)</f>
        <v>0</v>
      </c>
      <c r="M972" s="292">
        <f>IFERROR(VLOOKUP(B972,'تقرير المصروفات حسب الشهر'!$C$1270:$AD$1381,10,FALSE),0)</f>
        <v>0</v>
      </c>
      <c r="N972" s="31" t="e">
        <f>#REF!</f>
        <v>#REF!</v>
      </c>
      <c r="O972" s="37" t="e">
        <f t="shared" si="24"/>
        <v>#REF!</v>
      </c>
    </row>
    <row r="973" spans="2:15" ht="17.399999999999999">
      <c r="B973" s="42" t="s">
        <v>63</v>
      </c>
      <c r="C973" s="39">
        <f>'تقرير المصروفات حسب الشهر'!L41</f>
        <v>0</v>
      </c>
      <c r="D973" s="31" t="e">
        <f>#REF!</f>
        <v>#REF!</v>
      </c>
      <c r="E973" s="31" t="e">
        <f>#REF!</f>
        <v>#REF!</v>
      </c>
      <c r="F973" s="31" t="e">
        <f>#REF!</f>
        <v>#REF!</v>
      </c>
      <c r="G973" s="31" t="e">
        <f>#REF!</f>
        <v>#REF!</v>
      </c>
      <c r="H973" s="31" t="e">
        <f>#REF!</f>
        <v>#REF!</v>
      </c>
      <c r="I973" s="31">
        <f>'تقرير المصروفات حسب الشهر'!L794</f>
        <v>0</v>
      </c>
      <c r="J973" s="31">
        <f>'تقرير المصروفات حسب الشهر'!L921</f>
        <v>0</v>
      </c>
      <c r="K973" s="31">
        <f>'تقرير المصروفات حسب الشهر'!L1048</f>
        <v>0</v>
      </c>
      <c r="L973" s="292">
        <f>IFERROR(VLOOKUP(B973,'تقرير المصروفات حسب الشهر'!$C$1143:$AD$1254,10,FALSE),0)</f>
        <v>0</v>
      </c>
      <c r="M973" s="292">
        <f>IFERROR(VLOOKUP(B973,'تقرير المصروفات حسب الشهر'!$C$1270:$AD$1381,10,FALSE),0)</f>
        <v>0</v>
      </c>
      <c r="N973" s="31" t="e">
        <f>#REF!</f>
        <v>#REF!</v>
      </c>
      <c r="O973" s="37" t="e">
        <f t="shared" si="24"/>
        <v>#REF!</v>
      </c>
    </row>
    <row r="974" spans="2:15" ht="17.399999999999999">
      <c r="B974" s="42" t="s">
        <v>64</v>
      </c>
      <c r="C974" s="39">
        <f>'تقرير المصروفات حسب الشهر'!L42</f>
        <v>525</v>
      </c>
      <c r="D974" s="31" t="e">
        <f>#REF!</f>
        <v>#REF!</v>
      </c>
      <c r="E974" s="31" t="e">
        <f>#REF!</f>
        <v>#REF!</v>
      </c>
      <c r="F974" s="31" t="e">
        <f>#REF!</f>
        <v>#REF!</v>
      </c>
      <c r="G974" s="31" t="e">
        <f>#REF!</f>
        <v>#REF!</v>
      </c>
      <c r="H974" s="31" t="e">
        <f>#REF!</f>
        <v>#REF!</v>
      </c>
      <c r="I974" s="31">
        <f>'تقرير المصروفات حسب الشهر'!L795</f>
        <v>525</v>
      </c>
      <c r="J974" s="31">
        <f>'تقرير المصروفات حسب الشهر'!L922</f>
        <v>0</v>
      </c>
      <c r="K974" s="31">
        <f>'تقرير المصروفات حسب الشهر'!L1049</f>
        <v>0</v>
      </c>
      <c r="L974" s="292">
        <f>IFERROR(VLOOKUP(B974,'تقرير المصروفات حسب الشهر'!$C$1143:$AD$1254,10,FALSE),0)</f>
        <v>0</v>
      </c>
      <c r="M974" s="292">
        <f>IFERROR(VLOOKUP(B974,'تقرير المصروفات حسب الشهر'!$C$1270:$AD$1381,10,FALSE),0)</f>
        <v>0</v>
      </c>
      <c r="N974" s="31" t="e">
        <f>#REF!</f>
        <v>#REF!</v>
      </c>
      <c r="O974" s="37" t="e">
        <f t="shared" si="24"/>
        <v>#REF!</v>
      </c>
    </row>
    <row r="975" spans="2:15" ht="17.399999999999999">
      <c r="B975" s="42" t="s">
        <v>28</v>
      </c>
      <c r="C975" s="39">
        <f>'تقرير المصروفات حسب الشهر'!L43</f>
        <v>0</v>
      </c>
      <c r="D975" s="31" t="e">
        <f>#REF!</f>
        <v>#REF!</v>
      </c>
      <c r="E975" s="31" t="e">
        <f>#REF!</f>
        <v>#REF!</v>
      </c>
      <c r="F975" s="31" t="e">
        <f>#REF!</f>
        <v>#REF!</v>
      </c>
      <c r="G975" s="31" t="e">
        <f>#REF!</f>
        <v>#REF!</v>
      </c>
      <c r="H975" s="31" t="e">
        <f>#REF!</f>
        <v>#REF!</v>
      </c>
      <c r="I975" s="31">
        <f>'تقرير المصروفات حسب الشهر'!L796</f>
        <v>0</v>
      </c>
      <c r="J975" s="31">
        <f>'تقرير المصروفات حسب الشهر'!L923</f>
        <v>0</v>
      </c>
      <c r="K975" s="31">
        <f>'تقرير المصروفات حسب الشهر'!L1050</f>
        <v>0</v>
      </c>
      <c r="L975" s="292">
        <f>IFERROR(VLOOKUP(B975,'تقرير المصروفات حسب الشهر'!$C$1143:$AD$1254,10,FALSE),0)</f>
        <v>0</v>
      </c>
      <c r="M975" s="292">
        <f>IFERROR(VLOOKUP(B975,'تقرير المصروفات حسب الشهر'!$C$1270:$AD$1381,10,FALSE),0)</f>
        <v>0</v>
      </c>
      <c r="N975" s="31" t="e">
        <f>#REF!</f>
        <v>#REF!</v>
      </c>
      <c r="O975" s="37" t="e">
        <f t="shared" si="24"/>
        <v>#REF!</v>
      </c>
    </row>
    <row r="976" spans="2:15" ht="17.399999999999999">
      <c r="B976" s="42" t="s">
        <v>157</v>
      </c>
      <c r="C976" s="39">
        <f>'تقرير المصروفات حسب الشهر'!L44</f>
        <v>0</v>
      </c>
      <c r="D976" s="31" t="e">
        <f>#REF!</f>
        <v>#REF!</v>
      </c>
      <c r="E976" s="31" t="e">
        <f>#REF!</f>
        <v>#REF!</v>
      </c>
      <c r="F976" s="31" t="e">
        <f>#REF!</f>
        <v>#REF!</v>
      </c>
      <c r="G976" s="31" t="e">
        <f>#REF!</f>
        <v>#REF!</v>
      </c>
      <c r="H976" s="31" t="e">
        <f>#REF!</f>
        <v>#REF!</v>
      </c>
      <c r="I976" s="31">
        <f>'تقرير المصروفات حسب الشهر'!L797</f>
        <v>0</v>
      </c>
      <c r="J976" s="31">
        <f>'تقرير المصروفات حسب الشهر'!L924</f>
        <v>0</v>
      </c>
      <c r="K976" s="31">
        <f>'تقرير المصروفات حسب الشهر'!L1051</f>
        <v>0</v>
      </c>
      <c r="L976" s="292">
        <f>IFERROR(VLOOKUP(B976,'تقرير المصروفات حسب الشهر'!$C$1143:$AD$1254,10,FALSE),0)</f>
        <v>0</v>
      </c>
      <c r="M976" s="292">
        <f>IFERROR(VLOOKUP(B976,'تقرير المصروفات حسب الشهر'!$C$1270:$AD$1381,10,FALSE),0)</f>
        <v>0</v>
      </c>
      <c r="N976" s="31" t="e">
        <f>#REF!</f>
        <v>#REF!</v>
      </c>
      <c r="O976" s="37" t="e">
        <f t="shared" si="24"/>
        <v>#REF!</v>
      </c>
    </row>
    <row r="977" spans="2:15" ht="17.399999999999999">
      <c r="B977" s="42" t="s">
        <v>65</v>
      </c>
      <c r="C977" s="39">
        <f>'تقرير المصروفات حسب الشهر'!L45</f>
        <v>0</v>
      </c>
      <c r="D977" s="31" t="e">
        <f>#REF!</f>
        <v>#REF!</v>
      </c>
      <c r="E977" s="31" t="e">
        <f>#REF!</f>
        <v>#REF!</v>
      </c>
      <c r="F977" s="31" t="e">
        <f>#REF!</f>
        <v>#REF!</v>
      </c>
      <c r="G977" s="31" t="e">
        <f>#REF!</f>
        <v>#REF!</v>
      </c>
      <c r="H977" s="31" t="e">
        <f>#REF!</f>
        <v>#REF!</v>
      </c>
      <c r="I977" s="31">
        <f>'تقرير المصروفات حسب الشهر'!L798</f>
        <v>0</v>
      </c>
      <c r="J977" s="31">
        <f>'تقرير المصروفات حسب الشهر'!L925</f>
        <v>0</v>
      </c>
      <c r="K977" s="31">
        <f>'تقرير المصروفات حسب الشهر'!L1052</f>
        <v>0</v>
      </c>
      <c r="L977" s="292">
        <f>IFERROR(VLOOKUP(B977,'تقرير المصروفات حسب الشهر'!$C$1143:$AD$1254,10,FALSE),0)</f>
        <v>0</v>
      </c>
      <c r="M977" s="292">
        <f>IFERROR(VLOOKUP(B977,'تقرير المصروفات حسب الشهر'!$C$1270:$AD$1381,10,FALSE),0)</f>
        <v>0</v>
      </c>
      <c r="N977" s="31" t="e">
        <f>#REF!</f>
        <v>#REF!</v>
      </c>
      <c r="O977" s="37" t="e">
        <f t="shared" si="24"/>
        <v>#REF!</v>
      </c>
    </row>
    <row r="978" spans="2:15" ht="17.399999999999999">
      <c r="B978" s="42" t="s">
        <v>66</v>
      </c>
      <c r="C978" s="39">
        <f>'تقرير المصروفات حسب الشهر'!L46</f>
        <v>0</v>
      </c>
      <c r="D978" s="31" t="e">
        <f>#REF!</f>
        <v>#REF!</v>
      </c>
      <c r="E978" s="31" t="e">
        <f>#REF!</f>
        <v>#REF!</v>
      </c>
      <c r="F978" s="31" t="e">
        <f>#REF!</f>
        <v>#REF!</v>
      </c>
      <c r="G978" s="31" t="e">
        <f>#REF!</f>
        <v>#REF!</v>
      </c>
      <c r="H978" s="31" t="e">
        <f>#REF!</f>
        <v>#REF!</v>
      </c>
      <c r="I978" s="31">
        <f>'تقرير المصروفات حسب الشهر'!L799</f>
        <v>0</v>
      </c>
      <c r="J978" s="31">
        <f>'تقرير المصروفات حسب الشهر'!L926</f>
        <v>0</v>
      </c>
      <c r="K978" s="31">
        <f>'تقرير المصروفات حسب الشهر'!L1053</f>
        <v>0</v>
      </c>
      <c r="L978" s="292">
        <f>IFERROR(VLOOKUP(B978,'تقرير المصروفات حسب الشهر'!$C$1143:$AD$1254,10,FALSE),0)</f>
        <v>0</v>
      </c>
      <c r="M978" s="292">
        <f>IFERROR(VLOOKUP(B978,'تقرير المصروفات حسب الشهر'!$C$1270:$AD$1381,10,FALSE),0)</f>
        <v>0</v>
      </c>
      <c r="N978" s="31" t="e">
        <f>#REF!</f>
        <v>#REF!</v>
      </c>
      <c r="O978" s="37" t="e">
        <f t="shared" si="24"/>
        <v>#REF!</v>
      </c>
    </row>
    <row r="979" spans="2:15" ht="17.399999999999999">
      <c r="B979" s="42" t="s">
        <v>30</v>
      </c>
      <c r="C979" s="39">
        <f>'تقرير المصروفات حسب الشهر'!L47</f>
        <v>0</v>
      </c>
      <c r="D979" s="31" t="e">
        <f>#REF!</f>
        <v>#REF!</v>
      </c>
      <c r="E979" s="31" t="e">
        <f>#REF!</f>
        <v>#REF!</v>
      </c>
      <c r="F979" s="31" t="e">
        <f>#REF!</f>
        <v>#REF!</v>
      </c>
      <c r="G979" s="31" t="e">
        <f>#REF!</f>
        <v>#REF!</v>
      </c>
      <c r="H979" s="31" t="e">
        <f>#REF!</f>
        <v>#REF!</v>
      </c>
      <c r="I979" s="31">
        <f>'تقرير المصروفات حسب الشهر'!L800</f>
        <v>0</v>
      </c>
      <c r="J979" s="31">
        <f>'تقرير المصروفات حسب الشهر'!L927</f>
        <v>0</v>
      </c>
      <c r="K979" s="31">
        <f>'تقرير المصروفات حسب الشهر'!L1054</f>
        <v>0</v>
      </c>
      <c r="L979" s="292">
        <f>IFERROR(VLOOKUP(B979,'تقرير المصروفات حسب الشهر'!$C$1143:$AD$1254,10,FALSE),0)</f>
        <v>0</v>
      </c>
      <c r="M979" s="292">
        <f>IFERROR(VLOOKUP(B979,'تقرير المصروفات حسب الشهر'!$C$1270:$AD$1381,10,FALSE),0)</f>
        <v>0</v>
      </c>
      <c r="N979" s="31" t="e">
        <f>#REF!</f>
        <v>#REF!</v>
      </c>
      <c r="O979" s="37" t="e">
        <f t="shared" si="24"/>
        <v>#REF!</v>
      </c>
    </row>
    <row r="980" spans="2:15" ht="17.399999999999999">
      <c r="B980" s="42" t="s">
        <v>67</v>
      </c>
      <c r="C980" s="39">
        <f>'تقرير المصروفات حسب الشهر'!L48</f>
        <v>3120</v>
      </c>
      <c r="D980" s="31" t="e">
        <f>#REF!</f>
        <v>#REF!</v>
      </c>
      <c r="E980" s="31" t="e">
        <f>#REF!</f>
        <v>#REF!</v>
      </c>
      <c r="F980" s="31" t="e">
        <f>#REF!</f>
        <v>#REF!</v>
      </c>
      <c r="G980" s="31" t="e">
        <f>#REF!</f>
        <v>#REF!</v>
      </c>
      <c r="H980" s="31" t="e">
        <f>#REF!</f>
        <v>#REF!</v>
      </c>
      <c r="I980" s="31">
        <f>'تقرير المصروفات حسب الشهر'!L801</f>
        <v>0</v>
      </c>
      <c r="J980" s="31">
        <f>'تقرير المصروفات حسب الشهر'!L928</f>
        <v>1650</v>
      </c>
      <c r="K980" s="31">
        <f>'تقرير المصروفات حسب الشهر'!L1055</f>
        <v>0</v>
      </c>
      <c r="L980" s="292">
        <f>IFERROR(VLOOKUP(B980,'تقرير المصروفات حسب الشهر'!$C$1143:$AD$1254,10,FALSE),0)</f>
        <v>3696</v>
      </c>
      <c r="M980" s="292">
        <f>IFERROR(VLOOKUP(B980,'تقرير المصروفات حسب الشهر'!$C$1270:$AD$1381,10,FALSE),0)</f>
        <v>0</v>
      </c>
      <c r="N980" s="31" t="e">
        <f>#REF!</f>
        <v>#REF!</v>
      </c>
      <c r="O980" s="37" t="e">
        <f t="shared" si="24"/>
        <v>#REF!</v>
      </c>
    </row>
    <row r="981" spans="2:15" ht="17.399999999999999">
      <c r="B981" s="42" t="s">
        <v>111</v>
      </c>
      <c r="C981" s="39">
        <f>'تقرير المصروفات حسب الشهر'!L49</f>
        <v>0</v>
      </c>
      <c r="D981" s="31" t="e">
        <f>#REF!</f>
        <v>#REF!</v>
      </c>
      <c r="E981" s="31" t="e">
        <f>#REF!</f>
        <v>#REF!</v>
      </c>
      <c r="F981" s="31" t="e">
        <f>#REF!</f>
        <v>#REF!</v>
      </c>
      <c r="G981" s="31" t="e">
        <f>#REF!</f>
        <v>#REF!</v>
      </c>
      <c r="H981" s="31" t="e">
        <f>#REF!</f>
        <v>#REF!</v>
      </c>
      <c r="I981" s="31">
        <f>'تقرير المصروفات حسب الشهر'!L802</f>
        <v>0</v>
      </c>
      <c r="J981" s="31">
        <f>'تقرير المصروفات حسب الشهر'!L929</f>
        <v>0</v>
      </c>
      <c r="K981" s="31">
        <f>'تقرير المصروفات حسب الشهر'!L1056</f>
        <v>350</v>
      </c>
      <c r="L981" s="292">
        <f>IFERROR(VLOOKUP(B981,'تقرير المصروفات حسب الشهر'!$C$1143:$AD$1254,10,FALSE),0)</f>
        <v>0</v>
      </c>
      <c r="M981" s="292">
        <f>IFERROR(VLOOKUP(B981,'تقرير المصروفات حسب الشهر'!$C$1270:$AD$1381,10,FALSE),0)</f>
        <v>0</v>
      </c>
      <c r="N981" s="31" t="e">
        <f>#REF!</f>
        <v>#REF!</v>
      </c>
      <c r="O981" s="37" t="e">
        <f t="shared" si="24"/>
        <v>#REF!</v>
      </c>
    </row>
    <row r="982" spans="2:15" ht="17.399999999999999">
      <c r="B982" s="42" t="s">
        <v>68</v>
      </c>
      <c r="C982" s="39">
        <f>'تقرير المصروفات حسب الشهر'!L50</f>
        <v>0</v>
      </c>
      <c r="D982" s="31" t="e">
        <f>#REF!</f>
        <v>#REF!</v>
      </c>
      <c r="E982" s="31" t="e">
        <f>#REF!</f>
        <v>#REF!</v>
      </c>
      <c r="F982" s="31" t="e">
        <f>#REF!</f>
        <v>#REF!</v>
      </c>
      <c r="G982" s="31" t="e">
        <f>#REF!</f>
        <v>#REF!</v>
      </c>
      <c r="H982" s="31" t="e">
        <f>#REF!</f>
        <v>#REF!</v>
      </c>
      <c r="I982" s="31">
        <f>'تقرير المصروفات حسب الشهر'!L803</f>
        <v>0</v>
      </c>
      <c r="J982" s="31">
        <f>'تقرير المصروفات حسب الشهر'!L930</f>
        <v>0</v>
      </c>
      <c r="K982" s="31">
        <f>'تقرير المصروفات حسب الشهر'!L1057</f>
        <v>0</v>
      </c>
      <c r="L982" s="292">
        <f>IFERROR(VLOOKUP(B982,'تقرير المصروفات حسب الشهر'!$C$1143:$AD$1254,10,FALSE),0)</f>
        <v>0</v>
      </c>
      <c r="M982" s="292">
        <f>IFERROR(VLOOKUP(B982,'تقرير المصروفات حسب الشهر'!$C$1270:$AD$1381,10,FALSE),0)</f>
        <v>0</v>
      </c>
      <c r="N982" s="31" t="e">
        <f>#REF!</f>
        <v>#REF!</v>
      </c>
      <c r="O982" s="37" t="e">
        <f t="shared" si="24"/>
        <v>#REF!</v>
      </c>
    </row>
    <row r="983" spans="2:15" ht="17.399999999999999">
      <c r="B983" s="42" t="s">
        <v>69</v>
      </c>
      <c r="C983" s="39">
        <f>'تقرير المصروفات حسب الشهر'!L51</f>
        <v>0</v>
      </c>
      <c r="D983" s="31" t="e">
        <f>#REF!</f>
        <v>#REF!</v>
      </c>
      <c r="E983" s="31" t="e">
        <f>#REF!</f>
        <v>#REF!</v>
      </c>
      <c r="F983" s="31" t="e">
        <f>#REF!</f>
        <v>#REF!</v>
      </c>
      <c r="G983" s="31" t="e">
        <f>#REF!</f>
        <v>#REF!</v>
      </c>
      <c r="H983" s="31" t="e">
        <f>#REF!</f>
        <v>#REF!</v>
      </c>
      <c r="I983" s="31">
        <f>'تقرير المصروفات حسب الشهر'!L804</f>
        <v>0</v>
      </c>
      <c r="J983" s="31">
        <f>'تقرير المصروفات حسب الشهر'!L931</f>
        <v>0</v>
      </c>
      <c r="K983" s="31">
        <f>'تقرير المصروفات حسب الشهر'!L1058</f>
        <v>0</v>
      </c>
      <c r="L983" s="292">
        <f>IFERROR(VLOOKUP(B983,'تقرير المصروفات حسب الشهر'!$C$1143:$AD$1254,10,FALSE),0)</f>
        <v>0</v>
      </c>
      <c r="M983" s="292">
        <f>IFERROR(VLOOKUP(B983,'تقرير المصروفات حسب الشهر'!$C$1270:$AD$1381,10,FALSE),0)</f>
        <v>0</v>
      </c>
      <c r="N983" s="31" t="e">
        <f>#REF!</f>
        <v>#REF!</v>
      </c>
      <c r="O983" s="37" t="e">
        <f t="shared" si="24"/>
        <v>#REF!</v>
      </c>
    </row>
    <row r="984" spans="2:15" ht="17.399999999999999">
      <c r="B984" s="42" t="s">
        <v>70</v>
      </c>
      <c r="C984" s="39">
        <f>'تقرير المصروفات حسب الشهر'!L52</f>
        <v>0</v>
      </c>
      <c r="D984" s="31" t="e">
        <f>#REF!</f>
        <v>#REF!</v>
      </c>
      <c r="E984" s="31" t="e">
        <f>#REF!</f>
        <v>#REF!</v>
      </c>
      <c r="F984" s="31" t="e">
        <f>#REF!</f>
        <v>#REF!</v>
      </c>
      <c r="G984" s="31" t="e">
        <f>#REF!</f>
        <v>#REF!</v>
      </c>
      <c r="H984" s="31" t="e">
        <f>#REF!</f>
        <v>#REF!</v>
      </c>
      <c r="I984" s="31">
        <f>'تقرير المصروفات حسب الشهر'!L805</f>
        <v>0</v>
      </c>
      <c r="J984" s="31">
        <f>'تقرير المصروفات حسب الشهر'!L932</f>
        <v>0</v>
      </c>
      <c r="K984" s="31">
        <f>'تقرير المصروفات حسب الشهر'!L1059</f>
        <v>0</v>
      </c>
      <c r="L984" s="292">
        <f>IFERROR(VLOOKUP(B984,'تقرير المصروفات حسب الشهر'!$C$1143:$AD$1254,10,FALSE),0)</f>
        <v>0</v>
      </c>
      <c r="M984" s="292">
        <f>IFERROR(VLOOKUP(B984,'تقرير المصروفات حسب الشهر'!$C$1270:$AD$1381,10,FALSE),0)</f>
        <v>0</v>
      </c>
      <c r="N984" s="31" t="e">
        <f>#REF!</f>
        <v>#REF!</v>
      </c>
      <c r="O984" s="37" t="e">
        <f t="shared" si="24"/>
        <v>#REF!</v>
      </c>
    </row>
    <row r="985" spans="2:15" ht="17.399999999999999">
      <c r="B985" s="42" t="s">
        <v>71</v>
      </c>
      <c r="C985" s="39">
        <f>'تقرير المصروفات حسب الشهر'!L53</f>
        <v>0</v>
      </c>
      <c r="D985" s="31" t="e">
        <f>#REF!</f>
        <v>#REF!</v>
      </c>
      <c r="E985" s="31" t="e">
        <f>#REF!</f>
        <v>#REF!</v>
      </c>
      <c r="F985" s="31" t="e">
        <f>#REF!</f>
        <v>#REF!</v>
      </c>
      <c r="G985" s="31" t="e">
        <f>#REF!</f>
        <v>#REF!</v>
      </c>
      <c r="H985" s="31" t="e">
        <f>#REF!</f>
        <v>#REF!</v>
      </c>
      <c r="I985" s="31">
        <f>'تقرير المصروفات حسب الشهر'!L806</f>
        <v>0</v>
      </c>
      <c r="J985" s="31">
        <f>'تقرير المصروفات حسب الشهر'!L933</f>
        <v>0</v>
      </c>
      <c r="K985" s="31">
        <f>'تقرير المصروفات حسب الشهر'!L1060</f>
        <v>0</v>
      </c>
      <c r="L985" s="292">
        <f>IFERROR(VLOOKUP(B985,'تقرير المصروفات حسب الشهر'!$C$1143:$AD$1254,10,FALSE),0)</f>
        <v>0</v>
      </c>
      <c r="M985" s="292">
        <f>IFERROR(VLOOKUP(B985,'تقرير المصروفات حسب الشهر'!$C$1270:$AD$1381,10,FALSE),0)</f>
        <v>0</v>
      </c>
      <c r="N985" s="31" t="e">
        <f>#REF!</f>
        <v>#REF!</v>
      </c>
      <c r="O985" s="37" t="e">
        <f t="shared" si="24"/>
        <v>#REF!</v>
      </c>
    </row>
    <row r="986" spans="2:15" ht="17.399999999999999">
      <c r="B986" s="42" t="s">
        <v>159</v>
      </c>
      <c r="C986" s="39">
        <f>'تقرير المصروفات حسب الشهر'!L54</f>
        <v>0</v>
      </c>
      <c r="D986" s="31" t="e">
        <f>#REF!</f>
        <v>#REF!</v>
      </c>
      <c r="E986" s="31" t="e">
        <f>#REF!</f>
        <v>#REF!</v>
      </c>
      <c r="F986" s="31" t="e">
        <f>#REF!</f>
        <v>#REF!</v>
      </c>
      <c r="G986" s="31" t="e">
        <f>#REF!</f>
        <v>#REF!</v>
      </c>
      <c r="H986" s="31" t="e">
        <f>#REF!</f>
        <v>#REF!</v>
      </c>
      <c r="I986" s="31">
        <f>'تقرير المصروفات حسب الشهر'!L807</f>
        <v>0</v>
      </c>
      <c r="J986" s="31">
        <f>'تقرير المصروفات حسب الشهر'!L934</f>
        <v>0</v>
      </c>
      <c r="K986" s="31">
        <f>'تقرير المصروفات حسب الشهر'!L1061</f>
        <v>0</v>
      </c>
      <c r="L986" s="292">
        <f>IFERROR(VLOOKUP(B986,'تقرير المصروفات حسب الشهر'!$C$1143:$AD$1254,10,FALSE),0)</f>
        <v>0</v>
      </c>
      <c r="M986" s="292">
        <f>IFERROR(VLOOKUP(B986,'تقرير المصروفات حسب الشهر'!$C$1270:$AD$1381,10,FALSE),0)</f>
        <v>0</v>
      </c>
      <c r="N986" s="31" t="e">
        <f>#REF!</f>
        <v>#REF!</v>
      </c>
      <c r="O986" s="37" t="e">
        <f t="shared" si="24"/>
        <v>#REF!</v>
      </c>
    </row>
    <row r="987" spans="2:15" ht="17.399999999999999">
      <c r="B987" s="42" t="s">
        <v>72</v>
      </c>
      <c r="C987" s="39">
        <f>'تقرير المصروفات حسب الشهر'!L55</f>
        <v>0</v>
      </c>
      <c r="D987" s="31" t="e">
        <f>#REF!</f>
        <v>#REF!</v>
      </c>
      <c r="E987" s="31" t="e">
        <f>#REF!</f>
        <v>#REF!</v>
      </c>
      <c r="F987" s="31" t="e">
        <f>#REF!</f>
        <v>#REF!</v>
      </c>
      <c r="G987" s="31" t="e">
        <f>#REF!</f>
        <v>#REF!</v>
      </c>
      <c r="H987" s="31" t="e">
        <f>#REF!</f>
        <v>#REF!</v>
      </c>
      <c r="I987" s="31">
        <f>'تقرير المصروفات حسب الشهر'!L808</f>
        <v>0</v>
      </c>
      <c r="J987" s="31">
        <f>'تقرير المصروفات حسب الشهر'!L935</f>
        <v>0</v>
      </c>
      <c r="K987" s="31">
        <f>'تقرير المصروفات حسب الشهر'!L1062</f>
        <v>0</v>
      </c>
      <c r="L987" s="292">
        <f>IFERROR(VLOOKUP(B987,'تقرير المصروفات حسب الشهر'!$C$1143:$AD$1254,10,FALSE),0)</f>
        <v>0</v>
      </c>
      <c r="M987" s="292">
        <f>IFERROR(VLOOKUP(B987,'تقرير المصروفات حسب الشهر'!$C$1270:$AD$1381,10,FALSE),0)</f>
        <v>0</v>
      </c>
      <c r="N987" s="31" t="e">
        <f>#REF!</f>
        <v>#REF!</v>
      </c>
      <c r="O987" s="37" t="e">
        <f t="shared" si="24"/>
        <v>#REF!</v>
      </c>
    </row>
    <row r="988" spans="2:15" ht="17.399999999999999">
      <c r="B988" s="42" t="s">
        <v>73</v>
      </c>
      <c r="C988" s="39">
        <f>'تقرير المصروفات حسب الشهر'!L56</f>
        <v>0</v>
      </c>
      <c r="D988" s="31" t="e">
        <f>#REF!</f>
        <v>#REF!</v>
      </c>
      <c r="E988" s="31" t="e">
        <f>#REF!</f>
        <v>#REF!</v>
      </c>
      <c r="F988" s="31" t="e">
        <f>#REF!</f>
        <v>#REF!</v>
      </c>
      <c r="G988" s="31" t="e">
        <f>#REF!</f>
        <v>#REF!</v>
      </c>
      <c r="H988" s="31" t="e">
        <f>#REF!</f>
        <v>#REF!</v>
      </c>
      <c r="I988" s="31">
        <f>'تقرير المصروفات حسب الشهر'!L809</f>
        <v>0</v>
      </c>
      <c r="J988" s="31">
        <f>'تقرير المصروفات حسب الشهر'!L936</f>
        <v>0</v>
      </c>
      <c r="K988" s="31">
        <f>'تقرير المصروفات حسب الشهر'!L1063</f>
        <v>0</v>
      </c>
      <c r="L988" s="292">
        <f>IFERROR(VLOOKUP(B988,'تقرير المصروفات حسب الشهر'!$C$1143:$AD$1254,10,FALSE),0)</f>
        <v>0</v>
      </c>
      <c r="M988" s="292">
        <f>IFERROR(VLOOKUP(B988,'تقرير المصروفات حسب الشهر'!$C$1270:$AD$1381,10,FALSE),0)</f>
        <v>0</v>
      </c>
      <c r="N988" s="31" t="e">
        <f>#REF!</f>
        <v>#REF!</v>
      </c>
      <c r="O988" s="37" t="e">
        <f t="shared" si="24"/>
        <v>#REF!</v>
      </c>
    </row>
    <row r="989" spans="2:15" ht="17.399999999999999">
      <c r="B989" s="42" t="s">
        <v>74</v>
      </c>
      <c r="C989" s="39">
        <f>'تقرير المصروفات حسب الشهر'!L57</f>
        <v>0</v>
      </c>
      <c r="D989" s="31" t="e">
        <f>#REF!</f>
        <v>#REF!</v>
      </c>
      <c r="E989" s="31" t="e">
        <f>#REF!</f>
        <v>#REF!</v>
      </c>
      <c r="F989" s="31" t="e">
        <f>#REF!</f>
        <v>#REF!</v>
      </c>
      <c r="G989" s="31" t="e">
        <f>#REF!</f>
        <v>#REF!</v>
      </c>
      <c r="H989" s="31" t="e">
        <f>#REF!</f>
        <v>#REF!</v>
      </c>
      <c r="I989" s="31">
        <f>'تقرير المصروفات حسب الشهر'!L810</f>
        <v>0</v>
      </c>
      <c r="J989" s="31">
        <f>'تقرير المصروفات حسب الشهر'!L937</f>
        <v>0</v>
      </c>
      <c r="K989" s="31">
        <f>'تقرير المصروفات حسب الشهر'!L1064</f>
        <v>0</v>
      </c>
      <c r="L989" s="292">
        <f>IFERROR(VLOOKUP(B989,'تقرير المصروفات حسب الشهر'!$C$1143:$AD$1254,10,FALSE),0)</f>
        <v>0</v>
      </c>
      <c r="M989" s="292">
        <f>IFERROR(VLOOKUP(B989,'تقرير المصروفات حسب الشهر'!$C$1270:$AD$1381,10,FALSE),0)</f>
        <v>0</v>
      </c>
      <c r="N989" s="31" t="e">
        <f>#REF!</f>
        <v>#REF!</v>
      </c>
      <c r="O989" s="37" t="e">
        <f t="shared" si="24"/>
        <v>#REF!</v>
      </c>
    </row>
    <row r="990" spans="2:15" ht="17.399999999999999">
      <c r="B990" s="42" t="s">
        <v>246</v>
      </c>
      <c r="C990" s="39">
        <f>'تقرير المصروفات حسب الشهر'!L58</f>
        <v>0</v>
      </c>
      <c r="D990" s="31" t="e">
        <f>#REF!</f>
        <v>#REF!</v>
      </c>
      <c r="E990" s="31" t="e">
        <f>#REF!</f>
        <v>#REF!</v>
      </c>
      <c r="F990" s="31" t="e">
        <f>#REF!</f>
        <v>#REF!</v>
      </c>
      <c r="G990" s="31" t="e">
        <f>#REF!</f>
        <v>#REF!</v>
      </c>
      <c r="H990" s="31" t="e">
        <f>#REF!</f>
        <v>#REF!</v>
      </c>
      <c r="I990" s="31">
        <f>'تقرير المصروفات حسب الشهر'!L811</f>
        <v>0</v>
      </c>
      <c r="J990" s="31">
        <f>'تقرير المصروفات حسب الشهر'!L938</f>
        <v>0</v>
      </c>
      <c r="K990" s="31">
        <f>'تقرير المصروفات حسب الشهر'!L1065</f>
        <v>0</v>
      </c>
      <c r="L990" s="292">
        <f>IFERROR(VLOOKUP(B990,'تقرير المصروفات حسب الشهر'!$C$1143:$AD$1254,10,FALSE),0)</f>
        <v>0</v>
      </c>
      <c r="M990" s="292">
        <f>IFERROR(VLOOKUP(B990,'تقرير المصروفات حسب الشهر'!$C$1270:$AD$1381,10,FALSE),0)</f>
        <v>0</v>
      </c>
      <c r="N990" s="31" t="e">
        <f>#REF!</f>
        <v>#REF!</v>
      </c>
      <c r="O990" s="37" t="e">
        <f t="shared" si="24"/>
        <v>#REF!</v>
      </c>
    </row>
    <row r="991" spans="2:15" ht="17.399999999999999">
      <c r="B991" s="42" t="s">
        <v>75</v>
      </c>
      <c r="C991" s="39">
        <f>'تقرير المصروفات حسب الشهر'!L59</f>
        <v>0</v>
      </c>
      <c r="D991" s="31" t="e">
        <f>#REF!</f>
        <v>#REF!</v>
      </c>
      <c r="E991" s="31" t="e">
        <f>#REF!</f>
        <v>#REF!</v>
      </c>
      <c r="F991" s="31" t="e">
        <f>#REF!</f>
        <v>#REF!</v>
      </c>
      <c r="G991" s="31" t="e">
        <f>#REF!</f>
        <v>#REF!</v>
      </c>
      <c r="H991" s="31" t="e">
        <f>#REF!</f>
        <v>#REF!</v>
      </c>
      <c r="I991" s="31">
        <f>'تقرير المصروفات حسب الشهر'!L812</f>
        <v>0</v>
      </c>
      <c r="J991" s="31">
        <f>'تقرير المصروفات حسب الشهر'!L939</f>
        <v>0</v>
      </c>
      <c r="K991" s="31">
        <f>'تقرير المصروفات حسب الشهر'!L1066</f>
        <v>0</v>
      </c>
      <c r="L991" s="292">
        <f>IFERROR(VLOOKUP(B991,'تقرير المصروفات حسب الشهر'!$C$1143:$AD$1254,10,FALSE),0)</f>
        <v>0</v>
      </c>
      <c r="M991" s="292">
        <f>IFERROR(VLOOKUP(B991,'تقرير المصروفات حسب الشهر'!$C$1270:$AD$1381,10,FALSE),0)</f>
        <v>0</v>
      </c>
      <c r="N991" s="31" t="e">
        <f>#REF!</f>
        <v>#REF!</v>
      </c>
      <c r="O991" s="37" t="e">
        <f t="shared" si="24"/>
        <v>#REF!</v>
      </c>
    </row>
    <row r="992" spans="2:15" ht="17.399999999999999">
      <c r="B992" s="42" t="s">
        <v>76</v>
      </c>
      <c r="C992" s="39">
        <f>'تقرير المصروفات حسب الشهر'!L60</f>
        <v>0</v>
      </c>
      <c r="D992" s="31" t="e">
        <f>#REF!</f>
        <v>#REF!</v>
      </c>
      <c r="E992" s="31" t="e">
        <f>#REF!</f>
        <v>#REF!</v>
      </c>
      <c r="F992" s="31" t="e">
        <f>#REF!</f>
        <v>#REF!</v>
      </c>
      <c r="G992" s="31" t="e">
        <f>#REF!</f>
        <v>#REF!</v>
      </c>
      <c r="H992" s="31" t="e">
        <f>#REF!</f>
        <v>#REF!</v>
      </c>
      <c r="I992" s="31">
        <f>'تقرير المصروفات حسب الشهر'!L813</f>
        <v>0</v>
      </c>
      <c r="J992" s="31">
        <f>'تقرير المصروفات حسب الشهر'!L940</f>
        <v>0</v>
      </c>
      <c r="K992" s="31">
        <f>'تقرير المصروفات حسب الشهر'!L1067</f>
        <v>0</v>
      </c>
      <c r="L992" s="292">
        <f>IFERROR(VLOOKUP(B992,'تقرير المصروفات حسب الشهر'!$C$1143:$AD$1254,10,FALSE),0)</f>
        <v>0</v>
      </c>
      <c r="M992" s="292">
        <f>IFERROR(VLOOKUP(B992,'تقرير المصروفات حسب الشهر'!$C$1270:$AD$1381,10,FALSE),0)</f>
        <v>0</v>
      </c>
      <c r="N992" s="31" t="e">
        <f>#REF!</f>
        <v>#REF!</v>
      </c>
      <c r="O992" s="37" t="e">
        <f t="shared" si="24"/>
        <v>#REF!</v>
      </c>
    </row>
    <row r="993" spans="2:15" ht="17.399999999999999">
      <c r="B993" s="42" t="s">
        <v>77</v>
      </c>
      <c r="C993" s="39">
        <f>'تقرير المصروفات حسب الشهر'!L61</f>
        <v>0</v>
      </c>
      <c r="D993" s="31" t="e">
        <f>#REF!</f>
        <v>#REF!</v>
      </c>
      <c r="E993" s="31" t="e">
        <f>#REF!</f>
        <v>#REF!</v>
      </c>
      <c r="F993" s="31" t="e">
        <f>#REF!</f>
        <v>#REF!</v>
      </c>
      <c r="G993" s="31" t="e">
        <f>#REF!</f>
        <v>#REF!</v>
      </c>
      <c r="H993" s="31" t="e">
        <f>#REF!</f>
        <v>#REF!</v>
      </c>
      <c r="I993" s="31">
        <f>'تقرير المصروفات حسب الشهر'!L814</f>
        <v>0</v>
      </c>
      <c r="J993" s="31">
        <f>'تقرير المصروفات حسب الشهر'!L941</f>
        <v>0</v>
      </c>
      <c r="K993" s="31">
        <f>'تقرير المصروفات حسب الشهر'!L1068</f>
        <v>0</v>
      </c>
      <c r="L993" s="292">
        <f>IFERROR(VLOOKUP(B993,'تقرير المصروفات حسب الشهر'!$C$1143:$AD$1254,10,FALSE),0)</f>
        <v>0</v>
      </c>
      <c r="M993" s="292">
        <f>IFERROR(VLOOKUP(B993,'تقرير المصروفات حسب الشهر'!$C$1270:$AD$1381,10,FALSE),0)</f>
        <v>0</v>
      </c>
      <c r="N993" s="31" t="e">
        <f>#REF!</f>
        <v>#REF!</v>
      </c>
      <c r="O993" s="37" t="e">
        <f t="shared" si="24"/>
        <v>#REF!</v>
      </c>
    </row>
    <row r="994" spans="2:15" ht="17.399999999999999">
      <c r="B994" s="42" t="s">
        <v>78</v>
      </c>
      <c r="C994" s="39">
        <f>'تقرير المصروفات حسب الشهر'!L62</f>
        <v>0</v>
      </c>
      <c r="D994" s="31" t="e">
        <f>#REF!</f>
        <v>#REF!</v>
      </c>
      <c r="E994" s="31" t="e">
        <f>#REF!</f>
        <v>#REF!</v>
      </c>
      <c r="F994" s="31" t="e">
        <f>#REF!</f>
        <v>#REF!</v>
      </c>
      <c r="G994" s="31" t="e">
        <f>#REF!</f>
        <v>#REF!</v>
      </c>
      <c r="H994" s="31" t="e">
        <f>#REF!</f>
        <v>#REF!</v>
      </c>
      <c r="I994" s="31">
        <f>'تقرير المصروفات حسب الشهر'!L815</f>
        <v>0</v>
      </c>
      <c r="J994" s="31">
        <f>'تقرير المصروفات حسب الشهر'!L942</f>
        <v>0</v>
      </c>
      <c r="K994" s="31">
        <f>'تقرير المصروفات حسب الشهر'!L1069</f>
        <v>0</v>
      </c>
      <c r="L994" s="292">
        <f>IFERROR(VLOOKUP(B994,'تقرير المصروفات حسب الشهر'!$C$1143:$AD$1254,10,FALSE),0)</f>
        <v>0</v>
      </c>
      <c r="M994" s="292">
        <f>IFERROR(VLOOKUP(B994,'تقرير المصروفات حسب الشهر'!$C$1270:$AD$1381,10,FALSE),0)</f>
        <v>0</v>
      </c>
      <c r="N994" s="31" t="e">
        <f>#REF!</f>
        <v>#REF!</v>
      </c>
      <c r="O994" s="37" t="e">
        <f t="shared" si="24"/>
        <v>#REF!</v>
      </c>
    </row>
    <row r="995" spans="2:15" ht="17.399999999999999">
      <c r="B995" s="42" t="s">
        <v>79</v>
      </c>
      <c r="C995" s="39">
        <f>'تقرير المصروفات حسب الشهر'!L63</f>
        <v>0</v>
      </c>
      <c r="D995" s="31" t="e">
        <f>#REF!</f>
        <v>#REF!</v>
      </c>
      <c r="E995" s="31" t="e">
        <f>#REF!</f>
        <v>#REF!</v>
      </c>
      <c r="F995" s="31" t="e">
        <f>#REF!</f>
        <v>#REF!</v>
      </c>
      <c r="G995" s="31" t="e">
        <f>#REF!</f>
        <v>#REF!</v>
      </c>
      <c r="H995" s="31" t="e">
        <f>#REF!</f>
        <v>#REF!</v>
      </c>
      <c r="I995" s="31">
        <f>'تقرير المصروفات حسب الشهر'!L816</f>
        <v>0</v>
      </c>
      <c r="J995" s="31">
        <f>'تقرير المصروفات حسب الشهر'!L943</f>
        <v>0</v>
      </c>
      <c r="K995" s="31">
        <f>'تقرير المصروفات حسب الشهر'!L1070</f>
        <v>0</v>
      </c>
      <c r="L995" s="292">
        <f>IFERROR(VLOOKUP(B995,'تقرير المصروفات حسب الشهر'!$C$1143:$AD$1254,10,FALSE),0)</f>
        <v>0</v>
      </c>
      <c r="M995" s="292">
        <f>IFERROR(VLOOKUP(B995,'تقرير المصروفات حسب الشهر'!$C$1270:$AD$1381,10,FALSE),0)</f>
        <v>0</v>
      </c>
      <c r="N995" s="31" t="e">
        <f>#REF!</f>
        <v>#REF!</v>
      </c>
      <c r="O995" s="37" t="e">
        <f t="shared" si="24"/>
        <v>#REF!</v>
      </c>
    </row>
    <row r="996" spans="2:15" ht="17.399999999999999">
      <c r="B996" s="42" t="s">
        <v>80</v>
      </c>
      <c r="C996" s="39">
        <f>'تقرير المصروفات حسب الشهر'!L64</f>
        <v>0</v>
      </c>
      <c r="D996" s="31" t="e">
        <f>#REF!</f>
        <v>#REF!</v>
      </c>
      <c r="E996" s="31" t="e">
        <f>#REF!</f>
        <v>#REF!</v>
      </c>
      <c r="F996" s="31" t="e">
        <f>#REF!</f>
        <v>#REF!</v>
      </c>
      <c r="G996" s="31" t="e">
        <f>#REF!</f>
        <v>#REF!</v>
      </c>
      <c r="H996" s="31" t="e">
        <f>#REF!</f>
        <v>#REF!</v>
      </c>
      <c r="I996" s="31">
        <f>'تقرير المصروفات حسب الشهر'!L817</f>
        <v>0</v>
      </c>
      <c r="J996" s="31">
        <f>'تقرير المصروفات حسب الشهر'!L944</f>
        <v>0</v>
      </c>
      <c r="K996" s="31">
        <f>'تقرير المصروفات حسب الشهر'!L1071</f>
        <v>0</v>
      </c>
      <c r="L996" s="292">
        <f>IFERROR(VLOOKUP(B996,'تقرير المصروفات حسب الشهر'!$C$1143:$AD$1254,10,FALSE),0)</f>
        <v>0</v>
      </c>
      <c r="M996" s="292">
        <f>IFERROR(VLOOKUP(B996,'تقرير المصروفات حسب الشهر'!$C$1270:$AD$1381,10,FALSE),0)</f>
        <v>0</v>
      </c>
      <c r="N996" s="31" t="e">
        <f>#REF!</f>
        <v>#REF!</v>
      </c>
      <c r="O996" s="37" t="e">
        <f t="shared" si="24"/>
        <v>#REF!</v>
      </c>
    </row>
    <row r="997" spans="2:15" ht="17.399999999999999">
      <c r="B997" s="42" t="s">
        <v>81</v>
      </c>
      <c r="C997" s="39">
        <f>'تقرير المصروفات حسب الشهر'!L65</f>
        <v>0</v>
      </c>
      <c r="D997" s="31" t="e">
        <f>#REF!</f>
        <v>#REF!</v>
      </c>
      <c r="E997" s="31" t="e">
        <f>#REF!</f>
        <v>#REF!</v>
      </c>
      <c r="F997" s="31" t="e">
        <f>#REF!</f>
        <v>#REF!</v>
      </c>
      <c r="G997" s="31" t="e">
        <f>#REF!</f>
        <v>#REF!</v>
      </c>
      <c r="H997" s="31" t="e">
        <f>#REF!</f>
        <v>#REF!</v>
      </c>
      <c r="I997" s="31">
        <f>'تقرير المصروفات حسب الشهر'!L818</f>
        <v>0</v>
      </c>
      <c r="J997" s="31">
        <f>'تقرير المصروفات حسب الشهر'!L945</f>
        <v>0</v>
      </c>
      <c r="K997" s="31">
        <f>'تقرير المصروفات حسب الشهر'!L1072</f>
        <v>0</v>
      </c>
      <c r="L997" s="292">
        <f>IFERROR(VLOOKUP(B997,'تقرير المصروفات حسب الشهر'!$C$1143:$AD$1254,10,FALSE),0)</f>
        <v>0</v>
      </c>
      <c r="M997" s="292">
        <f>IFERROR(VLOOKUP(B997,'تقرير المصروفات حسب الشهر'!$C$1270:$AD$1381,10,FALSE),0)</f>
        <v>0</v>
      </c>
      <c r="N997" s="31" t="e">
        <f>#REF!</f>
        <v>#REF!</v>
      </c>
      <c r="O997" s="37" t="e">
        <f t="shared" si="24"/>
        <v>#REF!</v>
      </c>
    </row>
    <row r="998" spans="2:15" ht="17.399999999999999">
      <c r="B998" s="42" t="s">
        <v>82</v>
      </c>
      <c r="C998" s="39">
        <f>'تقرير المصروفات حسب الشهر'!L66</f>
        <v>0</v>
      </c>
      <c r="D998" s="31" t="e">
        <f>#REF!</f>
        <v>#REF!</v>
      </c>
      <c r="E998" s="31" t="e">
        <f>#REF!</f>
        <v>#REF!</v>
      </c>
      <c r="F998" s="31" t="e">
        <f>#REF!</f>
        <v>#REF!</v>
      </c>
      <c r="G998" s="31" t="e">
        <f>#REF!</f>
        <v>#REF!</v>
      </c>
      <c r="H998" s="31" t="e">
        <f>#REF!</f>
        <v>#REF!</v>
      </c>
      <c r="I998" s="31">
        <f>'تقرير المصروفات حسب الشهر'!L819</f>
        <v>0</v>
      </c>
      <c r="J998" s="31">
        <f>'تقرير المصروفات حسب الشهر'!L946</f>
        <v>0</v>
      </c>
      <c r="K998" s="31">
        <f>'تقرير المصروفات حسب الشهر'!L1073</f>
        <v>0</v>
      </c>
      <c r="L998" s="292">
        <f>IFERROR(VLOOKUP(B998,'تقرير المصروفات حسب الشهر'!$C$1143:$AD$1254,10,FALSE),0)</f>
        <v>0</v>
      </c>
      <c r="M998" s="292">
        <f>IFERROR(VLOOKUP(B998,'تقرير المصروفات حسب الشهر'!$C$1270:$AD$1381,10,FALSE),0)</f>
        <v>0</v>
      </c>
      <c r="N998" s="31" t="e">
        <f>#REF!</f>
        <v>#REF!</v>
      </c>
      <c r="O998" s="37" t="e">
        <f t="shared" si="24"/>
        <v>#REF!</v>
      </c>
    </row>
    <row r="999" spans="2:15" ht="17.399999999999999">
      <c r="B999" s="42" t="s">
        <v>83</v>
      </c>
      <c r="C999" s="39">
        <f>'تقرير المصروفات حسب الشهر'!L67</f>
        <v>0</v>
      </c>
      <c r="D999" s="31" t="e">
        <f>#REF!</f>
        <v>#REF!</v>
      </c>
      <c r="E999" s="31" t="e">
        <f>#REF!</f>
        <v>#REF!</v>
      </c>
      <c r="F999" s="31" t="e">
        <f>#REF!</f>
        <v>#REF!</v>
      </c>
      <c r="G999" s="31" t="e">
        <f>#REF!</f>
        <v>#REF!</v>
      </c>
      <c r="H999" s="31" t="e">
        <f>#REF!</f>
        <v>#REF!</v>
      </c>
      <c r="I999" s="31">
        <f>'تقرير المصروفات حسب الشهر'!L820</f>
        <v>0</v>
      </c>
      <c r="J999" s="31">
        <f>'تقرير المصروفات حسب الشهر'!L947</f>
        <v>0</v>
      </c>
      <c r="K999" s="31">
        <f>'تقرير المصروفات حسب الشهر'!L1074</f>
        <v>0</v>
      </c>
      <c r="L999" s="292">
        <f>IFERROR(VLOOKUP(B999,'تقرير المصروفات حسب الشهر'!$C$1143:$AD$1254,10,FALSE),0)</f>
        <v>0</v>
      </c>
      <c r="M999" s="292">
        <f>IFERROR(VLOOKUP(B999,'تقرير المصروفات حسب الشهر'!$C$1270:$AD$1381,10,FALSE),0)</f>
        <v>0</v>
      </c>
      <c r="N999" s="31" t="e">
        <f>#REF!</f>
        <v>#REF!</v>
      </c>
      <c r="O999" s="37" t="e">
        <f t="shared" si="24"/>
        <v>#REF!</v>
      </c>
    </row>
    <row r="1000" spans="2:15" ht="17.399999999999999">
      <c r="B1000" s="42" t="s">
        <v>84</v>
      </c>
      <c r="C1000" s="39">
        <f>'تقرير المصروفات حسب الشهر'!L68</f>
        <v>0</v>
      </c>
      <c r="D1000" s="31" t="e">
        <f>#REF!</f>
        <v>#REF!</v>
      </c>
      <c r="E1000" s="31" t="e">
        <f>#REF!</f>
        <v>#REF!</v>
      </c>
      <c r="F1000" s="31" t="e">
        <f>#REF!</f>
        <v>#REF!</v>
      </c>
      <c r="G1000" s="31" t="e">
        <f>#REF!</f>
        <v>#REF!</v>
      </c>
      <c r="H1000" s="31" t="e">
        <f>#REF!</f>
        <v>#REF!</v>
      </c>
      <c r="I1000" s="31">
        <f>'تقرير المصروفات حسب الشهر'!L821</f>
        <v>0</v>
      </c>
      <c r="J1000" s="31">
        <f>'تقرير المصروفات حسب الشهر'!L948</f>
        <v>300</v>
      </c>
      <c r="K1000" s="31">
        <f>'تقرير المصروفات حسب الشهر'!L1075</f>
        <v>200</v>
      </c>
      <c r="L1000" s="292">
        <f>IFERROR(VLOOKUP(B1000,'تقرير المصروفات حسب الشهر'!$C$1143:$AD$1254,10,FALSE),0)</f>
        <v>0</v>
      </c>
      <c r="M1000" s="292">
        <f>IFERROR(VLOOKUP(B1000,'تقرير المصروفات حسب الشهر'!$C$1270:$AD$1381,10,FALSE),0)</f>
        <v>0</v>
      </c>
      <c r="N1000" s="31" t="e">
        <f>#REF!</f>
        <v>#REF!</v>
      </c>
      <c r="O1000" s="37" t="e">
        <f t="shared" si="24"/>
        <v>#REF!</v>
      </c>
    </row>
    <row r="1001" spans="2:15" ht="17.399999999999999">
      <c r="B1001" s="42" t="s">
        <v>85</v>
      </c>
      <c r="C1001" s="39">
        <f>'تقرير المصروفات حسب الشهر'!L69</f>
        <v>316</v>
      </c>
      <c r="D1001" s="31" t="e">
        <f>#REF!</f>
        <v>#REF!</v>
      </c>
      <c r="E1001" s="31" t="e">
        <f>#REF!</f>
        <v>#REF!</v>
      </c>
      <c r="F1001" s="31" t="e">
        <f>#REF!</f>
        <v>#REF!</v>
      </c>
      <c r="G1001" s="31" t="e">
        <f>#REF!</f>
        <v>#REF!</v>
      </c>
      <c r="H1001" s="31" t="e">
        <f>#REF!</f>
        <v>#REF!</v>
      </c>
      <c r="I1001" s="31">
        <f>'تقرير المصروفات حسب الشهر'!L822</f>
        <v>0</v>
      </c>
      <c r="J1001" s="31">
        <f>'تقرير المصروفات حسب الشهر'!L949</f>
        <v>0</v>
      </c>
      <c r="K1001" s="31">
        <f>'تقرير المصروفات حسب الشهر'!L1076</f>
        <v>0</v>
      </c>
      <c r="L1001" s="292">
        <f>IFERROR(VLOOKUP(B1001,'تقرير المصروفات حسب الشهر'!$C$1143:$AD$1254,10,FALSE),0)</f>
        <v>200</v>
      </c>
      <c r="M1001" s="292">
        <f>IFERROR(VLOOKUP(B1001,'تقرير المصروفات حسب الشهر'!$C$1270:$AD$1381,10,FALSE),0)</f>
        <v>200</v>
      </c>
      <c r="N1001" s="31" t="e">
        <f>#REF!</f>
        <v>#REF!</v>
      </c>
      <c r="O1001" s="37" t="e">
        <f t="shared" si="24"/>
        <v>#REF!</v>
      </c>
    </row>
    <row r="1002" spans="2:15" ht="17.399999999999999">
      <c r="B1002" s="42" t="s">
        <v>86</v>
      </c>
      <c r="C1002" s="39">
        <f>'تقرير المصروفات حسب الشهر'!L70</f>
        <v>0</v>
      </c>
      <c r="D1002" s="31" t="e">
        <f>#REF!</f>
        <v>#REF!</v>
      </c>
      <c r="E1002" s="31" t="e">
        <f>#REF!</f>
        <v>#REF!</v>
      </c>
      <c r="F1002" s="31" t="e">
        <f>#REF!</f>
        <v>#REF!</v>
      </c>
      <c r="G1002" s="31" t="e">
        <f>#REF!</f>
        <v>#REF!</v>
      </c>
      <c r="H1002" s="31" t="e">
        <f>#REF!</f>
        <v>#REF!</v>
      </c>
      <c r="I1002" s="31">
        <f>'تقرير المصروفات حسب الشهر'!L823</f>
        <v>0</v>
      </c>
      <c r="J1002" s="31">
        <f>'تقرير المصروفات حسب الشهر'!L950</f>
        <v>0</v>
      </c>
      <c r="K1002" s="31">
        <f>'تقرير المصروفات حسب الشهر'!L1077</f>
        <v>0</v>
      </c>
      <c r="L1002" s="292">
        <f>IFERROR(VLOOKUP(B1002,'تقرير المصروفات حسب الشهر'!$C$1143:$AD$1254,10,FALSE),0)</f>
        <v>0</v>
      </c>
      <c r="M1002" s="292">
        <f>IFERROR(VLOOKUP(B1002,'تقرير المصروفات حسب الشهر'!$C$1270:$AD$1381,10,FALSE),0)</f>
        <v>0</v>
      </c>
      <c r="N1002" s="31" t="e">
        <f>#REF!</f>
        <v>#REF!</v>
      </c>
      <c r="O1002" s="37" t="e">
        <f t="shared" si="24"/>
        <v>#REF!</v>
      </c>
    </row>
    <row r="1003" spans="2:15" ht="17.399999999999999">
      <c r="B1003" s="42" t="s">
        <v>87</v>
      </c>
      <c r="C1003" s="39">
        <f>'تقرير المصروفات حسب الشهر'!L71</f>
        <v>0</v>
      </c>
      <c r="D1003" s="31" t="e">
        <f>#REF!</f>
        <v>#REF!</v>
      </c>
      <c r="E1003" s="31" t="e">
        <f>#REF!</f>
        <v>#REF!</v>
      </c>
      <c r="F1003" s="31" t="e">
        <f>#REF!</f>
        <v>#REF!</v>
      </c>
      <c r="G1003" s="31" t="e">
        <f>#REF!</f>
        <v>#REF!</v>
      </c>
      <c r="H1003" s="31" t="e">
        <f>#REF!</f>
        <v>#REF!</v>
      </c>
      <c r="I1003" s="31">
        <f>'تقرير المصروفات حسب الشهر'!L824</f>
        <v>0</v>
      </c>
      <c r="J1003" s="31">
        <f>'تقرير المصروفات حسب الشهر'!L951</f>
        <v>0</v>
      </c>
      <c r="K1003" s="31">
        <f>'تقرير المصروفات حسب الشهر'!L1078</f>
        <v>0</v>
      </c>
      <c r="L1003" s="292">
        <f>IFERROR(VLOOKUP(B1003,'تقرير المصروفات حسب الشهر'!$C$1143:$AD$1254,10,FALSE),0)</f>
        <v>0</v>
      </c>
      <c r="M1003" s="292">
        <f>IFERROR(VLOOKUP(B1003,'تقرير المصروفات حسب الشهر'!$C$1270:$AD$1381,10,FALSE),0)</f>
        <v>0</v>
      </c>
      <c r="N1003" s="31" t="e">
        <f>#REF!</f>
        <v>#REF!</v>
      </c>
      <c r="O1003" s="37" t="e">
        <f t="shared" si="24"/>
        <v>#REF!</v>
      </c>
    </row>
    <row r="1004" spans="2:15" ht="17.399999999999999">
      <c r="B1004" s="42" t="s">
        <v>88</v>
      </c>
      <c r="C1004" s="39">
        <f>'تقرير المصروفات حسب الشهر'!L72</f>
        <v>0</v>
      </c>
      <c r="D1004" s="31" t="e">
        <f>#REF!</f>
        <v>#REF!</v>
      </c>
      <c r="E1004" s="31" t="e">
        <f>#REF!</f>
        <v>#REF!</v>
      </c>
      <c r="F1004" s="31" t="e">
        <f>#REF!</f>
        <v>#REF!</v>
      </c>
      <c r="G1004" s="31" t="e">
        <f>#REF!</f>
        <v>#REF!</v>
      </c>
      <c r="H1004" s="31" t="e">
        <f>#REF!</f>
        <v>#REF!</v>
      </c>
      <c r="I1004" s="31">
        <f>'تقرير المصروفات حسب الشهر'!L825</f>
        <v>0</v>
      </c>
      <c r="J1004" s="31">
        <f>'تقرير المصروفات حسب الشهر'!L952</f>
        <v>0</v>
      </c>
      <c r="K1004" s="31">
        <f>'تقرير المصروفات حسب الشهر'!L1079</f>
        <v>0</v>
      </c>
      <c r="L1004" s="292">
        <f>IFERROR(VLOOKUP(B1004,'تقرير المصروفات حسب الشهر'!$C$1143:$AD$1254,10,FALSE),0)</f>
        <v>0</v>
      </c>
      <c r="M1004" s="292">
        <f>IFERROR(VLOOKUP(B1004,'تقرير المصروفات حسب الشهر'!$C$1270:$AD$1381,10,FALSE),0)</f>
        <v>0</v>
      </c>
      <c r="N1004" s="31" t="e">
        <f>#REF!</f>
        <v>#REF!</v>
      </c>
      <c r="O1004" s="37" t="e">
        <f t="shared" si="24"/>
        <v>#REF!</v>
      </c>
    </row>
    <row r="1005" spans="2:15" ht="17.399999999999999">
      <c r="B1005" s="42" t="s">
        <v>89</v>
      </c>
      <c r="C1005" s="39">
        <f>'تقرير المصروفات حسب الشهر'!L73</f>
        <v>0</v>
      </c>
      <c r="D1005" s="31" t="e">
        <f>#REF!</f>
        <v>#REF!</v>
      </c>
      <c r="E1005" s="31" t="e">
        <f>#REF!</f>
        <v>#REF!</v>
      </c>
      <c r="F1005" s="31" t="e">
        <f>#REF!</f>
        <v>#REF!</v>
      </c>
      <c r="G1005" s="31" t="e">
        <f>#REF!</f>
        <v>#REF!</v>
      </c>
      <c r="H1005" s="31" t="e">
        <f>#REF!</f>
        <v>#REF!</v>
      </c>
      <c r="I1005" s="31">
        <f>'تقرير المصروفات حسب الشهر'!L826</f>
        <v>979</v>
      </c>
      <c r="J1005" s="31">
        <f>'تقرير المصروفات حسب الشهر'!L953</f>
        <v>0</v>
      </c>
      <c r="K1005" s="31">
        <f>'تقرير المصروفات حسب الشهر'!L1080</f>
        <v>0</v>
      </c>
      <c r="L1005" s="292">
        <f>IFERROR(VLOOKUP(B1005,'تقرير المصروفات حسب الشهر'!$C$1143:$AD$1254,10,FALSE),0)</f>
        <v>0</v>
      </c>
      <c r="M1005" s="292">
        <f>IFERROR(VLOOKUP(B1005,'تقرير المصروفات حسب الشهر'!$C$1270:$AD$1381,10,FALSE),0)</f>
        <v>0</v>
      </c>
      <c r="N1005" s="31" t="e">
        <f>#REF!</f>
        <v>#REF!</v>
      </c>
      <c r="O1005" s="37" t="e">
        <f t="shared" si="24"/>
        <v>#REF!</v>
      </c>
    </row>
    <row r="1006" spans="2:15" ht="17.399999999999999">
      <c r="B1006" s="42" t="s">
        <v>33</v>
      </c>
      <c r="C1006" s="39">
        <f>'تقرير المصروفات حسب الشهر'!L74</f>
        <v>0</v>
      </c>
      <c r="D1006" s="31" t="e">
        <f>#REF!</f>
        <v>#REF!</v>
      </c>
      <c r="E1006" s="31" t="e">
        <f>#REF!</f>
        <v>#REF!</v>
      </c>
      <c r="F1006" s="31" t="e">
        <f>#REF!</f>
        <v>#REF!</v>
      </c>
      <c r="G1006" s="31" t="e">
        <f>#REF!</f>
        <v>#REF!</v>
      </c>
      <c r="H1006" s="31" t="e">
        <f>#REF!</f>
        <v>#REF!</v>
      </c>
      <c r="I1006" s="31">
        <f>'تقرير المصروفات حسب الشهر'!L827</f>
        <v>0</v>
      </c>
      <c r="J1006" s="31">
        <f>'تقرير المصروفات حسب الشهر'!L954</f>
        <v>0</v>
      </c>
      <c r="K1006" s="31">
        <f>'تقرير المصروفات حسب الشهر'!L1081</f>
        <v>0</v>
      </c>
      <c r="L1006" s="292">
        <f>IFERROR(VLOOKUP(B1006,'تقرير المصروفات حسب الشهر'!$C$1143:$AD$1254,10,FALSE),0)</f>
        <v>1075.76</v>
      </c>
      <c r="M1006" s="292">
        <f>IFERROR(VLOOKUP(B1006,'تقرير المصروفات حسب الشهر'!$C$1270:$AD$1381,10,FALSE),0)</f>
        <v>2207.5700000000002</v>
      </c>
      <c r="N1006" s="31" t="e">
        <f>#REF!</f>
        <v>#REF!</v>
      </c>
      <c r="O1006" s="37" t="e">
        <f t="shared" si="24"/>
        <v>#REF!</v>
      </c>
    </row>
    <row r="1007" spans="2:15" ht="17.399999999999999">
      <c r="B1007" s="42" t="s">
        <v>90</v>
      </c>
      <c r="C1007" s="39">
        <f>'تقرير المصروفات حسب الشهر'!L75</f>
        <v>0</v>
      </c>
      <c r="D1007" s="31" t="e">
        <f>#REF!</f>
        <v>#REF!</v>
      </c>
      <c r="E1007" s="31" t="e">
        <f>#REF!</f>
        <v>#REF!</v>
      </c>
      <c r="F1007" s="31" t="e">
        <f>#REF!</f>
        <v>#REF!</v>
      </c>
      <c r="G1007" s="31" t="e">
        <f>#REF!</f>
        <v>#REF!</v>
      </c>
      <c r="H1007" s="31" t="e">
        <f>#REF!</f>
        <v>#REF!</v>
      </c>
      <c r="I1007" s="31">
        <f>'تقرير المصروفات حسب الشهر'!L828</f>
        <v>0</v>
      </c>
      <c r="J1007" s="31">
        <f>'تقرير المصروفات حسب الشهر'!L955</f>
        <v>0</v>
      </c>
      <c r="K1007" s="31">
        <f>'تقرير المصروفات حسب الشهر'!L1082</f>
        <v>0</v>
      </c>
      <c r="L1007" s="292">
        <f>IFERROR(VLOOKUP(B1007,'تقرير المصروفات حسب الشهر'!$C$1143:$AD$1254,10,FALSE),0)</f>
        <v>0</v>
      </c>
      <c r="M1007" s="292">
        <f>IFERROR(VLOOKUP(B1007,'تقرير المصروفات حسب الشهر'!$C$1270:$AD$1381,10,FALSE),0)</f>
        <v>0</v>
      </c>
      <c r="N1007" s="31" t="e">
        <f>#REF!</f>
        <v>#REF!</v>
      </c>
      <c r="O1007" s="37" t="e">
        <f t="shared" ref="O1007:O1050" si="25">SUM(C1007:N1007)</f>
        <v>#REF!</v>
      </c>
    </row>
    <row r="1008" spans="2:15" ht="17.399999999999999">
      <c r="B1008" s="42" t="s">
        <v>91</v>
      </c>
      <c r="C1008" s="39">
        <f>'تقرير المصروفات حسب الشهر'!L76</f>
        <v>0</v>
      </c>
      <c r="D1008" s="31" t="e">
        <f>#REF!</f>
        <v>#REF!</v>
      </c>
      <c r="E1008" s="31" t="e">
        <f>#REF!</f>
        <v>#REF!</v>
      </c>
      <c r="F1008" s="31" t="e">
        <f>#REF!</f>
        <v>#REF!</v>
      </c>
      <c r="G1008" s="31" t="e">
        <f>#REF!</f>
        <v>#REF!</v>
      </c>
      <c r="H1008" s="31" t="e">
        <f>#REF!</f>
        <v>#REF!</v>
      </c>
      <c r="I1008" s="31">
        <f>'تقرير المصروفات حسب الشهر'!L829</f>
        <v>0</v>
      </c>
      <c r="J1008" s="31">
        <f>'تقرير المصروفات حسب الشهر'!L956</f>
        <v>0</v>
      </c>
      <c r="K1008" s="31">
        <f>'تقرير المصروفات حسب الشهر'!L1083</f>
        <v>0</v>
      </c>
      <c r="L1008" s="292">
        <f>IFERROR(VLOOKUP(B1008,'تقرير المصروفات حسب الشهر'!$C$1143:$AD$1254,10,FALSE),0)</f>
        <v>0</v>
      </c>
      <c r="M1008" s="292">
        <f>IFERROR(VLOOKUP(B1008,'تقرير المصروفات حسب الشهر'!$C$1270:$AD$1381,10,FALSE),0)</f>
        <v>0</v>
      </c>
      <c r="N1008" s="31" t="e">
        <f>#REF!</f>
        <v>#REF!</v>
      </c>
      <c r="O1008" s="37" t="e">
        <f t="shared" si="25"/>
        <v>#REF!</v>
      </c>
    </row>
    <row r="1009" spans="2:15" ht="17.399999999999999">
      <c r="B1009" s="42" t="s">
        <v>92</v>
      </c>
      <c r="C1009" s="39">
        <f>'تقرير المصروفات حسب الشهر'!L77</f>
        <v>0</v>
      </c>
      <c r="D1009" s="31" t="e">
        <f>#REF!</f>
        <v>#REF!</v>
      </c>
      <c r="E1009" s="31" t="e">
        <f>#REF!</f>
        <v>#REF!</v>
      </c>
      <c r="F1009" s="31" t="e">
        <f>#REF!</f>
        <v>#REF!</v>
      </c>
      <c r="G1009" s="31" t="e">
        <f>#REF!</f>
        <v>#REF!</v>
      </c>
      <c r="H1009" s="31" t="e">
        <f>#REF!</f>
        <v>#REF!</v>
      </c>
      <c r="I1009" s="31">
        <f>'تقرير المصروفات حسب الشهر'!L830</f>
        <v>0</v>
      </c>
      <c r="J1009" s="31">
        <f>'تقرير المصروفات حسب الشهر'!L957</f>
        <v>0</v>
      </c>
      <c r="K1009" s="31">
        <f>'تقرير المصروفات حسب الشهر'!L1084</f>
        <v>0</v>
      </c>
      <c r="L1009" s="292">
        <f>IFERROR(VLOOKUP(B1009,'تقرير المصروفات حسب الشهر'!$C$1143:$AD$1254,10,FALSE),0)</f>
        <v>0</v>
      </c>
      <c r="M1009" s="292">
        <f>IFERROR(VLOOKUP(B1009,'تقرير المصروفات حسب الشهر'!$C$1270:$AD$1381,10,FALSE),0)</f>
        <v>0</v>
      </c>
      <c r="N1009" s="31" t="e">
        <f>#REF!</f>
        <v>#REF!</v>
      </c>
      <c r="O1009" s="37" t="e">
        <f t="shared" si="25"/>
        <v>#REF!</v>
      </c>
    </row>
    <row r="1010" spans="2:15" ht="17.399999999999999">
      <c r="B1010" s="42" t="s">
        <v>93</v>
      </c>
      <c r="C1010" s="39">
        <f>'تقرير المصروفات حسب الشهر'!L78</f>
        <v>0</v>
      </c>
      <c r="D1010" s="31" t="e">
        <f>#REF!</f>
        <v>#REF!</v>
      </c>
      <c r="E1010" s="31" t="e">
        <f>#REF!</f>
        <v>#REF!</v>
      </c>
      <c r="F1010" s="31" t="e">
        <f>#REF!</f>
        <v>#REF!</v>
      </c>
      <c r="G1010" s="31" t="e">
        <f>#REF!</f>
        <v>#REF!</v>
      </c>
      <c r="H1010" s="31" t="e">
        <f>#REF!</f>
        <v>#REF!</v>
      </c>
      <c r="I1010" s="31">
        <f>'تقرير المصروفات حسب الشهر'!L831</f>
        <v>0</v>
      </c>
      <c r="J1010" s="31">
        <f>'تقرير المصروفات حسب الشهر'!L958</f>
        <v>0</v>
      </c>
      <c r="K1010" s="31">
        <f>'تقرير المصروفات حسب الشهر'!L1085</f>
        <v>600</v>
      </c>
      <c r="L1010" s="292">
        <f>IFERROR(VLOOKUP(B1010,'تقرير المصروفات حسب الشهر'!$C$1143:$AD$1254,10,FALSE),0)</f>
        <v>0</v>
      </c>
      <c r="M1010" s="292">
        <f>IFERROR(VLOOKUP(B1010,'تقرير المصروفات حسب الشهر'!$C$1270:$AD$1381,10,FALSE),0)</f>
        <v>0</v>
      </c>
      <c r="N1010" s="31" t="e">
        <f>#REF!</f>
        <v>#REF!</v>
      </c>
      <c r="O1010" s="37" t="e">
        <f t="shared" si="25"/>
        <v>#REF!</v>
      </c>
    </row>
    <row r="1011" spans="2:15" ht="17.399999999999999">
      <c r="B1011" s="42" t="s">
        <v>94</v>
      </c>
      <c r="C1011" s="39">
        <f>'تقرير المصروفات حسب الشهر'!L79</f>
        <v>0</v>
      </c>
      <c r="D1011" s="31" t="e">
        <f>#REF!</f>
        <v>#REF!</v>
      </c>
      <c r="E1011" s="31" t="e">
        <f>#REF!</f>
        <v>#REF!</v>
      </c>
      <c r="F1011" s="31" t="e">
        <f>#REF!</f>
        <v>#REF!</v>
      </c>
      <c r="G1011" s="31" t="e">
        <f>#REF!</f>
        <v>#REF!</v>
      </c>
      <c r="H1011" s="31" t="e">
        <f>#REF!</f>
        <v>#REF!</v>
      </c>
      <c r="I1011" s="31">
        <f>'تقرير المصروفات حسب الشهر'!L832</f>
        <v>0</v>
      </c>
      <c r="J1011" s="31">
        <f>'تقرير المصروفات حسب الشهر'!L959</f>
        <v>0</v>
      </c>
      <c r="K1011" s="31">
        <f>'تقرير المصروفات حسب الشهر'!L1086</f>
        <v>0</v>
      </c>
      <c r="L1011" s="292">
        <f>IFERROR(VLOOKUP(B1011,'تقرير المصروفات حسب الشهر'!$C$1143:$AD$1254,10,FALSE),0)</f>
        <v>0</v>
      </c>
      <c r="M1011" s="292">
        <f>IFERROR(VLOOKUP(B1011,'تقرير المصروفات حسب الشهر'!$C$1270:$AD$1381,10,FALSE),0)</f>
        <v>0</v>
      </c>
      <c r="N1011" s="31" t="e">
        <f>#REF!</f>
        <v>#REF!</v>
      </c>
      <c r="O1011" s="37" t="e">
        <f t="shared" si="25"/>
        <v>#REF!</v>
      </c>
    </row>
    <row r="1012" spans="2:15" ht="17.399999999999999">
      <c r="B1012" s="42" t="s">
        <v>95</v>
      </c>
      <c r="C1012" s="39">
        <f>'تقرير المصروفات حسب الشهر'!L80</f>
        <v>0</v>
      </c>
      <c r="D1012" s="31" t="e">
        <f>#REF!</f>
        <v>#REF!</v>
      </c>
      <c r="E1012" s="31" t="e">
        <f>#REF!</f>
        <v>#REF!</v>
      </c>
      <c r="F1012" s="31" t="e">
        <f>#REF!</f>
        <v>#REF!</v>
      </c>
      <c r="G1012" s="31" t="e">
        <f>#REF!</f>
        <v>#REF!</v>
      </c>
      <c r="H1012" s="31" t="e">
        <f>#REF!</f>
        <v>#REF!</v>
      </c>
      <c r="I1012" s="31">
        <f>'تقرير المصروفات حسب الشهر'!L833</f>
        <v>668</v>
      </c>
      <c r="J1012" s="31">
        <f>'تقرير المصروفات حسب الشهر'!L960</f>
        <v>0</v>
      </c>
      <c r="K1012" s="31">
        <f>'تقرير المصروفات حسب الشهر'!L1087</f>
        <v>0</v>
      </c>
      <c r="L1012" s="292">
        <f>IFERROR(VLOOKUP(B1012,'تقرير المصروفات حسب الشهر'!$C$1143:$AD$1254,10,FALSE),0)</f>
        <v>0</v>
      </c>
      <c r="M1012" s="292">
        <f>IFERROR(VLOOKUP(B1012,'تقرير المصروفات حسب الشهر'!$C$1270:$AD$1381,10,FALSE),0)</f>
        <v>0</v>
      </c>
      <c r="N1012" s="31" t="e">
        <f>#REF!</f>
        <v>#REF!</v>
      </c>
      <c r="O1012" s="37" t="e">
        <f t="shared" si="25"/>
        <v>#REF!</v>
      </c>
    </row>
    <row r="1013" spans="2:15" ht="17.399999999999999">
      <c r="B1013" s="42" t="s">
        <v>96</v>
      </c>
      <c r="C1013" s="39">
        <f>'تقرير المصروفات حسب الشهر'!L81</f>
        <v>0</v>
      </c>
      <c r="D1013" s="31" t="e">
        <f>#REF!</f>
        <v>#REF!</v>
      </c>
      <c r="E1013" s="31" t="e">
        <f>#REF!</f>
        <v>#REF!</v>
      </c>
      <c r="F1013" s="31" t="e">
        <f>#REF!</f>
        <v>#REF!</v>
      </c>
      <c r="G1013" s="31" t="e">
        <f>#REF!</f>
        <v>#REF!</v>
      </c>
      <c r="H1013" s="31" t="e">
        <f>#REF!</f>
        <v>#REF!</v>
      </c>
      <c r="I1013" s="31">
        <f>'تقرير المصروفات حسب الشهر'!L834</f>
        <v>0</v>
      </c>
      <c r="J1013" s="31">
        <f>'تقرير المصروفات حسب الشهر'!L961</f>
        <v>0</v>
      </c>
      <c r="K1013" s="31">
        <f>'تقرير المصروفات حسب الشهر'!L1088</f>
        <v>0</v>
      </c>
      <c r="L1013" s="292">
        <f>IFERROR(VLOOKUP(B1013,'تقرير المصروفات حسب الشهر'!$C$1143:$AD$1254,10,FALSE),0)</f>
        <v>0</v>
      </c>
      <c r="M1013" s="292">
        <f>IFERROR(VLOOKUP(B1013,'تقرير المصروفات حسب الشهر'!$C$1270:$AD$1381,10,FALSE),0)</f>
        <v>0</v>
      </c>
      <c r="N1013" s="31" t="e">
        <f>#REF!</f>
        <v>#REF!</v>
      </c>
      <c r="O1013" s="37" t="e">
        <f t="shared" si="25"/>
        <v>#REF!</v>
      </c>
    </row>
    <row r="1014" spans="2:15" ht="17.399999999999999">
      <c r="B1014" s="42" t="s">
        <v>97</v>
      </c>
      <c r="C1014" s="39">
        <f>'تقرير المصروفات حسب الشهر'!L82</f>
        <v>0</v>
      </c>
      <c r="D1014" s="31" t="e">
        <f>#REF!</f>
        <v>#REF!</v>
      </c>
      <c r="E1014" s="31" t="e">
        <f>#REF!</f>
        <v>#REF!</v>
      </c>
      <c r="F1014" s="31" t="e">
        <f>#REF!</f>
        <v>#REF!</v>
      </c>
      <c r="G1014" s="31" t="e">
        <f>#REF!</f>
        <v>#REF!</v>
      </c>
      <c r="H1014" s="31" t="e">
        <f>#REF!</f>
        <v>#REF!</v>
      </c>
      <c r="I1014" s="31">
        <f>'تقرير المصروفات حسب الشهر'!L835</f>
        <v>0</v>
      </c>
      <c r="J1014" s="31">
        <f>'تقرير المصروفات حسب الشهر'!L962</f>
        <v>0</v>
      </c>
      <c r="K1014" s="31">
        <f>'تقرير المصروفات حسب الشهر'!L1089</f>
        <v>2130</v>
      </c>
      <c r="L1014" s="292">
        <f>IFERROR(VLOOKUP(B1014,'تقرير المصروفات حسب الشهر'!$C$1143:$AD$1254,10,FALSE),0)</f>
        <v>0</v>
      </c>
      <c r="M1014" s="292">
        <f>IFERROR(VLOOKUP(B1014,'تقرير المصروفات حسب الشهر'!$C$1270:$AD$1381,10,FALSE),0)</f>
        <v>0</v>
      </c>
      <c r="N1014" s="31" t="e">
        <f>#REF!</f>
        <v>#REF!</v>
      </c>
      <c r="O1014" s="37" t="e">
        <f t="shared" si="25"/>
        <v>#REF!</v>
      </c>
    </row>
    <row r="1015" spans="2:15" ht="17.399999999999999">
      <c r="B1015" s="42" t="s">
        <v>192</v>
      </c>
      <c r="C1015" s="39">
        <f>'تقرير المصروفات حسب الشهر'!L83</f>
        <v>0</v>
      </c>
      <c r="D1015" s="31" t="e">
        <f>#REF!</f>
        <v>#REF!</v>
      </c>
      <c r="E1015" s="31" t="e">
        <f>#REF!</f>
        <v>#REF!</v>
      </c>
      <c r="F1015" s="31" t="e">
        <f>#REF!</f>
        <v>#REF!</v>
      </c>
      <c r="G1015" s="31" t="e">
        <f>#REF!</f>
        <v>#REF!</v>
      </c>
      <c r="H1015" s="31" t="e">
        <f>#REF!</f>
        <v>#REF!</v>
      </c>
      <c r="I1015" s="31">
        <f>'تقرير المصروفات حسب الشهر'!L836</f>
        <v>0</v>
      </c>
      <c r="J1015" s="31">
        <f>'تقرير المصروفات حسب الشهر'!L963</f>
        <v>0</v>
      </c>
      <c r="K1015" s="31">
        <f>'تقرير المصروفات حسب الشهر'!L1090</f>
        <v>0</v>
      </c>
      <c r="L1015" s="292">
        <f>IFERROR(VLOOKUP(B1015,'تقرير المصروفات حسب الشهر'!$C$1143:$AD$1254,10,FALSE),0)</f>
        <v>1065</v>
      </c>
      <c r="M1015" s="292">
        <f>IFERROR(VLOOKUP(B1015,'تقرير المصروفات حسب الشهر'!$C$1270:$AD$1381,10,FALSE),0)</f>
        <v>1065</v>
      </c>
      <c r="N1015" s="31" t="e">
        <f>#REF!</f>
        <v>#REF!</v>
      </c>
      <c r="O1015" s="37" t="e">
        <f t="shared" si="25"/>
        <v>#REF!</v>
      </c>
    </row>
    <row r="1016" spans="2:15" ht="17.399999999999999">
      <c r="B1016" s="42" t="s">
        <v>98</v>
      </c>
      <c r="C1016" s="39">
        <f>'تقرير المصروفات حسب الشهر'!L84</f>
        <v>0</v>
      </c>
      <c r="D1016" s="31" t="e">
        <f>#REF!</f>
        <v>#REF!</v>
      </c>
      <c r="E1016" s="31" t="e">
        <f>#REF!</f>
        <v>#REF!</v>
      </c>
      <c r="F1016" s="31" t="e">
        <f>#REF!</f>
        <v>#REF!</v>
      </c>
      <c r="G1016" s="31" t="e">
        <f>#REF!</f>
        <v>#REF!</v>
      </c>
      <c r="H1016" s="31" t="e">
        <f>#REF!</f>
        <v>#REF!</v>
      </c>
      <c r="I1016" s="31">
        <f>'تقرير المصروفات حسب الشهر'!L837</f>
        <v>73.33</v>
      </c>
      <c r="J1016" s="31">
        <f>'تقرير المصروفات حسب الشهر'!L964</f>
        <v>73.33</v>
      </c>
      <c r="K1016" s="31">
        <f>'تقرير المصروفات حسب الشهر'!L1091</f>
        <v>73.33</v>
      </c>
      <c r="L1016" s="292">
        <f>IFERROR(VLOOKUP(B1016,'تقرير المصروفات حسب الشهر'!$C$1143:$AD$1254,10,FALSE),0)</f>
        <v>0</v>
      </c>
      <c r="M1016" s="292">
        <f>IFERROR(VLOOKUP(B1016,'تقرير المصروفات حسب الشهر'!$C$1270:$AD$1381,10,FALSE),0)</f>
        <v>0</v>
      </c>
      <c r="N1016" s="31" t="e">
        <f>#REF!</f>
        <v>#REF!</v>
      </c>
      <c r="O1016" s="37" t="e">
        <f t="shared" si="25"/>
        <v>#REF!</v>
      </c>
    </row>
    <row r="1017" spans="2:15" ht="17.399999999999999">
      <c r="B1017" s="42" t="s">
        <v>99</v>
      </c>
      <c r="C1017" s="39">
        <f>'تقرير المصروفات حسب الشهر'!L85</f>
        <v>0</v>
      </c>
      <c r="D1017" s="31" t="e">
        <f>#REF!</f>
        <v>#REF!</v>
      </c>
      <c r="E1017" s="31" t="e">
        <f>#REF!</f>
        <v>#REF!</v>
      </c>
      <c r="F1017" s="31" t="e">
        <f>#REF!</f>
        <v>#REF!</v>
      </c>
      <c r="G1017" s="31" t="e">
        <f>#REF!</f>
        <v>#REF!</v>
      </c>
      <c r="H1017" s="31" t="e">
        <f>#REF!</f>
        <v>#REF!</v>
      </c>
      <c r="I1017" s="31">
        <f>'تقرير المصروفات حسب الشهر'!L838</f>
        <v>0</v>
      </c>
      <c r="J1017" s="31">
        <f>'تقرير المصروفات حسب الشهر'!L965</f>
        <v>0</v>
      </c>
      <c r="K1017" s="31">
        <f>'تقرير المصروفات حسب الشهر'!L1092</f>
        <v>0</v>
      </c>
      <c r="L1017" s="292">
        <f>IFERROR(VLOOKUP(B1017,'تقرير المصروفات حسب الشهر'!$C$1143:$AD$1254,10,FALSE),0)</f>
        <v>73.33</v>
      </c>
      <c r="M1017" s="292">
        <f>IFERROR(VLOOKUP(B1017,'تقرير المصروفات حسب الشهر'!$C$1270:$AD$1381,10,FALSE),0)</f>
        <v>73.33</v>
      </c>
      <c r="N1017" s="31" t="e">
        <f>#REF!</f>
        <v>#REF!</v>
      </c>
      <c r="O1017" s="37" t="e">
        <f t="shared" si="25"/>
        <v>#REF!</v>
      </c>
    </row>
    <row r="1018" spans="2:15" ht="17.399999999999999">
      <c r="B1018" s="42" t="s">
        <v>100</v>
      </c>
      <c r="C1018" s="39">
        <f>'تقرير المصروفات حسب الشهر'!L86</f>
        <v>0</v>
      </c>
      <c r="D1018" s="31" t="e">
        <f>#REF!</f>
        <v>#REF!</v>
      </c>
      <c r="E1018" s="31" t="e">
        <f>#REF!</f>
        <v>#REF!</v>
      </c>
      <c r="F1018" s="31" t="e">
        <f>#REF!</f>
        <v>#REF!</v>
      </c>
      <c r="G1018" s="31" t="e">
        <f>#REF!</f>
        <v>#REF!</v>
      </c>
      <c r="H1018" s="31" t="e">
        <f>#REF!</f>
        <v>#REF!</v>
      </c>
      <c r="I1018" s="31">
        <f>'تقرير المصروفات حسب الشهر'!L839</f>
        <v>0</v>
      </c>
      <c r="J1018" s="31">
        <f>'تقرير المصروفات حسب الشهر'!L966</f>
        <v>0</v>
      </c>
      <c r="K1018" s="31">
        <f>'تقرير المصروفات حسب الشهر'!L1093</f>
        <v>0</v>
      </c>
      <c r="L1018" s="292">
        <f>IFERROR(VLOOKUP(B1018,'تقرير المصروفات حسب الشهر'!$C$1143:$AD$1254,10,FALSE),0)</f>
        <v>0</v>
      </c>
      <c r="M1018" s="292">
        <f>IFERROR(VLOOKUP(B1018,'تقرير المصروفات حسب الشهر'!$C$1270:$AD$1381,10,FALSE),0)</f>
        <v>0</v>
      </c>
      <c r="N1018" s="31" t="e">
        <f>#REF!</f>
        <v>#REF!</v>
      </c>
      <c r="O1018" s="37" t="e">
        <f t="shared" si="25"/>
        <v>#REF!</v>
      </c>
    </row>
    <row r="1019" spans="2:15" ht="17.399999999999999">
      <c r="B1019" s="42" t="s">
        <v>101</v>
      </c>
      <c r="C1019" s="39">
        <f>'تقرير المصروفات حسب الشهر'!L87</f>
        <v>0</v>
      </c>
      <c r="D1019" s="31" t="e">
        <f>#REF!</f>
        <v>#REF!</v>
      </c>
      <c r="E1019" s="31" t="e">
        <f>#REF!</f>
        <v>#REF!</v>
      </c>
      <c r="F1019" s="31" t="e">
        <f>#REF!</f>
        <v>#REF!</v>
      </c>
      <c r="G1019" s="31" t="e">
        <f>#REF!</f>
        <v>#REF!</v>
      </c>
      <c r="H1019" s="31" t="e">
        <f>#REF!</f>
        <v>#REF!</v>
      </c>
      <c r="I1019" s="31">
        <f>'تقرير المصروفات حسب الشهر'!L840</f>
        <v>337.39</v>
      </c>
      <c r="J1019" s="31">
        <f>'تقرير المصروفات حسب الشهر'!L967</f>
        <v>371.97</v>
      </c>
      <c r="K1019" s="31">
        <f>'تقرير المصروفات حسب الشهر'!L1094</f>
        <v>371.97</v>
      </c>
      <c r="L1019" s="292">
        <f>IFERROR(VLOOKUP(B1019,'تقرير المصروفات حسب الشهر'!$C$1143:$AD$1254,10,FALSE),0)</f>
        <v>0</v>
      </c>
      <c r="M1019" s="292">
        <f>IFERROR(VLOOKUP(B1019,'تقرير المصروفات حسب الشهر'!$C$1270:$AD$1381,10,FALSE),0)</f>
        <v>0</v>
      </c>
      <c r="N1019" s="31" t="e">
        <f>#REF!</f>
        <v>#REF!</v>
      </c>
      <c r="O1019" s="37" t="e">
        <f t="shared" si="25"/>
        <v>#REF!</v>
      </c>
    </row>
    <row r="1020" spans="2:15" ht="17.399999999999999">
      <c r="B1020" s="42" t="s">
        <v>102</v>
      </c>
      <c r="C1020" s="39">
        <f>'تقرير المصروفات حسب الشهر'!L88</f>
        <v>313.52999999999997</v>
      </c>
      <c r="D1020" s="31" t="e">
        <f>#REF!</f>
        <v>#REF!</v>
      </c>
      <c r="E1020" s="31" t="e">
        <f>#REF!</f>
        <v>#REF!</v>
      </c>
      <c r="F1020" s="31" t="e">
        <f>#REF!</f>
        <v>#REF!</v>
      </c>
      <c r="G1020" s="31" t="e">
        <f>#REF!</f>
        <v>#REF!</v>
      </c>
      <c r="H1020" s="31" t="e">
        <f>#REF!</f>
        <v>#REF!</v>
      </c>
      <c r="I1020" s="31">
        <f>'تقرير المصروفات حسب الشهر'!L841</f>
        <v>53.44</v>
      </c>
      <c r="J1020" s="31">
        <f>'تقرير المصروفات حسب الشهر'!L968</f>
        <v>38.17</v>
      </c>
      <c r="K1020" s="31">
        <f>'تقرير المصروفات حسب الشهر'!L1095</f>
        <v>0</v>
      </c>
      <c r="L1020" s="292">
        <f>IFERROR(VLOOKUP(B1020,'تقرير المصروفات حسب الشهر'!$C$1143:$AD$1254,10,FALSE),0)</f>
        <v>371.97</v>
      </c>
      <c r="M1020" s="292">
        <f>IFERROR(VLOOKUP(B1020,'تقرير المصروفات حسب الشهر'!$C$1270:$AD$1381,10,FALSE),0)</f>
        <v>371.88</v>
      </c>
      <c r="N1020" s="31" t="e">
        <f>#REF!</f>
        <v>#REF!</v>
      </c>
      <c r="O1020" s="37" t="e">
        <f t="shared" si="25"/>
        <v>#REF!</v>
      </c>
    </row>
    <row r="1021" spans="2:15" ht="17.399999999999999">
      <c r="B1021" s="42" t="s">
        <v>103</v>
      </c>
      <c r="C1021" s="39">
        <f>'تقرير المصروفات حسب الشهر'!L89</f>
        <v>53.44</v>
      </c>
      <c r="D1021" s="31" t="e">
        <f>#REF!</f>
        <v>#REF!</v>
      </c>
      <c r="E1021" s="31" t="e">
        <f>#REF!</f>
        <v>#REF!</v>
      </c>
      <c r="F1021" s="31" t="e">
        <f>#REF!</f>
        <v>#REF!</v>
      </c>
      <c r="G1021" s="31" t="e">
        <f>#REF!</f>
        <v>#REF!</v>
      </c>
      <c r="H1021" s="31" t="e">
        <f>#REF!</f>
        <v>#REF!</v>
      </c>
      <c r="I1021" s="31">
        <f>'تقرير المصروفات حسب الشهر'!L842</f>
        <v>0</v>
      </c>
      <c r="J1021" s="31">
        <f>'تقرير المصروفات حسب الشهر'!L969</f>
        <v>0</v>
      </c>
      <c r="K1021" s="31">
        <f>'تقرير المصروفات حسب الشهر'!L1096</f>
        <v>0</v>
      </c>
      <c r="L1021" s="292">
        <f>IFERROR(VLOOKUP(B1021,'تقرير المصروفات حسب الشهر'!$C$1143:$AD$1254,10,FALSE),0)</f>
        <v>0</v>
      </c>
      <c r="M1021" s="292">
        <f>IFERROR(VLOOKUP(B1021,'تقرير المصروفات حسب الشهر'!$C$1270:$AD$1381,10,FALSE),0)</f>
        <v>0</v>
      </c>
      <c r="N1021" s="31" t="e">
        <f>#REF!</f>
        <v>#REF!</v>
      </c>
      <c r="O1021" s="37" t="e">
        <f t="shared" si="25"/>
        <v>#REF!</v>
      </c>
    </row>
    <row r="1022" spans="2:15" ht="17.399999999999999">
      <c r="B1022" s="42" t="s">
        <v>104</v>
      </c>
      <c r="C1022" s="39">
        <f>'تقرير المصروفات حسب الشهر'!L90</f>
        <v>45.81</v>
      </c>
      <c r="D1022" s="31" t="e">
        <f>#REF!</f>
        <v>#REF!</v>
      </c>
      <c r="E1022" s="31" t="e">
        <f>#REF!</f>
        <v>#REF!</v>
      </c>
      <c r="F1022" s="31" t="e">
        <f>#REF!</f>
        <v>#REF!</v>
      </c>
      <c r="G1022" s="31" t="e">
        <f>#REF!</f>
        <v>#REF!</v>
      </c>
      <c r="H1022" s="31" t="e">
        <f>#REF!</f>
        <v>#REF!</v>
      </c>
      <c r="I1022" s="31">
        <f>'تقرير المصروفات حسب الشهر'!L843</f>
        <v>0</v>
      </c>
      <c r="J1022" s="31">
        <f>'تقرير المصروفات حسب الشهر'!L970</f>
        <v>0</v>
      </c>
      <c r="K1022" s="31">
        <f>'تقرير المصروفات حسب الشهر'!L1097</f>
        <v>0</v>
      </c>
      <c r="L1022" s="292">
        <f>IFERROR(VLOOKUP(B1022,'تقرير المصروفات حسب الشهر'!$C$1143:$AD$1254,10,FALSE),0)</f>
        <v>0</v>
      </c>
      <c r="M1022" s="292">
        <f>IFERROR(VLOOKUP(B1022,'تقرير المصروفات حسب الشهر'!$C$1270:$AD$1381,10,FALSE),0)</f>
        <v>0</v>
      </c>
      <c r="N1022" s="31" t="e">
        <f>#REF!</f>
        <v>#REF!</v>
      </c>
      <c r="O1022" s="37" t="e">
        <f t="shared" si="25"/>
        <v>#REF!</v>
      </c>
    </row>
    <row r="1023" spans="2:15" ht="17.399999999999999">
      <c r="B1023" s="42" t="s">
        <v>105</v>
      </c>
      <c r="C1023" s="39">
        <f>'تقرير المصروفات حسب الشهر'!L91</f>
        <v>0</v>
      </c>
      <c r="D1023" s="31" t="e">
        <f>#REF!</f>
        <v>#REF!</v>
      </c>
      <c r="E1023" s="31" t="e">
        <f>#REF!</f>
        <v>#REF!</v>
      </c>
      <c r="F1023" s="31" t="e">
        <f>#REF!</f>
        <v>#REF!</v>
      </c>
      <c r="G1023" s="31" t="e">
        <f>#REF!</f>
        <v>#REF!</v>
      </c>
      <c r="H1023" s="31" t="e">
        <f>#REF!</f>
        <v>#REF!</v>
      </c>
      <c r="I1023" s="31">
        <f>'تقرير المصروفات حسب الشهر'!L844</f>
        <v>0</v>
      </c>
      <c r="J1023" s="31">
        <f>'تقرير المصروفات حسب الشهر'!L971</f>
        <v>0</v>
      </c>
      <c r="K1023" s="31">
        <f>'تقرير المصروفات حسب الشهر'!L1098</f>
        <v>0</v>
      </c>
      <c r="L1023" s="292">
        <f>IFERROR(VLOOKUP(B1023,'تقرير المصروفات حسب الشهر'!$C$1143:$AD$1254,10,FALSE),0)</f>
        <v>0</v>
      </c>
      <c r="M1023" s="292">
        <f>IFERROR(VLOOKUP(B1023,'تقرير المصروفات حسب الشهر'!$C$1270:$AD$1381,10,FALSE),0)</f>
        <v>0</v>
      </c>
      <c r="N1023" s="31" t="e">
        <f>#REF!</f>
        <v>#REF!</v>
      </c>
      <c r="O1023" s="37" t="e">
        <f t="shared" si="25"/>
        <v>#REF!</v>
      </c>
    </row>
    <row r="1024" spans="2:15" ht="17.399999999999999">
      <c r="B1024" s="42" t="s">
        <v>106</v>
      </c>
      <c r="C1024" s="39">
        <f>'تقرير المصروفات حسب الشهر'!L92</f>
        <v>0</v>
      </c>
      <c r="D1024" s="31" t="e">
        <f>#REF!</f>
        <v>#REF!</v>
      </c>
      <c r="E1024" s="31" t="e">
        <f>#REF!</f>
        <v>#REF!</v>
      </c>
      <c r="F1024" s="31" t="e">
        <f>#REF!</f>
        <v>#REF!</v>
      </c>
      <c r="G1024" s="31" t="e">
        <f>#REF!</f>
        <v>#REF!</v>
      </c>
      <c r="H1024" s="31" t="e">
        <f>#REF!</f>
        <v>#REF!</v>
      </c>
      <c r="I1024" s="31">
        <f>'تقرير المصروفات حسب الشهر'!L845</f>
        <v>0</v>
      </c>
      <c r="J1024" s="31">
        <f>'تقرير المصروفات حسب الشهر'!L972</f>
        <v>0</v>
      </c>
      <c r="K1024" s="31">
        <f>'تقرير المصروفات حسب الشهر'!L1099</f>
        <v>0</v>
      </c>
      <c r="L1024" s="292">
        <f>IFERROR(VLOOKUP(B1024,'تقرير المصروفات حسب الشهر'!$C$1143:$AD$1254,10,FALSE),0)</f>
        <v>0</v>
      </c>
      <c r="M1024" s="292">
        <f>IFERROR(VLOOKUP(B1024,'تقرير المصروفات حسب الشهر'!$C$1270:$AD$1381,10,FALSE),0)</f>
        <v>0</v>
      </c>
      <c r="N1024" s="31" t="e">
        <f>#REF!</f>
        <v>#REF!</v>
      </c>
      <c r="O1024" s="37" t="e">
        <f t="shared" si="25"/>
        <v>#REF!</v>
      </c>
    </row>
    <row r="1025" spans="2:15" ht="17.399999999999999">
      <c r="B1025" s="42" t="s">
        <v>107</v>
      </c>
      <c r="C1025" s="39">
        <f>'تقرير المصروفات حسب الشهر'!L93</f>
        <v>0</v>
      </c>
      <c r="D1025" s="31" t="e">
        <f>#REF!</f>
        <v>#REF!</v>
      </c>
      <c r="E1025" s="31" t="e">
        <f>#REF!</f>
        <v>#REF!</v>
      </c>
      <c r="F1025" s="31" t="e">
        <f>#REF!</f>
        <v>#REF!</v>
      </c>
      <c r="G1025" s="31" t="e">
        <f>#REF!</f>
        <v>#REF!</v>
      </c>
      <c r="H1025" s="31" t="e">
        <f>#REF!</f>
        <v>#REF!</v>
      </c>
      <c r="I1025" s="31">
        <f>'تقرير المصروفات حسب الشهر'!L846</f>
        <v>0</v>
      </c>
      <c r="J1025" s="31">
        <f>'تقرير المصروفات حسب الشهر'!L973</f>
        <v>0</v>
      </c>
      <c r="K1025" s="31">
        <f>'تقرير المصروفات حسب الشهر'!L1100</f>
        <v>0</v>
      </c>
      <c r="L1025" s="292">
        <f>IFERROR(VLOOKUP(B1025,'تقرير المصروفات حسب الشهر'!$C$1143:$AD$1254,10,FALSE),0)</f>
        <v>0</v>
      </c>
      <c r="M1025" s="292">
        <f>IFERROR(VLOOKUP(B1025,'تقرير المصروفات حسب الشهر'!$C$1270:$AD$1381,10,FALSE),0)</f>
        <v>0</v>
      </c>
      <c r="N1025" s="31" t="e">
        <f>#REF!</f>
        <v>#REF!</v>
      </c>
      <c r="O1025" s="37" t="e">
        <f t="shared" si="25"/>
        <v>#REF!</v>
      </c>
    </row>
    <row r="1026" spans="2:15" ht="17.399999999999999">
      <c r="B1026" s="42" t="s">
        <v>108</v>
      </c>
      <c r="C1026" s="39">
        <f>'تقرير المصروفات حسب الشهر'!L94</f>
        <v>0</v>
      </c>
      <c r="D1026" s="31" t="e">
        <f>#REF!</f>
        <v>#REF!</v>
      </c>
      <c r="E1026" s="31" t="e">
        <f>#REF!</f>
        <v>#REF!</v>
      </c>
      <c r="F1026" s="31" t="e">
        <f>#REF!</f>
        <v>#REF!</v>
      </c>
      <c r="G1026" s="31" t="e">
        <f>#REF!</f>
        <v>#REF!</v>
      </c>
      <c r="H1026" s="31" t="e">
        <f>#REF!</f>
        <v>#REF!</v>
      </c>
      <c r="I1026" s="31">
        <f>'تقرير المصروفات حسب الشهر'!L847</f>
        <v>0</v>
      </c>
      <c r="J1026" s="31">
        <f>'تقرير المصروفات حسب الشهر'!L974</f>
        <v>0</v>
      </c>
      <c r="K1026" s="31">
        <f>'تقرير المصروفات حسب الشهر'!L1101</f>
        <v>0</v>
      </c>
      <c r="L1026" s="292">
        <f>IFERROR(VLOOKUP(B1026,'تقرير المصروفات حسب الشهر'!$C$1143:$AD$1254,10,FALSE),0)</f>
        <v>0</v>
      </c>
      <c r="M1026" s="292">
        <f>IFERROR(VLOOKUP(B1026,'تقرير المصروفات حسب الشهر'!$C$1270:$AD$1381,10,FALSE),0)</f>
        <v>0</v>
      </c>
      <c r="N1026" s="31" t="e">
        <f>#REF!</f>
        <v>#REF!</v>
      </c>
      <c r="O1026" s="37" t="e">
        <f t="shared" si="25"/>
        <v>#REF!</v>
      </c>
    </row>
    <row r="1027" spans="2:15" ht="17.399999999999999">
      <c r="B1027" s="42" t="s">
        <v>109</v>
      </c>
      <c r="C1027" s="39">
        <f>'تقرير المصروفات حسب الشهر'!L95</f>
        <v>0</v>
      </c>
      <c r="D1027" s="31" t="e">
        <f>#REF!</f>
        <v>#REF!</v>
      </c>
      <c r="E1027" s="31" t="e">
        <f>#REF!</f>
        <v>#REF!</v>
      </c>
      <c r="F1027" s="31" t="e">
        <f>#REF!</f>
        <v>#REF!</v>
      </c>
      <c r="G1027" s="31" t="e">
        <f>#REF!</f>
        <v>#REF!</v>
      </c>
      <c r="H1027" s="31" t="e">
        <f>#REF!</f>
        <v>#REF!</v>
      </c>
      <c r="I1027" s="31">
        <f>'تقرير المصروفات حسب الشهر'!L848</f>
        <v>0</v>
      </c>
      <c r="J1027" s="31">
        <f>'تقرير المصروفات حسب الشهر'!L975</f>
        <v>0</v>
      </c>
      <c r="K1027" s="31">
        <f>'تقرير المصروفات حسب الشهر'!L1102</f>
        <v>0</v>
      </c>
      <c r="L1027" s="292">
        <f>IFERROR(VLOOKUP(B1027,'تقرير المصروفات حسب الشهر'!$C$1143:$AD$1254,10,FALSE),0)</f>
        <v>0</v>
      </c>
      <c r="M1027" s="292">
        <f>IFERROR(VLOOKUP(B1027,'تقرير المصروفات حسب الشهر'!$C$1270:$AD$1381,10,FALSE),0)</f>
        <v>0</v>
      </c>
      <c r="N1027" s="31" t="e">
        <f>#REF!</f>
        <v>#REF!</v>
      </c>
      <c r="O1027" s="37" t="e">
        <f t="shared" si="25"/>
        <v>#REF!</v>
      </c>
    </row>
    <row r="1028" spans="2:15" ht="17.399999999999999">
      <c r="B1028" s="42" t="s">
        <v>110</v>
      </c>
      <c r="C1028" s="39">
        <f>'تقرير المصروفات حسب الشهر'!L96</f>
        <v>0</v>
      </c>
      <c r="D1028" s="31" t="e">
        <f>#REF!</f>
        <v>#REF!</v>
      </c>
      <c r="E1028" s="31" t="e">
        <f>#REF!</f>
        <v>#REF!</v>
      </c>
      <c r="F1028" s="31" t="e">
        <f>#REF!</f>
        <v>#REF!</v>
      </c>
      <c r="G1028" s="31" t="e">
        <f>#REF!</f>
        <v>#REF!</v>
      </c>
      <c r="H1028" s="31" t="e">
        <f>#REF!</f>
        <v>#REF!</v>
      </c>
      <c r="I1028" s="31">
        <f>'تقرير المصروفات حسب الشهر'!L849</f>
        <v>0</v>
      </c>
      <c r="J1028" s="31">
        <f>'تقرير المصروفات حسب الشهر'!L976</f>
        <v>0</v>
      </c>
      <c r="K1028" s="31">
        <f>'تقرير المصروفات حسب الشهر'!L1103</f>
        <v>0</v>
      </c>
      <c r="L1028" s="292">
        <f>IFERROR(VLOOKUP(B1028,'تقرير المصروفات حسب الشهر'!$C$1143:$AD$1254,10,FALSE),0)</f>
        <v>0</v>
      </c>
      <c r="M1028" s="292">
        <f>IFERROR(VLOOKUP(B1028,'تقرير المصروفات حسب الشهر'!$C$1270:$AD$1381,10,FALSE),0)</f>
        <v>0</v>
      </c>
      <c r="N1028" s="31" t="e">
        <f>#REF!</f>
        <v>#REF!</v>
      </c>
      <c r="O1028" s="37" t="e">
        <f t="shared" si="25"/>
        <v>#REF!</v>
      </c>
    </row>
    <row r="1029" spans="2:15" ht="17.399999999999999">
      <c r="B1029" s="42" t="s">
        <v>112</v>
      </c>
      <c r="C1029" s="39">
        <f>'تقرير المصروفات حسب الشهر'!L97</f>
        <v>0</v>
      </c>
      <c r="D1029" s="31" t="e">
        <f>#REF!</f>
        <v>#REF!</v>
      </c>
      <c r="E1029" s="31" t="e">
        <f>#REF!</f>
        <v>#REF!</v>
      </c>
      <c r="F1029" s="31" t="e">
        <f>#REF!</f>
        <v>#REF!</v>
      </c>
      <c r="G1029" s="31" t="e">
        <f>#REF!</f>
        <v>#REF!</v>
      </c>
      <c r="H1029" s="31" t="e">
        <f>#REF!</f>
        <v>#REF!</v>
      </c>
      <c r="I1029" s="31">
        <f>'تقرير المصروفات حسب الشهر'!L850</f>
        <v>0</v>
      </c>
      <c r="J1029" s="31">
        <f>'تقرير المصروفات حسب الشهر'!L977</f>
        <v>0</v>
      </c>
      <c r="K1029" s="31">
        <f>'تقرير المصروفات حسب الشهر'!L1104</f>
        <v>0</v>
      </c>
      <c r="L1029" s="292">
        <f>IFERROR(VLOOKUP(B1029,'تقرير المصروفات حسب الشهر'!$C$1143:$AD$1254,10,FALSE),0)</f>
        <v>0</v>
      </c>
      <c r="M1029" s="292">
        <f>IFERROR(VLOOKUP(B1029,'تقرير المصروفات حسب الشهر'!$C$1270:$AD$1381,10,FALSE),0)</f>
        <v>0</v>
      </c>
      <c r="N1029" s="31" t="e">
        <f>#REF!</f>
        <v>#REF!</v>
      </c>
      <c r="O1029" s="37" t="e">
        <f t="shared" si="25"/>
        <v>#REF!</v>
      </c>
    </row>
    <row r="1030" spans="2:15" ht="17.399999999999999">
      <c r="B1030" s="42" t="s">
        <v>113</v>
      </c>
      <c r="C1030" s="39">
        <f>'تقرير المصروفات حسب الشهر'!L98</f>
        <v>1.72</v>
      </c>
      <c r="D1030" s="31" t="e">
        <f>#REF!</f>
        <v>#REF!</v>
      </c>
      <c r="E1030" s="31" t="e">
        <f>#REF!</f>
        <v>#REF!</v>
      </c>
      <c r="F1030" s="31" t="e">
        <f>#REF!</f>
        <v>#REF!</v>
      </c>
      <c r="G1030" s="31" t="e">
        <f>#REF!</f>
        <v>#REF!</v>
      </c>
      <c r="H1030" s="31" t="e">
        <f>#REF!</f>
        <v>#REF!</v>
      </c>
      <c r="I1030" s="31">
        <f>'تقرير المصروفات حسب الشهر'!L851</f>
        <v>0</v>
      </c>
      <c r="J1030" s="31">
        <f>'تقرير المصروفات حسب الشهر'!L978</f>
        <v>0</v>
      </c>
      <c r="K1030" s="31">
        <f>'تقرير المصروفات حسب الشهر'!L1105</f>
        <v>0</v>
      </c>
      <c r="L1030" s="292">
        <f>IFERROR(VLOOKUP(B1030,'تقرير المصروفات حسب الشهر'!$C$1143:$AD$1254,10,FALSE),0)</f>
        <v>0</v>
      </c>
      <c r="M1030" s="292">
        <f>IFERROR(VLOOKUP(B1030,'تقرير المصروفات حسب الشهر'!$C$1270:$AD$1381,10,FALSE),0)</f>
        <v>0</v>
      </c>
      <c r="N1030" s="31" t="e">
        <f>#REF!</f>
        <v>#REF!</v>
      </c>
      <c r="O1030" s="37" t="e">
        <f t="shared" si="25"/>
        <v>#REF!</v>
      </c>
    </row>
    <row r="1031" spans="2:15" ht="17.399999999999999">
      <c r="B1031" s="42" t="s">
        <v>137</v>
      </c>
      <c r="C1031" s="39">
        <f>'تقرير المصروفات حسب الشهر'!L99</f>
        <v>0</v>
      </c>
      <c r="D1031" s="31" t="e">
        <f>#REF!</f>
        <v>#REF!</v>
      </c>
      <c r="E1031" s="31" t="e">
        <f>#REF!</f>
        <v>#REF!</v>
      </c>
      <c r="F1031" s="31" t="e">
        <f>#REF!</f>
        <v>#REF!</v>
      </c>
      <c r="G1031" s="31" t="e">
        <f>#REF!</f>
        <v>#REF!</v>
      </c>
      <c r="H1031" s="31" t="e">
        <f>#REF!</f>
        <v>#REF!</v>
      </c>
      <c r="I1031" s="31">
        <f>'تقرير المصروفات حسب الشهر'!L852</f>
        <v>2284</v>
      </c>
      <c r="J1031" s="31">
        <f>'تقرير المصروفات حسب الشهر'!L979</f>
        <v>1897</v>
      </c>
      <c r="K1031" s="31">
        <f>'تقرير المصروفات حسب الشهر'!L1106</f>
        <v>890</v>
      </c>
      <c r="L1031" s="292">
        <f>IFERROR(VLOOKUP(B1031,'تقرير المصروفات حسب الشهر'!$C$1143:$AD$1254,10,FALSE),0)</f>
        <v>0</v>
      </c>
      <c r="M1031" s="292">
        <f>IFERROR(VLOOKUP(B1031,'تقرير المصروفات حسب الشهر'!$C$1270:$AD$1381,10,FALSE),0)</f>
        <v>0</v>
      </c>
      <c r="N1031" s="31" t="e">
        <f>#REF!</f>
        <v>#REF!</v>
      </c>
      <c r="O1031" s="37" t="e">
        <f t="shared" si="25"/>
        <v>#REF!</v>
      </c>
    </row>
    <row r="1032" spans="2:15" ht="17.399999999999999">
      <c r="B1032" s="42" t="s">
        <v>140</v>
      </c>
      <c r="C1032" s="39">
        <f>'تقرير المصروفات حسب الشهر'!L100</f>
        <v>0</v>
      </c>
      <c r="D1032" s="31" t="e">
        <f>#REF!</f>
        <v>#REF!</v>
      </c>
      <c r="E1032" s="31" t="e">
        <f>#REF!</f>
        <v>#REF!</v>
      </c>
      <c r="F1032" s="31" t="e">
        <f>#REF!</f>
        <v>#REF!</v>
      </c>
      <c r="G1032" s="31" t="e">
        <f>#REF!</f>
        <v>#REF!</v>
      </c>
      <c r="H1032" s="31" t="e">
        <f>#REF!</f>
        <v>#REF!</v>
      </c>
      <c r="I1032" s="31">
        <f>'تقرير المصروفات حسب الشهر'!L853</f>
        <v>0</v>
      </c>
      <c r="J1032" s="31">
        <f>'تقرير المصروفات حسب الشهر'!L980</f>
        <v>0</v>
      </c>
      <c r="K1032" s="31">
        <f>'تقرير المصروفات حسب الشهر'!L1107</f>
        <v>0</v>
      </c>
      <c r="L1032" s="292">
        <f>IFERROR(VLOOKUP(B1032,'تقرير المصروفات حسب الشهر'!$C$1143:$AD$1254,10,FALSE),0)</f>
        <v>1414</v>
      </c>
      <c r="M1032" s="292">
        <f>IFERROR(VLOOKUP(B1032,'تقرير المصروفات حسب الشهر'!$C$1270:$AD$1381,10,FALSE),0)</f>
        <v>949</v>
      </c>
      <c r="N1032" s="31" t="e">
        <f>#REF!</f>
        <v>#REF!</v>
      </c>
      <c r="O1032" s="37" t="e">
        <f t="shared" si="25"/>
        <v>#REF!</v>
      </c>
    </row>
    <row r="1033" spans="2:15" ht="17.399999999999999">
      <c r="B1033" s="42" t="s">
        <v>141</v>
      </c>
      <c r="C1033" s="39">
        <f>'تقرير المصروفات حسب الشهر'!L101</f>
        <v>0</v>
      </c>
      <c r="D1033" s="31" t="e">
        <f>#REF!</f>
        <v>#REF!</v>
      </c>
      <c r="E1033" s="31" t="e">
        <f>#REF!</f>
        <v>#REF!</v>
      </c>
      <c r="F1033" s="31" t="e">
        <f>#REF!</f>
        <v>#REF!</v>
      </c>
      <c r="G1033" s="31" t="e">
        <f>#REF!</f>
        <v>#REF!</v>
      </c>
      <c r="H1033" s="31" t="e">
        <f>#REF!</f>
        <v>#REF!</v>
      </c>
      <c r="I1033" s="31">
        <f>'تقرير المصروفات حسب الشهر'!L854</f>
        <v>0</v>
      </c>
      <c r="J1033" s="31">
        <f>'تقرير المصروفات حسب الشهر'!L981</f>
        <v>0</v>
      </c>
      <c r="K1033" s="31">
        <f>'تقرير المصروفات حسب الشهر'!L1108</f>
        <v>0</v>
      </c>
      <c r="L1033" s="292">
        <f>IFERROR(VLOOKUP(B1033,'تقرير المصروفات حسب الشهر'!$C$1143:$AD$1254,10,FALSE),0)</f>
        <v>0</v>
      </c>
      <c r="M1033" s="292">
        <f>IFERROR(VLOOKUP(B1033,'تقرير المصروفات حسب الشهر'!$C$1270:$AD$1381,10,FALSE),0)</f>
        <v>0</v>
      </c>
      <c r="N1033" s="31" t="e">
        <f>#REF!</f>
        <v>#REF!</v>
      </c>
      <c r="O1033" s="37" t="e">
        <f t="shared" si="25"/>
        <v>#REF!</v>
      </c>
    </row>
    <row r="1034" spans="2:15" ht="17.399999999999999">
      <c r="B1034" s="42" t="s">
        <v>193</v>
      </c>
      <c r="C1034" s="39">
        <f>'تقرير المصروفات حسب الشهر'!L102</f>
        <v>0</v>
      </c>
      <c r="D1034" s="31" t="e">
        <f>#REF!</f>
        <v>#REF!</v>
      </c>
      <c r="E1034" s="31" t="e">
        <f>#REF!</f>
        <v>#REF!</v>
      </c>
      <c r="F1034" s="31" t="e">
        <f>#REF!</f>
        <v>#REF!</v>
      </c>
      <c r="G1034" s="31" t="e">
        <f>#REF!</f>
        <v>#REF!</v>
      </c>
      <c r="H1034" s="31" t="e">
        <f>#REF!</f>
        <v>#REF!</v>
      </c>
      <c r="I1034" s="31">
        <f>'تقرير المصروفات حسب الشهر'!L855</f>
        <v>0</v>
      </c>
      <c r="J1034" s="31">
        <f>'تقرير المصروفات حسب الشهر'!L982</f>
        <v>0</v>
      </c>
      <c r="K1034" s="31">
        <f>'تقرير المصروفات حسب الشهر'!L1109</f>
        <v>0</v>
      </c>
      <c r="L1034" s="292">
        <f>IFERROR(VLOOKUP(B1034,'تقرير المصروفات حسب الشهر'!$C$1143:$AD$1254,10,FALSE),0)</f>
        <v>0</v>
      </c>
      <c r="M1034" s="292">
        <f>IFERROR(VLOOKUP(B1034,'تقرير المصروفات حسب الشهر'!$C$1270:$AD$1381,10,FALSE),0)</f>
        <v>0</v>
      </c>
      <c r="N1034" s="31" t="e">
        <f>#REF!</f>
        <v>#REF!</v>
      </c>
      <c r="O1034" s="37" t="e">
        <f t="shared" si="25"/>
        <v>#REF!</v>
      </c>
    </row>
    <row r="1035" spans="2:15" ht="17.399999999999999">
      <c r="B1035" s="42" t="s">
        <v>148</v>
      </c>
      <c r="C1035" s="39">
        <f>'تقرير المصروفات حسب الشهر'!L103</f>
        <v>0</v>
      </c>
      <c r="D1035" s="31" t="e">
        <f>#REF!</f>
        <v>#REF!</v>
      </c>
      <c r="E1035" s="31" t="e">
        <f>#REF!</f>
        <v>#REF!</v>
      </c>
      <c r="F1035" s="31" t="e">
        <f>#REF!</f>
        <v>#REF!</v>
      </c>
      <c r="G1035" s="31" t="e">
        <f>#REF!</f>
        <v>#REF!</v>
      </c>
      <c r="H1035" s="31" t="e">
        <f>#REF!</f>
        <v>#REF!</v>
      </c>
      <c r="I1035" s="31">
        <f>'تقرير المصروفات حسب الشهر'!L856</f>
        <v>0</v>
      </c>
      <c r="J1035" s="31">
        <f>'تقرير المصروفات حسب الشهر'!L983</f>
        <v>0</v>
      </c>
      <c r="K1035" s="31">
        <f>'تقرير المصروفات حسب الشهر'!L1110</f>
        <v>0</v>
      </c>
      <c r="L1035" s="292">
        <f>IFERROR(VLOOKUP(B1035,'تقرير المصروفات حسب الشهر'!$C$1143:$AD$1254,10,FALSE),0)</f>
        <v>0</v>
      </c>
      <c r="M1035" s="292">
        <f>IFERROR(VLOOKUP(B1035,'تقرير المصروفات حسب الشهر'!$C$1270:$AD$1381,10,FALSE),0)</f>
        <v>0</v>
      </c>
      <c r="N1035" s="31" t="e">
        <f>#REF!</f>
        <v>#REF!</v>
      </c>
      <c r="O1035" s="37" t="e">
        <f t="shared" si="25"/>
        <v>#REF!</v>
      </c>
    </row>
    <row r="1036" spans="2:15" ht="17.399999999999999">
      <c r="B1036" s="42" t="s">
        <v>186</v>
      </c>
      <c r="C1036" s="39">
        <f>'تقرير المصروفات حسب الشهر'!L104</f>
        <v>0</v>
      </c>
      <c r="D1036" s="31" t="e">
        <f>#REF!</f>
        <v>#REF!</v>
      </c>
      <c r="E1036" s="31" t="e">
        <f>#REF!</f>
        <v>#REF!</v>
      </c>
      <c r="F1036" s="31" t="e">
        <f>#REF!</f>
        <v>#REF!</v>
      </c>
      <c r="G1036" s="31" t="e">
        <f>#REF!</f>
        <v>#REF!</v>
      </c>
      <c r="H1036" s="31" t="e">
        <f>#REF!</f>
        <v>#REF!</v>
      </c>
      <c r="I1036" s="31">
        <f>'تقرير المصروفات حسب الشهر'!L857</f>
        <v>0</v>
      </c>
      <c r="J1036" s="31">
        <f>'تقرير المصروفات حسب الشهر'!L984</f>
        <v>0</v>
      </c>
      <c r="K1036" s="31">
        <f>'تقرير المصروفات حسب الشهر'!L1111</f>
        <v>0</v>
      </c>
      <c r="L1036" s="292">
        <f>IFERROR(VLOOKUP(B1036,'تقرير المصروفات حسب الشهر'!$C$1143:$AD$1254,10,FALSE),0)</f>
        <v>0</v>
      </c>
      <c r="M1036" s="292">
        <f>IFERROR(VLOOKUP(B1036,'تقرير المصروفات حسب الشهر'!$C$1270:$AD$1381,10,FALSE),0)</f>
        <v>0</v>
      </c>
      <c r="N1036" s="31" t="e">
        <f>#REF!</f>
        <v>#REF!</v>
      </c>
      <c r="O1036" s="37" t="e">
        <f t="shared" si="25"/>
        <v>#REF!</v>
      </c>
    </row>
    <row r="1037" spans="2:15" ht="17.399999999999999">
      <c r="B1037" s="42" t="s">
        <v>171</v>
      </c>
      <c r="C1037" s="39">
        <f>'تقرير المصروفات حسب الشهر'!L105</f>
        <v>0</v>
      </c>
      <c r="D1037" s="31" t="e">
        <f>#REF!</f>
        <v>#REF!</v>
      </c>
      <c r="E1037" s="31" t="e">
        <f>#REF!</f>
        <v>#REF!</v>
      </c>
      <c r="F1037" s="31" t="e">
        <f>#REF!</f>
        <v>#REF!</v>
      </c>
      <c r="G1037" s="31" t="e">
        <f>#REF!</f>
        <v>#REF!</v>
      </c>
      <c r="H1037" s="31" t="e">
        <f>#REF!</f>
        <v>#REF!</v>
      </c>
      <c r="I1037" s="31">
        <f>'تقرير المصروفات حسب الشهر'!L858</f>
        <v>0</v>
      </c>
      <c r="J1037" s="31">
        <f>'تقرير المصروفات حسب الشهر'!L985</f>
        <v>0</v>
      </c>
      <c r="K1037" s="31">
        <f>'تقرير المصروفات حسب الشهر'!L1112</f>
        <v>0</v>
      </c>
      <c r="L1037" s="292">
        <f>IFERROR(VLOOKUP(B1037,'تقرير المصروفات حسب الشهر'!$C$1143:$AD$1254,10,FALSE),0)</f>
        <v>0</v>
      </c>
      <c r="M1037" s="292">
        <f>IFERROR(VLOOKUP(B1037,'تقرير المصروفات حسب الشهر'!$C$1270:$AD$1381,10,FALSE),0)</f>
        <v>0</v>
      </c>
      <c r="N1037" s="31" t="e">
        <f>#REF!</f>
        <v>#REF!</v>
      </c>
      <c r="O1037" s="37" t="e">
        <f t="shared" si="25"/>
        <v>#REF!</v>
      </c>
    </row>
    <row r="1038" spans="2:15" ht="17.399999999999999">
      <c r="B1038" s="42" t="s">
        <v>180</v>
      </c>
      <c r="C1038" s="39">
        <f>'تقرير المصروفات حسب الشهر'!L106</f>
        <v>0</v>
      </c>
      <c r="D1038" s="31" t="e">
        <f>#REF!</f>
        <v>#REF!</v>
      </c>
      <c r="E1038" s="31" t="e">
        <f>#REF!</f>
        <v>#REF!</v>
      </c>
      <c r="F1038" s="31" t="e">
        <f>#REF!</f>
        <v>#REF!</v>
      </c>
      <c r="G1038" s="31" t="e">
        <f>#REF!</f>
        <v>#REF!</v>
      </c>
      <c r="H1038" s="31" t="e">
        <f>#REF!</f>
        <v>#REF!</v>
      </c>
      <c r="I1038" s="31">
        <f>'تقرير المصروفات حسب الشهر'!L859</f>
        <v>0</v>
      </c>
      <c r="J1038" s="31">
        <f>'تقرير المصروفات حسب الشهر'!L986</f>
        <v>0</v>
      </c>
      <c r="K1038" s="31">
        <f>'تقرير المصروفات حسب الشهر'!L1113</f>
        <v>0</v>
      </c>
      <c r="L1038" s="292">
        <f>IFERROR(VLOOKUP(B1038,'تقرير المصروفات حسب الشهر'!$C$1143:$AD$1254,10,FALSE),0)</f>
        <v>0</v>
      </c>
      <c r="M1038" s="292">
        <f>IFERROR(VLOOKUP(B1038,'تقرير المصروفات حسب الشهر'!$C$1270:$AD$1381,10,FALSE),0)</f>
        <v>0</v>
      </c>
      <c r="N1038" s="31" t="e">
        <f>#REF!</f>
        <v>#REF!</v>
      </c>
      <c r="O1038" s="37" t="e">
        <f t="shared" si="25"/>
        <v>#REF!</v>
      </c>
    </row>
    <row r="1039" spans="2:15" ht="17.399999999999999">
      <c r="B1039" s="42" t="s">
        <v>183</v>
      </c>
      <c r="C1039" s="39">
        <f>'تقرير المصروفات حسب الشهر'!L107</f>
        <v>0</v>
      </c>
      <c r="D1039" s="31" t="e">
        <f>#REF!</f>
        <v>#REF!</v>
      </c>
      <c r="E1039" s="31" t="e">
        <f>#REF!</f>
        <v>#REF!</v>
      </c>
      <c r="F1039" s="31" t="e">
        <f>#REF!</f>
        <v>#REF!</v>
      </c>
      <c r="G1039" s="31" t="e">
        <f>#REF!</f>
        <v>#REF!</v>
      </c>
      <c r="H1039" s="31" t="e">
        <f>#REF!</f>
        <v>#REF!</v>
      </c>
      <c r="I1039" s="31">
        <f>'تقرير المصروفات حسب الشهر'!L860</f>
        <v>0</v>
      </c>
      <c r="J1039" s="31">
        <f>'تقرير المصروفات حسب الشهر'!L987</f>
        <v>0</v>
      </c>
      <c r="K1039" s="31">
        <f>'تقرير المصروفات حسب الشهر'!L1114</f>
        <v>0</v>
      </c>
      <c r="L1039" s="292">
        <f>IFERROR(VLOOKUP(B1039,'تقرير المصروفات حسب الشهر'!$C$1143:$AD$1254,10,FALSE),0)</f>
        <v>0</v>
      </c>
      <c r="M1039" s="292">
        <f>IFERROR(VLOOKUP(B1039,'تقرير المصروفات حسب الشهر'!$C$1270:$AD$1381,10,FALSE),0)</f>
        <v>0</v>
      </c>
      <c r="N1039" s="31" t="e">
        <f>#REF!</f>
        <v>#REF!</v>
      </c>
      <c r="O1039" s="37" t="e">
        <f t="shared" si="25"/>
        <v>#REF!</v>
      </c>
    </row>
    <row r="1040" spans="2:15" ht="17.399999999999999">
      <c r="B1040" s="42" t="s">
        <v>195</v>
      </c>
      <c r="C1040" s="39">
        <f>'تقرير المصروفات حسب الشهر'!L108</f>
        <v>0</v>
      </c>
      <c r="D1040" s="31" t="e">
        <f>#REF!</f>
        <v>#REF!</v>
      </c>
      <c r="E1040" s="31" t="e">
        <f>#REF!</f>
        <v>#REF!</v>
      </c>
      <c r="F1040" s="31" t="e">
        <f>#REF!</f>
        <v>#REF!</v>
      </c>
      <c r="G1040" s="31" t="e">
        <f>#REF!</f>
        <v>#REF!</v>
      </c>
      <c r="H1040" s="31" t="e">
        <f>#REF!</f>
        <v>#REF!</v>
      </c>
      <c r="I1040" s="31">
        <f>'تقرير المصروفات حسب الشهر'!L861</f>
        <v>0</v>
      </c>
      <c r="J1040" s="31">
        <f>'تقرير المصروفات حسب الشهر'!L988</f>
        <v>0</v>
      </c>
      <c r="K1040" s="31">
        <f>'تقرير المصروفات حسب الشهر'!L1115</f>
        <v>0</v>
      </c>
      <c r="L1040" s="292">
        <f>IFERROR(VLOOKUP(B1040,'تقرير المصروفات حسب الشهر'!$C$1143:$AD$1254,10,FALSE),0)</f>
        <v>0</v>
      </c>
      <c r="M1040" s="292">
        <f>IFERROR(VLOOKUP(B1040,'تقرير المصروفات حسب الشهر'!$C$1270:$AD$1381,10,FALSE),0)</f>
        <v>0</v>
      </c>
      <c r="N1040" s="31" t="e">
        <f>#REF!</f>
        <v>#REF!</v>
      </c>
      <c r="O1040" s="37" t="e">
        <f t="shared" si="25"/>
        <v>#REF!</v>
      </c>
    </row>
    <row r="1041" spans="2:15" ht="17.399999999999999">
      <c r="B1041" s="42" t="s">
        <v>189</v>
      </c>
      <c r="C1041" s="39">
        <f>'تقرير المصروفات حسب الشهر'!L109</f>
        <v>0</v>
      </c>
      <c r="D1041" s="31" t="e">
        <f>#REF!</f>
        <v>#REF!</v>
      </c>
      <c r="E1041" s="31" t="e">
        <f>#REF!</f>
        <v>#REF!</v>
      </c>
      <c r="F1041" s="31" t="e">
        <f>#REF!</f>
        <v>#REF!</v>
      </c>
      <c r="G1041" s="31" t="e">
        <f>#REF!</f>
        <v>#REF!</v>
      </c>
      <c r="H1041" s="31" t="e">
        <f>#REF!</f>
        <v>#REF!</v>
      </c>
      <c r="I1041" s="31">
        <f>'تقرير المصروفات حسب الشهر'!L862</f>
        <v>0</v>
      </c>
      <c r="J1041" s="31">
        <f>'تقرير المصروفات حسب الشهر'!L989</f>
        <v>0</v>
      </c>
      <c r="K1041" s="31">
        <f>'تقرير المصروفات حسب الشهر'!L1116</f>
        <v>0</v>
      </c>
      <c r="L1041" s="292">
        <f>IFERROR(VLOOKUP(B1041,'تقرير المصروفات حسب الشهر'!$C$1143:$AD$1254,10,FALSE),0)</f>
        <v>0</v>
      </c>
      <c r="M1041" s="292">
        <f>IFERROR(VLOOKUP(B1041,'تقرير المصروفات حسب الشهر'!$C$1270:$AD$1381,10,FALSE),0)</f>
        <v>0</v>
      </c>
      <c r="N1041" s="31" t="e">
        <f>#REF!</f>
        <v>#REF!</v>
      </c>
      <c r="O1041" s="37" t="e">
        <f t="shared" si="25"/>
        <v>#REF!</v>
      </c>
    </row>
    <row r="1042" spans="2:15" ht="17.399999999999999">
      <c r="B1042" s="42" t="s">
        <v>188</v>
      </c>
      <c r="C1042" s="39">
        <f>'تقرير المصروفات حسب الشهر'!L110</f>
        <v>0</v>
      </c>
      <c r="D1042" s="31" t="e">
        <f>#REF!</f>
        <v>#REF!</v>
      </c>
      <c r="E1042" s="31" t="e">
        <f>#REF!</f>
        <v>#REF!</v>
      </c>
      <c r="F1042" s="31" t="e">
        <f>#REF!</f>
        <v>#REF!</v>
      </c>
      <c r="G1042" s="31" t="e">
        <f>#REF!</f>
        <v>#REF!</v>
      </c>
      <c r="H1042" s="31" t="e">
        <f>#REF!</f>
        <v>#REF!</v>
      </c>
      <c r="I1042" s="31">
        <f>'تقرير المصروفات حسب الشهر'!L863</f>
        <v>0</v>
      </c>
      <c r="J1042" s="31">
        <f>'تقرير المصروفات حسب الشهر'!L990</f>
        <v>0</v>
      </c>
      <c r="K1042" s="31">
        <f>'تقرير المصروفات حسب الشهر'!L1117</f>
        <v>0</v>
      </c>
      <c r="L1042" s="292">
        <f>IFERROR(VLOOKUP(B1042,'تقرير المصروفات حسب الشهر'!$C$1143:$AD$1254,10,FALSE),0)</f>
        <v>0</v>
      </c>
      <c r="M1042" s="292">
        <f>IFERROR(VLOOKUP(B1042,'تقرير المصروفات حسب الشهر'!$C$1270:$AD$1381,10,FALSE),0)</f>
        <v>0</v>
      </c>
      <c r="N1042" s="31" t="e">
        <f>#REF!</f>
        <v>#REF!</v>
      </c>
      <c r="O1042" s="37" t="e">
        <f t="shared" si="25"/>
        <v>#REF!</v>
      </c>
    </row>
    <row r="1043" spans="2:15" ht="17.399999999999999">
      <c r="B1043" s="42" t="s">
        <v>196</v>
      </c>
      <c r="C1043" s="39">
        <f>'تقرير المصروفات حسب الشهر'!L111</f>
        <v>0</v>
      </c>
      <c r="D1043" s="31" t="e">
        <f>#REF!</f>
        <v>#REF!</v>
      </c>
      <c r="E1043" s="31" t="e">
        <f>#REF!</f>
        <v>#REF!</v>
      </c>
      <c r="F1043" s="31" t="e">
        <f>#REF!</f>
        <v>#REF!</v>
      </c>
      <c r="G1043" s="31" t="e">
        <f>#REF!</f>
        <v>#REF!</v>
      </c>
      <c r="H1043" s="31" t="e">
        <f>#REF!</f>
        <v>#REF!</v>
      </c>
      <c r="I1043" s="31">
        <f>'تقرير المصروفات حسب الشهر'!L864</f>
        <v>0</v>
      </c>
      <c r="J1043" s="31">
        <f>'تقرير المصروفات حسب الشهر'!L991</f>
        <v>0</v>
      </c>
      <c r="K1043" s="31">
        <f>'تقرير المصروفات حسب الشهر'!L1118</f>
        <v>0</v>
      </c>
      <c r="L1043" s="292">
        <f>IFERROR(VLOOKUP(B1043,'تقرير المصروفات حسب الشهر'!$C$1143:$AD$1254,10,FALSE),0)</f>
        <v>0</v>
      </c>
      <c r="M1043" s="292">
        <f>IFERROR(VLOOKUP(B1043,'تقرير المصروفات حسب الشهر'!$C$1270:$AD$1381,10,FALSE),0)</f>
        <v>0</v>
      </c>
      <c r="N1043" s="31" t="e">
        <f>#REF!</f>
        <v>#REF!</v>
      </c>
      <c r="O1043" s="37" t="e">
        <f t="shared" si="25"/>
        <v>#REF!</v>
      </c>
    </row>
    <row r="1044" spans="2:15" ht="17.399999999999999">
      <c r="B1044" s="42" t="s">
        <v>197</v>
      </c>
      <c r="C1044" s="39">
        <f>'تقرير المصروفات حسب الشهر'!L112</f>
        <v>0</v>
      </c>
      <c r="D1044" s="31" t="e">
        <f>#REF!</f>
        <v>#REF!</v>
      </c>
      <c r="E1044" s="31" t="e">
        <f>#REF!</f>
        <v>#REF!</v>
      </c>
      <c r="F1044" s="31" t="e">
        <f>#REF!</f>
        <v>#REF!</v>
      </c>
      <c r="G1044" s="31" t="e">
        <f>#REF!</f>
        <v>#REF!</v>
      </c>
      <c r="H1044" s="31" t="e">
        <f>#REF!</f>
        <v>#REF!</v>
      </c>
      <c r="I1044" s="31">
        <f>'تقرير المصروفات حسب الشهر'!L865</f>
        <v>0</v>
      </c>
      <c r="J1044" s="31">
        <f>'تقرير المصروفات حسب الشهر'!L992</f>
        <v>0</v>
      </c>
      <c r="K1044" s="31">
        <f>'تقرير المصروفات حسب الشهر'!L1119</f>
        <v>0</v>
      </c>
      <c r="L1044" s="292">
        <f>IFERROR(VLOOKUP(B1044,'تقرير المصروفات حسب الشهر'!$C$1143:$AD$1254,10,FALSE),0)</f>
        <v>0</v>
      </c>
      <c r="M1044" s="292">
        <f>IFERROR(VLOOKUP(B1044,'تقرير المصروفات حسب الشهر'!$C$1270:$AD$1381,10,FALSE),0)</f>
        <v>0</v>
      </c>
      <c r="N1044" s="31" t="e">
        <f>#REF!</f>
        <v>#REF!</v>
      </c>
      <c r="O1044" s="37" t="e">
        <f t="shared" si="25"/>
        <v>#REF!</v>
      </c>
    </row>
    <row r="1045" spans="2:15" ht="17.399999999999999">
      <c r="B1045" s="42" t="s">
        <v>198</v>
      </c>
      <c r="C1045" s="39">
        <f>'تقرير المصروفات حسب الشهر'!L113</f>
        <v>0</v>
      </c>
      <c r="D1045" s="31" t="e">
        <f>#REF!</f>
        <v>#REF!</v>
      </c>
      <c r="E1045" s="31" t="e">
        <f>#REF!</f>
        <v>#REF!</v>
      </c>
      <c r="F1045" s="31" t="e">
        <f>#REF!</f>
        <v>#REF!</v>
      </c>
      <c r="G1045" s="31" t="e">
        <f>#REF!</f>
        <v>#REF!</v>
      </c>
      <c r="H1045" s="31" t="e">
        <f>#REF!</f>
        <v>#REF!</v>
      </c>
      <c r="I1045" s="31">
        <f>'تقرير المصروفات حسب الشهر'!L866</f>
        <v>0</v>
      </c>
      <c r="J1045" s="31">
        <f>'تقرير المصروفات حسب الشهر'!L993</f>
        <v>0</v>
      </c>
      <c r="K1045" s="31">
        <f>'تقرير المصروفات حسب الشهر'!L1120</f>
        <v>0</v>
      </c>
      <c r="L1045" s="292">
        <f>IFERROR(VLOOKUP(B1045,'تقرير المصروفات حسب الشهر'!$C$1143:$AD$1254,10,FALSE),0)</f>
        <v>0</v>
      </c>
      <c r="M1045" s="292">
        <f>IFERROR(VLOOKUP(B1045,'تقرير المصروفات حسب الشهر'!$C$1270:$AD$1381,10,FALSE),0)</f>
        <v>0</v>
      </c>
      <c r="N1045" s="31" t="e">
        <f>#REF!</f>
        <v>#REF!</v>
      </c>
      <c r="O1045" s="37" t="e">
        <f t="shared" si="25"/>
        <v>#REF!</v>
      </c>
    </row>
    <row r="1046" spans="2:15" ht="17.399999999999999">
      <c r="B1046" s="42" t="s">
        <v>201</v>
      </c>
      <c r="C1046" s="39">
        <f>'تقرير المصروفات حسب الشهر'!L114</f>
        <v>0</v>
      </c>
      <c r="D1046" s="31" t="e">
        <f>#REF!</f>
        <v>#REF!</v>
      </c>
      <c r="E1046" s="31" t="e">
        <f>#REF!</f>
        <v>#REF!</v>
      </c>
      <c r="F1046" s="31" t="e">
        <f>#REF!</f>
        <v>#REF!</v>
      </c>
      <c r="G1046" s="31" t="e">
        <f>#REF!</f>
        <v>#REF!</v>
      </c>
      <c r="H1046" s="31" t="e">
        <f>#REF!</f>
        <v>#REF!</v>
      </c>
      <c r="I1046" s="31">
        <f>'تقرير المصروفات حسب الشهر'!L867</f>
        <v>0</v>
      </c>
      <c r="J1046" s="31">
        <f>'تقرير المصروفات حسب الشهر'!L994</f>
        <v>0</v>
      </c>
      <c r="K1046" s="31">
        <f>'تقرير المصروفات حسب الشهر'!L1121</f>
        <v>0</v>
      </c>
      <c r="L1046" s="292">
        <f>IFERROR(VLOOKUP(B1046,'تقرير المصروفات حسب الشهر'!$C$1143:$AD$1254,10,FALSE),0)</f>
        <v>0</v>
      </c>
      <c r="M1046" s="292">
        <f>IFERROR(VLOOKUP(B1046,'تقرير المصروفات حسب الشهر'!$C$1270:$AD$1381,10,FALSE),0)</f>
        <v>0</v>
      </c>
      <c r="N1046" s="31" t="e">
        <f>#REF!</f>
        <v>#REF!</v>
      </c>
      <c r="O1046" s="37" t="e">
        <f t="shared" si="25"/>
        <v>#REF!</v>
      </c>
    </row>
    <row r="1047" spans="2:15" ht="17.399999999999999">
      <c r="B1047" s="42" t="s">
        <v>202</v>
      </c>
      <c r="C1047" s="39">
        <f>'تقرير المصروفات حسب الشهر'!L115</f>
        <v>0</v>
      </c>
      <c r="D1047" s="31" t="e">
        <f>#REF!</f>
        <v>#REF!</v>
      </c>
      <c r="E1047" s="31" t="e">
        <f>#REF!</f>
        <v>#REF!</v>
      </c>
      <c r="F1047" s="31" t="e">
        <f>#REF!</f>
        <v>#REF!</v>
      </c>
      <c r="G1047" s="31" t="e">
        <f>#REF!</f>
        <v>#REF!</v>
      </c>
      <c r="H1047" s="31" t="e">
        <f>#REF!</f>
        <v>#REF!</v>
      </c>
      <c r="I1047" s="31">
        <f>'تقرير المصروفات حسب الشهر'!L868</f>
        <v>0</v>
      </c>
      <c r="J1047" s="31">
        <f>'تقرير المصروفات حسب الشهر'!L995</f>
        <v>0</v>
      </c>
      <c r="K1047" s="31">
        <f>'تقرير المصروفات حسب الشهر'!L1122</f>
        <v>0</v>
      </c>
      <c r="L1047" s="292">
        <f>IFERROR(VLOOKUP(B1047,'تقرير المصروفات حسب الشهر'!$C$1143:$AD$1254,10,FALSE),0)</f>
        <v>0</v>
      </c>
      <c r="M1047" s="292">
        <f>IFERROR(VLOOKUP(B1047,'تقرير المصروفات حسب الشهر'!$C$1270:$AD$1381,10,FALSE),0)</f>
        <v>0</v>
      </c>
      <c r="N1047" s="31" t="e">
        <f>#REF!</f>
        <v>#REF!</v>
      </c>
      <c r="O1047" s="37" t="e">
        <f t="shared" si="25"/>
        <v>#REF!</v>
      </c>
    </row>
    <row r="1048" spans="2:15" ht="17.399999999999999">
      <c r="B1048" s="42" t="s">
        <v>206</v>
      </c>
      <c r="C1048" s="39">
        <f>'تقرير المصروفات حسب الشهر'!L116</f>
        <v>0</v>
      </c>
      <c r="D1048" s="31" t="e">
        <f>#REF!</f>
        <v>#REF!</v>
      </c>
      <c r="E1048" s="31" t="e">
        <f>#REF!</f>
        <v>#REF!</v>
      </c>
      <c r="F1048" s="31" t="e">
        <f>#REF!</f>
        <v>#REF!</v>
      </c>
      <c r="G1048" s="31" t="e">
        <f>#REF!</f>
        <v>#REF!</v>
      </c>
      <c r="H1048" s="31" t="e">
        <f>#REF!</f>
        <v>#REF!</v>
      </c>
      <c r="I1048" s="31">
        <f>'تقرير المصروفات حسب الشهر'!L869</f>
        <v>862.5</v>
      </c>
      <c r="J1048" s="31">
        <f>'تقرير المصروفات حسب الشهر'!L996</f>
        <v>862.5</v>
      </c>
      <c r="K1048" s="31">
        <f>'تقرير المصروفات حسب الشهر'!L1123</f>
        <v>862.5</v>
      </c>
      <c r="L1048" s="292">
        <f>IFERROR(VLOOKUP(B1048,'تقرير المصروفات حسب الشهر'!$C$1143:$AD$1254,10,FALSE),0)</f>
        <v>0</v>
      </c>
      <c r="M1048" s="292">
        <f>IFERROR(VLOOKUP(B1048,'تقرير المصروفات حسب الشهر'!$C$1270:$AD$1381,10,FALSE),0)</f>
        <v>0</v>
      </c>
      <c r="N1048" s="31" t="e">
        <f>#REF!</f>
        <v>#REF!</v>
      </c>
      <c r="O1048" s="37" t="e">
        <f t="shared" si="25"/>
        <v>#REF!</v>
      </c>
    </row>
    <row r="1049" spans="2:15" ht="17.399999999999999">
      <c r="B1049" s="42" t="s">
        <v>207</v>
      </c>
      <c r="C1049" s="39">
        <f>'تقرير المصروفات حسب الشهر'!L117</f>
        <v>862.5</v>
      </c>
      <c r="D1049" s="31" t="e">
        <f>#REF!</f>
        <v>#REF!</v>
      </c>
      <c r="E1049" s="31" t="e">
        <f>#REF!</f>
        <v>#REF!</v>
      </c>
      <c r="F1049" s="31" t="e">
        <f>#REF!</f>
        <v>#REF!</v>
      </c>
      <c r="G1049" s="31" t="e">
        <f>#REF!</f>
        <v>#REF!</v>
      </c>
      <c r="H1049" s="31" t="e">
        <f>#REF!</f>
        <v>#REF!</v>
      </c>
      <c r="I1049" s="31">
        <f>'تقرير المصروفات حسب الشهر'!L870</f>
        <v>0</v>
      </c>
      <c r="J1049" s="31">
        <f>'تقرير المصروفات حسب الشهر'!L997</f>
        <v>0</v>
      </c>
      <c r="K1049" s="31">
        <f>'تقرير المصروفات حسب الشهر'!L1124</f>
        <v>0</v>
      </c>
      <c r="L1049" s="292">
        <f>IFERROR(VLOOKUP(B1049,'تقرير المصروفات حسب الشهر'!$C$1143:$AD$1254,10,FALSE),0)</f>
        <v>431.25</v>
      </c>
      <c r="M1049" s="292">
        <f>IFERROR(VLOOKUP(B1049,'تقرير المصروفات حسب الشهر'!$C$1270:$AD$1381,10,FALSE),0)</f>
        <v>431.25</v>
      </c>
      <c r="N1049" s="31" t="e">
        <f>#REF!</f>
        <v>#REF!</v>
      </c>
      <c r="O1049" s="37" t="e">
        <f t="shared" si="25"/>
        <v>#REF!</v>
      </c>
    </row>
    <row r="1050" spans="2:15" ht="17.399999999999999">
      <c r="B1050" s="43" t="s">
        <v>208</v>
      </c>
      <c r="C1050" s="39">
        <f>'تقرير المصروفات حسب الشهر'!L118</f>
        <v>0</v>
      </c>
      <c r="D1050" s="31" t="e">
        <f>#REF!</f>
        <v>#REF!</v>
      </c>
      <c r="E1050" s="31" t="e">
        <f>#REF!</f>
        <v>#REF!</v>
      </c>
      <c r="F1050" s="31" t="e">
        <f>#REF!</f>
        <v>#REF!</v>
      </c>
      <c r="G1050" s="31" t="e">
        <f>#REF!</f>
        <v>#REF!</v>
      </c>
      <c r="H1050" s="31">
        <v>0</v>
      </c>
      <c r="I1050" s="31">
        <f>'تقرير المصروفات حسب الشهر'!L871</f>
        <v>0</v>
      </c>
      <c r="J1050" s="31">
        <f>'تقرير المصروفات حسب الشهر'!L998</f>
        <v>0</v>
      </c>
      <c r="K1050" s="31">
        <f>'تقرير المصروفات حسب الشهر'!L1125</f>
        <v>0</v>
      </c>
      <c r="L1050" s="292">
        <f>IFERROR(VLOOKUP(B1050,'تقرير المصروفات حسب الشهر'!$C$1143:$AD$1254,10,FALSE),0)</f>
        <v>0</v>
      </c>
      <c r="M1050" s="292">
        <f>IFERROR(VLOOKUP(B1050,'تقرير المصروفات حسب الشهر'!$C$1270:$AD$1381,10,FALSE),0)</f>
        <v>0</v>
      </c>
      <c r="N1050" s="31" t="e">
        <f>#REF!</f>
        <v>#REF!</v>
      </c>
      <c r="O1050" s="37" t="e">
        <f t="shared" si="25"/>
        <v>#REF!</v>
      </c>
    </row>
    <row r="1051" spans="2:15" ht="17.399999999999999">
      <c r="B1051" s="437" t="s">
        <v>236</v>
      </c>
      <c r="C1051" s="39">
        <f>'تقرير المصروفات حسب الشهر'!L119</f>
        <v>0</v>
      </c>
      <c r="D1051" s="438"/>
      <c r="E1051" s="438"/>
      <c r="F1051" s="438"/>
      <c r="G1051" s="438"/>
      <c r="H1051" s="438"/>
      <c r="I1051" s="438"/>
      <c r="J1051" s="438"/>
      <c r="K1051" s="438"/>
      <c r="L1051" s="439"/>
      <c r="M1051" s="439"/>
      <c r="N1051" s="438"/>
      <c r="O1051" s="440"/>
    </row>
    <row r="1052" spans="2:15" ht="17.399999999999999">
      <c r="B1052" s="437" t="s">
        <v>209</v>
      </c>
      <c r="C1052" s="39">
        <f>'تقرير المصروفات حسب الشهر'!L120</f>
        <v>0</v>
      </c>
      <c r="D1052" s="438"/>
      <c r="E1052" s="438"/>
      <c r="F1052" s="438"/>
      <c r="G1052" s="438"/>
      <c r="H1052" s="438"/>
      <c r="I1052" s="438"/>
      <c r="J1052" s="438"/>
      <c r="K1052" s="438"/>
      <c r="L1052" s="439"/>
      <c r="M1052" s="439"/>
      <c r="N1052" s="438"/>
      <c r="O1052" s="440"/>
    </row>
    <row r="1053" spans="2:15" ht="18" thickBot="1">
      <c r="B1053" s="437" t="s">
        <v>360</v>
      </c>
      <c r="C1053" s="39">
        <f>'تقرير المصروفات حسب الشهر'!L121</f>
        <v>0</v>
      </c>
      <c r="D1053" s="438"/>
      <c r="E1053" s="438"/>
      <c r="F1053" s="438"/>
      <c r="G1053" s="438"/>
      <c r="H1053" s="438"/>
      <c r="I1053" s="438"/>
      <c r="J1053" s="438"/>
      <c r="K1053" s="438"/>
      <c r="L1053" s="439"/>
      <c r="M1053" s="439"/>
      <c r="N1053" s="438"/>
      <c r="O1053" s="440"/>
    </row>
    <row r="1054" spans="2:15" ht="21.6" thickBot="1">
      <c r="B1054" s="29" t="s">
        <v>18</v>
      </c>
      <c r="C1054" s="41">
        <f>SUM(C942:C1053)</f>
        <v>24960.77</v>
      </c>
      <c r="D1054" s="41" t="e">
        <f t="shared" ref="D1054:O1054" si="26">SUM(D942:D1050)</f>
        <v>#REF!</v>
      </c>
      <c r="E1054" s="41" t="e">
        <f t="shared" si="26"/>
        <v>#REF!</v>
      </c>
      <c r="F1054" s="41" t="e">
        <f t="shared" si="26"/>
        <v>#REF!</v>
      </c>
      <c r="G1054" s="41" t="e">
        <f t="shared" si="26"/>
        <v>#REF!</v>
      </c>
      <c r="H1054" s="41" t="e">
        <f t="shared" si="26"/>
        <v>#REF!</v>
      </c>
      <c r="I1054" s="41">
        <f t="shared" si="26"/>
        <v>25350.12</v>
      </c>
      <c r="J1054" s="41">
        <f t="shared" si="26"/>
        <v>25741.58</v>
      </c>
      <c r="K1054" s="41">
        <f t="shared" si="26"/>
        <v>23625.530000000002</v>
      </c>
      <c r="L1054" s="41">
        <f t="shared" si="26"/>
        <v>20336.79</v>
      </c>
      <c r="M1054" s="41">
        <f t="shared" si="26"/>
        <v>21345.230000000003</v>
      </c>
      <c r="N1054" s="41" t="e">
        <f t="shared" si="26"/>
        <v>#REF!</v>
      </c>
      <c r="O1054" s="41" t="e">
        <f t="shared" si="26"/>
        <v>#REF!</v>
      </c>
    </row>
    <row r="1056" spans="2:15" ht="13.8" thickBot="1"/>
    <row r="1057" spans="2:15" ht="31.2" thickTop="1" thickBot="1">
      <c r="B1057" s="643" t="s">
        <v>219</v>
      </c>
      <c r="C1057" s="644"/>
      <c r="D1057" s="644"/>
      <c r="E1057" s="644"/>
      <c r="F1057" s="644"/>
      <c r="G1057" s="644"/>
      <c r="H1057" s="644"/>
      <c r="I1057" s="644"/>
      <c r="J1057" s="644"/>
      <c r="K1057" s="644"/>
      <c r="L1057" s="644"/>
      <c r="M1057" s="644"/>
      <c r="N1057" s="644"/>
      <c r="O1057" s="645"/>
    </row>
    <row r="1058" spans="2:15" ht="17.399999999999999">
      <c r="B1058" s="30" t="s">
        <v>23</v>
      </c>
      <c r="C1058" s="33" t="s">
        <v>0</v>
      </c>
      <c r="D1058" s="33" t="s">
        <v>1</v>
      </c>
      <c r="E1058" s="34" t="s">
        <v>2</v>
      </c>
      <c r="F1058" s="34" t="s">
        <v>3</v>
      </c>
      <c r="G1058" s="34" t="s">
        <v>4</v>
      </c>
      <c r="H1058" s="34" t="s">
        <v>5</v>
      </c>
      <c r="I1058" s="34" t="s">
        <v>6</v>
      </c>
      <c r="J1058" s="34" t="s">
        <v>7</v>
      </c>
      <c r="K1058" s="34" t="s">
        <v>8</v>
      </c>
      <c r="L1058" s="34" t="s">
        <v>9</v>
      </c>
      <c r="M1058" s="34" t="s">
        <v>10</v>
      </c>
      <c r="N1058" s="35" t="s">
        <v>11</v>
      </c>
      <c r="O1058" s="36" t="s">
        <v>18</v>
      </c>
    </row>
    <row r="1059" spans="2:15" ht="17.399999999999999">
      <c r="B1059" s="42" t="s">
        <v>40</v>
      </c>
      <c r="C1059" s="39">
        <f>'تقرير المصروفات حسب الشهر'!M10</f>
        <v>0</v>
      </c>
      <c r="D1059" s="31" t="e">
        <f>#REF!</f>
        <v>#REF!</v>
      </c>
      <c r="E1059" s="31" t="e">
        <f>#REF!</f>
        <v>#REF!</v>
      </c>
      <c r="F1059" s="31" t="e">
        <f>#REF!</f>
        <v>#REF!</v>
      </c>
      <c r="G1059" s="31" t="e">
        <f>#REF!</f>
        <v>#REF!</v>
      </c>
      <c r="H1059" s="31" t="e">
        <f>#REF!</f>
        <v>#REF!</v>
      </c>
      <c r="I1059" s="31">
        <f>'تقرير المصروفات حسب الشهر'!M763</f>
        <v>0</v>
      </c>
      <c r="J1059" s="31">
        <f>'تقرير المصروفات حسب الشهر'!M890</f>
        <v>0</v>
      </c>
      <c r="K1059" s="31">
        <f>'تقرير المصروفات حسب الشهر'!M1017</f>
        <v>0</v>
      </c>
      <c r="L1059" s="292">
        <f>IFERROR(VLOOKUP(B1059,'تقرير المصروفات حسب الشهر'!$C$1143:$AD$1254,11,FALSE),0)</f>
        <v>0</v>
      </c>
      <c r="M1059" s="292">
        <f>IFERROR(VLOOKUP(B1059,'تقرير المصروفات حسب الشهر'!$C$1270:$AD$1381,11,FALSE),0)</f>
        <v>0</v>
      </c>
      <c r="N1059" s="31" t="e">
        <f>#REF!</f>
        <v>#REF!</v>
      </c>
      <c r="O1059" s="37" t="e">
        <f>SUM(C1059:N1059)</f>
        <v>#REF!</v>
      </c>
    </row>
    <row r="1060" spans="2:15" ht="17.399999999999999">
      <c r="B1060" s="42" t="s">
        <v>41</v>
      </c>
      <c r="C1060" s="39">
        <f>'تقرير المصروفات حسب الشهر'!M11</f>
        <v>155895.58000000002</v>
      </c>
      <c r="D1060" s="31" t="e">
        <f>#REF!</f>
        <v>#REF!</v>
      </c>
      <c r="E1060" s="31" t="e">
        <f>#REF!</f>
        <v>#REF!</v>
      </c>
      <c r="F1060" s="31" t="e">
        <f>#REF!</f>
        <v>#REF!</v>
      </c>
      <c r="G1060" s="31" t="e">
        <f>#REF!</f>
        <v>#REF!</v>
      </c>
      <c r="H1060" s="31" t="e">
        <f>#REF!</f>
        <v>#REF!</v>
      </c>
      <c r="I1060" s="31">
        <f>'تقرير المصروفات حسب الشهر'!M764</f>
        <v>211855.72999999998</v>
      </c>
      <c r="J1060" s="31">
        <f>'تقرير المصروفات حسب الشهر'!M891</f>
        <v>230937.76</v>
      </c>
      <c r="K1060" s="31">
        <f>'تقرير المصروفات حسب الشهر'!M1018</f>
        <v>208408.04</v>
      </c>
      <c r="L1060" s="292">
        <f>IFERROR(VLOOKUP(B1060,'تقرير المصروفات حسب الشهر'!$C$1143:$AD$1254,11,FALSE),0)</f>
        <v>200288.33000000002</v>
      </c>
      <c r="M1060" s="292">
        <f>IFERROR(VLOOKUP(B1060,'تقرير المصروفات حسب الشهر'!$C$1270:$AD$1381,11,FALSE),0)</f>
        <v>228166.5</v>
      </c>
      <c r="N1060" s="31" t="e">
        <f>#REF!</f>
        <v>#REF!</v>
      </c>
      <c r="O1060" s="37" t="e">
        <f t="shared" ref="O1060:O1123" si="27">SUM(C1060:N1060)</f>
        <v>#REF!</v>
      </c>
    </row>
    <row r="1061" spans="2:15" ht="17.399999999999999">
      <c r="B1061" s="42" t="s">
        <v>26</v>
      </c>
      <c r="C1061" s="39">
        <f>'تقرير المصروفات حسب الشهر'!M12</f>
        <v>0</v>
      </c>
      <c r="D1061" s="31" t="e">
        <f>#REF!</f>
        <v>#REF!</v>
      </c>
      <c r="E1061" s="31" t="e">
        <f>#REF!</f>
        <v>#REF!</v>
      </c>
      <c r="F1061" s="31" t="e">
        <f>#REF!</f>
        <v>#REF!</v>
      </c>
      <c r="G1061" s="31" t="e">
        <f>#REF!</f>
        <v>#REF!</v>
      </c>
      <c r="H1061" s="31" t="e">
        <f>#REF!</f>
        <v>#REF!</v>
      </c>
      <c r="I1061" s="31">
        <f>'تقرير المصروفات حسب الشهر'!M765</f>
        <v>0</v>
      </c>
      <c r="J1061" s="31">
        <f>'تقرير المصروفات حسب الشهر'!M892</f>
        <v>0</v>
      </c>
      <c r="K1061" s="31">
        <f>'تقرير المصروفات حسب الشهر'!M1019</f>
        <v>10000</v>
      </c>
      <c r="L1061" s="292">
        <f>IFERROR(VLOOKUP(B1061,'تقرير المصروفات حسب الشهر'!$C$1143:$AD$1254,11,FALSE),0)</f>
        <v>20000</v>
      </c>
      <c r="M1061" s="292">
        <f>IFERROR(VLOOKUP(B1061,'تقرير المصروفات حسب الشهر'!$C$1270:$AD$1381,11,FALSE),0)</f>
        <v>20000</v>
      </c>
      <c r="N1061" s="31" t="e">
        <f>#REF!</f>
        <v>#REF!</v>
      </c>
      <c r="O1061" s="37" t="e">
        <f t="shared" si="27"/>
        <v>#REF!</v>
      </c>
    </row>
    <row r="1062" spans="2:15" ht="17.399999999999999">
      <c r="B1062" s="42" t="s">
        <v>27</v>
      </c>
      <c r="C1062" s="39">
        <f>'تقرير المصروفات حسب الشهر'!M13</f>
        <v>0</v>
      </c>
      <c r="D1062" s="31" t="e">
        <f>#REF!</f>
        <v>#REF!</v>
      </c>
      <c r="E1062" s="31" t="e">
        <f>#REF!</f>
        <v>#REF!</v>
      </c>
      <c r="F1062" s="31" t="e">
        <f>#REF!</f>
        <v>#REF!</v>
      </c>
      <c r="G1062" s="31" t="e">
        <f>#REF!</f>
        <v>#REF!</v>
      </c>
      <c r="H1062" s="31" t="e">
        <f>#REF!</f>
        <v>#REF!</v>
      </c>
      <c r="I1062" s="31">
        <f>'تقرير المصروفات حسب الشهر'!M766</f>
        <v>0</v>
      </c>
      <c r="J1062" s="31">
        <f>'تقرير المصروفات حسب الشهر'!M893</f>
        <v>0</v>
      </c>
      <c r="K1062" s="31">
        <f>'تقرير المصروفات حسب الشهر'!M1020</f>
        <v>0</v>
      </c>
      <c r="L1062" s="292">
        <f>IFERROR(VLOOKUP(B1062,'تقرير المصروفات حسب الشهر'!$C$1143:$AD$1254,11,FALSE),0)</f>
        <v>0</v>
      </c>
      <c r="M1062" s="292">
        <f>IFERROR(VLOOKUP(B1062,'تقرير المصروفات حسب الشهر'!$C$1270:$AD$1381,11,FALSE),0)</f>
        <v>0</v>
      </c>
      <c r="N1062" s="31" t="e">
        <f>#REF!</f>
        <v>#REF!</v>
      </c>
      <c r="O1062" s="37" t="e">
        <f t="shared" si="27"/>
        <v>#REF!</v>
      </c>
    </row>
    <row r="1063" spans="2:15" ht="17.399999999999999">
      <c r="B1063" s="42" t="s">
        <v>42</v>
      </c>
      <c r="C1063" s="39">
        <f>'تقرير المصروفات حسب الشهر'!M14</f>
        <v>350</v>
      </c>
      <c r="D1063" s="31" t="e">
        <f>#REF!</f>
        <v>#REF!</v>
      </c>
      <c r="E1063" s="31" t="e">
        <f>#REF!</f>
        <v>#REF!</v>
      </c>
      <c r="F1063" s="31" t="e">
        <f>#REF!</f>
        <v>#REF!</v>
      </c>
      <c r="G1063" s="31" t="e">
        <f>#REF!</f>
        <v>#REF!</v>
      </c>
      <c r="H1063" s="31" t="e">
        <f>#REF!</f>
        <v>#REF!</v>
      </c>
      <c r="I1063" s="31">
        <f>'تقرير المصروفات حسب الشهر'!M767</f>
        <v>0</v>
      </c>
      <c r="J1063" s="31">
        <f>'تقرير المصروفات حسب الشهر'!M894</f>
        <v>0</v>
      </c>
      <c r="K1063" s="31">
        <f>'تقرير المصروفات حسب الشهر'!M1021</f>
        <v>0</v>
      </c>
      <c r="L1063" s="292">
        <f>IFERROR(VLOOKUP(B1063,'تقرير المصروفات حسب الشهر'!$C$1143:$AD$1254,11,FALSE),0)</f>
        <v>0</v>
      </c>
      <c r="M1063" s="292">
        <f>IFERROR(VLOOKUP(B1063,'تقرير المصروفات حسب الشهر'!$C$1270:$AD$1381,11,FALSE),0)</f>
        <v>0</v>
      </c>
      <c r="N1063" s="31" t="e">
        <f>#REF!</f>
        <v>#REF!</v>
      </c>
      <c r="O1063" s="37" t="e">
        <f t="shared" si="27"/>
        <v>#REF!</v>
      </c>
    </row>
    <row r="1064" spans="2:15" ht="17.399999999999999">
      <c r="B1064" s="42" t="s">
        <v>43</v>
      </c>
      <c r="C1064" s="39">
        <f>'تقرير المصروفات حسب الشهر'!M15</f>
        <v>0</v>
      </c>
      <c r="D1064" s="31" t="e">
        <f>#REF!</f>
        <v>#REF!</v>
      </c>
      <c r="E1064" s="31" t="e">
        <f>#REF!</f>
        <v>#REF!</v>
      </c>
      <c r="F1064" s="31" t="e">
        <f>#REF!</f>
        <v>#REF!</v>
      </c>
      <c r="G1064" s="31" t="e">
        <f>#REF!</f>
        <v>#REF!</v>
      </c>
      <c r="H1064" s="31" t="e">
        <f>#REF!</f>
        <v>#REF!</v>
      </c>
      <c r="I1064" s="31">
        <f>'تقرير المصروفات حسب الشهر'!M768</f>
        <v>0</v>
      </c>
      <c r="J1064" s="31">
        <f>'تقرير المصروفات حسب الشهر'!M895</f>
        <v>0</v>
      </c>
      <c r="K1064" s="31">
        <f>'تقرير المصروفات حسب الشهر'!M1022</f>
        <v>0</v>
      </c>
      <c r="L1064" s="292">
        <f>IFERROR(VLOOKUP(B1064,'تقرير المصروفات حسب الشهر'!$C$1143:$AD$1254,11,FALSE),0)</f>
        <v>0</v>
      </c>
      <c r="M1064" s="292">
        <f>IFERROR(VLOOKUP(B1064,'تقرير المصروفات حسب الشهر'!$C$1270:$AD$1381,11,FALSE),0)</f>
        <v>0</v>
      </c>
      <c r="N1064" s="31" t="e">
        <f>#REF!</f>
        <v>#REF!</v>
      </c>
      <c r="O1064" s="37" t="e">
        <f t="shared" si="27"/>
        <v>#REF!</v>
      </c>
    </row>
    <row r="1065" spans="2:15" ht="17.399999999999999">
      <c r="B1065" s="42" t="s">
        <v>44</v>
      </c>
      <c r="C1065" s="39">
        <f>'تقرير المصروفات حسب الشهر'!M16</f>
        <v>0</v>
      </c>
      <c r="D1065" s="31" t="e">
        <f>#REF!</f>
        <v>#REF!</v>
      </c>
      <c r="E1065" s="31" t="e">
        <f>#REF!</f>
        <v>#REF!</v>
      </c>
      <c r="F1065" s="31" t="e">
        <f>#REF!</f>
        <v>#REF!</v>
      </c>
      <c r="G1065" s="31" t="e">
        <f>#REF!</f>
        <v>#REF!</v>
      </c>
      <c r="H1065" s="31" t="e">
        <f>#REF!</f>
        <v>#REF!</v>
      </c>
      <c r="I1065" s="31">
        <f>'تقرير المصروفات حسب الشهر'!M769</f>
        <v>0</v>
      </c>
      <c r="J1065" s="31">
        <f>'تقرير المصروفات حسب الشهر'!M896</f>
        <v>0</v>
      </c>
      <c r="K1065" s="31">
        <f>'تقرير المصروفات حسب الشهر'!M1023</f>
        <v>0</v>
      </c>
      <c r="L1065" s="292">
        <f>IFERROR(VLOOKUP(B1065,'تقرير المصروفات حسب الشهر'!$C$1143:$AD$1254,11,FALSE),0)</f>
        <v>0</v>
      </c>
      <c r="M1065" s="292">
        <f>IFERROR(VLOOKUP(B1065,'تقرير المصروفات حسب الشهر'!$C$1270:$AD$1381,11,FALSE),0)</f>
        <v>0</v>
      </c>
      <c r="N1065" s="31" t="e">
        <f>#REF!</f>
        <v>#REF!</v>
      </c>
      <c r="O1065" s="37" t="e">
        <f t="shared" si="27"/>
        <v>#REF!</v>
      </c>
    </row>
    <row r="1066" spans="2:15" ht="17.399999999999999">
      <c r="B1066" s="42" t="s">
        <v>45</v>
      </c>
      <c r="C1066" s="39">
        <f>'تقرير المصروفات حسب الشهر'!M17</f>
        <v>11000</v>
      </c>
      <c r="D1066" s="31" t="e">
        <f>#REF!</f>
        <v>#REF!</v>
      </c>
      <c r="E1066" s="31" t="e">
        <f>#REF!</f>
        <v>#REF!</v>
      </c>
      <c r="F1066" s="31" t="e">
        <f>#REF!</f>
        <v>#REF!</v>
      </c>
      <c r="G1066" s="31" t="e">
        <f>#REF!</f>
        <v>#REF!</v>
      </c>
      <c r="H1066" s="31" t="e">
        <f>#REF!</f>
        <v>#REF!</v>
      </c>
      <c r="I1066" s="31">
        <f>'تقرير المصروفات حسب الشهر'!M770</f>
        <v>16000</v>
      </c>
      <c r="J1066" s="31">
        <f>'تقرير المصروفات حسب الشهر'!M897</f>
        <v>16000</v>
      </c>
      <c r="K1066" s="31">
        <f>'تقرير المصروفات حسب الشهر'!M1024</f>
        <v>16000</v>
      </c>
      <c r="L1066" s="292">
        <f>IFERROR(VLOOKUP(B1066,'تقرير المصروفات حسب الشهر'!$C$1143:$AD$1254,11,FALSE),0)</f>
        <v>16000</v>
      </c>
      <c r="M1066" s="292">
        <f>IFERROR(VLOOKUP(B1066,'تقرير المصروفات حسب الشهر'!$C$1270:$AD$1381,11,FALSE),0)</f>
        <v>16000</v>
      </c>
      <c r="N1066" s="31" t="e">
        <f>#REF!</f>
        <v>#REF!</v>
      </c>
      <c r="O1066" s="37" t="e">
        <f t="shared" si="27"/>
        <v>#REF!</v>
      </c>
    </row>
    <row r="1067" spans="2:15" ht="17.399999999999999">
      <c r="B1067" s="42" t="s">
        <v>156</v>
      </c>
      <c r="C1067" s="39">
        <f>'تقرير المصروفات حسب الشهر'!M18</f>
        <v>0</v>
      </c>
      <c r="D1067" s="31" t="e">
        <f>#REF!</f>
        <v>#REF!</v>
      </c>
      <c r="E1067" s="31" t="e">
        <f>#REF!</f>
        <v>#REF!</v>
      </c>
      <c r="F1067" s="31" t="e">
        <f>#REF!</f>
        <v>#REF!</v>
      </c>
      <c r="G1067" s="31" t="e">
        <f>#REF!</f>
        <v>#REF!</v>
      </c>
      <c r="H1067" s="31" t="e">
        <f>#REF!</f>
        <v>#REF!</v>
      </c>
      <c r="I1067" s="31">
        <f>'تقرير المصروفات حسب الشهر'!M771</f>
        <v>0</v>
      </c>
      <c r="J1067" s="31">
        <f>'تقرير المصروفات حسب الشهر'!M898</f>
        <v>0</v>
      </c>
      <c r="K1067" s="31">
        <f>'تقرير المصروفات حسب الشهر'!M1025</f>
        <v>0</v>
      </c>
      <c r="L1067" s="292">
        <f>IFERROR(VLOOKUP(B1067,'تقرير المصروفات حسب الشهر'!$C$1143:$AD$1254,11,FALSE),0)</f>
        <v>339.25</v>
      </c>
      <c r="M1067" s="292">
        <f>IFERROR(VLOOKUP(B1067,'تقرير المصروفات حسب الشهر'!$C$1270:$AD$1381,11,FALSE),0)</f>
        <v>0</v>
      </c>
      <c r="N1067" s="31" t="e">
        <f>#REF!</f>
        <v>#REF!</v>
      </c>
      <c r="O1067" s="37" t="e">
        <f t="shared" si="27"/>
        <v>#REF!</v>
      </c>
    </row>
    <row r="1068" spans="2:15" ht="17.399999999999999">
      <c r="B1068" s="42" t="s">
        <v>46</v>
      </c>
      <c r="C1068" s="39">
        <f>'تقرير المصروفات حسب الشهر'!M19</f>
        <v>694.41</v>
      </c>
      <c r="D1068" s="31" t="e">
        <f>#REF!</f>
        <v>#REF!</v>
      </c>
      <c r="E1068" s="31" t="e">
        <f>#REF!</f>
        <v>#REF!</v>
      </c>
      <c r="F1068" s="31" t="e">
        <f>#REF!</f>
        <v>#REF!</v>
      </c>
      <c r="G1068" s="31" t="e">
        <f>#REF!</f>
        <v>#REF!</v>
      </c>
      <c r="H1068" s="31" t="e">
        <f>#REF!</f>
        <v>#REF!</v>
      </c>
      <c r="I1068" s="31">
        <f>'تقرير المصروفات حسب الشهر'!M772</f>
        <v>694.4</v>
      </c>
      <c r="J1068" s="31">
        <f>'تقرير المصروفات حسب الشهر'!M899</f>
        <v>844.4</v>
      </c>
      <c r="K1068" s="31">
        <f>'تقرير المصروفات حسب الشهر'!M1026</f>
        <v>836.97</v>
      </c>
      <c r="L1068" s="292">
        <f>IFERROR(VLOOKUP(B1068,'تقرير المصروفات حسب الشهر'!$C$1143:$AD$1254,11,FALSE),0)</f>
        <v>836.97</v>
      </c>
      <c r="M1068" s="292">
        <f>IFERROR(VLOOKUP(B1068,'تقرير المصروفات حسب الشهر'!$C$1270:$AD$1381,11,FALSE),0)</f>
        <v>836.97</v>
      </c>
      <c r="N1068" s="31" t="e">
        <f>#REF!</f>
        <v>#REF!</v>
      </c>
      <c r="O1068" s="37" t="e">
        <f t="shared" si="27"/>
        <v>#REF!</v>
      </c>
    </row>
    <row r="1069" spans="2:15" ht="17.399999999999999">
      <c r="B1069" s="42" t="s">
        <v>47</v>
      </c>
      <c r="C1069" s="39">
        <f>'تقرير المصروفات حسب الشهر'!M20</f>
        <v>0</v>
      </c>
      <c r="D1069" s="31" t="e">
        <f>#REF!</f>
        <v>#REF!</v>
      </c>
      <c r="E1069" s="31" t="e">
        <f>#REF!</f>
        <v>#REF!</v>
      </c>
      <c r="F1069" s="31" t="e">
        <f>#REF!</f>
        <v>#REF!</v>
      </c>
      <c r="G1069" s="31" t="e">
        <f>#REF!</f>
        <v>#REF!</v>
      </c>
      <c r="H1069" s="31" t="e">
        <f>#REF!</f>
        <v>#REF!</v>
      </c>
      <c r="I1069" s="31">
        <f>'تقرير المصروفات حسب الشهر'!M773</f>
        <v>0</v>
      </c>
      <c r="J1069" s="31">
        <f>'تقرير المصروفات حسب الشهر'!M900</f>
        <v>0</v>
      </c>
      <c r="K1069" s="31">
        <f>'تقرير المصروفات حسب الشهر'!M1027</f>
        <v>0</v>
      </c>
      <c r="L1069" s="292">
        <f>IFERROR(VLOOKUP(B1069,'تقرير المصروفات حسب الشهر'!$C$1143:$AD$1254,11,FALSE),0)</f>
        <v>0</v>
      </c>
      <c r="M1069" s="292">
        <f>IFERROR(VLOOKUP(B1069,'تقرير المصروفات حسب الشهر'!$C$1270:$AD$1381,11,FALSE),0)</f>
        <v>0</v>
      </c>
      <c r="N1069" s="31" t="e">
        <f>#REF!</f>
        <v>#REF!</v>
      </c>
      <c r="O1069" s="37" t="e">
        <f t="shared" si="27"/>
        <v>#REF!</v>
      </c>
    </row>
    <row r="1070" spans="2:15" ht="17.399999999999999">
      <c r="B1070" s="42" t="s">
        <v>48</v>
      </c>
      <c r="C1070" s="39">
        <f>'تقرير المصروفات حسب الشهر'!M21</f>
        <v>750</v>
      </c>
      <c r="D1070" s="31" t="e">
        <f>#REF!</f>
        <v>#REF!</v>
      </c>
      <c r="E1070" s="31" t="e">
        <f>#REF!</f>
        <v>#REF!</v>
      </c>
      <c r="F1070" s="31" t="e">
        <f>#REF!</f>
        <v>#REF!</v>
      </c>
      <c r="G1070" s="31" t="e">
        <f>#REF!</f>
        <v>#REF!</v>
      </c>
      <c r="H1070" s="31" t="e">
        <f>#REF!</f>
        <v>#REF!</v>
      </c>
      <c r="I1070" s="31">
        <f>'تقرير المصروفات حسب الشهر'!M774</f>
        <v>900</v>
      </c>
      <c r="J1070" s="31">
        <f>'تقرير المصروفات حسب الشهر'!M901</f>
        <v>0</v>
      </c>
      <c r="K1070" s="31">
        <f>'تقرير المصروفات حسب الشهر'!M1028</f>
        <v>0</v>
      </c>
      <c r="L1070" s="292">
        <f>IFERROR(VLOOKUP(B1070,'تقرير المصروفات حسب الشهر'!$C$1143:$AD$1254,11,FALSE),0)</f>
        <v>0</v>
      </c>
      <c r="M1070" s="292">
        <f>IFERROR(VLOOKUP(B1070,'تقرير المصروفات حسب الشهر'!$C$1270:$AD$1381,11,FALSE),0)</f>
        <v>750</v>
      </c>
      <c r="N1070" s="31" t="e">
        <f>#REF!</f>
        <v>#REF!</v>
      </c>
      <c r="O1070" s="37" t="e">
        <f t="shared" si="27"/>
        <v>#REF!</v>
      </c>
    </row>
    <row r="1071" spans="2:15" ht="17.399999999999999">
      <c r="B1071" s="42" t="s">
        <v>49</v>
      </c>
      <c r="C1071" s="39">
        <f>'تقرير المصروفات حسب الشهر'!M22</f>
        <v>0</v>
      </c>
      <c r="D1071" s="31" t="e">
        <f>#REF!</f>
        <v>#REF!</v>
      </c>
      <c r="E1071" s="31" t="e">
        <f>#REF!</f>
        <v>#REF!</v>
      </c>
      <c r="F1071" s="31" t="e">
        <f>#REF!</f>
        <v>#REF!</v>
      </c>
      <c r="G1071" s="31" t="e">
        <f>#REF!</f>
        <v>#REF!</v>
      </c>
      <c r="H1071" s="31" t="e">
        <f>#REF!</f>
        <v>#REF!</v>
      </c>
      <c r="I1071" s="31">
        <f>'تقرير المصروفات حسب الشهر'!M775</f>
        <v>0</v>
      </c>
      <c r="J1071" s="31">
        <f>'تقرير المصروفات حسب الشهر'!M902</f>
        <v>0</v>
      </c>
      <c r="K1071" s="31">
        <f>'تقرير المصروفات حسب الشهر'!M1029</f>
        <v>0</v>
      </c>
      <c r="L1071" s="292">
        <f>IFERROR(VLOOKUP(B1071,'تقرير المصروفات حسب الشهر'!$C$1143:$AD$1254,11,FALSE),0)</f>
        <v>0</v>
      </c>
      <c r="M1071" s="292">
        <f>IFERROR(VLOOKUP(B1071,'تقرير المصروفات حسب الشهر'!$C$1270:$AD$1381,11,FALSE),0)</f>
        <v>0</v>
      </c>
      <c r="N1071" s="31" t="e">
        <f>#REF!</f>
        <v>#REF!</v>
      </c>
      <c r="O1071" s="37" t="e">
        <f t="shared" si="27"/>
        <v>#REF!</v>
      </c>
    </row>
    <row r="1072" spans="2:15" ht="17.399999999999999">
      <c r="B1072" s="42" t="s">
        <v>158</v>
      </c>
      <c r="C1072" s="39">
        <f>'تقرير المصروفات حسب الشهر'!M23</f>
        <v>0</v>
      </c>
      <c r="D1072" s="31" t="e">
        <f>#REF!</f>
        <v>#REF!</v>
      </c>
      <c r="E1072" s="31" t="e">
        <f>#REF!</f>
        <v>#REF!</v>
      </c>
      <c r="F1072" s="31" t="e">
        <f>#REF!</f>
        <v>#REF!</v>
      </c>
      <c r="G1072" s="31" t="e">
        <f>#REF!</f>
        <v>#REF!</v>
      </c>
      <c r="H1072" s="31" t="e">
        <f>#REF!</f>
        <v>#REF!</v>
      </c>
      <c r="I1072" s="31">
        <f>'تقرير المصروفات حسب الشهر'!M776</f>
        <v>0</v>
      </c>
      <c r="J1072" s="31">
        <f>'تقرير المصروفات حسب الشهر'!M903</f>
        <v>2105</v>
      </c>
      <c r="K1072" s="31">
        <f>'تقرير المصروفات حسب الشهر'!M1030</f>
        <v>0</v>
      </c>
      <c r="L1072" s="292">
        <f>IFERROR(VLOOKUP(B1072,'تقرير المصروفات حسب الشهر'!$C$1143:$AD$1254,11,FALSE),0)</f>
        <v>0</v>
      </c>
      <c r="M1072" s="292">
        <f>IFERROR(VLOOKUP(B1072,'تقرير المصروفات حسب الشهر'!$C$1270:$AD$1381,11,FALSE),0)</f>
        <v>0</v>
      </c>
      <c r="N1072" s="31" t="e">
        <f>#REF!</f>
        <v>#REF!</v>
      </c>
      <c r="O1072" s="37" t="e">
        <f t="shared" si="27"/>
        <v>#REF!</v>
      </c>
    </row>
    <row r="1073" spans="2:15" ht="17.399999999999999">
      <c r="B1073" s="42" t="s">
        <v>50</v>
      </c>
      <c r="C1073" s="39">
        <f>'تقرير المصروفات حسب الشهر'!M24</f>
        <v>750</v>
      </c>
      <c r="D1073" s="31" t="e">
        <f>#REF!</f>
        <v>#REF!</v>
      </c>
      <c r="E1073" s="31" t="e">
        <f>#REF!</f>
        <v>#REF!</v>
      </c>
      <c r="F1073" s="31" t="e">
        <f>#REF!</f>
        <v>#REF!</v>
      </c>
      <c r="G1073" s="31" t="e">
        <f>#REF!</f>
        <v>#REF!</v>
      </c>
      <c r="H1073" s="31" t="e">
        <f>#REF!</f>
        <v>#REF!</v>
      </c>
      <c r="I1073" s="31">
        <f>'تقرير المصروفات حسب الشهر'!M777</f>
        <v>0</v>
      </c>
      <c r="J1073" s="31">
        <f>'تقرير المصروفات حسب الشهر'!M904</f>
        <v>2310</v>
      </c>
      <c r="K1073" s="31">
        <f>'تقرير المصروفات حسب الشهر'!M1031</f>
        <v>0</v>
      </c>
      <c r="L1073" s="292">
        <f>IFERROR(VLOOKUP(B1073,'تقرير المصروفات حسب الشهر'!$C$1143:$AD$1254,11,FALSE),0)</f>
        <v>2310</v>
      </c>
      <c r="M1073" s="292">
        <f>IFERROR(VLOOKUP(B1073,'تقرير المصروفات حسب الشهر'!$C$1270:$AD$1381,11,FALSE),0)</f>
        <v>0</v>
      </c>
      <c r="N1073" s="31" t="e">
        <f>#REF!</f>
        <v>#REF!</v>
      </c>
      <c r="O1073" s="37" t="e">
        <f t="shared" si="27"/>
        <v>#REF!</v>
      </c>
    </row>
    <row r="1074" spans="2:15" ht="17.399999999999999">
      <c r="B1074" s="42" t="s">
        <v>51</v>
      </c>
      <c r="C1074" s="39">
        <f>'تقرير المصروفات حسب الشهر'!M25</f>
        <v>0</v>
      </c>
      <c r="D1074" s="31" t="e">
        <f>#REF!</f>
        <v>#REF!</v>
      </c>
      <c r="E1074" s="31" t="e">
        <f>#REF!</f>
        <v>#REF!</v>
      </c>
      <c r="F1074" s="31" t="e">
        <f>#REF!</f>
        <v>#REF!</v>
      </c>
      <c r="G1074" s="31" t="e">
        <f>#REF!</f>
        <v>#REF!</v>
      </c>
      <c r="H1074" s="31" t="e">
        <f>#REF!</f>
        <v>#REF!</v>
      </c>
      <c r="I1074" s="31">
        <f>'تقرير المصروفات حسب الشهر'!M778</f>
        <v>0</v>
      </c>
      <c r="J1074" s="31">
        <f>'تقرير المصروفات حسب الشهر'!M905</f>
        <v>4500</v>
      </c>
      <c r="K1074" s="31">
        <f>'تقرير المصروفات حسب الشهر'!M1032</f>
        <v>0</v>
      </c>
      <c r="L1074" s="292">
        <f>IFERROR(VLOOKUP(B1074,'تقرير المصروفات حسب الشهر'!$C$1143:$AD$1254,11,FALSE),0)</f>
        <v>4500</v>
      </c>
      <c r="M1074" s="292">
        <f>IFERROR(VLOOKUP(B1074,'تقرير المصروفات حسب الشهر'!$C$1270:$AD$1381,11,FALSE),0)</f>
        <v>0</v>
      </c>
      <c r="N1074" s="31" t="e">
        <f>#REF!</f>
        <v>#REF!</v>
      </c>
      <c r="O1074" s="37" t="e">
        <f t="shared" si="27"/>
        <v>#REF!</v>
      </c>
    </row>
    <row r="1075" spans="2:15" ht="17.399999999999999">
      <c r="B1075" s="42" t="s">
        <v>52</v>
      </c>
      <c r="C1075" s="39">
        <f>'تقرير المصروفات حسب الشهر'!M26</f>
        <v>0</v>
      </c>
      <c r="D1075" s="31" t="e">
        <f>#REF!</f>
        <v>#REF!</v>
      </c>
      <c r="E1075" s="31" t="e">
        <f>#REF!</f>
        <v>#REF!</v>
      </c>
      <c r="F1075" s="31" t="e">
        <f>#REF!</f>
        <v>#REF!</v>
      </c>
      <c r="G1075" s="31" t="e">
        <f>#REF!</f>
        <v>#REF!</v>
      </c>
      <c r="H1075" s="31" t="e">
        <f>#REF!</f>
        <v>#REF!</v>
      </c>
      <c r="I1075" s="31">
        <f>'تقرير المصروفات حسب الشهر'!M779</f>
        <v>0</v>
      </c>
      <c r="J1075" s="31">
        <f>'تقرير المصروفات حسب الشهر'!M906</f>
        <v>0</v>
      </c>
      <c r="K1075" s="31">
        <f>'تقرير المصروفات حسب الشهر'!M1033</f>
        <v>0</v>
      </c>
      <c r="L1075" s="292">
        <f>IFERROR(VLOOKUP(B1075,'تقرير المصروفات حسب الشهر'!$C$1143:$AD$1254,11,FALSE),0)</f>
        <v>0</v>
      </c>
      <c r="M1075" s="292">
        <f>IFERROR(VLOOKUP(B1075,'تقرير المصروفات حسب الشهر'!$C$1270:$AD$1381,11,FALSE),0)</f>
        <v>0</v>
      </c>
      <c r="N1075" s="31" t="e">
        <f>#REF!</f>
        <v>#REF!</v>
      </c>
      <c r="O1075" s="37" t="e">
        <f t="shared" si="27"/>
        <v>#REF!</v>
      </c>
    </row>
    <row r="1076" spans="2:15" ht="17.399999999999999">
      <c r="B1076" s="42" t="s">
        <v>174</v>
      </c>
      <c r="C1076" s="39">
        <f>'تقرير المصروفات حسب الشهر'!M27</f>
        <v>4422.5</v>
      </c>
      <c r="D1076" s="31" t="e">
        <f>#REF!</f>
        <v>#REF!</v>
      </c>
      <c r="E1076" s="31" t="e">
        <f>#REF!</f>
        <v>#REF!</v>
      </c>
      <c r="F1076" s="31" t="e">
        <f>#REF!</f>
        <v>#REF!</v>
      </c>
      <c r="G1076" s="31" t="e">
        <f>#REF!</f>
        <v>#REF!</v>
      </c>
      <c r="H1076" s="31" t="e">
        <f>#REF!</f>
        <v>#REF!</v>
      </c>
      <c r="I1076" s="31">
        <f>'تقرير المصروفات حسب الشهر'!M780</f>
        <v>2478</v>
      </c>
      <c r="J1076" s="31">
        <f>'تقرير المصروفات حسب الشهر'!M907</f>
        <v>2072</v>
      </c>
      <c r="K1076" s="31">
        <f>'تقرير المصروفات حسب الشهر'!M1034</f>
        <v>1868</v>
      </c>
      <c r="L1076" s="292">
        <f>IFERROR(VLOOKUP(B1076,'تقرير المصروفات حسب الشهر'!$C$1143:$AD$1254,11,FALSE),0)</f>
        <v>1382</v>
      </c>
      <c r="M1076" s="292">
        <f>IFERROR(VLOOKUP(B1076,'تقرير المصروفات حسب الشهر'!$C$1270:$AD$1381,11,FALSE),0)</f>
        <v>2906</v>
      </c>
      <c r="N1076" s="31" t="e">
        <f>#REF!</f>
        <v>#REF!</v>
      </c>
      <c r="O1076" s="37" t="e">
        <f t="shared" si="27"/>
        <v>#REF!</v>
      </c>
    </row>
    <row r="1077" spans="2:15" ht="17.399999999999999">
      <c r="B1077" s="42" t="s">
        <v>53</v>
      </c>
      <c r="C1077" s="39">
        <f>'تقرير المصروفات حسب الشهر'!M28</f>
        <v>0</v>
      </c>
      <c r="D1077" s="31" t="e">
        <f>#REF!</f>
        <v>#REF!</v>
      </c>
      <c r="E1077" s="31" t="e">
        <f>#REF!</f>
        <v>#REF!</v>
      </c>
      <c r="F1077" s="31" t="e">
        <f>#REF!</f>
        <v>#REF!</v>
      </c>
      <c r="G1077" s="31" t="e">
        <f>#REF!</f>
        <v>#REF!</v>
      </c>
      <c r="H1077" s="31" t="e">
        <f>#REF!</f>
        <v>#REF!</v>
      </c>
      <c r="I1077" s="31">
        <f>'تقرير المصروفات حسب الشهر'!M781</f>
        <v>0</v>
      </c>
      <c r="J1077" s="31">
        <f>'تقرير المصروفات حسب الشهر'!M908</f>
        <v>0</v>
      </c>
      <c r="K1077" s="31">
        <f>'تقرير المصروفات حسب الشهر'!M1035</f>
        <v>0</v>
      </c>
      <c r="L1077" s="292">
        <f>IFERROR(VLOOKUP(B1077,'تقرير المصروفات حسب الشهر'!$C$1143:$AD$1254,11,FALSE),0)</f>
        <v>0</v>
      </c>
      <c r="M1077" s="292">
        <f>IFERROR(VLOOKUP(B1077,'تقرير المصروفات حسب الشهر'!$C$1270:$AD$1381,11,FALSE),0)</f>
        <v>0</v>
      </c>
      <c r="N1077" s="31" t="e">
        <f>#REF!</f>
        <v>#REF!</v>
      </c>
      <c r="O1077" s="37" t="e">
        <f t="shared" si="27"/>
        <v>#REF!</v>
      </c>
    </row>
    <row r="1078" spans="2:15" ht="17.399999999999999">
      <c r="B1078" s="42" t="s">
        <v>191</v>
      </c>
      <c r="C1078" s="39">
        <f>'تقرير المصروفات حسب الشهر'!M29</f>
        <v>0</v>
      </c>
      <c r="D1078" s="31" t="e">
        <f>#REF!</f>
        <v>#REF!</v>
      </c>
      <c r="E1078" s="31" t="e">
        <f>#REF!</f>
        <v>#REF!</v>
      </c>
      <c r="F1078" s="31" t="e">
        <f>#REF!</f>
        <v>#REF!</v>
      </c>
      <c r="G1078" s="31" t="e">
        <f>#REF!</f>
        <v>#REF!</v>
      </c>
      <c r="H1078" s="31" t="e">
        <f>#REF!</f>
        <v>#REF!</v>
      </c>
      <c r="I1078" s="31">
        <f>'تقرير المصروفات حسب الشهر'!M782</f>
        <v>0</v>
      </c>
      <c r="J1078" s="31">
        <f>'تقرير المصروفات حسب الشهر'!M909</f>
        <v>0</v>
      </c>
      <c r="K1078" s="31">
        <f>'تقرير المصروفات حسب الشهر'!M1036</f>
        <v>0</v>
      </c>
      <c r="L1078" s="292">
        <f>IFERROR(VLOOKUP(B1078,'تقرير المصروفات حسب الشهر'!$C$1143:$AD$1254,11,FALSE),0)</f>
        <v>0</v>
      </c>
      <c r="M1078" s="292">
        <f>IFERROR(VLOOKUP(B1078,'تقرير المصروفات حسب الشهر'!$C$1270:$AD$1381,11,FALSE),0)</f>
        <v>0</v>
      </c>
      <c r="N1078" s="31" t="e">
        <f>#REF!</f>
        <v>#REF!</v>
      </c>
      <c r="O1078" s="37" t="e">
        <f t="shared" si="27"/>
        <v>#REF!</v>
      </c>
    </row>
    <row r="1079" spans="2:15" ht="17.399999999999999">
      <c r="B1079" s="42" t="s">
        <v>29</v>
      </c>
      <c r="C1079" s="39">
        <f>'تقرير المصروفات حسب الشهر'!M30</f>
        <v>0</v>
      </c>
      <c r="D1079" s="31" t="e">
        <f>#REF!</f>
        <v>#REF!</v>
      </c>
      <c r="E1079" s="31" t="e">
        <f>#REF!</f>
        <v>#REF!</v>
      </c>
      <c r="F1079" s="31" t="e">
        <f>#REF!</f>
        <v>#REF!</v>
      </c>
      <c r="G1079" s="31" t="e">
        <f>#REF!</f>
        <v>#REF!</v>
      </c>
      <c r="H1079" s="31" t="e">
        <f>#REF!</f>
        <v>#REF!</v>
      </c>
      <c r="I1079" s="31">
        <f>'تقرير المصروفات حسب الشهر'!M783</f>
        <v>0</v>
      </c>
      <c r="J1079" s="31">
        <f>'تقرير المصروفات حسب الشهر'!M910</f>
        <v>0</v>
      </c>
      <c r="K1079" s="31">
        <f>'تقرير المصروفات حسب الشهر'!M1037</f>
        <v>0</v>
      </c>
      <c r="L1079" s="292">
        <f>IFERROR(VLOOKUP(B1079,'تقرير المصروفات حسب الشهر'!$C$1143:$AD$1254,11,FALSE),0)</f>
        <v>0</v>
      </c>
      <c r="M1079" s="292">
        <f>IFERROR(VLOOKUP(B1079,'تقرير المصروفات حسب الشهر'!$C$1270:$AD$1381,11,FALSE),0)</f>
        <v>0</v>
      </c>
      <c r="N1079" s="31" t="e">
        <f>#REF!</f>
        <v>#REF!</v>
      </c>
      <c r="O1079" s="37" t="e">
        <f t="shared" si="27"/>
        <v>#REF!</v>
      </c>
    </row>
    <row r="1080" spans="2:15" ht="17.399999999999999">
      <c r="B1080" s="42" t="s">
        <v>54</v>
      </c>
      <c r="C1080" s="39">
        <f>'تقرير المصروفات حسب الشهر'!M31</f>
        <v>0</v>
      </c>
      <c r="D1080" s="31" t="e">
        <f>#REF!</f>
        <v>#REF!</v>
      </c>
      <c r="E1080" s="31" t="e">
        <f>#REF!</f>
        <v>#REF!</v>
      </c>
      <c r="F1080" s="31" t="e">
        <f>#REF!</f>
        <v>#REF!</v>
      </c>
      <c r="G1080" s="31" t="e">
        <f>#REF!</f>
        <v>#REF!</v>
      </c>
      <c r="H1080" s="31" t="e">
        <f>#REF!</f>
        <v>#REF!</v>
      </c>
      <c r="I1080" s="31">
        <f>'تقرير المصروفات حسب الشهر'!M784</f>
        <v>0</v>
      </c>
      <c r="J1080" s="31">
        <f>'تقرير المصروفات حسب الشهر'!M911</f>
        <v>0</v>
      </c>
      <c r="K1080" s="31">
        <f>'تقرير المصروفات حسب الشهر'!M1038</f>
        <v>0</v>
      </c>
      <c r="L1080" s="292">
        <f>IFERROR(VLOOKUP(B1080,'تقرير المصروفات حسب الشهر'!$C$1143:$AD$1254,11,FALSE),0)</f>
        <v>0</v>
      </c>
      <c r="M1080" s="292">
        <f>IFERROR(VLOOKUP(B1080,'تقرير المصروفات حسب الشهر'!$C$1270:$AD$1381,11,FALSE),0)</f>
        <v>0</v>
      </c>
      <c r="N1080" s="31" t="e">
        <f>#REF!</f>
        <v>#REF!</v>
      </c>
      <c r="O1080" s="37" t="e">
        <f t="shared" si="27"/>
        <v>#REF!</v>
      </c>
    </row>
    <row r="1081" spans="2:15" ht="17.399999999999999">
      <c r="B1081" s="42" t="s">
        <v>31</v>
      </c>
      <c r="C1081" s="39">
        <f>'تقرير المصروفات حسب الشهر'!M32</f>
        <v>200</v>
      </c>
      <c r="D1081" s="31" t="e">
        <f>#REF!</f>
        <v>#REF!</v>
      </c>
      <c r="E1081" s="31" t="e">
        <f>#REF!</f>
        <v>#REF!</v>
      </c>
      <c r="F1081" s="31" t="e">
        <f>#REF!</f>
        <v>#REF!</v>
      </c>
      <c r="G1081" s="31" t="e">
        <f>#REF!</f>
        <v>#REF!</v>
      </c>
      <c r="H1081" s="31" t="e">
        <f>#REF!</f>
        <v>#REF!</v>
      </c>
      <c r="I1081" s="31">
        <f>'تقرير المصروفات حسب الشهر'!M785</f>
        <v>0</v>
      </c>
      <c r="J1081" s="31">
        <f>'تقرير المصروفات حسب الشهر'!M912</f>
        <v>300</v>
      </c>
      <c r="K1081" s="31">
        <f>'تقرير المصروفات حسب الشهر'!M1039</f>
        <v>175</v>
      </c>
      <c r="L1081" s="292">
        <f>IFERROR(VLOOKUP(B1081,'تقرير المصروفات حسب الشهر'!$C$1143:$AD$1254,11,FALSE),0)</f>
        <v>0</v>
      </c>
      <c r="M1081" s="292">
        <f>IFERROR(VLOOKUP(B1081,'تقرير المصروفات حسب الشهر'!$C$1270:$AD$1381,11,FALSE),0)</f>
        <v>730</v>
      </c>
      <c r="N1081" s="31" t="e">
        <f>#REF!</f>
        <v>#REF!</v>
      </c>
      <c r="O1081" s="37" t="e">
        <f t="shared" si="27"/>
        <v>#REF!</v>
      </c>
    </row>
    <row r="1082" spans="2:15" ht="17.399999999999999">
      <c r="B1082" s="42" t="s">
        <v>55</v>
      </c>
      <c r="C1082" s="39">
        <f>'تقرير المصروفات حسب الشهر'!M33</f>
        <v>0</v>
      </c>
      <c r="D1082" s="31" t="e">
        <f>#REF!</f>
        <v>#REF!</v>
      </c>
      <c r="E1082" s="31" t="e">
        <f>#REF!</f>
        <v>#REF!</v>
      </c>
      <c r="F1082" s="31" t="e">
        <f>#REF!</f>
        <v>#REF!</v>
      </c>
      <c r="G1082" s="31" t="e">
        <f>#REF!</f>
        <v>#REF!</v>
      </c>
      <c r="H1082" s="31" t="e">
        <f>#REF!</f>
        <v>#REF!</v>
      </c>
      <c r="I1082" s="31">
        <f>'تقرير المصروفات حسب الشهر'!M786</f>
        <v>0</v>
      </c>
      <c r="J1082" s="31">
        <f>'تقرير المصروفات حسب الشهر'!M913</f>
        <v>0</v>
      </c>
      <c r="K1082" s="31">
        <f>'تقرير المصروفات حسب الشهر'!M1040</f>
        <v>0</v>
      </c>
      <c r="L1082" s="292">
        <f>IFERROR(VLOOKUP(B1082,'تقرير المصروفات حسب الشهر'!$C$1143:$AD$1254,11,FALSE),0)</f>
        <v>0</v>
      </c>
      <c r="M1082" s="292">
        <f>IFERROR(VLOOKUP(B1082,'تقرير المصروفات حسب الشهر'!$C$1270:$AD$1381,11,FALSE),0)</f>
        <v>0</v>
      </c>
      <c r="N1082" s="31" t="e">
        <f>#REF!</f>
        <v>#REF!</v>
      </c>
      <c r="O1082" s="37" t="e">
        <f t="shared" si="27"/>
        <v>#REF!</v>
      </c>
    </row>
    <row r="1083" spans="2:15" ht="17.399999999999999">
      <c r="B1083" s="42" t="s">
        <v>56</v>
      </c>
      <c r="C1083" s="39">
        <f>'تقرير المصروفات حسب الشهر'!M34</f>
        <v>0</v>
      </c>
      <c r="D1083" s="31" t="e">
        <f>#REF!</f>
        <v>#REF!</v>
      </c>
      <c r="E1083" s="31" t="e">
        <f>#REF!</f>
        <v>#REF!</v>
      </c>
      <c r="F1083" s="31" t="e">
        <f>#REF!</f>
        <v>#REF!</v>
      </c>
      <c r="G1083" s="31" t="e">
        <f>#REF!</f>
        <v>#REF!</v>
      </c>
      <c r="H1083" s="31" t="e">
        <f>#REF!</f>
        <v>#REF!</v>
      </c>
      <c r="I1083" s="31">
        <f>'تقرير المصروفات حسب الشهر'!M787</f>
        <v>0</v>
      </c>
      <c r="J1083" s="31">
        <f>'تقرير المصروفات حسب الشهر'!M914</f>
        <v>0</v>
      </c>
      <c r="K1083" s="31">
        <f>'تقرير المصروفات حسب الشهر'!M1041</f>
        <v>0</v>
      </c>
      <c r="L1083" s="292">
        <f>IFERROR(VLOOKUP(B1083,'تقرير المصروفات حسب الشهر'!$C$1143:$AD$1254,11,FALSE),0)</f>
        <v>0</v>
      </c>
      <c r="M1083" s="292">
        <f>IFERROR(VLOOKUP(B1083,'تقرير المصروفات حسب الشهر'!$C$1270:$AD$1381,11,FALSE),0)</f>
        <v>0</v>
      </c>
      <c r="N1083" s="31" t="e">
        <f>#REF!</f>
        <v>#REF!</v>
      </c>
      <c r="O1083" s="37" t="e">
        <f t="shared" si="27"/>
        <v>#REF!</v>
      </c>
    </row>
    <row r="1084" spans="2:15" ht="17.399999999999999">
      <c r="B1084" s="42" t="s">
        <v>57</v>
      </c>
      <c r="C1084" s="39">
        <f>'تقرير المصروفات حسب الشهر'!M35</f>
        <v>0</v>
      </c>
      <c r="D1084" s="31" t="e">
        <f>#REF!</f>
        <v>#REF!</v>
      </c>
      <c r="E1084" s="31" t="e">
        <f>#REF!</f>
        <v>#REF!</v>
      </c>
      <c r="F1084" s="31" t="e">
        <f>#REF!</f>
        <v>#REF!</v>
      </c>
      <c r="G1084" s="31" t="e">
        <f>#REF!</f>
        <v>#REF!</v>
      </c>
      <c r="H1084" s="31" t="e">
        <f>#REF!</f>
        <v>#REF!</v>
      </c>
      <c r="I1084" s="31">
        <f>'تقرير المصروفات حسب الشهر'!M788</f>
        <v>0</v>
      </c>
      <c r="J1084" s="31">
        <f>'تقرير المصروفات حسب الشهر'!M915</f>
        <v>0</v>
      </c>
      <c r="K1084" s="31">
        <f>'تقرير المصروفات حسب الشهر'!M1042</f>
        <v>0</v>
      </c>
      <c r="L1084" s="292">
        <f>IFERROR(VLOOKUP(B1084,'تقرير المصروفات حسب الشهر'!$C$1143:$AD$1254,11,FALSE),0)</f>
        <v>0</v>
      </c>
      <c r="M1084" s="292">
        <f>IFERROR(VLOOKUP(B1084,'تقرير المصروفات حسب الشهر'!$C$1270:$AD$1381,11,FALSE),0)</f>
        <v>0</v>
      </c>
      <c r="N1084" s="31" t="e">
        <f>#REF!</f>
        <v>#REF!</v>
      </c>
      <c r="O1084" s="37" t="e">
        <f t="shared" si="27"/>
        <v>#REF!</v>
      </c>
    </row>
    <row r="1085" spans="2:15" ht="17.399999999999999">
      <c r="B1085" s="42" t="s">
        <v>58</v>
      </c>
      <c r="C1085" s="39">
        <f>'تقرير المصروفات حسب الشهر'!M36</f>
        <v>0</v>
      </c>
      <c r="D1085" s="31" t="e">
        <f>#REF!</f>
        <v>#REF!</v>
      </c>
      <c r="E1085" s="31" t="e">
        <f>#REF!</f>
        <v>#REF!</v>
      </c>
      <c r="F1085" s="31" t="e">
        <f>#REF!</f>
        <v>#REF!</v>
      </c>
      <c r="G1085" s="31" t="e">
        <f>#REF!</f>
        <v>#REF!</v>
      </c>
      <c r="H1085" s="31" t="e">
        <f>#REF!</f>
        <v>#REF!</v>
      </c>
      <c r="I1085" s="31">
        <f>'تقرير المصروفات حسب الشهر'!M789</f>
        <v>0</v>
      </c>
      <c r="J1085" s="31">
        <f>'تقرير المصروفات حسب الشهر'!M916</f>
        <v>0</v>
      </c>
      <c r="K1085" s="31">
        <f>'تقرير المصروفات حسب الشهر'!M1043</f>
        <v>700</v>
      </c>
      <c r="L1085" s="292">
        <f>IFERROR(VLOOKUP(B1085,'تقرير المصروفات حسب الشهر'!$C$1143:$AD$1254,11,FALSE),0)</f>
        <v>0</v>
      </c>
      <c r="M1085" s="292">
        <f>IFERROR(VLOOKUP(B1085,'تقرير المصروفات حسب الشهر'!$C$1270:$AD$1381,11,FALSE),0)</f>
        <v>0</v>
      </c>
      <c r="N1085" s="31" t="e">
        <f>#REF!</f>
        <v>#REF!</v>
      </c>
      <c r="O1085" s="37" t="e">
        <f t="shared" si="27"/>
        <v>#REF!</v>
      </c>
    </row>
    <row r="1086" spans="2:15" ht="17.399999999999999">
      <c r="B1086" s="42" t="s">
        <v>59</v>
      </c>
      <c r="C1086" s="39">
        <f>'تقرير المصروفات حسب الشهر'!M37</f>
        <v>0</v>
      </c>
      <c r="D1086" s="31" t="e">
        <f>#REF!</f>
        <v>#REF!</v>
      </c>
      <c r="E1086" s="31" t="e">
        <f>#REF!</f>
        <v>#REF!</v>
      </c>
      <c r="F1086" s="31" t="e">
        <f>#REF!</f>
        <v>#REF!</v>
      </c>
      <c r="G1086" s="31" t="e">
        <f>#REF!</f>
        <v>#REF!</v>
      </c>
      <c r="H1086" s="31" t="e">
        <f>#REF!</f>
        <v>#REF!</v>
      </c>
      <c r="I1086" s="31">
        <f>'تقرير المصروفات حسب الشهر'!M790</f>
        <v>100</v>
      </c>
      <c r="J1086" s="31">
        <f>'تقرير المصروفات حسب الشهر'!M917</f>
        <v>0</v>
      </c>
      <c r="K1086" s="31">
        <f>'تقرير المصروفات حسب الشهر'!M1044</f>
        <v>0</v>
      </c>
      <c r="L1086" s="292">
        <f>IFERROR(VLOOKUP(B1086,'تقرير المصروفات حسب الشهر'!$C$1143:$AD$1254,11,FALSE),0)</f>
        <v>0</v>
      </c>
      <c r="M1086" s="292">
        <f>IFERROR(VLOOKUP(B1086,'تقرير المصروفات حسب الشهر'!$C$1270:$AD$1381,11,FALSE),0)</f>
        <v>0</v>
      </c>
      <c r="N1086" s="31" t="e">
        <f>#REF!</f>
        <v>#REF!</v>
      </c>
      <c r="O1086" s="37" t="e">
        <f t="shared" si="27"/>
        <v>#REF!</v>
      </c>
    </row>
    <row r="1087" spans="2:15" ht="17.399999999999999">
      <c r="B1087" s="42" t="s">
        <v>60</v>
      </c>
      <c r="C1087" s="39">
        <f>'تقرير المصروفات حسب الشهر'!M38</f>
        <v>0</v>
      </c>
      <c r="D1087" s="31" t="e">
        <f>#REF!</f>
        <v>#REF!</v>
      </c>
      <c r="E1087" s="31" t="e">
        <f>#REF!</f>
        <v>#REF!</v>
      </c>
      <c r="F1087" s="31" t="e">
        <f>#REF!</f>
        <v>#REF!</v>
      </c>
      <c r="G1087" s="31" t="e">
        <f>#REF!</f>
        <v>#REF!</v>
      </c>
      <c r="H1087" s="31" t="e">
        <f>#REF!</f>
        <v>#REF!</v>
      </c>
      <c r="I1087" s="31">
        <f>'تقرير المصروفات حسب الشهر'!M791</f>
        <v>0</v>
      </c>
      <c r="J1087" s="31">
        <f>'تقرير المصروفات حسب الشهر'!M918</f>
        <v>0</v>
      </c>
      <c r="K1087" s="31">
        <f>'تقرير المصروفات حسب الشهر'!M1045</f>
        <v>0</v>
      </c>
      <c r="L1087" s="292">
        <f>IFERROR(VLOOKUP(B1087,'تقرير المصروفات حسب الشهر'!$C$1143:$AD$1254,11,FALSE),0)</f>
        <v>0</v>
      </c>
      <c r="M1087" s="292">
        <f>IFERROR(VLOOKUP(B1087,'تقرير المصروفات حسب الشهر'!$C$1270:$AD$1381,11,FALSE),0)</f>
        <v>0</v>
      </c>
      <c r="N1087" s="31" t="e">
        <f>#REF!</f>
        <v>#REF!</v>
      </c>
      <c r="O1087" s="37" t="e">
        <f t="shared" si="27"/>
        <v>#REF!</v>
      </c>
    </row>
    <row r="1088" spans="2:15" ht="17.399999999999999">
      <c r="B1088" s="42" t="s">
        <v>61</v>
      </c>
      <c r="C1088" s="39">
        <f>'تقرير المصروفات حسب الشهر'!M39</f>
        <v>625</v>
      </c>
      <c r="D1088" s="31" t="e">
        <f>#REF!</f>
        <v>#REF!</v>
      </c>
      <c r="E1088" s="31" t="e">
        <f>#REF!</f>
        <v>#REF!</v>
      </c>
      <c r="F1088" s="31" t="e">
        <f>#REF!</f>
        <v>#REF!</v>
      </c>
      <c r="G1088" s="31" t="e">
        <f>#REF!</f>
        <v>#REF!</v>
      </c>
      <c r="H1088" s="31" t="e">
        <f>#REF!</f>
        <v>#REF!</v>
      </c>
      <c r="I1088" s="31">
        <f>'تقرير المصروفات حسب الشهر'!M792</f>
        <v>199.5</v>
      </c>
      <c r="J1088" s="31">
        <f>'تقرير المصروفات حسب الشهر'!M919</f>
        <v>0</v>
      </c>
      <c r="K1088" s="31">
        <f>'تقرير المصروفات حسب الشهر'!M1046</f>
        <v>700</v>
      </c>
      <c r="L1088" s="292">
        <f>IFERROR(VLOOKUP(B1088,'تقرير المصروفات حسب الشهر'!$C$1143:$AD$1254,11,FALSE),0)</f>
        <v>2000</v>
      </c>
      <c r="M1088" s="292">
        <f>IFERROR(VLOOKUP(B1088,'تقرير المصروفات حسب الشهر'!$C$1270:$AD$1381,11,FALSE),0)</f>
        <v>0</v>
      </c>
      <c r="N1088" s="31" t="e">
        <f>#REF!</f>
        <v>#REF!</v>
      </c>
      <c r="O1088" s="37" t="e">
        <f t="shared" si="27"/>
        <v>#REF!</v>
      </c>
    </row>
    <row r="1089" spans="2:15" ht="17.399999999999999">
      <c r="B1089" s="42" t="s">
        <v>62</v>
      </c>
      <c r="C1089" s="39">
        <f>'تقرير المصروفات حسب الشهر'!M40</f>
        <v>0</v>
      </c>
      <c r="D1089" s="31" t="e">
        <f>#REF!</f>
        <v>#REF!</v>
      </c>
      <c r="E1089" s="31" t="e">
        <f>#REF!</f>
        <v>#REF!</v>
      </c>
      <c r="F1089" s="31" t="e">
        <f>#REF!</f>
        <v>#REF!</v>
      </c>
      <c r="G1089" s="31" t="e">
        <f>#REF!</f>
        <v>#REF!</v>
      </c>
      <c r="H1089" s="31" t="e">
        <f>#REF!</f>
        <v>#REF!</v>
      </c>
      <c r="I1089" s="31">
        <f>'تقرير المصروفات حسب الشهر'!M793</f>
        <v>0</v>
      </c>
      <c r="J1089" s="31">
        <f>'تقرير المصروفات حسب الشهر'!M920</f>
        <v>0</v>
      </c>
      <c r="K1089" s="31">
        <f>'تقرير المصروفات حسب الشهر'!M1047</f>
        <v>0</v>
      </c>
      <c r="L1089" s="292">
        <f>IFERROR(VLOOKUP(B1089,'تقرير المصروفات حسب الشهر'!$C$1143:$AD$1254,11,FALSE),0)</f>
        <v>0</v>
      </c>
      <c r="M1089" s="292">
        <f>IFERROR(VLOOKUP(B1089,'تقرير المصروفات حسب الشهر'!$C$1270:$AD$1381,11,FALSE),0)</f>
        <v>0</v>
      </c>
      <c r="N1089" s="31" t="e">
        <f>#REF!</f>
        <v>#REF!</v>
      </c>
      <c r="O1089" s="37" t="e">
        <f t="shared" si="27"/>
        <v>#REF!</v>
      </c>
    </row>
    <row r="1090" spans="2:15" ht="17.399999999999999">
      <c r="B1090" s="42" t="s">
        <v>63</v>
      </c>
      <c r="C1090" s="39">
        <f>'تقرير المصروفات حسب الشهر'!M41</f>
        <v>0</v>
      </c>
      <c r="D1090" s="31" t="e">
        <f>#REF!</f>
        <v>#REF!</v>
      </c>
      <c r="E1090" s="31" t="e">
        <f>#REF!</f>
        <v>#REF!</v>
      </c>
      <c r="F1090" s="31" t="e">
        <f>#REF!</f>
        <v>#REF!</v>
      </c>
      <c r="G1090" s="31" t="e">
        <f>#REF!</f>
        <v>#REF!</v>
      </c>
      <c r="H1090" s="31" t="e">
        <f>#REF!</f>
        <v>#REF!</v>
      </c>
      <c r="I1090" s="31">
        <f>'تقرير المصروفات حسب الشهر'!M794</f>
        <v>0</v>
      </c>
      <c r="J1090" s="31">
        <f>'تقرير المصروفات حسب الشهر'!M921</f>
        <v>0</v>
      </c>
      <c r="K1090" s="31">
        <f>'تقرير المصروفات حسب الشهر'!M1048</f>
        <v>0</v>
      </c>
      <c r="L1090" s="292">
        <f>IFERROR(VLOOKUP(B1090,'تقرير المصروفات حسب الشهر'!$C$1143:$AD$1254,11,FALSE),0)</f>
        <v>0</v>
      </c>
      <c r="M1090" s="292">
        <f>IFERROR(VLOOKUP(B1090,'تقرير المصروفات حسب الشهر'!$C$1270:$AD$1381,11,FALSE),0)</f>
        <v>0</v>
      </c>
      <c r="N1090" s="31" t="e">
        <f>#REF!</f>
        <v>#REF!</v>
      </c>
      <c r="O1090" s="37" t="e">
        <f t="shared" si="27"/>
        <v>#REF!</v>
      </c>
    </row>
    <row r="1091" spans="2:15" ht="17.399999999999999">
      <c r="B1091" s="42" t="s">
        <v>64</v>
      </c>
      <c r="C1091" s="39">
        <f>'تقرير المصروفات حسب الشهر'!M42</f>
        <v>3950</v>
      </c>
      <c r="D1091" s="31" t="e">
        <f>#REF!</f>
        <v>#REF!</v>
      </c>
      <c r="E1091" s="31" t="e">
        <f>#REF!</f>
        <v>#REF!</v>
      </c>
      <c r="F1091" s="31" t="e">
        <f>#REF!</f>
        <v>#REF!</v>
      </c>
      <c r="G1091" s="31" t="e">
        <f>#REF!</f>
        <v>#REF!</v>
      </c>
      <c r="H1091" s="31" t="e">
        <f>#REF!</f>
        <v>#REF!</v>
      </c>
      <c r="I1091" s="31">
        <f>'تقرير المصروفات حسب الشهر'!M795</f>
        <v>5400</v>
      </c>
      <c r="J1091" s="31">
        <f>'تقرير المصروفات حسب الشهر'!M922</f>
        <v>0</v>
      </c>
      <c r="K1091" s="31">
        <f>'تقرير المصروفات حسب الشهر'!M1049</f>
        <v>0</v>
      </c>
      <c r="L1091" s="292">
        <f>IFERROR(VLOOKUP(B1091,'تقرير المصروفات حسب الشهر'!$C$1143:$AD$1254,11,FALSE),0)</f>
        <v>1500</v>
      </c>
      <c r="M1091" s="292">
        <f>IFERROR(VLOOKUP(B1091,'تقرير المصروفات حسب الشهر'!$C$1270:$AD$1381,11,FALSE),0)</f>
        <v>0</v>
      </c>
      <c r="N1091" s="31" t="e">
        <f>#REF!</f>
        <v>#REF!</v>
      </c>
      <c r="O1091" s="37" t="e">
        <f t="shared" si="27"/>
        <v>#REF!</v>
      </c>
    </row>
    <row r="1092" spans="2:15" ht="17.399999999999999">
      <c r="B1092" s="42" t="s">
        <v>28</v>
      </c>
      <c r="C1092" s="39">
        <f>'تقرير المصروفات حسب الشهر'!M43</f>
        <v>0</v>
      </c>
      <c r="D1092" s="31" t="e">
        <f>#REF!</f>
        <v>#REF!</v>
      </c>
      <c r="E1092" s="31" t="e">
        <f>#REF!</f>
        <v>#REF!</v>
      </c>
      <c r="F1092" s="31" t="e">
        <f>#REF!</f>
        <v>#REF!</v>
      </c>
      <c r="G1092" s="31" t="e">
        <f>#REF!</f>
        <v>#REF!</v>
      </c>
      <c r="H1092" s="31" t="e">
        <f>#REF!</f>
        <v>#REF!</v>
      </c>
      <c r="I1092" s="31">
        <f>'تقرير المصروفات حسب الشهر'!M796</f>
        <v>0</v>
      </c>
      <c r="J1092" s="31">
        <f>'تقرير المصروفات حسب الشهر'!M923</f>
        <v>0</v>
      </c>
      <c r="K1092" s="31">
        <f>'تقرير المصروفات حسب الشهر'!M1050</f>
        <v>0</v>
      </c>
      <c r="L1092" s="292">
        <f>IFERROR(VLOOKUP(B1092,'تقرير المصروفات حسب الشهر'!$C$1143:$AD$1254,11,FALSE),0)</f>
        <v>0</v>
      </c>
      <c r="M1092" s="292">
        <f>IFERROR(VLOOKUP(B1092,'تقرير المصروفات حسب الشهر'!$C$1270:$AD$1381,11,FALSE),0)</f>
        <v>0</v>
      </c>
      <c r="N1092" s="31" t="e">
        <f>#REF!</f>
        <v>#REF!</v>
      </c>
      <c r="O1092" s="37" t="e">
        <f t="shared" si="27"/>
        <v>#REF!</v>
      </c>
    </row>
    <row r="1093" spans="2:15" ht="17.399999999999999">
      <c r="B1093" s="42" t="s">
        <v>157</v>
      </c>
      <c r="C1093" s="39">
        <f>'تقرير المصروفات حسب الشهر'!M44</f>
        <v>0</v>
      </c>
      <c r="D1093" s="31" t="e">
        <f>#REF!</f>
        <v>#REF!</v>
      </c>
      <c r="E1093" s="31" t="e">
        <f>#REF!</f>
        <v>#REF!</v>
      </c>
      <c r="F1093" s="31" t="e">
        <f>#REF!</f>
        <v>#REF!</v>
      </c>
      <c r="G1093" s="31" t="e">
        <f>#REF!</f>
        <v>#REF!</v>
      </c>
      <c r="H1093" s="31" t="e">
        <f>#REF!</f>
        <v>#REF!</v>
      </c>
      <c r="I1093" s="31">
        <f>'تقرير المصروفات حسب الشهر'!M797</f>
        <v>0</v>
      </c>
      <c r="J1093" s="31">
        <f>'تقرير المصروفات حسب الشهر'!M924</f>
        <v>0</v>
      </c>
      <c r="K1093" s="31">
        <f>'تقرير المصروفات حسب الشهر'!M1051</f>
        <v>0</v>
      </c>
      <c r="L1093" s="292">
        <f>IFERROR(VLOOKUP(B1093,'تقرير المصروفات حسب الشهر'!$C$1143:$AD$1254,11,FALSE),0)</f>
        <v>0</v>
      </c>
      <c r="M1093" s="292">
        <f>IFERROR(VLOOKUP(B1093,'تقرير المصروفات حسب الشهر'!$C$1270:$AD$1381,11,FALSE),0)</f>
        <v>0</v>
      </c>
      <c r="N1093" s="31" t="e">
        <f>#REF!</f>
        <v>#REF!</v>
      </c>
      <c r="O1093" s="37" t="e">
        <f t="shared" si="27"/>
        <v>#REF!</v>
      </c>
    </row>
    <row r="1094" spans="2:15" ht="17.399999999999999">
      <c r="B1094" s="42" t="s">
        <v>65</v>
      </c>
      <c r="C1094" s="39">
        <f>'تقرير المصروفات حسب الشهر'!M45</f>
        <v>0</v>
      </c>
      <c r="D1094" s="31" t="e">
        <f>#REF!</f>
        <v>#REF!</v>
      </c>
      <c r="E1094" s="31" t="e">
        <f>#REF!</f>
        <v>#REF!</v>
      </c>
      <c r="F1094" s="31" t="e">
        <f>#REF!</f>
        <v>#REF!</v>
      </c>
      <c r="G1094" s="31" t="e">
        <f>#REF!</f>
        <v>#REF!</v>
      </c>
      <c r="H1094" s="31" t="e">
        <f>#REF!</f>
        <v>#REF!</v>
      </c>
      <c r="I1094" s="31">
        <f>'تقرير المصروفات حسب الشهر'!M798</f>
        <v>0</v>
      </c>
      <c r="J1094" s="31">
        <f>'تقرير المصروفات حسب الشهر'!M925</f>
        <v>0</v>
      </c>
      <c r="K1094" s="31">
        <f>'تقرير المصروفات حسب الشهر'!M1052</f>
        <v>0</v>
      </c>
      <c r="L1094" s="292">
        <f>IFERROR(VLOOKUP(B1094,'تقرير المصروفات حسب الشهر'!$C$1143:$AD$1254,11,FALSE),0)</f>
        <v>0</v>
      </c>
      <c r="M1094" s="292">
        <f>IFERROR(VLOOKUP(B1094,'تقرير المصروفات حسب الشهر'!$C$1270:$AD$1381,11,FALSE),0)</f>
        <v>0</v>
      </c>
      <c r="N1094" s="31" t="e">
        <f>#REF!</f>
        <v>#REF!</v>
      </c>
      <c r="O1094" s="37" t="e">
        <f t="shared" si="27"/>
        <v>#REF!</v>
      </c>
    </row>
    <row r="1095" spans="2:15" ht="17.399999999999999">
      <c r="B1095" s="42" t="s">
        <v>66</v>
      </c>
      <c r="C1095" s="39">
        <f>'تقرير المصروفات حسب الشهر'!M46</f>
        <v>0</v>
      </c>
      <c r="D1095" s="31" t="e">
        <f>#REF!</f>
        <v>#REF!</v>
      </c>
      <c r="E1095" s="31" t="e">
        <f>#REF!</f>
        <v>#REF!</v>
      </c>
      <c r="F1095" s="31" t="e">
        <f>#REF!</f>
        <v>#REF!</v>
      </c>
      <c r="G1095" s="31" t="e">
        <f>#REF!</f>
        <v>#REF!</v>
      </c>
      <c r="H1095" s="31" t="e">
        <f>#REF!</f>
        <v>#REF!</v>
      </c>
      <c r="I1095" s="31">
        <f>'تقرير المصروفات حسب الشهر'!M799</f>
        <v>0</v>
      </c>
      <c r="J1095" s="31">
        <f>'تقرير المصروفات حسب الشهر'!M926</f>
        <v>0</v>
      </c>
      <c r="K1095" s="31">
        <f>'تقرير المصروفات حسب الشهر'!M1053</f>
        <v>0</v>
      </c>
      <c r="L1095" s="292">
        <f>IFERROR(VLOOKUP(B1095,'تقرير المصروفات حسب الشهر'!$C$1143:$AD$1254,11,FALSE),0)</f>
        <v>0</v>
      </c>
      <c r="M1095" s="292">
        <f>IFERROR(VLOOKUP(B1095,'تقرير المصروفات حسب الشهر'!$C$1270:$AD$1381,11,FALSE),0)</f>
        <v>0</v>
      </c>
      <c r="N1095" s="31" t="e">
        <f>#REF!</f>
        <v>#REF!</v>
      </c>
      <c r="O1095" s="37" t="e">
        <f t="shared" si="27"/>
        <v>#REF!</v>
      </c>
    </row>
    <row r="1096" spans="2:15" ht="17.399999999999999">
      <c r="B1096" s="42" t="s">
        <v>30</v>
      </c>
      <c r="C1096" s="39">
        <f>'تقرير المصروفات حسب الشهر'!M47</f>
        <v>0</v>
      </c>
      <c r="D1096" s="31" t="e">
        <f>#REF!</f>
        <v>#REF!</v>
      </c>
      <c r="E1096" s="31" t="e">
        <f>#REF!</f>
        <v>#REF!</v>
      </c>
      <c r="F1096" s="31" t="e">
        <f>#REF!</f>
        <v>#REF!</v>
      </c>
      <c r="G1096" s="31" t="e">
        <f>#REF!</f>
        <v>#REF!</v>
      </c>
      <c r="H1096" s="31" t="e">
        <f>#REF!</f>
        <v>#REF!</v>
      </c>
      <c r="I1096" s="31">
        <f>'تقرير المصروفات حسب الشهر'!M800</f>
        <v>3666.26</v>
      </c>
      <c r="J1096" s="31">
        <f>'تقرير المصروفات حسب الشهر'!M927</f>
        <v>0</v>
      </c>
      <c r="K1096" s="31">
        <f>'تقرير المصروفات حسب الشهر'!M1054</f>
        <v>4222.25</v>
      </c>
      <c r="L1096" s="292">
        <f>IFERROR(VLOOKUP(B1096,'تقرير المصروفات حسب الشهر'!$C$1143:$AD$1254,11,FALSE),0)</f>
        <v>2252.25</v>
      </c>
      <c r="M1096" s="292">
        <f>IFERROR(VLOOKUP(B1096,'تقرير المصروفات حسب الشهر'!$C$1270:$AD$1381,11,FALSE),0)</f>
        <v>7888.25</v>
      </c>
      <c r="N1096" s="31" t="e">
        <f>#REF!</f>
        <v>#REF!</v>
      </c>
      <c r="O1096" s="37" t="e">
        <f t="shared" si="27"/>
        <v>#REF!</v>
      </c>
    </row>
    <row r="1097" spans="2:15" ht="17.399999999999999">
      <c r="B1097" s="42" t="s">
        <v>67</v>
      </c>
      <c r="C1097" s="39">
        <f>'تقرير المصروفات حسب الشهر'!M48</f>
        <v>6240</v>
      </c>
      <c r="D1097" s="31" t="e">
        <f>#REF!</f>
        <v>#REF!</v>
      </c>
      <c r="E1097" s="31" t="e">
        <f>#REF!</f>
        <v>#REF!</v>
      </c>
      <c r="F1097" s="31" t="e">
        <f>#REF!</f>
        <v>#REF!</v>
      </c>
      <c r="G1097" s="31" t="e">
        <f>#REF!</f>
        <v>#REF!</v>
      </c>
      <c r="H1097" s="31" t="e">
        <f>#REF!</f>
        <v>#REF!</v>
      </c>
      <c r="I1097" s="31">
        <f>'تقرير المصروفات حسب الشهر'!M801</f>
        <v>0</v>
      </c>
      <c r="J1097" s="31">
        <f>'تقرير المصروفات حسب الشهر'!M928</f>
        <v>13530</v>
      </c>
      <c r="K1097" s="31">
        <f>'تقرير المصروفات حسب الشهر'!M1055</f>
        <v>0</v>
      </c>
      <c r="L1097" s="292">
        <f>IFERROR(VLOOKUP(B1097,'تقرير المصروفات حسب الشهر'!$C$1143:$AD$1254,11,FALSE),0)</f>
        <v>11880</v>
      </c>
      <c r="M1097" s="292">
        <f>IFERROR(VLOOKUP(B1097,'تقرير المصروفات حسب الشهر'!$C$1270:$AD$1381,11,FALSE),0)</f>
        <v>0</v>
      </c>
      <c r="N1097" s="31" t="e">
        <f>#REF!</f>
        <v>#REF!</v>
      </c>
      <c r="O1097" s="37" t="e">
        <f t="shared" si="27"/>
        <v>#REF!</v>
      </c>
    </row>
    <row r="1098" spans="2:15" ht="17.399999999999999">
      <c r="B1098" s="42" t="s">
        <v>111</v>
      </c>
      <c r="C1098" s="39">
        <f>'تقرير المصروفات حسب الشهر'!M49</f>
        <v>0</v>
      </c>
      <c r="D1098" s="31" t="e">
        <f>#REF!</f>
        <v>#REF!</v>
      </c>
      <c r="E1098" s="31" t="e">
        <f>#REF!</f>
        <v>#REF!</v>
      </c>
      <c r="F1098" s="31" t="e">
        <f>#REF!</f>
        <v>#REF!</v>
      </c>
      <c r="G1098" s="31" t="e">
        <f>#REF!</f>
        <v>#REF!</v>
      </c>
      <c r="H1098" s="31" t="e">
        <f>#REF!</f>
        <v>#REF!</v>
      </c>
      <c r="I1098" s="31">
        <f>'تقرير المصروفات حسب الشهر'!M802</f>
        <v>0</v>
      </c>
      <c r="J1098" s="31">
        <f>'تقرير المصروفات حسب الشهر'!M929</f>
        <v>0</v>
      </c>
      <c r="K1098" s="31">
        <f>'تقرير المصروفات حسب الشهر'!M1056</f>
        <v>450</v>
      </c>
      <c r="L1098" s="292">
        <f>IFERROR(VLOOKUP(B1098,'تقرير المصروفات حسب الشهر'!$C$1143:$AD$1254,11,FALSE),0)</f>
        <v>0</v>
      </c>
      <c r="M1098" s="292">
        <f>IFERROR(VLOOKUP(B1098,'تقرير المصروفات حسب الشهر'!$C$1270:$AD$1381,11,FALSE),0)</f>
        <v>0</v>
      </c>
      <c r="N1098" s="31" t="e">
        <f>#REF!</f>
        <v>#REF!</v>
      </c>
      <c r="O1098" s="37" t="e">
        <f t="shared" si="27"/>
        <v>#REF!</v>
      </c>
    </row>
    <row r="1099" spans="2:15" ht="17.399999999999999">
      <c r="B1099" s="42" t="s">
        <v>68</v>
      </c>
      <c r="C1099" s="39">
        <f>'تقرير المصروفات حسب الشهر'!M50</f>
        <v>0</v>
      </c>
      <c r="D1099" s="31" t="e">
        <f>#REF!</f>
        <v>#REF!</v>
      </c>
      <c r="E1099" s="31" t="e">
        <f>#REF!</f>
        <v>#REF!</v>
      </c>
      <c r="F1099" s="31" t="e">
        <f>#REF!</f>
        <v>#REF!</v>
      </c>
      <c r="G1099" s="31" t="e">
        <f>#REF!</f>
        <v>#REF!</v>
      </c>
      <c r="H1099" s="31" t="e">
        <f>#REF!</f>
        <v>#REF!</v>
      </c>
      <c r="I1099" s="31">
        <f>'تقرير المصروفات حسب الشهر'!M803</f>
        <v>0</v>
      </c>
      <c r="J1099" s="31">
        <f>'تقرير المصروفات حسب الشهر'!M930</f>
        <v>0</v>
      </c>
      <c r="K1099" s="31">
        <f>'تقرير المصروفات حسب الشهر'!M1057</f>
        <v>3608</v>
      </c>
      <c r="L1099" s="292">
        <f>IFERROR(VLOOKUP(B1099,'تقرير المصروفات حسب الشهر'!$C$1143:$AD$1254,11,FALSE),0)</f>
        <v>0</v>
      </c>
      <c r="M1099" s="292">
        <f>IFERROR(VLOOKUP(B1099,'تقرير المصروفات حسب الشهر'!$C$1270:$AD$1381,11,FALSE),0)</f>
        <v>0</v>
      </c>
      <c r="N1099" s="31" t="e">
        <f>#REF!</f>
        <v>#REF!</v>
      </c>
      <c r="O1099" s="37" t="e">
        <f t="shared" si="27"/>
        <v>#REF!</v>
      </c>
    </row>
    <row r="1100" spans="2:15" ht="17.399999999999999">
      <c r="B1100" s="42" t="s">
        <v>69</v>
      </c>
      <c r="C1100" s="39">
        <f>'تقرير المصروفات حسب الشهر'!M51</f>
        <v>1600</v>
      </c>
      <c r="D1100" s="31" t="e">
        <f>#REF!</f>
        <v>#REF!</v>
      </c>
      <c r="E1100" s="31" t="e">
        <f>#REF!</f>
        <v>#REF!</v>
      </c>
      <c r="F1100" s="31" t="e">
        <f>#REF!</f>
        <v>#REF!</v>
      </c>
      <c r="G1100" s="31" t="e">
        <f>#REF!</f>
        <v>#REF!</v>
      </c>
      <c r="H1100" s="31" t="e">
        <f>#REF!</f>
        <v>#REF!</v>
      </c>
      <c r="I1100" s="31">
        <f>'تقرير المصروفات حسب الشهر'!M804</f>
        <v>1600</v>
      </c>
      <c r="J1100" s="31">
        <f>'تقرير المصروفات حسب الشهر'!M931</f>
        <v>0</v>
      </c>
      <c r="K1100" s="31">
        <f>'تقرير المصروفات حسب الشهر'!M1058</f>
        <v>0</v>
      </c>
      <c r="L1100" s="292">
        <f>IFERROR(VLOOKUP(B1100,'تقرير المصروفات حسب الشهر'!$C$1143:$AD$1254,11,FALSE),0)</f>
        <v>0</v>
      </c>
      <c r="M1100" s="292">
        <f>IFERROR(VLOOKUP(B1100,'تقرير المصروفات حسب الشهر'!$C$1270:$AD$1381,11,FALSE),0)</f>
        <v>0</v>
      </c>
      <c r="N1100" s="31" t="e">
        <f>#REF!</f>
        <v>#REF!</v>
      </c>
      <c r="O1100" s="37" t="e">
        <f t="shared" si="27"/>
        <v>#REF!</v>
      </c>
    </row>
    <row r="1101" spans="2:15" ht="17.399999999999999">
      <c r="B1101" s="42" t="s">
        <v>70</v>
      </c>
      <c r="C1101" s="39">
        <f>'تقرير المصروفات حسب الشهر'!M52</f>
        <v>0</v>
      </c>
      <c r="D1101" s="31" t="e">
        <f>#REF!</f>
        <v>#REF!</v>
      </c>
      <c r="E1101" s="31" t="e">
        <f>#REF!</f>
        <v>#REF!</v>
      </c>
      <c r="F1101" s="31" t="e">
        <f>#REF!</f>
        <v>#REF!</v>
      </c>
      <c r="G1101" s="31" t="e">
        <f>#REF!</f>
        <v>#REF!</v>
      </c>
      <c r="H1101" s="31" t="e">
        <f>#REF!</f>
        <v>#REF!</v>
      </c>
      <c r="I1101" s="31">
        <f>'تقرير المصروفات حسب الشهر'!M805</f>
        <v>0</v>
      </c>
      <c r="J1101" s="31">
        <f>'تقرير المصروفات حسب الشهر'!M932</f>
        <v>0</v>
      </c>
      <c r="K1101" s="31">
        <f>'تقرير المصروفات حسب الشهر'!M1059</f>
        <v>0</v>
      </c>
      <c r="L1101" s="292">
        <f>IFERROR(VLOOKUP(B1101,'تقرير المصروفات حسب الشهر'!$C$1143:$AD$1254,11,FALSE),0)</f>
        <v>0</v>
      </c>
      <c r="M1101" s="292">
        <f>IFERROR(VLOOKUP(B1101,'تقرير المصروفات حسب الشهر'!$C$1270:$AD$1381,11,FALSE),0)</f>
        <v>0</v>
      </c>
      <c r="N1101" s="31" t="e">
        <f>#REF!</f>
        <v>#REF!</v>
      </c>
      <c r="O1101" s="37" t="e">
        <f t="shared" si="27"/>
        <v>#REF!</v>
      </c>
    </row>
    <row r="1102" spans="2:15" ht="17.399999999999999">
      <c r="B1102" s="42" t="s">
        <v>71</v>
      </c>
      <c r="C1102" s="39">
        <f>'تقرير المصروفات حسب الشهر'!M53</f>
        <v>0</v>
      </c>
      <c r="D1102" s="31" t="e">
        <f>#REF!</f>
        <v>#REF!</v>
      </c>
      <c r="E1102" s="31" t="e">
        <f>#REF!</f>
        <v>#REF!</v>
      </c>
      <c r="F1102" s="31" t="e">
        <f>#REF!</f>
        <v>#REF!</v>
      </c>
      <c r="G1102" s="31" t="e">
        <f>#REF!</f>
        <v>#REF!</v>
      </c>
      <c r="H1102" s="31" t="e">
        <f>#REF!</f>
        <v>#REF!</v>
      </c>
      <c r="I1102" s="31">
        <f>'تقرير المصروفات حسب الشهر'!M806</f>
        <v>0</v>
      </c>
      <c r="J1102" s="31">
        <f>'تقرير المصروفات حسب الشهر'!M933</f>
        <v>0</v>
      </c>
      <c r="K1102" s="31">
        <f>'تقرير المصروفات حسب الشهر'!M1060</f>
        <v>0</v>
      </c>
      <c r="L1102" s="292">
        <f>IFERROR(VLOOKUP(B1102,'تقرير المصروفات حسب الشهر'!$C$1143:$AD$1254,11,FALSE),0)</f>
        <v>0</v>
      </c>
      <c r="M1102" s="292">
        <f>IFERROR(VLOOKUP(B1102,'تقرير المصروفات حسب الشهر'!$C$1270:$AD$1381,11,FALSE),0)</f>
        <v>0</v>
      </c>
      <c r="N1102" s="31" t="e">
        <f>#REF!</f>
        <v>#REF!</v>
      </c>
      <c r="O1102" s="37" t="e">
        <f t="shared" si="27"/>
        <v>#REF!</v>
      </c>
    </row>
    <row r="1103" spans="2:15" ht="17.399999999999999">
      <c r="B1103" s="42" t="s">
        <v>159</v>
      </c>
      <c r="C1103" s="39">
        <f>'تقرير المصروفات حسب الشهر'!M54</f>
        <v>0</v>
      </c>
      <c r="D1103" s="31" t="e">
        <f>#REF!</f>
        <v>#REF!</v>
      </c>
      <c r="E1103" s="31" t="e">
        <f>#REF!</f>
        <v>#REF!</v>
      </c>
      <c r="F1103" s="31" t="e">
        <f>#REF!</f>
        <v>#REF!</v>
      </c>
      <c r="G1103" s="31" t="e">
        <f>#REF!</f>
        <v>#REF!</v>
      </c>
      <c r="H1103" s="31" t="e">
        <f>#REF!</f>
        <v>#REF!</v>
      </c>
      <c r="I1103" s="31">
        <f>'تقرير المصروفات حسب الشهر'!M807</f>
        <v>0</v>
      </c>
      <c r="J1103" s="31">
        <f>'تقرير المصروفات حسب الشهر'!M934</f>
        <v>0</v>
      </c>
      <c r="K1103" s="31">
        <f>'تقرير المصروفات حسب الشهر'!M1061</f>
        <v>0</v>
      </c>
      <c r="L1103" s="292">
        <f>IFERROR(VLOOKUP(B1103,'تقرير المصروفات حسب الشهر'!$C$1143:$AD$1254,11,FALSE),0)</f>
        <v>0</v>
      </c>
      <c r="M1103" s="292">
        <f>IFERROR(VLOOKUP(B1103,'تقرير المصروفات حسب الشهر'!$C$1270:$AD$1381,11,FALSE),0)</f>
        <v>0</v>
      </c>
      <c r="N1103" s="31" t="e">
        <f>#REF!</f>
        <v>#REF!</v>
      </c>
      <c r="O1103" s="37" t="e">
        <f t="shared" si="27"/>
        <v>#REF!</v>
      </c>
    </row>
    <row r="1104" spans="2:15" ht="17.399999999999999">
      <c r="B1104" s="42" t="s">
        <v>72</v>
      </c>
      <c r="C1104" s="39">
        <f>'تقرير المصروفات حسب الشهر'!M55</f>
        <v>0</v>
      </c>
      <c r="D1104" s="31" t="e">
        <f>#REF!</f>
        <v>#REF!</v>
      </c>
      <c r="E1104" s="31" t="e">
        <f>#REF!</f>
        <v>#REF!</v>
      </c>
      <c r="F1104" s="31" t="e">
        <f>#REF!</f>
        <v>#REF!</v>
      </c>
      <c r="G1104" s="31" t="e">
        <f>#REF!</f>
        <v>#REF!</v>
      </c>
      <c r="H1104" s="31" t="e">
        <f>#REF!</f>
        <v>#REF!</v>
      </c>
      <c r="I1104" s="31">
        <f>'تقرير المصروفات حسب الشهر'!M808</f>
        <v>0</v>
      </c>
      <c r="J1104" s="31">
        <f>'تقرير المصروفات حسب الشهر'!M935</f>
        <v>0</v>
      </c>
      <c r="K1104" s="31">
        <f>'تقرير المصروفات حسب الشهر'!M1062</f>
        <v>0</v>
      </c>
      <c r="L1104" s="292">
        <f>IFERROR(VLOOKUP(B1104,'تقرير المصروفات حسب الشهر'!$C$1143:$AD$1254,11,FALSE),0)</f>
        <v>0</v>
      </c>
      <c r="M1104" s="292">
        <f>IFERROR(VLOOKUP(B1104,'تقرير المصروفات حسب الشهر'!$C$1270:$AD$1381,11,FALSE),0)</f>
        <v>0</v>
      </c>
      <c r="N1104" s="31" t="e">
        <f>#REF!</f>
        <v>#REF!</v>
      </c>
      <c r="O1104" s="37" t="e">
        <f t="shared" si="27"/>
        <v>#REF!</v>
      </c>
    </row>
    <row r="1105" spans="2:15" ht="17.399999999999999">
      <c r="B1105" s="42" t="s">
        <v>73</v>
      </c>
      <c r="C1105" s="39">
        <f>'تقرير المصروفات حسب الشهر'!M56</f>
        <v>0</v>
      </c>
      <c r="D1105" s="31" t="e">
        <f>#REF!</f>
        <v>#REF!</v>
      </c>
      <c r="E1105" s="31" t="e">
        <f>#REF!</f>
        <v>#REF!</v>
      </c>
      <c r="F1105" s="31" t="e">
        <f>#REF!</f>
        <v>#REF!</v>
      </c>
      <c r="G1105" s="31" t="e">
        <f>#REF!</f>
        <v>#REF!</v>
      </c>
      <c r="H1105" s="31" t="e">
        <f>#REF!</f>
        <v>#REF!</v>
      </c>
      <c r="I1105" s="31">
        <f>'تقرير المصروفات حسب الشهر'!M809</f>
        <v>0</v>
      </c>
      <c r="J1105" s="31">
        <f>'تقرير المصروفات حسب الشهر'!M936</f>
        <v>0</v>
      </c>
      <c r="K1105" s="31">
        <f>'تقرير المصروفات حسب الشهر'!M1063</f>
        <v>0</v>
      </c>
      <c r="L1105" s="292">
        <f>IFERROR(VLOOKUP(B1105,'تقرير المصروفات حسب الشهر'!$C$1143:$AD$1254,11,FALSE),0)</f>
        <v>0</v>
      </c>
      <c r="M1105" s="292">
        <f>IFERROR(VLOOKUP(B1105,'تقرير المصروفات حسب الشهر'!$C$1270:$AD$1381,11,FALSE),0)</f>
        <v>0</v>
      </c>
      <c r="N1105" s="31" t="e">
        <f>#REF!</f>
        <v>#REF!</v>
      </c>
      <c r="O1105" s="37" t="e">
        <f t="shared" si="27"/>
        <v>#REF!</v>
      </c>
    </row>
    <row r="1106" spans="2:15" ht="17.399999999999999">
      <c r="B1106" s="42" t="s">
        <v>74</v>
      </c>
      <c r="C1106" s="39">
        <f>'تقرير المصروفات حسب الشهر'!M57</f>
        <v>0</v>
      </c>
      <c r="D1106" s="31" t="e">
        <f>#REF!</f>
        <v>#REF!</v>
      </c>
      <c r="E1106" s="31" t="e">
        <f>#REF!</f>
        <v>#REF!</v>
      </c>
      <c r="F1106" s="31" t="e">
        <f>#REF!</f>
        <v>#REF!</v>
      </c>
      <c r="G1106" s="31" t="e">
        <f>#REF!</f>
        <v>#REF!</v>
      </c>
      <c r="H1106" s="31" t="e">
        <f>#REF!</f>
        <v>#REF!</v>
      </c>
      <c r="I1106" s="31">
        <f>'تقرير المصروفات حسب الشهر'!M810</f>
        <v>0</v>
      </c>
      <c r="J1106" s="31">
        <f>'تقرير المصروفات حسب الشهر'!M937</f>
        <v>0</v>
      </c>
      <c r="K1106" s="31">
        <f>'تقرير المصروفات حسب الشهر'!M1064</f>
        <v>0</v>
      </c>
      <c r="L1106" s="292">
        <f>IFERROR(VLOOKUP(B1106,'تقرير المصروفات حسب الشهر'!$C$1143:$AD$1254,11,FALSE),0)</f>
        <v>0</v>
      </c>
      <c r="M1106" s="292">
        <f>IFERROR(VLOOKUP(B1106,'تقرير المصروفات حسب الشهر'!$C$1270:$AD$1381,11,FALSE),0)</f>
        <v>0</v>
      </c>
      <c r="N1106" s="31" t="e">
        <f>#REF!</f>
        <v>#REF!</v>
      </c>
      <c r="O1106" s="37" t="e">
        <f t="shared" si="27"/>
        <v>#REF!</v>
      </c>
    </row>
    <row r="1107" spans="2:15" ht="17.399999999999999">
      <c r="B1107" s="42" t="s">
        <v>246</v>
      </c>
      <c r="C1107" s="39">
        <f>'تقرير المصروفات حسب الشهر'!M58</f>
        <v>0</v>
      </c>
      <c r="D1107" s="31" t="e">
        <f>#REF!</f>
        <v>#REF!</v>
      </c>
      <c r="E1107" s="31" t="e">
        <f>#REF!</f>
        <v>#REF!</v>
      </c>
      <c r="F1107" s="31" t="e">
        <f>#REF!</f>
        <v>#REF!</v>
      </c>
      <c r="G1107" s="31" t="e">
        <f>#REF!</f>
        <v>#REF!</v>
      </c>
      <c r="H1107" s="31" t="e">
        <f>#REF!</f>
        <v>#REF!</v>
      </c>
      <c r="I1107" s="31">
        <f>'تقرير المصروفات حسب الشهر'!M811</f>
        <v>0</v>
      </c>
      <c r="J1107" s="31">
        <f>'تقرير المصروفات حسب الشهر'!M938</f>
        <v>0</v>
      </c>
      <c r="K1107" s="31">
        <f>'تقرير المصروفات حسب الشهر'!M1065</f>
        <v>0</v>
      </c>
      <c r="L1107" s="292">
        <f>IFERROR(VLOOKUP(B1107,'تقرير المصروفات حسب الشهر'!$C$1143:$AD$1254,11,FALSE),0)</f>
        <v>0</v>
      </c>
      <c r="M1107" s="292">
        <f>IFERROR(VLOOKUP(B1107,'تقرير المصروفات حسب الشهر'!$C$1270:$AD$1381,11,FALSE),0)</f>
        <v>0</v>
      </c>
      <c r="N1107" s="31" t="e">
        <f>#REF!</f>
        <v>#REF!</v>
      </c>
      <c r="O1107" s="37" t="e">
        <f t="shared" si="27"/>
        <v>#REF!</v>
      </c>
    </row>
    <row r="1108" spans="2:15" ht="17.399999999999999">
      <c r="B1108" s="42" t="s">
        <v>75</v>
      </c>
      <c r="C1108" s="39">
        <f>'تقرير المصروفات حسب الشهر'!M59</f>
        <v>0</v>
      </c>
      <c r="D1108" s="31" t="e">
        <f>#REF!</f>
        <v>#REF!</v>
      </c>
      <c r="E1108" s="31" t="e">
        <f>#REF!</f>
        <v>#REF!</v>
      </c>
      <c r="F1108" s="31" t="e">
        <f>#REF!</f>
        <v>#REF!</v>
      </c>
      <c r="G1108" s="31" t="e">
        <f>#REF!</f>
        <v>#REF!</v>
      </c>
      <c r="H1108" s="31" t="e">
        <f>#REF!</f>
        <v>#REF!</v>
      </c>
      <c r="I1108" s="31">
        <f>'تقرير المصروفات حسب الشهر'!M812</f>
        <v>0</v>
      </c>
      <c r="J1108" s="31">
        <f>'تقرير المصروفات حسب الشهر'!M939</f>
        <v>0</v>
      </c>
      <c r="K1108" s="31">
        <f>'تقرير المصروفات حسب الشهر'!M1066</f>
        <v>0</v>
      </c>
      <c r="L1108" s="292">
        <f>IFERROR(VLOOKUP(B1108,'تقرير المصروفات حسب الشهر'!$C$1143:$AD$1254,11,FALSE),0)</f>
        <v>0</v>
      </c>
      <c r="M1108" s="292">
        <f>IFERROR(VLOOKUP(B1108,'تقرير المصروفات حسب الشهر'!$C$1270:$AD$1381,11,FALSE),0)</f>
        <v>0</v>
      </c>
      <c r="N1108" s="31" t="e">
        <f>#REF!</f>
        <v>#REF!</v>
      </c>
      <c r="O1108" s="37" t="e">
        <f t="shared" si="27"/>
        <v>#REF!</v>
      </c>
    </row>
    <row r="1109" spans="2:15" ht="17.399999999999999">
      <c r="B1109" s="42" t="s">
        <v>76</v>
      </c>
      <c r="C1109" s="39">
        <f>'تقرير المصروفات حسب الشهر'!M60</f>
        <v>0</v>
      </c>
      <c r="D1109" s="31" t="e">
        <f>#REF!</f>
        <v>#REF!</v>
      </c>
      <c r="E1109" s="31" t="e">
        <f>#REF!</f>
        <v>#REF!</v>
      </c>
      <c r="F1109" s="31" t="e">
        <f>#REF!</f>
        <v>#REF!</v>
      </c>
      <c r="G1109" s="31" t="e">
        <f>#REF!</f>
        <v>#REF!</v>
      </c>
      <c r="H1109" s="31" t="e">
        <f>#REF!</f>
        <v>#REF!</v>
      </c>
      <c r="I1109" s="31">
        <f>'تقرير المصروفات حسب الشهر'!M813</f>
        <v>0</v>
      </c>
      <c r="J1109" s="31">
        <f>'تقرير المصروفات حسب الشهر'!M940</f>
        <v>0</v>
      </c>
      <c r="K1109" s="31">
        <f>'تقرير المصروفات حسب الشهر'!M1067</f>
        <v>0</v>
      </c>
      <c r="L1109" s="292">
        <f>IFERROR(VLOOKUP(B1109,'تقرير المصروفات حسب الشهر'!$C$1143:$AD$1254,11,FALSE),0)</f>
        <v>0</v>
      </c>
      <c r="M1109" s="292">
        <f>IFERROR(VLOOKUP(B1109,'تقرير المصروفات حسب الشهر'!$C$1270:$AD$1381,11,FALSE),0)</f>
        <v>0</v>
      </c>
      <c r="N1109" s="31" t="e">
        <f>#REF!</f>
        <v>#REF!</v>
      </c>
      <c r="O1109" s="37" t="e">
        <f t="shared" si="27"/>
        <v>#REF!</v>
      </c>
    </row>
    <row r="1110" spans="2:15" ht="17.399999999999999">
      <c r="B1110" s="42" t="s">
        <v>77</v>
      </c>
      <c r="C1110" s="39">
        <f>'تقرير المصروفات حسب الشهر'!M61</f>
        <v>0</v>
      </c>
      <c r="D1110" s="31" t="e">
        <f>#REF!</f>
        <v>#REF!</v>
      </c>
      <c r="E1110" s="31" t="e">
        <f>#REF!</f>
        <v>#REF!</v>
      </c>
      <c r="F1110" s="31" t="e">
        <f>#REF!</f>
        <v>#REF!</v>
      </c>
      <c r="G1110" s="31" t="e">
        <f>#REF!</f>
        <v>#REF!</v>
      </c>
      <c r="H1110" s="31" t="e">
        <f>#REF!</f>
        <v>#REF!</v>
      </c>
      <c r="I1110" s="31">
        <f>'تقرير المصروفات حسب الشهر'!M814</f>
        <v>0</v>
      </c>
      <c r="J1110" s="31">
        <f>'تقرير المصروفات حسب الشهر'!M941</f>
        <v>0</v>
      </c>
      <c r="K1110" s="31">
        <f>'تقرير المصروفات حسب الشهر'!M1068</f>
        <v>0</v>
      </c>
      <c r="L1110" s="292">
        <f>IFERROR(VLOOKUP(B1110,'تقرير المصروفات حسب الشهر'!$C$1143:$AD$1254,11,FALSE),0)</f>
        <v>0</v>
      </c>
      <c r="M1110" s="292">
        <f>IFERROR(VLOOKUP(B1110,'تقرير المصروفات حسب الشهر'!$C$1270:$AD$1381,11,FALSE),0)</f>
        <v>0</v>
      </c>
      <c r="N1110" s="31" t="e">
        <f>#REF!</f>
        <v>#REF!</v>
      </c>
      <c r="O1110" s="37" t="e">
        <f t="shared" si="27"/>
        <v>#REF!</v>
      </c>
    </row>
    <row r="1111" spans="2:15" ht="17.399999999999999">
      <c r="B1111" s="42" t="s">
        <v>78</v>
      </c>
      <c r="C1111" s="39">
        <f>'تقرير المصروفات حسب الشهر'!M62</f>
        <v>0</v>
      </c>
      <c r="D1111" s="31" t="e">
        <f>#REF!</f>
        <v>#REF!</v>
      </c>
      <c r="E1111" s="31" t="e">
        <f>#REF!</f>
        <v>#REF!</v>
      </c>
      <c r="F1111" s="31" t="e">
        <f>#REF!</f>
        <v>#REF!</v>
      </c>
      <c r="G1111" s="31" t="e">
        <f>#REF!</f>
        <v>#REF!</v>
      </c>
      <c r="H1111" s="31" t="e">
        <f>#REF!</f>
        <v>#REF!</v>
      </c>
      <c r="I1111" s="31">
        <f>'تقرير المصروفات حسب الشهر'!M815</f>
        <v>0</v>
      </c>
      <c r="J1111" s="31">
        <f>'تقرير المصروفات حسب الشهر'!M942</f>
        <v>0</v>
      </c>
      <c r="K1111" s="31">
        <f>'تقرير المصروفات حسب الشهر'!M1069</f>
        <v>0</v>
      </c>
      <c r="L1111" s="292">
        <f>IFERROR(VLOOKUP(B1111,'تقرير المصروفات حسب الشهر'!$C$1143:$AD$1254,11,FALSE),0)</f>
        <v>0</v>
      </c>
      <c r="M1111" s="292">
        <f>IFERROR(VLOOKUP(B1111,'تقرير المصروفات حسب الشهر'!$C$1270:$AD$1381,11,FALSE),0)</f>
        <v>0</v>
      </c>
      <c r="N1111" s="31" t="e">
        <f>#REF!</f>
        <v>#REF!</v>
      </c>
      <c r="O1111" s="37" t="e">
        <f t="shared" si="27"/>
        <v>#REF!</v>
      </c>
    </row>
    <row r="1112" spans="2:15" ht="17.399999999999999">
      <c r="B1112" s="42" t="s">
        <v>79</v>
      </c>
      <c r="C1112" s="39">
        <f>'تقرير المصروفات حسب الشهر'!M63</f>
        <v>0</v>
      </c>
      <c r="D1112" s="31" t="e">
        <f>#REF!</f>
        <v>#REF!</v>
      </c>
      <c r="E1112" s="31" t="e">
        <f>#REF!</f>
        <v>#REF!</v>
      </c>
      <c r="F1112" s="31" t="e">
        <f>#REF!</f>
        <v>#REF!</v>
      </c>
      <c r="G1112" s="31" t="e">
        <f>#REF!</f>
        <v>#REF!</v>
      </c>
      <c r="H1112" s="31" t="e">
        <f>#REF!</f>
        <v>#REF!</v>
      </c>
      <c r="I1112" s="31">
        <f>'تقرير المصروفات حسب الشهر'!M816</f>
        <v>0</v>
      </c>
      <c r="J1112" s="31">
        <f>'تقرير المصروفات حسب الشهر'!M943</f>
        <v>0</v>
      </c>
      <c r="K1112" s="31">
        <f>'تقرير المصروفات حسب الشهر'!M1070</f>
        <v>0</v>
      </c>
      <c r="L1112" s="292">
        <f>IFERROR(VLOOKUP(B1112,'تقرير المصروفات حسب الشهر'!$C$1143:$AD$1254,11,FALSE),0)</f>
        <v>0</v>
      </c>
      <c r="M1112" s="292">
        <f>IFERROR(VLOOKUP(B1112,'تقرير المصروفات حسب الشهر'!$C$1270:$AD$1381,11,FALSE),0)</f>
        <v>0</v>
      </c>
      <c r="N1112" s="31" t="e">
        <f>#REF!</f>
        <v>#REF!</v>
      </c>
      <c r="O1112" s="37" t="e">
        <f t="shared" si="27"/>
        <v>#REF!</v>
      </c>
    </row>
    <row r="1113" spans="2:15" ht="17.399999999999999">
      <c r="B1113" s="42" t="s">
        <v>80</v>
      </c>
      <c r="C1113" s="39">
        <f>'تقرير المصروفات حسب الشهر'!M64</f>
        <v>0</v>
      </c>
      <c r="D1113" s="31" t="e">
        <f>#REF!</f>
        <v>#REF!</v>
      </c>
      <c r="E1113" s="31" t="e">
        <f>#REF!</f>
        <v>#REF!</v>
      </c>
      <c r="F1113" s="31" t="e">
        <f>#REF!</f>
        <v>#REF!</v>
      </c>
      <c r="G1113" s="31" t="e">
        <f>#REF!</f>
        <v>#REF!</v>
      </c>
      <c r="H1113" s="31" t="e">
        <f>#REF!</f>
        <v>#REF!</v>
      </c>
      <c r="I1113" s="31">
        <f>'تقرير المصروفات حسب الشهر'!M817</f>
        <v>0</v>
      </c>
      <c r="J1113" s="31">
        <f>'تقرير المصروفات حسب الشهر'!M944</f>
        <v>0</v>
      </c>
      <c r="K1113" s="31">
        <f>'تقرير المصروفات حسب الشهر'!M1071</f>
        <v>0</v>
      </c>
      <c r="L1113" s="292">
        <f>IFERROR(VLOOKUP(B1113,'تقرير المصروفات حسب الشهر'!$C$1143:$AD$1254,11,FALSE),0)</f>
        <v>0</v>
      </c>
      <c r="M1113" s="292">
        <f>IFERROR(VLOOKUP(B1113,'تقرير المصروفات حسب الشهر'!$C$1270:$AD$1381,11,FALSE),0)</f>
        <v>0</v>
      </c>
      <c r="N1113" s="31" t="e">
        <f>#REF!</f>
        <v>#REF!</v>
      </c>
      <c r="O1113" s="37" t="e">
        <f t="shared" si="27"/>
        <v>#REF!</v>
      </c>
    </row>
    <row r="1114" spans="2:15" ht="17.399999999999999">
      <c r="B1114" s="42" t="s">
        <v>81</v>
      </c>
      <c r="C1114" s="39">
        <f>'تقرير المصروفات حسب الشهر'!M65</f>
        <v>0</v>
      </c>
      <c r="D1114" s="31" t="e">
        <f>#REF!</f>
        <v>#REF!</v>
      </c>
      <c r="E1114" s="31" t="e">
        <f>#REF!</f>
        <v>#REF!</v>
      </c>
      <c r="F1114" s="31" t="e">
        <f>#REF!</f>
        <v>#REF!</v>
      </c>
      <c r="G1114" s="31" t="e">
        <f>#REF!</f>
        <v>#REF!</v>
      </c>
      <c r="H1114" s="31" t="e">
        <f>#REF!</f>
        <v>#REF!</v>
      </c>
      <c r="I1114" s="31">
        <f>'تقرير المصروفات حسب الشهر'!M818</f>
        <v>0</v>
      </c>
      <c r="J1114" s="31">
        <f>'تقرير المصروفات حسب الشهر'!M945</f>
        <v>0</v>
      </c>
      <c r="K1114" s="31">
        <f>'تقرير المصروفات حسب الشهر'!M1072</f>
        <v>0</v>
      </c>
      <c r="L1114" s="292">
        <f>IFERROR(VLOOKUP(B1114,'تقرير المصروفات حسب الشهر'!$C$1143:$AD$1254,11,FALSE),0)</f>
        <v>0</v>
      </c>
      <c r="M1114" s="292">
        <f>IFERROR(VLOOKUP(B1114,'تقرير المصروفات حسب الشهر'!$C$1270:$AD$1381,11,FALSE),0)</f>
        <v>0</v>
      </c>
      <c r="N1114" s="31" t="e">
        <f>#REF!</f>
        <v>#REF!</v>
      </c>
      <c r="O1114" s="37" t="e">
        <f t="shared" si="27"/>
        <v>#REF!</v>
      </c>
    </row>
    <row r="1115" spans="2:15" ht="17.399999999999999">
      <c r="B1115" s="42" t="s">
        <v>82</v>
      </c>
      <c r="C1115" s="39">
        <f>'تقرير المصروفات حسب الشهر'!M66</f>
        <v>0</v>
      </c>
      <c r="D1115" s="31" t="e">
        <f>#REF!</f>
        <v>#REF!</v>
      </c>
      <c r="E1115" s="31" t="e">
        <f>#REF!</f>
        <v>#REF!</v>
      </c>
      <c r="F1115" s="31" t="e">
        <f>#REF!</f>
        <v>#REF!</v>
      </c>
      <c r="G1115" s="31" t="e">
        <f>#REF!</f>
        <v>#REF!</v>
      </c>
      <c r="H1115" s="31" t="e">
        <f>#REF!</f>
        <v>#REF!</v>
      </c>
      <c r="I1115" s="31">
        <f>'تقرير المصروفات حسب الشهر'!M819</f>
        <v>0</v>
      </c>
      <c r="J1115" s="31">
        <f>'تقرير المصروفات حسب الشهر'!M946</f>
        <v>0</v>
      </c>
      <c r="K1115" s="31">
        <f>'تقرير المصروفات حسب الشهر'!M1073</f>
        <v>0</v>
      </c>
      <c r="L1115" s="292">
        <f>IFERROR(VLOOKUP(B1115,'تقرير المصروفات حسب الشهر'!$C$1143:$AD$1254,11,FALSE),0)</f>
        <v>0</v>
      </c>
      <c r="M1115" s="292">
        <f>IFERROR(VLOOKUP(B1115,'تقرير المصروفات حسب الشهر'!$C$1270:$AD$1381,11,FALSE),0)</f>
        <v>0</v>
      </c>
      <c r="N1115" s="31" t="e">
        <f>#REF!</f>
        <v>#REF!</v>
      </c>
      <c r="O1115" s="37" t="e">
        <f t="shared" si="27"/>
        <v>#REF!</v>
      </c>
    </row>
    <row r="1116" spans="2:15" ht="17.399999999999999">
      <c r="B1116" s="42" t="s">
        <v>83</v>
      </c>
      <c r="C1116" s="39">
        <f>'تقرير المصروفات حسب الشهر'!M67</f>
        <v>0</v>
      </c>
      <c r="D1116" s="31" t="e">
        <f>#REF!</f>
        <v>#REF!</v>
      </c>
      <c r="E1116" s="31" t="e">
        <f>#REF!</f>
        <v>#REF!</v>
      </c>
      <c r="F1116" s="31" t="e">
        <f>#REF!</f>
        <v>#REF!</v>
      </c>
      <c r="G1116" s="31" t="e">
        <f>#REF!</f>
        <v>#REF!</v>
      </c>
      <c r="H1116" s="31" t="e">
        <f>#REF!</f>
        <v>#REF!</v>
      </c>
      <c r="I1116" s="31">
        <f>'تقرير المصروفات حسب الشهر'!M820</f>
        <v>0</v>
      </c>
      <c r="J1116" s="31">
        <f>'تقرير المصروفات حسب الشهر'!M947</f>
        <v>0</v>
      </c>
      <c r="K1116" s="31">
        <f>'تقرير المصروفات حسب الشهر'!M1074</f>
        <v>0</v>
      </c>
      <c r="L1116" s="292">
        <f>IFERROR(VLOOKUP(B1116,'تقرير المصروفات حسب الشهر'!$C$1143:$AD$1254,11,FALSE),0)</f>
        <v>0</v>
      </c>
      <c r="M1116" s="292">
        <f>IFERROR(VLOOKUP(B1116,'تقرير المصروفات حسب الشهر'!$C$1270:$AD$1381,11,FALSE),0)</f>
        <v>0</v>
      </c>
      <c r="N1116" s="31" t="e">
        <f>#REF!</f>
        <v>#REF!</v>
      </c>
      <c r="O1116" s="37" t="e">
        <f t="shared" si="27"/>
        <v>#REF!</v>
      </c>
    </row>
    <row r="1117" spans="2:15" ht="17.399999999999999">
      <c r="B1117" s="42" t="s">
        <v>84</v>
      </c>
      <c r="C1117" s="39">
        <f>'تقرير المصروفات حسب الشهر'!M68</f>
        <v>0</v>
      </c>
      <c r="D1117" s="31" t="e">
        <f>#REF!</f>
        <v>#REF!</v>
      </c>
      <c r="E1117" s="31" t="e">
        <f>#REF!</f>
        <v>#REF!</v>
      </c>
      <c r="F1117" s="31" t="e">
        <f>#REF!</f>
        <v>#REF!</v>
      </c>
      <c r="G1117" s="31" t="e">
        <f>#REF!</f>
        <v>#REF!</v>
      </c>
      <c r="H1117" s="31" t="e">
        <f>#REF!</f>
        <v>#REF!</v>
      </c>
      <c r="I1117" s="31">
        <f>'تقرير المصروفات حسب الشهر'!M821</f>
        <v>0</v>
      </c>
      <c r="J1117" s="31">
        <f>'تقرير المصروفات حسب الشهر'!M948</f>
        <v>300</v>
      </c>
      <c r="K1117" s="31">
        <f>'تقرير المصروفات حسب الشهر'!M1075</f>
        <v>200</v>
      </c>
      <c r="L1117" s="292">
        <f>IFERROR(VLOOKUP(B1117,'تقرير المصروفات حسب الشهر'!$C$1143:$AD$1254,11,FALSE),0)</f>
        <v>0</v>
      </c>
      <c r="M1117" s="292">
        <f>IFERROR(VLOOKUP(B1117,'تقرير المصروفات حسب الشهر'!$C$1270:$AD$1381,11,FALSE),0)</f>
        <v>0</v>
      </c>
      <c r="N1117" s="31" t="e">
        <f>#REF!</f>
        <v>#REF!</v>
      </c>
      <c r="O1117" s="37" t="e">
        <f t="shared" si="27"/>
        <v>#REF!</v>
      </c>
    </row>
    <row r="1118" spans="2:15" ht="17.399999999999999">
      <c r="B1118" s="42" t="s">
        <v>85</v>
      </c>
      <c r="C1118" s="39">
        <f>'تقرير المصروفات حسب الشهر'!M69</f>
        <v>316</v>
      </c>
      <c r="D1118" s="31" t="e">
        <f>#REF!</f>
        <v>#REF!</v>
      </c>
      <c r="E1118" s="31" t="e">
        <f>#REF!</f>
        <v>#REF!</v>
      </c>
      <c r="F1118" s="31" t="e">
        <f>#REF!</f>
        <v>#REF!</v>
      </c>
      <c r="G1118" s="31" t="e">
        <f>#REF!</f>
        <v>#REF!</v>
      </c>
      <c r="H1118" s="31" t="e">
        <f>#REF!</f>
        <v>#REF!</v>
      </c>
      <c r="I1118" s="31">
        <f>'تقرير المصروفات حسب الشهر'!M822</f>
        <v>0</v>
      </c>
      <c r="J1118" s="31">
        <f>'تقرير المصروفات حسب الشهر'!M949</f>
        <v>0</v>
      </c>
      <c r="K1118" s="31">
        <f>'تقرير المصروفات حسب الشهر'!M1076</f>
        <v>0</v>
      </c>
      <c r="L1118" s="292">
        <f>IFERROR(VLOOKUP(B1118,'تقرير المصروفات حسب الشهر'!$C$1143:$AD$1254,11,FALSE),0)</f>
        <v>200</v>
      </c>
      <c r="M1118" s="292">
        <f>IFERROR(VLOOKUP(B1118,'تقرير المصروفات حسب الشهر'!$C$1270:$AD$1381,11,FALSE),0)</f>
        <v>200</v>
      </c>
      <c r="N1118" s="31" t="e">
        <f>#REF!</f>
        <v>#REF!</v>
      </c>
      <c r="O1118" s="37" t="e">
        <f t="shared" si="27"/>
        <v>#REF!</v>
      </c>
    </row>
    <row r="1119" spans="2:15" ht="17.399999999999999">
      <c r="B1119" s="42" t="s">
        <v>86</v>
      </c>
      <c r="C1119" s="39">
        <f>'تقرير المصروفات حسب الشهر'!M70</f>
        <v>0</v>
      </c>
      <c r="D1119" s="31" t="e">
        <f>#REF!</f>
        <v>#REF!</v>
      </c>
      <c r="E1119" s="31" t="e">
        <f>#REF!</f>
        <v>#REF!</v>
      </c>
      <c r="F1119" s="31" t="e">
        <f>#REF!</f>
        <v>#REF!</v>
      </c>
      <c r="G1119" s="31" t="e">
        <f>#REF!</f>
        <v>#REF!</v>
      </c>
      <c r="H1119" s="31" t="e">
        <f>#REF!</f>
        <v>#REF!</v>
      </c>
      <c r="I1119" s="31">
        <f>'تقرير المصروفات حسب الشهر'!M823</f>
        <v>0</v>
      </c>
      <c r="J1119" s="31">
        <f>'تقرير المصروفات حسب الشهر'!M950</f>
        <v>0</v>
      </c>
      <c r="K1119" s="31">
        <f>'تقرير المصروفات حسب الشهر'!M1077</f>
        <v>0</v>
      </c>
      <c r="L1119" s="292">
        <f>IFERROR(VLOOKUP(B1119,'تقرير المصروفات حسب الشهر'!$C$1143:$AD$1254,11,FALSE),0)</f>
        <v>0</v>
      </c>
      <c r="M1119" s="292">
        <f>IFERROR(VLOOKUP(B1119,'تقرير المصروفات حسب الشهر'!$C$1270:$AD$1381,11,FALSE),0)</f>
        <v>0</v>
      </c>
      <c r="N1119" s="31" t="e">
        <f>#REF!</f>
        <v>#REF!</v>
      </c>
      <c r="O1119" s="37" t="e">
        <f t="shared" si="27"/>
        <v>#REF!</v>
      </c>
    </row>
    <row r="1120" spans="2:15" ht="17.399999999999999">
      <c r="B1120" s="42" t="s">
        <v>87</v>
      </c>
      <c r="C1120" s="39">
        <f>'تقرير المصروفات حسب الشهر'!M71</f>
        <v>0</v>
      </c>
      <c r="D1120" s="31" t="e">
        <f>#REF!</f>
        <v>#REF!</v>
      </c>
      <c r="E1120" s="31" t="e">
        <f>#REF!</f>
        <v>#REF!</v>
      </c>
      <c r="F1120" s="31" t="e">
        <f>#REF!</f>
        <v>#REF!</v>
      </c>
      <c r="G1120" s="31" t="e">
        <f>#REF!</f>
        <v>#REF!</v>
      </c>
      <c r="H1120" s="31" t="e">
        <f>#REF!</f>
        <v>#REF!</v>
      </c>
      <c r="I1120" s="31">
        <f>'تقرير المصروفات حسب الشهر'!M824</f>
        <v>0</v>
      </c>
      <c r="J1120" s="31">
        <f>'تقرير المصروفات حسب الشهر'!M951</f>
        <v>0</v>
      </c>
      <c r="K1120" s="31">
        <f>'تقرير المصروفات حسب الشهر'!M1078</f>
        <v>0</v>
      </c>
      <c r="L1120" s="292">
        <f>IFERROR(VLOOKUP(B1120,'تقرير المصروفات حسب الشهر'!$C$1143:$AD$1254,11,FALSE),0)</f>
        <v>0</v>
      </c>
      <c r="M1120" s="292">
        <f>IFERROR(VLOOKUP(B1120,'تقرير المصروفات حسب الشهر'!$C$1270:$AD$1381,11,FALSE),0)</f>
        <v>0</v>
      </c>
      <c r="N1120" s="31" t="e">
        <f>#REF!</f>
        <v>#REF!</v>
      </c>
      <c r="O1120" s="37" t="e">
        <f t="shared" si="27"/>
        <v>#REF!</v>
      </c>
    </row>
    <row r="1121" spans="2:15" ht="17.399999999999999">
      <c r="B1121" s="42" t="s">
        <v>88</v>
      </c>
      <c r="C1121" s="39">
        <f>'تقرير المصروفات حسب الشهر'!M72</f>
        <v>0</v>
      </c>
      <c r="D1121" s="31" t="e">
        <f>#REF!</f>
        <v>#REF!</v>
      </c>
      <c r="E1121" s="31" t="e">
        <f>#REF!</f>
        <v>#REF!</v>
      </c>
      <c r="F1121" s="31" t="e">
        <f>#REF!</f>
        <v>#REF!</v>
      </c>
      <c r="G1121" s="31" t="e">
        <f>#REF!</f>
        <v>#REF!</v>
      </c>
      <c r="H1121" s="31" t="e">
        <f>#REF!</f>
        <v>#REF!</v>
      </c>
      <c r="I1121" s="31">
        <f>'تقرير المصروفات حسب الشهر'!M825</f>
        <v>0</v>
      </c>
      <c r="J1121" s="31">
        <f>'تقرير المصروفات حسب الشهر'!M952</f>
        <v>0</v>
      </c>
      <c r="K1121" s="31">
        <f>'تقرير المصروفات حسب الشهر'!M1079</f>
        <v>0</v>
      </c>
      <c r="L1121" s="292">
        <f>IFERROR(VLOOKUP(B1121,'تقرير المصروفات حسب الشهر'!$C$1143:$AD$1254,11,FALSE),0)</f>
        <v>0</v>
      </c>
      <c r="M1121" s="292">
        <f>IFERROR(VLOOKUP(B1121,'تقرير المصروفات حسب الشهر'!$C$1270:$AD$1381,11,FALSE),0)</f>
        <v>0</v>
      </c>
      <c r="N1121" s="31" t="e">
        <f>#REF!</f>
        <v>#REF!</v>
      </c>
      <c r="O1121" s="37" t="e">
        <f t="shared" si="27"/>
        <v>#REF!</v>
      </c>
    </row>
    <row r="1122" spans="2:15" ht="17.399999999999999">
      <c r="B1122" s="42" t="s">
        <v>89</v>
      </c>
      <c r="C1122" s="39">
        <f>'تقرير المصروفات حسب الشهر'!M73</f>
        <v>0</v>
      </c>
      <c r="D1122" s="31" t="e">
        <f>#REF!</f>
        <v>#REF!</v>
      </c>
      <c r="E1122" s="31" t="e">
        <f>#REF!</f>
        <v>#REF!</v>
      </c>
      <c r="F1122" s="31" t="e">
        <f>#REF!</f>
        <v>#REF!</v>
      </c>
      <c r="G1122" s="31" t="e">
        <f>#REF!</f>
        <v>#REF!</v>
      </c>
      <c r="H1122" s="31" t="e">
        <f>#REF!</f>
        <v>#REF!</v>
      </c>
      <c r="I1122" s="31">
        <f>'تقرير المصروفات حسب الشهر'!M826</f>
        <v>979</v>
      </c>
      <c r="J1122" s="31">
        <f>'تقرير المصروفات حسب الشهر'!M953</f>
        <v>4439.3999999999996</v>
      </c>
      <c r="K1122" s="31">
        <f>'تقرير المصروفات حسب الشهر'!M1080</f>
        <v>0</v>
      </c>
      <c r="L1122" s="292">
        <f>IFERROR(VLOOKUP(B1122,'تقرير المصروفات حسب الشهر'!$C$1143:$AD$1254,11,FALSE),0)</f>
        <v>0</v>
      </c>
      <c r="M1122" s="292">
        <f>IFERROR(VLOOKUP(B1122,'تقرير المصروفات حسب الشهر'!$C$1270:$AD$1381,11,FALSE),0)</f>
        <v>0</v>
      </c>
      <c r="N1122" s="31" t="e">
        <f>#REF!</f>
        <v>#REF!</v>
      </c>
      <c r="O1122" s="37" t="e">
        <f t="shared" si="27"/>
        <v>#REF!</v>
      </c>
    </row>
    <row r="1123" spans="2:15" ht="17.399999999999999">
      <c r="B1123" s="42" t="s">
        <v>33</v>
      </c>
      <c r="C1123" s="39">
        <f>'تقرير المصروفات حسب الشهر'!M74</f>
        <v>0</v>
      </c>
      <c r="D1123" s="31" t="e">
        <f>#REF!</f>
        <v>#REF!</v>
      </c>
      <c r="E1123" s="31" t="e">
        <f>#REF!</f>
        <v>#REF!</v>
      </c>
      <c r="F1123" s="31" t="e">
        <f>#REF!</f>
        <v>#REF!</v>
      </c>
      <c r="G1123" s="31" t="e">
        <f>#REF!</f>
        <v>#REF!</v>
      </c>
      <c r="H1123" s="31" t="e">
        <f>#REF!</f>
        <v>#REF!</v>
      </c>
      <c r="I1123" s="31">
        <f>'تقرير المصروفات حسب الشهر'!M827</f>
        <v>0</v>
      </c>
      <c r="J1123" s="31">
        <f>'تقرير المصروفات حسب الشهر'!M954</f>
        <v>0</v>
      </c>
      <c r="K1123" s="31">
        <f>'تقرير المصروفات حسب الشهر'!M1081</f>
        <v>0</v>
      </c>
      <c r="L1123" s="292">
        <f>IFERROR(VLOOKUP(B1123,'تقرير المصروفات حسب الشهر'!$C$1143:$AD$1254,11,FALSE),0)</f>
        <v>260</v>
      </c>
      <c r="M1123" s="292">
        <f>IFERROR(VLOOKUP(B1123,'تقرير المصروفات حسب الشهر'!$C$1270:$AD$1381,11,FALSE),0)</f>
        <v>1105.82</v>
      </c>
      <c r="N1123" s="31" t="e">
        <f>#REF!</f>
        <v>#REF!</v>
      </c>
      <c r="O1123" s="37" t="e">
        <f t="shared" si="27"/>
        <v>#REF!</v>
      </c>
    </row>
    <row r="1124" spans="2:15" ht="17.399999999999999">
      <c r="B1124" s="42" t="s">
        <v>90</v>
      </c>
      <c r="C1124" s="39">
        <f>'تقرير المصروفات حسب الشهر'!M75</f>
        <v>0</v>
      </c>
      <c r="D1124" s="31" t="e">
        <f>#REF!</f>
        <v>#REF!</v>
      </c>
      <c r="E1124" s="31" t="e">
        <f>#REF!</f>
        <v>#REF!</v>
      </c>
      <c r="F1124" s="31" t="e">
        <f>#REF!</f>
        <v>#REF!</v>
      </c>
      <c r="G1124" s="31" t="e">
        <f>#REF!</f>
        <v>#REF!</v>
      </c>
      <c r="H1124" s="31" t="e">
        <f>#REF!</f>
        <v>#REF!</v>
      </c>
      <c r="I1124" s="31">
        <f>'تقرير المصروفات حسب الشهر'!M828</f>
        <v>0</v>
      </c>
      <c r="J1124" s="31">
        <f>'تقرير المصروفات حسب الشهر'!M955</f>
        <v>0</v>
      </c>
      <c r="K1124" s="31">
        <f>'تقرير المصروفات حسب الشهر'!M1082</f>
        <v>0</v>
      </c>
      <c r="L1124" s="292">
        <f>IFERROR(VLOOKUP(B1124,'تقرير المصروفات حسب الشهر'!$C$1143:$AD$1254,11,FALSE),0)</f>
        <v>0</v>
      </c>
      <c r="M1124" s="292">
        <f>IFERROR(VLOOKUP(B1124,'تقرير المصروفات حسب الشهر'!$C$1270:$AD$1381,11,FALSE),0)</f>
        <v>0</v>
      </c>
      <c r="N1124" s="31" t="e">
        <f>#REF!</f>
        <v>#REF!</v>
      </c>
      <c r="O1124" s="37" t="e">
        <f t="shared" ref="O1124:O1167" si="28">SUM(C1124:N1124)</f>
        <v>#REF!</v>
      </c>
    </row>
    <row r="1125" spans="2:15" ht="17.399999999999999">
      <c r="B1125" s="42" t="s">
        <v>91</v>
      </c>
      <c r="C1125" s="39">
        <f>'تقرير المصروفات حسب الشهر'!M76</f>
        <v>0</v>
      </c>
      <c r="D1125" s="31" t="e">
        <f>#REF!</f>
        <v>#REF!</v>
      </c>
      <c r="E1125" s="31" t="e">
        <f>#REF!</f>
        <v>#REF!</v>
      </c>
      <c r="F1125" s="31" t="e">
        <f>#REF!</f>
        <v>#REF!</v>
      </c>
      <c r="G1125" s="31" t="e">
        <f>#REF!</f>
        <v>#REF!</v>
      </c>
      <c r="H1125" s="31" t="e">
        <f>#REF!</f>
        <v>#REF!</v>
      </c>
      <c r="I1125" s="31">
        <f>'تقرير المصروفات حسب الشهر'!M829</f>
        <v>0</v>
      </c>
      <c r="J1125" s="31">
        <f>'تقرير المصروفات حسب الشهر'!M956</f>
        <v>0</v>
      </c>
      <c r="K1125" s="31">
        <f>'تقرير المصروفات حسب الشهر'!M1083</f>
        <v>0</v>
      </c>
      <c r="L1125" s="292">
        <f>IFERROR(VLOOKUP(B1125,'تقرير المصروفات حسب الشهر'!$C$1143:$AD$1254,11,FALSE),0)</f>
        <v>0</v>
      </c>
      <c r="M1125" s="292">
        <f>IFERROR(VLOOKUP(B1125,'تقرير المصروفات حسب الشهر'!$C$1270:$AD$1381,11,FALSE),0)</f>
        <v>0</v>
      </c>
      <c r="N1125" s="31" t="e">
        <f>#REF!</f>
        <v>#REF!</v>
      </c>
      <c r="O1125" s="37" t="e">
        <f t="shared" si="28"/>
        <v>#REF!</v>
      </c>
    </row>
    <row r="1126" spans="2:15" ht="17.399999999999999">
      <c r="B1126" s="42" t="s">
        <v>92</v>
      </c>
      <c r="C1126" s="39">
        <f>'تقرير المصروفات حسب الشهر'!M77</f>
        <v>0</v>
      </c>
      <c r="D1126" s="31" t="e">
        <f>#REF!</f>
        <v>#REF!</v>
      </c>
      <c r="E1126" s="31" t="e">
        <f>#REF!</f>
        <v>#REF!</v>
      </c>
      <c r="F1126" s="31" t="e">
        <f>#REF!</f>
        <v>#REF!</v>
      </c>
      <c r="G1126" s="31" t="e">
        <f>#REF!</f>
        <v>#REF!</v>
      </c>
      <c r="H1126" s="31" t="e">
        <f>#REF!</f>
        <v>#REF!</v>
      </c>
      <c r="I1126" s="31">
        <f>'تقرير المصروفات حسب الشهر'!M830</f>
        <v>0</v>
      </c>
      <c r="J1126" s="31">
        <f>'تقرير المصروفات حسب الشهر'!M957</f>
        <v>0</v>
      </c>
      <c r="K1126" s="31">
        <f>'تقرير المصروفات حسب الشهر'!M1084</f>
        <v>0</v>
      </c>
      <c r="L1126" s="292">
        <f>IFERROR(VLOOKUP(B1126,'تقرير المصروفات حسب الشهر'!$C$1143:$AD$1254,11,FALSE),0)</f>
        <v>0</v>
      </c>
      <c r="M1126" s="292">
        <f>IFERROR(VLOOKUP(B1126,'تقرير المصروفات حسب الشهر'!$C$1270:$AD$1381,11,FALSE),0)</f>
        <v>0</v>
      </c>
      <c r="N1126" s="31" t="e">
        <f>#REF!</f>
        <v>#REF!</v>
      </c>
      <c r="O1126" s="37" t="e">
        <f t="shared" si="28"/>
        <v>#REF!</v>
      </c>
    </row>
    <row r="1127" spans="2:15" ht="17.399999999999999">
      <c r="B1127" s="42" t="s">
        <v>93</v>
      </c>
      <c r="C1127" s="39">
        <f>'تقرير المصروفات حسب الشهر'!M78</f>
        <v>0</v>
      </c>
      <c r="D1127" s="31" t="e">
        <f>#REF!</f>
        <v>#REF!</v>
      </c>
      <c r="E1127" s="31" t="e">
        <f>#REF!</f>
        <v>#REF!</v>
      </c>
      <c r="F1127" s="31" t="e">
        <f>#REF!</f>
        <v>#REF!</v>
      </c>
      <c r="G1127" s="31" t="e">
        <f>#REF!</f>
        <v>#REF!</v>
      </c>
      <c r="H1127" s="31" t="e">
        <f>#REF!</f>
        <v>#REF!</v>
      </c>
      <c r="I1127" s="31">
        <f>'تقرير المصروفات حسب الشهر'!M831</f>
        <v>2000</v>
      </c>
      <c r="J1127" s="31">
        <f>'تقرير المصروفات حسب الشهر'!M958</f>
        <v>2000</v>
      </c>
      <c r="K1127" s="31">
        <f>'تقرير المصروفات حسب الشهر'!M1085</f>
        <v>2000</v>
      </c>
      <c r="L1127" s="292">
        <f>IFERROR(VLOOKUP(B1127,'تقرير المصروفات حسب الشهر'!$C$1143:$AD$1254,11,FALSE),0)</f>
        <v>0</v>
      </c>
      <c r="M1127" s="292">
        <f>IFERROR(VLOOKUP(B1127,'تقرير المصروفات حسب الشهر'!$C$1270:$AD$1381,11,FALSE),0)</f>
        <v>0</v>
      </c>
      <c r="N1127" s="31" t="e">
        <f>#REF!</f>
        <v>#REF!</v>
      </c>
      <c r="O1127" s="37" t="e">
        <f t="shared" si="28"/>
        <v>#REF!</v>
      </c>
    </row>
    <row r="1128" spans="2:15" ht="17.399999999999999">
      <c r="B1128" s="42" t="s">
        <v>94</v>
      </c>
      <c r="C1128" s="39">
        <f>'تقرير المصروفات حسب الشهر'!M79</f>
        <v>2000</v>
      </c>
      <c r="D1128" s="31" t="e">
        <f>#REF!</f>
        <v>#REF!</v>
      </c>
      <c r="E1128" s="31" t="e">
        <f>#REF!</f>
        <v>#REF!</v>
      </c>
      <c r="F1128" s="31" t="e">
        <f>#REF!</f>
        <v>#REF!</v>
      </c>
      <c r="G1128" s="31" t="e">
        <f>#REF!</f>
        <v>#REF!</v>
      </c>
      <c r="H1128" s="31" t="e">
        <f>#REF!</f>
        <v>#REF!</v>
      </c>
      <c r="I1128" s="31">
        <f>'تقرير المصروفات حسب الشهر'!M832</f>
        <v>0</v>
      </c>
      <c r="J1128" s="31">
        <f>'تقرير المصروفات حسب الشهر'!M959</f>
        <v>0</v>
      </c>
      <c r="K1128" s="31">
        <f>'تقرير المصروفات حسب الشهر'!M1086</f>
        <v>0</v>
      </c>
      <c r="L1128" s="292">
        <f>IFERROR(VLOOKUP(B1128,'تقرير المصروفات حسب الشهر'!$C$1143:$AD$1254,11,FALSE),0)</f>
        <v>2000</v>
      </c>
      <c r="M1128" s="292">
        <f>IFERROR(VLOOKUP(B1128,'تقرير المصروفات حسب الشهر'!$C$1270:$AD$1381,11,FALSE),0)</f>
        <v>2000</v>
      </c>
      <c r="N1128" s="31" t="e">
        <f>#REF!</f>
        <v>#REF!</v>
      </c>
      <c r="O1128" s="37" t="e">
        <f t="shared" si="28"/>
        <v>#REF!</v>
      </c>
    </row>
    <row r="1129" spans="2:15" ht="17.399999999999999">
      <c r="B1129" s="42" t="s">
        <v>95</v>
      </c>
      <c r="C1129" s="39">
        <f>'تقرير المصروفات حسب الشهر'!M80</f>
        <v>0</v>
      </c>
      <c r="D1129" s="31" t="e">
        <f>#REF!</f>
        <v>#REF!</v>
      </c>
      <c r="E1129" s="31" t="e">
        <f>#REF!</f>
        <v>#REF!</v>
      </c>
      <c r="F1129" s="31" t="e">
        <f>#REF!</f>
        <v>#REF!</v>
      </c>
      <c r="G1129" s="31" t="e">
        <f>#REF!</f>
        <v>#REF!</v>
      </c>
      <c r="H1129" s="31" t="e">
        <f>#REF!</f>
        <v>#REF!</v>
      </c>
      <c r="I1129" s="31">
        <f>'تقرير المصروفات حسب الشهر'!M833</f>
        <v>668</v>
      </c>
      <c r="J1129" s="31">
        <f>'تقرير المصروفات حسب الشهر'!M960</f>
        <v>1331.8</v>
      </c>
      <c r="K1129" s="31">
        <f>'تقرير المصروفات حسب الشهر'!M1087</f>
        <v>0</v>
      </c>
      <c r="L1129" s="292">
        <f>IFERROR(VLOOKUP(B1129,'تقرير المصروفات حسب الشهر'!$C$1143:$AD$1254,11,FALSE),0)</f>
        <v>0</v>
      </c>
      <c r="M1129" s="292">
        <f>IFERROR(VLOOKUP(B1129,'تقرير المصروفات حسب الشهر'!$C$1270:$AD$1381,11,FALSE),0)</f>
        <v>0</v>
      </c>
      <c r="N1129" s="31" t="e">
        <f>#REF!</f>
        <v>#REF!</v>
      </c>
      <c r="O1129" s="37" t="e">
        <f t="shared" si="28"/>
        <v>#REF!</v>
      </c>
    </row>
    <row r="1130" spans="2:15" ht="17.399999999999999">
      <c r="B1130" s="42" t="s">
        <v>96</v>
      </c>
      <c r="C1130" s="39">
        <f>'تقرير المصروفات حسب الشهر'!M81</f>
        <v>0</v>
      </c>
      <c r="D1130" s="31" t="e">
        <f>#REF!</f>
        <v>#REF!</v>
      </c>
      <c r="E1130" s="31" t="e">
        <f>#REF!</f>
        <v>#REF!</v>
      </c>
      <c r="F1130" s="31" t="e">
        <f>#REF!</f>
        <v>#REF!</v>
      </c>
      <c r="G1130" s="31" t="e">
        <f>#REF!</f>
        <v>#REF!</v>
      </c>
      <c r="H1130" s="31" t="e">
        <f>#REF!</f>
        <v>#REF!</v>
      </c>
      <c r="I1130" s="31">
        <f>'تقرير المصروفات حسب الشهر'!M834</f>
        <v>400.96</v>
      </c>
      <c r="J1130" s="31">
        <f>'تقرير المصروفات حسب الشهر'!M961</f>
        <v>813.75</v>
      </c>
      <c r="K1130" s="31">
        <f>'تقرير المصروفات حسب الشهر'!M1088</f>
        <v>808.24</v>
      </c>
      <c r="L1130" s="292">
        <f>IFERROR(VLOOKUP(B1130,'تقرير المصروفات حسب الشهر'!$C$1143:$AD$1254,11,FALSE),0)</f>
        <v>0</v>
      </c>
      <c r="M1130" s="292">
        <f>IFERROR(VLOOKUP(B1130,'تقرير المصروفات حسب الشهر'!$C$1270:$AD$1381,11,FALSE),0)</f>
        <v>0</v>
      </c>
      <c r="N1130" s="31" t="e">
        <f>#REF!</f>
        <v>#REF!</v>
      </c>
      <c r="O1130" s="37" t="e">
        <f t="shared" si="28"/>
        <v>#REF!</v>
      </c>
    </row>
    <row r="1131" spans="2:15" ht="17.399999999999999">
      <c r="B1131" s="42" t="s">
        <v>97</v>
      </c>
      <c r="C1131" s="39">
        <f>'تقرير المصروفات حسب الشهر'!M82</f>
        <v>296.31</v>
      </c>
      <c r="D1131" s="31" t="e">
        <f>#REF!</f>
        <v>#REF!</v>
      </c>
      <c r="E1131" s="31" t="e">
        <f>#REF!</f>
        <v>#REF!</v>
      </c>
      <c r="F1131" s="31" t="e">
        <f>#REF!</f>
        <v>#REF!</v>
      </c>
      <c r="G1131" s="31" t="e">
        <f>#REF!</f>
        <v>#REF!</v>
      </c>
      <c r="H1131" s="31" t="e">
        <f>#REF!</f>
        <v>#REF!</v>
      </c>
      <c r="I1131" s="31">
        <f>'تقرير المصروفات حسب الشهر'!M835</f>
        <v>0</v>
      </c>
      <c r="J1131" s="31">
        <f>'تقرير المصروفات حسب الشهر'!M962</f>
        <v>0</v>
      </c>
      <c r="K1131" s="31">
        <f>'تقرير المصروفات حسب الشهر'!M1089</f>
        <v>2130</v>
      </c>
      <c r="L1131" s="292">
        <f>IFERROR(VLOOKUP(B1131,'تقرير المصروفات حسب الشهر'!$C$1143:$AD$1254,11,FALSE),0)</f>
        <v>808.24</v>
      </c>
      <c r="M1131" s="292">
        <f>IFERROR(VLOOKUP(B1131,'تقرير المصروفات حسب الشهر'!$C$1270:$AD$1381,11,FALSE),0)</f>
        <v>808.24</v>
      </c>
      <c r="N1131" s="31" t="e">
        <f>#REF!</f>
        <v>#REF!</v>
      </c>
      <c r="O1131" s="37" t="e">
        <f t="shared" si="28"/>
        <v>#REF!</v>
      </c>
    </row>
    <row r="1132" spans="2:15" ht="17.399999999999999">
      <c r="B1132" s="42" t="s">
        <v>192</v>
      </c>
      <c r="C1132" s="39">
        <f>'تقرير المصروفات حسب الشهر'!M83</f>
        <v>0</v>
      </c>
      <c r="D1132" s="31" t="e">
        <f>#REF!</f>
        <v>#REF!</v>
      </c>
      <c r="E1132" s="31" t="e">
        <f>#REF!</f>
        <v>#REF!</v>
      </c>
      <c r="F1132" s="31" t="e">
        <f>#REF!</f>
        <v>#REF!</v>
      </c>
      <c r="G1132" s="31" t="e">
        <f>#REF!</f>
        <v>#REF!</v>
      </c>
      <c r="H1132" s="31" t="e">
        <f>#REF!</f>
        <v>#REF!</v>
      </c>
      <c r="I1132" s="31">
        <f>'تقرير المصروفات حسب الشهر'!M836</f>
        <v>0</v>
      </c>
      <c r="J1132" s="31">
        <f>'تقرير المصروفات حسب الشهر'!M963</f>
        <v>0</v>
      </c>
      <c r="K1132" s="31">
        <f>'تقرير المصروفات حسب الشهر'!M1090</f>
        <v>0</v>
      </c>
      <c r="L1132" s="292">
        <f>IFERROR(VLOOKUP(B1132,'تقرير المصروفات حسب الشهر'!$C$1143:$AD$1254,11,FALSE),0)</f>
        <v>1065</v>
      </c>
      <c r="M1132" s="292">
        <f>IFERROR(VLOOKUP(B1132,'تقرير المصروفات حسب الشهر'!$C$1270:$AD$1381,11,FALSE),0)</f>
        <v>1065</v>
      </c>
      <c r="N1132" s="31" t="e">
        <f>#REF!</f>
        <v>#REF!</v>
      </c>
      <c r="O1132" s="37" t="e">
        <f t="shared" si="28"/>
        <v>#REF!</v>
      </c>
    </row>
    <row r="1133" spans="2:15" ht="17.399999999999999">
      <c r="B1133" s="42" t="s">
        <v>98</v>
      </c>
      <c r="C1133" s="39">
        <f>'تقرير المصروفات حسب الشهر'!M84</f>
        <v>0</v>
      </c>
      <c r="D1133" s="31" t="e">
        <f>#REF!</f>
        <v>#REF!</v>
      </c>
      <c r="E1133" s="31" t="e">
        <f>#REF!</f>
        <v>#REF!</v>
      </c>
      <c r="F1133" s="31" t="e">
        <f>#REF!</f>
        <v>#REF!</v>
      </c>
      <c r="G1133" s="31" t="e">
        <f>#REF!</f>
        <v>#REF!</v>
      </c>
      <c r="H1133" s="31" t="e">
        <f>#REF!</f>
        <v>#REF!</v>
      </c>
      <c r="I1133" s="31">
        <f>'تقرير المصروفات حسب الشهر'!M837</f>
        <v>0</v>
      </c>
      <c r="J1133" s="31">
        <f>'تقرير المصروفات حسب الشهر'!M964</f>
        <v>0</v>
      </c>
      <c r="K1133" s="31">
        <f>'تقرير المصروفات حسب الشهر'!M1091</f>
        <v>0</v>
      </c>
      <c r="L1133" s="292">
        <f>IFERROR(VLOOKUP(B1133,'تقرير المصروفات حسب الشهر'!$C$1143:$AD$1254,11,FALSE),0)</f>
        <v>0</v>
      </c>
      <c r="M1133" s="292">
        <f>IFERROR(VLOOKUP(B1133,'تقرير المصروفات حسب الشهر'!$C$1270:$AD$1381,11,FALSE),0)</f>
        <v>0</v>
      </c>
      <c r="N1133" s="31" t="e">
        <f>#REF!</f>
        <v>#REF!</v>
      </c>
      <c r="O1133" s="37" t="e">
        <f t="shared" si="28"/>
        <v>#REF!</v>
      </c>
    </row>
    <row r="1134" spans="2:15" ht="17.399999999999999">
      <c r="B1134" s="42" t="s">
        <v>99</v>
      </c>
      <c r="C1134" s="39">
        <f>'تقرير المصروفات حسب الشهر'!M85</f>
        <v>0</v>
      </c>
      <c r="D1134" s="31" t="e">
        <f>#REF!</f>
        <v>#REF!</v>
      </c>
      <c r="E1134" s="31" t="e">
        <f>#REF!</f>
        <v>#REF!</v>
      </c>
      <c r="F1134" s="31" t="e">
        <f>#REF!</f>
        <v>#REF!</v>
      </c>
      <c r="G1134" s="31" t="e">
        <f>#REF!</f>
        <v>#REF!</v>
      </c>
      <c r="H1134" s="31" t="e">
        <f>#REF!</f>
        <v>#REF!</v>
      </c>
      <c r="I1134" s="31">
        <f>'تقرير المصروفات حسب الشهر'!M838</f>
        <v>0</v>
      </c>
      <c r="J1134" s="31">
        <f>'تقرير المصروفات حسب الشهر'!M965</f>
        <v>0</v>
      </c>
      <c r="K1134" s="31">
        <f>'تقرير المصروفات حسب الشهر'!M1092</f>
        <v>0</v>
      </c>
      <c r="L1134" s="292">
        <f>IFERROR(VLOOKUP(B1134,'تقرير المصروفات حسب الشهر'!$C$1143:$AD$1254,11,FALSE),0)</f>
        <v>0</v>
      </c>
      <c r="M1134" s="292">
        <f>IFERROR(VLOOKUP(B1134,'تقرير المصروفات حسب الشهر'!$C$1270:$AD$1381,11,FALSE),0)</f>
        <v>0</v>
      </c>
      <c r="N1134" s="31" t="e">
        <f>#REF!</f>
        <v>#REF!</v>
      </c>
      <c r="O1134" s="37" t="e">
        <f t="shared" si="28"/>
        <v>#REF!</v>
      </c>
    </row>
    <row r="1135" spans="2:15" ht="17.399999999999999">
      <c r="B1135" s="42" t="s">
        <v>100</v>
      </c>
      <c r="C1135" s="39">
        <f>'تقرير المصروفات حسب الشهر'!M86</f>
        <v>0</v>
      </c>
      <c r="D1135" s="31" t="e">
        <f>#REF!</f>
        <v>#REF!</v>
      </c>
      <c r="E1135" s="31" t="e">
        <f>#REF!</f>
        <v>#REF!</v>
      </c>
      <c r="F1135" s="31" t="e">
        <f>#REF!</f>
        <v>#REF!</v>
      </c>
      <c r="G1135" s="31" t="e">
        <f>#REF!</f>
        <v>#REF!</v>
      </c>
      <c r="H1135" s="31" t="e">
        <f>#REF!</f>
        <v>#REF!</v>
      </c>
      <c r="I1135" s="31">
        <f>'تقرير المصروفات حسب الشهر'!M839</f>
        <v>0</v>
      </c>
      <c r="J1135" s="31">
        <f>'تقرير المصروفات حسب الشهر'!M966</f>
        <v>0</v>
      </c>
      <c r="K1135" s="31">
        <f>'تقرير المصروفات حسب الشهر'!M1093</f>
        <v>0</v>
      </c>
      <c r="L1135" s="292">
        <f>IFERROR(VLOOKUP(B1135,'تقرير المصروفات حسب الشهر'!$C$1143:$AD$1254,11,FALSE),0)</f>
        <v>0</v>
      </c>
      <c r="M1135" s="292">
        <f>IFERROR(VLOOKUP(B1135,'تقرير المصروفات حسب الشهر'!$C$1270:$AD$1381,11,FALSE),0)</f>
        <v>0</v>
      </c>
      <c r="N1135" s="31" t="e">
        <f>#REF!</f>
        <v>#REF!</v>
      </c>
      <c r="O1135" s="37" t="e">
        <f t="shared" si="28"/>
        <v>#REF!</v>
      </c>
    </row>
    <row r="1136" spans="2:15" ht="17.399999999999999">
      <c r="B1136" s="42" t="s">
        <v>101</v>
      </c>
      <c r="C1136" s="39">
        <f>'تقرير المصروفات حسب الشهر'!M87</f>
        <v>0</v>
      </c>
      <c r="D1136" s="31" t="e">
        <f>#REF!</f>
        <v>#REF!</v>
      </c>
      <c r="E1136" s="31" t="e">
        <f>#REF!</f>
        <v>#REF!</v>
      </c>
      <c r="F1136" s="31" t="e">
        <f>#REF!</f>
        <v>#REF!</v>
      </c>
      <c r="G1136" s="31" t="e">
        <f>#REF!</f>
        <v>#REF!</v>
      </c>
      <c r="H1136" s="31" t="e">
        <f>#REF!</f>
        <v>#REF!</v>
      </c>
      <c r="I1136" s="31">
        <f>'تقرير المصروفات حسب الشهر'!M840</f>
        <v>1557.25</v>
      </c>
      <c r="J1136" s="31">
        <f>'تقرير المصروفات حسب الشهر'!M967</f>
        <v>1726.56</v>
      </c>
      <c r="K1136" s="31">
        <f>'تقرير المصروفات حسب الشهر'!M1094</f>
        <v>2113.11</v>
      </c>
      <c r="L1136" s="292">
        <f>IFERROR(VLOOKUP(B1136,'تقرير المصروفات حسب الشهر'!$C$1143:$AD$1254,11,FALSE),0)</f>
        <v>0</v>
      </c>
      <c r="M1136" s="292">
        <f>IFERROR(VLOOKUP(B1136,'تقرير المصروفات حسب الشهر'!$C$1270:$AD$1381,11,FALSE),0)</f>
        <v>0</v>
      </c>
      <c r="N1136" s="31" t="e">
        <f>#REF!</f>
        <v>#REF!</v>
      </c>
      <c r="O1136" s="37" t="e">
        <f t="shared" si="28"/>
        <v>#REF!</v>
      </c>
    </row>
    <row r="1137" spans="2:15" ht="17.399999999999999">
      <c r="B1137" s="42" t="s">
        <v>102</v>
      </c>
      <c r="C1137" s="39">
        <f>'تقرير المصروفات حسب الشهر'!M88</f>
        <v>895.73</v>
      </c>
      <c r="D1137" s="31" t="e">
        <f>#REF!</f>
        <v>#REF!</v>
      </c>
      <c r="E1137" s="31" t="e">
        <f>#REF!</f>
        <v>#REF!</v>
      </c>
      <c r="F1137" s="31" t="e">
        <f>#REF!</f>
        <v>#REF!</v>
      </c>
      <c r="G1137" s="31" t="e">
        <f>#REF!</f>
        <v>#REF!</v>
      </c>
      <c r="H1137" s="31" t="e">
        <f>#REF!</f>
        <v>#REF!</v>
      </c>
      <c r="I1137" s="31">
        <f>'تقرير المصروفات حسب الشهر'!M841</f>
        <v>0</v>
      </c>
      <c r="J1137" s="31">
        <f>'تقرير المصروفات حسب الشهر'!M968</f>
        <v>0</v>
      </c>
      <c r="K1137" s="31">
        <f>'تقرير المصروفات حسب الشهر'!M1095</f>
        <v>0</v>
      </c>
      <c r="L1137" s="292">
        <f>IFERROR(VLOOKUP(B1137,'تقرير المصروفات حسب الشهر'!$C$1143:$AD$1254,11,FALSE),0)</f>
        <v>2141.98</v>
      </c>
      <c r="M1137" s="292">
        <f>IFERROR(VLOOKUP(B1137,'تقرير المصروفات حسب الشهر'!$C$1270:$AD$1381,11,FALSE),0)</f>
        <v>2305.2800000000002</v>
      </c>
      <c r="N1137" s="31" t="e">
        <f>#REF!</f>
        <v>#REF!</v>
      </c>
      <c r="O1137" s="37" t="e">
        <f t="shared" si="28"/>
        <v>#REF!</v>
      </c>
    </row>
    <row r="1138" spans="2:15" ht="17.399999999999999">
      <c r="B1138" s="42" t="s">
        <v>103</v>
      </c>
      <c r="C1138" s="39">
        <f>'تقرير المصروفات حسب الشهر'!M89</f>
        <v>0</v>
      </c>
      <c r="D1138" s="31" t="e">
        <f>#REF!</f>
        <v>#REF!</v>
      </c>
      <c r="E1138" s="31" t="e">
        <f>#REF!</f>
        <v>#REF!</v>
      </c>
      <c r="F1138" s="31" t="e">
        <f>#REF!</f>
        <v>#REF!</v>
      </c>
      <c r="G1138" s="31" t="e">
        <f>#REF!</f>
        <v>#REF!</v>
      </c>
      <c r="H1138" s="31" t="e">
        <f>#REF!</f>
        <v>#REF!</v>
      </c>
      <c r="I1138" s="31">
        <f>'تقرير المصروفات حسب الشهر'!M842</f>
        <v>417.72</v>
      </c>
      <c r="J1138" s="31">
        <f>'تقرير المصروفات حسب الشهر'!M969</f>
        <v>615.29999999999995</v>
      </c>
      <c r="K1138" s="31">
        <f>'تقرير المصروفات حسب الشهر'!M1096</f>
        <v>818.9</v>
      </c>
      <c r="L1138" s="292">
        <f>IFERROR(VLOOKUP(B1138,'تقرير المصروفات حسب الشهر'!$C$1143:$AD$1254,11,FALSE),0)</f>
        <v>0</v>
      </c>
      <c r="M1138" s="292">
        <f>IFERROR(VLOOKUP(B1138,'تقرير المصروفات حسب الشهر'!$C$1270:$AD$1381,11,FALSE),0)</f>
        <v>0</v>
      </c>
      <c r="N1138" s="31" t="e">
        <f>#REF!</f>
        <v>#REF!</v>
      </c>
      <c r="O1138" s="37" t="e">
        <f t="shared" si="28"/>
        <v>#REF!</v>
      </c>
    </row>
    <row r="1139" spans="2:15" ht="17.399999999999999">
      <c r="B1139" s="42" t="s">
        <v>104</v>
      </c>
      <c r="C1139" s="39">
        <f>'تقرير المصروفات حسب الشهر'!M90</f>
        <v>417.72</v>
      </c>
      <c r="D1139" s="31" t="e">
        <f>#REF!</f>
        <v>#REF!</v>
      </c>
      <c r="E1139" s="31" t="e">
        <f>#REF!</f>
        <v>#REF!</v>
      </c>
      <c r="F1139" s="31" t="e">
        <f>#REF!</f>
        <v>#REF!</v>
      </c>
      <c r="G1139" s="31" t="e">
        <f>#REF!</f>
        <v>#REF!</v>
      </c>
      <c r="H1139" s="31" t="e">
        <f>#REF!</f>
        <v>#REF!</v>
      </c>
      <c r="I1139" s="31">
        <f>'تقرير المصروفات حسب الشهر'!M843</f>
        <v>1500</v>
      </c>
      <c r="J1139" s="31">
        <f>'تقرير المصروفات حسب الشهر'!M970</f>
        <v>1500</v>
      </c>
      <c r="K1139" s="31">
        <f>'تقرير المصروفات حسب الشهر'!M1097</f>
        <v>1500</v>
      </c>
      <c r="L1139" s="292">
        <f>IFERROR(VLOOKUP(B1139,'تقرير المصروفات حسب الشهر'!$C$1143:$AD$1254,11,FALSE),0)</f>
        <v>842.58</v>
      </c>
      <c r="M1139" s="292">
        <f>IFERROR(VLOOKUP(B1139,'تقرير المصروفات حسب الشهر'!$C$1270:$AD$1381,11,FALSE),0)</f>
        <v>842.44</v>
      </c>
      <c r="N1139" s="31" t="e">
        <f>#REF!</f>
        <v>#REF!</v>
      </c>
      <c r="O1139" s="37" t="e">
        <f t="shared" si="28"/>
        <v>#REF!</v>
      </c>
    </row>
    <row r="1140" spans="2:15" ht="17.399999999999999">
      <c r="B1140" s="42" t="s">
        <v>105</v>
      </c>
      <c r="C1140" s="39">
        <f>'تقرير المصروفات حسب الشهر'!M91</f>
        <v>1025</v>
      </c>
      <c r="D1140" s="31" t="e">
        <f>#REF!</f>
        <v>#REF!</v>
      </c>
      <c r="E1140" s="31" t="e">
        <f>#REF!</f>
        <v>#REF!</v>
      </c>
      <c r="F1140" s="31" t="e">
        <f>#REF!</f>
        <v>#REF!</v>
      </c>
      <c r="G1140" s="31" t="e">
        <f>#REF!</f>
        <v>#REF!</v>
      </c>
      <c r="H1140" s="31" t="e">
        <f>#REF!</f>
        <v>#REF!</v>
      </c>
      <c r="I1140" s="31">
        <f>'تقرير المصروفات حسب الشهر'!M844</f>
        <v>0</v>
      </c>
      <c r="J1140" s="31">
        <f>'تقرير المصروفات حسب الشهر'!M971</f>
        <v>0</v>
      </c>
      <c r="K1140" s="31">
        <f>'تقرير المصروفات حسب الشهر'!M1098</f>
        <v>0</v>
      </c>
      <c r="L1140" s="292">
        <f>IFERROR(VLOOKUP(B1140,'تقرير المصروفات حسب الشهر'!$C$1143:$AD$1254,11,FALSE),0)</f>
        <v>1500</v>
      </c>
      <c r="M1140" s="292">
        <f>IFERROR(VLOOKUP(B1140,'تقرير المصروفات حسب الشهر'!$C$1270:$AD$1381,11,FALSE),0)</f>
        <v>1499.96</v>
      </c>
      <c r="N1140" s="31" t="e">
        <f>#REF!</f>
        <v>#REF!</v>
      </c>
      <c r="O1140" s="37" t="e">
        <f t="shared" si="28"/>
        <v>#REF!</v>
      </c>
    </row>
    <row r="1141" spans="2:15" ht="17.399999999999999">
      <c r="B1141" s="42" t="s">
        <v>106</v>
      </c>
      <c r="C1141" s="39">
        <f>'تقرير المصروفات حسب الشهر'!M92</f>
        <v>0</v>
      </c>
      <c r="D1141" s="31" t="e">
        <f>#REF!</f>
        <v>#REF!</v>
      </c>
      <c r="E1141" s="31" t="e">
        <f>#REF!</f>
        <v>#REF!</v>
      </c>
      <c r="F1141" s="31" t="e">
        <f>#REF!</f>
        <v>#REF!</v>
      </c>
      <c r="G1141" s="31" t="e">
        <f>#REF!</f>
        <v>#REF!</v>
      </c>
      <c r="H1141" s="31" t="e">
        <f>#REF!</f>
        <v>#REF!</v>
      </c>
      <c r="I1141" s="31">
        <f>'تقرير المصروفات حسب الشهر'!M845</f>
        <v>0</v>
      </c>
      <c r="J1141" s="31">
        <f>'تقرير المصروفات حسب الشهر'!M972</f>
        <v>0</v>
      </c>
      <c r="K1141" s="31">
        <f>'تقرير المصروفات حسب الشهر'!M1099</f>
        <v>0</v>
      </c>
      <c r="L1141" s="292">
        <f>IFERROR(VLOOKUP(B1141,'تقرير المصروفات حسب الشهر'!$C$1143:$AD$1254,11,FALSE),0)</f>
        <v>0</v>
      </c>
      <c r="M1141" s="292">
        <f>IFERROR(VLOOKUP(B1141,'تقرير المصروفات حسب الشهر'!$C$1270:$AD$1381,11,FALSE),0)</f>
        <v>0</v>
      </c>
      <c r="N1141" s="31" t="e">
        <f>#REF!</f>
        <v>#REF!</v>
      </c>
      <c r="O1141" s="37" t="e">
        <f t="shared" si="28"/>
        <v>#REF!</v>
      </c>
    </row>
    <row r="1142" spans="2:15" ht="17.399999999999999">
      <c r="B1142" s="42" t="s">
        <v>107</v>
      </c>
      <c r="C1142" s="39">
        <f>'تقرير المصروفات حسب الشهر'!M93</f>
        <v>0</v>
      </c>
      <c r="D1142" s="31" t="e">
        <f>#REF!</f>
        <v>#REF!</v>
      </c>
      <c r="E1142" s="31" t="e">
        <f>#REF!</f>
        <v>#REF!</v>
      </c>
      <c r="F1142" s="31" t="e">
        <f>#REF!</f>
        <v>#REF!</v>
      </c>
      <c r="G1142" s="31" t="e">
        <f>#REF!</f>
        <v>#REF!</v>
      </c>
      <c r="H1142" s="31" t="e">
        <f>#REF!</f>
        <v>#REF!</v>
      </c>
      <c r="I1142" s="31">
        <f>'تقرير المصروفات حسب الشهر'!M846</f>
        <v>351</v>
      </c>
      <c r="J1142" s="31">
        <f>'تقرير المصروفات حسب الشهر'!M973</f>
        <v>266</v>
      </c>
      <c r="K1142" s="31">
        <f>'تقرير المصروفات حسب الشهر'!M1100</f>
        <v>150</v>
      </c>
      <c r="L1142" s="292">
        <f>IFERROR(VLOOKUP(B1142,'تقرير المصروفات حسب الشهر'!$C$1143:$AD$1254,11,FALSE),0)</f>
        <v>0</v>
      </c>
      <c r="M1142" s="292">
        <f>IFERROR(VLOOKUP(B1142,'تقرير المصروفات حسب الشهر'!$C$1270:$AD$1381,11,FALSE),0)</f>
        <v>0</v>
      </c>
      <c r="N1142" s="31" t="e">
        <f>#REF!</f>
        <v>#REF!</v>
      </c>
      <c r="O1142" s="37" t="e">
        <f t="shared" si="28"/>
        <v>#REF!</v>
      </c>
    </row>
    <row r="1143" spans="2:15" ht="17.399999999999999">
      <c r="B1143" s="42" t="s">
        <v>108</v>
      </c>
      <c r="C1143" s="39">
        <f>'تقرير المصروفات حسب الشهر'!M94</f>
        <v>377</v>
      </c>
      <c r="D1143" s="31" t="e">
        <f>#REF!</f>
        <v>#REF!</v>
      </c>
      <c r="E1143" s="31" t="e">
        <f>#REF!</f>
        <v>#REF!</v>
      </c>
      <c r="F1143" s="31" t="e">
        <f>#REF!</f>
        <v>#REF!</v>
      </c>
      <c r="G1143" s="31" t="e">
        <f>#REF!</f>
        <v>#REF!</v>
      </c>
      <c r="H1143" s="31" t="e">
        <f>#REF!</f>
        <v>#REF!</v>
      </c>
      <c r="I1143" s="31">
        <f>'تقرير المصروفات حسب الشهر'!M847</f>
        <v>0</v>
      </c>
      <c r="J1143" s="31">
        <f>'تقرير المصروفات حسب الشهر'!M974</f>
        <v>0</v>
      </c>
      <c r="K1143" s="31">
        <f>'تقرير المصروفات حسب الشهر'!M1101</f>
        <v>0</v>
      </c>
      <c r="L1143" s="292">
        <f>IFERROR(VLOOKUP(B1143,'تقرير المصروفات حسب الشهر'!$C$1143:$AD$1254,11,FALSE),0)</f>
        <v>229</v>
      </c>
      <c r="M1143" s="292">
        <f>IFERROR(VLOOKUP(B1143,'تقرير المصروفات حسب الشهر'!$C$1270:$AD$1381,11,FALSE),0)</f>
        <v>149</v>
      </c>
      <c r="N1143" s="31" t="e">
        <f>#REF!</f>
        <v>#REF!</v>
      </c>
      <c r="O1143" s="37" t="e">
        <f t="shared" si="28"/>
        <v>#REF!</v>
      </c>
    </row>
    <row r="1144" spans="2:15" ht="17.399999999999999">
      <c r="B1144" s="42" t="s">
        <v>109</v>
      </c>
      <c r="C1144" s="39">
        <f>'تقرير المصروفات حسب الشهر'!M95</f>
        <v>0</v>
      </c>
      <c r="D1144" s="31" t="e">
        <f>#REF!</f>
        <v>#REF!</v>
      </c>
      <c r="E1144" s="31" t="e">
        <f>#REF!</f>
        <v>#REF!</v>
      </c>
      <c r="F1144" s="31" t="e">
        <f>#REF!</f>
        <v>#REF!</v>
      </c>
      <c r="G1144" s="31" t="e">
        <f>#REF!</f>
        <v>#REF!</v>
      </c>
      <c r="H1144" s="31" t="e">
        <f>#REF!</f>
        <v>#REF!</v>
      </c>
      <c r="I1144" s="31">
        <f>'تقرير المصروفات حسب الشهر'!M848</f>
        <v>0</v>
      </c>
      <c r="J1144" s="31">
        <f>'تقرير المصروفات حسب الشهر'!M975</f>
        <v>0</v>
      </c>
      <c r="K1144" s="31">
        <f>'تقرير المصروفات حسب الشهر'!M1102</f>
        <v>0</v>
      </c>
      <c r="L1144" s="292">
        <f>IFERROR(VLOOKUP(B1144,'تقرير المصروفات حسب الشهر'!$C$1143:$AD$1254,11,FALSE),0)</f>
        <v>0</v>
      </c>
      <c r="M1144" s="292">
        <f>IFERROR(VLOOKUP(B1144,'تقرير المصروفات حسب الشهر'!$C$1270:$AD$1381,11,FALSE),0)</f>
        <v>0</v>
      </c>
      <c r="N1144" s="31" t="e">
        <f>#REF!</f>
        <v>#REF!</v>
      </c>
      <c r="O1144" s="37" t="e">
        <f t="shared" si="28"/>
        <v>#REF!</v>
      </c>
    </row>
    <row r="1145" spans="2:15" ht="17.399999999999999">
      <c r="B1145" s="42" t="s">
        <v>110</v>
      </c>
      <c r="C1145" s="39">
        <f>'تقرير المصروفات حسب الشهر'!M96</f>
        <v>0</v>
      </c>
      <c r="D1145" s="31" t="e">
        <f>#REF!</f>
        <v>#REF!</v>
      </c>
      <c r="E1145" s="31" t="e">
        <f>#REF!</f>
        <v>#REF!</v>
      </c>
      <c r="F1145" s="31" t="e">
        <f>#REF!</f>
        <v>#REF!</v>
      </c>
      <c r="G1145" s="31" t="e">
        <f>#REF!</f>
        <v>#REF!</v>
      </c>
      <c r="H1145" s="31" t="e">
        <f>#REF!</f>
        <v>#REF!</v>
      </c>
      <c r="I1145" s="31">
        <f>'تقرير المصروفات حسب الشهر'!M849</f>
        <v>0</v>
      </c>
      <c r="J1145" s="31">
        <f>'تقرير المصروفات حسب الشهر'!M976</f>
        <v>0</v>
      </c>
      <c r="K1145" s="31">
        <f>'تقرير المصروفات حسب الشهر'!M1103</f>
        <v>0</v>
      </c>
      <c r="L1145" s="292">
        <f>IFERROR(VLOOKUP(B1145,'تقرير المصروفات حسب الشهر'!$C$1143:$AD$1254,11,FALSE),0)</f>
        <v>0</v>
      </c>
      <c r="M1145" s="292">
        <f>IFERROR(VLOOKUP(B1145,'تقرير المصروفات حسب الشهر'!$C$1270:$AD$1381,11,FALSE),0)</f>
        <v>0</v>
      </c>
      <c r="N1145" s="31" t="e">
        <f>#REF!</f>
        <v>#REF!</v>
      </c>
      <c r="O1145" s="37" t="e">
        <f t="shared" si="28"/>
        <v>#REF!</v>
      </c>
    </row>
    <row r="1146" spans="2:15" ht="17.399999999999999">
      <c r="B1146" s="42" t="s">
        <v>112</v>
      </c>
      <c r="C1146" s="39">
        <f>'تقرير المصروفات حسب الشهر'!M97</f>
        <v>0</v>
      </c>
      <c r="D1146" s="31" t="e">
        <f>#REF!</f>
        <v>#REF!</v>
      </c>
      <c r="E1146" s="31" t="e">
        <f>#REF!</f>
        <v>#REF!</v>
      </c>
      <c r="F1146" s="31" t="e">
        <f>#REF!</f>
        <v>#REF!</v>
      </c>
      <c r="G1146" s="31" t="e">
        <f>#REF!</f>
        <v>#REF!</v>
      </c>
      <c r="H1146" s="31" t="e">
        <f>#REF!</f>
        <v>#REF!</v>
      </c>
      <c r="I1146" s="31">
        <f>'تقرير المصروفات حسب الشهر'!M850</f>
        <v>0</v>
      </c>
      <c r="J1146" s="31">
        <f>'تقرير المصروفات حسب الشهر'!M977</f>
        <v>0</v>
      </c>
      <c r="K1146" s="31">
        <f>'تقرير المصروفات حسب الشهر'!M1104</f>
        <v>3.5</v>
      </c>
      <c r="L1146" s="292">
        <f>IFERROR(VLOOKUP(B1146,'تقرير المصروفات حسب الشهر'!$C$1143:$AD$1254,11,FALSE),0)</f>
        <v>0</v>
      </c>
      <c r="M1146" s="292">
        <f>IFERROR(VLOOKUP(B1146,'تقرير المصروفات حسب الشهر'!$C$1270:$AD$1381,11,FALSE),0)</f>
        <v>0</v>
      </c>
      <c r="N1146" s="31" t="e">
        <f>#REF!</f>
        <v>#REF!</v>
      </c>
      <c r="O1146" s="37" t="e">
        <f t="shared" si="28"/>
        <v>#REF!</v>
      </c>
    </row>
    <row r="1147" spans="2:15" ht="17.399999999999999">
      <c r="B1147" s="42" t="s">
        <v>113</v>
      </c>
      <c r="C1147" s="39">
        <f>'تقرير المصروفات حسب الشهر'!M98</f>
        <v>3216.32</v>
      </c>
      <c r="D1147" s="31" t="e">
        <f>#REF!</f>
        <v>#REF!</v>
      </c>
      <c r="E1147" s="31" t="e">
        <f>#REF!</f>
        <v>#REF!</v>
      </c>
      <c r="F1147" s="31" t="e">
        <f>#REF!</f>
        <v>#REF!</v>
      </c>
      <c r="G1147" s="31" t="e">
        <f>#REF!</f>
        <v>#REF!</v>
      </c>
      <c r="H1147" s="31" t="e">
        <f>#REF!</f>
        <v>#REF!</v>
      </c>
      <c r="I1147" s="31">
        <f>'تقرير المصروفات حسب الشهر'!M851</f>
        <v>0</v>
      </c>
      <c r="J1147" s="31">
        <f>'تقرير المصروفات حسب الشهر'!M978</f>
        <v>0</v>
      </c>
      <c r="K1147" s="31">
        <f>'تقرير المصروفات حسب الشهر'!M1105</f>
        <v>0</v>
      </c>
      <c r="L1147" s="292">
        <f>IFERROR(VLOOKUP(B1147,'تقرير المصروفات حسب الشهر'!$C$1143:$AD$1254,11,FALSE),0)</f>
        <v>0</v>
      </c>
      <c r="M1147" s="292">
        <f>IFERROR(VLOOKUP(B1147,'تقرير المصروفات حسب الشهر'!$C$1270:$AD$1381,11,FALSE),0)</f>
        <v>0</v>
      </c>
      <c r="N1147" s="31" t="e">
        <f>#REF!</f>
        <v>#REF!</v>
      </c>
      <c r="O1147" s="37" t="e">
        <f t="shared" si="28"/>
        <v>#REF!</v>
      </c>
    </row>
    <row r="1148" spans="2:15" ht="17.399999999999999">
      <c r="B1148" s="42" t="s">
        <v>137</v>
      </c>
      <c r="C1148" s="39">
        <f>'تقرير المصروفات حسب الشهر'!M99</f>
        <v>0</v>
      </c>
      <c r="D1148" s="31" t="e">
        <f>#REF!</f>
        <v>#REF!</v>
      </c>
      <c r="E1148" s="31" t="e">
        <f>#REF!</f>
        <v>#REF!</v>
      </c>
      <c r="F1148" s="31" t="e">
        <f>#REF!</f>
        <v>#REF!</v>
      </c>
      <c r="G1148" s="31" t="e">
        <f>#REF!</f>
        <v>#REF!</v>
      </c>
      <c r="H1148" s="31" t="e">
        <f>#REF!</f>
        <v>#REF!</v>
      </c>
      <c r="I1148" s="31">
        <f>'تقرير المصروفات حسب الشهر'!M852</f>
        <v>0</v>
      </c>
      <c r="J1148" s="31">
        <f>'تقرير المصروفات حسب الشهر'!M979</f>
        <v>0</v>
      </c>
      <c r="K1148" s="31">
        <f>'تقرير المصروفات حسب الشهر'!M1106</f>
        <v>0</v>
      </c>
      <c r="L1148" s="292">
        <f>IFERROR(VLOOKUP(B1148,'تقرير المصروفات حسب الشهر'!$C$1143:$AD$1254,11,FALSE),0)</f>
        <v>0</v>
      </c>
      <c r="M1148" s="292">
        <f>IFERROR(VLOOKUP(B1148,'تقرير المصروفات حسب الشهر'!$C$1270:$AD$1381,11,FALSE),0)</f>
        <v>0</v>
      </c>
      <c r="N1148" s="31" t="e">
        <f>#REF!</f>
        <v>#REF!</v>
      </c>
      <c r="O1148" s="37" t="e">
        <f t="shared" si="28"/>
        <v>#REF!</v>
      </c>
    </row>
    <row r="1149" spans="2:15" ht="17.399999999999999">
      <c r="B1149" s="42" t="s">
        <v>140</v>
      </c>
      <c r="C1149" s="39">
        <f>'تقرير المصروفات حسب الشهر'!M100</f>
        <v>0</v>
      </c>
      <c r="D1149" s="31" t="e">
        <f>#REF!</f>
        <v>#REF!</v>
      </c>
      <c r="E1149" s="31" t="e">
        <f>#REF!</f>
        <v>#REF!</v>
      </c>
      <c r="F1149" s="31" t="e">
        <f>#REF!</f>
        <v>#REF!</v>
      </c>
      <c r="G1149" s="31" t="e">
        <f>#REF!</f>
        <v>#REF!</v>
      </c>
      <c r="H1149" s="31" t="e">
        <f>#REF!</f>
        <v>#REF!</v>
      </c>
      <c r="I1149" s="31">
        <f>'تقرير المصروفات حسب الشهر'!M853</f>
        <v>0</v>
      </c>
      <c r="J1149" s="31">
        <f>'تقرير المصروفات حسب الشهر'!M980</f>
        <v>0</v>
      </c>
      <c r="K1149" s="31">
        <f>'تقرير المصروفات حسب الشهر'!M1107</f>
        <v>0</v>
      </c>
      <c r="L1149" s="292">
        <f>IFERROR(VLOOKUP(B1149,'تقرير المصروفات حسب الشهر'!$C$1143:$AD$1254,11,FALSE),0)</f>
        <v>0</v>
      </c>
      <c r="M1149" s="292">
        <f>IFERROR(VLOOKUP(B1149,'تقرير المصروفات حسب الشهر'!$C$1270:$AD$1381,11,FALSE),0)</f>
        <v>0</v>
      </c>
      <c r="N1149" s="31" t="e">
        <f>#REF!</f>
        <v>#REF!</v>
      </c>
      <c r="O1149" s="37" t="e">
        <f t="shared" si="28"/>
        <v>#REF!</v>
      </c>
    </row>
    <row r="1150" spans="2:15" ht="17.399999999999999">
      <c r="B1150" s="42" t="s">
        <v>141</v>
      </c>
      <c r="C1150" s="39">
        <f>'تقرير المصروفات حسب الشهر'!M101</f>
        <v>0</v>
      </c>
      <c r="D1150" s="31" t="e">
        <f>#REF!</f>
        <v>#REF!</v>
      </c>
      <c r="E1150" s="31" t="e">
        <f>#REF!</f>
        <v>#REF!</v>
      </c>
      <c r="F1150" s="31" t="e">
        <f>#REF!</f>
        <v>#REF!</v>
      </c>
      <c r="G1150" s="31" t="e">
        <f>#REF!</f>
        <v>#REF!</v>
      </c>
      <c r="H1150" s="31" t="e">
        <f>#REF!</f>
        <v>#REF!</v>
      </c>
      <c r="I1150" s="31">
        <f>'تقرير المصروفات حسب الشهر'!M854</f>
        <v>0</v>
      </c>
      <c r="J1150" s="31">
        <f>'تقرير المصروفات حسب الشهر'!M981</f>
        <v>0</v>
      </c>
      <c r="K1150" s="31">
        <f>'تقرير المصروفات حسب الشهر'!M1108</f>
        <v>0</v>
      </c>
      <c r="L1150" s="292">
        <f>IFERROR(VLOOKUP(B1150,'تقرير المصروفات حسب الشهر'!$C$1143:$AD$1254,11,FALSE),0)</f>
        <v>0</v>
      </c>
      <c r="M1150" s="292">
        <f>IFERROR(VLOOKUP(B1150,'تقرير المصروفات حسب الشهر'!$C$1270:$AD$1381,11,FALSE),0)</f>
        <v>0</v>
      </c>
      <c r="N1150" s="31" t="e">
        <f>#REF!</f>
        <v>#REF!</v>
      </c>
      <c r="O1150" s="37" t="e">
        <f t="shared" si="28"/>
        <v>#REF!</v>
      </c>
    </row>
    <row r="1151" spans="2:15" ht="17.399999999999999">
      <c r="B1151" s="42" t="s">
        <v>193</v>
      </c>
      <c r="C1151" s="39">
        <f>'تقرير المصروفات حسب الشهر'!M102</f>
        <v>0</v>
      </c>
      <c r="D1151" s="31" t="e">
        <f>#REF!</f>
        <v>#REF!</v>
      </c>
      <c r="E1151" s="31" t="e">
        <f>#REF!</f>
        <v>#REF!</v>
      </c>
      <c r="F1151" s="31" t="e">
        <f>#REF!</f>
        <v>#REF!</v>
      </c>
      <c r="G1151" s="31" t="e">
        <f>#REF!</f>
        <v>#REF!</v>
      </c>
      <c r="H1151" s="31" t="e">
        <f>#REF!</f>
        <v>#REF!</v>
      </c>
      <c r="I1151" s="31">
        <f>'تقرير المصروفات حسب الشهر'!M855</f>
        <v>0</v>
      </c>
      <c r="J1151" s="31">
        <f>'تقرير المصروفات حسب الشهر'!M982</f>
        <v>0</v>
      </c>
      <c r="K1151" s="31">
        <f>'تقرير المصروفات حسب الشهر'!M1109</f>
        <v>0</v>
      </c>
      <c r="L1151" s="292">
        <f>IFERROR(VLOOKUP(B1151,'تقرير المصروفات حسب الشهر'!$C$1143:$AD$1254,11,FALSE),0)</f>
        <v>0</v>
      </c>
      <c r="M1151" s="292">
        <f>IFERROR(VLOOKUP(B1151,'تقرير المصروفات حسب الشهر'!$C$1270:$AD$1381,11,FALSE),0)</f>
        <v>0</v>
      </c>
      <c r="N1151" s="31" t="e">
        <f>#REF!</f>
        <v>#REF!</v>
      </c>
      <c r="O1151" s="37" t="e">
        <f t="shared" si="28"/>
        <v>#REF!</v>
      </c>
    </row>
    <row r="1152" spans="2:15" ht="17.399999999999999">
      <c r="B1152" s="42" t="s">
        <v>148</v>
      </c>
      <c r="C1152" s="39">
        <f>'تقرير المصروفات حسب الشهر'!M103</f>
        <v>0</v>
      </c>
      <c r="D1152" s="31" t="e">
        <f>#REF!</f>
        <v>#REF!</v>
      </c>
      <c r="E1152" s="31" t="e">
        <f>#REF!</f>
        <v>#REF!</v>
      </c>
      <c r="F1152" s="31" t="e">
        <f>#REF!</f>
        <v>#REF!</v>
      </c>
      <c r="G1152" s="31" t="e">
        <f>#REF!</f>
        <v>#REF!</v>
      </c>
      <c r="H1152" s="31" t="e">
        <f>#REF!</f>
        <v>#REF!</v>
      </c>
      <c r="I1152" s="31">
        <f>'تقرير المصروفات حسب الشهر'!M856</f>
        <v>0</v>
      </c>
      <c r="J1152" s="31">
        <f>'تقرير المصروفات حسب الشهر'!M983</f>
        <v>0</v>
      </c>
      <c r="K1152" s="31">
        <f>'تقرير المصروفات حسب الشهر'!M1110</f>
        <v>0</v>
      </c>
      <c r="L1152" s="292">
        <f>IFERROR(VLOOKUP(B1152,'تقرير المصروفات حسب الشهر'!$C$1143:$AD$1254,11,FALSE),0)</f>
        <v>0</v>
      </c>
      <c r="M1152" s="292">
        <f>IFERROR(VLOOKUP(B1152,'تقرير المصروفات حسب الشهر'!$C$1270:$AD$1381,11,FALSE),0)</f>
        <v>0</v>
      </c>
      <c r="N1152" s="31" t="e">
        <f>#REF!</f>
        <v>#REF!</v>
      </c>
      <c r="O1152" s="37" t="e">
        <f t="shared" si="28"/>
        <v>#REF!</v>
      </c>
    </row>
    <row r="1153" spans="2:15" ht="17.399999999999999">
      <c r="B1153" s="42" t="s">
        <v>186</v>
      </c>
      <c r="C1153" s="39">
        <f>'تقرير المصروفات حسب الشهر'!M104</f>
        <v>0</v>
      </c>
      <c r="D1153" s="31" t="e">
        <f>#REF!</f>
        <v>#REF!</v>
      </c>
      <c r="E1153" s="31" t="e">
        <f>#REF!</f>
        <v>#REF!</v>
      </c>
      <c r="F1153" s="31" t="e">
        <f>#REF!</f>
        <v>#REF!</v>
      </c>
      <c r="G1153" s="31" t="e">
        <f>#REF!</f>
        <v>#REF!</v>
      </c>
      <c r="H1153" s="31" t="e">
        <f>#REF!</f>
        <v>#REF!</v>
      </c>
      <c r="I1153" s="31">
        <f>'تقرير المصروفات حسب الشهر'!M857</f>
        <v>0</v>
      </c>
      <c r="J1153" s="31">
        <f>'تقرير المصروفات حسب الشهر'!M984</f>
        <v>0</v>
      </c>
      <c r="K1153" s="31">
        <f>'تقرير المصروفات حسب الشهر'!M1111</f>
        <v>0</v>
      </c>
      <c r="L1153" s="292">
        <f>IFERROR(VLOOKUP(B1153,'تقرير المصروفات حسب الشهر'!$C$1143:$AD$1254,11,FALSE),0)</f>
        <v>0</v>
      </c>
      <c r="M1153" s="292">
        <f>IFERROR(VLOOKUP(B1153,'تقرير المصروفات حسب الشهر'!$C$1270:$AD$1381,11,FALSE),0)</f>
        <v>0</v>
      </c>
      <c r="N1153" s="31" t="e">
        <f>#REF!</f>
        <v>#REF!</v>
      </c>
      <c r="O1153" s="37" t="e">
        <f t="shared" si="28"/>
        <v>#REF!</v>
      </c>
    </row>
    <row r="1154" spans="2:15" ht="17.399999999999999">
      <c r="B1154" s="42" t="s">
        <v>171</v>
      </c>
      <c r="C1154" s="39">
        <f>'تقرير المصروفات حسب الشهر'!M105</f>
        <v>0</v>
      </c>
      <c r="D1154" s="31" t="e">
        <f>#REF!</f>
        <v>#REF!</v>
      </c>
      <c r="E1154" s="31" t="e">
        <f>#REF!</f>
        <v>#REF!</v>
      </c>
      <c r="F1154" s="31" t="e">
        <f>#REF!</f>
        <v>#REF!</v>
      </c>
      <c r="G1154" s="31" t="e">
        <f>#REF!</f>
        <v>#REF!</v>
      </c>
      <c r="H1154" s="31" t="e">
        <f>#REF!</f>
        <v>#REF!</v>
      </c>
      <c r="I1154" s="31">
        <f>'تقرير المصروفات حسب الشهر'!M858</f>
        <v>0</v>
      </c>
      <c r="J1154" s="31">
        <f>'تقرير المصروفات حسب الشهر'!M985</f>
        <v>0</v>
      </c>
      <c r="K1154" s="31">
        <f>'تقرير المصروفات حسب الشهر'!M1112</f>
        <v>0</v>
      </c>
      <c r="L1154" s="292">
        <f>IFERROR(VLOOKUP(B1154,'تقرير المصروفات حسب الشهر'!$C$1143:$AD$1254,11,FALSE),0)</f>
        <v>0</v>
      </c>
      <c r="M1154" s="292">
        <f>IFERROR(VLOOKUP(B1154,'تقرير المصروفات حسب الشهر'!$C$1270:$AD$1381,11,FALSE),0)</f>
        <v>0</v>
      </c>
      <c r="N1154" s="31" t="e">
        <f>#REF!</f>
        <v>#REF!</v>
      </c>
      <c r="O1154" s="37" t="e">
        <f t="shared" si="28"/>
        <v>#REF!</v>
      </c>
    </row>
    <row r="1155" spans="2:15" ht="17.399999999999999">
      <c r="B1155" s="42" t="s">
        <v>180</v>
      </c>
      <c r="C1155" s="39">
        <f>'تقرير المصروفات حسب الشهر'!M106</f>
        <v>0</v>
      </c>
      <c r="D1155" s="31" t="e">
        <f>#REF!</f>
        <v>#REF!</v>
      </c>
      <c r="E1155" s="31" t="e">
        <f>#REF!</f>
        <v>#REF!</v>
      </c>
      <c r="F1155" s="31" t="e">
        <f>#REF!</f>
        <v>#REF!</v>
      </c>
      <c r="G1155" s="31" t="e">
        <f>#REF!</f>
        <v>#REF!</v>
      </c>
      <c r="H1155" s="31" t="e">
        <f>#REF!</f>
        <v>#REF!</v>
      </c>
      <c r="I1155" s="31">
        <f>'تقرير المصروفات حسب الشهر'!M859</f>
        <v>190</v>
      </c>
      <c r="J1155" s="31">
        <f>'تقرير المصروفات حسب الشهر'!M986</f>
        <v>97</v>
      </c>
      <c r="K1155" s="31">
        <f>'تقرير المصروفات حسب الشهر'!M1113</f>
        <v>0</v>
      </c>
      <c r="L1155" s="292">
        <f>IFERROR(VLOOKUP(B1155,'تقرير المصروفات حسب الشهر'!$C$1143:$AD$1254,11,FALSE),0)</f>
        <v>0</v>
      </c>
      <c r="M1155" s="292">
        <f>IFERROR(VLOOKUP(B1155,'تقرير المصروفات حسب الشهر'!$C$1270:$AD$1381,11,FALSE),0)</f>
        <v>0</v>
      </c>
      <c r="N1155" s="31" t="e">
        <f>#REF!</f>
        <v>#REF!</v>
      </c>
      <c r="O1155" s="37" t="e">
        <f t="shared" si="28"/>
        <v>#REF!</v>
      </c>
    </row>
    <row r="1156" spans="2:15" ht="17.399999999999999">
      <c r="B1156" s="42" t="s">
        <v>183</v>
      </c>
      <c r="C1156" s="39">
        <f>'تقرير المصروفات حسب الشهر'!M107</f>
        <v>0</v>
      </c>
      <c r="D1156" s="31" t="e">
        <f>#REF!</f>
        <v>#REF!</v>
      </c>
      <c r="E1156" s="31" t="e">
        <f>#REF!</f>
        <v>#REF!</v>
      </c>
      <c r="F1156" s="31" t="e">
        <f>#REF!</f>
        <v>#REF!</v>
      </c>
      <c r="G1156" s="31" t="e">
        <f>#REF!</f>
        <v>#REF!</v>
      </c>
      <c r="H1156" s="31" t="e">
        <f>#REF!</f>
        <v>#REF!</v>
      </c>
      <c r="I1156" s="31">
        <f>'تقرير المصروفات حسب الشهر'!M860</f>
        <v>0</v>
      </c>
      <c r="J1156" s="31">
        <f>'تقرير المصروفات حسب الشهر'!M987</f>
        <v>0</v>
      </c>
      <c r="K1156" s="31">
        <f>'تقرير المصروفات حسب الشهر'!M1114</f>
        <v>0</v>
      </c>
      <c r="L1156" s="292">
        <f>IFERROR(VLOOKUP(B1156,'تقرير المصروفات حسب الشهر'!$C$1143:$AD$1254,11,FALSE),0)</f>
        <v>0</v>
      </c>
      <c r="M1156" s="292">
        <f>IFERROR(VLOOKUP(B1156,'تقرير المصروفات حسب الشهر'!$C$1270:$AD$1381,11,FALSE),0)</f>
        <v>0</v>
      </c>
      <c r="N1156" s="31" t="e">
        <f>#REF!</f>
        <v>#REF!</v>
      </c>
      <c r="O1156" s="37" t="e">
        <f t="shared" si="28"/>
        <v>#REF!</v>
      </c>
    </row>
    <row r="1157" spans="2:15" ht="17.399999999999999">
      <c r="B1157" s="42" t="s">
        <v>195</v>
      </c>
      <c r="C1157" s="39">
        <f>'تقرير المصروفات حسب الشهر'!M108</f>
        <v>0</v>
      </c>
      <c r="D1157" s="31" t="e">
        <f>#REF!</f>
        <v>#REF!</v>
      </c>
      <c r="E1157" s="31" t="e">
        <f>#REF!</f>
        <v>#REF!</v>
      </c>
      <c r="F1157" s="31" t="e">
        <f>#REF!</f>
        <v>#REF!</v>
      </c>
      <c r="G1157" s="31" t="e">
        <f>#REF!</f>
        <v>#REF!</v>
      </c>
      <c r="H1157" s="31" t="e">
        <f>#REF!</f>
        <v>#REF!</v>
      </c>
      <c r="I1157" s="31">
        <f>'تقرير المصروفات حسب الشهر'!M861</f>
        <v>0</v>
      </c>
      <c r="J1157" s="31">
        <f>'تقرير المصروفات حسب الشهر'!M988</f>
        <v>0</v>
      </c>
      <c r="K1157" s="31">
        <f>'تقرير المصروفات حسب الشهر'!M1115</f>
        <v>0</v>
      </c>
      <c r="L1157" s="292">
        <f>IFERROR(VLOOKUP(B1157,'تقرير المصروفات حسب الشهر'!$C$1143:$AD$1254,11,FALSE),0)</f>
        <v>0</v>
      </c>
      <c r="M1157" s="292">
        <f>IFERROR(VLOOKUP(B1157,'تقرير المصروفات حسب الشهر'!$C$1270:$AD$1381,11,FALSE),0)</f>
        <v>0</v>
      </c>
      <c r="N1157" s="31" t="e">
        <f>#REF!</f>
        <v>#REF!</v>
      </c>
      <c r="O1157" s="37" t="e">
        <f t="shared" si="28"/>
        <v>#REF!</v>
      </c>
    </row>
    <row r="1158" spans="2:15" ht="17.399999999999999">
      <c r="B1158" s="42" t="s">
        <v>189</v>
      </c>
      <c r="C1158" s="39">
        <f>'تقرير المصروفات حسب الشهر'!M109</f>
        <v>0</v>
      </c>
      <c r="D1158" s="31" t="e">
        <f>#REF!</f>
        <v>#REF!</v>
      </c>
      <c r="E1158" s="31" t="e">
        <f>#REF!</f>
        <v>#REF!</v>
      </c>
      <c r="F1158" s="31" t="e">
        <f>#REF!</f>
        <v>#REF!</v>
      </c>
      <c r="G1158" s="31" t="e">
        <f>#REF!</f>
        <v>#REF!</v>
      </c>
      <c r="H1158" s="31" t="e">
        <f>#REF!</f>
        <v>#REF!</v>
      </c>
      <c r="I1158" s="31">
        <f>'تقرير المصروفات حسب الشهر'!M862</f>
        <v>0</v>
      </c>
      <c r="J1158" s="31">
        <f>'تقرير المصروفات حسب الشهر'!M989</f>
        <v>0</v>
      </c>
      <c r="K1158" s="31">
        <f>'تقرير المصروفات حسب الشهر'!M1116</f>
        <v>0</v>
      </c>
      <c r="L1158" s="292">
        <f>IFERROR(VLOOKUP(B1158,'تقرير المصروفات حسب الشهر'!$C$1143:$AD$1254,11,FALSE),0)</f>
        <v>0</v>
      </c>
      <c r="M1158" s="292">
        <f>IFERROR(VLOOKUP(B1158,'تقرير المصروفات حسب الشهر'!$C$1270:$AD$1381,11,FALSE),0)</f>
        <v>0</v>
      </c>
      <c r="N1158" s="31" t="e">
        <f>#REF!</f>
        <v>#REF!</v>
      </c>
      <c r="O1158" s="37" t="e">
        <f t="shared" si="28"/>
        <v>#REF!</v>
      </c>
    </row>
    <row r="1159" spans="2:15" ht="17.399999999999999">
      <c r="B1159" s="42" t="s">
        <v>188</v>
      </c>
      <c r="C1159" s="39">
        <f>'تقرير المصروفات حسب الشهر'!M110</f>
        <v>0</v>
      </c>
      <c r="D1159" s="31" t="e">
        <f>#REF!</f>
        <v>#REF!</v>
      </c>
      <c r="E1159" s="31" t="e">
        <f>#REF!</f>
        <v>#REF!</v>
      </c>
      <c r="F1159" s="31" t="e">
        <f>#REF!</f>
        <v>#REF!</v>
      </c>
      <c r="G1159" s="31" t="e">
        <f>#REF!</f>
        <v>#REF!</v>
      </c>
      <c r="H1159" s="31" t="e">
        <f>#REF!</f>
        <v>#REF!</v>
      </c>
      <c r="I1159" s="31">
        <f>'تقرير المصروفات حسب الشهر'!M863</f>
        <v>0</v>
      </c>
      <c r="J1159" s="31">
        <f>'تقرير المصروفات حسب الشهر'!M990</f>
        <v>0</v>
      </c>
      <c r="K1159" s="31">
        <f>'تقرير المصروفات حسب الشهر'!M1117</f>
        <v>0</v>
      </c>
      <c r="L1159" s="292">
        <f>IFERROR(VLOOKUP(B1159,'تقرير المصروفات حسب الشهر'!$C$1143:$AD$1254,11,FALSE),0)</f>
        <v>0</v>
      </c>
      <c r="M1159" s="292">
        <f>IFERROR(VLOOKUP(B1159,'تقرير المصروفات حسب الشهر'!$C$1270:$AD$1381,11,FALSE),0)</f>
        <v>0</v>
      </c>
      <c r="N1159" s="31" t="e">
        <f>#REF!</f>
        <v>#REF!</v>
      </c>
      <c r="O1159" s="37" t="e">
        <f t="shared" si="28"/>
        <v>#REF!</v>
      </c>
    </row>
    <row r="1160" spans="2:15" ht="17.399999999999999">
      <c r="B1160" s="42" t="s">
        <v>196</v>
      </c>
      <c r="C1160" s="39">
        <f>'تقرير المصروفات حسب الشهر'!M111</f>
        <v>0</v>
      </c>
      <c r="D1160" s="31" t="e">
        <f>#REF!</f>
        <v>#REF!</v>
      </c>
      <c r="E1160" s="31" t="e">
        <f>#REF!</f>
        <v>#REF!</v>
      </c>
      <c r="F1160" s="31" t="e">
        <f>#REF!</f>
        <v>#REF!</v>
      </c>
      <c r="G1160" s="31" t="e">
        <f>#REF!</f>
        <v>#REF!</v>
      </c>
      <c r="H1160" s="31" t="e">
        <f>#REF!</f>
        <v>#REF!</v>
      </c>
      <c r="I1160" s="31">
        <f>'تقرير المصروفات حسب الشهر'!M864</f>
        <v>0</v>
      </c>
      <c r="J1160" s="31">
        <f>'تقرير المصروفات حسب الشهر'!M991</f>
        <v>0</v>
      </c>
      <c r="K1160" s="31">
        <f>'تقرير المصروفات حسب الشهر'!M1118</f>
        <v>0</v>
      </c>
      <c r="L1160" s="292">
        <f>IFERROR(VLOOKUP(B1160,'تقرير المصروفات حسب الشهر'!$C$1143:$AD$1254,11,FALSE),0)</f>
        <v>0</v>
      </c>
      <c r="M1160" s="292">
        <f>IFERROR(VLOOKUP(B1160,'تقرير المصروفات حسب الشهر'!$C$1270:$AD$1381,11,FALSE),0)</f>
        <v>0</v>
      </c>
      <c r="N1160" s="31" t="e">
        <f>#REF!</f>
        <v>#REF!</v>
      </c>
      <c r="O1160" s="37" t="e">
        <f t="shared" si="28"/>
        <v>#REF!</v>
      </c>
    </row>
    <row r="1161" spans="2:15" ht="17.399999999999999">
      <c r="B1161" s="42" t="s">
        <v>197</v>
      </c>
      <c r="C1161" s="39">
        <f>'تقرير المصروفات حسب الشهر'!M112</f>
        <v>0</v>
      </c>
      <c r="D1161" s="31" t="e">
        <f>#REF!</f>
        <v>#REF!</v>
      </c>
      <c r="E1161" s="31" t="e">
        <f>#REF!</f>
        <v>#REF!</v>
      </c>
      <c r="F1161" s="31" t="e">
        <f>#REF!</f>
        <v>#REF!</v>
      </c>
      <c r="G1161" s="31" t="e">
        <f>#REF!</f>
        <v>#REF!</v>
      </c>
      <c r="H1161" s="31" t="e">
        <f>#REF!</f>
        <v>#REF!</v>
      </c>
      <c r="I1161" s="31">
        <f>'تقرير المصروفات حسب الشهر'!M865</f>
        <v>0</v>
      </c>
      <c r="J1161" s="31">
        <f>'تقرير المصروفات حسب الشهر'!M992</f>
        <v>0</v>
      </c>
      <c r="K1161" s="31">
        <f>'تقرير المصروفات حسب الشهر'!M1119</f>
        <v>0</v>
      </c>
      <c r="L1161" s="292">
        <f>IFERROR(VLOOKUP(B1161,'تقرير المصروفات حسب الشهر'!$C$1143:$AD$1254,11,FALSE),0)</f>
        <v>0</v>
      </c>
      <c r="M1161" s="292">
        <f>IFERROR(VLOOKUP(B1161,'تقرير المصروفات حسب الشهر'!$C$1270:$AD$1381,11,FALSE),0)</f>
        <v>0</v>
      </c>
      <c r="N1161" s="31" t="e">
        <f>#REF!</f>
        <v>#REF!</v>
      </c>
      <c r="O1161" s="37" t="e">
        <f t="shared" si="28"/>
        <v>#REF!</v>
      </c>
    </row>
    <row r="1162" spans="2:15" ht="17.399999999999999">
      <c r="B1162" s="42" t="s">
        <v>198</v>
      </c>
      <c r="C1162" s="39">
        <f>'تقرير المصروفات حسب الشهر'!M113</f>
        <v>0</v>
      </c>
      <c r="D1162" s="31" t="e">
        <f>#REF!</f>
        <v>#REF!</v>
      </c>
      <c r="E1162" s="31" t="e">
        <f>#REF!</f>
        <v>#REF!</v>
      </c>
      <c r="F1162" s="31" t="e">
        <f>#REF!</f>
        <v>#REF!</v>
      </c>
      <c r="G1162" s="31" t="e">
        <f>#REF!</f>
        <v>#REF!</v>
      </c>
      <c r="H1162" s="31" t="e">
        <f>#REF!</f>
        <v>#REF!</v>
      </c>
      <c r="I1162" s="31">
        <f>'تقرير المصروفات حسب الشهر'!M866</f>
        <v>0</v>
      </c>
      <c r="J1162" s="31">
        <f>'تقرير المصروفات حسب الشهر'!M993</f>
        <v>0</v>
      </c>
      <c r="K1162" s="31">
        <f>'تقرير المصروفات حسب الشهر'!M1120</f>
        <v>0</v>
      </c>
      <c r="L1162" s="292">
        <f>IFERROR(VLOOKUP(B1162,'تقرير المصروفات حسب الشهر'!$C$1143:$AD$1254,11,FALSE),0)</f>
        <v>0</v>
      </c>
      <c r="M1162" s="292">
        <f>IFERROR(VLOOKUP(B1162,'تقرير المصروفات حسب الشهر'!$C$1270:$AD$1381,11,FALSE),0)</f>
        <v>0</v>
      </c>
      <c r="N1162" s="31" t="e">
        <f>#REF!</f>
        <v>#REF!</v>
      </c>
      <c r="O1162" s="37" t="e">
        <f t="shared" si="28"/>
        <v>#REF!</v>
      </c>
    </row>
    <row r="1163" spans="2:15" ht="17.399999999999999">
      <c r="B1163" s="42" t="s">
        <v>201</v>
      </c>
      <c r="C1163" s="39">
        <f>'تقرير المصروفات حسب الشهر'!M114</f>
        <v>0</v>
      </c>
      <c r="D1163" s="31" t="e">
        <f>#REF!</f>
        <v>#REF!</v>
      </c>
      <c r="E1163" s="31" t="e">
        <f>#REF!</f>
        <v>#REF!</v>
      </c>
      <c r="F1163" s="31" t="e">
        <f>#REF!</f>
        <v>#REF!</v>
      </c>
      <c r="G1163" s="31" t="e">
        <f>#REF!</f>
        <v>#REF!</v>
      </c>
      <c r="H1163" s="31" t="e">
        <f>#REF!</f>
        <v>#REF!</v>
      </c>
      <c r="I1163" s="31">
        <f>'تقرير المصروفات حسب الشهر'!M867</f>
        <v>0</v>
      </c>
      <c r="J1163" s="31">
        <f>'تقرير المصروفات حسب الشهر'!M994</f>
        <v>0</v>
      </c>
      <c r="K1163" s="31">
        <f>'تقرير المصروفات حسب الشهر'!M1121</f>
        <v>0</v>
      </c>
      <c r="L1163" s="292">
        <f>IFERROR(VLOOKUP(B1163,'تقرير المصروفات حسب الشهر'!$C$1143:$AD$1254,11,FALSE),0)</f>
        <v>0</v>
      </c>
      <c r="M1163" s="292">
        <f>IFERROR(VLOOKUP(B1163,'تقرير المصروفات حسب الشهر'!$C$1270:$AD$1381,11,FALSE),0)</f>
        <v>0</v>
      </c>
      <c r="N1163" s="31" t="e">
        <f>#REF!</f>
        <v>#REF!</v>
      </c>
      <c r="O1163" s="37" t="e">
        <f t="shared" si="28"/>
        <v>#REF!</v>
      </c>
    </row>
    <row r="1164" spans="2:15" ht="17.399999999999999">
      <c r="B1164" s="42" t="s">
        <v>202</v>
      </c>
      <c r="C1164" s="39">
        <f>'تقرير المصروفات حسب الشهر'!M115</f>
        <v>0</v>
      </c>
      <c r="D1164" s="31" t="e">
        <f>#REF!</f>
        <v>#REF!</v>
      </c>
      <c r="E1164" s="31" t="e">
        <f>#REF!</f>
        <v>#REF!</v>
      </c>
      <c r="F1164" s="31" t="e">
        <f>#REF!</f>
        <v>#REF!</v>
      </c>
      <c r="G1164" s="31" t="e">
        <f>#REF!</f>
        <v>#REF!</v>
      </c>
      <c r="H1164" s="31" t="e">
        <f>#REF!</f>
        <v>#REF!</v>
      </c>
      <c r="I1164" s="31">
        <f>'تقرير المصروفات حسب الشهر'!M868</f>
        <v>0</v>
      </c>
      <c r="J1164" s="31">
        <f>'تقرير المصروفات حسب الشهر'!M995</f>
        <v>0</v>
      </c>
      <c r="K1164" s="31">
        <f>'تقرير المصروفات حسب الشهر'!M1122</f>
        <v>0</v>
      </c>
      <c r="L1164" s="292">
        <f>IFERROR(VLOOKUP(B1164,'تقرير المصروفات حسب الشهر'!$C$1143:$AD$1254,11,FALSE),0)</f>
        <v>0</v>
      </c>
      <c r="M1164" s="292">
        <f>IFERROR(VLOOKUP(B1164,'تقرير المصروفات حسب الشهر'!$C$1270:$AD$1381,11,FALSE),0)</f>
        <v>0</v>
      </c>
      <c r="N1164" s="31" t="e">
        <f>#REF!</f>
        <v>#REF!</v>
      </c>
      <c r="O1164" s="37" t="e">
        <f t="shared" si="28"/>
        <v>#REF!</v>
      </c>
    </row>
    <row r="1165" spans="2:15" ht="17.399999999999999">
      <c r="B1165" s="42" t="s">
        <v>206</v>
      </c>
      <c r="C1165" s="39">
        <f>'تقرير المصروفات حسب الشهر'!M116</f>
        <v>0</v>
      </c>
      <c r="D1165" s="31" t="e">
        <f>#REF!</f>
        <v>#REF!</v>
      </c>
      <c r="E1165" s="31" t="e">
        <f>#REF!</f>
        <v>#REF!</v>
      </c>
      <c r="F1165" s="31" t="e">
        <f>#REF!</f>
        <v>#REF!</v>
      </c>
      <c r="G1165" s="31" t="e">
        <f>#REF!</f>
        <v>#REF!</v>
      </c>
      <c r="H1165" s="31" t="e">
        <f>#REF!</f>
        <v>#REF!</v>
      </c>
      <c r="I1165" s="31">
        <f>'تقرير المصروفات حسب الشهر'!M869</f>
        <v>1293.75</v>
      </c>
      <c r="J1165" s="31">
        <f>'تقرير المصروفات حسب الشهر'!M996</f>
        <v>1293.75</v>
      </c>
      <c r="K1165" s="31">
        <f>'تقرير المصروفات حسب الشهر'!M1123</f>
        <v>1293.75</v>
      </c>
      <c r="L1165" s="292">
        <f>IFERROR(VLOOKUP(B1165,'تقرير المصروفات حسب الشهر'!$C$1143:$AD$1254,11,FALSE),0)</f>
        <v>0</v>
      </c>
      <c r="M1165" s="292">
        <f>IFERROR(VLOOKUP(B1165,'تقرير المصروفات حسب الشهر'!$C$1270:$AD$1381,11,FALSE),0)</f>
        <v>0</v>
      </c>
      <c r="N1165" s="31" t="e">
        <f>#REF!</f>
        <v>#REF!</v>
      </c>
      <c r="O1165" s="37" t="e">
        <f t="shared" si="28"/>
        <v>#REF!</v>
      </c>
    </row>
    <row r="1166" spans="2:15" ht="17.399999999999999">
      <c r="B1166" s="42" t="s">
        <v>207</v>
      </c>
      <c r="C1166" s="39">
        <f>'تقرير المصروفات حسب الشهر'!M117</f>
        <v>1293.75</v>
      </c>
      <c r="D1166" s="31" t="e">
        <f>#REF!</f>
        <v>#REF!</v>
      </c>
      <c r="E1166" s="31" t="e">
        <f>#REF!</f>
        <v>#REF!</v>
      </c>
      <c r="F1166" s="31" t="e">
        <f>#REF!</f>
        <v>#REF!</v>
      </c>
      <c r="G1166" s="31" t="e">
        <f>#REF!</f>
        <v>#REF!</v>
      </c>
      <c r="H1166" s="31" t="e">
        <f>#REF!</f>
        <v>#REF!</v>
      </c>
      <c r="I1166" s="31">
        <f>'تقرير المصروفات حسب الشهر'!M870</f>
        <v>0</v>
      </c>
      <c r="J1166" s="31">
        <f>'تقرير المصروفات حسب الشهر'!M997</f>
        <v>0</v>
      </c>
      <c r="K1166" s="31">
        <f>'تقرير المصروفات حسب الشهر'!M1124</f>
        <v>0</v>
      </c>
      <c r="L1166" s="292">
        <f>IFERROR(VLOOKUP(B1166,'تقرير المصروفات حسب الشهر'!$C$1143:$AD$1254,11,FALSE),0)</f>
        <v>1293.75</v>
      </c>
      <c r="M1166" s="292">
        <f>IFERROR(VLOOKUP(B1166,'تقرير المصروفات حسب الشهر'!$C$1270:$AD$1381,11,FALSE),0)</f>
        <v>1293.75</v>
      </c>
      <c r="N1166" s="31" t="e">
        <f>#REF!</f>
        <v>#REF!</v>
      </c>
      <c r="O1166" s="37" t="e">
        <f t="shared" si="28"/>
        <v>#REF!</v>
      </c>
    </row>
    <row r="1167" spans="2:15" ht="17.399999999999999">
      <c r="B1167" s="43" t="s">
        <v>208</v>
      </c>
      <c r="C1167" s="39">
        <f>'تقرير المصروفات حسب الشهر'!M118</f>
        <v>0</v>
      </c>
      <c r="D1167" s="31" t="e">
        <f>#REF!</f>
        <v>#REF!</v>
      </c>
      <c r="E1167" s="31" t="e">
        <f>#REF!</f>
        <v>#REF!</v>
      </c>
      <c r="F1167" s="31" t="e">
        <f>#REF!</f>
        <v>#REF!</v>
      </c>
      <c r="G1167" s="31" t="e">
        <f>#REF!</f>
        <v>#REF!</v>
      </c>
      <c r="H1167" s="31">
        <v>0</v>
      </c>
      <c r="I1167" s="31">
        <f>'تقرير المصروفات حسب الشهر'!M871</f>
        <v>0</v>
      </c>
      <c r="J1167" s="31">
        <f>'تقرير المصروفات حسب الشهر'!M998</f>
        <v>0</v>
      </c>
      <c r="K1167" s="31">
        <f>'تقرير المصروفات حسب الشهر'!M1125</f>
        <v>0</v>
      </c>
      <c r="L1167" s="292">
        <f>IFERROR(VLOOKUP(B1167,'تقرير المصروفات حسب الشهر'!$C$1143:$AD$1254,11,FALSE),0)</f>
        <v>0</v>
      </c>
      <c r="M1167" s="292">
        <f>IFERROR(VLOOKUP(B1167,'تقرير المصروفات حسب الشهر'!$C$1270:$AD$1381,11,FALSE),0)</f>
        <v>0</v>
      </c>
      <c r="N1167" s="31" t="e">
        <f>#REF!</f>
        <v>#REF!</v>
      </c>
      <c r="O1167" s="37" t="e">
        <f t="shared" si="28"/>
        <v>#REF!</v>
      </c>
    </row>
    <row r="1168" spans="2:15" ht="17.399999999999999">
      <c r="B1168" s="437" t="s">
        <v>236</v>
      </c>
      <c r="C1168" s="39">
        <f>'تقرير المصروفات حسب الشهر'!M119</f>
        <v>0</v>
      </c>
      <c r="D1168" s="438"/>
      <c r="E1168" s="438"/>
      <c r="F1168" s="438"/>
      <c r="G1168" s="438"/>
      <c r="H1168" s="438"/>
      <c r="I1168" s="438"/>
      <c r="J1168" s="438"/>
      <c r="K1168" s="438"/>
      <c r="L1168" s="439"/>
      <c r="M1168" s="439"/>
      <c r="N1168" s="438"/>
      <c r="O1168" s="440"/>
    </row>
    <row r="1169" spans="2:15" ht="17.399999999999999">
      <c r="B1169" s="437" t="s">
        <v>209</v>
      </c>
      <c r="C1169" s="39">
        <f>'تقرير المصروفات حسب الشهر'!M120</f>
        <v>0</v>
      </c>
      <c r="D1169" s="438"/>
      <c r="E1169" s="438"/>
      <c r="F1169" s="438"/>
      <c r="G1169" s="438"/>
      <c r="H1169" s="438"/>
      <c r="I1169" s="438"/>
      <c r="J1169" s="438"/>
      <c r="K1169" s="438"/>
      <c r="L1169" s="439"/>
      <c r="M1169" s="439"/>
      <c r="N1169" s="438"/>
      <c r="O1169" s="440"/>
    </row>
    <row r="1170" spans="2:15" ht="18" thickBot="1">
      <c r="B1170" s="437" t="s">
        <v>360</v>
      </c>
      <c r="C1170" s="39">
        <f>'تقرير المصروفات حسب الشهر'!M121</f>
        <v>18640.900000000001</v>
      </c>
      <c r="D1170" s="438"/>
      <c r="E1170" s="438"/>
      <c r="F1170" s="438"/>
      <c r="G1170" s="438"/>
      <c r="H1170" s="438"/>
      <c r="I1170" s="438"/>
      <c r="J1170" s="438"/>
      <c r="K1170" s="438"/>
      <c r="L1170" s="439"/>
      <c r="M1170" s="439"/>
      <c r="N1170" s="438"/>
      <c r="O1170" s="440"/>
    </row>
    <row r="1171" spans="2:15" ht="21.6" thickBot="1">
      <c r="B1171" s="29" t="s">
        <v>18</v>
      </c>
      <c r="C1171" s="41">
        <f>SUM(C1059:C1170)</f>
        <v>214956.22000000003</v>
      </c>
      <c r="D1171" s="41" t="e">
        <f t="shared" ref="D1171:O1171" si="29">SUM(D1059:D1167)</f>
        <v>#REF!</v>
      </c>
      <c r="E1171" s="41" t="e">
        <f t="shared" si="29"/>
        <v>#REF!</v>
      </c>
      <c r="F1171" s="41" t="e">
        <f t="shared" si="29"/>
        <v>#REF!</v>
      </c>
      <c r="G1171" s="41" t="e">
        <f t="shared" si="29"/>
        <v>#REF!</v>
      </c>
      <c r="H1171" s="41" t="e">
        <f t="shared" si="29"/>
        <v>#REF!</v>
      </c>
      <c r="I1171" s="41">
        <f t="shared" si="29"/>
        <v>252251.56999999998</v>
      </c>
      <c r="J1171" s="41">
        <f t="shared" si="29"/>
        <v>286982.72000000003</v>
      </c>
      <c r="K1171" s="41">
        <f t="shared" si="29"/>
        <v>257985.75999999998</v>
      </c>
      <c r="L1171" s="41">
        <f t="shared" si="29"/>
        <v>273629.35000000003</v>
      </c>
      <c r="M1171" s="41">
        <f t="shared" si="29"/>
        <v>288547.21000000002</v>
      </c>
      <c r="N1171" s="41" t="e">
        <f t="shared" si="29"/>
        <v>#REF!</v>
      </c>
      <c r="O1171" s="41" t="e">
        <f t="shared" si="29"/>
        <v>#REF!</v>
      </c>
    </row>
    <row r="1173" spans="2:15" ht="13.8" thickBot="1"/>
    <row r="1174" spans="2:15" ht="31.2" thickTop="1" thickBot="1">
      <c r="B1174" s="643" t="s">
        <v>220</v>
      </c>
      <c r="C1174" s="644"/>
      <c r="D1174" s="644"/>
      <c r="E1174" s="644"/>
      <c r="F1174" s="644"/>
      <c r="G1174" s="644"/>
      <c r="H1174" s="644"/>
      <c r="I1174" s="644"/>
      <c r="J1174" s="644"/>
      <c r="K1174" s="644"/>
      <c r="L1174" s="644"/>
      <c r="M1174" s="644"/>
      <c r="N1174" s="644"/>
      <c r="O1174" s="645"/>
    </row>
    <row r="1175" spans="2:15" ht="17.399999999999999">
      <c r="B1175" s="30" t="s">
        <v>23</v>
      </c>
      <c r="C1175" s="33" t="s">
        <v>0</v>
      </c>
      <c r="D1175" s="33" t="s">
        <v>1</v>
      </c>
      <c r="E1175" s="34" t="s">
        <v>2</v>
      </c>
      <c r="F1175" s="34" t="s">
        <v>3</v>
      </c>
      <c r="G1175" s="34" t="s">
        <v>4</v>
      </c>
      <c r="H1175" s="34" t="s">
        <v>5</v>
      </c>
      <c r="I1175" s="34" t="s">
        <v>6</v>
      </c>
      <c r="J1175" s="34" t="s">
        <v>7</v>
      </c>
      <c r="K1175" s="34" t="s">
        <v>8</v>
      </c>
      <c r="L1175" s="34" t="s">
        <v>9</v>
      </c>
      <c r="M1175" s="34" t="s">
        <v>10</v>
      </c>
      <c r="N1175" s="35" t="s">
        <v>11</v>
      </c>
      <c r="O1175" s="36" t="s">
        <v>18</v>
      </c>
    </row>
    <row r="1176" spans="2:15" ht="17.399999999999999">
      <c r="B1176" s="42" t="s">
        <v>40</v>
      </c>
      <c r="C1176" s="39">
        <f>'تقرير المصروفات حسب الشهر'!N10</f>
        <v>0</v>
      </c>
      <c r="D1176" s="31" t="e">
        <f>#REF!</f>
        <v>#REF!</v>
      </c>
      <c r="E1176" s="31" t="e">
        <f>#REF!</f>
        <v>#REF!</v>
      </c>
      <c r="F1176" s="31" t="e">
        <f>#REF!</f>
        <v>#REF!</v>
      </c>
      <c r="G1176" s="31" t="e">
        <f>#REF!</f>
        <v>#REF!</v>
      </c>
      <c r="H1176" s="31" t="e">
        <f>#REF!</f>
        <v>#REF!</v>
      </c>
      <c r="I1176" s="31">
        <f>'تقرير المصروفات حسب الشهر'!N763</f>
        <v>0</v>
      </c>
      <c r="J1176" s="31">
        <f>'تقرير المصروفات حسب الشهر'!N890</f>
        <v>0</v>
      </c>
      <c r="K1176" s="31">
        <f>'تقرير المصروفات حسب الشهر'!N1017</f>
        <v>0</v>
      </c>
      <c r="L1176" s="292">
        <f>IFERROR(VLOOKUP(B1176,'تقرير المصروفات حسب الشهر'!$C$1143:$AD$1254,12,FALSE),0)</f>
        <v>0</v>
      </c>
      <c r="M1176" s="292">
        <f>IFERROR(VLOOKUP(B1176,'تقرير المصروفات حسب الشهر'!$C$1270:$AD$1381,12,FALSE),0)</f>
        <v>0</v>
      </c>
      <c r="N1176" s="31" t="e">
        <f>#REF!</f>
        <v>#REF!</v>
      </c>
      <c r="O1176" s="37" t="e">
        <f>SUM(C1176:N1176)</f>
        <v>#REF!</v>
      </c>
    </row>
    <row r="1177" spans="2:15" ht="17.399999999999999">
      <c r="B1177" s="42" t="s">
        <v>41</v>
      </c>
      <c r="C1177" s="39">
        <f>'تقرير المصروفات حسب الشهر'!N11</f>
        <v>19501.36</v>
      </c>
      <c r="D1177" s="31" t="e">
        <f>#REF!</f>
        <v>#REF!</v>
      </c>
      <c r="E1177" s="31" t="e">
        <f>#REF!</f>
        <v>#REF!</v>
      </c>
      <c r="F1177" s="31" t="e">
        <f>#REF!</f>
        <v>#REF!</v>
      </c>
      <c r="G1177" s="31" t="e">
        <f>#REF!</f>
        <v>#REF!</v>
      </c>
      <c r="H1177" s="31" t="e">
        <f>#REF!</f>
        <v>#REF!</v>
      </c>
      <c r="I1177" s="31">
        <f>'تقرير المصروفات حسب الشهر'!N764</f>
        <v>35176.43</v>
      </c>
      <c r="J1177" s="31">
        <f>'تقرير المصروفات حسب الشهر'!N891</f>
        <v>33022.69</v>
      </c>
      <c r="K1177" s="31">
        <f>'تقرير المصروفات حسب الشهر'!N1018</f>
        <v>33498.559999999998</v>
      </c>
      <c r="L1177" s="292">
        <f>IFERROR(VLOOKUP(B1177,'تقرير المصروفات حسب الشهر'!$C$1143:$AD$1254,12,FALSE),0)</f>
        <v>34155.160000000003</v>
      </c>
      <c r="M1177" s="292">
        <f>IFERROR(VLOOKUP(B1177,'تقرير المصروفات حسب الشهر'!$C$1270:$AD$1381,12,FALSE),0)</f>
        <v>23979.3</v>
      </c>
      <c r="N1177" s="31" t="e">
        <f>#REF!</f>
        <v>#REF!</v>
      </c>
      <c r="O1177" s="37" t="e">
        <f t="shared" ref="O1177:O1240" si="30">SUM(C1177:N1177)</f>
        <v>#REF!</v>
      </c>
    </row>
    <row r="1178" spans="2:15" ht="17.399999999999999">
      <c r="B1178" s="42" t="s">
        <v>26</v>
      </c>
      <c r="C1178" s="39">
        <f>'تقرير المصروفات حسب الشهر'!N12</f>
        <v>0</v>
      </c>
      <c r="D1178" s="31" t="e">
        <f>#REF!</f>
        <v>#REF!</v>
      </c>
      <c r="E1178" s="31" t="e">
        <f>#REF!</f>
        <v>#REF!</v>
      </c>
      <c r="F1178" s="31" t="e">
        <f>#REF!</f>
        <v>#REF!</v>
      </c>
      <c r="G1178" s="31" t="e">
        <f>#REF!</f>
        <v>#REF!</v>
      </c>
      <c r="H1178" s="31" t="e">
        <f>#REF!</f>
        <v>#REF!</v>
      </c>
      <c r="I1178" s="31">
        <f>'تقرير المصروفات حسب الشهر'!N765</f>
        <v>0</v>
      </c>
      <c r="J1178" s="31">
        <f>'تقرير المصروفات حسب الشهر'!N892</f>
        <v>0</v>
      </c>
      <c r="K1178" s="31">
        <f>'تقرير المصروفات حسب الشهر'!N1019</f>
        <v>0</v>
      </c>
      <c r="L1178" s="292">
        <f>IFERROR(VLOOKUP(B1178,'تقرير المصروفات حسب الشهر'!$C$1143:$AD$1254,12,FALSE),0)</f>
        <v>0</v>
      </c>
      <c r="M1178" s="292">
        <f>IFERROR(VLOOKUP(B1178,'تقرير المصروفات حسب الشهر'!$C$1270:$AD$1381,12,FALSE),0)</f>
        <v>0</v>
      </c>
      <c r="N1178" s="31" t="e">
        <f>#REF!</f>
        <v>#REF!</v>
      </c>
      <c r="O1178" s="37" t="e">
        <f t="shared" si="30"/>
        <v>#REF!</v>
      </c>
    </row>
    <row r="1179" spans="2:15" ht="17.399999999999999">
      <c r="B1179" s="42" t="s">
        <v>27</v>
      </c>
      <c r="C1179" s="39">
        <f>'تقرير المصروفات حسب الشهر'!N13</f>
        <v>0</v>
      </c>
      <c r="D1179" s="31" t="e">
        <f>#REF!</f>
        <v>#REF!</v>
      </c>
      <c r="E1179" s="31" t="e">
        <f>#REF!</f>
        <v>#REF!</v>
      </c>
      <c r="F1179" s="31" t="e">
        <f>#REF!</f>
        <v>#REF!</v>
      </c>
      <c r="G1179" s="31" t="e">
        <f>#REF!</f>
        <v>#REF!</v>
      </c>
      <c r="H1179" s="31" t="e">
        <f>#REF!</f>
        <v>#REF!</v>
      </c>
      <c r="I1179" s="31">
        <f>'تقرير المصروفات حسب الشهر'!N766</f>
        <v>0</v>
      </c>
      <c r="J1179" s="31">
        <f>'تقرير المصروفات حسب الشهر'!N893</f>
        <v>0</v>
      </c>
      <c r="K1179" s="31">
        <f>'تقرير المصروفات حسب الشهر'!N1020</f>
        <v>0</v>
      </c>
      <c r="L1179" s="292">
        <f>IFERROR(VLOOKUP(B1179,'تقرير المصروفات حسب الشهر'!$C$1143:$AD$1254,12,FALSE),0)</f>
        <v>0</v>
      </c>
      <c r="M1179" s="292">
        <f>IFERROR(VLOOKUP(B1179,'تقرير المصروفات حسب الشهر'!$C$1270:$AD$1381,12,FALSE),0)</f>
        <v>0</v>
      </c>
      <c r="N1179" s="31" t="e">
        <f>#REF!</f>
        <v>#REF!</v>
      </c>
      <c r="O1179" s="37" t="e">
        <f t="shared" si="30"/>
        <v>#REF!</v>
      </c>
    </row>
    <row r="1180" spans="2:15" ht="17.399999999999999">
      <c r="B1180" s="42" t="s">
        <v>42</v>
      </c>
      <c r="C1180" s="39">
        <f>'تقرير المصروفات حسب الشهر'!N14</f>
        <v>0</v>
      </c>
      <c r="D1180" s="31" t="e">
        <f>#REF!</f>
        <v>#REF!</v>
      </c>
      <c r="E1180" s="31" t="e">
        <f>#REF!</f>
        <v>#REF!</v>
      </c>
      <c r="F1180" s="31" t="e">
        <f>#REF!</f>
        <v>#REF!</v>
      </c>
      <c r="G1180" s="31" t="e">
        <f>#REF!</f>
        <v>#REF!</v>
      </c>
      <c r="H1180" s="31" t="e">
        <f>#REF!</f>
        <v>#REF!</v>
      </c>
      <c r="I1180" s="31">
        <f>'تقرير المصروفات حسب الشهر'!N767</f>
        <v>0</v>
      </c>
      <c r="J1180" s="31">
        <f>'تقرير المصروفات حسب الشهر'!N894</f>
        <v>0</v>
      </c>
      <c r="K1180" s="31">
        <f>'تقرير المصروفات حسب الشهر'!N1021</f>
        <v>0</v>
      </c>
      <c r="L1180" s="292">
        <f>IFERROR(VLOOKUP(B1180,'تقرير المصروفات حسب الشهر'!$C$1143:$AD$1254,12,FALSE),0)</f>
        <v>0</v>
      </c>
      <c r="M1180" s="292">
        <f>IFERROR(VLOOKUP(B1180,'تقرير المصروفات حسب الشهر'!$C$1270:$AD$1381,12,FALSE),0)</f>
        <v>0</v>
      </c>
      <c r="N1180" s="31" t="e">
        <f>#REF!</f>
        <v>#REF!</v>
      </c>
      <c r="O1180" s="37" t="e">
        <f t="shared" si="30"/>
        <v>#REF!</v>
      </c>
    </row>
    <row r="1181" spans="2:15" ht="17.399999999999999">
      <c r="B1181" s="42" t="s">
        <v>43</v>
      </c>
      <c r="C1181" s="39">
        <f>'تقرير المصروفات حسب الشهر'!N15</f>
        <v>0</v>
      </c>
      <c r="D1181" s="31" t="e">
        <f>#REF!</f>
        <v>#REF!</v>
      </c>
      <c r="E1181" s="31" t="e">
        <f>#REF!</f>
        <v>#REF!</v>
      </c>
      <c r="F1181" s="31" t="e">
        <f>#REF!</f>
        <v>#REF!</v>
      </c>
      <c r="G1181" s="31" t="e">
        <f>#REF!</f>
        <v>#REF!</v>
      </c>
      <c r="H1181" s="31" t="e">
        <f>#REF!</f>
        <v>#REF!</v>
      </c>
      <c r="I1181" s="31">
        <f>'تقرير المصروفات حسب الشهر'!N768</f>
        <v>0</v>
      </c>
      <c r="J1181" s="31">
        <f>'تقرير المصروفات حسب الشهر'!N895</f>
        <v>0</v>
      </c>
      <c r="K1181" s="31">
        <f>'تقرير المصروفات حسب الشهر'!N1022</f>
        <v>0</v>
      </c>
      <c r="L1181" s="292">
        <f>IFERROR(VLOOKUP(B1181,'تقرير المصروفات حسب الشهر'!$C$1143:$AD$1254,12,FALSE),0)</f>
        <v>0</v>
      </c>
      <c r="M1181" s="292">
        <f>IFERROR(VLOOKUP(B1181,'تقرير المصروفات حسب الشهر'!$C$1270:$AD$1381,12,FALSE),0)</f>
        <v>0</v>
      </c>
      <c r="N1181" s="31" t="e">
        <f>#REF!</f>
        <v>#REF!</v>
      </c>
      <c r="O1181" s="37" t="e">
        <f t="shared" si="30"/>
        <v>#REF!</v>
      </c>
    </row>
    <row r="1182" spans="2:15" ht="17.399999999999999">
      <c r="B1182" s="42" t="s">
        <v>44</v>
      </c>
      <c r="C1182" s="39">
        <f>'تقرير المصروفات حسب الشهر'!N16</f>
        <v>0</v>
      </c>
      <c r="D1182" s="31" t="e">
        <f>#REF!</f>
        <v>#REF!</v>
      </c>
      <c r="E1182" s="31" t="e">
        <f>#REF!</f>
        <v>#REF!</v>
      </c>
      <c r="F1182" s="31" t="e">
        <f>#REF!</f>
        <v>#REF!</v>
      </c>
      <c r="G1182" s="31" t="e">
        <f>#REF!</f>
        <v>#REF!</v>
      </c>
      <c r="H1182" s="31" t="e">
        <f>#REF!</f>
        <v>#REF!</v>
      </c>
      <c r="I1182" s="31">
        <f>'تقرير المصروفات حسب الشهر'!N769</f>
        <v>0</v>
      </c>
      <c r="J1182" s="31">
        <f>'تقرير المصروفات حسب الشهر'!N896</f>
        <v>0</v>
      </c>
      <c r="K1182" s="31">
        <f>'تقرير المصروفات حسب الشهر'!N1023</f>
        <v>0</v>
      </c>
      <c r="L1182" s="292">
        <f>IFERROR(VLOOKUP(B1182,'تقرير المصروفات حسب الشهر'!$C$1143:$AD$1254,12,FALSE),0)</f>
        <v>0</v>
      </c>
      <c r="M1182" s="292">
        <f>IFERROR(VLOOKUP(B1182,'تقرير المصروفات حسب الشهر'!$C$1270:$AD$1381,12,FALSE),0)</f>
        <v>0</v>
      </c>
      <c r="N1182" s="31" t="e">
        <f>#REF!</f>
        <v>#REF!</v>
      </c>
      <c r="O1182" s="37" t="e">
        <f t="shared" si="30"/>
        <v>#REF!</v>
      </c>
    </row>
    <row r="1183" spans="2:15" ht="17.399999999999999">
      <c r="B1183" s="42" t="s">
        <v>45</v>
      </c>
      <c r="C1183" s="39">
        <f>'تقرير المصروفات حسب الشهر'!N17</f>
        <v>12000</v>
      </c>
      <c r="D1183" s="31" t="e">
        <f>#REF!</f>
        <v>#REF!</v>
      </c>
      <c r="E1183" s="31" t="e">
        <f>#REF!</f>
        <v>#REF!</v>
      </c>
      <c r="F1183" s="31" t="e">
        <f>#REF!</f>
        <v>#REF!</v>
      </c>
      <c r="G1183" s="31" t="e">
        <f>#REF!</f>
        <v>#REF!</v>
      </c>
      <c r="H1183" s="31" t="e">
        <f>#REF!</f>
        <v>#REF!</v>
      </c>
      <c r="I1183" s="31">
        <f>'تقرير المصروفات حسب الشهر'!N770</f>
        <v>13200</v>
      </c>
      <c r="J1183" s="31">
        <f>'تقرير المصروفات حسب الشهر'!N897</f>
        <v>13200</v>
      </c>
      <c r="K1183" s="31">
        <f>'تقرير المصروفات حسب الشهر'!N1024</f>
        <v>13200</v>
      </c>
      <c r="L1183" s="292">
        <f>IFERROR(VLOOKUP(B1183,'تقرير المصروفات حسب الشهر'!$C$1143:$AD$1254,12,FALSE),0)</f>
        <v>13200</v>
      </c>
      <c r="M1183" s="292">
        <f>IFERROR(VLOOKUP(B1183,'تقرير المصروفات حسب الشهر'!$C$1270:$AD$1381,12,FALSE),0)</f>
        <v>13200</v>
      </c>
      <c r="N1183" s="31" t="e">
        <f>#REF!</f>
        <v>#REF!</v>
      </c>
      <c r="O1183" s="37" t="e">
        <f t="shared" si="30"/>
        <v>#REF!</v>
      </c>
    </row>
    <row r="1184" spans="2:15" ht="17.399999999999999">
      <c r="B1184" s="42" t="s">
        <v>156</v>
      </c>
      <c r="C1184" s="39">
        <f>'تقرير المصروفات حسب الشهر'!N18</f>
        <v>0</v>
      </c>
      <c r="D1184" s="31" t="e">
        <f>#REF!</f>
        <v>#REF!</v>
      </c>
      <c r="E1184" s="31" t="e">
        <f>#REF!</f>
        <v>#REF!</v>
      </c>
      <c r="F1184" s="31" t="e">
        <f>#REF!</f>
        <v>#REF!</v>
      </c>
      <c r="G1184" s="31" t="e">
        <f>#REF!</f>
        <v>#REF!</v>
      </c>
      <c r="H1184" s="31" t="e">
        <f>#REF!</f>
        <v>#REF!</v>
      </c>
      <c r="I1184" s="31">
        <f>'تقرير المصروفات حسب الشهر'!N771</f>
        <v>0</v>
      </c>
      <c r="J1184" s="31">
        <f>'تقرير المصروفات حسب الشهر'!N898</f>
        <v>0</v>
      </c>
      <c r="K1184" s="31">
        <f>'تقرير المصروفات حسب الشهر'!N1025</f>
        <v>0</v>
      </c>
      <c r="L1184" s="292">
        <f>IFERROR(VLOOKUP(B1184,'تقرير المصروفات حسب الشهر'!$C$1143:$AD$1254,12,FALSE),0)</f>
        <v>225.5</v>
      </c>
      <c r="M1184" s="292">
        <f>IFERROR(VLOOKUP(B1184,'تقرير المصروفات حسب الشهر'!$C$1270:$AD$1381,12,FALSE),0)</f>
        <v>0</v>
      </c>
      <c r="N1184" s="31" t="e">
        <f>#REF!</f>
        <v>#REF!</v>
      </c>
      <c r="O1184" s="37" t="e">
        <f t="shared" si="30"/>
        <v>#REF!</v>
      </c>
    </row>
    <row r="1185" spans="2:15" ht="17.399999999999999">
      <c r="B1185" s="42" t="s">
        <v>46</v>
      </c>
      <c r="C1185" s="39">
        <f>'تقرير المصروفات حسب الشهر'!N19</f>
        <v>54.67</v>
      </c>
      <c r="D1185" s="31" t="e">
        <f>#REF!</f>
        <v>#REF!</v>
      </c>
      <c r="E1185" s="31" t="e">
        <f>#REF!</f>
        <v>#REF!</v>
      </c>
      <c r="F1185" s="31" t="e">
        <f>#REF!</f>
        <v>#REF!</v>
      </c>
      <c r="G1185" s="31" t="e">
        <f>#REF!</f>
        <v>#REF!</v>
      </c>
      <c r="H1185" s="31" t="e">
        <f>#REF!</f>
        <v>#REF!</v>
      </c>
      <c r="I1185" s="31">
        <f>'تقرير المصروفات حسب الشهر'!N772</f>
        <v>54.67</v>
      </c>
      <c r="J1185" s="31">
        <f>'تقرير المصروفات حسب الشهر'!N899</f>
        <v>54.67</v>
      </c>
      <c r="K1185" s="31">
        <f>'تقرير المصروفات حسب الشهر'!N1026</f>
        <v>54.67</v>
      </c>
      <c r="L1185" s="292">
        <f>IFERROR(VLOOKUP(B1185,'تقرير المصروفات حسب الشهر'!$C$1143:$AD$1254,12,FALSE),0)</f>
        <v>54.67</v>
      </c>
      <c r="M1185" s="292">
        <f>IFERROR(VLOOKUP(B1185,'تقرير المصروفات حسب الشهر'!$C$1270:$AD$1381,12,FALSE),0)</f>
        <v>164.67</v>
      </c>
      <c r="N1185" s="31" t="e">
        <f>#REF!</f>
        <v>#REF!</v>
      </c>
      <c r="O1185" s="37" t="e">
        <f t="shared" si="30"/>
        <v>#REF!</v>
      </c>
    </row>
    <row r="1186" spans="2:15" ht="17.399999999999999">
      <c r="B1186" s="42" t="s">
        <v>47</v>
      </c>
      <c r="C1186" s="39">
        <f>'تقرير المصروفات حسب الشهر'!N20</f>
        <v>0</v>
      </c>
      <c r="D1186" s="31" t="e">
        <f>#REF!</f>
        <v>#REF!</v>
      </c>
      <c r="E1186" s="31" t="e">
        <f>#REF!</f>
        <v>#REF!</v>
      </c>
      <c r="F1186" s="31" t="e">
        <f>#REF!</f>
        <v>#REF!</v>
      </c>
      <c r="G1186" s="31" t="e">
        <f>#REF!</f>
        <v>#REF!</v>
      </c>
      <c r="H1186" s="31" t="e">
        <f>#REF!</f>
        <v>#REF!</v>
      </c>
      <c r="I1186" s="31">
        <f>'تقرير المصروفات حسب الشهر'!N773</f>
        <v>0</v>
      </c>
      <c r="J1186" s="31">
        <f>'تقرير المصروفات حسب الشهر'!N900</f>
        <v>0</v>
      </c>
      <c r="K1186" s="31">
        <f>'تقرير المصروفات حسب الشهر'!N1027</f>
        <v>0</v>
      </c>
      <c r="L1186" s="292">
        <f>IFERROR(VLOOKUP(B1186,'تقرير المصروفات حسب الشهر'!$C$1143:$AD$1254,12,FALSE),0)</f>
        <v>0</v>
      </c>
      <c r="M1186" s="292">
        <f>IFERROR(VLOOKUP(B1186,'تقرير المصروفات حسب الشهر'!$C$1270:$AD$1381,12,FALSE),0)</f>
        <v>0</v>
      </c>
      <c r="N1186" s="31" t="e">
        <f>#REF!</f>
        <v>#REF!</v>
      </c>
      <c r="O1186" s="37" t="e">
        <f t="shared" si="30"/>
        <v>#REF!</v>
      </c>
    </row>
    <row r="1187" spans="2:15" ht="17.399999999999999">
      <c r="B1187" s="42" t="s">
        <v>48</v>
      </c>
      <c r="C1187" s="39">
        <f>'تقرير المصروفات حسب الشهر'!N21</f>
        <v>0</v>
      </c>
      <c r="D1187" s="31" t="e">
        <f>#REF!</f>
        <v>#REF!</v>
      </c>
      <c r="E1187" s="31" t="e">
        <f>#REF!</f>
        <v>#REF!</v>
      </c>
      <c r="F1187" s="31" t="e">
        <f>#REF!</f>
        <v>#REF!</v>
      </c>
      <c r="G1187" s="31" t="e">
        <f>#REF!</f>
        <v>#REF!</v>
      </c>
      <c r="H1187" s="31" t="e">
        <f>#REF!</f>
        <v>#REF!</v>
      </c>
      <c r="I1187" s="31">
        <f>'تقرير المصروفات حسب الشهر'!N774</f>
        <v>0</v>
      </c>
      <c r="J1187" s="31">
        <f>'تقرير المصروفات حسب الشهر'!N901</f>
        <v>0</v>
      </c>
      <c r="K1187" s="31">
        <f>'تقرير المصروفات حسب الشهر'!N1028</f>
        <v>0</v>
      </c>
      <c r="L1187" s="292">
        <f>IFERROR(VLOOKUP(B1187,'تقرير المصروفات حسب الشهر'!$C$1143:$AD$1254,12,FALSE),0)</f>
        <v>0</v>
      </c>
      <c r="M1187" s="292">
        <f>IFERROR(VLOOKUP(B1187,'تقرير المصروفات حسب الشهر'!$C$1270:$AD$1381,12,FALSE),0)</f>
        <v>0</v>
      </c>
      <c r="N1187" s="31" t="e">
        <f>#REF!</f>
        <v>#REF!</v>
      </c>
      <c r="O1187" s="37" t="e">
        <f t="shared" si="30"/>
        <v>#REF!</v>
      </c>
    </row>
    <row r="1188" spans="2:15" ht="17.399999999999999">
      <c r="B1188" s="42" t="s">
        <v>49</v>
      </c>
      <c r="C1188" s="39">
        <f>'تقرير المصروفات حسب الشهر'!N22</f>
        <v>0</v>
      </c>
      <c r="D1188" s="31" t="e">
        <f>#REF!</f>
        <v>#REF!</v>
      </c>
      <c r="E1188" s="31" t="e">
        <f>#REF!</f>
        <v>#REF!</v>
      </c>
      <c r="F1188" s="31" t="e">
        <f>#REF!</f>
        <v>#REF!</v>
      </c>
      <c r="G1188" s="31" t="e">
        <f>#REF!</f>
        <v>#REF!</v>
      </c>
      <c r="H1188" s="31" t="e">
        <f>#REF!</f>
        <v>#REF!</v>
      </c>
      <c r="I1188" s="31">
        <f>'تقرير المصروفات حسب الشهر'!N775</f>
        <v>0</v>
      </c>
      <c r="J1188" s="31">
        <f>'تقرير المصروفات حسب الشهر'!N902</f>
        <v>0</v>
      </c>
      <c r="K1188" s="31">
        <f>'تقرير المصروفات حسب الشهر'!N1029</f>
        <v>0</v>
      </c>
      <c r="L1188" s="292">
        <f>IFERROR(VLOOKUP(B1188,'تقرير المصروفات حسب الشهر'!$C$1143:$AD$1254,12,FALSE),0)</f>
        <v>0</v>
      </c>
      <c r="M1188" s="292">
        <f>IFERROR(VLOOKUP(B1188,'تقرير المصروفات حسب الشهر'!$C$1270:$AD$1381,12,FALSE),0)</f>
        <v>0</v>
      </c>
      <c r="N1188" s="31" t="e">
        <f>#REF!</f>
        <v>#REF!</v>
      </c>
      <c r="O1188" s="37" t="e">
        <f t="shared" si="30"/>
        <v>#REF!</v>
      </c>
    </row>
    <row r="1189" spans="2:15" ht="17.399999999999999">
      <c r="B1189" s="42" t="s">
        <v>158</v>
      </c>
      <c r="C1189" s="39">
        <f>'تقرير المصروفات حسب الشهر'!N23</f>
        <v>0</v>
      </c>
      <c r="D1189" s="31" t="e">
        <f>#REF!</f>
        <v>#REF!</v>
      </c>
      <c r="E1189" s="31" t="e">
        <f>#REF!</f>
        <v>#REF!</v>
      </c>
      <c r="F1189" s="31" t="e">
        <f>#REF!</f>
        <v>#REF!</v>
      </c>
      <c r="G1189" s="31" t="e">
        <f>#REF!</f>
        <v>#REF!</v>
      </c>
      <c r="H1189" s="31" t="e">
        <f>#REF!</f>
        <v>#REF!</v>
      </c>
      <c r="I1189" s="31">
        <f>'تقرير المصروفات حسب الشهر'!N776</f>
        <v>0</v>
      </c>
      <c r="J1189" s="31">
        <f>'تقرير المصروفات حسب الشهر'!N903</f>
        <v>0</v>
      </c>
      <c r="K1189" s="31">
        <f>'تقرير المصروفات حسب الشهر'!N1030</f>
        <v>0</v>
      </c>
      <c r="L1189" s="292">
        <f>IFERROR(VLOOKUP(B1189,'تقرير المصروفات حسب الشهر'!$C$1143:$AD$1254,12,FALSE),0)</f>
        <v>0</v>
      </c>
      <c r="M1189" s="292">
        <f>IFERROR(VLOOKUP(B1189,'تقرير المصروفات حسب الشهر'!$C$1270:$AD$1381,12,FALSE),0)</f>
        <v>0</v>
      </c>
      <c r="N1189" s="31" t="e">
        <f>#REF!</f>
        <v>#REF!</v>
      </c>
      <c r="O1189" s="37" t="e">
        <f t="shared" si="30"/>
        <v>#REF!</v>
      </c>
    </row>
    <row r="1190" spans="2:15" ht="17.399999999999999">
      <c r="B1190" s="42" t="s">
        <v>50</v>
      </c>
      <c r="C1190" s="39">
        <f>'تقرير المصروفات حسب الشهر'!N24</f>
        <v>0</v>
      </c>
      <c r="D1190" s="31" t="e">
        <f>#REF!</f>
        <v>#REF!</v>
      </c>
      <c r="E1190" s="31" t="e">
        <f>#REF!</f>
        <v>#REF!</v>
      </c>
      <c r="F1190" s="31" t="e">
        <f>#REF!</f>
        <v>#REF!</v>
      </c>
      <c r="G1190" s="31" t="e">
        <f>#REF!</f>
        <v>#REF!</v>
      </c>
      <c r="H1190" s="31" t="e">
        <f>#REF!</f>
        <v>#REF!</v>
      </c>
      <c r="I1190" s="31">
        <f>'تقرير المصروفات حسب الشهر'!N777</f>
        <v>0</v>
      </c>
      <c r="J1190" s="31">
        <f>'تقرير المصروفات حسب الشهر'!N904</f>
        <v>770</v>
      </c>
      <c r="K1190" s="31">
        <f>'تقرير المصروفات حسب الشهر'!N1031</f>
        <v>0</v>
      </c>
      <c r="L1190" s="292">
        <f>IFERROR(VLOOKUP(B1190,'تقرير المصروفات حسب الشهر'!$C$1143:$AD$1254,12,FALSE),0)</f>
        <v>0</v>
      </c>
      <c r="M1190" s="292">
        <f>IFERROR(VLOOKUP(B1190,'تقرير المصروفات حسب الشهر'!$C$1270:$AD$1381,12,FALSE),0)</f>
        <v>0</v>
      </c>
      <c r="N1190" s="31" t="e">
        <f>#REF!</f>
        <v>#REF!</v>
      </c>
      <c r="O1190" s="37" t="e">
        <f t="shared" si="30"/>
        <v>#REF!</v>
      </c>
    </row>
    <row r="1191" spans="2:15" ht="17.399999999999999">
      <c r="B1191" s="42" t="s">
        <v>51</v>
      </c>
      <c r="C1191" s="39">
        <f>'تقرير المصروفات حسب الشهر'!N25</f>
        <v>0</v>
      </c>
      <c r="D1191" s="31" t="e">
        <f>#REF!</f>
        <v>#REF!</v>
      </c>
      <c r="E1191" s="31" t="e">
        <f>#REF!</f>
        <v>#REF!</v>
      </c>
      <c r="F1191" s="31" t="e">
        <f>#REF!</f>
        <v>#REF!</v>
      </c>
      <c r="G1191" s="31" t="e">
        <f>#REF!</f>
        <v>#REF!</v>
      </c>
      <c r="H1191" s="31" t="e">
        <f>#REF!</f>
        <v>#REF!</v>
      </c>
      <c r="I1191" s="31">
        <f>'تقرير المصروفات حسب الشهر'!N778</f>
        <v>0</v>
      </c>
      <c r="J1191" s="31">
        <f>'تقرير المصروفات حسب الشهر'!N905</f>
        <v>0</v>
      </c>
      <c r="K1191" s="31">
        <f>'تقرير المصروفات حسب الشهر'!N1032</f>
        <v>0</v>
      </c>
      <c r="L1191" s="292">
        <f>IFERROR(VLOOKUP(B1191,'تقرير المصروفات حسب الشهر'!$C$1143:$AD$1254,12,FALSE),0)</f>
        <v>2250</v>
      </c>
      <c r="M1191" s="292">
        <f>IFERROR(VLOOKUP(B1191,'تقرير المصروفات حسب الشهر'!$C$1270:$AD$1381,12,FALSE),0)</f>
        <v>0</v>
      </c>
      <c r="N1191" s="31" t="e">
        <f>#REF!</f>
        <v>#REF!</v>
      </c>
      <c r="O1191" s="37" t="e">
        <f t="shared" si="30"/>
        <v>#REF!</v>
      </c>
    </row>
    <row r="1192" spans="2:15" ht="17.399999999999999">
      <c r="B1192" s="42" t="s">
        <v>52</v>
      </c>
      <c r="C1192" s="39">
        <f>'تقرير المصروفات حسب الشهر'!N26</f>
        <v>0</v>
      </c>
      <c r="D1192" s="31" t="e">
        <f>#REF!</f>
        <v>#REF!</v>
      </c>
      <c r="E1192" s="31" t="e">
        <f>#REF!</f>
        <v>#REF!</v>
      </c>
      <c r="F1192" s="31" t="e">
        <f>#REF!</f>
        <v>#REF!</v>
      </c>
      <c r="G1192" s="31" t="e">
        <f>#REF!</f>
        <v>#REF!</v>
      </c>
      <c r="H1192" s="31" t="e">
        <f>#REF!</f>
        <v>#REF!</v>
      </c>
      <c r="I1192" s="31">
        <f>'تقرير المصروفات حسب الشهر'!N779</f>
        <v>0</v>
      </c>
      <c r="J1192" s="31">
        <f>'تقرير المصروفات حسب الشهر'!N906</f>
        <v>0</v>
      </c>
      <c r="K1192" s="31">
        <f>'تقرير المصروفات حسب الشهر'!N1033</f>
        <v>0</v>
      </c>
      <c r="L1192" s="292">
        <f>IFERROR(VLOOKUP(B1192,'تقرير المصروفات حسب الشهر'!$C$1143:$AD$1254,12,FALSE),0)</f>
        <v>0</v>
      </c>
      <c r="M1192" s="292">
        <f>IFERROR(VLOOKUP(B1192,'تقرير المصروفات حسب الشهر'!$C$1270:$AD$1381,12,FALSE),0)</f>
        <v>0</v>
      </c>
      <c r="N1192" s="31" t="e">
        <f>#REF!</f>
        <v>#REF!</v>
      </c>
      <c r="O1192" s="37" t="e">
        <f t="shared" si="30"/>
        <v>#REF!</v>
      </c>
    </row>
    <row r="1193" spans="2:15" ht="17.399999999999999">
      <c r="B1193" s="42" t="s">
        <v>174</v>
      </c>
      <c r="C1193" s="39">
        <f>'تقرير المصروفات حسب الشهر'!N27</f>
        <v>0</v>
      </c>
      <c r="D1193" s="31" t="e">
        <f>#REF!</f>
        <v>#REF!</v>
      </c>
      <c r="E1193" s="31" t="e">
        <f>#REF!</f>
        <v>#REF!</v>
      </c>
      <c r="F1193" s="31" t="e">
        <f>#REF!</f>
        <v>#REF!</v>
      </c>
      <c r="G1193" s="31" t="e">
        <f>#REF!</f>
        <v>#REF!</v>
      </c>
      <c r="H1193" s="31" t="e">
        <f>#REF!</f>
        <v>#REF!</v>
      </c>
      <c r="I1193" s="31">
        <f>'تقرير المصروفات حسب الشهر'!N780</f>
        <v>0</v>
      </c>
      <c r="J1193" s="31">
        <f>'تقرير المصروفات حسب الشهر'!N907</f>
        <v>0</v>
      </c>
      <c r="K1193" s="31">
        <f>'تقرير المصروفات حسب الشهر'!N1034</f>
        <v>0</v>
      </c>
      <c r="L1193" s="292">
        <f>IFERROR(VLOOKUP(B1193,'تقرير المصروفات حسب الشهر'!$C$1143:$AD$1254,12,FALSE),0)</f>
        <v>0</v>
      </c>
      <c r="M1193" s="292">
        <f>IFERROR(VLOOKUP(B1193,'تقرير المصروفات حسب الشهر'!$C$1270:$AD$1381,12,FALSE),0)</f>
        <v>1206</v>
      </c>
      <c r="N1193" s="31" t="e">
        <f>#REF!</f>
        <v>#REF!</v>
      </c>
      <c r="O1193" s="37" t="e">
        <f t="shared" si="30"/>
        <v>#REF!</v>
      </c>
    </row>
    <row r="1194" spans="2:15" ht="17.399999999999999">
      <c r="B1194" s="42" t="s">
        <v>53</v>
      </c>
      <c r="C1194" s="39">
        <f>'تقرير المصروفات حسب الشهر'!N28</f>
        <v>0</v>
      </c>
      <c r="D1194" s="31" t="e">
        <f>#REF!</f>
        <v>#REF!</v>
      </c>
      <c r="E1194" s="31" t="e">
        <f>#REF!</f>
        <v>#REF!</v>
      </c>
      <c r="F1194" s="31" t="e">
        <f>#REF!</f>
        <v>#REF!</v>
      </c>
      <c r="G1194" s="31" t="e">
        <f>#REF!</f>
        <v>#REF!</v>
      </c>
      <c r="H1194" s="31" t="e">
        <f>#REF!</f>
        <v>#REF!</v>
      </c>
      <c r="I1194" s="31">
        <f>'تقرير المصروفات حسب الشهر'!N781</f>
        <v>0</v>
      </c>
      <c r="J1194" s="31">
        <f>'تقرير المصروفات حسب الشهر'!N908</f>
        <v>0</v>
      </c>
      <c r="K1194" s="31">
        <f>'تقرير المصروفات حسب الشهر'!N1035</f>
        <v>0</v>
      </c>
      <c r="L1194" s="292">
        <f>IFERROR(VLOOKUP(B1194,'تقرير المصروفات حسب الشهر'!$C$1143:$AD$1254,12,FALSE),0)</f>
        <v>0</v>
      </c>
      <c r="M1194" s="292">
        <f>IFERROR(VLOOKUP(B1194,'تقرير المصروفات حسب الشهر'!$C$1270:$AD$1381,12,FALSE),0)</f>
        <v>0</v>
      </c>
      <c r="N1194" s="31" t="e">
        <f>#REF!</f>
        <v>#REF!</v>
      </c>
      <c r="O1194" s="37" t="e">
        <f t="shared" si="30"/>
        <v>#REF!</v>
      </c>
    </row>
    <row r="1195" spans="2:15" ht="17.399999999999999">
      <c r="B1195" s="42" t="s">
        <v>191</v>
      </c>
      <c r="C1195" s="39">
        <f>'تقرير المصروفات حسب الشهر'!N29</f>
        <v>0</v>
      </c>
      <c r="D1195" s="31" t="e">
        <f>#REF!</f>
        <v>#REF!</v>
      </c>
      <c r="E1195" s="31" t="e">
        <f>#REF!</f>
        <v>#REF!</v>
      </c>
      <c r="F1195" s="31" t="e">
        <f>#REF!</f>
        <v>#REF!</v>
      </c>
      <c r="G1195" s="31" t="e">
        <f>#REF!</f>
        <v>#REF!</v>
      </c>
      <c r="H1195" s="31" t="e">
        <f>#REF!</f>
        <v>#REF!</v>
      </c>
      <c r="I1195" s="31">
        <f>'تقرير المصروفات حسب الشهر'!N782</f>
        <v>0</v>
      </c>
      <c r="J1195" s="31">
        <f>'تقرير المصروفات حسب الشهر'!N909</f>
        <v>0</v>
      </c>
      <c r="K1195" s="31">
        <f>'تقرير المصروفات حسب الشهر'!N1036</f>
        <v>0</v>
      </c>
      <c r="L1195" s="292">
        <f>IFERROR(VLOOKUP(B1195,'تقرير المصروفات حسب الشهر'!$C$1143:$AD$1254,12,FALSE),0)</f>
        <v>0</v>
      </c>
      <c r="M1195" s="292">
        <f>IFERROR(VLOOKUP(B1195,'تقرير المصروفات حسب الشهر'!$C$1270:$AD$1381,12,FALSE),0)</f>
        <v>0</v>
      </c>
      <c r="N1195" s="31" t="e">
        <f>#REF!</f>
        <v>#REF!</v>
      </c>
      <c r="O1195" s="37" t="e">
        <f t="shared" si="30"/>
        <v>#REF!</v>
      </c>
    </row>
    <row r="1196" spans="2:15" ht="17.399999999999999">
      <c r="B1196" s="42" t="s">
        <v>29</v>
      </c>
      <c r="C1196" s="39">
        <f>'تقرير المصروفات حسب الشهر'!N30</f>
        <v>0</v>
      </c>
      <c r="D1196" s="31" t="e">
        <f>#REF!</f>
        <v>#REF!</v>
      </c>
      <c r="E1196" s="31" t="e">
        <f>#REF!</f>
        <v>#REF!</v>
      </c>
      <c r="F1196" s="31" t="e">
        <f>#REF!</f>
        <v>#REF!</v>
      </c>
      <c r="G1196" s="31" t="e">
        <f>#REF!</f>
        <v>#REF!</v>
      </c>
      <c r="H1196" s="31" t="e">
        <f>#REF!</f>
        <v>#REF!</v>
      </c>
      <c r="I1196" s="31">
        <f>'تقرير المصروفات حسب الشهر'!N783</f>
        <v>0</v>
      </c>
      <c r="J1196" s="31">
        <f>'تقرير المصروفات حسب الشهر'!N910</f>
        <v>0</v>
      </c>
      <c r="K1196" s="31">
        <f>'تقرير المصروفات حسب الشهر'!N1037</f>
        <v>0</v>
      </c>
      <c r="L1196" s="292">
        <f>IFERROR(VLOOKUP(B1196,'تقرير المصروفات حسب الشهر'!$C$1143:$AD$1254,12,FALSE),0)</f>
        <v>0</v>
      </c>
      <c r="M1196" s="292">
        <f>IFERROR(VLOOKUP(B1196,'تقرير المصروفات حسب الشهر'!$C$1270:$AD$1381,12,FALSE),0)</f>
        <v>0</v>
      </c>
      <c r="N1196" s="31" t="e">
        <f>#REF!</f>
        <v>#REF!</v>
      </c>
      <c r="O1196" s="37" t="e">
        <f t="shared" si="30"/>
        <v>#REF!</v>
      </c>
    </row>
    <row r="1197" spans="2:15" ht="17.399999999999999">
      <c r="B1197" s="42" t="s">
        <v>54</v>
      </c>
      <c r="C1197" s="39">
        <f>'تقرير المصروفات حسب الشهر'!N31</f>
        <v>0</v>
      </c>
      <c r="D1197" s="31" t="e">
        <f>#REF!</f>
        <v>#REF!</v>
      </c>
      <c r="E1197" s="31" t="e">
        <f>#REF!</f>
        <v>#REF!</v>
      </c>
      <c r="F1197" s="31" t="e">
        <f>#REF!</f>
        <v>#REF!</v>
      </c>
      <c r="G1197" s="31" t="e">
        <f>#REF!</f>
        <v>#REF!</v>
      </c>
      <c r="H1197" s="31" t="e">
        <f>#REF!</f>
        <v>#REF!</v>
      </c>
      <c r="I1197" s="31">
        <f>'تقرير المصروفات حسب الشهر'!N784</f>
        <v>0</v>
      </c>
      <c r="J1197" s="31">
        <f>'تقرير المصروفات حسب الشهر'!N911</f>
        <v>0</v>
      </c>
      <c r="K1197" s="31">
        <f>'تقرير المصروفات حسب الشهر'!N1038</f>
        <v>0</v>
      </c>
      <c r="L1197" s="292">
        <f>IFERROR(VLOOKUP(B1197,'تقرير المصروفات حسب الشهر'!$C$1143:$AD$1254,12,FALSE),0)</f>
        <v>0</v>
      </c>
      <c r="M1197" s="292">
        <f>IFERROR(VLOOKUP(B1197,'تقرير المصروفات حسب الشهر'!$C$1270:$AD$1381,12,FALSE),0)</f>
        <v>0</v>
      </c>
      <c r="N1197" s="31" t="e">
        <f>#REF!</f>
        <v>#REF!</v>
      </c>
      <c r="O1197" s="37" t="e">
        <f t="shared" si="30"/>
        <v>#REF!</v>
      </c>
    </row>
    <row r="1198" spans="2:15" ht="17.399999999999999">
      <c r="B1198" s="42" t="s">
        <v>31</v>
      </c>
      <c r="C1198" s="39">
        <f>'تقرير المصروفات حسب الشهر'!N32</f>
        <v>0</v>
      </c>
      <c r="D1198" s="31" t="e">
        <f>#REF!</f>
        <v>#REF!</v>
      </c>
      <c r="E1198" s="31" t="e">
        <f>#REF!</f>
        <v>#REF!</v>
      </c>
      <c r="F1198" s="31" t="e">
        <f>#REF!</f>
        <v>#REF!</v>
      </c>
      <c r="G1198" s="31" t="e">
        <f>#REF!</f>
        <v>#REF!</v>
      </c>
      <c r="H1198" s="31" t="e">
        <f>#REF!</f>
        <v>#REF!</v>
      </c>
      <c r="I1198" s="31">
        <f>'تقرير المصروفات حسب الشهر'!N785</f>
        <v>0</v>
      </c>
      <c r="J1198" s="31">
        <f>'تقرير المصروفات حسب الشهر'!N912</f>
        <v>0</v>
      </c>
      <c r="K1198" s="31">
        <f>'تقرير المصروفات حسب الشهر'!N1039</f>
        <v>0</v>
      </c>
      <c r="L1198" s="292">
        <f>IFERROR(VLOOKUP(B1198,'تقرير المصروفات حسب الشهر'!$C$1143:$AD$1254,12,FALSE),0)</f>
        <v>0</v>
      </c>
      <c r="M1198" s="292">
        <f>IFERROR(VLOOKUP(B1198,'تقرير المصروفات حسب الشهر'!$C$1270:$AD$1381,12,FALSE),0)</f>
        <v>0</v>
      </c>
      <c r="N1198" s="31" t="e">
        <f>#REF!</f>
        <v>#REF!</v>
      </c>
      <c r="O1198" s="37" t="e">
        <f t="shared" si="30"/>
        <v>#REF!</v>
      </c>
    </row>
    <row r="1199" spans="2:15" ht="17.399999999999999">
      <c r="B1199" s="42" t="s">
        <v>55</v>
      </c>
      <c r="C1199" s="39">
        <f>'تقرير المصروفات حسب الشهر'!N33</f>
        <v>0</v>
      </c>
      <c r="D1199" s="31" t="e">
        <f>#REF!</f>
        <v>#REF!</v>
      </c>
      <c r="E1199" s="31" t="e">
        <f>#REF!</f>
        <v>#REF!</v>
      </c>
      <c r="F1199" s="31" t="e">
        <f>#REF!</f>
        <v>#REF!</v>
      </c>
      <c r="G1199" s="31" t="e">
        <f>#REF!</f>
        <v>#REF!</v>
      </c>
      <c r="H1199" s="31" t="e">
        <f>#REF!</f>
        <v>#REF!</v>
      </c>
      <c r="I1199" s="31">
        <f>'تقرير المصروفات حسب الشهر'!N786</f>
        <v>0</v>
      </c>
      <c r="J1199" s="31">
        <f>'تقرير المصروفات حسب الشهر'!N913</f>
        <v>0</v>
      </c>
      <c r="K1199" s="31">
        <f>'تقرير المصروفات حسب الشهر'!N1040</f>
        <v>0</v>
      </c>
      <c r="L1199" s="292">
        <f>IFERROR(VLOOKUP(B1199,'تقرير المصروفات حسب الشهر'!$C$1143:$AD$1254,12,FALSE),0)</f>
        <v>0</v>
      </c>
      <c r="M1199" s="292">
        <f>IFERROR(VLOOKUP(B1199,'تقرير المصروفات حسب الشهر'!$C$1270:$AD$1381,12,FALSE),0)</f>
        <v>0</v>
      </c>
      <c r="N1199" s="31" t="e">
        <f>#REF!</f>
        <v>#REF!</v>
      </c>
      <c r="O1199" s="37" t="e">
        <f t="shared" si="30"/>
        <v>#REF!</v>
      </c>
    </row>
    <row r="1200" spans="2:15" ht="17.399999999999999">
      <c r="B1200" s="42" t="s">
        <v>56</v>
      </c>
      <c r="C1200" s="39">
        <f>'تقرير المصروفات حسب الشهر'!N34</f>
        <v>0</v>
      </c>
      <c r="D1200" s="31" t="e">
        <f>#REF!</f>
        <v>#REF!</v>
      </c>
      <c r="E1200" s="31" t="e">
        <f>#REF!</f>
        <v>#REF!</v>
      </c>
      <c r="F1200" s="31" t="e">
        <f>#REF!</f>
        <v>#REF!</v>
      </c>
      <c r="G1200" s="31" t="e">
        <f>#REF!</f>
        <v>#REF!</v>
      </c>
      <c r="H1200" s="31" t="e">
        <f>#REF!</f>
        <v>#REF!</v>
      </c>
      <c r="I1200" s="31">
        <f>'تقرير المصروفات حسب الشهر'!N787</f>
        <v>0</v>
      </c>
      <c r="J1200" s="31">
        <f>'تقرير المصروفات حسب الشهر'!N914</f>
        <v>0</v>
      </c>
      <c r="K1200" s="31">
        <f>'تقرير المصروفات حسب الشهر'!N1041</f>
        <v>0</v>
      </c>
      <c r="L1200" s="292">
        <f>IFERROR(VLOOKUP(B1200,'تقرير المصروفات حسب الشهر'!$C$1143:$AD$1254,12,FALSE),0)</f>
        <v>0</v>
      </c>
      <c r="M1200" s="292">
        <f>IFERROR(VLOOKUP(B1200,'تقرير المصروفات حسب الشهر'!$C$1270:$AD$1381,12,FALSE),0)</f>
        <v>0</v>
      </c>
      <c r="N1200" s="31" t="e">
        <f>#REF!</f>
        <v>#REF!</v>
      </c>
      <c r="O1200" s="37" t="e">
        <f t="shared" si="30"/>
        <v>#REF!</v>
      </c>
    </row>
    <row r="1201" spans="2:15" ht="17.399999999999999">
      <c r="B1201" s="42" t="s">
        <v>57</v>
      </c>
      <c r="C1201" s="39">
        <f>'تقرير المصروفات حسب الشهر'!N35</f>
        <v>0</v>
      </c>
      <c r="D1201" s="31" t="e">
        <f>#REF!</f>
        <v>#REF!</v>
      </c>
      <c r="E1201" s="31" t="e">
        <f>#REF!</f>
        <v>#REF!</v>
      </c>
      <c r="F1201" s="31" t="e">
        <f>#REF!</f>
        <v>#REF!</v>
      </c>
      <c r="G1201" s="31" t="e">
        <f>#REF!</f>
        <v>#REF!</v>
      </c>
      <c r="H1201" s="31" t="e">
        <f>#REF!</f>
        <v>#REF!</v>
      </c>
      <c r="I1201" s="31">
        <f>'تقرير المصروفات حسب الشهر'!N788</f>
        <v>0</v>
      </c>
      <c r="J1201" s="31">
        <f>'تقرير المصروفات حسب الشهر'!N915</f>
        <v>0</v>
      </c>
      <c r="K1201" s="31">
        <f>'تقرير المصروفات حسب الشهر'!N1042</f>
        <v>0</v>
      </c>
      <c r="L1201" s="292">
        <f>IFERROR(VLOOKUP(B1201,'تقرير المصروفات حسب الشهر'!$C$1143:$AD$1254,12,FALSE),0)</f>
        <v>0</v>
      </c>
      <c r="M1201" s="292">
        <f>IFERROR(VLOOKUP(B1201,'تقرير المصروفات حسب الشهر'!$C$1270:$AD$1381,12,FALSE),0)</f>
        <v>0</v>
      </c>
      <c r="N1201" s="31" t="e">
        <f>#REF!</f>
        <v>#REF!</v>
      </c>
      <c r="O1201" s="37" t="e">
        <f t="shared" si="30"/>
        <v>#REF!</v>
      </c>
    </row>
    <row r="1202" spans="2:15" ht="17.399999999999999">
      <c r="B1202" s="42" t="s">
        <v>58</v>
      </c>
      <c r="C1202" s="39">
        <f>'تقرير المصروفات حسب الشهر'!N36</f>
        <v>0</v>
      </c>
      <c r="D1202" s="31" t="e">
        <f>#REF!</f>
        <v>#REF!</v>
      </c>
      <c r="E1202" s="31" t="e">
        <f>#REF!</f>
        <v>#REF!</v>
      </c>
      <c r="F1202" s="31" t="e">
        <f>#REF!</f>
        <v>#REF!</v>
      </c>
      <c r="G1202" s="31" t="e">
        <f>#REF!</f>
        <v>#REF!</v>
      </c>
      <c r="H1202" s="31" t="e">
        <f>#REF!</f>
        <v>#REF!</v>
      </c>
      <c r="I1202" s="31">
        <f>'تقرير المصروفات حسب الشهر'!N789</f>
        <v>0</v>
      </c>
      <c r="J1202" s="31">
        <f>'تقرير المصروفات حسب الشهر'!N916</f>
        <v>0</v>
      </c>
      <c r="K1202" s="31">
        <f>'تقرير المصروفات حسب الشهر'!N1043</f>
        <v>0</v>
      </c>
      <c r="L1202" s="292">
        <f>IFERROR(VLOOKUP(B1202,'تقرير المصروفات حسب الشهر'!$C$1143:$AD$1254,12,FALSE),0)</f>
        <v>0</v>
      </c>
      <c r="M1202" s="292">
        <f>IFERROR(VLOOKUP(B1202,'تقرير المصروفات حسب الشهر'!$C$1270:$AD$1381,12,FALSE),0)</f>
        <v>0</v>
      </c>
      <c r="N1202" s="31" t="e">
        <f>#REF!</f>
        <v>#REF!</v>
      </c>
      <c r="O1202" s="37" t="e">
        <f t="shared" si="30"/>
        <v>#REF!</v>
      </c>
    </row>
    <row r="1203" spans="2:15" ht="17.399999999999999">
      <c r="B1203" s="42" t="s">
        <v>59</v>
      </c>
      <c r="C1203" s="39">
        <f>'تقرير المصروفات حسب الشهر'!N37</f>
        <v>0</v>
      </c>
      <c r="D1203" s="31" t="e">
        <f>#REF!</f>
        <v>#REF!</v>
      </c>
      <c r="E1203" s="31" t="e">
        <f>#REF!</f>
        <v>#REF!</v>
      </c>
      <c r="F1203" s="31" t="e">
        <f>#REF!</f>
        <v>#REF!</v>
      </c>
      <c r="G1203" s="31" t="e">
        <f>#REF!</f>
        <v>#REF!</v>
      </c>
      <c r="H1203" s="31" t="e">
        <f>#REF!</f>
        <v>#REF!</v>
      </c>
      <c r="I1203" s="31">
        <f>'تقرير المصروفات حسب الشهر'!N790</f>
        <v>0</v>
      </c>
      <c r="J1203" s="31">
        <f>'تقرير المصروفات حسب الشهر'!N917</f>
        <v>0</v>
      </c>
      <c r="K1203" s="31">
        <f>'تقرير المصروفات حسب الشهر'!N1044</f>
        <v>0</v>
      </c>
      <c r="L1203" s="292">
        <f>IFERROR(VLOOKUP(B1203,'تقرير المصروفات حسب الشهر'!$C$1143:$AD$1254,12,FALSE),0)</f>
        <v>0</v>
      </c>
      <c r="M1203" s="292">
        <f>IFERROR(VLOOKUP(B1203,'تقرير المصروفات حسب الشهر'!$C$1270:$AD$1381,12,FALSE),0)</f>
        <v>0</v>
      </c>
      <c r="N1203" s="31" t="e">
        <f>#REF!</f>
        <v>#REF!</v>
      </c>
      <c r="O1203" s="37" t="e">
        <f t="shared" si="30"/>
        <v>#REF!</v>
      </c>
    </row>
    <row r="1204" spans="2:15" ht="17.399999999999999">
      <c r="B1204" s="42" t="s">
        <v>60</v>
      </c>
      <c r="C1204" s="39">
        <f>'تقرير المصروفات حسب الشهر'!N38</f>
        <v>0</v>
      </c>
      <c r="D1204" s="31" t="e">
        <f>#REF!</f>
        <v>#REF!</v>
      </c>
      <c r="E1204" s="31" t="e">
        <f>#REF!</f>
        <v>#REF!</v>
      </c>
      <c r="F1204" s="31" t="e">
        <f>#REF!</f>
        <v>#REF!</v>
      </c>
      <c r="G1204" s="31" t="e">
        <f>#REF!</f>
        <v>#REF!</v>
      </c>
      <c r="H1204" s="31" t="e">
        <f>#REF!</f>
        <v>#REF!</v>
      </c>
      <c r="I1204" s="31">
        <f>'تقرير المصروفات حسب الشهر'!N791</f>
        <v>0</v>
      </c>
      <c r="J1204" s="31">
        <f>'تقرير المصروفات حسب الشهر'!N918</f>
        <v>0</v>
      </c>
      <c r="K1204" s="31">
        <f>'تقرير المصروفات حسب الشهر'!N1045</f>
        <v>0</v>
      </c>
      <c r="L1204" s="292">
        <f>IFERROR(VLOOKUP(B1204,'تقرير المصروفات حسب الشهر'!$C$1143:$AD$1254,12,FALSE),0)</f>
        <v>0</v>
      </c>
      <c r="M1204" s="292">
        <f>IFERROR(VLOOKUP(B1204,'تقرير المصروفات حسب الشهر'!$C$1270:$AD$1381,12,FALSE),0)</f>
        <v>0</v>
      </c>
      <c r="N1204" s="31" t="e">
        <f>#REF!</f>
        <v>#REF!</v>
      </c>
      <c r="O1204" s="37" t="e">
        <f t="shared" si="30"/>
        <v>#REF!</v>
      </c>
    </row>
    <row r="1205" spans="2:15" ht="17.399999999999999">
      <c r="B1205" s="42" t="s">
        <v>61</v>
      </c>
      <c r="C1205" s="39">
        <f>'تقرير المصروفات حسب الشهر'!N39</f>
        <v>0</v>
      </c>
      <c r="D1205" s="31" t="e">
        <f>#REF!</f>
        <v>#REF!</v>
      </c>
      <c r="E1205" s="31" t="e">
        <f>#REF!</f>
        <v>#REF!</v>
      </c>
      <c r="F1205" s="31" t="e">
        <f>#REF!</f>
        <v>#REF!</v>
      </c>
      <c r="G1205" s="31" t="e">
        <f>#REF!</f>
        <v>#REF!</v>
      </c>
      <c r="H1205" s="31" t="e">
        <f>#REF!</f>
        <v>#REF!</v>
      </c>
      <c r="I1205" s="31">
        <f>'تقرير المصروفات حسب الشهر'!N792</f>
        <v>0</v>
      </c>
      <c r="J1205" s="31">
        <f>'تقرير المصروفات حسب الشهر'!N919</f>
        <v>0</v>
      </c>
      <c r="K1205" s="31">
        <f>'تقرير المصروفات حسب الشهر'!N1046</f>
        <v>0</v>
      </c>
      <c r="L1205" s="292">
        <f>IFERROR(VLOOKUP(B1205,'تقرير المصروفات حسب الشهر'!$C$1143:$AD$1254,12,FALSE),0)</f>
        <v>0</v>
      </c>
      <c r="M1205" s="292">
        <f>IFERROR(VLOOKUP(B1205,'تقرير المصروفات حسب الشهر'!$C$1270:$AD$1381,12,FALSE),0)</f>
        <v>0</v>
      </c>
      <c r="N1205" s="31" t="e">
        <f>#REF!</f>
        <v>#REF!</v>
      </c>
      <c r="O1205" s="37" t="e">
        <f t="shared" si="30"/>
        <v>#REF!</v>
      </c>
    </row>
    <row r="1206" spans="2:15" ht="17.399999999999999">
      <c r="B1206" s="42" t="s">
        <v>62</v>
      </c>
      <c r="C1206" s="39">
        <f>'تقرير المصروفات حسب الشهر'!N40</f>
        <v>0</v>
      </c>
      <c r="D1206" s="31" t="e">
        <f>#REF!</f>
        <v>#REF!</v>
      </c>
      <c r="E1206" s="31" t="e">
        <f>#REF!</f>
        <v>#REF!</v>
      </c>
      <c r="F1206" s="31" t="e">
        <f>#REF!</f>
        <v>#REF!</v>
      </c>
      <c r="G1206" s="31" t="e">
        <f>#REF!</f>
        <v>#REF!</v>
      </c>
      <c r="H1206" s="31" t="e">
        <f>#REF!</f>
        <v>#REF!</v>
      </c>
      <c r="I1206" s="31">
        <f>'تقرير المصروفات حسب الشهر'!N793</f>
        <v>0</v>
      </c>
      <c r="J1206" s="31">
        <f>'تقرير المصروفات حسب الشهر'!N920</f>
        <v>0</v>
      </c>
      <c r="K1206" s="31">
        <f>'تقرير المصروفات حسب الشهر'!N1047</f>
        <v>0</v>
      </c>
      <c r="L1206" s="292">
        <f>IFERROR(VLOOKUP(B1206,'تقرير المصروفات حسب الشهر'!$C$1143:$AD$1254,12,FALSE),0)</f>
        <v>0</v>
      </c>
      <c r="M1206" s="292">
        <f>IFERROR(VLOOKUP(B1206,'تقرير المصروفات حسب الشهر'!$C$1270:$AD$1381,12,FALSE),0)</f>
        <v>0</v>
      </c>
      <c r="N1206" s="31" t="e">
        <f>#REF!</f>
        <v>#REF!</v>
      </c>
      <c r="O1206" s="37" t="e">
        <f t="shared" si="30"/>
        <v>#REF!</v>
      </c>
    </row>
    <row r="1207" spans="2:15" ht="17.399999999999999">
      <c r="B1207" s="42" t="s">
        <v>63</v>
      </c>
      <c r="C1207" s="39">
        <f>'تقرير المصروفات حسب الشهر'!N41</f>
        <v>0</v>
      </c>
      <c r="D1207" s="31" t="e">
        <f>#REF!</f>
        <v>#REF!</v>
      </c>
      <c r="E1207" s="31" t="e">
        <f>#REF!</f>
        <v>#REF!</v>
      </c>
      <c r="F1207" s="31" t="e">
        <f>#REF!</f>
        <v>#REF!</v>
      </c>
      <c r="G1207" s="31" t="e">
        <f>#REF!</f>
        <v>#REF!</v>
      </c>
      <c r="H1207" s="31" t="e">
        <f>#REF!</f>
        <v>#REF!</v>
      </c>
      <c r="I1207" s="31">
        <f>'تقرير المصروفات حسب الشهر'!N794</f>
        <v>0</v>
      </c>
      <c r="J1207" s="31">
        <f>'تقرير المصروفات حسب الشهر'!N921</f>
        <v>0</v>
      </c>
      <c r="K1207" s="31">
        <f>'تقرير المصروفات حسب الشهر'!N1048</f>
        <v>0</v>
      </c>
      <c r="L1207" s="292">
        <f>IFERROR(VLOOKUP(B1207,'تقرير المصروفات حسب الشهر'!$C$1143:$AD$1254,12,FALSE),0)</f>
        <v>0</v>
      </c>
      <c r="M1207" s="292">
        <f>IFERROR(VLOOKUP(B1207,'تقرير المصروفات حسب الشهر'!$C$1270:$AD$1381,12,FALSE),0)</f>
        <v>0</v>
      </c>
      <c r="N1207" s="31" t="e">
        <f>#REF!</f>
        <v>#REF!</v>
      </c>
      <c r="O1207" s="37" t="e">
        <f t="shared" si="30"/>
        <v>#REF!</v>
      </c>
    </row>
    <row r="1208" spans="2:15" ht="17.399999999999999">
      <c r="B1208" s="42" t="s">
        <v>64</v>
      </c>
      <c r="C1208" s="39">
        <f>'تقرير المصروفات حسب الشهر'!N42</f>
        <v>700</v>
      </c>
      <c r="D1208" s="31" t="e">
        <f>#REF!</f>
        <v>#REF!</v>
      </c>
      <c r="E1208" s="31" t="e">
        <f>#REF!</f>
        <v>#REF!</v>
      </c>
      <c r="F1208" s="31" t="e">
        <f>#REF!</f>
        <v>#REF!</v>
      </c>
      <c r="G1208" s="31" t="e">
        <f>#REF!</f>
        <v>#REF!</v>
      </c>
      <c r="H1208" s="31" t="e">
        <f>#REF!</f>
        <v>#REF!</v>
      </c>
      <c r="I1208" s="31">
        <f>'تقرير المصروفات حسب الشهر'!N795</f>
        <v>0</v>
      </c>
      <c r="J1208" s="31">
        <f>'تقرير المصروفات حسب الشهر'!N922</f>
        <v>0</v>
      </c>
      <c r="K1208" s="31">
        <f>'تقرير المصروفات حسب الشهر'!N1049</f>
        <v>0</v>
      </c>
      <c r="L1208" s="292">
        <f>IFERROR(VLOOKUP(B1208,'تقرير المصروفات حسب الشهر'!$C$1143:$AD$1254,12,FALSE),0)</f>
        <v>450</v>
      </c>
      <c r="M1208" s="292">
        <f>IFERROR(VLOOKUP(B1208,'تقرير المصروفات حسب الشهر'!$C$1270:$AD$1381,12,FALSE),0)</f>
        <v>0</v>
      </c>
      <c r="N1208" s="31" t="e">
        <f>#REF!</f>
        <v>#REF!</v>
      </c>
      <c r="O1208" s="37" t="e">
        <f t="shared" si="30"/>
        <v>#REF!</v>
      </c>
    </row>
    <row r="1209" spans="2:15" ht="17.399999999999999">
      <c r="B1209" s="42" t="s">
        <v>28</v>
      </c>
      <c r="C1209" s="39">
        <f>'تقرير المصروفات حسب الشهر'!N43</f>
        <v>0</v>
      </c>
      <c r="D1209" s="31" t="e">
        <f>#REF!</f>
        <v>#REF!</v>
      </c>
      <c r="E1209" s="31" t="e">
        <f>#REF!</f>
        <v>#REF!</v>
      </c>
      <c r="F1209" s="31" t="e">
        <f>#REF!</f>
        <v>#REF!</v>
      </c>
      <c r="G1209" s="31" t="e">
        <f>#REF!</f>
        <v>#REF!</v>
      </c>
      <c r="H1209" s="31" t="e">
        <f>#REF!</f>
        <v>#REF!</v>
      </c>
      <c r="I1209" s="31">
        <f>'تقرير المصروفات حسب الشهر'!N796</f>
        <v>0</v>
      </c>
      <c r="J1209" s="31">
        <f>'تقرير المصروفات حسب الشهر'!N923</f>
        <v>0</v>
      </c>
      <c r="K1209" s="31">
        <f>'تقرير المصروفات حسب الشهر'!N1050</f>
        <v>0</v>
      </c>
      <c r="L1209" s="292">
        <f>IFERROR(VLOOKUP(B1209,'تقرير المصروفات حسب الشهر'!$C$1143:$AD$1254,12,FALSE),0)</f>
        <v>0</v>
      </c>
      <c r="M1209" s="292">
        <f>IFERROR(VLOOKUP(B1209,'تقرير المصروفات حسب الشهر'!$C$1270:$AD$1381,12,FALSE),0)</f>
        <v>0</v>
      </c>
      <c r="N1209" s="31" t="e">
        <f>#REF!</f>
        <v>#REF!</v>
      </c>
      <c r="O1209" s="37" t="e">
        <f t="shared" si="30"/>
        <v>#REF!</v>
      </c>
    </row>
    <row r="1210" spans="2:15" ht="17.399999999999999">
      <c r="B1210" s="42" t="s">
        <v>157</v>
      </c>
      <c r="C1210" s="39">
        <f>'تقرير المصروفات حسب الشهر'!N44</f>
        <v>0</v>
      </c>
      <c r="D1210" s="31" t="e">
        <f>#REF!</f>
        <v>#REF!</v>
      </c>
      <c r="E1210" s="31" t="e">
        <f>#REF!</f>
        <v>#REF!</v>
      </c>
      <c r="F1210" s="31" t="e">
        <f>#REF!</f>
        <v>#REF!</v>
      </c>
      <c r="G1210" s="31" t="e">
        <f>#REF!</f>
        <v>#REF!</v>
      </c>
      <c r="H1210" s="31" t="e">
        <f>#REF!</f>
        <v>#REF!</v>
      </c>
      <c r="I1210" s="31">
        <f>'تقرير المصروفات حسب الشهر'!N797</f>
        <v>0</v>
      </c>
      <c r="J1210" s="31">
        <f>'تقرير المصروفات حسب الشهر'!N924</f>
        <v>0</v>
      </c>
      <c r="K1210" s="31">
        <f>'تقرير المصروفات حسب الشهر'!N1051</f>
        <v>0</v>
      </c>
      <c r="L1210" s="292">
        <f>IFERROR(VLOOKUP(B1210,'تقرير المصروفات حسب الشهر'!$C$1143:$AD$1254,12,FALSE),0)</f>
        <v>0</v>
      </c>
      <c r="M1210" s="292">
        <f>IFERROR(VLOOKUP(B1210,'تقرير المصروفات حسب الشهر'!$C$1270:$AD$1381,12,FALSE),0)</f>
        <v>0</v>
      </c>
      <c r="N1210" s="31" t="e">
        <f>#REF!</f>
        <v>#REF!</v>
      </c>
      <c r="O1210" s="37" t="e">
        <f t="shared" si="30"/>
        <v>#REF!</v>
      </c>
    </row>
    <row r="1211" spans="2:15" ht="17.399999999999999">
      <c r="B1211" s="42" t="s">
        <v>65</v>
      </c>
      <c r="C1211" s="39">
        <f>'تقرير المصروفات حسب الشهر'!N45</f>
        <v>0</v>
      </c>
      <c r="D1211" s="31" t="e">
        <f>#REF!</f>
        <v>#REF!</v>
      </c>
      <c r="E1211" s="31" t="e">
        <f>#REF!</f>
        <v>#REF!</v>
      </c>
      <c r="F1211" s="31" t="e">
        <f>#REF!</f>
        <v>#REF!</v>
      </c>
      <c r="G1211" s="31" t="e">
        <f>#REF!</f>
        <v>#REF!</v>
      </c>
      <c r="H1211" s="31" t="e">
        <f>#REF!</f>
        <v>#REF!</v>
      </c>
      <c r="I1211" s="31">
        <f>'تقرير المصروفات حسب الشهر'!N798</f>
        <v>0</v>
      </c>
      <c r="J1211" s="31">
        <f>'تقرير المصروفات حسب الشهر'!N925</f>
        <v>0</v>
      </c>
      <c r="K1211" s="31">
        <f>'تقرير المصروفات حسب الشهر'!N1052</f>
        <v>0</v>
      </c>
      <c r="L1211" s="292">
        <f>IFERROR(VLOOKUP(B1211,'تقرير المصروفات حسب الشهر'!$C$1143:$AD$1254,12,FALSE),0)</f>
        <v>0</v>
      </c>
      <c r="M1211" s="292">
        <f>IFERROR(VLOOKUP(B1211,'تقرير المصروفات حسب الشهر'!$C$1270:$AD$1381,12,FALSE),0)</f>
        <v>0</v>
      </c>
      <c r="N1211" s="31" t="e">
        <f>#REF!</f>
        <v>#REF!</v>
      </c>
      <c r="O1211" s="37" t="e">
        <f t="shared" si="30"/>
        <v>#REF!</v>
      </c>
    </row>
    <row r="1212" spans="2:15" ht="17.399999999999999">
      <c r="B1212" s="42" t="s">
        <v>66</v>
      </c>
      <c r="C1212" s="39">
        <f>'تقرير المصروفات حسب الشهر'!N46</f>
        <v>0</v>
      </c>
      <c r="D1212" s="31" t="e">
        <f>#REF!</f>
        <v>#REF!</v>
      </c>
      <c r="E1212" s="31" t="e">
        <f>#REF!</f>
        <v>#REF!</v>
      </c>
      <c r="F1212" s="31" t="e">
        <f>#REF!</f>
        <v>#REF!</v>
      </c>
      <c r="G1212" s="31" t="e">
        <f>#REF!</f>
        <v>#REF!</v>
      </c>
      <c r="H1212" s="31" t="e">
        <f>#REF!</f>
        <v>#REF!</v>
      </c>
      <c r="I1212" s="31">
        <f>'تقرير المصروفات حسب الشهر'!N799</f>
        <v>0</v>
      </c>
      <c r="J1212" s="31">
        <f>'تقرير المصروفات حسب الشهر'!N926</f>
        <v>0</v>
      </c>
      <c r="K1212" s="31">
        <f>'تقرير المصروفات حسب الشهر'!N1053</f>
        <v>0</v>
      </c>
      <c r="L1212" s="292">
        <f>IFERROR(VLOOKUP(B1212,'تقرير المصروفات حسب الشهر'!$C$1143:$AD$1254,12,FALSE),0)</f>
        <v>0</v>
      </c>
      <c r="M1212" s="292">
        <f>IFERROR(VLOOKUP(B1212,'تقرير المصروفات حسب الشهر'!$C$1270:$AD$1381,12,FALSE),0)</f>
        <v>0</v>
      </c>
      <c r="N1212" s="31" t="e">
        <f>#REF!</f>
        <v>#REF!</v>
      </c>
      <c r="O1212" s="37" t="e">
        <f t="shared" si="30"/>
        <v>#REF!</v>
      </c>
    </row>
    <row r="1213" spans="2:15" ht="17.399999999999999">
      <c r="B1213" s="42" t="s">
        <v>30</v>
      </c>
      <c r="C1213" s="39">
        <f>'تقرير المصروفات حسب الشهر'!N47</f>
        <v>0</v>
      </c>
      <c r="D1213" s="31" t="e">
        <f>#REF!</f>
        <v>#REF!</v>
      </c>
      <c r="E1213" s="31" t="e">
        <f>#REF!</f>
        <v>#REF!</v>
      </c>
      <c r="F1213" s="31" t="e">
        <f>#REF!</f>
        <v>#REF!</v>
      </c>
      <c r="G1213" s="31" t="e">
        <f>#REF!</f>
        <v>#REF!</v>
      </c>
      <c r="H1213" s="31" t="e">
        <f>#REF!</f>
        <v>#REF!</v>
      </c>
      <c r="I1213" s="31">
        <f>'تقرير المصروفات حسب الشهر'!N800</f>
        <v>1700.25</v>
      </c>
      <c r="J1213" s="31">
        <f>'تقرير المصروفات حسب الشهر'!N927</f>
        <v>0</v>
      </c>
      <c r="K1213" s="31">
        <f>'تقرير المصروفات حسب الشهر'!N1054</f>
        <v>3999.25</v>
      </c>
      <c r="L1213" s="292">
        <f>IFERROR(VLOOKUP(B1213,'تقرير المصروفات حسب الشهر'!$C$1143:$AD$1254,12,FALSE),0)</f>
        <v>1500.67</v>
      </c>
      <c r="M1213" s="292">
        <f>IFERROR(VLOOKUP(B1213,'تقرير المصروفات حسب الشهر'!$C$1270:$AD$1381,12,FALSE),0)</f>
        <v>1300.25</v>
      </c>
      <c r="N1213" s="31" t="e">
        <f>#REF!</f>
        <v>#REF!</v>
      </c>
      <c r="O1213" s="37" t="e">
        <f t="shared" si="30"/>
        <v>#REF!</v>
      </c>
    </row>
    <row r="1214" spans="2:15" ht="17.399999999999999">
      <c r="B1214" s="42" t="s">
        <v>67</v>
      </c>
      <c r="C1214" s="39">
        <f>'تقرير المصروفات حسب الشهر'!N48</f>
        <v>3120</v>
      </c>
      <c r="D1214" s="31" t="e">
        <f>#REF!</f>
        <v>#REF!</v>
      </c>
      <c r="E1214" s="31" t="e">
        <f>#REF!</f>
        <v>#REF!</v>
      </c>
      <c r="F1214" s="31" t="e">
        <f>#REF!</f>
        <v>#REF!</v>
      </c>
      <c r="G1214" s="31" t="e">
        <f>#REF!</f>
        <v>#REF!</v>
      </c>
      <c r="H1214" s="31" t="e">
        <f>#REF!</f>
        <v>#REF!</v>
      </c>
      <c r="I1214" s="31">
        <f>'تقرير المصروفات حسب الشهر'!N801</f>
        <v>0</v>
      </c>
      <c r="J1214" s="31">
        <f>'تقرير المصروفات حسب الشهر'!N928</f>
        <v>0</v>
      </c>
      <c r="K1214" s="31">
        <f>'تقرير المصروفات حسب الشهر'!N1055</f>
        <v>0</v>
      </c>
      <c r="L1214" s="292">
        <f>IFERROR(VLOOKUP(B1214,'تقرير المصروفات حسب الشهر'!$C$1143:$AD$1254,12,FALSE),0)</f>
        <v>4950</v>
      </c>
      <c r="M1214" s="292">
        <f>IFERROR(VLOOKUP(B1214,'تقرير المصروفات حسب الشهر'!$C$1270:$AD$1381,12,FALSE),0)</f>
        <v>0</v>
      </c>
      <c r="N1214" s="31" t="e">
        <f>#REF!</f>
        <v>#REF!</v>
      </c>
      <c r="O1214" s="37" t="e">
        <f t="shared" si="30"/>
        <v>#REF!</v>
      </c>
    </row>
    <row r="1215" spans="2:15" ht="17.399999999999999">
      <c r="B1215" s="42" t="s">
        <v>111</v>
      </c>
      <c r="C1215" s="39">
        <f>'تقرير المصروفات حسب الشهر'!N49</f>
        <v>0</v>
      </c>
      <c r="D1215" s="31" t="e">
        <f>#REF!</f>
        <v>#REF!</v>
      </c>
      <c r="E1215" s="31" t="e">
        <f>#REF!</f>
        <v>#REF!</v>
      </c>
      <c r="F1215" s="31" t="e">
        <f>#REF!</f>
        <v>#REF!</v>
      </c>
      <c r="G1215" s="31" t="e">
        <f>#REF!</f>
        <v>#REF!</v>
      </c>
      <c r="H1215" s="31" t="e">
        <f>#REF!</f>
        <v>#REF!</v>
      </c>
      <c r="I1215" s="31">
        <f>'تقرير المصروفات حسب الشهر'!N802</f>
        <v>0</v>
      </c>
      <c r="J1215" s="31">
        <f>'تقرير المصروفات حسب الشهر'!N929</f>
        <v>0</v>
      </c>
      <c r="K1215" s="31">
        <f>'تقرير المصروفات حسب الشهر'!N1056</f>
        <v>350</v>
      </c>
      <c r="L1215" s="292">
        <f>IFERROR(VLOOKUP(B1215,'تقرير المصروفات حسب الشهر'!$C$1143:$AD$1254,12,FALSE),0)</f>
        <v>0</v>
      </c>
      <c r="M1215" s="292">
        <f>IFERROR(VLOOKUP(B1215,'تقرير المصروفات حسب الشهر'!$C$1270:$AD$1381,12,FALSE),0)</f>
        <v>0</v>
      </c>
      <c r="N1215" s="31" t="e">
        <f>#REF!</f>
        <v>#REF!</v>
      </c>
      <c r="O1215" s="37" t="e">
        <f t="shared" si="30"/>
        <v>#REF!</v>
      </c>
    </row>
    <row r="1216" spans="2:15" ht="17.399999999999999">
      <c r="B1216" s="42" t="s">
        <v>68</v>
      </c>
      <c r="C1216" s="39">
        <f>'تقرير المصروفات حسب الشهر'!N50</f>
        <v>0</v>
      </c>
      <c r="D1216" s="31" t="e">
        <f>#REF!</f>
        <v>#REF!</v>
      </c>
      <c r="E1216" s="31" t="e">
        <f>#REF!</f>
        <v>#REF!</v>
      </c>
      <c r="F1216" s="31" t="e">
        <f>#REF!</f>
        <v>#REF!</v>
      </c>
      <c r="G1216" s="31" t="e">
        <f>#REF!</f>
        <v>#REF!</v>
      </c>
      <c r="H1216" s="31" t="e">
        <f>#REF!</f>
        <v>#REF!</v>
      </c>
      <c r="I1216" s="31">
        <f>'تقرير المصروفات حسب الشهر'!N803</f>
        <v>0</v>
      </c>
      <c r="J1216" s="31">
        <f>'تقرير المصروفات حسب الشهر'!N930</f>
        <v>0</v>
      </c>
      <c r="K1216" s="31">
        <f>'تقرير المصروفات حسب الشهر'!N1057</f>
        <v>0</v>
      </c>
      <c r="L1216" s="292">
        <f>IFERROR(VLOOKUP(B1216,'تقرير المصروفات حسب الشهر'!$C$1143:$AD$1254,12,FALSE),0)</f>
        <v>0</v>
      </c>
      <c r="M1216" s="292">
        <f>IFERROR(VLOOKUP(B1216,'تقرير المصروفات حسب الشهر'!$C$1270:$AD$1381,12,FALSE),0)</f>
        <v>0</v>
      </c>
      <c r="N1216" s="31" t="e">
        <f>#REF!</f>
        <v>#REF!</v>
      </c>
      <c r="O1216" s="37" t="e">
        <f t="shared" si="30"/>
        <v>#REF!</v>
      </c>
    </row>
    <row r="1217" spans="2:15" ht="17.399999999999999">
      <c r="B1217" s="42" t="s">
        <v>69</v>
      </c>
      <c r="C1217" s="39">
        <f>'تقرير المصروفات حسب الشهر'!N51</f>
        <v>0</v>
      </c>
      <c r="D1217" s="31" t="e">
        <f>#REF!</f>
        <v>#REF!</v>
      </c>
      <c r="E1217" s="31" t="e">
        <f>#REF!</f>
        <v>#REF!</v>
      </c>
      <c r="F1217" s="31" t="e">
        <f>#REF!</f>
        <v>#REF!</v>
      </c>
      <c r="G1217" s="31" t="e">
        <f>#REF!</f>
        <v>#REF!</v>
      </c>
      <c r="H1217" s="31" t="e">
        <f>#REF!</f>
        <v>#REF!</v>
      </c>
      <c r="I1217" s="31">
        <f>'تقرير المصروفات حسب الشهر'!N804</f>
        <v>0</v>
      </c>
      <c r="J1217" s="31">
        <f>'تقرير المصروفات حسب الشهر'!N931</f>
        <v>0</v>
      </c>
      <c r="K1217" s="31">
        <f>'تقرير المصروفات حسب الشهر'!N1058</f>
        <v>0</v>
      </c>
      <c r="L1217" s="292">
        <f>IFERROR(VLOOKUP(B1217,'تقرير المصروفات حسب الشهر'!$C$1143:$AD$1254,12,FALSE),0)</f>
        <v>0</v>
      </c>
      <c r="M1217" s="292">
        <f>IFERROR(VLOOKUP(B1217,'تقرير المصروفات حسب الشهر'!$C$1270:$AD$1381,12,FALSE),0)</f>
        <v>0</v>
      </c>
      <c r="N1217" s="31" t="e">
        <f>#REF!</f>
        <v>#REF!</v>
      </c>
      <c r="O1217" s="37" t="e">
        <f t="shared" si="30"/>
        <v>#REF!</v>
      </c>
    </row>
    <row r="1218" spans="2:15" ht="17.399999999999999">
      <c r="B1218" s="42" t="s">
        <v>70</v>
      </c>
      <c r="C1218" s="39">
        <f>'تقرير المصروفات حسب الشهر'!N52</f>
        <v>0</v>
      </c>
      <c r="D1218" s="31" t="e">
        <f>#REF!</f>
        <v>#REF!</v>
      </c>
      <c r="E1218" s="31" t="e">
        <f>#REF!</f>
        <v>#REF!</v>
      </c>
      <c r="F1218" s="31" t="e">
        <f>#REF!</f>
        <v>#REF!</v>
      </c>
      <c r="G1218" s="31" t="e">
        <f>#REF!</f>
        <v>#REF!</v>
      </c>
      <c r="H1218" s="31" t="e">
        <f>#REF!</f>
        <v>#REF!</v>
      </c>
      <c r="I1218" s="31">
        <f>'تقرير المصروفات حسب الشهر'!N805</f>
        <v>0</v>
      </c>
      <c r="J1218" s="31">
        <f>'تقرير المصروفات حسب الشهر'!N932</f>
        <v>0</v>
      </c>
      <c r="K1218" s="31">
        <f>'تقرير المصروفات حسب الشهر'!N1059</f>
        <v>0</v>
      </c>
      <c r="L1218" s="292">
        <f>IFERROR(VLOOKUP(B1218,'تقرير المصروفات حسب الشهر'!$C$1143:$AD$1254,12,FALSE),0)</f>
        <v>0</v>
      </c>
      <c r="M1218" s="292">
        <f>IFERROR(VLOOKUP(B1218,'تقرير المصروفات حسب الشهر'!$C$1270:$AD$1381,12,FALSE),0)</f>
        <v>0</v>
      </c>
      <c r="N1218" s="31" t="e">
        <f>#REF!</f>
        <v>#REF!</v>
      </c>
      <c r="O1218" s="37" t="e">
        <f t="shared" si="30"/>
        <v>#REF!</v>
      </c>
    </row>
    <row r="1219" spans="2:15" ht="17.399999999999999">
      <c r="B1219" s="42" t="s">
        <v>71</v>
      </c>
      <c r="C1219" s="39">
        <f>'تقرير المصروفات حسب الشهر'!N53</f>
        <v>0</v>
      </c>
      <c r="D1219" s="31" t="e">
        <f>#REF!</f>
        <v>#REF!</v>
      </c>
      <c r="E1219" s="31" t="e">
        <f>#REF!</f>
        <v>#REF!</v>
      </c>
      <c r="F1219" s="31" t="e">
        <f>#REF!</f>
        <v>#REF!</v>
      </c>
      <c r="G1219" s="31" t="e">
        <f>#REF!</f>
        <v>#REF!</v>
      </c>
      <c r="H1219" s="31" t="e">
        <f>#REF!</f>
        <v>#REF!</v>
      </c>
      <c r="I1219" s="31">
        <f>'تقرير المصروفات حسب الشهر'!N806</f>
        <v>0</v>
      </c>
      <c r="J1219" s="31">
        <f>'تقرير المصروفات حسب الشهر'!N933</f>
        <v>0</v>
      </c>
      <c r="K1219" s="31">
        <f>'تقرير المصروفات حسب الشهر'!N1060</f>
        <v>0</v>
      </c>
      <c r="L1219" s="292">
        <f>IFERROR(VLOOKUP(B1219,'تقرير المصروفات حسب الشهر'!$C$1143:$AD$1254,12,FALSE),0)</f>
        <v>0</v>
      </c>
      <c r="M1219" s="292">
        <f>IFERROR(VLOOKUP(B1219,'تقرير المصروفات حسب الشهر'!$C$1270:$AD$1381,12,FALSE),0)</f>
        <v>0</v>
      </c>
      <c r="N1219" s="31" t="e">
        <f>#REF!</f>
        <v>#REF!</v>
      </c>
      <c r="O1219" s="37" t="e">
        <f t="shared" si="30"/>
        <v>#REF!</v>
      </c>
    </row>
    <row r="1220" spans="2:15" ht="17.399999999999999">
      <c r="B1220" s="42" t="s">
        <v>159</v>
      </c>
      <c r="C1220" s="39">
        <f>'تقرير المصروفات حسب الشهر'!N54</f>
        <v>0</v>
      </c>
      <c r="D1220" s="31" t="e">
        <f>#REF!</f>
        <v>#REF!</v>
      </c>
      <c r="E1220" s="31" t="e">
        <f>#REF!</f>
        <v>#REF!</v>
      </c>
      <c r="F1220" s="31" t="e">
        <f>#REF!</f>
        <v>#REF!</v>
      </c>
      <c r="G1220" s="31" t="e">
        <f>#REF!</f>
        <v>#REF!</v>
      </c>
      <c r="H1220" s="31" t="e">
        <f>#REF!</f>
        <v>#REF!</v>
      </c>
      <c r="I1220" s="31">
        <f>'تقرير المصروفات حسب الشهر'!N807</f>
        <v>0</v>
      </c>
      <c r="J1220" s="31">
        <f>'تقرير المصروفات حسب الشهر'!N934</f>
        <v>0</v>
      </c>
      <c r="K1220" s="31">
        <f>'تقرير المصروفات حسب الشهر'!N1061</f>
        <v>0</v>
      </c>
      <c r="L1220" s="292">
        <f>IFERROR(VLOOKUP(B1220,'تقرير المصروفات حسب الشهر'!$C$1143:$AD$1254,12,FALSE),0)</f>
        <v>0</v>
      </c>
      <c r="M1220" s="292">
        <f>IFERROR(VLOOKUP(B1220,'تقرير المصروفات حسب الشهر'!$C$1270:$AD$1381,12,FALSE),0)</f>
        <v>0</v>
      </c>
      <c r="N1220" s="31" t="e">
        <f>#REF!</f>
        <v>#REF!</v>
      </c>
      <c r="O1220" s="37" t="e">
        <f t="shared" si="30"/>
        <v>#REF!</v>
      </c>
    </row>
    <row r="1221" spans="2:15" ht="17.399999999999999">
      <c r="B1221" s="42" t="s">
        <v>72</v>
      </c>
      <c r="C1221" s="39">
        <f>'تقرير المصروفات حسب الشهر'!N55</f>
        <v>0</v>
      </c>
      <c r="D1221" s="31" t="e">
        <f>#REF!</f>
        <v>#REF!</v>
      </c>
      <c r="E1221" s="31" t="e">
        <f>#REF!</f>
        <v>#REF!</v>
      </c>
      <c r="F1221" s="31" t="e">
        <f>#REF!</f>
        <v>#REF!</v>
      </c>
      <c r="G1221" s="31" t="e">
        <f>#REF!</f>
        <v>#REF!</v>
      </c>
      <c r="H1221" s="31" t="e">
        <f>#REF!</f>
        <v>#REF!</v>
      </c>
      <c r="I1221" s="31">
        <f>'تقرير المصروفات حسب الشهر'!N808</f>
        <v>0</v>
      </c>
      <c r="J1221" s="31">
        <f>'تقرير المصروفات حسب الشهر'!N935</f>
        <v>0</v>
      </c>
      <c r="K1221" s="31">
        <f>'تقرير المصروفات حسب الشهر'!N1062</f>
        <v>0</v>
      </c>
      <c r="L1221" s="292">
        <f>IFERROR(VLOOKUP(B1221,'تقرير المصروفات حسب الشهر'!$C$1143:$AD$1254,12,FALSE),0)</f>
        <v>0</v>
      </c>
      <c r="M1221" s="292">
        <f>IFERROR(VLOOKUP(B1221,'تقرير المصروفات حسب الشهر'!$C$1270:$AD$1381,12,FALSE),0)</f>
        <v>0</v>
      </c>
      <c r="N1221" s="31" t="e">
        <f>#REF!</f>
        <v>#REF!</v>
      </c>
      <c r="O1221" s="37" t="e">
        <f t="shared" si="30"/>
        <v>#REF!</v>
      </c>
    </row>
    <row r="1222" spans="2:15" ht="17.399999999999999">
      <c r="B1222" s="42" t="s">
        <v>73</v>
      </c>
      <c r="C1222" s="39">
        <f>'تقرير المصروفات حسب الشهر'!N56</f>
        <v>0</v>
      </c>
      <c r="D1222" s="31" t="e">
        <f>#REF!</f>
        <v>#REF!</v>
      </c>
      <c r="E1222" s="31" t="e">
        <f>#REF!</f>
        <v>#REF!</v>
      </c>
      <c r="F1222" s="31" t="e">
        <f>#REF!</f>
        <v>#REF!</v>
      </c>
      <c r="G1222" s="31" t="e">
        <f>#REF!</f>
        <v>#REF!</v>
      </c>
      <c r="H1222" s="31" t="e">
        <f>#REF!</f>
        <v>#REF!</v>
      </c>
      <c r="I1222" s="31">
        <f>'تقرير المصروفات حسب الشهر'!N809</f>
        <v>0</v>
      </c>
      <c r="J1222" s="31">
        <f>'تقرير المصروفات حسب الشهر'!N936</f>
        <v>0</v>
      </c>
      <c r="K1222" s="31">
        <f>'تقرير المصروفات حسب الشهر'!N1063</f>
        <v>0</v>
      </c>
      <c r="L1222" s="292">
        <f>IFERROR(VLOOKUP(B1222,'تقرير المصروفات حسب الشهر'!$C$1143:$AD$1254,12,FALSE),0)</f>
        <v>0</v>
      </c>
      <c r="M1222" s="292">
        <f>IFERROR(VLOOKUP(B1222,'تقرير المصروفات حسب الشهر'!$C$1270:$AD$1381,12,FALSE),0)</f>
        <v>0</v>
      </c>
      <c r="N1222" s="31" t="e">
        <f>#REF!</f>
        <v>#REF!</v>
      </c>
      <c r="O1222" s="37" t="e">
        <f t="shared" si="30"/>
        <v>#REF!</v>
      </c>
    </row>
    <row r="1223" spans="2:15" ht="17.399999999999999">
      <c r="B1223" s="42" t="s">
        <v>74</v>
      </c>
      <c r="C1223" s="39">
        <f>'تقرير المصروفات حسب الشهر'!N57</f>
        <v>0</v>
      </c>
      <c r="D1223" s="31" t="e">
        <f>#REF!</f>
        <v>#REF!</v>
      </c>
      <c r="E1223" s="31" t="e">
        <f>#REF!</f>
        <v>#REF!</v>
      </c>
      <c r="F1223" s="31" t="e">
        <f>#REF!</f>
        <v>#REF!</v>
      </c>
      <c r="G1223" s="31" t="e">
        <f>#REF!</f>
        <v>#REF!</v>
      </c>
      <c r="H1223" s="31" t="e">
        <f>#REF!</f>
        <v>#REF!</v>
      </c>
      <c r="I1223" s="31">
        <f>'تقرير المصروفات حسب الشهر'!N810</f>
        <v>0</v>
      </c>
      <c r="J1223" s="31">
        <f>'تقرير المصروفات حسب الشهر'!N937</f>
        <v>0</v>
      </c>
      <c r="K1223" s="31">
        <f>'تقرير المصروفات حسب الشهر'!N1064</f>
        <v>0</v>
      </c>
      <c r="L1223" s="292">
        <f>IFERROR(VLOOKUP(B1223,'تقرير المصروفات حسب الشهر'!$C$1143:$AD$1254,12,FALSE),0)</f>
        <v>0</v>
      </c>
      <c r="M1223" s="292">
        <f>IFERROR(VLOOKUP(B1223,'تقرير المصروفات حسب الشهر'!$C$1270:$AD$1381,12,FALSE),0)</f>
        <v>0</v>
      </c>
      <c r="N1223" s="31" t="e">
        <f>#REF!</f>
        <v>#REF!</v>
      </c>
      <c r="O1223" s="37" t="e">
        <f t="shared" si="30"/>
        <v>#REF!</v>
      </c>
    </row>
    <row r="1224" spans="2:15" ht="17.399999999999999">
      <c r="B1224" s="42" t="s">
        <v>246</v>
      </c>
      <c r="C1224" s="39">
        <f>'تقرير المصروفات حسب الشهر'!N58</f>
        <v>0</v>
      </c>
      <c r="D1224" s="31" t="e">
        <f>#REF!</f>
        <v>#REF!</v>
      </c>
      <c r="E1224" s="31" t="e">
        <f>#REF!</f>
        <v>#REF!</v>
      </c>
      <c r="F1224" s="31" t="e">
        <f>#REF!</f>
        <v>#REF!</v>
      </c>
      <c r="G1224" s="31" t="e">
        <f>#REF!</f>
        <v>#REF!</v>
      </c>
      <c r="H1224" s="31" t="e">
        <f>#REF!</f>
        <v>#REF!</v>
      </c>
      <c r="I1224" s="31">
        <f>'تقرير المصروفات حسب الشهر'!N811</f>
        <v>0</v>
      </c>
      <c r="J1224" s="31">
        <f>'تقرير المصروفات حسب الشهر'!N938</f>
        <v>0</v>
      </c>
      <c r="K1224" s="31">
        <f>'تقرير المصروفات حسب الشهر'!N1065</f>
        <v>0</v>
      </c>
      <c r="L1224" s="292">
        <f>IFERROR(VLOOKUP(B1224,'تقرير المصروفات حسب الشهر'!$C$1143:$AD$1254,12,FALSE),0)</f>
        <v>0</v>
      </c>
      <c r="M1224" s="292">
        <f>IFERROR(VLOOKUP(B1224,'تقرير المصروفات حسب الشهر'!$C$1270:$AD$1381,12,FALSE),0)</f>
        <v>0</v>
      </c>
      <c r="N1224" s="31" t="e">
        <f>#REF!</f>
        <v>#REF!</v>
      </c>
      <c r="O1224" s="37" t="e">
        <f t="shared" si="30"/>
        <v>#REF!</v>
      </c>
    </row>
    <row r="1225" spans="2:15" ht="17.399999999999999">
      <c r="B1225" s="42" t="s">
        <v>75</v>
      </c>
      <c r="C1225" s="39">
        <f>'تقرير المصروفات حسب الشهر'!N59</f>
        <v>0</v>
      </c>
      <c r="D1225" s="31" t="e">
        <f>#REF!</f>
        <v>#REF!</v>
      </c>
      <c r="E1225" s="31" t="e">
        <f>#REF!</f>
        <v>#REF!</v>
      </c>
      <c r="F1225" s="31" t="e">
        <f>#REF!</f>
        <v>#REF!</v>
      </c>
      <c r="G1225" s="31" t="e">
        <f>#REF!</f>
        <v>#REF!</v>
      </c>
      <c r="H1225" s="31" t="e">
        <f>#REF!</f>
        <v>#REF!</v>
      </c>
      <c r="I1225" s="31">
        <f>'تقرير المصروفات حسب الشهر'!N812</f>
        <v>0</v>
      </c>
      <c r="J1225" s="31">
        <f>'تقرير المصروفات حسب الشهر'!N939</f>
        <v>0</v>
      </c>
      <c r="K1225" s="31">
        <f>'تقرير المصروفات حسب الشهر'!N1066</f>
        <v>0</v>
      </c>
      <c r="L1225" s="292">
        <f>IFERROR(VLOOKUP(B1225,'تقرير المصروفات حسب الشهر'!$C$1143:$AD$1254,12,FALSE),0)</f>
        <v>0</v>
      </c>
      <c r="M1225" s="292">
        <f>IFERROR(VLOOKUP(B1225,'تقرير المصروفات حسب الشهر'!$C$1270:$AD$1381,12,FALSE),0)</f>
        <v>0</v>
      </c>
      <c r="N1225" s="31" t="e">
        <f>#REF!</f>
        <v>#REF!</v>
      </c>
      <c r="O1225" s="37" t="e">
        <f t="shared" si="30"/>
        <v>#REF!</v>
      </c>
    </row>
    <row r="1226" spans="2:15" ht="17.399999999999999">
      <c r="B1226" s="42" t="s">
        <v>76</v>
      </c>
      <c r="C1226" s="39">
        <f>'تقرير المصروفات حسب الشهر'!N60</f>
        <v>0</v>
      </c>
      <c r="D1226" s="31" t="e">
        <f>#REF!</f>
        <v>#REF!</v>
      </c>
      <c r="E1226" s="31" t="e">
        <f>#REF!</f>
        <v>#REF!</v>
      </c>
      <c r="F1226" s="31" t="e">
        <f>#REF!</f>
        <v>#REF!</v>
      </c>
      <c r="G1226" s="31" t="e">
        <f>#REF!</f>
        <v>#REF!</v>
      </c>
      <c r="H1226" s="31" t="e">
        <f>#REF!</f>
        <v>#REF!</v>
      </c>
      <c r="I1226" s="31">
        <f>'تقرير المصروفات حسب الشهر'!N813</f>
        <v>0</v>
      </c>
      <c r="J1226" s="31">
        <f>'تقرير المصروفات حسب الشهر'!N940</f>
        <v>0</v>
      </c>
      <c r="K1226" s="31">
        <f>'تقرير المصروفات حسب الشهر'!N1067</f>
        <v>0</v>
      </c>
      <c r="L1226" s="292">
        <f>IFERROR(VLOOKUP(B1226,'تقرير المصروفات حسب الشهر'!$C$1143:$AD$1254,12,FALSE),0)</f>
        <v>0</v>
      </c>
      <c r="M1226" s="292">
        <f>IFERROR(VLOOKUP(B1226,'تقرير المصروفات حسب الشهر'!$C$1270:$AD$1381,12,FALSE),0)</f>
        <v>0</v>
      </c>
      <c r="N1226" s="31" t="e">
        <f>#REF!</f>
        <v>#REF!</v>
      </c>
      <c r="O1226" s="37" t="e">
        <f t="shared" si="30"/>
        <v>#REF!</v>
      </c>
    </row>
    <row r="1227" spans="2:15" ht="17.399999999999999">
      <c r="B1227" s="42" t="s">
        <v>77</v>
      </c>
      <c r="C1227" s="39">
        <f>'تقرير المصروفات حسب الشهر'!N61</f>
        <v>0</v>
      </c>
      <c r="D1227" s="31" t="e">
        <f>#REF!</f>
        <v>#REF!</v>
      </c>
      <c r="E1227" s="31" t="e">
        <f>#REF!</f>
        <v>#REF!</v>
      </c>
      <c r="F1227" s="31" t="e">
        <f>#REF!</f>
        <v>#REF!</v>
      </c>
      <c r="G1227" s="31" t="e">
        <f>#REF!</f>
        <v>#REF!</v>
      </c>
      <c r="H1227" s="31" t="e">
        <f>#REF!</f>
        <v>#REF!</v>
      </c>
      <c r="I1227" s="31">
        <f>'تقرير المصروفات حسب الشهر'!N814</f>
        <v>0</v>
      </c>
      <c r="J1227" s="31">
        <f>'تقرير المصروفات حسب الشهر'!N941</f>
        <v>0</v>
      </c>
      <c r="K1227" s="31">
        <f>'تقرير المصروفات حسب الشهر'!N1068</f>
        <v>0</v>
      </c>
      <c r="L1227" s="292">
        <f>IFERROR(VLOOKUP(B1227,'تقرير المصروفات حسب الشهر'!$C$1143:$AD$1254,12,FALSE),0)</f>
        <v>0</v>
      </c>
      <c r="M1227" s="292">
        <f>IFERROR(VLOOKUP(B1227,'تقرير المصروفات حسب الشهر'!$C$1270:$AD$1381,12,FALSE),0)</f>
        <v>0</v>
      </c>
      <c r="N1227" s="31" t="e">
        <f>#REF!</f>
        <v>#REF!</v>
      </c>
      <c r="O1227" s="37" t="e">
        <f t="shared" si="30"/>
        <v>#REF!</v>
      </c>
    </row>
    <row r="1228" spans="2:15" ht="17.399999999999999">
      <c r="B1228" s="42" t="s">
        <v>78</v>
      </c>
      <c r="C1228" s="39">
        <f>'تقرير المصروفات حسب الشهر'!N62</f>
        <v>0</v>
      </c>
      <c r="D1228" s="31" t="e">
        <f>#REF!</f>
        <v>#REF!</v>
      </c>
      <c r="E1228" s="31" t="e">
        <f>#REF!</f>
        <v>#REF!</v>
      </c>
      <c r="F1228" s="31" t="e">
        <f>#REF!</f>
        <v>#REF!</v>
      </c>
      <c r="G1228" s="31" t="e">
        <f>#REF!</f>
        <v>#REF!</v>
      </c>
      <c r="H1228" s="31" t="e">
        <f>#REF!</f>
        <v>#REF!</v>
      </c>
      <c r="I1228" s="31">
        <f>'تقرير المصروفات حسب الشهر'!N815</f>
        <v>0</v>
      </c>
      <c r="J1228" s="31">
        <f>'تقرير المصروفات حسب الشهر'!N942</f>
        <v>0</v>
      </c>
      <c r="K1228" s="31">
        <f>'تقرير المصروفات حسب الشهر'!N1069</f>
        <v>0</v>
      </c>
      <c r="L1228" s="292">
        <f>IFERROR(VLOOKUP(B1228,'تقرير المصروفات حسب الشهر'!$C$1143:$AD$1254,12,FALSE),0)</f>
        <v>0</v>
      </c>
      <c r="M1228" s="292">
        <f>IFERROR(VLOOKUP(B1228,'تقرير المصروفات حسب الشهر'!$C$1270:$AD$1381,12,FALSE),0)</f>
        <v>0</v>
      </c>
      <c r="N1228" s="31" t="e">
        <f>#REF!</f>
        <v>#REF!</v>
      </c>
      <c r="O1228" s="37" t="e">
        <f t="shared" si="30"/>
        <v>#REF!</v>
      </c>
    </row>
    <row r="1229" spans="2:15" ht="17.399999999999999">
      <c r="B1229" s="42" t="s">
        <v>79</v>
      </c>
      <c r="C1229" s="39">
        <f>'تقرير المصروفات حسب الشهر'!N63</f>
        <v>0</v>
      </c>
      <c r="D1229" s="31" t="e">
        <f>#REF!</f>
        <v>#REF!</v>
      </c>
      <c r="E1229" s="31" t="e">
        <f>#REF!</f>
        <v>#REF!</v>
      </c>
      <c r="F1229" s="31" t="e">
        <f>#REF!</f>
        <v>#REF!</v>
      </c>
      <c r="G1229" s="31" t="e">
        <f>#REF!</f>
        <v>#REF!</v>
      </c>
      <c r="H1229" s="31" t="e">
        <f>#REF!</f>
        <v>#REF!</v>
      </c>
      <c r="I1229" s="31">
        <f>'تقرير المصروفات حسب الشهر'!N816</f>
        <v>0</v>
      </c>
      <c r="J1229" s="31">
        <f>'تقرير المصروفات حسب الشهر'!N943</f>
        <v>0</v>
      </c>
      <c r="K1229" s="31">
        <f>'تقرير المصروفات حسب الشهر'!N1070</f>
        <v>0</v>
      </c>
      <c r="L1229" s="292">
        <f>IFERROR(VLOOKUP(B1229,'تقرير المصروفات حسب الشهر'!$C$1143:$AD$1254,12,FALSE),0)</f>
        <v>0</v>
      </c>
      <c r="M1229" s="292">
        <f>IFERROR(VLOOKUP(B1229,'تقرير المصروفات حسب الشهر'!$C$1270:$AD$1381,12,FALSE),0)</f>
        <v>0</v>
      </c>
      <c r="N1229" s="31" t="e">
        <f>#REF!</f>
        <v>#REF!</v>
      </c>
      <c r="O1229" s="37" t="e">
        <f t="shared" si="30"/>
        <v>#REF!</v>
      </c>
    </row>
    <row r="1230" spans="2:15" ht="17.399999999999999">
      <c r="B1230" s="42" t="s">
        <v>80</v>
      </c>
      <c r="C1230" s="39">
        <f>'تقرير المصروفات حسب الشهر'!N64</f>
        <v>0</v>
      </c>
      <c r="D1230" s="31" t="e">
        <f>#REF!</f>
        <v>#REF!</v>
      </c>
      <c r="E1230" s="31" t="e">
        <f>#REF!</f>
        <v>#REF!</v>
      </c>
      <c r="F1230" s="31" t="e">
        <f>#REF!</f>
        <v>#REF!</v>
      </c>
      <c r="G1230" s="31" t="e">
        <f>#REF!</f>
        <v>#REF!</v>
      </c>
      <c r="H1230" s="31" t="e">
        <f>#REF!</f>
        <v>#REF!</v>
      </c>
      <c r="I1230" s="31">
        <f>'تقرير المصروفات حسب الشهر'!N817</f>
        <v>0</v>
      </c>
      <c r="J1230" s="31">
        <f>'تقرير المصروفات حسب الشهر'!N944</f>
        <v>0</v>
      </c>
      <c r="K1230" s="31">
        <f>'تقرير المصروفات حسب الشهر'!N1071</f>
        <v>0</v>
      </c>
      <c r="L1230" s="292">
        <f>IFERROR(VLOOKUP(B1230,'تقرير المصروفات حسب الشهر'!$C$1143:$AD$1254,12,FALSE),0)</f>
        <v>0</v>
      </c>
      <c r="M1230" s="292">
        <f>IFERROR(VLOOKUP(B1230,'تقرير المصروفات حسب الشهر'!$C$1270:$AD$1381,12,FALSE),0)</f>
        <v>0</v>
      </c>
      <c r="N1230" s="31" t="e">
        <f>#REF!</f>
        <v>#REF!</v>
      </c>
      <c r="O1230" s="37" t="e">
        <f t="shared" si="30"/>
        <v>#REF!</v>
      </c>
    </row>
    <row r="1231" spans="2:15" ht="17.399999999999999">
      <c r="B1231" s="42" t="s">
        <v>81</v>
      </c>
      <c r="C1231" s="39">
        <f>'تقرير المصروفات حسب الشهر'!N65</f>
        <v>0</v>
      </c>
      <c r="D1231" s="31" t="e">
        <f>#REF!</f>
        <v>#REF!</v>
      </c>
      <c r="E1231" s="31" t="e">
        <f>#REF!</f>
        <v>#REF!</v>
      </c>
      <c r="F1231" s="31" t="e">
        <f>#REF!</f>
        <v>#REF!</v>
      </c>
      <c r="G1231" s="31" t="e">
        <f>#REF!</f>
        <v>#REF!</v>
      </c>
      <c r="H1231" s="31" t="e">
        <f>#REF!</f>
        <v>#REF!</v>
      </c>
      <c r="I1231" s="31">
        <f>'تقرير المصروفات حسب الشهر'!N818</f>
        <v>0</v>
      </c>
      <c r="J1231" s="31">
        <f>'تقرير المصروفات حسب الشهر'!N945</f>
        <v>0</v>
      </c>
      <c r="K1231" s="31">
        <f>'تقرير المصروفات حسب الشهر'!N1072</f>
        <v>0</v>
      </c>
      <c r="L1231" s="292">
        <f>IFERROR(VLOOKUP(B1231,'تقرير المصروفات حسب الشهر'!$C$1143:$AD$1254,12,FALSE),0)</f>
        <v>0</v>
      </c>
      <c r="M1231" s="292">
        <f>IFERROR(VLOOKUP(B1231,'تقرير المصروفات حسب الشهر'!$C$1270:$AD$1381,12,FALSE),0)</f>
        <v>0</v>
      </c>
      <c r="N1231" s="31" t="e">
        <f>#REF!</f>
        <v>#REF!</v>
      </c>
      <c r="O1231" s="37" t="e">
        <f t="shared" si="30"/>
        <v>#REF!</v>
      </c>
    </row>
    <row r="1232" spans="2:15" ht="17.399999999999999">
      <c r="B1232" s="42" t="s">
        <v>82</v>
      </c>
      <c r="C1232" s="39">
        <f>'تقرير المصروفات حسب الشهر'!N66</f>
        <v>0</v>
      </c>
      <c r="D1232" s="31" t="e">
        <f>#REF!</f>
        <v>#REF!</v>
      </c>
      <c r="E1232" s="31" t="e">
        <f>#REF!</f>
        <v>#REF!</v>
      </c>
      <c r="F1232" s="31" t="e">
        <f>#REF!</f>
        <v>#REF!</v>
      </c>
      <c r="G1232" s="31" t="e">
        <f>#REF!</f>
        <v>#REF!</v>
      </c>
      <c r="H1232" s="31" t="e">
        <f>#REF!</f>
        <v>#REF!</v>
      </c>
      <c r="I1232" s="31">
        <f>'تقرير المصروفات حسب الشهر'!N819</f>
        <v>0</v>
      </c>
      <c r="J1232" s="31">
        <f>'تقرير المصروفات حسب الشهر'!N946</f>
        <v>0</v>
      </c>
      <c r="K1232" s="31">
        <f>'تقرير المصروفات حسب الشهر'!N1073</f>
        <v>0</v>
      </c>
      <c r="L1232" s="292">
        <f>IFERROR(VLOOKUP(B1232,'تقرير المصروفات حسب الشهر'!$C$1143:$AD$1254,12,FALSE),0)</f>
        <v>0</v>
      </c>
      <c r="M1232" s="292">
        <f>IFERROR(VLOOKUP(B1232,'تقرير المصروفات حسب الشهر'!$C$1270:$AD$1381,12,FALSE),0)</f>
        <v>0</v>
      </c>
      <c r="N1232" s="31" t="e">
        <f>#REF!</f>
        <v>#REF!</v>
      </c>
      <c r="O1232" s="37" t="e">
        <f t="shared" si="30"/>
        <v>#REF!</v>
      </c>
    </row>
    <row r="1233" spans="2:15" ht="17.399999999999999">
      <c r="B1233" s="42" t="s">
        <v>83</v>
      </c>
      <c r="C1233" s="39">
        <f>'تقرير المصروفات حسب الشهر'!N67</f>
        <v>0</v>
      </c>
      <c r="D1233" s="31" t="e">
        <f>#REF!</f>
        <v>#REF!</v>
      </c>
      <c r="E1233" s="31" t="e">
        <f>#REF!</f>
        <v>#REF!</v>
      </c>
      <c r="F1233" s="31" t="e">
        <f>#REF!</f>
        <v>#REF!</v>
      </c>
      <c r="G1233" s="31" t="e">
        <f>#REF!</f>
        <v>#REF!</v>
      </c>
      <c r="H1233" s="31" t="e">
        <f>#REF!</f>
        <v>#REF!</v>
      </c>
      <c r="I1233" s="31">
        <f>'تقرير المصروفات حسب الشهر'!N820</f>
        <v>0</v>
      </c>
      <c r="J1233" s="31">
        <f>'تقرير المصروفات حسب الشهر'!N947</f>
        <v>0</v>
      </c>
      <c r="K1233" s="31">
        <f>'تقرير المصروفات حسب الشهر'!N1074</f>
        <v>0</v>
      </c>
      <c r="L1233" s="292">
        <f>IFERROR(VLOOKUP(B1233,'تقرير المصروفات حسب الشهر'!$C$1143:$AD$1254,12,FALSE),0)</f>
        <v>0</v>
      </c>
      <c r="M1233" s="292">
        <f>IFERROR(VLOOKUP(B1233,'تقرير المصروفات حسب الشهر'!$C$1270:$AD$1381,12,FALSE),0)</f>
        <v>0</v>
      </c>
      <c r="N1233" s="31" t="e">
        <f>#REF!</f>
        <v>#REF!</v>
      </c>
      <c r="O1233" s="37" t="e">
        <f t="shared" si="30"/>
        <v>#REF!</v>
      </c>
    </row>
    <row r="1234" spans="2:15" ht="17.399999999999999">
      <c r="B1234" s="42" t="s">
        <v>84</v>
      </c>
      <c r="C1234" s="39">
        <f>'تقرير المصروفات حسب الشهر'!N68</f>
        <v>0</v>
      </c>
      <c r="D1234" s="31" t="e">
        <f>#REF!</f>
        <v>#REF!</v>
      </c>
      <c r="E1234" s="31" t="e">
        <f>#REF!</f>
        <v>#REF!</v>
      </c>
      <c r="F1234" s="31" t="e">
        <f>#REF!</f>
        <v>#REF!</v>
      </c>
      <c r="G1234" s="31" t="e">
        <f>#REF!</f>
        <v>#REF!</v>
      </c>
      <c r="H1234" s="31" t="e">
        <f>#REF!</f>
        <v>#REF!</v>
      </c>
      <c r="I1234" s="31">
        <f>'تقرير المصروفات حسب الشهر'!N821</f>
        <v>0</v>
      </c>
      <c r="J1234" s="31">
        <f>'تقرير المصروفات حسب الشهر'!N948</f>
        <v>300</v>
      </c>
      <c r="K1234" s="31">
        <f>'تقرير المصروفات حسب الشهر'!N1075</f>
        <v>200</v>
      </c>
      <c r="L1234" s="292">
        <f>IFERROR(VLOOKUP(B1234,'تقرير المصروفات حسب الشهر'!$C$1143:$AD$1254,12,FALSE),0)</f>
        <v>0</v>
      </c>
      <c r="M1234" s="292">
        <f>IFERROR(VLOOKUP(B1234,'تقرير المصروفات حسب الشهر'!$C$1270:$AD$1381,12,FALSE),0)</f>
        <v>0</v>
      </c>
      <c r="N1234" s="31" t="e">
        <f>#REF!</f>
        <v>#REF!</v>
      </c>
      <c r="O1234" s="37" t="e">
        <f t="shared" si="30"/>
        <v>#REF!</v>
      </c>
    </row>
    <row r="1235" spans="2:15" ht="17.399999999999999">
      <c r="B1235" s="42" t="s">
        <v>85</v>
      </c>
      <c r="C1235" s="39">
        <f>'تقرير المصروفات حسب الشهر'!N69</f>
        <v>216</v>
      </c>
      <c r="D1235" s="31" t="e">
        <f>#REF!</f>
        <v>#REF!</v>
      </c>
      <c r="E1235" s="31" t="e">
        <f>#REF!</f>
        <v>#REF!</v>
      </c>
      <c r="F1235" s="31" t="e">
        <f>#REF!</f>
        <v>#REF!</v>
      </c>
      <c r="G1235" s="31" t="e">
        <f>#REF!</f>
        <v>#REF!</v>
      </c>
      <c r="H1235" s="31" t="e">
        <f>#REF!</f>
        <v>#REF!</v>
      </c>
      <c r="I1235" s="31">
        <f>'تقرير المصروفات حسب الشهر'!N822</f>
        <v>0</v>
      </c>
      <c r="J1235" s="31">
        <f>'تقرير المصروفات حسب الشهر'!N949</f>
        <v>0</v>
      </c>
      <c r="K1235" s="31">
        <f>'تقرير المصروفات حسب الشهر'!N1076</f>
        <v>0</v>
      </c>
      <c r="L1235" s="292">
        <f>IFERROR(VLOOKUP(B1235,'تقرير المصروفات حسب الشهر'!$C$1143:$AD$1254,12,FALSE),0)</f>
        <v>200</v>
      </c>
      <c r="M1235" s="292">
        <f>IFERROR(VLOOKUP(B1235,'تقرير المصروفات حسب الشهر'!$C$1270:$AD$1381,12,FALSE),0)</f>
        <v>200</v>
      </c>
      <c r="N1235" s="31" t="e">
        <f>#REF!</f>
        <v>#REF!</v>
      </c>
      <c r="O1235" s="37" t="e">
        <f t="shared" si="30"/>
        <v>#REF!</v>
      </c>
    </row>
    <row r="1236" spans="2:15" ht="17.399999999999999">
      <c r="B1236" s="42" t="s">
        <v>86</v>
      </c>
      <c r="C1236" s="39">
        <f>'تقرير المصروفات حسب الشهر'!N70</f>
        <v>0</v>
      </c>
      <c r="D1236" s="31" t="e">
        <f>#REF!</f>
        <v>#REF!</v>
      </c>
      <c r="E1236" s="31" t="e">
        <f>#REF!</f>
        <v>#REF!</v>
      </c>
      <c r="F1236" s="31" t="e">
        <f>#REF!</f>
        <v>#REF!</v>
      </c>
      <c r="G1236" s="31" t="e">
        <f>#REF!</f>
        <v>#REF!</v>
      </c>
      <c r="H1236" s="31" t="e">
        <f>#REF!</f>
        <v>#REF!</v>
      </c>
      <c r="I1236" s="31">
        <f>'تقرير المصروفات حسب الشهر'!N823</f>
        <v>0</v>
      </c>
      <c r="J1236" s="31">
        <f>'تقرير المصروفات حسب الشهر'!N950</f>
        <v>0</v>
      </c>
      <c r="K1236" s="31">
        <f>'تقرير المصروفات حسب الشهر'!N1077</f>
        <v>0</v>
      </c>
      <c r="L1236" s="292">
        <f>IFERROR(VLOOKUP(B1236,'تقرير المصروفات حسب الشهر'!$C$1143:$AD$1254,12,FALSE),0)</f>
        <v>0</v>
      </c>
      <c r="M1236" s="292">
        <f>IFERROR(VLOOKUP(B1236,'تقرير المصروفات حسب الشهر'!$C$1270:$AD$1381,12,FALSE),0)</f>
        <v>0</v>
      </c>
      <c r="N1236" s="31" t="e">
        <f>#REF!</f>
        <v>#REF!</v>
      </c>
      <c r="O1236" s="37" t="e">
        <f t="shared" si="30"/>
        <v>#REF!</v>
      </c>
    </row>
    <row r="1237" spans="2:15" ht="17.399999999999999">
      <c r="B1237" s="42" t="s">
        <v>87</v>
      </c>
      <c r="C1237" s="39">
        <f>'تقرير المصروفات حسب الشهر'!N71</f>
        <v>0</v>
      </c>
      <c r="D1237" s="31" t="e">
        <f>#REF!</f>
        <v>#REF!</v>
      </c>
      <c r="E1237" s="31" t="e">
        <f>#REF!</f>
        <v>#REF!</v>
      </c>
      <c r="F1237" s="31" t="e">
        <f>#REF!</f>
        <v>#REF!</v>
      </c>
      <c r="G1237" s="31" t="e">
        <f>#REF!</f>
        <v>#REF!</v>
      </c>
      <c r="H1237" s="31" t="e">
        <f>#REF!</f>
        <v>#REF!</v>
      </c>
      <c r="I1237" s="31">
        <f>'تقرير المصروفات حسب الشهر'!N824</f>
        <v>0</v>
      </c>
      <c r="J1237" s="31">
        <f>'تقرير المصروفات حسب الشهر'!N951</f>
        <v>0</v>
      </c>
      <c r="K1237" s="31">
        <f>'تقرير المصروفات حسب الشهر'!N1078</f>
        <v>0</v>
      </c>
      <c r="L1237" s="292">
        <f>IFERROR(VLOOKUP(B1237,'تقرير المصروفات حسب الشهر'!$C$1143:$AD$1254,12,FALSE),0)</f>
        <v>0</v>
      </c>
      <c r="M1237" s="292">
        <f>IFERROR(VLOOKUP(B1237,'تقرير المصروفات حسب الشهر'!$C$1270:$AD$1381,12,FALSE),0)</f>
        <v>0</v>
      </c>
      <c r="N1237" s="31" t="e">
        <f>#REF!</f>
        <v>#REF!</v>
      </c>
      <c r="O1237" s="37" t="e">
        <f t="shared" si="30"/>
        <v>#REF!</v>
      </c>
    </row>
    <row r="1238" spans="2:15" ht="17.399999999999999">
      <c r="B1238" s="42" t="s">
        <v>88</v>
      </c>
      <c r="C1238" s="39">
        <f>'تقرير المصروفات حسب الشهر'!N72</f>
        <v>0</v>
      </c>
      <c r="D1238" s="31" t="e">
        <f>#REF!</f>
        <v>#REF!</v>
      </c>
      <c r="E1238" s="31" t="e">
        <f>#REF!</f>
        <v>#REF!</v>
      </c>
      <c r="F1238" s="31" t="e">
        <f>#REF!</f>
        <v>#REF!</v>
      </c>
      <c r="G1238" s="31" t="e">
        <f>#REF!</f>
        <v>#REF!</v>
      </c>
      <c r="H1238" s="31" t="e">
        <f>#REF!</f>
        <v>#REF!</v>
      </c>
      <c r="I1238" s="31">
        <f>'تقرير المصروفات حسب الشهر'!N825</f>
        <v>0</v>
      </c>
      <c r="J1238" s="31">
        <f>'تقرير المصروفات حسب الشهر'!N952</f>
        <v>0</v>
      </c>
      <c r="K1238" s="31">
        <f>'تقرير المصروفات حسب الشهر'!N1079</f>
        <v>0</v>
      </c>
      <c r="L1238" s="292">
        <f>IFERROR(VLOOKUP(B1238,'تقرير المصروفات حسب الشهر'!$C$1143:$AD$1254,12,FALSE),0)</f>
        <v>0</v>
      </c>
      <c r="M1238" s="292">
        <f>IFERROR(VLOOKUP(B1238,'تقرير المصروفات حسب الشهر'!$C$1270:$AD$1381,12,FALSE),0)</f>
        <v>0</v>
      </c>
      <c r="N1238" s="31" t="e">
        <f>#REF!</f>
        <v>#REF!</v>
      </c>
      <c r="O1238" s="37" t="e">
        <f t="shared" si="30"/>
        <v>#REF!</v>
      </c>
    </row>
    <row r="1239" spans="2:15" ht="17.399999999999999">
      <c r="B1239" s="42" t="s">
        <v>89</v>
      </c>
      <c r="C1239" s="39">
        <f>'تقرير المصروفات حسب الشهر'!N73</f>
        <v>0</v>
      </c>
      <c r="D1239" s="31" t="e">
        <f>#REF!</f>
        <v>#REF!</v>
      </c>
      <c r="E1239" s="31" t="e">
        <f>#REF!</f>
        <v>#REF!</v>
      </c>
      <c r="F1239" s="31" t="e">
        <f>#REF!</f>
        <v>#REF!</v>
      </c>
      <c r="G1239" s="31" t="e">
        <f>#REF!</f>
        <v>#REF!</v>
      </c>
      <c r="H1239" s="31" t="e">
        <f>#REF!</f>
        <v>#REF!</v>
      </c>
      <c r="I1239" s="31">
        <f>'تقرير المصروفات حسب الشهر'!N826</f>
        <v>979</v>
      </c>
      <c r="J1239" s="31">
        <f>'تقرير المصروفات حسب الشهر'!N953</f>
        <v>0</v>
      </c>
      <c r="K1239" s="31">
        <f>'تقرير المصروفات حسب الشهر'!N1080</f>
        <v>0</v>
      </c>
      <c r="L1239" s="292">
        <f>IFERROR(VLOOKUP(B1239,'تقرير المصروفات حسب الشهر'!$C$1143:$AD$1254,12,FALSE),0)</f>
        <v>0</v>
      </c>
      <c r="M1239" s="292">
        <f>IFERROR(VLOOKUP(B1239,'تقرير المصروفات حسب الشهر'!$C$1270:$AD$1381,12,FALSE),0)</f>
        <v>0</v>
      </c>
      <c r="N1239" s="31" t="e">
        <f>#REF!</f>
        <v>#REF!</v>
      </c>
      <c r="O1239" s="37" t="e">
        <f t="shared" si="30"/>
        <v>#REF!</v>
      </c>
    </row>
    <row r="1240" spans="2:15" ht="17.399999999999999">
      <c r="B1240" s="42" t="s">
        <v>33</v>
      </c>
      <c r="C1240" s="39">
        <f>'تقرير المصروفات حسب الشهر'!N74</f>
        <v>0</v>
      </c>
      <c r="D1240" s="31" t="e">
        <f>#REF!</f>
        <v>#REF!</v>
      </c>
      <c r="E1240" s="31" t="e">
        <f>#REF!</f>
        <v>#REF!</v>
      </c>
      <c r="F1240" s="31" t="e">
        <f>#REF!</f>
        <v>#REF!</v>
      </c>
      <c r="G1240" s="31" t="e">
        <f>#REF!</f>
        <v>#REF!</v>
      </c>
      <c r="H1240" s="31" t="e">
        <f>#REF!</f>
        <v>#REF!</v>
      </c>
      <c r="I1240" s="31">
        <f>'تقرير المصروفات حسب الشهر'!N827</f>
        <v>0</v>
      </c>
      <c r="J1240" s="31">
        <f>'تقرير المصروفات حسب الشهر'!N954</f>
        <v>0</v>
      </c>
      <c r="K1240" s="31">
        <f>'تقرير المصروفات حسب الشهر'!N1081</f>
        <v>0</v>
      </c>
      <c r="L1240" s="292">
        <f>IFERROR(VLOOKUP(B1240,'تقرير المصروفات حسب الشهر'!$C$1143:$AD$1254,12,FALSE),0)</f>
        <v>1075.76</v>
      </c>
      <c r="M1240" s="292">
        <f>IFERROR(VLOOKUP(B1240,'تقرير المصروفات حسب الشهر'!$C$1270:$AD$1381,12,FALSE),0)</f>
        <v>1105.82</v>
      </c>
      <c r="N1240" s="31" t="e">
        <f>#REF!</f>
        <v>#REF!</v>
      </c>
      <c r="O1240" s="37" t="e">
        <f t="shared" si="30"/>
        <v>#REF!</v>
      </c>
    </row>
    <row r="1241" spans="2:15" ht="17.399999999999999">
      <c r="B1241" s="42" t="s">
        <v>90</v>
      </c>
      <c r="C1241" s="39">
        <f>'تقرير المصروفات حسب الشهر'!N75</f>
        <v>0</v>
      </c>
      <c r="D1241" s="31" t="e">
        <f>#REF!</f>
        <v>#REF!</v>
      </c>
      <c r="E1241" s="31" t="e">
        <f>#REF!</f>
        <v>#REF!</v>
      </c>
      <c r="F1241" s="31" t="e">
        <f>#REF!</f>
        <v>#REF!</v>
      </c>
      <c r="G1241" s="31" t="e">
        <f>#REF!</f>
        <v>#REF!</v>
      </c>
      <c r="H1241" s="31" t="e">
        <f>#REF!</f>
        <v>#REF!</v>
      </c>
      <c r="I1241" s="31">
        <f>'تقرير المصروفات حسب الشهر'!N828</f>
        <v>0</v>
      </c>
      <c r="J1241" s="31">
        <f>'تقرير المصروفات حسب الشهر'!N955</f>
        <v>0</v>
      </c>
      <c r="K1241" s="31">
        <f>'تقرير المصروفات حسب الشهر'!N1082</f>
        <v>0</v>
      </c>
      <c r="L1241" s="292">
        <f>IFERROR(VLOOKUP(B1241,'تقرير المصروفات حسب الشهر'!$C$1143:$AD$1254,12,FALSE),0)</f>
        <v>0</v>
      </c>
      <c r="M1241" s="292">
        <f>IFERROR(VLOOKUP(B1241,'تقرير المصروفات حسب الشهر'!$C$1270:$AD$1381,12,FALSE),0)</f>
        <v>0</v>
      </c>
      <c r="N1241" s="31" t="e">
        <f>#REF!</f>
        <v>#REF!</v>
      </c>
      <c r="O1241" s="37" t="e">
        <f t="shared" ref="O1241:O1284" si="31">SUM(C1241:N1241)</f>
        <v>#REF!</v>
      </c>
    </row>
    <row r="1242" spans="2:15" ht="17.399999999999999">
      <c r="B1242" s="42" t="s">
        <v>91</v>
      </c>
      <c r="C1242" s="39">
        <f>'تقرير المصروفات حسب الشهر'!N76</f>
        <v>0</v>
      </c>
      <c r="D1242" s="31" t="e">
        <f>#REF!</f>
        <v>#REF!</v>
      </c>
      <c r="E1242" s="31" t="e">
        <f>#REF!</f>
        <v>#REF!</v>
      </c>
      <c r="F1242" s="31" t="e">
        <f>#REF!</f>
        <v>#REF!</v>
      </c>
      <c r="G1242" s="31" t="e">
        <f>#REF!</f>
        <v>#REF!</v>
      </c>
      <c r="H1242" s="31" t="e">
        <f>#REF!</f>
        <v>#REF!</v>
      </c>
      <c r="I1242" s="31">
        <f>'تقرير المصروفات حسب الشهر'!N829</f>
        <v>0</v>
      </c>
      <c r="J1242" s="31">
        <f>'تقرير المصروفات حسب الشهر'!N956</f>
        <v>0</v>
      </c>
      <c r="K1242" s="31">
        <f>'تقرير المصروفات حسب الشهر'!N1083</f>
        <v>0</v>
      </c>
      <c r="L1242" s="292">
        <f>IFERROR(VLOOKUP(B1242,'تقرير المصروفات حسب الشهر'!$C$1143:$AD$1254,12,FALSE),0)</f>
        <v>0</v>
      </c>
      <c r="M1242" s="292">
        <f>IFERROR(VLOOKUP(B1242,'تقرير المصروفات حسب الشهر'!$C$1270:$AD$1381,12,FALSE),0)</f>
        <v>0</v>
      </c>
      <c r="N1242" s="31" t="e">
        <f>#REF!</f>
        <v>#REF!</v>
      </c>
      <c r="O1242" s="37" t="e">
        <f t="shared" si="31"/>
        <v>#REF!</v>
      </c>
    </row>
    <row r="1243" spans="2:15" ht="17.399999999999999">
      <c r="B1243" s="42" t="s">
        <v>92</v>
      </c>
      <c r="C1243" s="39">
        <f>'تقرير المصروفات حسب الشهر'!N77</f>
        <v>0</v>
      </c>
      <c r="D1243" s="31" t="e">
        <f>#REF!</f>
        <v>#REF!</v>
      </c>
      <c r="E1243" s="31" t="e">
        <f>#REF!</f>
        <v>#REF!</v>
      </c>
      <c r="F1243" s="31" t="e">
        <f>#REF!</f>
        <v>#REF!</v>
      </c>
      <c r="G1243" s="31" t="e">
        <f>#REF!</f>
        <v>#REF!</v>
      </c>
      <c r="H1243" s="31" t="e">
        <f>#REF!</f>
        <v>#REF!</v>
      </c>
      <c r="I1243" s="31">
        <f>'تقرير المصروفات حسب الشهر'!N830</f>
        <v>0</v>
      </c>
      <c r="J1243" s="31">
        <f>'تقرير المصروفات حسب الشهر'!N957</f>
        <v>0</v>
      </c>
      <c r="K1243" s="31">
        <f>'تقرير المصروفات حسب الشهر'!N1084</f>
        <v>0</v>
      </c>
      <c r="L1243" s="292">
        <f>IFERROR(VLOOKUP(B1243,'تقرير المصروفات حسب الشهر'!$C$1143:$AD$1254,12,FALSE),0)</f>
        <v>0</v>
      </c>
      <c r="M1243" s="292">
        <f>IFERROR(VLOOKUP(B1243,'تقرير المصروفات حسب الشهر'!$C$1270:$AD$1381,12,FALSE),0)</f>
        <v>0</v>
      </c>
      <c r="N1243" s="31" t="e">
        <f>#REF!</f>
        <v>#REF!</v>
      </c>
      <c r="O1243" s="37" t="e">
        <f t="shared" si="31"/>
        <v>#REF!</v>
      </c>
    </row>
    <row r="1244" spans="2:15" ht="17.399999999999999">
      <c r="B1244" s="42" t="s">
        <v>93</v>
      </c>
      <c r="C1244" s="39">
        <f>'تقرير المصروفات حسب الشهر'!N78</f>
        <v>0</v>
      </c>
      <c r="D1244" s="31" t="e">
        <f>#REF!</f>
        <v>#REF!</v>
      </c>
      <c r="E1244" s="31" t="e">
        <f>#REF!</f>
        <v>#REF!</v>
      </c>
      <c r="F1244" s="31" t="e">
        <f>#REF!</f>
        <v>#REF!</v>
      </c>
      <c r="G1244" s="31" t="e">
        <f>#REF!</f>
        <v>#REF!</v>
      </c>
      <c r="H1244" s="31" t="e">
        <f>#REF!</f>
        <v>#REF!</v>
      </c>
      <c r="I1244" s="31">
        <f>'تقرير المصروفات حسب الشهر'!N831</f>
        <v>2800</v>
      </c>
      <c r="J1244" s="31">
        <f>'تقرير المصروفات حسب الشهر'!N958</f>
        <v>1200</v>
      </c>
      <c r="K1244" s="31">
        <f>'تقرير المصروفات حسب الشهر'!N1085</f>
        <v>0</v>
      </c>
      <c r="L1244" s="292">
        <f>IFERROR(VLOOKUP(B1244,'تقرير المصروفات حسب الشهر'!$C$1143:$AD$1254,12,FALSE),0)</f>
        <v>0</v>
      </c>
      <c r="M1244" s="292">
        <f>IFERROR(VLOOKUP(B1244,'تقرير المصروفات حسب الشهر'!$C$1270:$AD$1381,12,FALSE),0)</f>
        <v>0</v>
      </c>
      <c r="N1244" s="31" t="e">
        <f>#REF!</f>
        <v>#REF!</v>
      </c>
      <c r="O1244" s="37" t="e">
        <f t="shared" si="31"/>
        <v>#REF!</v>
      </c>
    </row>
    <row r="1245" spans="2:15" ht="17.399999999999999">
      <c r="B1245" s="42" t="s">
        <v>94</v>
      </c>
      <c r="C1245" s="39">
        <f>'تقرير المصروفات حسب الشهر'!N79</f>
        <v>0</v>
      </c>
      <c r="D1245" s="31" t="e">
        <f>#REF!</f>
        <v>#REF!</v>
      </c>
      <c r="E1245" s="31" t="e">
        <f>#REF!</f>
        <v>#REF!</v>
      </c>
      <c r="F1245" s="31" t="e">
        <f>#REF!</f>
        <v>#REF!</v>
      </c>
      <c r="G1245" s="31" t="e">
        <f>#REF!</f>
        <v>#REF!</v>
      </c>
      <c r="H1245" s="31" t="e">
        <f>#REF!</f>
        <v>#REF!</v>
      </c>
      <c r="I1245" s="31">
        <f>'تقرير المصروفات حسب الشهر'!N832</f>
        <v>0</v>
      </c>
      <c r="J1245" s="31">
        <f>'تقرير المصروفات حسب الشهر'!N959</f>
        <v>0</v>
      </c>
      <c r="K1245" s="31">
        <f>'تقرير المصروفات حسب الشهر'!N1086</f>
        <v>0</v>
      </c>
      <c r="L1245" s="292">
        <f>IFERROR(VLOOKUP(B1245,'تقرير المصروفات حسب الشهر'!$C$1143:$AD$1254,12,FALSE),0)</f>
        <v>600</v>
      </c>
      <c r="M1245" s="292">
        <f>IFERROR(VLOOKUP(B1245,'تقرير المصروفات حسب الشهر'!$C$1270:$AD$1381,12,FALSE),0)</f>
        <v>0</v>
      </c>
      <c r="N1245" s="31" t="e">
        <f>#REF!</f>
        <v>#REF!</v>
      </c>
      <c r="O1245" s="37" t="e">
        <f t="shared" si="31"/>
        <v>#REF!</v>
      </c>
    </row>
    <row r="1246" spans="2:15" ht="17.399999999999999">
      <c r="B1246" s="42" t="s">
        <v>95</v>
      </c>
      <c r="C1246" s="39">
        <f>'تقرير المصروفات حسب الشهر'!N80</f>
        <v>0</v>
      </c>
      <c r="D1246" s="31" t="e">
        <f>#REF!</f>
        <v>#REF!</v>
      </c>
      <c r="E1246" s="31" t="e">
        <f>#REF!</f>
        <v>#REF!</v>
      </c>
      <c r="F1246" s="31" t="e">
        <f>#REF!</f>
        <v>#REF!</v>
      </c>
      <c r="G1246" s="31" t="e">
        <f>#REF!</f>
        <v>#REF!</v>
      </c>
      <c r="H1246" s="31" t="e">
        <f>#REF!</f>
        <v>#REF!</v>
      </c>
      <c r="I1246" s="31">
        <f>'تقرير المصروفات حسب الشهر'!N833</f>
        <v>668</v>
      </c>
      <c r="J1246" s="31">
        <f>'تقرير المصروفات حسب الشهر'!N960</f>
        <v>0</v>
      </c>
      <c r="K1246" s="31">
        <f>'تقرير المصروفات حسب الشهر'!N1087</f>
        <v>0</v>
      </c>
      <c r="L1246" s="292">
        <f>IFERROR(VLOOKUP(B1246,'تقرير المصروفات حسب الشهر'!$C$1143:$AD$1254,12,FALSE),0)</f>
        <v>0</v>
      </c>
      <c r="M1246" s="292">
        <f>IFERROR(VLOOKUP(B1246,'تقرير المصروفات حسب الشهر'!$C$1270:$AD$1381,12,FALSE),0)</f>
        <v>0</v>
      </c>
      <c r="N1246" s="31" t="e">
        <f>#REF!</f>
        <v>#REF!</v>
      </c>
      <c r="O1246" s="37" t="e">
        <f t="shared" si="31"/>
        <v>#REF!</v>
      </c>
    </row>
    <row r="1247" spans="2:15" ht="17.399999999999999">
      <c r="B1247" s="42" t="s">
        <v>96</v>
      </c>
      <c r="C1247" s="39">
        <f>'تقرير المصروفات حسب الشهر'!N81</f>
        <v>0</v>
      </c>
      <c r="D1247" s="31" t="e">
        <f>#REF!</f>
        <v>#REF!</v>
      </c>
      <c r="E1247" s="31" t="e">
        <f>#REF!</f>
        <v>#REF!</v>
      </c>
      <c r="F1247" s="31" t="e">
        <f>#REF!</f>
        <v>#REF!</v>
      </c>
      <c r="G1247" s="31" t="e">
        <f>#REF!</f>
        <v>#REF!</v>
      </c>
      <c r="H1247" s="31" t="e">
        <f>#REF!</f>
        <v>#REF!</v>
      </c>
      <c r="I1247" s="31">
        <f>'تقرير المصروفات حسب الشهر'!N834</f>
        <v>400.96</v>
      </c>
      <c r="J1247" s="31">
        <f>'تقرير المصروفات حسب الشهر'!N961</f>
        <v>400.96</v>
      </c>
      <c r="K1247" s="31">
        <f>'تقرير المصروفات حسب الشهر'!N1088</f>
        <v>400.96</v>
      </c>
      <c r="L1247" s="292">
        <f>IFERROR(VLOOKUP(B1247,'تقرير المصروفات حسب الشهر'!$C$1143:$AD$1254,12,FALSE),0)</f>
        <v>0</v>
      </c>
      <c r="M1247" s="292">
        <f>IFERROR(VLOOKUP(B1247,'تقرير المصروفات حسب الشهر'!$C$1270:$AD$1381,12,FALSE),0)</f>
        <v>0</v>
      </c>
      <c r="N1247" s="31" t="e">
        <f>#REF!</f>
        <v>#REF!</v>
      </c>
      <c r="O1247" s="37" t="e">
        <f t="shared" si="31"/>
        <v>#REF!</v>
      </c>
    </row>
    <row r="1248" spans="2:15" ht="17.399999999999999">
      <c r="B1248" s="42" t="s">
        <v>97</v>
      </c>
      <c r="C1248" s="39">
        <f>'تقرير المصروفات حسب الشهر'!N82</f>
        <v>296.31</v>
      </c>
      <c r="D1248" s="31" t="e">
        <f>#REF!</f>
        <v>#REF!</v>
      </c>
      <c r="E1248" s="31" t="e">
        <f>#REF!</f>
        <v>#REF!</v>
      </c>
      <c r="F1248" s="31" t="e">
        <f>#REF!</f>
        <v>#REF!</v>
      </c>
      <c r="G1248" s="31" t="e">
        <f>#REF!</f>
        <v>#REF!</v>
      </c>
      <c r="H1248" s="31" t="e">
        <f>#REF!</f>
        <v>#REF!</v>
      </c>
      <c r="I1248" s="31">
        <f>'تقرير المصروفات حسب الشهر'!N835</f>
        <v>0</v>
      </c>
      <c r="J1248" s="31">
        <f>'تقرير المصروفات حسب الشهر'!N962</f>
        <v>0</v>
      </c>
      <c r="K1248" s="31">
        <f>'تقرير المصروفات حسب الشهر'!N1089</f>
        <v>2130</v>
      </c>
      <c r="L1248" s="292">
        <f>IFERROR(VLOOKUP(B1248,'تقرير المصروفات حسب الشهر'!$C$1143:$AD$1254,12,FALSE),0)</f>
        <v>400.96</v>
      </c>
      <c r="M1248" s="292">
        <f>IFERROR(VLOOKUP(B1248,'تقرير المصروفات حسب الشهر'!$C$1270:$AD$1381,12,FALSE),0)</f>
        <v>400.96</v>
      </c>
      <c r="N1248" s="31" t="e">
        <f>#REF!</f>
        <v>#REF!</v>
      </c>
      <c r="O1248" s="37" t="e">
        <f t="shared" si="31"/>
        <v>#REF!</v>
      </c>
    </row>
    <row r="1249" spans="2:15" ht="17.399999999999999">
      <c r="B1249" s="42" t="s">
        <v>192</v>
      </c>
      <c r="C1249" s="39">
        <f>'تقرير المصروفات حسب الشهر'!N83</f>
        <v>0</v>
      </c>
      <c r="D1249" s="31" t="e">
        <f>#REF!</f>
        <v>#REF!</v>
      </c>
      <c r="E1249" s="31" t="e">
        <f>#REF!</f>
        <v>#REF!</v>
      </c>
      <c r="F1249" s="31" t="e">
        <f>#REF!</f>
        <v>#REF!</v>
      </c>
      <c r="G1249" s="31" t="e">
        <f>#REF!</f>
        <v>#REF!</v>
      </c>
      <c r="H1249" s="31" t="e">
        <f>#REF!</f>
        <v>#REF!</v>
      </c>
      <c r="I1249" s="31">
        <f>'تقرير المصروفات حسب الشهر'!N836</f>
        <v>0</v>
      </c>
      <c r="J1249" s="31">
        <f>'تقرير المصروفات حسب الشهر'!N963</f>
        <v>0</v>
      </c>
      <c r="K1249" s="31">
        <f>'تقرير المصروفات حسب الشهر'!N1090</f>
        <v>0</v>
      </c>
      <c r="L1249" s="292">
        <f>IFERROR(VLOOKUP(B1249,'تقرير المصروفات حسب الشهر'!$C$1143:$AD$1254,12,FALSE),0)</f>
        <v>1065</v>
      </c>
      <c r="M1249" s="292">
        <f>IFERROR(VLOOKUP(B1249,'تقرير المصروفات حسب الشهر'!$C$1270:$AD$1381,12,FALSE),0)</f>
        <v>1065</v>
      </c>
      <c r="N1249" s="31" t="e">
        <f>#REF!</f>
        <v>#REF!</v>
      </c>
      <c r="O1249" s="37" t="e">
        <f t="shared" si="31"/>
        <v>#REF!</v>
      </c>
    </row>
    <row r="1250" spans="2:15" ht="17.399999999999999">
      <c r="B1250" s="42" t="s">
        <v>98</v>
      </c>
      <c r="C1250" s="39">
        <f>'تقرير المصروفات حسب الشهر'!N84</f>
        <v>0</v>
      </c>
      <c r="D1250" s="31" t="e">
        <f>#REF!</f>
        <v>#REF!</v>
      </c>
      <c r="E1250" s="31" t="e">
        <f>#REF!</f>
        <v>#REF!</v>
      </c>
      <c r="F1250" s="31" t="e">
        <f>#REF!</f>
        <v>#REF!</v>
      </c>
      <c r="G1250" s="31" t="e">
        <f>#REF!</f>
        <v>#REF!</v>
      </c>
      <c r="H1250" s="31" t="e">
        <f>#REF!</f>
        <v>#REF!</v>
      </c>
      <c r="I1250" s="31">
        <f>'تقرير المصروفات حسب الشهر'!N837</f>
        <v>0</v>
      </c>
      <c r="J1250" s="31">
        <f>'تقرير المصروفات حسب الشهر'!N964</f>
        <v>0</v>
      </c>
      <c r="K1250" s="31">
        <f>'تقرير المصروفات حسب الشهر'!N1091</f>
        <v>0</v>
      </c>
      <c r="L1250" s="292">
        <f>IFERROR(VLOOKUP(B1250,'تقرير المصروفات حسب الشهر'!$C$1143:$AD$1254,12,FALSE),0)</f>
        <v>0</v>
      </c>
      <c r="M1250" s="292">
        <f>IFERROR(VLOOKUP(B1250,'تقرير المصروفات حسب الشهر'!$C$1270:$AD$1381,12,FALSE),0)</f>
        <v>0</v>
      </c>
      <c r="N1250" s="31" t="e">
        <f>#REF!</f>
        <v>#REF!</v>
      </c>
      <c r="O1250" s="37" t="e">
        <f t="shared" si="31"/>
        <v>#REF!</v>
      </c>
    </row>
    <row r="1251" spans="2:15" ht="17.399999999999999">
      <c r="B1251" s="42" t="s">
        <v>99</v>
      </c>
      <c r="C1251" s="39">
        <f>'تقرير المصروفات حسب الشهر'!N85</f>
        <v>0</v>
      </c>
      <c r="D1251" s="31" t="e">
        <f>#REF!</f>
        <v>#REF!</v>
      </c>
      <c r="E1251" s="31" t="e">
        <f>#REF!</f>
        <v>#REF!</v>
      </c>
      <c r="F1251" s="31" t="e">
        <f>#REF!</f>
        <v>#REF!</v>
      </c>
      <c r="G1251" s="31" t="e">
        <f>#REF!</f>
        <v>#REF!</v>
      </c>
      <c r="H1251" s="31" t="e">
        <f>#REF!</f>
        <v>#REF!</v>
      </c>
      <c r="I1251" s="31">
        <f>'تقرير المصروفات حسب الشهر'!N838</f>
        <v>0</v>
      </c>
      <c r="J1251" s="31">
        <f>'تقرير المصروفات حسب الشهر'!N965</f>
        <v>0</v>
      </c>
      <c r="K1251" s="31">
        <f>'تقرير المصروفات حسب الشهر'!N1092</f>
        <v>0</v>
      </c>
      <c r="L1251" s="292">
        <f>IFERROR(VLOOKUP(B1251,'تقرير المصروفات حسب الشهر'!$C$1143:$AD$1254,12,FALSE),0)</f>
        <v>0</v>
      </c>
      <c r="M1251" s="292">
        <f>IFERROR(VLOOKUP(B1251,'تقرير المصروفات حسب الشهر'!$C$1270:$AD$1381,12,FALSE),0)</f>
        <v>0</v>
      </c>
      <c r="N1251" s="31" t="e">
        <f>#REF!</f>
        <v>#REF!</v>
      </c>
      <c r="O1251" s="37" t="e">
        <f t="shared" si="31"/>
        <v>#REF!</v>
      </c>
    </row>
    <row r="1252" spans="2:15" ht="17.399999999999999">
      <c r="B1252" s="42" t="s">
        <v>100</v>
      </c>
      <c r="C1252" s="39">
        <f>'تقرير المصروفات حسب الشهر'!N86</f>
        <v>0</v>
      </c>
      <c r="D1252" s="31" t="e">
        <f>#REF!</f>
        <v>#REF!</v>
      </c>
      <c r="E1252" s="31" t="e">
        <f>#REF!</f>
        <v>#REF!</v>
      </c>
      <c r="F1252" s="31" t="e">
        <f>#REF!</f>
        <v>#REF!</v>
      </c>
      <c r="G1252" s="31" t="e">
        <f>#REF!</f>
        <v>#REF!</v>
      </c>
      <c r="H1252" s="31" t="e">
        <f>#REF!</f>
        <v>#REF!</v>
      </c>
      <c r="I1252" s="31">
        <f>'تقرير المصروفات حسب الشهر'!N839</f>
        <v>0</v>
      </c>
      <c r="J1252" s="31">
        <f>'تقرير المصروفات حسب الشهر'!N966</f>
        <v>0</v>
      </c>
      <c r="K1252" s="31">
        <f>'تقرير المصروفات حسب الشهر'!N1093</f>
        <v>0</v>
      </c>
      <c r="L1252" s="292">
        <f>IFERROR(VLOOKUP(B1252,'تقرير المصروفات حسب الشهر'!$C$1143:$AD$1254,12,FALSE),0)</f>
        <v>0</v>
      </c>
      <c r="M1252" s="292">
        <f>IFERROR(VLOOKUP(B1252,'تقرير المصروفات حسب الشهر'!$C$1270:$AD$1381,12,FALSE),0)</f>
        <v>0</v>
      </c>
      <c r="N1252" s="31" t="e">
        <f>#REF!</f>
        <v>#REF!</v>
      </c>
      <c r="O1252" s="37" t="e">
        <f t="shared" si="31"/>
        <v>#REF!</v>
      </c>
    </row>
    <row r="1253" spans="2:15" ht="17.399999999999999">
      <c r="B1253" s="42" t="s">
        <v>101</v>
      </c>
      <c r="C1253" s="39">
        <f>'تقرير المصروفات حسب الشهر'!N87</f>
        <v>0</v>
      </c>
      <c r="D1253" s="31" t="e">
        <f>#REF!</f>
        <v>#REF!</v>
      </c>
      <c r="E1253" s="31" t="e">
        <f>#REF!</f>
        <v>#REF!</v>
      </c>
      <c r="F1253" s="31" t="e">
        <f>#REF!</f>
        <v>#REF!</v>
      </c>
      <c r="G1253" s="31" t="e">
        <f>#REF!</f>
        <v>#REF!</v>
      </c>
      <c r="H1253" s="31" t="e">
        <f>#REF!</f>
        <v>#REF!</v>
      </c>
      <c r="I1253" s="31">
        <f>'تقرير المصروفات حسب الشهر'!N840</f>
        <v>622.67999999999995</v>
      </c>
      <c r="J1253" s="31">
        <f>'تقرير المصروفات حسب الشهر'!N967</f>
        <v>622.67999999999995</v>
      </c>
      <c r="K1253" s="31">
        <f>'تقرير المصروفات حسب الشهر'!N1094</f>
        <v>622.67999999999995</v>
      </c>
      <c r="L1253" s="292">
        <f>IFERROR(VLOOKUP(B1253,'تقرير المصروفات حسب الشهر'!$C$1143:$AD$1254,12,FALSE),0)</f>
        <v>0</v>
      </c>
      <c r="M1253" s="292">
        <f>IFERROR(VLOOKUP(B1253,'تقرير المصروفات حسب الشهر'!$C$1270:$AD$1381,12,FALSE),0)</f>
        <v>0</v>
      </c>
      <c r="N1253" s="31" t="e">
        <f>#REF!</f>
        <v>#REF!</v>
      </c>
      <c r="O1253" s="37" t="e">
        <f t="shared" si="31"/>
        <v>#REF!</v>
      </c>
    </row>
    <row r="1254" spans="2:15" ht="17.399999999999999">
      <c r="B1254" s="42" t="s">
        <v>102</v>
      </c>
      <c r="C1254" s="39">
        <f>'تقرير المصروفات حسب الشهر'!N88</f>
        <v>646.64</v>
      </c>
      <c r="D1254" s="31" t="e">
        <f>#REF!</f>
        <v>#REF!</v>
      </c>
      <c r="E1254" s="31" t="e">
        <f>#REF!</f>
        <v>#REF!</v>
      </c>
      <c r="F1254" s="31" t="e">
        <f>#REF!</f>
        <v>#REF!</v>
      </c>
      <c r="G1254" s="31" t="e">
        <f>#REF!</f>
        <v>#REF!</v>
      </c>
      <c r="H1254" s="31" t="e">
        <f>#REF!</f>
        <v>#REF!</v>
      </c>
      <c r="I1254" s="31">
        <f>'تقرير المصروفات حسب الشهر'!N841</f>
        <v>53.44</v>
      </c>
      <c r="J1254" s="31">
        <f>'تقرير المصروفات حسب الشهر'!N968</f>
        <v>38.17</v>
      </c>
      <c r="K1254" s="31">
        <f>'تقرير المصروفات حسب الشهر'!N1095</f>
        <v>0</v>
      </c>
      <c r="L1254" s="292">
        <f>IFERROR(VLOOKUP(B1254,'تقرير المصروفات حسب الشهر'!$C$1143:$AD$1254,12,FALSE),0)</f>
        <v>622.67999999999995</v>
      </c>
      <c r="M1254" s="292">
        <f>IFERROR(VLOOKUP(B1254,'تقرير المصروفات حسب الشهر'!$C$1270:$AD$1381,12,FALSE),0)</f>
        <v>622.62</v>
      </c>
      <c r="N1254" s="31" t="e">
        <f>#REF!</f>
        <v>#REF!</v>
      </c>
      <c r="O1254" s="37" t="e">
        <f t="shared" si="31"/>
        <v>#REF!</v>
      </c>
    </row>
    <row r="1255" spans="2:15" ht="17.399999999999999">
      <c r="B1255" s="42" t="s">
        <v>103</v>
      </c>
      <c r="C1255" s="39">
        <f>'تقرير المصروفات حسب الشهر'!N89</f>
        <v>53.44</v>
      </c>
      <c r="D1255" s="31" t="e">
        <f>#REF!</f>
        <v>#REF!</v>
      </c>
      <c r="E1255" s="31" t="e">
        <f>#REF!</f>
        <v>#REF!</v>
      </c>
      <c r="F1255" s="31" t="e">
        <f>#REF!</f>
        <v>#REF!</v>
      </c>
      <c r="G1255" s="31" t="e">
        <f>#REF!</f>
        <v>#REF!</v>
      </c>
      <c r="H1255" s="31" t="e">
        <f>#REF!</f>
        <v>#REF!</v>
      </c>
      <c r="I1255" s="31">
        <f>'تقرير المصروفات حسب الشهر'!N842</f>
        <v>107.34</v>
      </c>
      <c r="J1255" s="31">
        <f>'تقرير المصروفات حسب الشهر'!N969</f>
        <v>107.34</v>
      </c>
      <c r="K1255" s="31">
        <f>'تقرير المصروفات حسب الشهر'!N1096</f>
        <v>107.34</v>
      </c>
      <c r="L1255" s="292">
        <f>IFERROR(VLOOKUP(B1255,'تقرير المصروفات حسب الشهر'!$C$1143:$AD$1254,12,FALSE),0)</f>
        <v>0</v>
      </c>
      <c r="M1255" s="292">
        <f>IFERROR(VLOOKUP(B1255,'تقرير المصروفات حسب الشهر'!$C$1270:$AD$1381,12,FALSE),0)</f>
        <v>0</v>
      </c>
      <c r="N1255" s="31" t="e">
        <f>#REF!</f>
        <v>#REF!</v>
      </c>
      <c r="O1255" s="37" t="e">
        <f t="shared" si="31"/>
        <v>#REF!</v>
      </c>
    </row>
    <row r="1256" spans="2:15" ht="17.399999999999999">
      <c r="B1256" s="42" t="s">
        <v>104</v>
      </c>
      <c r="C1256" s="39">
        <f>'تقرير المصروفات حسب الشهر'!N90</f>
        <v>107.34</v>
      </c>
      <c r="D1256" s="31" t="e">
        <f>#REF!</f>
        <v>#REF!</v>
      </c>
      <c r="E1256" s="31" t="e">
        <f>#REF!</f>
        <v>#REF!</v>
      </c>
      <c r="F1256" s="31" t="e">
        <f>#REF!</f>
        <v>#REF!</v>
      </c>
      <c r="G1256" s="31" t="e">
        <f>#REF!</f>
        <v>#REF!</v>
      </c>
      <c r="H1256" s="31" t="e">
        <f>#REF!</f>
        <v>#REF!</v>
      </c>
      <c r="I1256" s="31">
        <f>'تقرير المصروفات حسب الشهر'!N843</f>
        <v>0</v>
      </c>
      <c r="J1256" s="31">
        <f>'تقرير المصروفات حسب الشهر'!N970</f>
        <v>0</v>
      </c>
      <c r="K1256" s="31">
        <f>'تقرير المصروفات حسب الشهر'!N1097</f>
        <v>0</v>
      </c>
      <c r="L1256" s="292">
        <f>IFERROR(VLOOKUP(B1256,'تقرير المصروفات حسب الشهر'!$C$1143:$AD$1254,12,FALSE),0)</f>
        <v>107.34</v>
      </c>
      <c r="M1256" s="292">
        <f>IFERROR(VLOOKUP(B1256,'تقرير المصروفات حسب الشهر'!$C$1270:$AD$1381,12,FALSE),0)</f>
        <v>107.34</v>
      </c>
      <c r="N1256" s="31" t="e">
        <f>#REF!</f>
        <v>#REF!</v>
      </c>
      <c r="O1256" s="37" t="e">
        <f t="shared" si="31"/>
        <v>#REF!</v>
      </c>
    </row>
    <row r="1257" spans="2:15" ht="17.399999999999999">
      <c r="B1257" s="42" t="s">
        <v>105</v>
      </c>
      <c r="C1257" s="39">
        <f>'تقرير المصروفات حسب الشهر'!N91</f>
        <v>64.41</v>
      </c>
      <c r="D1257" s="31" t="e">
        <f>#REF!</f>
        <v>#REF!</v>
      </c>
      <c r="E1257" s="31" t="e">
        <f>#REF!</f>
        <v>#REF!</v>
      </c>
      <c r="F1257" s="31" t="e">
        <f>#REF!</f>
        <v>#REF!</v>
      </c>
      <c r="G1257" s="31" t="e">
        <f>#REF!</f>
        <v>#REF!</v>
      </c>
      <c r="H1257" s="31" t="e">
        <f>#REF!</f>
        <v>#REF!</v>
      </c>
      <c r="I1257" s="31">
        <f>'تقرير المصروفات حسب الشهر'!N844</f>
        <v>0</v>
      </c>
      <c r="J1257" s="31">
        <f>'تقرير المصروفات حسب الشهر'!N971</f>
        <v>0</v>
      </c>
      <c r="K1257" s="31">
        <f>'تقرير المصروفات حسب الشهر'!N1098</f>
        <v>0</v>
      </c>
      <c r="L1257" s="292">
        <f>IFERROR(VLOOKUP(B1257,'تقرير المصروفات حسب الشهر'!$C$1143:$AD$1254,12,FALSE),0)</f>
        <v>0</v>
      </c>
      <c r="M1257" s="292">
        <f>IFERROR(VLOOKUP(B1257,'تقرير المصروفات حسب الشهر'!$C$1270:$AD$1381,12,FALSE),0)</f>
        <v>0</v>
      </c>
      <c r="N1257" s="31" t="e">
        <f>#REF!</f>
        <v>#REF!</v>
      </c>
      <c r="O1257" s="37" t="e">
        <f t="shared" si="31"/>
        <v>#REF!</v>
      </c>
    </row>
    <row r="1258" spans="2:15" ht="17.399999999999999">
      <c r="B1258" s="42" t="s">
        <v>106</v>
      </c>
      <c r="C1258" s="39">
        <f>'تقرير المصروفات حسب الشهر'!N92</f>
        <v>0</v>
      </c>
      <c r="D1258" s="31" t="e">
        <f>#REF!</f>
        <v>#REF!</v>
      </c>
      <c r="E1258" s="31" t="e">
        <f>#REF!</f>
        <v>#REF!</v>
      </c>
      <c r="F1258" s="31" t="e">
        <f>#REF!</f>
        <v>#REF!</v>
      </c>
      <c r="G1258" s="31" t="e">
        <f>#REF!</f>
        <v>#REF!</v>
      </c>
      <c r="H1258" s="31" t="e">
        <f>#REF!</f>
        <v>#REF!</v>
      </c>
      <c r="I1258" s="31">
        <f>'تقرير المصروفات حسب الشهر'!N845</f>
        <v>0</v>
      </c>
      <c r="J1258" s="31">
        <f>'تقرير المصروفات حسب الشهر'!N972</f>
        <v>0</v>
      </c>
      <c r="K1258" s="31">
        <f>'تقرير المصروفات حسب الشهر'!N1099</f>
        <v>0</v>
      </c>
      <c r="L1258" s="292">
        <f>IFERROR(VLOOKUP(B1258,'تقرير المصروفات حسب الشهر'!$C$1143:$AD$1254,12,FALSE),0)</f>
        <v>0</v>
      </c>
      <c r="M1258" s="292">
        <f>IFERROR(VLOOKUP(B1258,'تقرير المصروفات حسب الشهر'!$C$1270:$AD$1381,12,FALSE),0)</f>
        <v>0</v>
      </c>
      <c r="N1258" s="31" t="e">
        <f>#REF!</f>
        <v>#REF!</v>
      </c>
      <c r="O1258" s="37" t="e">
        <f t="shared" si="31"/>
        <v>#REF!</v>
      </c>
    </row>
    <row r="1259" spans="2:15" ht="17.399999999999999">
      <c r="B1259" s="42" t="s">
        <v>107</v>
      </c>
      <c r="C1259" s="39">
        <f>'تقرير المصروفات حسب الشهر'!N93</f>
        <v>0</v>
      </c>
      <c r="D1259" s="31" t="e">
        <f>#REF!</f>
        <v>#REF!</v>
      </c>
      <c r="E1259" s="31" t="e">
        <f>#REF!</f>
        <v>#REF!</v>
      </c>
      <c r="F1259" s="31" t="e">
        <f>#REF!</f>
        <v>#REF!</v>
      </c>
      <c r="G1259" s="31" t="e">
        <f>#REF!</f>
        <v>#REF!</v>
      </c>
      <c r="H1259" s="31" t="e">
        <f>#REF!</f>
        <v>#REF!</v>
      </c>
      <c r="I1259" s="31">
        <f>'تقرير المصروفات حسب الشهر'!N846</f>
        <v>0</v>
      </c>
      <c r="J1259" s="31">
        <f>'تقرير المصروفات حسب الشهر'!N973</f>
        <v>0</v>
      </c>
      <c r="K1259" s="31">
        <f>'تقرير المصروفات حسب الشهر'!N1100</f>
        <v>0</v>
      </c>
      <c r="L1259" s="292">
        <f>IFERROR(VLOOKUP(B1259,'تقرير المصروفات حسب الشهر'!$C$1143:$AD$1254,12,FALSE),0)</f>
        <v>0</v>
      </c>
      <c r="M1259" s="292">
        <f>IFERROR(VLOOKUP(B1259,'تقرير المصروفات حسب الشهر'!$C$1270:$AD$1381,12,FALSE),0)</f>
        <v>0</v>
      </c>
      <c r="N1259" s="31" t="e">
        <f>#REF!</f>
        <v>#REF!</v>
      </c>
      <c r="O1259" s="37" t="e">
        <f t="shared" si="31"/>
        <v>#REF!</v>
      </c>
    </row>
    <row r="1260" spans="2:15" ht="17.399999999999999">
      <c r="B1260" s="42" t="s">
        <v>108</v>
      </c>
      <c r="C1260" s="39">
        <f>'تقرير المصروفات حسب الشهر'!N94</f>
        <v>0</v>
      </c>
      <c r="D1260" s="31" t="e">
        <f>#REF!</f>
        <v>#REF!</v>
      </c>
      <c r="E1260" s="31" t="e">
        <f>#REF!</f>
        <v>#REF!</v>
      </c>
      <c r="F1260" s="31" t="e">
        <f>#REF!</f>
        <v>#REF!</v>
      </c>
      <c r="G1260" s="31" t="e">
        <f>#REF!</f>
        <v>#REF!</v>
      </c>
      <c r="H1260" s="31" t="e">
        <f>#REF!</f>
        <v>#REF!</v>
      </c>
      <c r="I1260" s="31">
        <f>'تقرير المصروفات حسب الشهر'!N847</f>
        <v>0</v>
      </c>
      <c r="J1260" s="31">
        <f>'تقرير المصروفات حسب الشهر'!N974</f>
        <v>0</v>
      </c>
      <c r="K1260" s="31">
        <f>'تقرير المصروفات حسب الشهر'!N1101</f>
        <v>0</v>
      </c>
      <c r="L1260" s="292">
        <f>IFERROR(VLOOKUP(B1260,'تقرير المصروفات حسب الشهر'!$C$1143:$AD$1254,12,FALSE),0)</f>
        <v>0</v>
      </c>
      <c r="M1260" s="292">
        <f>IFERROR(VLOOKUP(B1260,'تقرير المصروفات حسب الشهر'!$C$1270:$AD$1381,12,FALSE),0)</f>
        <v>0</v>
      </c>
      <c r="N1260" s="31" t="e">
        <f>#REF!</f>
        <v>#REF!</v>
      </c>
      <c r="O1260" s="37" t="e">
        <f t="shared" si="31"/>
        <v>#REF!</v>
      </c>
    </row>
    <row r="1261" spans="2:15" ht="17.399999999999999">
      <c r="B1261" s="42" t="s">
        <v>109</v>
      </c>
      <c r="C1261" s="39">
        <f>'تقرير المصروفات حسب الشهر'!N95</f>
        <v>0</v>
      </c>
      <c r="D1261" s="31" t="e">
        <f>#REF!</f>
        <v>#REF!</v>
      </c>
      <c r="E1261" s="31" t="e">
        <f>#REF!</f>
        <v>#REF!</v>
      </c>
      <c r="F1261" s="31" t="e">
        <f>#REF!</f>
        <v>#REF!</v>
      </c>
      <c r="G1261" s="31" t="e">
        <f>#REF!</f>
        <v>#REF!</v>
      </c>
      <c r="H1261" s="31" t="e">
        <f>#REF!</f>
        <v>#REF!</v>
      </c>
      <c r="I1261" s="31">
        <f>'تقرير المصروفات حسب الشهر'!N848</f>
        <v>0</v>
      </c>
      <c r="J1261" s="31">
        <f>'تقرير المصروفات حسب الشهر'!N975</f>
        <v>0</v>
      </c>
      <c r="K1261" s="31">
        <f>'تقرير المصروفات حسب الشهر'!N1102</f>
        <v>0</v>
      </c>
      <c r="L1261" s="292">
        <f>IFERROR(VLOOKUP(B1261,'تقرير المصروفات حسب الشهر'!$C$1143:$AD$1254,12,FALSE),0)</f>
        <v>0</v>
      </c>
      <c r="M1261" s="292">
        <f>IFERROR(VLOOKUP(B1261,'تقرير المصروفات حسب الشهر'!$C$1270:$AD$1381,12,FALSE),0)</f>
        <v>0</v>
      </c>
      <c r="N1261" s="31" t="e">
        <f>#REF!</f>
        <v>#REF!</v>
      </c>
      <c r="O1261" s="37" t="e">
        <f t="shared" si="31"/>
        <v>#REF!</v>
      </c>
    </row>
    <row r="1262" spans="2:15" ht="17.399999999999999">
      <c r="B1262" s="42" t="s">
        <v>110</v>
      </c>
      <c r="C1262" s="39">
        <f>'تقرير المصروفات حسب الشهر'!N96</f>
        <v>0</v>
      </c>
      <c r="D1262" s="31" t="e">
        <f>#REF!</f>
        <v>#REF!</v>
      </c>
      <c r="E1262" s="31" t="e">
        <f>#REF!</f>
        <v>#REF!</v>
      </c>
      <c r="F1262" s="31" t="e">
        <f>#REF!</f>
        <v>#REF!</v>
      </c>
      <c r="G1262" s="31" t="e">
        <f>#REF!</f>
        <v>#REF!</v>
      </c>
      <c r="H1262" s="31" t="e">
        <f>#REF!</f>
        <v>#REF!</v>
      </c>
      <c r="I1262" s="31">
        <f>'تقرير المصروفات حسب الشهر'!N849</f>
        <v>0</v>
      </c>
      <c r="J1262" s="31">
        <f>'تقرير المصروفات حسب الشهر'!N976</f>
        <v>0</v>
      </c>
      <c r="K1262" s="31">
        <f>'تقرير المصروفات حسب الشهر'!N1103</f>
        <v>0</v>
      </c>
      <c r="L1262" s="292">
        <f>IFERROR(VLOOKUP(B1262,'تقرير المصروفات حسب الشهر'!$C$1143:$AD$1254,12,FALSE),0)</f>
        <v>0</v>
      </c>
      <c r="M1262" s="292">
        <f>IFERROR(VLOOKUP(B1262,'تقرير المصروفات حسب الشهر'!$C$1270:$AD$1381,12,FALSE),0)</f>
        <v>0</v>
      </c>
      <c r="N1262" s="31" t="e">
        <f>#REF!</f>
        <v>#REF!</v>
      </c>
      <c r="O1262" s="37" t="e">
        <f t="shared" si="31"/>
        <v>#REF!</v>
      </c>
    </row>
    <row r="1263" spans="2:15" ht="17.399999999999999">
      <c r="B1263" s="42" t="s">
        <v>112</v>
      </c>
      <c r="C1263" s="39">
        <f>'تقرير المصروفات حسب الشهر'!N97</f>
        <v>0</v>
      </c>
      <c r="D1263" s="31" t="e">
        <f>#REF!</f>
        <v>#REF!</v>
      </c>
      <c r="E1263" s="31" t="e">
        <f>#REF!</f>
        <v>#REF!</v>
      </c>
      <c r="F1263" s="31" t="e">
        <f>#REF!</f>
        <v>#REF!</v>
      </c>
      <c r="G1263" s="31" t="e">
        <f>#REF!</f>
        <v>#REF!</v>
      </c>
      <c r="H1263" s="31" t="e">
        <f>#REF!</f>
        <v>#REF!</v>
      </c>
      <c r="I1263" s="31">
        <f>'تقرير المصروفات حسب الشهر'!N850</f>
        <v>4253</v>
      </c>
      <c r="J1263" s="31">
        <f>'تقرير المصروفات حسب الشهر'!N977</f>
        <v>0</v>
      </c>
      <c r="K1263" s="31">
        <f>'تقرير المصروفات حسب الشهر'!N1104</f>
        <v>0.01</v>
      </c>
      <c r="L1263" s="292">
        <f>IFERROR(VLOOKUP(B1263,'تقرير المصروفات حسب الشهر'!$C$1143:$AD$1254,12,FALSE),0)</f>
        <v>0</v>
      </c>
      <c r="M1263" s="292">
        <f>IFERROR(VLOOKUP(B1263,'تقرير المصروفات حسب الشهر'!$C$1270:$AD$1381,12,FALSE),0)</f>
        <v>0</v>
      </c>
      <c r="N1263" s="31" t="e">
        <f>#REF!</f>
        <v>#REF!</v>
      </c>
      <c r="O1263" s="37" t="e">
        <f t="shared" si="31"/>
        <v>#REF!</v>
      </c>
    </row>
    <row r="1264" spans="2:15" ht="17.399999999999999">
      <c r="B1264" s="42" t="s">
        <v>113</v>
      </c>
      <c r="C1264" s="39">
        <f>'تقرير المصروفات حسب الشهر'!N98</f>
        <v>0</v>
      </c>
      <c r="D1264" s="31" t="e">
        <f>#REF!</f>
        <v>#REF!</v>
      </c>
      <c r="E1264" s="31" t="e">
        <f>#REF!</f>
        <v>#REF!</v>
      </c>
      <c r="F1264" s="31" t="e">
        <f>#REF!</f>
        <v>#REF!</v>
      </c>
      <c r="G1264" s="31" t="e">
        <f>#REF!</f>
        <v>#REF!</v>
      </c>
      <c r="H1264" s="31" t="e">
        <f>#REF!</f>
        <v>#REF!</v>
      </c>
      <c r="I1264" s="31">
        <f>'تقرير المصروفات حسب الشهر'!N851</f>
        <v>0</v>
      </c>
      <c r="J1264" s="31">
        <f>'تقرير المصروفات حسب الشهر'!N978</f>
        <v>0</v>
      </c>
      <c r="K1264" s="31">
        <f>'تقرير المصروفات حسب الشهر'!N1105</f>
        <v>0</v>
      </c>
      <c r="L1264" s="292">
        <f>IFERROR(VLOOKUP(B1264,'تقرير المصروفات حسب الشهر'!$C$1143:$AD$1254,12,FALSE),0)</f>
        <v>0</v>
      </c>
      <c r="M1264" s="292">
        <f>IFERROR(VLOOKUP(B1264,'تقرير المصروفات حسب الشهر'!$C$1270:$AD$1381,12,FALSE),0)</f>
        <v>0</v>
      </c>
      <c r="N1264" s="31" t="e">
        <f>#REF!</f>
        <v>#REF!</v>
      </c>
      <c r="O1264" s="37" t="e">
        <f t="shared" si="31"/>
        <v>#REF!</v>
      </c>
    </row>
    <row r="1265" spans="2:15" ht="17.399999999999999">
      <c r="B1265" s="42" t="s">
        <v>137</v>
      </c>
      <c r="C1265" s="39">
        <f>'تقرير المصروفات حسب الشهر'!N99</f>
        <v>0</v>
      </c>
      <c r="D1265" s="31" t="e">
        <f>#REF!</f>
        <v>#REF!</v>
      </c>
      <c r="E1265" s="31" t="e">
        <f>#REF!</f>
        <v>#REF!</v>
      </c>
      <c r="F1265" s="31" t="e">
        <f>#REF!</f>
        <v>#REF!</v>
      </c>
      <c r="G1265" s="31" t="e">
        <f>#REF!</f>
        <v>#REF!</v>
      </c>
      <c r="H1265" s="31" t="e">
        <f>#REF!</f>
        <v>#REF!</v>
      </c>
      <c r="I1265" s="31">
        <f>'تقرير المصروفات حسب الشهر'!N852</f>
        <v>0</v>
      </c>
      <c r="J1265" s="31">
        <f>'تقرير المصروفات حسب الشهر'!N979</f>
        <v>0</v>
      </c>
      <c r="K1265" s="31">
        <f>'تقرير المصروفات حسب الشهر'!N1106</f>
        <v>0</v>
      </c>
      <c r="L1265" s="292">
        <f>IFERROR(VLOOKUP(B1265,'تقرير المصروفات حسب الشهر'!$C$1143:$AD$1254,12,FALSE),0)</f>
        <v>0</v>
      </c>
      <c r="M1265" s="292">
        <f>IFERROR(VLOOKUP(B1265,'تقرير المصروفات حسب الشهر'!$C$1270:$AD$1381,12,FALSE),0)</f>
        <v>0</v>
      </c>
      <c r="N1265" s="31" t="e">
        <f>#REF!</f>
        <v>#REF!</v>
      </c>
      <c r="O1265" s="37" t="e">
        <f t="shared" si="31"/>
        <v>#REF!</v>
      </c>
    </row>
    <row r="1266" spans="2:15" ht="17.399999999999999">
      <c r="B1266" s="42" t="s">
        <v>140</v>
      </c>
      <c r="C1266" s="39">
        <f>'تقرير المصروفات حسب الشهر'!N100</f>
        <v>60</v>
      </c>
      <c r="D1266" s="31" t="e">
        <f>#REF!</f>
        <v>#REF!</v>
      </c>
      <c r="E1266" s="31" t="e">
        <f>#REF!</f>
        <v>#REF!</v>
      </c>
      <c r="F1266" s="31" t="e">
        <f>#REF!</f>
        <v>#REF!</v>
      </c>
      <c r="G1266" s="31" t="e">
        <f>#REF!</f>
        <v>#REF!</v>
      </c>
      <c r="H1266" s="31" t="e">
        <f>#REF!</f>
        <v>#REF!</v>
      </c>
      <c r="I1266" s="31">
        <f>'تقرير المصروفات حسب الشهر'!N853</f>
        <v>0</v>
      </c>
      <c r="J1266" s="31">
        <f>'تقرير المصروفات حسب الشهر'!N980</f>
        <v>0</v>
      </c>
      <c r="K1266" s="31">
        <f>'تقرير المصروفات حسب الشهر'!N1107</f>
        <v>0</v>
      </c>
      <c r="L1266" s="292">
        <f>IFERROR(VLOOKUP(B1266,'تقرير المصروفات حسب الشهر'!$C$1143:$AD$1254,12,FALSE),0)</f>
        <v>0</v>
      </c>
      <c r="M1266" s="292">
        <f>IFERROR(VLOOKUP(B1266,'تقرير المصروفات حسب الشهر'!$C$1270:$AD$1381,12,FALSE),0)</f>
        <v>0</v>
      </c>
      <c r="N1266" s="31" t="e">
        <f>#REF!</f>
        <v>#REF!</v>
      </c>
      <c r="O1266" s="37" t="e">
        <f t="shared" si="31"/>
        <v>#REF!</v>
      </c>
    </row>
    <row r="1267" spans="2:15" ht="17.399999999999999">
      <c r="B1267" s="42" t="s">
        <v>141</v>
      </c>
      <c r="C1267" s="39">
        <f>'تقرير المصروفات حسب الشهر'!N101</f>
        <v>0</v>
      </c>
      <c r="D1267" s="31" t="e">
        <f>#REF!</f>
        <v>#REF!</v>
      </c>
      <c r="E1267" s="31" t="e">
        <f>#REF!</f>
        <v>#REF!</v>
      </c>
      <c r="F1267" s="31" t="e">
        <f>#REF!</f>
        <v>#REF!</v>
      </c>
      <c r="G1267" s="31" t="e">
        <f>#REF!</f>
        <v>#REF!</v>
      </c>
      <c r="H1267" s="31" t="e">
        <f>#REF!</f>
        <v>#REF!</v>
      </c>
      <c r="I1267" s="31">
        <f>'تقرير المصروفات حسب الشهر'!N854</f>
        <v>0</v>
      </c>
      <c r="J1267" s="31">
        <f>'تقرير المصروفات حسب الشهر'!N981</f>
        <v>0</v>
      </c>
      <c r="K1267" s="31">
        <f>'تقرير المصروفات حسب الشهر'!N1108</f>
        <v>0</v>
      </c>
      <c r="L1267" s="292">
        <f>IFERROR(VLOOKUP(B1267,'تقرير المصروفات حسب الشهر'!$C$1143:$AD$1254,12,FALSE),0)</f>
        <v>0</v>
      </c>
      <c r="M1267" s="292">
        <f>IFERROR(VLOOKUP(B1267,'تقرير المصروفات حسب الشهر'!$C$1270:$AD$1381,12,FALSE),0)</f>
        <v>0</v>
      </c>
      <c r="N1267" s="31" t="e">
        <f>#REF!</f>
        <v>#REF!</v>
      </c>
      <c r="O1267" s="37" t="e">
        <f t="shared" si="31"/>
        <v>#REF!</v>
      </c>
    </row>
    <row r="1268" spans="2:15" ht="17.399999999999999">
      <c r="B1268" s="42" t="s">
        <v>193</v>
      </c>
      <c r="C1268" s="39">
        <f>'تقرير المصروفات حسب الشهر'!N102</f>
        <v>0</v>
      </c>
      <c r="D1268" s="31" t="e">
        <f>#REF!</f>
        <v>#REF!</v>
      </c>
      <c r="E1268" s="31" t="e">
        <f>#REF!</f>
        <v>#REF!</v>
      </c>
      <c r="F1268" s="31" t="e">
        <f>#REF!</f>
        <v>#REF!</v>
      </c>
      <c r="G1268" s="31" t="e">
        <f>#REF!</f>
        <v>#REF!</v>
      </c>
      <c r="H1268" s="31" t="e">
        <f>#REF!</f>
        <v>#REF!</v>
      </c>
      <c r="I1268" s="31">
        <f>'تقرير المصروفات حسب الشهر'!N855</f>
        <v>0</v>
      </c>
      <c r="J1268" s="31">
        <f>'تقرير المصروفات حسب الشهر'!N982</f>
        <v>0</v>
      </c>
      <c r="K1268" s="31">
        <f>'تقرير المصروفات حسب الشهر'!N1109</f>
        <v>0</v>
      </c>
      <c r="L1268" s="292">
        <f>IFERROR(VLOOKUP(B1268,'تقرير المصروفات حسب الشهر'!$C$1143:$AD$1254,12,FALSE),0)</f>
        <v>0</v>
      </c>
      <c r="M1268" s="292">
        <f>IFERROR(VLOOKUP(B1268,'تقرير المصروفات حسب الشهر'!$C$1270:$AD$1381,12,FALSE),0)</f>
        <v>0</v>
      </c>
      <c r="N1268" s="31" t="e">
        <f>#REF!</f>
        <v>#REF!</v>
      </c>
      <c r="O1268" s="37" t="e">
        <f t="shared" si="31"/>
        <v>#REF!</v>
      </c>
    </row>
    <row r="1269" spans="2:15" ht="17.399999999999999">
      <c r="B1269" s="42" t="s">
        <v>148</v>
      </c>
      <c r="C1269" s="39">
        <f>'تقرير المصروفات حسب الشهر'!N103</f>
        <v>0</v>
      </c>
      <c r="D1269" s="31" t="e">
        <f>#REF!</f>
        <v>#REF!</v>
      </c>
      <c r="E1269" s="31" t="e">
        <f>#REF!</f>
        <v>#REF!</v>
      </c>
      <c r="F1269" s="31" t="e">
        <f>#REF!</f>
        <v>#REF!</v>
      </c>
      <c r="G1269" s="31" t="e">
        <f>#REF!</f>
        <v>#REF!</v>
      </c>
      <c r="H1269" s="31" t="e">
        <f>#REF!</f>
        <v>#REF!</v>
      </c>
      <c r="I1269" s="31">
        <f>'تقرير المصروفات حسب الشهر'!N856</f>
        <v>0</v>
      </c>
      <c r="J1269" s="31">
        <f>'تقرير المصروفات حسب الشهر'!N983</f>
        <v>0</v>
      </c>
      <c r="K1269" s="31">
        <f>'تقرير المصروفات حسب الشهر'!N1110</f>
        <v>0</v>
      </c>
      <c r="L1269" s="292">
        <f>IFERROR(VLOOKUP(B1269,'تقرير المصروفات حسب الشهر'!$C$1143:$AD$1254,12,FALSE),0)</f>
        <v>0</v>
      </c>
      <c r="M1269" s="292">
        <f>IFERROR(VLOOKUP(B1269,'تقرير المصروفات حسب الشهر'!$C$1270:$AD$1381,12,FALSE),0)</f>
        <v>0</v>
      </c>
      <c r="N1269" s="31" t="e">
        <f>#REF!</f>
        <v>#REF!</v>
      </c>
      <c r="O1269" s="37" t="e">
        <f t="shared" si="31"/>
        <v>#REF!</v>
      </c>
    </row>
    <row r="1270" spans="2:15" ht="17.399999999999999">
      <c r="B1270" s="42" t="s">
        <v>186</v>
      </c>
      <c r="C1270" s="39">
        <f>'تقرير المصروفات حسب الشهر'!N104</f>
        <v>0</v>
      </c>
      <c r="D1270" s="31" t="e">
        <f>#REF!</f>
        <v>#REF!</v>
      </c>
      <c r="E1270" s="31" t="e">
        <f>#REF!</f>
        <v>#REF!</v>
      </c>
      <c r="F1270" s="31" t="e">
        <f>#REF!</f>
        <v>#REF!</v>
      </c>
      <c r="G1270" s="31" t="e">
        <f>#REF!</f>
        <v>#REF!</v>
      </c>
      <c r="H1270" s="31" t="e">
        <f>#REF!</f>
        <v>#REF!</v>
      </c>
      <c r="I1270" s="31">
        <f>'تقرير المصروفات حسب الشهر'!N857</f>
        <v>0</v>
      </c>
      <c r="J1270" s="31">
        <f>'تقرير المصروفات حسب الشهر'!N984</f>
        <v>0</v>
      </c>
      <c r="K1270" s="31">
        <f>'تقرير المصروفات حسب الشهر'!N1111</f>
        <v>0</v>
      </c>
      <c r="L1270" s="292">
        <f>IFERROR(VLOOKUP(B1270,'تقرير المصروفات حسب الشهر'!$C$1143:$AD$1254,12,FALSE),0)</f>
        <v>0</v>
      </c>
      <c r="M1270" s="292">
        <f>IFERROR(VLOOKUP(B1270,'تقرير المصروفات حسب الشهر'!$C$1270:$AD$1381,12,FALSE),0)</f>
        <v>0</v>
      </c>
      <c r="N1270" s="31" t="e">
        <f>#REF!</f>
        <v>#REF!</v>
      </c>
      <c r="O1270" s="37" t="e">
        <f t="shared" si="31"/>
        <v>#REF!</v>
      </c>
    </row>
    <row r="1271" spans="2:15" ht="17.399999999999999">
      <c r="B1271" s="42" t="s">
        <v>171</v>
      </c>
      <c r="C1271" s="39">
        <f>'تقرير المصروفات حسب الشهر'!N105</f>
        <v>0</v>
      </c>
      <c r="D1271" s="31" t="e">
        <f>#REF!</f>
        <v>#REF!</v>
      </c>
      <c r="E1271" s="31" t="e">
        <f>#REF!</f>
        <v>#REF!</v>
      </c>
      <c r="F1271" s="31" t="e">
        <f>#REF!</f>
        <v>#REF!</v>
      </c>
      <c r="G1271" s="31" t="e">
        <f>#REF!</f>
        <v>#REF!</v>
      </c>
      <c r="H1271" s="31" t="e">
        <f>#REF!</f>
        <v>#REF!</v>
      </c>
      <c r="I1271" s="31">
        <f>'تقرير المصروفات حسب الشهر'!N858</f>
        <v>0</v>
      </c>
      <c r="J1271" s="31">
        <f>'تقرير المصروفات حسب الشهر'!N985</f>
        <v>0</v>
      </c>
      <c r="K1271" s="31">
        <f>'تقرير المصروفات حسب الشهر'!N1112</f>
        <v>0</v>
      </c>
      <c r="L1271" s="292">
        <f>IFERROR(VLOOKUP(B1271,'تقرير المصروفات حسب الشهر'!$C$1143:$AD$1254,12,FALSE),0)</f>
        <v>0</v>
      </c>
      <c r="M1271" s="292">
        <f>IFERROR(VLOOKUP(B1271,'تقرير المصروفات حسب الشهر'!$C$1270:$AD$1381,12,FALSE),0)</f>
        <v>0</v>
      </c>
      <c r="N1271" s="31" t="e">
        <f>#REF!</f>
        <v>#REF!</v>
      </c>
      <c r="O1271" s="37" t="e">
        <f t="shared" si="31"/>
        <v>#REF!</v>
      </c>
    </row>
    <row r="1272" spans="2:15" ht="17.399999999999999">
      <c r="B1272" s="42" t="s">
        <v>180</v>
      </c>
      <c r="C1272" s="39">
        <f>'تقرير المصروفات حسب الشهر'!N106</f>
        <v>0</v>
      </c>
      <c r="D1272" s="31" t="e">
        <f>#REF!</f>
        <v>#REF!</v>
      </c>
      <c r="E1272" s="31" t="e">
        <f>#REF!</f>
        <v>#REF!</v>
      </c>
      <c r="F1272" s="31" t="e">
        <f>#REF!</f>
        <v>#REF!</v>
      </c>
      <c r="G1272" s="31" t="e">
        <f>#REF!</f>
        <v>#REF!</v>
      </c>
      <c r="H1272" s="31" t="e">
        <f>#REF!</f>
        <v>#REF!</v>
      </c>
      <c r="I1272" s="31">
        <f>'تقرير المصروفات حسب الشهر'!N859</f>
        <v>0</v>
      </c>
      <c r="J1272" s="31">
        <f>'تقرير المصروفات حسب الشهر'!N986</f>
        <v>0</v>
      </c>
      <c r="K1272" s="31">
        <f>'تقرير المصروفات حسب الشهر'!N1113</f>
        <v>0</v>
      </c>
      <c r="L1272" s="292">
        <f>IFERROR(VLOOKUP(B1272,'تقرير المصروفات حسب الشهر'!$C$1143:$AD$1254,12,FALSE),0)</f>
        <v>0</v>
      </c>
      <c r="M1272" s="292">
        <f>IFERROR(VLOOKUP(B1272,'تقرير المصروفات حسب الشهر'!$C$1270:$AD$1381,12,FALSE),0)</f>
        <v>0</v>
      </c>
      <c r="N1272" s="31" t="e">
        <f>#REF!</f>
        <v>#REF!</v>
      </c>
      <c r="O1272" s="37" t="e">
        <f t="shared" si="31"/>
        <v>#REF!</v>
      </c>
    </row>
    <row r="1273" spans="2:15" ht="17.399999999999999">
      <c r="B1273" s="42" t="s">
        <v>183</v>
      </c>
      <c r="C1273" s="39">
        <f>'تقرير المصروفات حسب الشهر'!N107</f>
        <v>0</v>
      </c>
      <c r="D1273" s="31" t="e">
        <f>#REF!</f>
        <v>#REF!</v>
      </c>
      <c r="E1273" s="31" t="e">
        <f>#REF!</f>
        <v>#REF!</v>
      </c>
      <c r="F1273" s="31" t="e">
        <f>#REF!</f>
        <v>#REF!</v>
      </c>
      <c r="G1273" s="31" t="e">
        <f>#REF!</f>
        <v>#REF!</v>
      </c>
      <c r="H1273" s="31" t="e">
        <f>#REF!</f>
        <v>#REF!</v>
      </c>
      <c r="I1273" s="31">
        <f>'تقرير المصروفات حسب الشهر'!N860</f>
        <v>0</v>
      </c>
      <c r="J1273" s="31">
        <f>'تقرير المصروفات حسب الشهر'!N987</f>
        <v>0</v>
      </c>
      <c r="K1273" s="31">
        <f>'تقرير المصروفات حسب الشهر'!N1114</f>
        <v>0</v>
      </c>
      <c r="L1273" s="292">
        <f>IFERROR(VLOOKUP(B1273,'تقرير المصروفات حسب الشهر'!$C$1143:$AD$1254,12,FALSE),0)</f>
        <v>0</v>
      </c>
      <c r="M1273" s="292">
        <f>IFERROR(VLOOKUP(B1273,'تقرير المصروفات حسب الشهر'!$C$1270:$AD$1381,12,FALSE),0)</f>
        <v>0</v>
      </c>
      <c r="N1273" s="31" t="e">
        <f>#REF!</f>
        <v>#REF!</v>
      </c>
      <c r="O1273" s="37" t="e">
        <f t="shared" si="31"/>
        <v>#REF!</v>
      </c>
    </row>
    <row r="1274" spans="2:15" ht="17.399999999999999">
      <c r="B1274" s="42" t="s">
        <v>195</v>
      </c>
      <c r="C1274" s="39">
        <f>'تقرير المصروفات حسب الشهر'!N108</f>
        <v>0</v>
      </c>
      <c r="D1274" s="31" t="e">
        <f>#REF!</f>
        <v>#REF!</v>
      </c>
      <c r="E1274" s="31" t="e">
        <f>#REF!</f>
        <v>#REF!</v>
      </c>
      <c r="F1274" s="31" t="e">
        <f>#REF!</f>
        <v>#REF!</v>
      </c>
      <c r="G1274" s="31" t="e">
        <f>#REF!</f>
        <v>#REF!</v>
      </c>
      <c r="H1274" s="31" t="e">
        <f>#REF!</f>
        <v>#REF!</v>
      </c>
      <c r="I1274" s="31">
        <f>'تقرير المصروفات حسب الشهر'!N861</f>
        <v>0</v>
      </c>
      <c r="J1274" s="31">
        <f>'تقرير المصروفات حسب الشهر'!N988</f>
        <v>0</v>
      </c>
      <c r="K1274" s="31">
        <f>'تقرير المصروفات حسب الشهر'!N1115</f>
        <v>0</v>
      </c>
      <c r="L1274" s="292">
        <f>IFERROR(VLOOKUP(B1274,'تقرير المصروفات حسب الشهر'!$C$1143:$AD$1254,12,FALSE),0)</f>
        <v>0</v>
      </c>
      <c r="M1274" s="292">
        <f>IFERROR(VLOOKUP(B1274,'تقرير المصروفات حسب الشهر'!$C$1270:$AD$1381,12,FALSE),0)</f>
        <v>0</v>
      </c>
      <c r="N1274" s="31" t="e">
        <f>#REF!</f>
        <v>#REF!</v>
      </c>
      <c r="O1274" s="37" t="e">
        <f t="shared" si="31"/>
        <v>#REF!</v>
      </c>
    </row>
    <row r="1275" spans="2:15" ht="17.399999999999999">
      <c r="B1275" s="42" t="s">
        <v>189</v>
      </c>
      <c r="C1275" s="39">
        <f>'تقرير المصروفات حسب الشهر'!N109</f>
        <v>0</v>
      </c>
      <c r="D1275" s="31" t="e">
        <f>#REF!</f>
        <v>#REF!</v>
      </c>
      <c r="E1275" s="31" t="e">
        <f>#REF!</f>
        <v>#REF!</v>
      </c>
      <c r="F1275" s="31" t="e">
        <f>#REF!</f>
        <v>#REF!</v>
      </c>
      <c r="G1275" s="31" t="e">
        <f>#REF!</f>
        <v>#REF!</v>
      </c>
      <c r="H1275" s="31" t="e">
        <f>#REF!</f>
        <v>#REF!</v>
      </c>
      <c r="I1275" s="31">
        <f>'تقرير المصروفات حسب الشهر'!N862</f>
        <v>0</v>
      </c>
      <c r="J1275" s="31">
        <f>'تقرير المصروفات حسب الشهر'!N989</f>
        <v>0</v>
      </c>
      <c r="K1275" s="31">
        <f>'تقرير المصروفات حسب الشهر'!N1116</f>
        <v>0</v>
      </c>
      <c r="L1275" s="292">
        <f>IFERROR(VLOOKUP(B1275,'تقرير المصروفات حسب الشهر'!$C$1143:$AD$1254,12,FALSE),0)</f>
        <v>0</v>
      </c>
      <c r="M1275" s="292">
        <f>IFERROR(VLOOKUP(B1275,'تقرير المصروفات حسب الشهر'!$C$1270:$AD$1381,12,FALSE),0)</f>
        <v>0</v>
      </c>
      <c r="N1275" s="31" t="e">
        <f>#REF!</f>
        <v>#REF!</v>
      </c>
      <c r="O1275" s="37" t="e">
        <f t="shared" si="31"/>
        <v>#REF!</v>
      </c>
    </row>
    <row r="1276" spans="2:15" ht="17.399999999999999">
      <c r="B1276" s="42" t="s">
        <v>188</v>
      </c>
      <c r="C1276" s="39">
        <f>'تقرير المصروفات حسب الشهر'!N110</f>
        <v>0</v>
      </c>
      <c r="D1276" s="31" t="e">
        <f>#REF!</f>
        <v>#REF!</v>
      </c>
      <c r="E1276" s="31" t="e">
        <f>#REF!</f>
        <v>#REF!</v>
      </c>
      <c r="F1276" s="31" t="e">
        <f>#REF!</f>
        <v>#REF!</v>
      </c>
      <c r="G1276" s="31" t="e">
        <f>#REF!</f>
        <v>#REF!</v>
      </c>
      <c r="H1276" s="31" t="e">
        <f>#REF!</f>
        <v>#REF!</v>
      </c>
      <c r="I1276" s="31">
        <f>'تقرير المصروفات حسب الشهر'!N863</f>
        <v>0</v>
      </c>
      <c r="J1276" s="31">
        <f>'تقرير المصروفات حسب الشهر'!N990</f>
        <v>0</v>
      </c>
      <c r="K1276" s="31">
        <f>'تقرير المصروفات حسب الشهر'!N1117</f>
        <v>0</v>
      </c>
      <c r="L1276" s="292">
        <f>IFERROR(VLOOKUP(B1276,'تقرير المصروفات حسب الشهر'!$C$1143:$AD$1254,12,FALSE),0)</f>
        <v>0</v>
      </c>
      <c r="M1276" s="292">
        <f>IFERROR(VLOOKUP(B1276,'تقرير المصروفات حسب الشهر'!$C$1270:$AD$1381,12,FALSE),0)</f>
        <v>0</v>
      </c>
      <c r="N1276" s="31" t="e">
        <f>#REF!</f>
        <v>#REF!</v>
      </c>
      <c r="O1276" s="37" t="e">
        <f t="shared" si="31"/>
        <v>#REF!</v>
      </c>
    </row>
    <row r="1277" spans="2:15" ht="17.399999999999999">
      <c r="B1277" s="42" t="s">
        <v>196</v>
      </c>
      <c r="C1277" s="39">
        <f>'تقرير المصروفات حسب الشهر'!N111</f>
        <v>0</v>
      </c>
      <c r="D1277" s="31" t="e">
        <f>#REF!</f>
        <v>#REF!</v>
      </c>
      <c r="E1277" s="31" t="e">
        <f>#REF!</f>
        <v>#REF!</v>
      </c>
      <c r="F1277" s="31" t="e">
        <f>#REF!</f>
        <v>#REF!</v>
      </c>
      <c r="G1277" s="31" t="e">
        <f>#REF!</f>
        <v>#REF!</v>
      </c>
      <c r="H1277" s="31" t="e">
        <f>#REF!</f>
        <v>#REF!</v>
      </c>
      <c r="I1277" s="31">
        <f>'تقرير المصروفات حسب الشهر'!N864</f>
        <v>0</v>
      </c>
      <c r="J1277" s="31">
        <f>'تقرير المصروفات حسب الشهر'!N991</f>
        <v>0</v>
      </c>
      <c r="K1277" s="31">
        <f>'تقرير المصروفات حسب الشهر'!N1118</f>
        <v>0</v>
      </c>
      <c r="L1277" s="292">
        <f>IFERROR(VLOOKUP(B1277,'تقرير المصروفات حسب الشهر'!$C$1143:$AD$1254,12,FALSE),0)</f>
        <v>0</v>
      </c>
      <c r="M1277" s="292">
        <f>IFERROR(VLOOKUP(B1277,'تقرير المصروفات حسب الشهر'!$C$1270:$AD$1381,12,FALSE),0)</f>
        <v>0</v>
      </c>
      <c r="N1277" s="31" t="e">
        <f>#REF!</f>
        <v>#REF!</v>
      </c>
      <c r="O1277" s="37" t="e">
        <f t="shared" si="31"/>
        <v>#REF!</v>
      </c>
    </row>
    <row r="1278" spans="2:15" ht="17.399999999999999">
      <c r="B1278" s="42" t="s">
        <v>197</v>
      </c>
      <c r="C1278" s="39">
        <f>'تقرير المصروفات حسب الشهر'!N112</f>
        <v>0</v>
      </c>
      <c r="D1278" s="31" t="e">
        <f>#REF!</f>
        <v>#REF!</v>
      </c>
      <c r="E1278" s="31" t="e">
        <f>#REF!</f>
        <v>#REF!</v>
      </c>
      <c r="F1278" s="31" t="e">
        <f>#REF!</f>
        <v>#REF!</v>
      </c>
      <c r="G1278" s="31" t="e">
        <f>#REF!</f>
        <v>#REF!</v>
      </c>
      <c r="H1278" s="31" t="e">
        <f>#REF!</f>
        <v>#REF!</v>
      </c>
      <c r="I1278" s="31">
        <f>'تقرير المصروفات حسب الشهر'!N865</f>
        <v>0</v>
      </c>
      <c r="J1278" s="31">
        <f>'تقرير المصروفات حسب الشهر'!N992</f>
        <v>0</v>
      </c>
      <c r="K1278" s="31">
        <f>'تقرير المصروفات حسب الشهر'!N1119</f>
        <v>0</v>
      </c>
      <c r="L1278" s="292">
        <f>IFERROR(VLOOKUP(B1278,'تقرير المصروفات حسب الشهر'!$C$1143:$AD$1254,12,FALSE),0)</f>
        <v>0</v>
      </c>
      <c r="M1278" s="292">
        <f>IFERROR(VLOOKUP(B1278,'تقرير المصروفات حسب الشهر'!$C$1270:$AD$1381,12,FALSE),0)</f>
        <v>0</v>
      </c>
      <c r="N1278" s="31" t="e">
        <f>#REF!</f>
        <v>#REF!</v>
      </c>
      <c r="O1278" s="37" t="e">
        <f t="shared" si="31"/>
        <v>#REF!</v>
      </c>
    </row>
    <row r="1279" spans="2:15" ht="17.399999999999999">
      <c r="B1279" s="42" t="s">
        <v>198</v>
      </c>
      <c r="C1279" s="39">
        <f>'تقرير المصروفات حسب الشهر'!N113</f>
        <v>0</v>
      </c>
      <c r="D1279" s="31" t="e">
        <f>#REF!</f>
        <v>#REF!</v>
      </c>
      <c r="E1279" s="31" t="e">
        <f>#REF!</f>
        <v>#REF!</v>
      </c>
      <c r="F1279" s="31" t="e">
        <f>#REF!</f>
        <v>#REF!</v>
      </c>
      <c r="G1279" s="31" t="e">
        <f>#REF!</f>
        <v>#REF!</v>
      </c>
      <c r="H1279" s="31" t="e">
        <f>#REF!</f>
        <v>#REF!</v>
      </c>
      <c r="I1279" s="31">
        <f>'تقرير المصروفات حسب الشهر'!N866</f>
        <v>0</v>
      </c>
      <c r="J1279" s="31">
        <f>'تقرير المصروفات حسب الشهر'!N993</f>
        <v>0</v>
      </c>
      <c r="K1279" s="31">
        <f>'تقرير المصروفات حسب الشهر'!N1120</f>
        <v>0</v>
      </c>
      <c r="L1279" s="292">
        <f>IFERROR(VLOOKUP(B1279,'تقرير المصروفات حسب الشهر'!$C$1143:$AD$1254,12,FALSE),0)</f>
        <v>0</v>
      </c>
      <c r="M1279" s="292">
        <f>IFERROR(VLOOKUP(B1279,'تقرير المصروفات حسب الشهر'!$C$1270:$AD$1381,12,FALSE),0)</f>
        <v>0</v>
      </c>
      <c r="N1279" s="31" t="e">
        <f>#REF!</f>
        <v>#REF!</v>
      </c>
      <c r="O1279" s="37" t="e">
        <f t="shared" si="31"/>
        <v>#REF!</v>
      </c>
    </row>
    <row r="1280" spans="2:15" ht="17.399999999999999">
      <c r="B1280" s="42" t="s">
        <v>201</v>
      </c>
      <c r="C1280" s="39">
        <f>'تقرير المصروفات حسب الشهر'!N114</f>
        <v>0</v>
      </c>
      <c r="D1280" s="31" t="e">
        <f>#REF!</f>
        <v>#REF!</v>
      </c>
      <c r="E1280" s="31" t="e">
        <f>#REF!</f>
        <v>#REF!</v>
      </c>
      <c r="F1280" s="31" t="e">
        <f>#REF!</f>
        <v>#REF!</v>
      </c>
      <c r="G1280" s="31" t="e">
        <f>#REF!</f>
        <v>#REF!</v>
      </c>
      <c r="H1280" s="31" t="e">
        <f>#REF!</f>
        <v>#REF!</v>
      </c>
      <c r="I1280" s="31">
        <f>'تقرير المصروفات حسب الشهر'!N867</f>
        <v>0</v>
      </c>
      <c r="J1280" s="31">
        <f>'تقرير المصروفات حسب الشهر'!N994</f>
        <v>0</v>
      </c>
      <c r="K1280" s="31">
        <f>'تقرير المصروفات حسب الشهر'!N1121</f>
        <v>0</v>
      </c>
      <c r="L1280" s="292">
        <f>IFERROR(VLOOKUP(B1280,'تقرير المصروفات حسب الشهر'!$C$1143:$AD$1254,12,FALSE),0)</f>
        <v>0</v>
      </c>
      <c r="M1280" s="292">
        <f>IFERROR(VLOOKUP(B1280,'تقرير المصروفات حسب الشهر'!$C$1270:$AD$1381,12,FALSE),0)</f>
        <v>0</v>
      </c>
      <c r="N1280" s="31" t="e">
        <f>#REF!</f>
        <v>#REF!</v>
      </c>
      <c r="O1280" s="37" t="e">
        <f t="shared" si="31"/>
        <v>#REF!</v>
      </c>
    </row>
    <row r="1281" spans="2:15" ht="17.399999999999999">
      <c r="B1281" s="42" t="s">
        <v>202</v>
      </c>
      <c r="C1281" s="39">
        <f>'تقرير المصروفات حسب الشهر'!N115</f>
        <v>0</v>
      </c>
      <c r="D1281" s="31" t="e">
        <f>#REF!</f>
        <v>#REF!</v>
      </c>
      <c r="E1281" s="31" t="e">
        <f>#REF!</f>
        <v>#REF!</v>
      </c>
      <c r="F1281" s="31" t="e">
        <f>#REF!</f>
        <v>#REF!</v>
      </c>
      <c r="G1281" s="31" t="e">
        <f>#REF!</f>
        <v>#REF!</v>
      </c>
      <c r="H1281" s="31" t="e">
        <f>#REF!</f>
        <v>#REF!</v>
      </c>
      <c r="I1281" s="31">
        <f>'تقرير المصروفات حسب الشهر'!N868</f>
        <v>0</v>
      </c>
      <c r="J1281" s="31">
        <f>'تقرير المصروفات حسب الشهر'!N995</f>
        <v>0</v>
      </c>
      <c r="K1281" s="31">
        <f>'تقرير المصروفات حسب الشهر'!N1122</f>
        <v>0</v>
      </c>
      <c r="L1281" s="292">
        <f>IFERROR(VLOOKUP(B1281,'تقرير المصروفات حسب الشهر'!$C$1143:$AD$1254,12,FALSE),0)</f>
        <v>0</v>
      </c>
      <c r="M1281" s="292">
        <f>IFERROR(VLOOKUP(B1281,'تقرير المصروفات حسب الشهر'!$C$1270:$AD$1381,12,FALSE),0)</f>
        <v>0</v>
      </c>
      <c r="N1281" s="31" t="e">
        <f>#REF!</f>
        <v>#REF!</v>
      </c>
      <c r="O1281" s="37" t="e">
        <f t="shared" si="31"/>
        <v>#REF!</v>
      </c>
    </row>
    <row r="1282" spans="2:15" ht="17.399999999999999">
      <c r="B1282" s="42" t="s">
        <v>206</v>
      </c>
      <c r="C1282" s="39">
        <f>'تقرير المصروفات حسب الشهر'!N116</f>
        <v>0</v>
      </c>
      <c r="D1282" s="31" t="e">
        <f>#REF!</f>
        <v>#REF!</v>
      </c>
      <c r="E1282" s="31" t="e">
        <f>#REF!</f>
        <v>#REF!</v>
      </c>
      <c r="F1282" s="31" t="e">
        <f>#REF!</f>
        <v>#REF!</v>
      </c>
      <c r="G1282" s="31" t="e">
        <f>#REF!</f>
        <v>#REF!</v>
      </c>
      <c r="H1282" s="31" t="e">
        <f>#REF!</f>
        <v>#REF!</v>
      </c>
      <c r="I1282" s="31">
        <f>'تقرير المصروفات حسب الشهر'!N869</f>
        <v>431.25</v>
      </c>
      <c r="J1282" s="31">
        <f>'تقرير المصروفات حسب الشهر'!N996</f>
        <v>431.25</v>
      </c>
      <c r="K1282" s="31">
        <f>'تقرير المصروفات حسب الشهر'!N1123</f>
        <v>431.25</v>
      </c>
      <c r="L1282" s="292">
        <f>IFERROR(VLOOKUP(B1282,'تقرير المصروفات حسب الشهر'!$C$1143:$AD$1254,12,FALSE),0)</f>
        <v>0</v>
      </c>
      <c r="M1282" s="292">
        <f>IFERROR(VLOOKUP(B1282,'تقرير المصروفات حسب الشهر'!$C$1270:$AD$1381,12,FALSE),0)</f>
        <v>0</v>
      </c>
      <c r="N1282" s="31" t="e">
        <f>#REF!</f>
        <v>#REF!</v>
      </c>
      <c r="O1282" s="37" t="e">
        <f t="shared" si="31"/>
        <v>#REF!</v>
      </c>
    </row>
    <row r="1283" spans="2:15" ht="17.399999999999999">
      <c r="B1283" s="42" t="s">
        <v>207</v>
      </c>
      <c r="C1283" s="39">
        <f>'تقرير المصروفات حسب الشهر'!N117</f>
        <v>431.25</v>
      </c>
      <c r="D1283" s="31" t="e">
        <f>#REF!</f>
        <v>#REF!</v>
      </c>
      <c r="E1283" s="31" t="e">
        <f>#REF!</f>
        <v>#REF!</v>
      </c>
      <c r="F1283" s="31" t="e">
        <f>#REF!</f>
        <v>#REF!</v>
      </c>
      <c r="G1283" s="31" t="e">
        <f>#REF!</f>
        <v>#REF!</v>
      </c>
      <c r="H1283" s="31" t="e">
        <f>#REF!</f>
        <v>#REF!</v>
      </c>
      <c r="I1283" s="31">
        <f>'تقرير المصروفات حسب الشهر'!N870</f>
        <v>0</v>
      </c>
      <c r="J1283" s="31">
        <f>'تقرير المصروفات حسب الشهر'!N997</f>
        <v>0</v>
      </c>
      <c r="K1283" s="31">
        <f>'تقرير المصروفات حسب الشهر'!N1124</f>
        <v>0</v>
      </c>
      <c r="L1283" s="292">
        <f>IFERROR(VLOOKUP(B1283,'تقرير المصروفات حسب الشهر'!$C$1143:$AD$1254,12,FALSE),0)</f>
        <v>431.25</v>
      </c>
      <c r="M1283" s="292">
        <f>IFERROR(VLOOKUP(B1283,'تقرير المصروفات حسب الشهر'!$C$1270:$AD$1381,12,FALSE),0)</f>
        <v>431.25</v>
      </c>
      <c r="N1283" s="31" t="e">
        <f>#REF!</f>
        <v>#REF!</v>
      </c>
      <c r="O1283" s="37" t="e">
        <f t="shared" si="31"/>
        <v>#REF!</v>
      </c>
    </row>
    <row r="1284" spans="2:15" ht="17.399999999999999">
      <c r="B1284" s="43" t="s">
        <v>208</v>
      </c>
      <c r="C1284" s="39">
        <f>'تقرير المصروفات حسب الشهر'!N118</f>
        <v>0</v>
      </c>
      <c r="D1284" s="31" t="e">
        <f>#REF!</f>
        <v>#REF!</v>
      </c>
      <c r="E1284" s="31" t="e">
        <f>#REF!</f>
        <v>#REF!</v>
      </c>
      <c r="F1284" s="31" t="e">
        <f>#REF!</f>
        <v>#REF!</v>
      </c>
      <c r="G1284" s="31" t="e">
        <f>#REF!</f>
        <v>#REF!</v>
      </c>
      <c r="H1284" s="31">
        <v>0</v>
      </c>
      <c r="I1284" s="31">
        <f>'تقرير المصروفات حسب الشهر'!N871</f>
        <v>0</v>
      </c>
      <c r="J1284" s="31">
        <f>'تقرير المصروفات حسب الشهر'!N998</f>
        <v>0</v>
      </c>
      <c r="K1284" s="31">
        <f>'تقرير المصروفات حسب الشهر'!N1125</f>
        <v>0</v>
      </c>
      <c r="L1284" s="292">
        <f>IFERROR(VLOOKUP(B1284,'تقرير المصروفات حسب الشهر'!$C$1143:$AD$1254,12,FALSE),0)</f>
        <v>0</v>
      </c>
      <c r="M1284" s="292">
        <f>IFERROR(VLOOKUP(B1284,'تقرير المصروفات حسب الشهر'!$C$1270:$AD$1381,12,FALSE),0)</f>
        <v>0</v>
      </c>
      <c r="N1284" s="31" t="e">
        <f>#REF!</f>
        <v>#REF!</v>
      </c>
      <c r="O1284" s="37" t="e">
        <f t="shared" si="31"/>
        <v>#REF!</v>
      </c>
    </row>
    <row r="1285" spans="2:15" ht="17.399999999999999">
      <c r="B1285" s="437" t="s">
        <v>236</v>
      </c>
      <c r="C1285" s="39">
        <f>'تقرير المصروفات حسب الشهر'!N119</f>
        <v>0</v>
      </c>
      <c r="D1285" s="438"/>
      <c r="E1285" s="438"/>
      <c r="F1285" s="438"/>
      <c r="G1285" s="438"/>
      <c r="H1285" s="438"/>
      <c r="I1285" s="438"/>
      <c r="J1285" s="438"/>
      <c r="K1285" s="438"/>
      <c r="L1285" s="439"/>
      <c r="M1285" s="439"/>
      <c r="N1285" s="438"/>
      <c r="O1285" s="440"/>
    </row>
    <row r="1286" spans="2:15" ht="17.399999999999999">
      <c r="B1286" s="437" t="s">
        <v>209</v>
      </c>
      <c r="C1286" s="39">
        <f>'تقرير المصروفات حسب الشهر'!N120</f>
        <v>0</v>
      </c>
      <c r="D1286" s="438"/>
      <c r="E1286" s="438"/>
      <c r="F1286" s="438"/>
      <c r="G1286" s="438"/>
      <c r="H1286" s="438"/>
      <c r="I1286" s="438"/>
      <c r="J1286" s="438"/>
      <c r="K1286" s="438"/>
      <c r="L1286" s="439"/>
      <c r="M1286" s="439"/>
      <c r="N1286" s="438"/>
      <c r="O1286" s="440"/>
    </row>
    <row r="1287" spans="2:15" ht="18" thickBot="1">
      <c r="B1287" s="437" t="s">
        <v>360</v>
      </c>
      <c r="C1287" s="39">
        <f>'تقرير المصروفات حسب الشهر'!N121</f>
        <v>83.23</v>
      </c>
      <c r="D1287" s="438"/>
      <c r="E1287" s="438"/>
      <c r="F1287" s="438"/>
      <c r="G1287" s="438"/>
      <c r="H1287" s="438"/>
      <c r="I1287" s="438"/>
      <c r="J1287" s="438"/>
      <c r="K1287" s="438"/>
      <c r="L1287" s="439"/>
      <c r="M1287" s="439"/>
      <c r="N1287" s="438"/>
      <c r="O1287" s="440"/>
    </row>
    <row r="1288" spans="2:15" ht="21.6" thickBot="1">
      <c r="B1288" s="29" t="s">
        <v>18</v>
      </c>
      <c r="C1288" s="41">
        <f>SUM(C1176:C1287)</f>
        <v>37334.65</v>
      </c>
      <c r="D1288" s="41" t="e">
        <f t="shared" ref="D1288:O1288" si="32">SUM(D1176:D1284)</f>
        <v>#REF!</v>
      </c>
      <c r="E1288" s="41" t="e">
        <f t="shared" si="32"/>
        <v>#REF!</v>
      </c>
      <c r="F1288" s="41" t="e">
        <f t="shared" si="32"/>
        <v>#REF!</v>
      </c>
      <c r="G1288" s="41" t="e">
        <f t="shared" si="32"/>
        <v>#REF!</v>
      </c>
      <c r="H1288" s="41" t="e">
        <f t="shared" si="32"/>
        <v>#REF!</v>
      </c>
      <c r="I1288" s="41">
        <f t="shared" si="32"/>
        <v>60447.02</v>
      </c>
      <c r="J1288" s="41">
        <f t="shared" si="32"/>
        <v>50147.759999999995</v>
      </c>
      <c r="K1288" s="41">
        <f t="shared" si="32"/>
        <v>54994.719999999994</v>
      </c>
      <c r="L1288" s="41">
        <f t="shared" si="32"/>
        <v>61288.99</v>
      </c>
      <c r="M1288" s="41">
        <f t="shared" si="32"/>
        <v>43783.21</v>
      </c>
      <c r="N1288" s="41" t="e">
        <f t="shared" si="32"/>
        <v>#REF!</v>
      </c>
      <c r="O1288" s="41" t="e">
        <f t="shared" si="32"/>
        <v>#REF!</v>
      </c>
    </row>
    <row r="1290" spans="2:15" ht="13.8" thickBot="1"/>
    <row r="1291" spans="2:15" ht="31.2" thickTop="1" thickBot="1">
      <c r="B1291" s="643" t="s">
        <v>221</v>
      </c>
      <c r="C1291" s="644"/>
      <c r="D1291" s="644"/>
      <c r="E1291" s="644"/>
      <c r="F1291" s="644"/>
      <c r="G1291" s="644"/>
      <c r="H1291" s="644"/>
      <c r="I1291" s="644"/>
      <c r="J1291" s="644"/>
      <c r="K1291" s="644"/>
      <c r="L1291" s="644"/>
      <c r="M1291" s="644"/>
      <c r="N1291" s="644"/>
      <c r="O1291" s="645"/>
    </row>
    <row r="1292" spans="2:15" ht="17.399999999999999">
      <c r="B1292" s="30" t="s">
        <v>23</v>
      </c>
      <c r="C1292" s="33" t="s">
        <v>0</v>
      </c>
      <c r="D1292" s="33" t="s">
        <v>1</v>
      </c>
      <c r="E1292" s="34" t="s">
        <v>2</v>
      </c>
      <c r="F1292" s="34" t="s">
        <v>3</v>
      </c>
      <c r="G1292" s="34" t="s">
        <v>4</v>
      </c>
      <c r="H1292" s="34" t="s">
        <v>5</v>
      </c>
      <c r="I1292" s="34" t="s">
        <v>6</v>
      </c>
      <c r="J1292" s="34" t="s">
        <v>7</v>
      </c>
      <c r="K1292" s="34" t="s">
        <v>8</v>
      </c>
      <c r="L1292" s="34" t="s">
        <v>9</v>
      </c>
      <c r="M1292" s="34" t="s">
        <v>10</v>
      </c>
      <c r="N1292" s="35" t="s">
        <v>11</v>
      </c>
      <c r="O1292" s="36" t="s">
        <v>18</v>
      </c>
    </row>
    <row r="1293" spans="2:15" ht="17.399999999999999">
      <c r="B1293" s="42" t="s">
        <v>40</v>
      </c>
      <c r="C1293" s="39">
        <f>'تقرير المصروفات حسب الشهر'!O10</f>
        <v>0</v>
      </c>
      <c r="D1293" s="31" t="e">
        <f>#REF!</f>
        <v>#REF!</v>
      </c>
      <c r="E1293" s="31" t="e">
        <f>#REF!</f>
        <v>#REF!</v>
      </c>
      <c r="F1293" s="31" t="e">
        <f>#REF!</f>
        <v>#REF!</v>
      </c>
      <c r="G1293" s="31" t="e">
        <f>#REF!</f>
        <v>#REF!</v>
      </c>
      <c r="H1293" s="31" t="e">
        <f>#REF!</f>
        <v>#REF!</v>
      </c>
      <c r="I1293" s="31">
        <f>'تقرير المصروفات حسب الشهر'!O763</f>
        <v>0</v>
      </c>
      <c r="J1293" s="31">
        <f>'تقرير المصروفات حسب الشهر'!O890</f>
        <v>0</v>
      </c>
      <c r="K1293" s="31">
        <f>'تقرير المصروفات حسب الشهر'!O1017</f>
        <v>0</v>
      </c>
      <c r="L1293" s="292">
        <f>IFERROR(VLOOKUP(B1293,'تقرير المصروفات حسب الشهر'!$C$1143:$AD$1254,13,FALSE),0)</f>
        <v>0</v>
      </c>
      <c r="M1293" s="292">
        <f>IFERROR(VLOOKUP(B1293,'تقرير المصروفات حسب الشهر'!$C$1270:$AD$1381,13,FALSE),0)</f>
        <v>0</v>
      </c>
      <c r="N1293" s="31" t="e">
        <f>#REF!</f>
        <v>#REF!</v>
      </c>
      <c r="O1293" s="37" t="e">
        <f>SUM(C1293:N1293)</f>
        <v>#REF!</v>
      </c>
    </row>
    <row r="1294" spans="2:15" ht="17.399999999999999">
      <c r="B1294" s="42" t="s">
        <v>41</v>
      </c>
      <c r="C1294" s="39">
        <f>'تقرير المصروفات حسب الشهر'!O11</f>
        <v>243139.37</v>
      </c>
      <c r="D1294" s="31" t="e">
        <f>#REF!</f>
        <v>#REF!</v>
      </c>
      <c r="E1294" s="31" t="e">
        <f>#REF!</f>
        <v>#REF!</v>
      </c>
      <c r="F1294" s="31" t="e">
        <f>#REF!</f>
        <v>#REF!</v>
      </c>
      <c r="G1294" s="31" t="e">
        <f>#REF!</f>
        <v>#REF!</v>
      </c>
      <c r="H1294" s="31" t="e">
        <f>#REF!</f>
        <v>#REF!</v>
      </c>
      <c r="I1294" s="31">
        <f>'تقرير المصروفات حسب الشهر'!O764</f>
        <v>295608.21999999997</v>
      </c>
      <c r="J1294" s="31">
        <f>'تقرير المصروفات حسب الشهر'!O891</f>
        <v>309902.64</v>
      </c>
      <c r="K1294" s="31">
        <f>'تقرير المصروفات حسب الشهر'!O1018</f>
        <v>333055.33999999997</v>
      </c>
      <c r="L1294" s="292">
        <f>IFERROR(VLOOKUP(B1294,'تقرير المصروفات حسب الشهر'!$C$1143:$AD$1254,13,FALSE),0)</f>
        <v>323433.61</v>
      </c>
      <c r="M1294" s="292">
        <f>IFERROR(VLOOKUP(B1294,'تقرير المصروفات حسب الشهر'!$C$1270:$AD$1381,13,FALSE),0)</f>
        <v>309768.21000000002</v>
      </c>
      <c r="N1294" s="31" t="e">
        <f>#REF!</f>
        <v>#REF!</v>
      </c>
      <c r="O1294" s="37" t="e">
        <f t="shared" ref="O1294:O1357" si="33">SUM(C1294:N1294)</f>
        <v>#REF!</v>
      </c>
    </row>
    <row r="1295" spans="2:15" ht="17.399999999999999">
      <c r="B1295" s="42" t="s">
        <v>26</v>
      </c>
      <c r="C1295" s="39">
        <f>'تقرير المصروفات حسب الشهر'!O12</f>
        <v>1000</v>
      </c>
      <c r="D1295" s="31" t="e">
        <f>#REF!</f>
        <v>#REF!</v>
      </c>
      <c r="E1295" s="31" t="e">
        <f>#REF!</f>
        <v>#REF!</v>
      </c>
      <c r="F1295" s="31" t="e">
        <f>#REF!</f>
        <v>#REF!</v>
      </c>
      <c r="G1295" s="31" t="e">
        <f>#REF!</f>
        <v>#REF!</v>
      </c>
      <c r="H1295" s="31" t="e">
        <f>#REF!</f>
        <v>#REF!</v>
      </c>
      <c r="I1295" s="31">
        <f>'تقرير المصروفات حسب الشهر'!O765</f>
        <v>4500</v>
      </c>
      <c r="J1295" s="31">
        <f>'تقرير المصروفات حسب الشهر'!O892</f>
        <v>2500</v>
      </c>
      <c r="K1295" s="31">
        <f>'تقرير المصروفات حسب الشهر'!O1019</f>
        <v>3000</v>
      </c>
      <c r="L1295" s="292">
        <f>IFERROR(VLOOKUP(B1295,'تقرير المصروفات حسب الشهر'!$C$1143:$AD$1254,13,FALSE),0)</f>
        <v>2500</v>
      </c>
      <c r="M1295" s="292">
        <f>IFERROR(VLOOKUP(B1295,'تقرير المصروفات حسب الشهر'!$C$1270:$AD$1381,13,FALSE),0)</f>
        <v>1000</v>
      </c>
      <c r="N1295" s="31" t="e">
        <f>#REF!</f>
        <v>#REF!</v>
      </c>
      <c r="O1295" s="37" t="e">
        <f t="shared" si="33"/>
        <v>#REF!</v>
      </c>
    </row>
    <row r="1296" spans="2:15" ht="17.399999999999999">
      <c r="B1296" s="42" t="s">
        <v>27</v>
      </c>
      <c r="C1296" s="39">
        <f>'تقرير المصروفات حسب الشهر'!O13</f>
        <v>0</v>
      </c>
      <c r="D1296" s="31" t="e">
        <f>#REF!</f>
        <v>#REF!</v>
      </c>
      <c r="E1296" s="31" t="e">
        <f>#REF!</f>
        <v>#REF!</v>
      </c>
      <c r="F1296" s="31" t="e">
        <f>#REF!</f>
        <v>#REF!</v>
      </c>
      <c r="G1296" s="31" t="e">
        <f>#REF!</f>
        <v>#REF!</v>
      </c>
      <c r="H1296" s="31" t="e">
        <f>#REF!</f>
        <v>#REF!</v>
      </c>
      <c r="I1296" s="31">
        <f>'تقرير المصروفات حسب الشهر'!O766</f>
        <v>0</v>
      </c>
      <c r="J1296" s="31">
        <f>'تقرير المصروفات حسب الشهر'!O893</f>
        <v>0</v>
      </c>
      <c r="K1296" s="31">
        <f>'تقرير المصروفات حسب الشهر'!O1020</f>
        <v>202</v>
      </c>
      <c r="L1296" s="292">
        <f>IFERROR(VLOOKUP(B1296,'تقرير المصروفات حسب الشهر'!$C$1143:$AD$1254,13,FALSE),0)</f>
        <v>0</v>
      </c>
      <c r="M1296" s="292">
        <f>IFERROR(VLOOKUP(B1296,'تقرير المصروفات حسب الشهر'!$C$1270:$AD$1381,13,FALSE),0)</f>
        <v>0</v>
      </c>
      <c r="N1296" s="31" t="e">
        <f>#REF!</f>
        <v>#REF!</v>
      </c>
      <c r="O1296" s="37" t="e">
        <f t="shared" si="33"/>
        <v>#REF!</v>
      </c>
    </row>
    <row r="1297" spans="2:15" ht="17.399999999999999">
      <c r="B1297" s="42" t="s">
        <v>42</v>
      </c>
      <c r="C1297" s="39">
        <f>'تقرير المصروفات حسب الشهر'!O14</f>
        <v>300</v>
      </c>
      <c r="D1297" s="31" t="e">
        <f>#REF!</f>
        <v>#REF!</v>
      </c>
      <c r="E1297" s="31" t="e">
        <f>#REF!</f>
        <v>#REF!</v>
      </c>
      <c r="F1297" s="31" t="e">
        <f>#REF!</f>
        <v>#REF!</v>
      </c>
      <c r="G1297" s="31" t="e">
        <f>#REF!</f>
        <v>#REF!</v>
      </c>
      <c r="H1297" s="31" t="e">
        <f>#REF!</f>
        <v>#REF!</v>
      </c>
      <c r="I1297" s="31">
        <f>'تقرير المصروفات حسب الشهر'!O767</f>
        <v>0</v>
      </c>
      <c r="J1297" s="31">
        <f>'تقرير المصروفات حسب الشهر'!O894</f>
        <v>0</v>
      </c>
      <c r="K1297" s="31">
        <f>'تقرير المصروفات حسب الشهر'!O1021</f>
        <v>0</v>
      </c>
      <c r="L1297" s="292">
        <f>IFERROR(VLOOKUP(B1297,'تقرير المصروفات حسب الشهر'!$C$1143:$AD$1254,13,FALSE),0)</f>
        <v>0</v>
      </c>
      <c r="M1297" s="292">
        <f>IFERROR(VLOOKUP(B1297,'تقرير المصروفات حسب الشهر'!$C$1270:$AD$1381,13,FALSE),0)</f>
        <v>0</v>
      </c>
      <c r="N1297" s="31" t="e">
        <f>#REF!</f>
        <v>#REF!</v>
      </c>
      <c r="O1297" s="37" t="e">
        <f t="shared" si="33"/>
        <v>#REF!</v>
      </c>
    </row>
    <row r="1298" spans="2:15" ht="17.399999999999999">
      <c r="B1298" s="42" t="s">
        <v>43</v>
      </c>
      <c r="C1298" s="39">
        <f>'تقرير المصروفات حسب الشهر'!O15</f>
        <v>0</v>
      </c>
      <c r="D1298" s="31" t="e">
        <f>#REF!</f>
        <v>#REF!</v>
      </c>
      <c r="E1298" s="31" t="e">
        <f>#REF!</f>
        <v>#REF!</v>
      </c>
      <c r="F1298" s="31" t="e">
        <f>#REF!</f>
        <v>#REF!</v>
      </c>
      <c r="G1298" s="31" t="e">
        <f>#REF!</f>
        <v>#REF!</v>
      </c>
      <c r="H1298" s="31" t="e">
        <f>#REF!</f>
        <v>#REF!</v>
      </c>
      <c r="I1298" s="31">
        <f>'تقرير المصروفات حسب الشهر'!O768</f>
        <v>0</v>
      </c>
      <c r="J1298" s="31">
        <f>'تقرير المصروفات حسب الشهر'!O895</f>
        <v>0</v>
      </c>
      <c r="K1298" s="31">
        <f>'تقرير المصروفات حسب الشهر'!O1022</f>
        <v>0</v>
      </c>
      <c r="L1298" s="292">
        <f>IFERROR(VLOOKUP(B1298,'تقرير المصروفات حسب الشهر'!$C$1143:$AD$1254,13,FALSE),0)</f>
        <v>0</v>
      </c>
      <c r="M1298" s="292">
        <f>IFERROR(VLOOKUP(B1298,'تقرير المصروفات حسب الشهر'!$C$1270:$AD$1381,13,FALSE),0)</f>
        <v>0</v>
      </c>
      <c r="N1298" s="31" t="e">
        <f>#REF!</f>
        <v>#REF!</v>
      </c>
      <c r="O1298" s="37" t="e">
        <f t="shared" si="33"/>
        <v>#REF!</v>
      </c>
    </row>
    <row r="1299" spans="2:15" ht="17.399999999999999">
      <c r="B1299" s="42" t="s">
        <v>44</v>
      </c>
      <c r="C1299" s="39">
        <f>'تقرير المصروفات حسب الشهر'!O16</f>
        <v>0</v>
      </c>
      <c r="D1299" s="31" t="e">
        <f>#REF!</f>
        <v>#REF!</v>
      </c>
      <c r="E1299" s="31" t="e">
        <f>#REF!</f>
        <v>#REF!</v>
      </c>
      <c r="F1299" s="31" t="e">
        <f>#REF!</f>
        <v>#REF!</v>
      </c>
      <c r="G1299" s="31" t="e">
        <f>#REF!</f>
        <v>#REF!</v>
      </c>
      <c r="H1299" s="31" t="e">
        <f>#REF!</f>
        <v>#REF!</v>
      </c>
      <c r="I1299" s="31">
        <f>'تقرير المصروفات حسب الشهر'!O769</f>
        <v>0</v>
      </c>
      <c r="J1299" s="31">
        <f>'تقرير المصروفات حسب الشهر'!O896</f>
        <v>0</v>
      </c>
      <c r="K1299" s="31">
        <f>'تقرير المصروفات حسب الشهر'!O1023</f>
        <v>0</v>
      </c>
      <c r="L1299" s="292">
        <f>IFERROR(VLOOKUP(B1299,'تقرير المصروفات حسب الشهر'!$C$1143:$AD$1254,13,FALSE),0)</f>
        <v>0</v>
      </c>
      <c r="M1299" s="292">
        <f>IFERROR(VLOOKUP(B1299,'تقرير المصروفات حسب الشهر'!$C$1270:$AD$1381,13,FALSE),0)</f>
        <v>0</v>
      </c>
      <c r="N1299" s="31" t="e">
        <f>#REF!</f>
        <v>#REF!</v>
      </c>
      <c r="O1299" s="37" t="e">
        <f t="shared" si="33"/>
        <v>#REF!</v>
      </c>
    </row>
    <row r="1300" spans="2:15" ht="17.399999999999999">
      <c r="B1300" s="42" t="s">
        <v>45</v>
      </c>
      <c r="C1300" s="39">
        <f>'تقرير المصروفات حسب الشهر'!O17</f>
        <v>23300</v>
      </c>
      <c r="D1300" s="31" t="e">
        <f>#REF!</f>
        <v>#REF!</v>
      </c>
      <c r="E1300" s="31" t="e">
        <f>#REF!</f>
        <v>#REF!</v>
      </c>
      <c r="F1300" s="31" t="e">
        <f>#REF!</f>
        <v>#REF!</v>
      </c>
      <c r="G1300" s="31" t="e">
        <f>#REF!</f>
        <v>#REF!</v>
      </c>
      <c r="H1300" s="31" t="e">
        <f>#REF!</f>
        <v>#REF!</v>
      </c>
      <c r="I1300" s="31">
        <f>'تقرير المصروفات حسب الشهر'!O770</f>
        <v>21225</v>
      </c>
      <c r="J1300" s="31">
        <f>'تقرير المصروفات حسب الشهر'!O897</f>
        <v>23225</v>
      </c>
      <c r="K1300" s="31">
        <f>'تقرير المصروفات حسب الشهر'!O1024</f>
        <v>24025</v>
      </c>
      <c r="L1300" s="292">
        <f>IFERROR(VLOOKUP(B1300,'تقرير المصروفات حسب الشهر'!$C$1143:$AD$1254,13,FALSE),0)</f>
        <v>20000</v>
      </c>
      <c r="M1300" s="292">
        <f>IFERROR(VLOOKUP(B1300,'تقرير المصروفات حسب الشهر'!$C$1270:$AD$1381,13,FALSE),0)</f>
        <v>20000</v>
      </c>
      <c r="N1300" s="31" t="e">
        <f>#REF!</f>
        <v>#REF!</v>
      </c>
      <c r="O1300" s="37" t="e">
        <f t="shared" si="33"/>
        <v>#REF!</v>
      </c>
    </row>
    <row r="1301" spans="2:15" ht="17.399999999999999">
      <c r="B1301" s="42" t="s">
        <v>156</v>
      </c>
      <c r="C1301" s="39">
        <f>'تقرير المصروفات حسب الشهر'!O18</f>
        <v>20</v>
      </c>
      <c r="D1301" s="31" t="e">
        <f>#REF!</f>
        <v>#REF!</v>
      </c>
      <c r="E1301" s="31" t="e">
        <f>#REF!</f>
        <v>#REF!</v>
      </c>
      <c r="F1301" s="31" t="e">
        <f>#REF!</f>
        <v>#REF!</v>
      </c>
      <c r="G1301" s="31" t="e">
        <f>#REF!</f>
        <v>#REF!</v>
      </c>
      <c r="H1301" s="31" t="e">
        <f>#REF!</f>
        <v>#REF!</v>
      </c>
      <c r="I1301" s="31">
        <f>'تقرير المصروفات حسب الشهر'!O771</f>
        <v>0</v>
      </c>
      <c r="J1301" s="31">
        <f>'تقرير المصروفات حسب الشهر'!O898</f>
        <v>90</v>
      </c>
      <c r="K1301" s="31">
        <f>'تقرير المصروفات حسب الشهر'!O1025</f>
        <v>0</v>
      </c>
      <c r="L1301" s="292">
        <f>IFERROR(VLOOKUP(B1301,'تقرير المصروفات حسب الشهر'!$C$1143:$AD$1254,13,FALSE),0)</f>
        <v>575</v>
      </c>
      <c r="M1301" s="292">
        <f>IFERROR(VLOOKUP(B1301,'تقرير المصروفات حسب الشهر'!$C$1270:$AD$1381,13,FALSE),0)</f>
        <v>0</v>
      </c>
      <c r="N1301" s="31" t="e">
        <f>#REF!</f>
        <v>#REF!</v>
      </c>
      <c r="O1301" s="37" t="e">
        <f t="shared" si="33"/>
        <v>#REF!</v>
      </c>
    </row>
    <row r="1302" spans="2:15" ht="17.399999999999999">
      <c r="B1302" s="42" t="s">
        <v>46</v>
      </c>
      <c r="C1302" s="39">
        <f>'تقرير المصروفات حسب الشهر'!O19</f>
        <v>212.11</v>
      </c>
      <c r="D1302" s="31" t="e">
        <f>#REF!</f>
        <v>#REF!</v>
      </c>
      <c r="E1302" s="31" t="e">
        <f>#REF!</f>
        <v>#REF!</v>
      </c>
      <c r="F1302" s="31" t="e">
        <f>#REF!</f>
        <v>#REF!</v>
      </c>
      <c r="G1302" s="31" t="e">
        <f>#REF!</f>
        <v>#REF!</v>
      </c>
      <c r="H1302" s="31" t="e">
        <f>#REF!</f>
        <v>#REF!</v>
      </c>
      <c r="I1302" s="31">
        <f>'تقرير المصروفات حسب الشهر'!O772</f>
        <v>592.11</v>
      </c>
      <c r="J1302" s="31">
        <f>'تقرير المصروفات حسب الشهر'!O899</f>
        <v>212.11</v>
      </c>
      <c r="K1302" s="31">
        <f>'تقرير المصروفات حسب الشهر'!O1026</f>
        <v>212.11</v>
      </c>
      <c r="L1302" s="292">
        <f>IFERROR(VLOOKUP(B1302,'تقرير المصروفات حسب الشهر'!$C$1143:$AD$1254,13,FALSE),0)</f>
        <v>262.11</v>
      </c>
      <c r="M1302" s="292">
        <f>IFERROR(VLOOKUP(B1302,'تقرير المصروفات حسب الشهر'!$C$1270:$AD$1381,13,FALSE),0)</f>
        <v>1732.11</v>
      </c>
      <c r="N1302" s="31" t="e">
        <f>#REF!</f>
        <v>#REF!</v>
      </c>
      <c r="O1302" s="37" t="e">
        <f t="shared" si="33"/>
        <v>#REF!</v>
      </c>
    </row>
    <row r="1303" spans="2:15" ht="17.399999999999999">
      <c r="B1303" s="42" t="s">
        <v>47</v>
      </c>
      <c r="C1303" s="39">
        <f>'تقرير المصروفات حسب الشهر'!O20</f>
        <v>0</v>
      </c>
      <c r="D1303" s="31" t="e">
        <f>#REF!</f>
        <v>#REF!</v>
      </c>
      <c r="E1303" s="31" t="e">
        <f>#REF!</f>
        <v>#REF!</v>
      </c>
      <c r="F1303" s="31" t="e">
        <f>#REF!</f>
        <v>#REF!</v>
      </c>
      <c r="G1303" s="31" t="e">
        <f>#REF!</f>
        <v>#REF!</v>
      </c>
      <c r="H1303" s="31" t="e">
        <f>#REF!</f>
        <v>#REF!</v>
      </c>
      <c r="I1303" s="31">
        <f>'تقرير المصروفات حسب الشهر'!O773</f>
        <v>0</v>
      </c>
      <c r="J1303" s="31">
        <f>'تقرير المصروفات حسب الشهر'!O900</f>
        <v>0</v>
      </c>
      <c r="K1303" s="31">
        <f>'تقرير المصروفات حسب الشهر'!O1027</f>
        <v>0</v>
      </c>
      <c r="L1303" s="292">
        <f>IFERROR(VLOOKUP(B1303,'تقرير المصروفات حسب الشهر'!$C$1143:$AD$1254,13,FALSE),0)</f>
        <v>0</v>
      </c>
      <c r="M1303" s="292">
        <f>IFERROR(VLOOKUP(B1303,'تقرير المصروفات حسب الشهر'!$C$1270:$AD$1381,13,FALSE),0)</f>
        <v>0</v>
      </c>
      <c r="N1303" s="31" t="e">
        <f>#REF!</f>
        <v>#REF!</v>
      </c>
      <c r="O1303" s="37" t="e">
        <f t="shared" si="33"/>
        <v>#REF!</v>
      </c>
    </row>
    <row r="1304" spans="2:15" ht="17.399999999999999">
      <c r="B1304" s="42" t="s">
        <v>48</v>
      </c>
      <c r="C1304" s="39">
        <f>'تقرير المصروفات حسب الشهر'!O21</f>
        <v>900</v>
      </c>
      <c r="D1304" s="31" t="e">
        <f>#REF!</f>
        <v>#REF!</v>
      </c>
      <c r="E1304" s="31" t="e">
        <f>#REF!</f>
        <v>#REF!</v>
      </c>
      <c r="F1304" s="31" t="e">
        <f>#REF!</f>
        <v>#REF!</v>
      </c>
      <c r="G1304" s="31" t="e">
        <f>#REF!</f>
        <v>#REF!</v>
      </c>
      <c r="H1304" s="31" t="e">
        <f>#REF!</f>
        <v>#REF!</v>
      </c>
      <c r="I1304" s="31">
        <f>'تقرير المصروفات حسب الشهر'!O774</f>
        <v>0</v>
      </c>
      <c r="J1304" s="31">
        <f>'تقرير المصروفات حسب الشهر'!O901</f>
        <v>300</v>
      </c>
      <c r="K1304" s="31">
        <f>'تقرير المصروفات حسب الشهر'!O1028</f>
        <v>0</v>
      </c>
      <c r="L1304" s="292">
        <f>IFERROR(VLOOKUP(B1304,'تقرير المصروفات حسب الشهر'!$C$1143:$AD$1254,13,FALSE),0)</f>
        <v>0</v>
      </c>
      <c r="M1304" s="292">
        <f>IFERROR(VLOOKUP(B1304,'تقرير المصروفات حسب الشهر'!$C$1270:$AD$1381,13,FALSE),0)</f>
        <v>750</v>
      </c>
      <c r="N1304" s="31" t="e">
        <f>#REF!</f>
        <v>#REF!</v>
      </c>
      <c r="O1304" s="37" t="e">
        <f t="shared" si="33"/>
        <v>#REF!</v>
      </c>
    </row>
    <row r="1305" spans="2:15" ht="17.399999999999999">
      <c r="B1305" s="42" t="s">
        <v>49</v>
      </c>
      <c r="C1305" s="39">
        <f>'تقرير المصروفات حسب الشهر'!O22</f>
        <v>0</v>
      </c>
      <c r="D1305" s="31" t="e">
        <f>#REF!</f>
        <v>#REF!</v>
      </c>
      <c r="E1305" s="31" t="e">
        <f>#REF!</f>
        <v>#REF!</v>
      </c>
      <c r="F1305" s="31" t="e">
        <f>#REF!</f>
        <v>#REF!</v>
      </c>
      <c r="G1305" s="31" t="e">
        <f>#REF!</f>
        <v>#REF!</v>
      </c>
      <c r="H1305" s="31" t="e">
        <f>#REF!</f>
        <v>#REF!</v>
      </c>
      <c r="I1305" s="31">
        <f>'تقرير المصروفات حسب الشهر'!O775</f>
        <v>0</v>
      </c>
      <c r="J1305" s="31">
        <f>'تقرير المصروفات حسب الشهر'!O902</f>
        <v>0</v>
      </c>
      <c r="K1305" s="31">
        <f>'تقرير المصروفات حسب الشهر'!O1029</f>
        <v>0</v>
      </c>
      <c r="L1305" s="292">
        <f>IFERROR(VLOOKUP(B1305,'تقرير المصروفات حسب الشهر'!$C$1143:$AD$1254,13,FALSE),0)</f>
        <v>0</v>
      </c>
      <c r="M1305" s="292">
        <f>IFERROR(VLOOKUP(B1305,'تقرير المصروفات حسب الشهر'!$C$1270:$AD$1381,13,FALSE),0)</f>
        <v>0</v>
      </c>
      <c r="N1305" s="31" t="e">
        <f>#REF!</f>
        <v>#REF!</v>
      </c>
      <c r="O1305" s="37" t="e">
        <f t="shared" si="33"/>
        <v>#REF!</v>
      </c>
    </row>
    <row r="1306" spans="2:15" ht="17.399999999999999">
      <c r="B1306" s="42" t="s">
        <v>158</v>
      </c>
      <c r="C1306" s="39">
        <f>'تقرير المصروفات حسب الشهر'!O23</f>
        <v>0</v>
      </c>
      <c r="D1306" s="31" t="e">
        <f>#REF!</f>
        <v>#REF!</v>
      </c>
      <c r="E1306" s="31" t="e">
        <f>#REF!</f>
        <v>#REF!</v>
      </c>
      <c r="F1306" s="31" t="e">
        <f>#REF!</f>
        <v>#REF!</v>
      </c>
      <c r="G1306" s="31" t="e">
        <f>#REF!</f>
        <v>#REF!</v>
      </c>
      <c r="H1306" s="31" t="e">
        <f>#REF!</f>
        <v>#REF!</v>
      </c>
      <c r="I1306" s="31">
        <f>'تقرير المصروفات حسب الشهر'!O776</f>
        <v>0</v>
      </c>
      <c r="J1306" s="31">
        <f>'تقرير المصروفات حسب الشهر'!O903</f>
        <v>0</v>
      </c>
      <c r="K1306" s="31">
        <f>'تقرير المصروفات حسب الشهر'!O1030</f>
        <v>0</v>
      </c>
      <c r="L1306" s="292">
        <f>IFERROR(VLOOKUP(B1306,'تقرير المصروفات حسب الشهر'!$C$1143:$AD$1254,13,FALSE),0)</f>
        <v>0</v>
      </c>
      <c r="M1306" s="292">
        <f>IFERROR(VLOOKUP(B1306,'تقرير المصروفات حسب الشهر'!$C$1270:$AD$1381,13,FALSE),0)</f>
        <v>0</v>
      </c>
      <c r="N1306" s="31" t="e">
        <f>#REF!</f>
        <v>#REF!</v>
      </c>
      <c r="O1306" s="37" t="e">
        <f t="shared" si="33"/>
        <v>#REF!</v>
      </c>
    </row>
    <row r="1307" spans="2:15" ht="17.399999999999999">
      <c r="B1307" s="42" t="s">
        <v>50</v>
      </c>
      <c r="C1307" s="39">
        <f>'تقرير المصروفات حسب الشهر'!O24</f>
        <v>750</v>
      </c>
      <c r="D1307" s="31" t="e">
        <f>#REF!</f>
        <v>#REF!</v>
      </c>
      <c r="E1307" s="31" t="e">
        <f>#REF!</f>
        <v>#REF!</v>
      </c>
      <c r="F1307" s="31" t="e">
        <f>#REF!</f>
        <v>#REF!</v>
      </c>
      <c r="G1307" s="31" t="e">
        <f>#REF!</f>
        <v>#REF!</v>
      </c>
      <c r="H1307" s="31" t="e">
        <f>#REF!</f>
        <v>#REF!</v>
      </c>
      <c r="I1307" s="31">
        <f>'تقرير المصروفات حسب الشهر'!O777</f>
        <v>0</v>
      </c>
      <c r="J1307" s="31">
        <f>'تقرير المصروفات حسب الشهر'!O904</f>
        <v>1540</v>
      </c>
      <c r="K1307" s="31">
        <f>'تقرير المصروفات حسب الشهر'!O1031</f>
        <v>0</v>
      </c>
      <c r="L1307" s="292">
        <f>IFERROR(VLOOKUP(B1307,'تقرير المصروفات حسب الشهر'!$C$1143:$AD$1254,13,FALSE),0)</f>
        <v>1540</v>
      </c>
      <c r="M1307" s="292">
        <f>IFERROR(VLOOKUP(B1307,'تقرير المصروفات حسب الشهر'!$C$1270:$AD$1381,13,FALSE),0)</f>
        <v>0</v>
      </c>
      <c r="N1307" s="31" t="e">
        <f>#REF!</f>
        <v>#REF!</v>
      </c>
      <c r="O1307" s="37" t="e">
        <f t="shared" si="33"/>
        <v>#REF!</v>
      </c>
    </row>
    <row r="1308" spans="2:15" ht="17.399999999999999">
      <c r="B1308" s="42" t="s">
        <v>51</v>
      </c>
      <c r="C1308" s="39">
        <f>'تقرير المصروفات حسب الشهر'!O25</f>
        <v>2250</v>
      </c>
      <c r="D1308" s="31" t="e">
        <f>#REF!</f>
        <v>#REF!</v>
      </c>
      <c r="E1308" s="31" t="e">
        <f>#REF!</f>
        <v>#REF!</v>
      </c>
      <c r="F1308" s="31" t="e">
        <f>#REF!</f>
        <v>#REF!</v>
      </c>
      <c r="G1308" s="31" t="e">
        <f>#REF!</f>
        <v>#REF!</v>
      </c>
      <c r="H1308" s="31" t="e">
        <f>#REF!</f>
        <v>#REF!</v>
      </c>
      <c r="I1308" s="31">
        <f>'تقرير المصروفات حسب الشهر'!O778</f>
        <v>0</v>
      </c>
      <c r="J1308" s="31">
        <f>'تقرير المصروفات حسب الشهر'!O905</f>
        <v>2250</v>
      </c>
      <c r="K1308" s="31">
        <f>'تقرير المصروفات حسب الشهر'!O1032</f>
        <v>0</v>
      </c>
      <c r="L1308" s="292">
        <f>IFERROR(VLOOKUP(B1308,'تقرير المصروفات حسب الشهر'!$C$1143:$AD$1254,13,FALSE),0)</f>
        <v>4500</v>
      </c>
      <c r="M1308" s="292">
        <f>IFERROR(VLOOKUP(B1308,'تقرير المصروفات حسب الشهر'!$C$1270:$AD$1381,13,FALSE),0)</f>
        <v>0</v>
      </c>
      <c r="N1308" s="31" t="e">
        <f>#REF!</f>
        <v>#REF!</v>
      </c>
      <c r="O1308" s="37" t="e">
        <f t="shared" si="33"/>
        <v>#REF!</v>
      </c>
    </row>
    <row r="1309" spans="2:15" ht="17.399999999999999">
      <c r="B1309" s="42" t="s">
        <v>52</v>
      </c>
      <c r="C1309" s="39">
        <f>'تقرير المصروفات حسب الشهر'!O26</f>
        <v>0</v>
      </c>
      <c r="D1309" s="31" t="e">
        <f>#REF!</f>
        <v>#REF!</v>
      </c>
      <c r="E1309" s="31" t="e">
        <f>#REF!</f>
        <v>#REF!</v>
      </c>
      <c r="F1309" s="31" t="e">
        <f>#REF!</f>
        <v>#REF!</v>
      </c>
      <c r="G1309" s="31" t="e">
        <f>#REF!</f>
        <v>#REF!</v>
      </c>
      <c r="H1309" s="31" t="e">
        <f>#REF!</f>
        <v>#REF!</v>
      </c>
      <c r="I1309" s="31">
        <f>'تقرير المصروفات حسب الشهر'!O779</f>
        <v>0</v>
      </c>
      <c r="J1309" s="31">
        <f>'تقرير المصروفات حسب الشهر'!O906</f>
        <v>0</v>
      </c>
      <c r="K1309" s="31">
        <f>'تقرير المصروفات حسب الشهر'!O1033</f>
        <v>0</v>
      </c>
      <c r="L1309" s="292">
        <f>IFERROR(VLOOKUP(B1309,'تقرير المصروفات حسب الشهر'!$C$1143:$AD$1254,13,FALSE),0)</f>
        <v>100</v>
      </c>
      <c r="M1309" s="292">
        <f>IFERROR(VLOOKUP(B1309,'تقرير المصروفات حسب الشهر'!$C$1270:$AD$1381,13,FALSE),0)</f>
        <v>0</v>
      </c>
      <c r="N1309" s="31" t="e">
        <f>#REF!</f>
        <v>#REF!</v>
      </c>
      <c r="O1309" s="37" t="e">
        <f t="shared" si="33"/>
        <v>#REF!</v>
      </c>
    </row>
    <row r="1310" spans="2:15" ht="17.399999999999999">
      <c r="B1310" s="42" t="s">
        <v>174</v>
      </c>
      <c r="C1310" s="39">
        <f>'تقرير المصروفات حسب الشهر'!O27</f>
        <v>4422.5</v>
      </c>
      <c r="D1310" s="31" t="e">
        <f>#REF!</f>
        <v>#REF!</v>
      </c>
      <c r="E1310" s="31" t="e">
        <f>#REF!</f>
        <v>#REF!</v>
      </c>
      <c r="F1310" s="31" t="e">
        <f>#REF!</f>
        <v>#REF!</v>
      </c>
      <c r="G1310" s="31" t="e">
        <f>#REF!</f>
        <v>#REF!</v>
      </c>
      <c r="H1310" s="31" t="e">
        <f>#REF!</f>
        <v>#REF!</v>
      </c>
      <c r="I1310" s="31">
        <f>'تقرير المصروفات حسب الشهر'!O780</f>
        <v>2478</v>
      </c>
      <c r="J1310" s="31">
        <f>'تقرير المصروفات حسب الشهر'!O907</f>
        <v>2072</v>
      </c>
      <c r="K1310" s="31">
        <f>'تقرير المصروفات حسب الشهر'!O1034</f>
        <v>1868</v>
      </c>
      <c r="L1310" s="292">
        <f>IFERROR(VLOOKUP(B1310,'تقرير المصروفات حسب الشهر'!$C$1143:$AD$1254,13,FALSE),0)</f>
        <v>1382</v>
      </c>
      <c r="M1310" s="292">
        <f>IFERROR(VLOOKUP(B1310,'تقرير المصروفات حسب الشهر'!$C$1270:$AD$1381,13,FALSE),0)</f>
        <v>2906</v>
      </c>
      <c r="N1310" s="31" t="e">
        <f>#REF!</f>
        <v>#REF!</v>
      </c>
      <c r="O1310" s="37" t="e">
        <f t="shared" si="33"/>
        <v>#REF!</v>
      </c>
    </row>
    <row r="1311" spans="2:15" ht="17.399999999999999">
      <c r="B1311" s="42" t="s">
        <v>53</v>
      </c>
      <c r="C1311" s="39">
        <f>'تقرير المصروفات حسب الشهر'!O28</f>
        <v>0</v>
      </c>
      <c r="D1311" s="31" t="e">
        <f>#REF!</f>
        <v>#REF!</v>
      </c>
      <c r="E1311" s="31" t="e">
        <f>#REF!</f>
        <v>#REF!</v>
      </c>
      <c r="F1311" s="31" t="e">
        <f>#REF!</f>
        <v>#REF!</v>
      </c>
      <c r="G1311" s="31" t="e">
        <f>#REF!</f>
        <v>#REF!</v>
      </c>
      <c r="H1311" s="31" t="e">
        <f>#REF!</f>
        <v>#REF!</v>
      </c>
      <c r="I1311" s="31">
        <f>'تقرير المصروفات حسب الشهر'!O781</f>
        <v>150</v>
      </c>
      <c r="J1311" s="31">
        <f>'تقرير المصروفات حسب الشهر'!O908</f>
        <v>30</v>
      </c>
      <c r="K1311" s="31">
        <f>'تقرير المصروفات حسب الشهر'!O1035</f>
        <v>230</v>
      </c>
      <c r="L1311" s="292">
        <f>IFERROR(VLOOKUP(B1311,'تقرير المصروفات حسب الشهر'!$C$1143:$AD$1254,13,FALSE),0)</f>
        <v>40</v>
      </c>
      <c r="M1311" s="292">
        <f>IFERROR(VLOOKUP(B1311,'تقرير المصروفات حسب الشهر'!$C$1270:$AD$1381,13,FALSE),0)</f>
        <v>0</v>
      </c>
      <c r="N1311" s="31" t="e">
        <f>#REF!</f>
        <v>#REF!</v>
      </c>
      <c r="O1311" s="37" t="e">
        <f t="shared" si="33"/>
        <v>#REF!</v>
      </c>
    </row>
    <row r="1312" spans="2:15" ht="17.399999999999999">
      <c r="B1312" s="42" t="s">
        <v>191</v>
      </c>
      <c r="C1312" s="39">
        <f>'تقرير المصروفات حسب الشهر'!O29</f>
        <v>0</v>
      </c>
      <c r="D1312" s="31" t="e">
        <f>#REF!</f>
        <v>#REF!</v>
      </c>
      <c r="E1312" s="31" t="e">
        <f>#REF!</f>
        <v>#REF!</v>
      </c>
      <c r="F1312" s="31" t="e">
        <f>#REF!</f>
        <v>#REF!</v>
      </c>
      <c r="G1312" s="31" t="e">
        <f>#REF!</f>
        <v>#REF!</v>
      </c>
      <c r="H1312" s="31" t="e">
        <f>#REF!</f>
        <v>#REF!</v>
      </c>
      <c r="I1312" s="31">
        <f>'تقرير المصروفات حسب الشهر'!O782</f>
        <v>0</v>
      </c>
      <c r="J1312" s="31">
        <f>'تقرير المصروفات حسب الشهر'!O909</f>
        <v>0</v>
      </c>
      <c r="K1312" s="31">
        <f>'تقرير المصروفات حسب الشهر'!O1036</f>
        <v>0</v>
      </c>
      <c r="L1312" s="292">
        <f>IFERROR(VLOOKUP(B1312,'تقرير المصروفات حسب الشهر'!$C$1143:$AD$1254,13,FALSE),0)</f>
        <v>0</v>
      </c>
      <c r="M1312" s="292">
        <f>IFERROR(VLOOKUP(B1312,'تقرير المصروفات حسب الشهر'!$C$1270:$AD$1381,13,FALSE),0)</f>
        <v>0</v>
      </c>
      <c r="N1312" s="31" t="e">
        <f>#REF!</f>
        <v>#REF!</v>
      </c>
      <c r="O1312" s="37" t="e">
        <f t="shared" si="33"/>
        <v>#REF!</v>
      </c>
    </row>
    <row r="1313" spans="2:15" ht="17.399999999999999">
      <c r="B1313" s="42" t="s">
        <v>29</v>
      </c>
      <c r="C1313" s="39">
        <f>'تقرير المصروفات حسب الشهر'!O30</f>
        <v>100</v>
      </c>
      <c r="D1313" s="31" t="e">
        <f>#REF!</f>
        <v>#REF!</v>
      </c>
      <c r="E1313" s="31" t="e">
        <f>#REF!</f>
        <v>#REF!</v>
      </c>
      <c r="F1313" s="31" t="e">
        <f>#REF!</f>
        <v>#REF!</v>
      </c>
      <c r="G1313" s="31" t="e">
        <f>#REF!</f>
        <v>#REF!</v>
      </c>
      <c r="H1313" s="31" t="e">
        <f>#REF!</f>
        <v>#REF!</v>
      </c>
      <c r="I1313" s="31">
        <f>'تقرير المصروفات حسب الشهر'!O783</f>
        <v>85</v>
      </c>
      <c r="J1313" s="31">
        <f>'تقرير المصروفات حسب الشهر'!O910</f>
        <v>0</v>
      </c>
      <c r="K1313" s="31">
        <f>'تقرير المصروفات حسب الشهر'!O1037</f>
        <v>85</v>
      </c>
      <c r="L1313" s="292">
        <f>IFERROR(VLOOKUP(B1313,'تقرير المصروفات حسب الشهر'!$C$1143:$AD$1254,13,FALSE),0)</f>
        <v>0</v>
      </c>
      <c r="M1313" s="292">
        <f>IFERROR(VLOOKUP(B1313,'تقرير المصروفات حسب الشهر'!$C$1270:$AD$1381,13,FALSE),0)</f>
        <v>85</v>
      </c>
      <c r="N1313" s="31" t="e">
        <f>#REF!</f>
        <v>#REF!</v>
      </c>
      <c r="O1313" s="37" t="e">
        <f t="shared" si="33"/>
        <v>#REF!</v>
      </c>
    </row>
    <row r="1314" spans="2:15" ht="17.399999999999999">
      <c r="B1314" s="42" t="s">
        <v>54</v>
      </c>
      <c r="C1314" s="39">
        <f>'تقرير المصروفات حسب الشهر'!O31</f>
        <v>0</v>
      </c>
      <c r="D1314" s="31" t="e">
        <f>#REF!</f>
        <v>#REF!</v>
      </c>
      <c r="E1314" s="31" t="e">
        <f>#REF!</f>
        <v>#REF!</v>
      </c>
      <c r="F1314" s="31" t="e">
        <f>#REF!</f>
        <v>#REF!</v>
      </c>
      <c r="G1314" s="31" t="e">
        <f>#REF!</f>
        <v>#REF!</v>
      </c>
      <c r="H1314" s="31" t="e">
        <f>#REF!</f>
        <v>#REF!</v>
      </c>
      <c r="I1314" s="31">
        <f>'تقرير المصروفات حسب الشهر'!O784</f>
        <v>0</v>
      </c>
      <c r="J1314" s="31">
        <f>'تقرير المصروفات حسب الشهر'!O911</f>
        <v>0</v>
      </c>
      <c r="K1314" s="31">
        <f>'تقرير المصروفات حسب الشهر'!O1038</f>
        <v>0</v>
      </c>
      <c r="L1314" s="292">
        <f>IFERROR(VLOOKUP(B1314,'تقرير المصروفات حسب الشهر'!$C$1143:$AD$1254,13,FALSE),0)</f>
        <v>0</v>
      </c>
      <c r="M1314" s="292">
        <f>IFERROR(VLOOKUP(B1314,'تقرير المصروفات حسب الشهر'!$C$1270:$AD$1381,13,FALSE),0)</f>
        <v>0</v>
      </c>
      <c r="N1314" s="31" t="e">
        <f>#REF!</f>
        <v>#REF!</v>
      </c>
      <c r="O1314" s="37" t="e">
        <f t="shared" si="33"/>
        <v>#REF!</v>
      </c>
    </row>
    <row r="1315" spans="2:15" ht="17.399999999999999">
      <c r="B1315" s="42" t="s">
        <v>31</v>
      </c>
      <c r="C1315" s="39">
        <f>'تقرير المصروفات حسب الشهر'!O32</f>
        <v>265</v>
      </c>
      <c r="D1315" s="31" t="e">
        <f>#REF!</f>
        <v>#REF!</v>
      </c>
      <c r="E1315" s="31" t="e">
        <f>#REF!</f>
        <v>#REF!</v>
      </c>
      <c r="F1315" s="31" t="e">
        <f>#REF!</f>
        <v>#REF!</v>
      </c>
      <c r="G1315" s="31" t="e">
        <f>#REF!</f>
        <v>#REF!</v>
      </c>
      <c r="H1315" s="31" t="e">
        <f>#REF!</f>
        <v>#REF!</v>
      </c>
      <c r="I1315" s="31">
        <f>'تقرير المصروفات حسب الشهر'!O785</f>
        <v>772</v>
      </c>
      <c r="J1315" s="31">
        <f>'تقرير المصروفات حسب الشهر'!O912</f>
        <v>157</v>
      </c>
      <c r="K1315" s="31">
        <f>'تقرير المصروفات حسب الشهر'!O1039</f>
        <v>304</v>
      </c>
      <c r="L1315" s="292">
        <f>IFERROR(VLOOKUP(B1315,'تقرير المصروفات حسب الشهر'!$C$1143:$AD$1254,13,FALSE),0)</f>
        <v>484</v>
      </c>
      <c r="M1315" s="292">
        <f>IFERROR(VLOOKUP(B1315,'تقرير المصروفات حسب الشهر'!$C$1270:$AD$1381,13,FALSE),0)</f>
        <v>289</v>
      </c>
      <c r="N1315" s="31" t="e">
        <f>#REF!</f>
        <v>#REF!</v>
      </c>
      <c r="O1315" s="37" t="e">
        <f t="shared" si="33"/>
        <v>#REF!</v>
      </c>
    </row>
    <row r="1316" spans="2:15" ht="17.399999999999999">
      <c r="B1316" s="42" t="s">
        <v>55</v>
      </c>
      <c r="C1316" s="39">
        <f>'تقرير المصروفات حسب الشهر'!O33</f>
        <v>0</v>
      </c>
      <c r="D1316" s="31" t="e">
        <f>#REF!</f>
        <v>#REF!</v>
      </c>
      <c r="E1316" s="31" t="e">
        <f>#REF!</f>
        <v>#REF!</v>
      </c>
      <c r="F1316" s="31" t="e">
        <f>#REF!</f>
        <v>#REF!</v>
      </c>
      <c r="G1316" s="31" t="e">
        <f>#REF!</f>
        <v>#REF!</v>
      </c>
      <c r="H1316" s="31" t="e">
        <f>#REF!</f>
        <v>#REF!</v>
      </c>
      <c r="I1316" s="31">
        <f>'تقرير المصروفات حسب الشهر'!O786</f>
        <v>0</v>
      </c>
      <c r="J1316" s="31">
        <f>'تقرير المصروفات حسب الشهر'!O913</f>
        <v>0</v>
      </c>
      <c r="K1316" s="31">
        <f>'تقرير المصروفات حسب الشهر'!O1040</f>
        <v>0</v>
      </c>
      <c r="L1316" s="292">
        <f>IFERROR(VLOOKUP(B1316,'تقرير المصروفات حسب الشهر'!$C$1143:$AD$1254,13,FALSE),0)</f>
        <v>0</v>
      </c>
      <c r="M1316" s="292">
        <f>IFERROR(VLOOKUP(B1316,'تقرير المصروفات حسب الشهر'!$C$1270:$AD$1381,13,FALSE),0)</f>
        <v>0</v>
      </c>
      <c r="N1316" s="31" t="e">
        <f>#REF!</f>
        <v>#REF!</v>
      </c>
      <c r="O1316" s="37" t="e">
        <f t="shared" si="33"/>
        <v>#REF!</v>
      </c>
    </row>
    <row r="1317" spans="2:15" ht="17.399999999999999">
      <c r="B1317" s="42" t="s">
        <v>56</v>
      </c>
      <c r="C1317" s="39">
        <f>'تقرير المصروفات حسب الشهر'!O34</f>
        <v>69.959999999999994</v>
      </c>
      <c r="D1317" s="31" t="e">
        <f>#REF!</f>
        <v>#REF!</v>
      </c>
      <c r="E1317" s="31" t="e">
        <f>#REF!</f>
        <v>#REF!</v>
      </c>
      <c r="F1317" s="31" t="e">
        <f>#REF!</f>
        <v>#REF!</v>
      </c>
      <c r="G1317" s="31" t="e">
        <f>#REF!</f>
        <v>#REF!</v>
      </c>
      <c r="H1317" s="31" t="e">
        <f>#REF!</f>
        <v>#REF!</v>
      </c>
      <c r="I1317" s="31">
        <f>'تقرير المصروفات حسب الشهر'!O787</f>
        <v>69.959999999999994</v>
      </c>
      <c r="J1317" s="31">
        <f>'تقرير المصروفات حسب الشهر'!O914</f>
        <v>69.959999999999994</v>
      </c>
      <c r="K1317" s="31">
        <f>'تقرير المصروفات حسب الشهر'!O1041</f>
        <v>69.959999999999994</v>
      </c>
      <c r="L1317" s="292">
        <f>IFERROR(VLOOKUP(B1317,'تقرير المصروفات حسب الشهر'!$C$1143:$AD$1254,13,FALSE),0)</f>
        <v>69.959999999999994</v>
      </c>
      <c r="M1317" s="292">
        <f>IFERROR(VLOOKUP(B1317,'تقرير المصروفات حسب الشهر'!$C$1270:$AD$1381,13,FALSE),0)</f>
        <v>69.959999999999994</v>
      </c>
      <c r="N1317" s="31" t="e">
        <f>#REF!</f>
        <v>#REF!</v>
      </c>
      <c r="O1317" s="37" t="e">
        <f t="shared" si="33"/>
        <v>#REF!</v>
      </c>
    </row>
    <row r="1318" spans="2:15" ht="17.399999999999999">
      <c r="B1318" s="42" t="s">
        <v>57</v>
      </c>
      <c r="C1318" s="39">
        <f>'تقرير المصروفات حسب الشهر'!O35</f>
        <v>0</v>
      </c>
      <c r="D1318" s="31" t="e">
        <f>#REF!</f>
        <v>#REF!</v>
      </c>
      <c r="E1318" s="31" t="e">
        <f>#REF!</f>
        <v>#REF!</v>
      </c>
      <c r="F1318" s="31" t="e">
        <f>#REF!</f>
        <v>#REF!</v>
      </c>
      <c r="G1318" s="31" t="e">
        <f>#REF!</f>
        <v>#REF!</v>
      </c>
      <c r="H1318" s="31" t="e">
        <f>#REF!</f>
        <v>#REF!</v>
      </c>
      <c r="I1318" s="31">
        <f>'تقرير المصروفات حسب الشهر'!O788</f>
        <v>150</v>
      </c>
      <c r="J1318" s="31">
        <f>'تقرير المصروفات حسب الشهر'!O915</f>
        <v>150</v>
      </c>
      <c r="K1318" s="31">
        <f>'تقرير المصروفات حسب الشهر'!O1042</f>
        <v>0</v>
      </c>
      <c r="L1318" s="292">
        <f>IFERROR(VLOOKUP(B1318,'تقرير المصروفات حسب الشهر'!$C$1143:$AD$1254,13,FALSE),0)</f>
        <v>150</v>
      </c>
      <c r="M1318" s="292">
        <f>IFERROR(VLOOKUP(B1318,'تقرير المصروفات حسب الشهر'!$C$1270:$AD$1381,13,FALSE),0)</f>
        <v>150</v>
      </c>
      <c r="N1318" s="31" t="e">
        <f>#REF!</f>
        <v>#REF!</v>
      </c>
      <c r="O1318" s="37" t="e">
        <f t="shared" si="33"/>
        <v>#REF!</v>
      </c>
    </row>
    <row r="1319" spans="2:15" ht="17.399999999999999">
      <c r="B1319" s="42" t="s">
        <v>58</v>
      </c>
      <c r="C1319" s="39">
        <f>'تقرير المصروفات حسب الشهر'!O36</f>
        <v>0</v>
      </c>
      <c r="D1319" s="31" t="e">
        <f>#REF!</f>
        <v>#REF!</v>
      </c>
      <c r="E1319" s="31" t="e">
        <f>#REF!</f>
        <v>#REF!</v>
      </c>
      <c r="F1319" s="31" t="e">
        <f>#REF!</f>
        <v>#REF!</v>
      </c>
      <c r="G1319" s="31" t="e">
        <f>#REF!</f>
        <v>#REF!</v>
      </c>
      <c r="H1319" s="31" t="e">
        <f>#REF!</f>
        <v>#REF!</v>
      </c>
      <c r="I1319" s="31">
        <f>'تقرير المصروفات حسب الشهر'!O789</f>
        <v>0</v>
      </c>
      <c r="J1319" s="31">
        <f>'تقرير المصروفات حسب الشهر'!O916</f>
        <v>0</v>
      </c>
      <c r="K1319" s="31">
        <f>'تقرير المصروفات حسب الشهر'!O1043</f>
        <v>1708</v>
      </c>
      <c r="L1319" s="292">
        <f>IFERROR(VLOOKUP(B1319,'تقرير المصروفات حسب الشهر'!$C$1143:$AD$1254,13,FALSE),0)</f>
        <v>6288</v>
      </c>
      <c r="M1319" s="292">
        <f>IFERROR(VLOOKUP(B1319,'تقرير المصروفات حسب الشهر'!$C$1270:$AD$1381,13,FALSE),0)</f>
        <v>0</v>
      </c>
      <c r="N1319" s="31" t="e">
        <f>#REF!</f>
        <v>#REF!</v>
      </c>
      <c r="O1319" s="37" t="e">
        <f t="shared" si="33"/>
        <v>#REF!</v>
      </c>
    </row>
    <row r="1320" spans="2:15" ht="17.399999999999999">
      <c r="B1320" s="42" t="s">
        <v>59</v>
      </c>
      <c r="C1320" s="39">
        <f>'تقرير المصروفات حسب الشهر'!O37</f>
        <v>0</v>
      </c>
      <c r="D1320" s="31" t="e">
        <f>#REF!</f>
        <v>#REF!</v>
      </c>
      <c r="E1320" s="31" t="e">
        <f>#REF!</f>
        <v>#REF!</v>
      </c>
      <c r="F1320" s="31" t="e">
        <f>#REF!</f>
        <v>#REF!</v>
      </c>
      <c r="G1320" s="31" t="e">
        <f>#REF!</f>
        <v>#REF!</v>
      </c>
      <c r="H1320" s="31" t="e">
        <f>#REF!</f>
        <v>#REF!</v>
      </c>
      <c r="I1320" s="31">
        <f>'تقرير المصروفات حسب الشهر'!O790</f>
        <v>0</v>
      </c>
      <c r="J1320" s="31">
        <f>'تقرير المصروفات حسب الشهر'!O917</f>
        <v>0</v>
      </c>
      <c r="K1320" s="31">
        <f>'تقرير المصروفات حسب الشهر'!O1044</f>
        <v>0</v>
      </c>
      <c r="L1320" s="292">
        <f>IFERROR(VLOOKUP(B1320,'تقرير المصروفات حسب الشهر'!$C$1143:$AD$1254,13,FALSE),0)</f>
        <v>0</v>
      </c>
      <c r="M1320" s="292">
        <f>IFERROR(VLOOKUP(B1320,'تقرير المصروفات حسب الشهر'!$C$1270:$AD$1381,13,FALSE),0)</f>
        <v>0</v>
      </c>
      <c r="N1320" s="31" t="e">
        <f>#REF!</f>
        <v>#REF!</v>
      </c>
      <c r="O1320" s="37" t="e">
        <f t="shared" si="33"/>
        <v>#REF!</v>
      </c>
    </row>
    <row r="1321" spans="2:15" ht="17.399999999999999">
      <c r="B1321" s="42" t="s">
        <v>60</v>
      </c>
      <c r="C1321" s="39">
        <f>'تقرير المصروفات حسب الشهر'!O38</f>
        <v>0</v>
      </c>
      <c r="D1321" s="31" t="e">
        <f>#REF!</f>
        <v>#REF!</v>
      </c>
      <c r="E1321" s="31" t="e">
        <f>#REF!</f>
        <v>#REF!</v>
      </c>
      <c r="F1321" s="31" t="e">
        <f>#REF!</f>
        <v>#REF!</v>
      </c>
      <c r="G1321" s="31" t="e">
        <f>#REF!</f>
        <v>#REF!</v>
      </c>
      <c r="H1321" s="31" t="e">
        <f>#REF!</f>
        <v>#REF!</v>
      </c>
      <c r="I1321" s="31">
        <f>'تقرير المصروفات حسب الشهر'!O791</f>
        <v>0</v>
      </c>
      <c r="J1321" s="31">
        <f>'تقرير المصروفات حسب الشهر'!O918</f>
        <v>0</v>
      </c>
      <c r="K1321" s="31">
        <f>'تقرير المصروفات حسب الشهر'!O1045</f>
        <v>0</v>
      </c>
      <c r="L1321" s="292">
        <f>IFERROR(VLOOKUP(B1321,'تقرير المصروفات حسب الشهر'!$C$1143:$AD$1254,13,FALSE),0)</f>
        <v>0</v>
      </c>
      <c r="M1321" s="292">
        <f>IFERROR(VLOOKUP(B1321,'تقرير المصروفات حسب الشهر'!$C$1270:$AD$1381,13,FALSE),0)</f>
        <v>0</v>
      </c>
      <c r="N1321" s="31" t="e">
        <f>#REF!</f>
        <v>#REF!</v>
      </c>
      <c r="O1321" s="37" t="e">
        <f t="shared" si="33"/>
        <v>#REF!</v>
      </c>
    </row>
    <row r="1322" spans="2:15" ht="17.399999999999999">
      <c r="B1322" s="42" t="s">
        <v>61</v>
      </c>
      <c r="C1322" s="39">
        <f>'تقرير المصروفات حسب الشهر'!O39</f>
        <v>100</v>
      </c>
      <c r="D1322" s="31" t="e">
        <f>#REF!</f>
        <v>#REF!</v>
      </c>
      <c r="E1322" s="31" t="e">
        <f>#REF!</f>
        <v>#REF!</v>
      </c>
      <c r="F1322" s="31" t="e">
        <f>#REF!</f>
        <v>#REF!</v>
      </c>
      <c r="G1322" s="31" t="e">
        <f>#REF!</f>
        <v>#REF!</v>
      </c>
      <c r="H1322" s="31" t="e">
        <f>#REF!</f>
        <v>#REF!</v>
      </c>
      <c r="I1322" s="31">
        <f>'تقرير المصروفات حسب الشهر'!O792</f>
        <v>0</v>
      </c>
      <c r="J1322" s="31">
        <f>'تقرير المصروفات حسب الشهر'!O919</f>
        <v>0</v>
      </c>
      <c r="K1322" s="31">
        <f>'تقرير المصروفات حسب الشهر'!O1046</f>
        <v>600</v>
      </c>
      <c r="L1322" s="292">
        <f>IFERROR(VLOOKUP(B1322,'تقرير المصروفات حسب الشهر'!$C$1143:$AD$1254,13,FALSE),0)</f>
        <v>960</v>
      </c>
      <c r="M1322" s="292">
        <f>IFERROR(VLOOKUP(B1322,'تقرير المصروفات حسب الشهر'!$C$1270:$AD$1381,13,FALSE),0)</f>
        <v>0</v>
      </c>
      <c r="N1322" s="31" t="e">
        <f>#REF!</f>
        <v>#REF!</v>
      </c>
      <c r="O1322" s="37" t="e">
        <f t="shared" si="33"/>
        <v>#REF!</v>
      </c>
    </row>
    <row r="1323" spans="2:15" ht="17.399999999999999">
      <c r="B1323" s="42" t="s">
        <v>62</v>
      </c>
      <c r="C1323" s="39">
        <f>'تقرير المصروفات حسب الشهر'!O40</f>
        <v>0</v>
      </c>
      <c r="D1323" s="31" t="e">
        <f>#REF!</f>
        <v>#REF!</v>
      </c>
      <c r="E1323" s="31" t="e">
        <f>#REF!</f>
        <v>#REF!</v>
      </c>
      <c r="F1323" s="31" t="e">
        <f>#REF!</f>
        <v>#REF!</v>
      </c>
      <c r="G1323" s="31" t="e">
        <f>#REF!</f>
        <v>#REF!</v>
      </c>
      <c r="H1323" s="31" t="e">
        <f>#REF!</f>
        <v>#REF!</v>
      </c>
      <c r="I1323" s="31">
        <f>'تقرير المصروفات حسب الشهر'!O793</f>
        <v>0</v>
      </c>
      <c r="J1323" s="31">
        <f>'تقرير المصروفات حسب الشهر'!O920</f>
        <v>0</v>
      </c>
      <c r="K1323" s="31">
        <f>'تقرير المصروفات حسب الشهر'!O1047</f>
        <v>0</v>
      </c>
      <c r="L1323" s="292">
        <f>IFERROR(VLOOKUP(B1323,'تقرير المصروفات حسب الشهر'!$C$1143:$AD$1254,13,FALSE),0)</f>
        <v>0</v>
      </c>
      <c r="M1323" s="292">
        <f>IFERROR(VLOOKUP(B1323,'تقرير المصروفات حسب الشهر'!$C$1270:$AD$1381,13,FALSE),0)</f>
        <v>0</v>
      </c>
      <c r="N1323" s="31" t="e">
        <f>#REF!</f>
        <v>#REF!</v>
      </c>
      <c r="O1323" s="37" t="e">
        <f t="shared" si="33"/>
        <v>#REF!</v>
      </c>
    </row>
    <row r="1324" spans="2:15" ht="17.399999999999999">
      <c r="B1324" s="42" t="s">
        <v>63</v>
      </c>
      <c r="C1324" s="39">
        <f>'تقرير المصروفات حسب الشهر'!O41</f>
        <v>0</v>
      </c>
      <c r="D1324" s="31" t="e">
        <f>#REF!</f>
        <v>#REF!</v>
      </c>
      <c r="E1324" s="31" t="e">
        <f>#REF!</f>
        <v>#REF!</v>
      </c>
      <c r="F1324" s="31" t="e">
        <f>#REF!</f>
        <v>#REF!</v>
      </c>
      <c r="G1324" s="31" t="e">
        <f>#REF!</f>
        <v>#REF!</v>
      </c>
      <c r="H1324" s="31" t="e">
        <f>#REF!</f>
        <v>#REF!</v>
      </c>
      <c r="I1324" s="31">
        <f>'تقرير المصروفات حسب الشهر'!O794</f>
        <v>0</v>
      </c>
      <c r="J1324" s="31">
        <f>'تقرير المصروفات حسب الشهر'!O921</f>
        <v>0</v>
      </c>
      <c r="K1324" s="31">
        <f>'تقرير المصروفات حسب الشهر'!O1048</f>
        <v>0</v>
      </c>
      <c r="L1324" s="292">
        <f>IFERROR(VLOOKUP(B1324,'تقرير المصروفات حسب الشهر'!$C$1143:$AD$1254,13,FALSE),0)</f>
        <v>0</v>
      </c>
      <c r="M1324" s="292">
        <f>IFERROR(VLOOKUP(B1324,'تقرير المصروفات حسب الشهر'!$C$1270:$AD$1381,13,FALSE),0)</f>
        <v>0</v>
      </c>
      <c r="N1324" s="31" t="e">
        <f>#REF!</f>
        <v>#REF!</v>
      </c>
      <c r="O1324" s="37" t="e">
        <f t="shared" si="33"/>
        <v>#REF!</v>
      </c>
    </row>
    <row r="1325" spans="2:15" ht="17.399999999999999">
      <c r="B1325" s="42" t="s">
        <v>64</v>
      </c>
      <c r="C1325" s="39">
        <f>'تقرير المصروفات حسب الشهر'!O42</f>
        <v>6700</v>
      </c>
      <c r="D1325" s="31" t="e">
        <f>#REF!</f>
        <v>#REF!</v>
      </c>
      <c r="E1325" s="31" t="e">
        <f>#REF!</f>
        <v>#REF!</v>
      </c>
      <c r="F1325" s="31" t="e">
        <f>#REF!</f>
        <v>#REF!</v>
      </c>
      <c r="G1325" s="31" t="e">
        <f>#REF!</f>
        <v>#REF!</v>
      </c>
      <c r="H1325" s="31" t="e">
        <f>#REF!</f>
        <v>#REF!</v>
      </c>
      <c r="I1325" s="31">
        <f>'تقرير المصروفات حسب الشهر'!O795</f>
        <v>10700</v>
      </c>
      <c r="J1325" s="31">
        <f>'تقرير المصروفات حسب الشهر'!O922</f>
        <v>0</v>
      </c>
      <c r="K1325" s="31">
        <f>'تقرير المصروفات حسب الشهر'!O1049</f>
        <v>0</v>
      </c>
      <c r="L1325" s="292">
        <f>IFERROR(VLOOKUP(B1325,'تقرير المصروفات حسب الشهر'!$C$1143:$AD$1254,13,FALSE),0)</f>
        <v>0</v>
      </c>
      <c r="M1325" s="292">
        <f>IFERROR(VLOOKUP(B1325,'تقرير المصروفات حسب الشهر'!$C$1270:$AD$1381,13,FALSE),0)</f>
        <v>0</v>
      </c>
      <c r="N1325" s="31" t="e">
        <f>#REF!</f>
        <v>#REF!</v>
      </c>
      <c r="O1325" s="37" t="e">
        <f t="shared" si="33"/>
        <v>#REF!</v>
      </c>
    </row>
    <row r="1326" spans="2:15" ht="17.399999999999999">
      <c r="B1326" s="42" t="s">
        <v>28</v>
      </c>
      <c r="C1326" s="39">
        <f>'تقرير المصروفات حسب الشهر'!O43</f>
        <v>0</v>
      </c>
      <c r="D1326" s="31" t="e">
        <f>#REF!</f>
        <v>#REF!</v>
      </c>
      <c r="E1326" s="31" t="e">
        <f>#REF!</f>
        <v>#REF!</v>
      </c>
      <c r="F1326" s="31" t="e">
        <f>#REF!</f>
        <v>#REF!</v>
      </c>
      <c r="G1326" s="31" t="e">
        <f>#REF!</f>
        <v>#REF!</v>
      </c>
      <c r="H1326" s="31" t="e">
        <f>#REF!</f>
        <v>#REF!</v>
      </c>
      <c r="I1326" s="31">
        <f>'تقرير المصروفات حسب الشهر'!O796</f>
        <v>0</v>
      </c>
      <c r="J1326" s="31">
        <f>'تقرير المصروفات حسب الشهر'!O923</f>
        <v>0</v>
      </c>
      <c r="K1326" s="31">
        <f>'تقرير المصروفات حسب الشهر'!O1050</f>
        <v>0</v>
      </c>
      <c r="L1326" s="292">
        <f>IFERROR(VLOOKUP(B1326,'تقرير المصروفات حسب الشهر'!$C$1143:$AD$1254,13,FALSE),0)</f>
        <v>0</v>
      </c>
      <c r="M1326" s="292">
        <f>IFERROR(VLOOKUP(B1326,'تقرير المصروفات حسب الشهر'!$C$1270:$AD$1381,13,FALSE),0)</f>
        <v>0</v>
      </c>
      <c r="N1326" s="31" t="e">
        <f>#REF!</f>
        <v>#REF!</v>
      </c>
      <c r="O1326" s="37" t="e">
        <f t="shared" si="33"/>
        <v>#REF!</v>
      </c>
    </row>
    <row r="1327" spans="2:15" ht="17.399999999999999">
      <c r="B1327" s="42" t="s">
        <v>157</v>
      </c>
      <c r="C1327" s="39">
        <f>'تقرير المصروفات حسب الشهر'!O44</f>
        <v>0</v>
      </c>
      <c r="D1327" s="31" t="e">
        <f>#REF!</f>
        <v>#REF!</v>
      </c>
      <c r="E1327" s="31" t="e">
        <f>#REF!</f>
        <v>#REF!</v>
      </c>
      <c r="F1327" s="31" t="e">
        <f>#REF!</f>
        <v>#REF!</v>
      </c>
      <c r="G1327" s="31" t="e">
        <f>#REF!</f>
        <v>#REF!</v>
      </c>
      <c r="H1327" s="31" t="e">
        <f>#REF!</f>
        <v>#REF!</v>
      </c>
      <c r="I1327" s="31">
        <f>'تقرير المصروفات حسب الشهر'!O797</f>
        <v>0</v>
      </c>
      <c r="J1327" s="31">
        <f>'تقرير المصروفات حسب الشهر'!O924</f>
        <v>0</v>
      </c>
      <c r="K1327" s="31">
        <f>'تقرير المصروفات حسب الشهر'!O1051</f>
        <v>0</v>
      </c>
      <c r="L1327" s="292">
        <f>IFERROR(VLOOKUP(B1327,'تقرير المصروفات حسب الشهر'!$C$1143:$AD$1254,13,FALSE),0)</f>
        <v>0</v>
      </c>
      <c r="M1327" s="292">
        <f>IFERROR(VLOOKUP(B1327,'تقرير المصروفات حسب الشهر'!$C$1270:$AD$1381,13,FALSE),0)</f>
        <v>0</v>
      </c>
      <c r="N1327" s="31" t="e">
        <f>#REF!</f>
        <v>#REF!</v>
      </c>
      <c r="O1327" s="37" t="e">
        <f t="shared" si="33"/>
        <v>#REF!</v>
      </c>
    </row>
    <row r="1328" spans="2:15" ht="17.399999999999999">
      <c r="B1328" s="42" t="s">
        <v>65</v>
      </c>
      <c r="C1328" s="39">
        <f>'تقرير المصروفات حسب الشهر'!O45</f>
        <v>0</v>
      </c>
      <c r="D1328" s="31" t="e">
        <f>#REF!</f>
        <v>#REF!</v>
      </c>
      <c r="E1328" s="31" t="e">
        <f>#REF!</f>
        <v>#REF!</v>
      </c>
      <c r="F1328" s="31" t="e">
        <f>#REF!</f>
        <v>#REF!</v>
      </c>
      <c r="G1328" s="31" t="e">
        <f>#REF!</f>
        <v>#REF!</v>
      </c>
      <c r="H1328" s="31" t="e">
        <f>#REF!</f>
        <v>#REF!</v>
      </c>
      <c r="I1328" s="31">
        <f>'تقرير المصروفات حسب الشهر'!O798</f>
        <v>0</v>
      </c>
      <c r="J1328" s="31">
        <f>'تقرير المصروفات حسب الشهر'!O925</f>
        <v>0</v>
      </c>
      <c r="K1328" s="31">
        <f>'تقرير المصروفات حسب الشهر'!O1052</f>
        <v>0</v>
      </c>
      <c r="L1328" s="292">
        <f>IFERROR(VLOOKUP(B1328,'تقرير المصروفات حسب الشهر'!$C$1143:$AD$1254,13,FALSE),0)</f>
        <v>0</v>
      </c>
      <c r="M1328" s="292">
        <f>IFERROR(VLOOKUP(B1328,'تقرير المصروفات حسب الشهر'!$C$1270:$AD$1381,13,FALSE),0)</f>
        <v>0</v>
      </c>
      <c r="N1328" s="31" t="e">
        <f>#REF!</f>
        <v>#REF!</v>
      </c>
      <c r="O1328" s="37" t="e">
        <f t="shared" si="33"/>
        <v>#REF!</v>
      </c>
    </row>
    <row r="1329" spans="2:15" ht="17.399999999999999">
      <c r="B1329" s="42" t="s">
        <v>66</v>
      </c>
      <c r="C1329" s="39">
        <f>'تقرير المصروفات حسب الشهر'!O46</f>
        <v>0</v>
      </c>
      <c r="D1329" s="31" t="e">
        <f>#REF!</f>
        <v>#REF!</v>
      </c>
      <c r="E1329" s="31" t="e">
        <f>#REF!</f>
        <v>#REF!</v>
      </c>
      <c r="F1329" s="31" t="e">
        <f>#REF!</f>
        <v>#REF!</v>
      </c>
      <c r="G1329" s="31" t="e">
        <f>#REF!</f>
        <v>#REF!</v>
      </c>
      <c r="H1329" s="31" t="e">
        <f>#REF!</f>
        <v>#REF!</v>
      </c>
      <c r="I1329" s="31">
        <f>'تقرير المصروفات حسب الشهر'!O799</f>
        <v>0</v>
      </c>
      <c r="J1329" s="31">
        <f>'تقرير المصروفات حسب الشهر'!O926</f>
        <v>0</v>
      </c>
      <c r="K1329" s="31">
        <f>'تقرير المصروفات حسب الشهر'!O1053</f>
        <v>0</v>
      </c>
      <c r="L1329" s="292">
        <f>IFERROR(VLOOKUP(B1329,'تقرير المصروفات حسب الشهر'!$C$1143:$AD$1254,13,FALSE),0)</f>
        <v>0</v>
      </c>
      <c r="M1329" s="292">
        <f>IFERROR(VLOOKUP(B1329,'تقرير المصروفات حسب الشهر'!$C$1270:$AD$1381,13,FALSE),0)</f>
        <v>0</v>
      </c>
      <c r="N1329" s="31" t="e">
        <f>#REF!</f>
        <v>#REF!</v>
      </c>
      <c r="O1329" s="37" t="e">
        <f t="shared" si="33"/>
        <v>#REF!</v>
      </c>
    </row>
    <row r="1330" spans="2:15" ht="17.399999999999999">
      <c r="B1330" s="42" t="s">
        <v>30</v>
      </c>
      <c r="C1330" s="39">
        <f>'تقرير المصروفات حسب الشهر'!O47</f>
        <v>0</v>
      </c>
      <c r="D1330" s="31" t="e">
        <f>#REF!</f>
        <v>#REF!</v>
      </c>
      <c r="E1330" s="31" t="e">
        <f>#REF!</f>
        <v>#REF!</v>
      </c>
      <c r="F1330" s="31" t="e">
        <f>#REF!</f>
        <v>#REF!</v>
      </c>
      <c r="G1330" s="31" t="e">
        <f>#REF!</f>
        <v>#REF!</v>
      </c>
      <c r="H1330" s="31" t="e">
        <f>#REF!</f>
        <v>#REF!</v>
      </c>
      <c r="I1330" s="31">
        <f>'تقرير المصروفات حسب الشهر'!O800</f>
        <v>3999.25</v>
      </c>
      <c r="J1330" s="31">
        <f>'تقرير المصروفات حسب الشهر'!O927</f>
        <v>0</v>
      </c>
      <c r="K1330" s="31">
        <f>'تقرير المصروفات حسب الشهر'!O1054</f>
        <v>4555.25</v>
      </c>
      <c r="L1330" s="292">
        <f>IFERROR(VLOOKUP(B1330,'تقرير المصروفات حسب الشهر'!$C$1143:$AD$1254,13,FALSE),0)</f>
        <v>2666.6</v>
      </c>
      <c r="M1330" s="292">
        <f>IFERROR(VLOOKUP(B1330,'تقرير المصروفات حسب الشهر'!$C$1270:$AD$1381,13,FALSE),0)</f>
        <v>6500.5</v>
      </c>
      <c r="N1330" s="31" t="e">
        <f>#REF!</f>
        <v>#REF!</v>
      </c>
      <c r="O1330" s="37" t="e">
        <f t="shared" si="33"/>
        <v>#REF!</v>
      </c>
    </row>
    <row r="1331" spans="2:15" ht="17.399999999999999">
      <c r="B1331" s="42" t="s">
        <v>67</v>
      </c>
      <c r="C1331" s="39">
        <f>'تقرير المصروفات حسب الشهر'!O48</f>
        <v>7800</v>
      </c>
      <c r="D1331" s="31" t="e">
        <f>#REF!</f>
        <v>#REF!</v>
      </c>
      <c r="E1331" s="31" t="e">
        <f>#REF!</f>
        <v>#REF!</v>
      </c>
      <c r="F1331" s="31" t="e">
        <f>#REF!</f>
        <v>#REF!</v>
      </c>
      <c r="G1331" s="31" t="e">
        <f>#REF!</f>
        <v>#REF!</v>
      </c>
      <c r="H1331" s="31" t="e">
        <f>#REF!</f>
        <v>#REF!</v>
      </c>
      <c r="I1331" s="31">
        <f>'تقرير المصروفات حسب الشهر'!O801</f>
        <v>0</v>
      </c>
      <c r="J1331" s="31">
        <f>'تقرير المصروفات حسب الشهر'!O928</f>
        <v>8250</v>
      </c>
      <c r="K1331" s="31">
        <f>'تقرير المصروفات حسب الشهر'!O1055</f>
        <v>0</v>
      </c>
      <c r="L1331" s="292">
        <f>IFERROR(VLOOKUP(B1331,'تقرير المصروفات حسب الشهر'!$C$1143:$AD$1254,13,FALSE),0)</f>
        <v>12540</v>
      </c>
      <c r="M1331" s="292">
        <f>IFERROR(VLOOKUP(B1331,'تقرير المصروفات حسب الشهر'!$C$1270:$AD$1381,13,FALSE),0)</f>
        <v>0</v>
      </c>
      <c r="N1331" s="31" t="e">
        <f>#REF!</f>
        <v>#REF!</v>
      </c>
      <c r="O1331" s="37" t="e">
        <f t="shared" si="33"/>
        <v>#REF!</v>
      </c>
    </row>
    <row r="1332" spans="2:15" ht="17.399999999999999">
      <c r="B1332" s="42" t="s">
        <v>111</v>
      </c>
      <c r="C1332" s="39">
        <f>'تقرير المصروفات حسب الشهر'!O49</f>
        <v>200</v>
      </c>
      <c r="D1332" s="31" t="e">
        <f>#REF!</f>
        <v>#REF!</v>
      </c>
      <c r="E1332" s="31" t="e">
        <f>#REF!</f>
        <v>#REF!</v>
      </c>
      <c r="F1332" s="31" t="e">
        <f>#REF!</f>
        <v>#REF!</v>
      </c>
      <c r="G1332" s="31" t="e">
        <f>#REF!</f>
        <v>#REF!</v>
      </c>
      <c r="H1332" s="31" t="e">
        <f>#REF!</f>
        <v>#REF!</v>
      </c>
      <c r="I1332" s="31">
        <f>'تقرير المصروفات حسب الشهر'!O802</f>
        <v>900</v>
      </c>
      <c r="J1332" s="31">
        <f>'تقرير المصروفات حسب الشهر'!O929</f>
        <v>400</v>
      </c>
      <c r="K1332" s="31">
        <f>'تقرير المصروفات حسب الشهر'!O1056</f>
        <v>550</v>
      </c>
      <c r="L1332" s="292">
        <f>IFERROR(VLOOKUP(B1332,'تقرير المصروفات حسب الشهر'!$C$1143:$AD$1254,13,FALSE),0)</f>
        <v>600</v>
      </c>
      <c r="M1332" s="292">
        <f>IFERROR(VLOOKUP(B1332,'تقرير المصروفات حسب الشهر'!$C$1270:$AD$1381,13,FALSE),0)</f>
        <v>0</v>
      </c>
      <c r="N1332" s="31" t="e">
        <f>#REF!</f>
        <v>#REF!</v>
      </c>
      <c r="O1332" s="37" t="e">
        <f t="shared" si="33"/>
        <v>#REF!</v>
      </c>
    </row>
    <row r="1333" spans="2:15" ht="17.399999999999999">
      <c r="B1333" s="42" t="s">
        <v>68</v>
      </c>
      <c r="C1333" s="39">
        <f>'تقرير المصروفات حسب الشهر'!O50</f>
        <v>0</v>
      </c>
      <c r="D1333" s="31" t="e">
        <f>#REF!</f>
        <v>#REF!</v>
      </c>
      <c r="E1333" s="31" t="e">
        <f>#REF!</f>
        <v>#REF!</v>
      </c>
      <c r="F1333" s="31" t="e">
        <f>#REF!</f>
        <v>#REF!</v>
      </c>
      <c r="G1333" s="31" t="e">
        <f>#REF!</f>
        <v>#REF!</v>
      </c>
      <c r="H1333" s="31" t="e">
        <f>#REF!</f>
        <v>#REF!</v>
      </c>
      <c r="I1333" s="31">
        <f>'تقرير المصروفات حسب الشهر'!O803</f>
        <v>0</v>
      </c>
      <c r="J1333" s="31">
        <f>'تقرير المصروفات حسب الشهر'!O930</f>
        <v>0</v>
      </c>
      <c r="K1333" s="31">
        <f>'تقرير المصروفات حسب الشهر'!O1057</f>
        <v>3608</v>
      </c>
      <c r="L1333" s="292">
        <f>IFERROR(VLOOKUP(B1333,'تقرير المصروفات حسب الشهر'!$C$1143:$AD$1254,13,FALSE),0)</f>
        <v>0</v>
      </c>
      <c r="M1333" s="292">
        <f>IFERROR(VLOOKUP(B1333,'تقرير المصروفات حسب الشهر'!$C$1270:$AD$1381,13,FALSE),0)</f>
        <v>0</v>
      </c>
      <c r="N1333" s="31" t="e">
        <f>#REF!</f>
        <v>#REF!</v>
      </c>
      <c r="O1333" s="37" t="e">
        <f t="shared" si="33"/>
        <v>#REF!</v>
      </c>
    </row>
    <row r="1334" spans="2:15" ht="17.399999999999999">
      <c r="B1334" s="42" t="s">
        <v>69</v>
      </c>
      <c r="C1334" s="39">
        <f>'تقرير المصروفات حسب الشهر'!O51</f>
        <v>2400</v>
      </c>
      <c r="D1334" s="31" t="e">
        <f>#REF!</f>
        <v>#REF!</v>
      </c>
      <c r="E1334" s="31" t="e">
        <f>#REF!</f>
        <v>#REF!</v>
      </c>
      <c r="F1334" s="31" t="e">
        <f>#REF!</f>
        <v>#REF!</v>
      </c>
      <c r="G1334" s="31" t="e">
        <f>#REF!</f>
        <v>#REF!</v>
      </c>
      <c r="H1334" s="31" t="e">
        <f>#REF!</f>
        <v>#REF!</v>
      </c>
      <c r="I1334" s="31">
        <f>'تقرير المصروفات حسب الشهر'!O804</f>
        <v>0</v>
      </c>
      <c r="J1334" s="31">
        <f>'تقرير المصروفات حسب الشهر'!O931</f>
        <v>0</v>
      </c>
      <c r="K1334" s="31">
        <f>'تقرير المصروفات حسب الشهر'!O1058</f>
        <v>0</v>
      </c>
      <c r="L1334" s="292">
        <f>IFERROR(VLOOKUP(B1334,'تقرير المصروفات حسب الشهر'!$C$1143:$AD$1254,13,FALSE),0)</f>
        <v>0</v>
      </c>
      <c r="M1334" s="292">
        <f>IFERROR(VLOOKUP(B1334,'تقرير المصروفات حسب الشهر'!$C$1270:$AD$1381,13,FALSE),0)</f>
        <v>0</v>
      </c>
      <c r="N1334" s="31" t="e">
        <f>#REF!</f>
        <v>#REF!</v>
      </c>
      <c r="O1334" s="37" t="e">
        <f t="shared" si="33"/>
        <v>#REF!</v>
      </c>
    </row>
    <row r="1335" spans="2:15" ht="17.399999999999999">
      <c r="B1335" s="42" t="s">
        <v>70</v>
      </c>
      <c r="C1335" s="39">
        <f>'تقرير المصروفات حسب الشهر'!O52</f>
        <v>0</v>
      </c>
      <c r="D1335" s="31" t="e">
        <f>#REF!</f>
        <v>#REF!</v>
      </c>
      <c r="E1335" s="31" t="e">
        <f>#REF!</f>
        <v>#REF!</v>
      </c>
      <c r="F1335" s="31" t="e">
        <f>#REF!</f>
        <v>#REF!</v>
      </c>
      <c r="G1335" s="31" t="e">
        <f>#REF!</f>
        <v>#REF!</v>
      </c>
      <c r="H1335" s="31" t="e">
        <f>#REF!</f>
        <v>#REF!</v>
      </c>
      <c r="I1335" s="31">
        <f>'تقرير المصروفات حسب الشهر'!O805</f>
        <v>0</v>
      </c>
      <c r="J1335" s="31">
        <f>'تقرير المصروفات حسب الشهر'!O932</f>
        <v>0</v>
      </c>
      <c r="K1335" s="31">
        <f>'تقرير المصروفات حسب الشهر'!O1059</f>
        <v>0</v>
      </c>
      <c r="L1335" s="292">
        <f>IFERROR(VLOOKUP(B1335,'تقرير المصروفات حسب الشهر'!$C$1143:$AD$1254,13,FALSE),0)</f>
        <v>0</v>
      </c>
      <c r="M1335" s="292">
        <f>IFERROR(VLOOKUP(B1335,'تقرير المصروفات حسب الشهر'!$C$1270:$AD$1381,13,FALSE),0)</f>
        <v>1270</v>
      </c>
      <c r="N1335" s="31" t="e">
        <f>#REF!</f>
        <v>#REF!</v>
      </c>
      <c r="O1335" s="37" t="e">
        <f t="shared" si="33"/>
        <v>#REF!</v>
      </c>
    </row>
    <row r="1336" spans="2:15" ht="17.399999999999999">
      <c r="B1336" s="42" t="s">
        <v>71</v>
      </c>
      <c r="C1336" s="39">
        <f>'تقرير المصروفات حسب الشهر'!O53</f>
        <v>0</v>
      </c>
      <c r="D1336" s="31" t="e">
        <f>#REF!</f>
        <v>#REF!</v>
      </c>
      <c r="E1336" s="31" t="e">
        <f>#REF!</f>
        <v>#REF!</v>
      </c>
      <c r="F1336" s="31" t="e">
        <f>#REF!</f>
        <v>#REF!</v>
      </c>
      <c r="G1336" s="31" t="e">
        <f>#REF!</f>
        <v>#REF!</v>
      </c>
      <c r="H1336" s="31" t="e">
        <f>#REF!</f>
        <v>#REF!</v>
      </c>
      <c r="I1336" s="31">
        <f>'تقرير المصروفات حسب الشهر'!O806</f>
        <v>0</v>
      </c>
      <c r="J1336" s="31">
        <f>'تقرير المصروفات حسب الشهر'!O933</f>
        <v>0</v>
      </c>
      <c r="K1336" s="31">
        <f>'تقرير المصروفات حسب الشهر'!O1060</f>
        <v>0</v>
      </c>
      <c r="L1336" s="292">
        <f>IFERROR(VLOOKUP(B1336,'تقرير المصروفات حسب الشهر'!$C$1143:$AD$1254,13,FALSE),0)</f>
        <v>0</v>
      </c>
      <c r="M1336" s="292">
        <f>IFERROR(VLOOKUP(B1336,'تقرير المصروفات حسب الشهر'!$C$1270:$AD$1381,13,FALSE),0)</f>
        <v>0</v>
      </c>
      <c r="N1336" s="31" t="e">
        <f>#REF!</f>
        <v>#REF!</v>
      </c>
      <c r="O1336" s="37" t="e">
        <f t="shared" si="33"/>
        <v>#REF!</v>
      </c>
    </row>
    <row r="1337" spans="2:15" ht="17.399999999999999">
      <c r="B1337" s="42" t="s">
        <v>159</v>
      </c>
      <c r="C1337" s="39">
        <f>'تقرير المصروفات حسب الشهر'!O54</f>
        <v>0</v>
      </c>
      <c r="D1337" s="31" t="e">
        <f>#REF!</f>
        <v>#REF!</v>
      </c>
      <c r="E1337" s="31" t="e">
        <f>#REF!</f>
        <v>#REF!</v>
      </c>
      <c r="F1337" s="31" t="e">
        <f>#REF!</f>
        <v>#REF!</v>
      </c>
      <c r="G1337" s="31" t="e">
        <f>#REF!</f>
        <v>#REF!</v>
      </c>
      <c r="H1337" s="31" t="e">
        <f>#REF!</f>
        <v>#REF!</v>
      </c>
      <c r="I1337" s="31">
        <f>'تقرير المصروفات حسب الشهر'!O807</f>
        <v>0</v>
      </c>
      <c r="J1337" s="31">
        <f>'تقرير المصروفات حسب الشهر'!O934</f>
        <v>0</v>
      </c>
      <c r="K1337" s="31">
        <f>'تقرير المصروفات حسب الشهر'!O1061</f>
        <v>0</v>
      </c>
      <c r="L1337" s="292">
        <f>IFERROR(VLOOKUP(B1337,'تقرير المصروفات حسب الشهر'!$C$1143:$AD$1254,13,FALSE),0)</f>
        <v>0</v>
      </c>
      <c r="M1337" s="292">
        <f>IFERROR(VLOOKUP(B1337,'تقرير المصروفات حسب الشهر'!$C$1270:$AD$1381,13,FALSE),0)</f>
        <v>0</v>
      </c>
      <c r="N1337" s="31" t="e">
        <f>#REF!</f>
        <v>#REF!</v>
      </c>
      <c r="O1337" s="37" t="e">
        <f t="shared" si="33"/>
        <v>#REF!</v>
      </c>
    </row>
    <row r="1338" spans="2:15" ht="17.399999999999999">
      <c r="B1338" s="42" t="s">
        <v>72</v>
      </c>
      <c r="C1338" s="39">
        <f>'تقرير المصروفات حسب الشهر'!O55</f>
        <v>0</v>
      </c>
      <c r="D1338" s="31" t="e">
        <f>#REF!</f>
        <v>#REF!</v>
      </c>
      <c r="E1338" s="31" t="e">
        <f>#REF!</f>
        <v>#REF!</v>
      </c>
      <c r="F1338" s="31" t="e">
        <f>#REF!</f>
        <v>#REF!</v>
      </c>
      <c r="G1338" s="31" t="e">
        <f>#REF!</f>
        <v>#REF!</v>
      </c>
      <c r="H1338" s="31" t="e">
        <f>#REF!</f>
        <v>#REF!</v>
      </c>
      <c r="I1338" s="31">
        <f>'تقرير المصروفات حسب الشهر'!O808</f>
        <v>0</v>
      </c>
      <c r="J1338" s="31">
        <f>'تقرير المصروفات حسب الشهر'!O935</f>
        <v>0</v>
      </c>
      <c r="K1338" s="31">
        <f>'تقرير المصروفات حسب الشهر'!O1062</f>
        <v>0</v>
      </c>
      <c r="L1338" s="292">
        <f>IFERROR(VLOOKUP(B1338,'تقرير المصروفات حسب الشهر'!$C$1143:$AD$1254,13,FALSE),0)</f>
        <v>0</v>
      </c>
      <c r="M1338" s="292">
        <f>IFERROR(VLOOKUP(B1338,'تقرير المصروفات حسب الشهر'!$C$1270:$AD$1381,13,FALSE),0)</f>
        <v>0</v>
      </c>
      <c r="N1338" s="31" t="e">
        <f>#REF!</f>
        <v>#REF!</v>
      </c>
      <c r="O1338" s="37" t="e">
        <f t="shared" si="33"/>
        <v>#REF!</v>
      </c>
    </row>
    <row r="1339" spans="2:15" ht="17.399999999999999">
      <c r="B1339" s="42" t="s">
        <v>73</v>
      </c>
      <c r="C1339" s="39">
        <f>'تقرير المصروفات حسب الشهر'!O56</f>
        <v>0</v>
      </c>
      <c r="D1339" s="31" t="e">
        <f>#REF!</f>
        <v>#REF!</v>
      </c>
      <c r="E1339" s="31" t="e">
        <f>#REF!</f>
        <v>#REF!</v>
      </c>
      <c r="F1339" s="31" t="e">
        <f>#REF!</f>
        <v>#REF!</v>
      </c>
      <c r="G1339" s="31" t="e">
        <f>#REF!</f>
        <v>#REF!</v>
      </c>
      <c r="H1339" s="31" t="e">
        <f>#REF!</f>
        <v>#REF!</v>
      </c>
      <c r="I1339" s="31">
        <f>'تقرير المصروفات حسب الشهر'!O809</f>
        <v>0</v>
      </c>
      <c r="J1339" s="31">
        <f>'تقرير المصروفات حسب الشهر'!O936</f>
        <v>0</v>
      </c>
      <c r="K1339" s="31">
        <f>'تقرير المصروفات حسب الشهر'!O1063</f>
        <v>0</v>
      </c>
      <c r="L1339" s="292">
        <f>IFERROR(VLOOKUP(B1339,'تقرير المصروفات حسب الشهر'!$C$1143:$AD$1254,13,FALSE),0)</f>
        <v>0</v>
      </c>
      <c r="M1339" s="292">
        <f>IFERROR(VLOOKUP(B1339,'تقرير المصروفات حسب الشهر'!$C$1270:$AD$1381,13,FALSE),0)</f>
        <v>0</v>
      </c>
      <c r="N1339" s="31" t="e">
        <f>#REF!</f>
        <v>#REF!</v>
      </c>
      <c r="O1339" s="37" t="e">
        <f t="shared" si="33"/>
        <v>#REF!</v>
      </c>
    </row>
    <row r="1340" spans="2:15" ht="17.399999999999999">
      <c r="B1340" s="42" t="s">
        <v>74</v>
      </c>
      <c r="C1340" s="39">
        <f>'تقرير المصروفات حسب الشهر'!O57</f>
        <v>0</v>
      </c>
      <c r="D1340" s="31" t="e">
        <f>#REF!</f>
        <v>#REF!</v>
      </c>
      <c r="E1340" s="31" t="e">
        <f>#REF!</f>
        <v>#REF!</v>
      </c>
      <c r="F1340" s="31" t="e">
        <f>#REF!</f>
        <v>#REF!</v>
      </c>
      <c r="G1340" s="31" t="e">
        <f>#REF!</f>
        <v>#REF!</v>
      </c>
      <c r="H1340" s="31" t="e">
        <f>#REF!</f>
        <v>#REF!</v>
      </c>
      <c r="I1340" s="31">
        <f>'تقرير المصروفات حسب الشهر'!O810</f>
        <v>0</v>
      </c>
      <c r="J1340" s="31">
        <f>'تقرير المصروفات حسب الشهر'!O937</f>
        <v>0</v>
      </c>
      <c r="K1340" s="31">
        <f>'تقرير المصروفات حسب الشهر'!O1064</f>
        <v>0</v>
      </c>
      <c r="L1340" s="292">
        <f>IFERROR(VLOOKUP(B1340,'تقرير المصروفات حسب الشهر'!$C$1143:$AD$1254,13,FALSE),0)</f>
        <v>0</v>
      </c>
      <c r="M1340" s="292">
        <f>IFERROR(VLOOKUP(B1340,'تقرير المصروفات حسب الشهر'!$C$1270:$AD$1381,13,FALSE),0)</f>
        <v>0</v>
      </c>
      <c r="N1340" s="31" t="e">
        <f>#REF!</f>
        <v>#REF!</v>
      </c>
      <c r="O1340" s="37" t="e">
        <f t="shared" si="33"/>
        <v>#REF!</v>
      </c>
    </row>
    <row r="1341" spans="2:15" ht="17.399999999999999">
      <c r="B1341" s="42" t="s">
        <v>246</v>
      </c>
      <c r="C1341" s="39">
        <f>'تقرير المصروفات حسب الشهر'!O58</f>
        <v>0</v>
      </c>
      <c r="D1341" s="31" t="e">
        <f>#REF!</f>
        <v>#REF!</v>
      </c>
      <c r="E1341" s="31" t="e">
        <f>#REF!</f>
        <v>#REF!</v>
      </c>
      <c r="F1341" s="31" t="e">
        <f>#REF!</f>
        <v>#REF!</v>
      </c>
      <c r="G1341" s="31" t="e">
        <f>#REF!</f>
        <v>#REF!</v>
      </c>
      <c r="H1341" s="31" t="e">
        <f>#REF!</f>
        <v>#REF!</v>
      </c>
      <c r="I1341" s="31">
        <f>'تقرير المصروفات حسب الشهر'!O811</f>
        <v>0</v>
      </c>
      <c r="J1341" s="31">
        <f>'تقرير المصروفات حسب الشهر'!O938</f>
        <v>0</v>
      </c>
      <c r="K1341" s="31">
        <f>'تقرير المصروفات حسب الشهر'!O1065</f>
        <v>0</v>
      </c>
      <c r="L1341" s="292">
        <f>IFERROR(VLOOKUP(B1341,'تقرير المصروفات حسب الشهر'!$C$1143:$AD$1254,13,FALSE),0)</f>
        <v>0</v>
      </c>
      <c r="M1341" s="292">
        <f>IFERROR(VLOOKUP(B1341,'تقرير المصروفات حسب الشهر'!$C$1270:$AD$1381,13,FALSE),0)</f>
        <v>0</v>
      </c>
      <c r="N1341" s="31" t="e">
        <f>#REF!</f>
        <v>#REF!</v>
      </c>
      <c r="O1341" s="37" t="e">
        <f t="shared" si="33"/>
        <v>#REF!</v>
      </c>
    </row>
    <row r="1342" spans="2:15" ht="17.399999999999999">
      <c r="B1342" s="42" t="s">
        <v>75</v>
      </c>
      <c r="C1342" s="39">
        <f>'تقرير المصروفات حسب الشهر'!O59</f>
        <v>0</v>
      </c>
      <c r="D1342" s="31" t="e">
        <f>#REF!</f>
        <v>#REF!</v>
      </c>
      <c r="E1342" s="31" t="e">
        <f>#REF!</f>
        <v>#REF!</v>
      </c>
      <c r="F1342" s="31" t="e">
        <f>#REF!</f>
        <v>#REF!</v>
      </c>
      <c r="G1342" s="31" t="e">
        <f>#REF!</f>
        <v>#REF!</v>
      </c>
      <c r="H1342" s="31" t="e">
        <f>#REF!</f>
        <v>#REF!</v>
      </c>
      <c r="I1342" s="31">
        <f>'تقرير المصروفات حسب الشهر'!O812</f>
        <v>0</v>
      </c>
      <c r="J1342" s="31">
        <f>'تقرير المصروفات حسب الشهر'!O939</f>
        <v>0</v>
      </c>
      <c r="K1342" s="31">
        <f>'تقرير المصروفات حسب الشهر'!O1066</f>
        <v>0</v>
      </c>
      <c r="L1342" s="292">
        <f>IFERROR(VLOOKUP(B1342,'تقرير المصروفات حسب الشهر'!$C$1143:$AD$1254,13,FALSE),0)</f>
        <v>0</v>
      </c>
      <c r="M1342" s="292">
        <f>IFERROR(VLOOKUP(B1342,'تقرير المصروفات حسب الشهر'!$C$1270:$AD$1381,13,FALSE),0)</f>
        <v>0</v>
      </c>
      <c r="N1342" s="31" t="e">
        <f>#REF!</f>
        <v>#REF!</v>
      </c>
      <c r="O1342" s="37" t="e">
        <f t="shared" si="33"/>
        <v>#REF!</v>
      </c>
    </row>
    <row r="1343" spans="2:15" ht="17.399999999999999">
      <c r="B1343" s="42" t="s">
        <v>76</v>
      </c>
      <c r="C1343" s="39">
        <f>'تقرير المصروفات حسب الشهر'!O60</f>
        <v>0</v>
      </c>
      <c r="D1343" s="31" t="e">
        <f>#REF!</f>
        <v>#REF!</v>
      </c>
      <c r="E1343" s="31" t="e">
        <f>#REF!</f>
        <v>#REF!</v>
      </c>
      <c r="F1343" s="31" t="e">
        <f>#REF!</f>
        <v>#REF!</v>
      </c>
      <c r="G1343" s="31" t="e">
        <f>#REF!</f>
        <v>#REF!</v>
      </c>
      <c r="H1343" s="31" t="e">
        <f>#REF!</f>
        <v>#REF!</v>
      </c>
      <c r="I1343" s="31">
        <f>'تقرير المصروفات حسب الشهر'!O813</f>
        <v>0</v>
      </c>
      <c r="J1343" s="31">
        <f>'تقرير المصروفات حسب الشهر'!O940</f>
        <v>0</v>
      </c>
      <c r="K1343" s="31">
        <f>'تقرير المصروفات حسب الشهر'!O1067</f>
        <v>0</v>
      </c>
      <c r="L1343" s="292">
        <f>IFERROR(VLOOKUP(B1343,'تقرير المصروفات حسب الشهر'!$C$1143:$AD$1254,13,FALSE),0)</f>
        <v>0</v>
      </c>
      <c r="M1343" s="292">
        <f>IFERROR(VLOOKUP(B1343,'تقرير المصروفات حسب الشهر'!$C$1270:$AD$1381,13,FALSE),0)</f>
        <v>0</v>
      </c>
      <c r="N1343" s="31" t="e">
        <f>#REF!</f>
        <v>#REF!</v>
      </c>
      <c r="O1343" s="37" t="e">
        <f t="shared" si="33"/>
        <v>#REF!</v>
      </c>
    </row>
    <row r="1344" spans="2:15" ht="17.399999999999999">
      <c r="B1344" s="42" t="s">
        <v>77</v>
      </c>
      <c r="C1344" s="39">
        <f>'تقرير المصروفات حسب الشهر'!O61</f>
        <v>0</v>
      </c>
      <c r="D1344" s="31" t="e">
        <f>#REF!</f>
        <v>#REF!</v>
      </c>
      <c r="E1344" s="31" t="e">
        <f>#REF!</f>
        <v>#REF!</v>
      </c>
      <c r="F1344" s="31" t="e">
        <f>#REF!</f>
        <v>#REF!</v>
      </c>
      <c r="G1344" s="31" t="e">
        <f>#REF!</f>
        <v>#REF!</v>
      </c>
      <c r="H1344" s="31" t="e">
        <f>#REF!</f>
        <v>#REF!</v>
      </c>
      <c r="I1344" s="31">
        <f>'تقرير المصروفات حسب الشهر'!O814</f>
        <v>0</v>
      </c>
      <c r="J1344" s="31">
        <f>'تقرير المصروفات حسب الشهر'!O941</f>
        <v>0</v>
      </c>
      <c r="K1344" s="31">
        <f>'تقرير المصروفات حسب الشهر'!O1068</f>
        <v>0</v>
      </c>
      <c r="L1344" s="292">
        <f>IFERROR(VLOOKUP(B1344,'تقرير المصروفات حسب الشهر'!$C$1143:$AD$1254,13,FALSE),0)</f>
        <v>0</v>
      </c>
      <c r="M1344" s="292">
        <f>IFERROR(VLOOKUP(B1344,'تقرير المصروفات حسب الشهر'!$C$1270:$AD$1381,13,FALSE),0)</f>
        <v>0</v>
      </c>
      <c r="N1344" s="31" t="e">
        <f>#REF!</f>
        <v>#REF!</v>
      </c>
      <c r="O1344" s="37" t="e">
        <f t="shared" si="33"/>
        <v>#REF!</v>
      </c>
    </row>
    <row r="1345" spans="2:15" ht="17.399999999999999">
      <c r="B1345" s="42" t="s">
        <v>78</v>
      </c>
      <c r="C1345" s="39">
        <f>'تقرير المصروفات حسب الشهر'!O62</f>
        <v>0</v>
      </c>
      <c r="D1345" s="31" t="e">
        <f>#REF!</f>
        <v>#REF!</v>
      </c>
      <c r="E1345" s="31" t="e">
        <f>#REF!</f>
        <v>#REF!</v>
      </c>
      <c r="F1345" s="31" t="e">
        <f>#REF!</f>
        <v>#REF!</v>
      </c>
      <c r="G1345" s="31" t="e">
        <f>#REF!</f>
        <v>#REF!</v>
      </c>
      <c r="H1345" s="31" t="e">
        <f>#REF!</f>
        <v>#REF!</v>
      </c>
      <c r="I1345" s="31">
        <f>'تقرير المصروفات حسب الشهر'!O815</f>
        <v>0</v>
      </c>
      <c r="J1345" s="31">
        <f>'تقرير المصروفات حسب الشهر'!O942</f>
        <v>0</v>
      </c>
      <c r="K1345" s="31">
        <f>'تقرير المصروفات حسب الشهر'!O1069</f>
        <v>0</v>
      </c>
      <c r="L1345" s="292">
        <f>IFERROR(VLOOKUP(B1345,'تقرير المصروفات حسب الشهر'!$C$1143:$AD$1254,13,FALSE),0)</f>
        <v>0</v>
      </c>
      <c r="M1345" s="292">
        <f>IFERROR(VLOOKUP(B1345,'تقرير المصروفات حسب الشهر'!$C$1270:$AD$1381,13,FALSE),0)</f>
        <v>0</v>
      </c>
      <c r="N1345" s="31" t="e">
        <f>#REF!</f>
        <v>#REF!</v>
      </c>
      <c r="O1345" s="37" t="e">
        <f t="shared" si="33"/>
        <v>#REF!</v>
      </c>
    </row>
    <row r="1346" spans="2:15" ht="17.399999999999999">
      <c r="B1346" s="42" t="s">
        <v>79</v>
      </c>
      <c r="C1346" s="39">
        <f>'تقرير المصروفات حسب الشهر'!O63</f>
        <v>0</v>
      </c>
      <c r="D1346" s="31" t="e">
        <f>#REF!</f>
        <v>#REF!</v>
      </c>
      <c r="E1346" s="31" t="e">
        <f>#REF!</f>
        <v>#REF!</v>
      </c>
      <c r="F1346" s="31" t="e">
        <f>#REF!</f>
        <v>#REF!</v>
      </c>
      <c r="G1346" s="31" t="e">
        <f>#REF!</f>
        <v>#REF!</v>
      </c>
      <c r="H1346" s="31" t="e">
        <f>#REF!</f>
        <v>#REF!</v>
      </c>
      <c r="I1346" s="31">
        <f>'تقرير المصروفات حسب الشهر'!O816</f>
        <v>0</v>
      </c>
      <c r="J1346" s="31">
        <f>'تقرير المصروفات حسب الشهر'!O943</f>
        <v>0</v>
      </c>
      <c r="K1346" s="31">
        <f>'تقرير المصروفات حسب الشهر'!O1070</f>
        <v>0</v>
      </c>
      <c r="L1346" s="292">
        <f>IFERROR(VLOOKUP(B1346,'تقرير المصروفات حسب الشهر'!$C$1143:$AD$1254,13,FALSE),0)</f>
        <v>0</v>
      </c>
      <c r="M1346" s="292">
        <f>IFERROR(VLOOKUP(B1346,'تقرير المصروفات حسب الشهر'!$C$1270:$AD$1381,13,FALSE),0)</f>
        <v>0</v>
      </c>
      <c r="N1346" s="31" t="e">
        <f>#REF!</f>
        <v>#REF!</v>
      </c>
      <c r="O1346" s="37" t="e">
        <f t="shared" si="33"/>
        <v>#REF!</v>
      </c>
    </row>
    <row r="1347" spans="2:15" ht="17.399999999999999">
      <c r="B1347" s="42" t="s">
        <v>80</v>
      </c>
      <c r="C1347" s="39">
        <f>'تقرير المصروفات حسب الشهر'!O64</f>
        <v>0</v>
      </c>
      <c r="D1347" s="31" t="e">
        <f>#REF!</f>
        <v>#REF!</v>
      </c>
      <c r="E1347" s="31" t="e">
        <f>#REF!</f>
        <v>#REF!</v>
      </c>
      <c r="F1347" s="31" t="e">
        <f>#REF!</f>
        <v>#REF!</v>
      </c>
      <c r="G1347" s="31" t="e">
        <f>#REF!</f>
        <v>#REF!</v>
      </c>
      <c r="H1347" s="31" t="e">
        <f>#REF!</f>
        <v>#REF!</v>
      </c>
      <c r="I1347" s="31">
        <f>'تقرير المصروفات حسب الشهر'!O817</f>
        <v>0</v>
      </c>
      <c r="J1347" s="31">
        <f>'تقرير المصروفات حسب الشهر'!O944</f>
        <v>0</v>
      </c>
      <c r="K1347" s="31">
        <f>'تقرير المصروفات حسب الشهر'!O1071</f>
        <v>0</v>
      </c>
      <c r="L1347" s="292">
        <f>IFERROR(VLOOKUP(B1347,'تقرير المصروفات حسب الشهر'!$C$1143:$AD$1254,13,FALSE),0)</f>
        <v>0</v>
      </c>
      <c r="M1347" s="292">
        <f>IFERROR(VLOOKUP(B1347,'تقرير المصروفات حسب الشهر'!$C$1270:$AD$1381,13,FALSE),0)</f>
        <v>0</v>
      </c>
      <c r="N1347" s="31" t="e">
        <f>#REF!</f>
        <v>#REF!</v>
      </c>
      <c r="O1347" s="37" t="e">
        <f t="shared" si="33"/>
        <v>#REF!</v>
      </c>
    </row>
    <row r="1348" spans="2:15" ht="17.399999999999999">
      <c r="B1348" s="42" t="s">
        <v>81</v>
      </c>
      <c r="C1348" s="39">
        <f>'تقرير المصروفات حسب الشهر'!O65</f>
        <v>0</v>
      </c>
      <c r="D1348" s="31" t="e">
        <f>#REF!</f>
        <v>#REF!</v>
      </c>
      <c r="E1348" s="31" t="e">
        <f>#REF!</f>
        <v>#REF!</v>
      </c>
      <c r="F1348" s="31" t="e">
        <f>#REF!</f>
        <v>#REF!</v>
      </c>
      <c r="G1348" s="31" t="e">
        <f>#REF!</f>
        <v>#REF!</v>
      </c>
      <c r="H1348" s="31" t="e">
        <f>#REF!</f>
        <v>#REF!</v>
      </c>
      <c r="I1348" s="31">
        <f>'تقرير المصروفات حسب الشهر'!O818</f>
        <v>0</v>
      </c>
      <c r="J1348" s="31">
        <f>'تقرير المصروفات حسب الشهر'!O945</f>
        <v>0</v>
      </c>
      <c r="K1348" s="31">
        <f>'تقرير المصروفات حسب الشهر'!O1072</f>
        <v>0</v>
      </c>
      <c r="L1348" s="292">
        <f>IFERROR(VLOOKUP(B1348,'تقرير المصروفات حسب الشهر'!$C$1143:$AD$1254,13,FALSE),0)</f>
        <v>0</v>
      </c>
      <c r="M1348" s="292">
        <f>IFERROR(VLOOKUP(B1348,'تقرير المصروفات حسب الشهر'!$C$1270:$AD$1381,13,FALSE),0)</f>
        <v>0</v>
      </c>
      <c r="N1348" s="31" t="e">
        <f>#REF!</f>
        <v>#REF!</v>
      </c>
      <c r="O1348" s="37" t="e">
        <f t="shared" si="33"/>
        <v>#REF!</v>
      </c>
    </row>
    <row r="1349" spans="2:15" ht="17.399999999999999">
      <c r="B1349" s="42" t="s">
        <v>82</v>
      </c>
      <c r="C1349" s="39">
        <f>'تقرير المصروفات حسب الشهر'!O66</f>
        <v>0</v>
      </c>
      <c r="D1349" s="31" t="e">
        <f>#REF!</f>
        <v>#REF!</v>
      </c>
      <c r="E1349" s="31" t="e">
        <f>#REF!</f>
        <v>#REF!</v>
      </c>
      <c r="F1349" s="31" t="e">
        <f>#REF!</f>
        <v>#REF!</v>
      </c>
      <c r="G1349" s="31" t="e">
        <f>#REF!</f>
        <v>#REF!</v>
      </c>
      <c r="H1349" s="31" t="e">
        <f>#REF!</f>
        <v>#REF!</v>
      </c>
      <c r="I1349" s="31">
        <f>'تقرير المصروفات حسب الشهر'!O819</f>
        <v>0</v>
      </c>
      <c r="J1349" s="31">
        <f>'تقرير المصروفات حسب الشهر'!O946</f>
        <v>0</v>
      </c>
      <c r="K1349" s="31">
        <f>'تقرير المصروفات حسب الشهر'!O1073</f>
        <v>0</v>
      </c>
      <c r="L1349" s="292">
        <f>IFERROR(VLOOKUP(B1349,'تقرير المصروفات حسب الشهر'!$C$1143:$AD$1254,13,FALSE),0)</f>
        <v>0</v>
      </c>
      <c r="M1349" s="292">
        <f>IFERROR(VLOOKUP(B1349,'تقرير المصروفات حسب الشهر'!$C$1270:$AD$1381,13,FALSE),0)</f>
        <v>0</v>
      </c>
      <c r="N1349" s="31" t="e">
        <f>#REF!</f>
        <v>#REF!</v>
      </c>
      <c r="O1349" s="37" t="e">
        <f t="shared" si="33"/>
        <v>#REF!</v>
      </c>
    </row>
    <row r="1350" spans="2:15" ht="17.399999999999999">
      <c r="B1350" s="42" t="s">
        <v>83</v>
      </c>
      <c r="C1350" s="39">
        <f>'تقرير المصروفات حسب الشهر'!O67</f>
        <v>0</v>
      </c>
      <c r="D1350" s="31" t="e">
        <f>#REF!</f>
        <v>#REF!</v>
      </c>
      <c r="E1350" s="31" t="e">
        <f>#REF!</f>
        <v>#REF!</v>
      </c>
      <c r="F1350" s="31" t="e">
        <f>#REF!</f>
        <v>#REF!</v>
      </c>
      <c r="G1350" s="31" t="e">
        <f>#REF!</f>
        <v>#REF!</v>
      </c>
      <c r="H1350" s="31" t="e">
        <f>#REF!</f>
        <v>#REF!</v>
      </c>
      <c r="I1350" s="31">
        <f>'تقرير المصروفات حسب الشهر'!O820</f>
        <v>0</v>
      </c>
      <c r="J1350" s="31">
        <f>'تقرير المصروفات حسب الشهر'!O947</f>
        <v>0</v>
      </c>
      <c r="K1350" s="31">
        <f>'تقرير المصروفات حسب الشهر'!O1074</f>
        <v>0</v>
      </c>
      <c r="L1350" s="292">
        <f>IFERROR(VLOOKUP(B1350,'تقرير المصروفات حسب الشهر'!$C$1143:$AD$1254,13,FALSE),0)</f>
        <v>0</v>
      </c>
      <c r="M1350" s="292">
        <f>IFERROR(VLOOKUP(B1350,'تقرير المصروفات حسب الشهر'!$C$1270:$AD$1381,13,FALSE),0)</f>
        <v>0</v>
      </c>
      <c r="N1350" s="31" t="e">
        <f>#REF!</f>
        <v>#REF!</v>
      </c>
      <c r="O1350" s="37" t="e">
        <f t="shared" si="33"/>
        <v>#REF!</v>
      </c>
    </row>
    <row r="1351" spans="2:15" ht="17.399999999999999">
      <c r="B1351" s="42" t="s">
        <v>84</v>
      </c>
      <c r="C1351" s="39">
        <f>'تقرير المصروفات حسب الشهر'!O68</f>
        <v>0</v>
      </c>
      <c r="D1351" s="31" t="e">
        <f>#REF!</f>
        <v>#REF!</v>
      </c>
      <c r="E1351" s="31" t="e">
        <f>#REF!</f>
        <v>#REF!</v>
      </c>
      <c r="F1351" s="31" t="e">
        <f>#REF!</f>
        <v>#REF!</v>
      </c>
      <c r="G1351" s="31" t="e">
        <f>#REF!</f>
        <v>#REF!</v>
      </c>
      <c r="H1351" s="31" t="e">
        <f>#REF!</f>
        <v>#REF!</v>
      </c>
      <c r="I1351" s="31">
        <f>'تقرير المصروفات حسب الشهر'!O821</f>
        <v>0</v>
      </c>
      <c r="J1351" s="31">
        <f>'تقرير المصروفات حسب الشهر'!O948</f>
        <v>300</v>
      </c>
      <c r="K1351" s="31">
        <f>'تقرير المصروفات حسب الشهر'!O1075</f>
        <v>200</v>
      </c>
      <c r="L1351" s="292">
        <f>IFERROR(VLOOKUP(B1351,'تقرير المصروفات حسب الشهر'!$C$1143:$AD$1254,13,FALSE),0)</f>
        <v>0</v>
      </c>
      <c r="M1351" s="292">
        <f>IFERROR(VLOOKUP(B1351,'تقرير المصروفات حسب الشهر'!$C$1270:$AD$1381,13,FALSE),0)</f>
        <v>0</v>
      </c>
      <c r="N1351" s="31" t="e">
        <f>#REF!</f>
        <v>#REF!</v>
      </c>
      <c r="O1351" s="37" t="e">
        <f t="shared" si="33"/>
        <v>#REF!</v>
      </c>
    </row>
    <row r="1352" spans="2:15" ht="17.399999999999999">
      <c r="B1352" s="42" t="s">
        <v>85</v>
      </c>
      <c r="C1352" s="39">
        <f>'تقرير المصروفات حسب الشهر'!O69</f>
        <v>316</v>
      </c>
      <c r="D1352" s="31" t="e">
        <f>#REF!</f>
        <v>#REF!</v>
      </c>
      <c r="E1352" s="31" t="e">
        <f>#REF!</f>
        <v>#REF!</v>
      </c>
      <c r="F1352" s="31" t="e">
        <f>#REF!</f>
        <v>#REF!</v>
      </c>
      <c r="G1352" s="31" t="e">
        <f>#REF!</f>
        <v>#REF!</v>
      </c>
      <c r="H1352" s="31" t="e">
        <f>#REF!</f>
        <v>#REF!</v>
      </c>
      <c r="I1352" s="31">
        <f>'تقرير المصروفات حسب الشهر'!O822</f>
        <v>0</v>
      </c>
      <c r="J1352" s="31">
        <f>'تقرير المصروفات حسب الشهر'!O949</f>
        <v>0</v>
      </c>
      <c r="K1352" s="31">
        <f>'تقرير المصروفات حسب الشهر'!O1076</f>
        <v>0</v>
      </c>
      <c r="L1352" s="292">
        <f>IFERROR(VLOOKUP(B1352,'تقرير المصروفات حسب الشهر'!$C$1143:$AD$1254,13,FALSE),0)</f>
        <v>200</v>
      </c>
      <c r="M1352" s="292">
        <f>IFERROR(VLOOKUP(B1352,'تقرير المصروفات حسب الشهر'!$C$1270:$AD$1381,13,FALSE),0)</f>
        <v>6983</v>
      </c>
      <c r="N1352" s="31" t="e">
        <f>#REF!</f>
        <v>#REF!</v>
      </c>
      <c r="O1352" s="37" t="e">
        <f t="shared" si="33"/>
        <v>#REF!</v>
      </c>
    </row>
    <row r="1353" spans="2:15" ht="17.399999999999999">
      <c r="B1353" s="42" t="s">
        <v>86</v>
      </c>
      <c r="C1353" s="39">
        <f>'تقرير المصروفات حسب الشهر'!O70</f>
        <v>0</v>
      </c>
      <c r="D1353" s="31" t="e">
        <f>#REF!</f>
        <v>#REF!</v>
      </c>
      <c r="E1353" s="31" t="e">
        <f>#REF!</f>
        <v>#REF!</v>
      </c>
      <c r="F1353" s="31" t="e">
        <f>#REF!</f>
        <v>#REF!</v>
      </c>
      <c r="G1353" s="31" t="e">
        <f>#REF!</f>
        <v>#REF!</v>
      </c>
      <c r="H1353" s="31" t="e">
        <f>#REF!</f>
        <v>#REF!</v>
      </c>
      <c r="I1353" s="31">
        <f>'تقرير المصروفات حسب الشهر'!O823</f>
        <v>0</v>
      </c>
      <c r="J1353" s="31">
        <f>'تقرير المصروفات حسب الشهر'!O950</f>
        <v>0</v>
      </c>
      <c r="K1353" s="31">
        <f>'تقرير المصروفات حسب الشهر'!O1077</f>
        <v>0</v>
      </c>
      <c r="L1353" s="292">
        <f>IFERROR(VLOOKUP(B1353,'تقرير المصروفات حسب الشهر'!$C$1143:$AD$1254,13,FALSE),0)</f>
        <v>0</v>
      </c>
      <c r="M1353" s="292">
        <f>IFERROR(VLOOKUP(B1353,'تقرير المصروفات حسب الشهر'!$C$1270:$AD$1381,13,FALSE),0)</f>
        <v>0</v>
      </c>
      <c r="N1353" s="31" t="e">
        <f>#REF!</f>
        <v>#REF!</v>
      </c>
      <c r="O1353" s="37" t="e">
        <f t="shared" si="33"/>
        <v>#REF!</v>
      </c>
    </row>
    <row r="1354" spans="2:15" ht="17.399999999999999">
      <c r="B1354" s="42" t="s">
        <v>87</v>
      </c>
      <c r="C1354" s="39">
        <f>'تقرير المصروفات حسب الشهر'!O71</f>
        <v>0</v>
      </c>
      <c r="D1354" s="31" t="e">
        <f>#REF!</f>
        <v>#REF!</v>
      </c>
      <c r="E1354" s="31" t="e">
        <f>#REF!</f>
        <v>#REF!</v>
      </c>
      <c r="F1354" s="31" t="e">
        <f>#REF!</f>
        <v>#REF!</v>
      </c>
      <c r="G1354" s="31" t="e">
        <f>#REF!</f>
        <v>#REF!</v>
      </c>
      <c r="H1354" s="31" t="e">
        <f>#REF!</f>
        <v>#REF!</v>
      </c>
      <c r="I1354" s="31">
        <f>'تقرير المصروفات حسب الشهر'!O824</f>
        <v>0</v>
      </c>
      <c r="J1354" s="31">
        <f>'تقرير المصروفات حسب الشهر'!O951</f>
        <v>0</v>
      </c>
      <c r="K1354" s="31">
        <f>'تقرير المصروفات حسب الشهر'!O1078</f>
        <v>0</v>
      </c>
      <c r="L1354" s="292">
        <f>IFERROR(VLOOKUP(B1354,'تقرير المصروفات حسب الشهر'!$C$1143:$AD$1254,13,FALSE),0)</f>
        <v>0</v>
      </c>
      <c r="M1354" s="292">
        <f>IFERROR(VLOOKUP(B1354,'تقرير المصروفات حسب الشهر'!$C$1270:$AD$1381,13,FALSE),0)</f>
        <v>0</v>
      </c>
      <c r="N1354" s="31" t="e">
        <f>#REF!</f>
        <v>#REF!</v>
      </c>
      <c r="O1354" s="37" t="e">
        <f t="shared" si="33"/>
        <v>#REF!</v>
      </c>
    </row>
    <row r="1355" spans="2:15" ht="17.399999999999999">
      <c r="B1355" s="42" t="s">
        <v>88</v>
      </c>
      <c r="C1355" s="39">
        <f>'تقرير المصروفات حسب الشهر'!O72</f>
        <v>0</v>
      </c>
      <c r="D1355" s="31" t="e">
        <f>#REF!</f>
        <v>#REF!</v>
      </c>
      <c r="E1355" s="31" t="e">
        <f>#REF!</f>
        <v>#REF!</v>
      </c>
      <c r="F1355" s="31" t="e">
        <f>#REF!</f>
        <v>#REF!</v>
      </c>
      <c r="G1355" s="31" t="e">
        <f>#REF!</f>
        <v>#REF!</v>
      </c>
      <c r="H1355" s="31" t="e">
        <f>#REF!</f>
        <v>#REF!</v>
      </c>
      <c r="I1355" s="31">
        <f>'تقرير المصروفات حسب الشهر'!O825</f>
        <v>0</v>
      </c>
      <c r="J1355" s="31">
        <f>'تقرير المصروفات حسب الشهر'!O952</f>
        <v>0</v>
      </c>
      <c r="K1355" s="31">
        <f>'تقرير المصروفات حسب الشهر'!O1079</f>
        <v>0</v>
      </c>
      <c r="L1355" s="292">
        <f>IFERROR(VLOOKUP(B1355,'تقرير المصروفات حسب الشهر'!$C$1143:$AD$1254,13,FALSE),0)</f>
        <v>0</v>
      </c>
      <c r="M1355" s="292">
        <f>IFERROR(VLOOKUP(B1355,'تقرير المصروفات حسب الشهر'!$C$1270:$AD$1381,13,FALSE),0)</f>
        <v>0</v>
      </c>
      <c r="N1355" s="31" t="e">
        <f>#REF!</f>
        <v>#REF!</v>
      </c>
      <c r="O1355" s="37" t="e">
        <f t="shared" si="33"/>
        <v>#REF!</v>
      </c>
    </row>
    <row r="1356" spans="2:15" ht="17.399999999999999">
      <c r="B1356" s="42" t="s">
        <v>89</v>
      </c>
      <c r="C1356" s="39">
        <f>'تقرير المصروفات حسب الشهر'!O73</f>
        <v>0</v>
      </c>
      <c r="D1356" s="31" t="e">
        <f>#REF!</f>
        <v>#REF!</v>
      </c>
      <c r="E1356" s="31" t="e">
        <f>#REF!</f>
        <v>#REF!</v>
      </c>
      <c r="F1356" s="31" t="e">
        <f>#REF!</f>
        <v>#REF!</v>
      </c>
      <c r="G1356" s="31" t="e">
        <f>#REF!</f>
        <v>#REF!</v>
      </c>
      <c r="H1356" s="31" t="e">
        <f>#REF!</f>
        <v>#REF!</v>
      </c>
      <c r="I1356" s="31">
        <f>'تقرير المصروفات حسب الشهر'!O826</f>
        <v>979</v>
      </c>
      <c r="J1356" s="31">
        <f>'تقرير المصروفات حسب الشهر'!O953</f>
        <v>1404.4</v>
      </c>
      <c r="K1356" s="31">
        <f>'تقرير المصروفات حسب الشهر'!O1080</f>
        <v>0</v>
      </c>
      <c r="L1356" s="292">
        <f>IFERROR(VLOOKUP(B1356,'تقرير المصروفات حسب الشهر'!$C$1143:$AD$1254,13,FALSE),0)</f>
        <v>0</v>
      </c>
      <c r="M1356" s="292">
        <f>IFERROR(VLOOKUP(B1356,'تقرير المصروفات حسب الشهر'!$C$1270:$AD$1381,13,FALSE),0)</f>
        <v>0</v>
      </c>
      <c r="N1356" s="31" t="e">
        <f>#REF!</f>
        <v>#REF!</v>
      </c>
      <c r="O1356" s="37" t="e">
        <f t="shared" si="33"/>
        <v>#REF!</v>
      </c>
    </row>
    <row r="1357" spans="2:15" ht="17.399999999999999">
      <c r="B1357" s="42" t="s">
        <v>33</v>
      </c>
      <c r="C1357" s="39">
        <f>'تقرير المصروفات حسب الشهر'!O74</f>
        <v>1735</v>
      </c>
      <c r="D1357" s="31" t="e">
        <f>#REF!</f>
        <v>#REF!</v>
      </c>
      <c r="E1357" s="31" t="e">
        <f>#REF!</f>
        <v>#REF!</v>
      </c>
      <c r="F1357" s="31" t="e">
        <f>#REF!</f>
        <v>#REF!</v>
      </c>
      <c r="G1357" s="31" t="e">
        <f>#REF!</f>
        <v>#REF!</v>
      </c>
      <c r="H1357" s="31" t="e">
        <f>#REF!</f>
        <v>#REF!</v>
      </c>
      <c r="I1357" s="31">
        <f>'تقرير المصروفات حسب الشهر'!O827</f>
        <v>0</v>
      </c>
      <c r="J1357" s="31">
        <f>'تقرير المصروفات حسب الشهر'!O954</f>
        <v>0</v>
      </c>
      <c r="K1357" s="31">
        <f>'تقرير المصروفات حسب الشهر'!O1081</f>
        <v>0</v>
      </c>
      <c r="L1357" s="292">
        <f>IFERROR(VLOOKUP(B1357,'تقرير المصروفات حسب الشهر'!$C$1143:$AD$1254,13,FALSE),0)</f>
        <v>260</v>
      </c>
      <c r="M1357" s="292">
        <f>IFERROR(VLOOKUP(B1357,'تقرير المصروفات حسب الشهر'!$C$1270:$AD$1381,13,FALSE),0)</f>
        <v>1105.82</v>
      </c>
      <c r="N1357" s="31" t="e">
        <f>#REF!</f>
        <v>#REF!</v>
      </c>
      <c r="O1357" s="37" t="e">
        <f t="shared" si="33"/>
        <v>#REF!</v>
      </c>
    </row>
    <row r="1358" spans="2:15" ht="17.399999999999999">
      <c r="B1358" s="42" t="s">
        <v>90</v>
      </c>
      <c r="C1358" s="39">
        <f>'تقرير المصروفات حسب الشهر'!O75</f>
        <v>0</v>
      </c>
      <c r="D1358" s="31" t="e">
        <f>#REF!</f>
        <v>#REF!</v>
      </c>
      <c r="E1358" s="31" t="e">
        <f>#REF!</f>
        <v>#REF!</v>
      </c>
      <c r="F1358" s="31" t="e">
        <f>#REF!</f>
        <v>#REF!</v>
      </c>
      <c r="G1358" s="31" t="e">
        <f>#REF!</f>
        <v>#REF!</v>
      </c>
      <c r="H1358" s="31" t="e">
        <f>#REF!</f>
        <v>#REF!</v>
      </c>
      <c r="I1358" s="31">
        <f>'تقرير المصروفات حسب الشهر'!O828</f>
        <v>0</v>
      </c>
      <c r="J1358" s="31">
        <f>'تقرير المصروفات حسب الشهر'!O955</f>
        <v>0</v>
      </c>
      <c r="K1358" s="31">
        <f>'تقرير المصروفات حسب الشهر'!O1082</f>
        <v>0</v>
      </c>
      <c r="L1358" s="292">
        <f>IFERROR(VLOOKUP(B1358,'تقرير المصروفات حسب الشهر'!$C$1143:$AD$1254,13,FALSE),0)</f>
        <v>0</v>
      </c>
      <c r="M1358" s="292">
        <f>IFERROR(VLOOKUP(B1358,'تقرير المصروفات حسب الشهر'!$C$1270:$AD$1381,13,FALSE),0)</f>
        <v>0</v>
      </c>
      <c r="N1358" s="31" t="e">
        <f>#REF!</f>
        <v>#REF!</v>
      </c>
      <c r="O1358" s="37" t="e">
        <f t="shared" ref="O1358:O1401" si="34">SUM(C1358:N1358)</f>
        <v>#REF!</v>
      </c>
    </row>
    <row r="1359" spans="2:15" ht="17.399999999999999">
      <c r="B1359" s="42" t="s">
        <v>91</v>
      </c>
      <c r="C1359" s="39">
        <f>'تقرير المصروفات حسب الشهر'!O76</f>
        <v>0</v>
      </c>
      <c r="D1359" s="31" t="e">
        <f>#REF!</f>
        <v>#REF!</v>
      </c>
      <c r="E1359" s="31" t="e">
        <f>#REF!</f>
        <v>#REF!</v>
      </c>
      <c r="F1359" s="31" t="e">
        <f>#REF!</f>
        <v>#REF!</v>
      </c>
      <c r="G1359" s="31" t="e">
        <f>#REF!</f>
        <v>#REF!</v>
      </c>
      <c r="H1359" s="31" t="e">
        <f>#REF!</f>
        <v>#REF!</v>
      </c>
      <c r="I1359" s="31">
        <f>'تقرير المصروفات حسب الشهر'!O829</f>
        <v>0</v>
      </c>
      <c r="J1359" s="31">
        <f>'تقرير المصروفات حسب الشهر'!O956</f>
        <v>0</v>
      </c>
      <c r="K1359" s="31">
        <f>'تقرير المصروفات حسب الشهر'!O1083</f>
        <v>0</v>
      </c>
      <c r="L1359" s="292">
        <f>IFERROR(VLOOKUP(B1359,'تقرير المصروفات حسب الشهر'!$C$1143:$AD$1254,13,FALSE),0)</f>
        <v>0</v>
      </c>
      <c r="M1359" s="292">
        <f>IFERROR(VLOOKUP(B1359,'تقرير المصروفات حسب الشهر'!$C$1270:$AD$1381,13,FALSE),0)</f>
        <v>0</v>
      </c>
      <c r="N1359" s="31" t="e">
        <f>#REF!</f>
        <v>#REF!</v>
      </c>
      <c r="O1359" s="37" t="e">
        <f t="shared" si="34"/>
        <v>#REF!</v>
      </c>
    </row>
    <row r="1360" spans="2:15" ht="17.399999999999999">
      <c r="B1360" s="42" t="s">
        <v>92</v>
      </c>
      <c r="C1360" s="39">
        <f>'تقرير المصروفات حسب الشهر'!O77</f>
        <v>0</v>
      </c>
      <c r="D1360" s="31" t="e">
        <f>#REF!</f>
        <v>#REF!</v>
      </c>
      <c r="E1360" s="31" t="e">
        <f>#REF!</f>
        <v>#REF!</v>
      </c>
      <c r="F1360" s="31" t="e">
        <f>#REF!</f>
        <v>#REF!</v>
      </c>
      <c r="G1360" s="31" t="e">
        <f>#REF!</f>
        <v>#REF!</v>
      </c>
      <c r="H1360" s="31" t="e">
        <f>#REF!</f>
        <v>#REF!</v>
      </c>
      <c r="I1360" s="31">
        <f>'تقرير المصروفات حسب الشهر'!O830</f>
        <v>0</v>
      </c>
      <c r="J1360" s="31">
        <f>'تقرير المصروفات حسب الشهر'!O957</f>
        <v>0</v>
      </c>
      <c r="K1360" s="31">
        <f>'تقرير المصروفات حسب الشهر'!O1084</f>
        <v>0</v>
      </c>
      <c r="L1360" s="292">
        <f>IFERROR(VLOOKUP(B1360,'تقرير المصروفات حسب الشهر'!$C$1143:$AD$1254,13,FALSE),0)</f>
        <v>0</v>
      </c>
      <c r="M1360" s="292">
        <f>IFERROR(VLOOKUP(B1360,'تقرير المصروفات حسب الشهر'!$C$1270:$AD$1381,13,FALSE),0)</f>
        <v>0</v>
      </c>
      <c r="N1360" s="31" t="e">
        <f>#REF!</f>
        <v>#REF!</v>
      </c>
      <c r="O1360" s="37" t="e">
        <f t="shared" si="34"/>
        <v>#REF!</v>
      </c>
    </row>
    <row r="1361" spans="2:15" ht="17.399999999999999">
      <c r="B1361" s="42" t="s">
        <v>93</v>
      </c>
      <c r="C1361" s="39">
        <f>'تقرير المصروفات حسب الشهر'!O78</f>
        <v>0</v>
      </c>
      <c r="D1361" s="31" t="e">
        <f>#REF!</f>
        <v>#REF!</v>
      </c>
      <c r="E1361" s="31" t="e">
        <f>#REF!</f>
        <v>#REF!</v>
      </c>
      <c r="F1361" s="31" t="e">
        <f>#REF!</f>
        <v>#REF!</v>
      </c>
      <c r="G1361" s="31" t="e">
        <f>#REF!</f>
        <v>#REF!</v>
      </c>
      <c r="H1361" s="31" t="e">
        <f>#REF!</f>
        <v>#REF!</v>
      </c>
      <c r="I1361" s="31">
        <f>'تقرير المصروفات حسب الشهر'!O831</f>
        <v>384</v>
      </c>
      <c r="J1361" s="31">
        <f>'تقرير المصروفات حسب الشهر'!O958</f>
        <v>0</v>
      </c>
      <c r="K1361" s="31">
        <f>'تقرير المصروفات حسب الشهر'!O1085</f>
        <v>60</v>
      </c>
      <c r="L1361" s="292">
        <f>IFERROR(VLOOKUP(B1361,'تقرير المصروفات حسب الشهر'!$C$1143:$AD$1254,13,FALSE),0)</f>
        <v>0</v>
      </c>
      <c r="M1361" s="292">
        <f>IFERROR(VLOOKUP(B1361,'تقرير المصروفات حسب الشهر'!$C$1270:$AD$1381,13,FALSE),0)</f>
        <v>0</v>
      </c>
      <c r="N1361" s="31" t="e">
        <f>#REF!</f>
        <v>#REF!</v>
      </c>
      <c r="O1361" s="37" t="e">
        <f t="shared" si="34"/>
        <v>#REF!</v>
      </c>
    </row>
    <row r="1362" spans="2:15" ht="17.399999999999999">
      <c r="B1362" s="42" t="s">
        <v>94</v>
      </c>
      <c r="C1362" s="39">
        <f>'تقرير المصروفات حسب الشهر'!O79</f>
        <v>255</v>
      </c>
      <c r="D1362" s="31" t="e">
        <f>#REF!</f>
        <v>#REF!</v>
      </c>
      <c r="E1362" s="31" t="e">
        <f>#REF!</f>
        <v>#REF!</v>
      </c>
      <c r="F1362" s="31" t="e">
        <f>#REF!</f>
        <v>#REF!</v>
      </c>
      <c r="G1362" s="31" t="e">
        <f>#REF!</f>
        <v>#REF!</v>
      </c>
      <c r="H1362" s="31" t="e">
        <f>#REF!</f>
        <v>#REF!</v>
      </c>
      <c r="I1362" s="31">
        <f>'تقرير المصروفات حسب الشهر'!O832</f>
        <v>0</v>
      </c>
      <c r="J1362" s="31">
        <f>'تقرير المصروفات حسب الشهر'!O959</f>
        <v>0</v>
      </c>
      <c r="K1362" s="31">
        <f>'تقرير المصروفات حسب الشهر'!O1086</f>
        <v>0</v>
      </c>
      <c r="L1362" s="292">
        <f>IFERROR(VLOOKUP(B1362,'تقرير المصروفات حسب الشهر'!$C$1143:$AD$1254,13,FALSE),0)</f>
        <v>0</v>
      </c>
      <c r="M1362" s="292">
        <f>IFERROR(VLOOKUP(B1362,'تقرير المصروفات حسب الشهر'!$C$1270:$AD$1381,13,FALSE),0)</f>
        <v>0</v>
      </c>
      <c r="N1362" s="31" t="e">
        <f>#REF!</f>
        <v>#REF!</v>
      </c>
      <c r="O1362" s="37" t="e">
        <f t="shared" si="34"/>
        <v>#REF!</v>
      </c>
    </row>
    <row r="1363" spans="2:15" ht="17.399999999999999">
      <c r="B1363" s="42" t="s">
        <v>95</v>
      </c>
      <c r="C1363" s="39">
        <f>'تقرير المصروفات حسب الشهر'!O80</f>
        <v>15100</v>
      </c>
      <c r="D1363" s="31" t="e">
        <f>#REF!</f>
        <v>#REF!</v>
      </c>
      <c r="E1363" s="31" t="e">
        <f>#REF!</f>
        <v>#REF!</v>
      </c>
      <c r="F1363" s="31" t="e">
        <f>#REF!</f>
        <v>#REF!</v>
      </c>
      <c r="G1363" s="31" t="e">
        <f>#REF!</f>
        <v>#REF!</v>
      </c>
      <c r="H1363" s="31" t="e">
        <f>#REF!</f>
        <v>#REF!</v>
      </c>
      <c r="I1363" s="31">
        <f>'تقرير المصروفات حسب الشهر'!O833</f>
        <v>668</v>
      </c>
      <c r="J1363" s="31">
        <f>'تقرير المصروفات حسب الشهر'!O960</f>
        <v>1331.8</v>
      </c>
      <c r="K1363" s="31">
        <f>'تقرير المصروفات حسب الشهر'!O1087</f>
        <v>0</v>
      </c>
      <c r="L1363" s="292">
        <f>IFERROR(VLOOKUP(B1363,'تقرير المصروفات حسب الشهر'!$C$1143:$AD$1254,13,FALSE),0)</f>
        <v>0</v>
      </c>
      <c r="M1363" s="292">
        <f>IFERROR(VLOOKUP(B1363,'تقرير المصروفات حسب الشهر'!$C$1270:$AD$1381,13,FALSE),0)</f>
        <v>0</v>
      </c>
      <c r="N1363" s="31" t="e">
        <f>#REF!</f>
        <v>#REF!</v>
      </c>
      <c r="O1363" s="37" t="e">
        <f t="shared" si="34"/>
        <v>#REF!</v>
      </c>
    </row>
    <row r="1364" spans="2:15" ht="17.399999999999999">
      <c r="B1364" s="42" t="s">
        <v>96</v>
      </c>
      <c r="C1364" s="39">
        <f>'تقرير المصروفات حسب الشهر'!O81</f>
        <v>0</v>
      </c>
      <c r="D1364" s="31" t="e">
        <f>#REF!</f>
        <v>#REF!</v>
      </c>
      <c r="E1364" s="31" t="e">
        <f>#REF!</f>
        <v>#REF!</v>
      </c>
      <c r="F1364" s="31" t="e">
        <f>#REF!</f>
        <v>#REF!</v>
      </c>
      <c r="G1364" s="31" t="e">
        <f>#REF!</f>
        <v>#REF!</v>
      </c>
      <c r="H1364" s="31" t="e">
        <f>#REF!</f>
        <v>#REF!</v>
      </c>
      <c r="I1364" s="31">
        <f>'تقرير المصروفات حسب الشهر'!O834</f>
        <v>0</v>
      </c>
      <c r="J1364" s="31">
        <f>'تقرير المصروفات حسب الشهر'!O961</f>
        <v>0</v>
      </c>
      <c r="K1364" s="31">
        <f>'تقرير المصروفات حسب الشهر'!O1088</f>
        <v>0</v>
      </c>
      <c r="L1364" s="292">
        <f>IFERROR(VLOOKUP(B1364,'تقرير المصروفات حسب الشهر'!$C$1143:$AD$1254,13,FALSE),0)</f>
        <v>0</v>
      </c>
      <c r="M1364" s="292">
        <f>IFERROR(VLOOKUP(B1364,'تقرير المصروفات حسب الشهر'!$C$1270:$AD$1381,13,FALSE),0)</f>
        <v>0</v>
      </c>
      <c r="N1364" s="31" t="e">
        <f>#REF!</f>
        <v>#REF!</v>
      </c>
      <c r="O1364" s="37" t="e">
        <f t="shared" si="34"/>
        <v>#REF!</v>
      </c>
    </row>
    <row r="1365" spans="2:15" ht="17.399999999999999">
      <c r="B1365" s="42" t="s">
        <v>97</v>
      </c>
      <c r="C1365" s="39">
        <f>'تقرير المصروفات حسب الشهر'!O82</f>
        <v>1390.8</v>
      </c>
      <c r="D1365" s="31" t="e">
        <f>#REF!</f>
        <v>#REF!</v>
      </c>
      <c r="E1365" s="31" t="e">
        <f>#REF!</f>
        <v>#REF!</v>
      </c>
      <c r="F1365" s="31" t="e">
        <f>#REF!</f>
        <v>#REF!</v>
      </c>
      <c r="G1365" s="31" t="e">
        <f>#REF!</f>
        <v>#REF!</v>
      </c>
      <c r="H1365" s="31" t="e">
        <f>#REF!</f>
        <v>#REF!</v>
      </c>
      <c r="I1365" s="31">
        <f>'تقرير المصروفات حسب الشهر'!O835</f>
        <v>0</v>
      </c>
      <c r="J1365" s="31">
        <f>'تقرير المصروفات حسب الشهر'!O962</f>
        <v>0</v>
      </c>
      <c r="K1365" s="31">
        <f>'تقرير المصروفات حسب الشهر'!O1089</f>
        <v>2130</v>
      </c>
      <c r="L1365" s="292">
        <f>IFERROR(VLOOKUP(B1365,'تقرير المصروفات حسب الشهر'!$C$1143:$AD$1254,13,FALSE),0)</f>
        <v>0</v>
      </c>
      <c r="M1365" s="292">
        <f>IFERROR(VLOOKUP(B1365,'تقرير المصروفات حسب الشهر'!$C$1270:$AD$1381,13,FALSE),0)</f>
        <v>7623.18</v>
      </c>
      <c r="N1365" s="31" t="e">
        <f>#REF!</f>
        <v>#REF!</v>
      </c>
      <c r="O1365" s="37" t="e">
        <f t="shared" si="34"/>
        <v>#REF!</v>
      </c>
    </row>
    <row r="1366" spans="2:15" ht="17.399999999999999">
      <c r="B1366" s="42" t="s">
        <v>192</v>
      </c>
      <c r="C1366" s="39">
        <f>'تقرير المصروفات حسب الشهر'!O83</f>
        <v>0</v>
      </c>
      <c r="D1366" s="31" t="e">
        <f>#REF!</f>
        <v>#REF!</v>
      </c>
      <c r="E1366" s="31" t="e">
        <f>#REF!</f>
        <v>#REF!</v>
      </c>
      <c r="F1366" s="31" t="e">
        <f>#REF!</f>
        <v>#REF!</v>
      </c>
      <c r="G1366" s="31" t="e">
        <f>#REF!</f>
        <v>#REF!</v>
      </c>
      <c r="H1366" s="31" t="e">
        <f>#REF!</f>
        <v>#REF!</v>
      </c>
      <c r="I1366" s="31">
        <f>'تقرير المصروفات حسب الشهر'!O836</f>
        <v>0</v>
      </c>
      <c r="J1366" s="31">
        <f>'تقرير المصروفات حسب الشهر'!O963</f>
        <v>0</v>
      </c>
      <c r="K1366" s="31">
        <f>'تقرير المصروفات حسب الشهر'!O1090</f>
        <v>0</v>
      </c>
      <c r="L1366" s="292">
        <f>IFERROR(VLOOKUP(B1366,'تقرير المصروفات حسب الشهر'!$C$1143:$AD$1254,13,FALSE),0)</f>
        <v>1065</v>
      </c>
      <c r="M1366" s="292">
        <f>IFERROR(VLOOKUP(B1366,'تقرير المصروفات حسب الشهر'!$C$1270:$AD$1381,13,FALSE),0)</f>
        <v>1065</v>
      </c>
      <c r="N1366" s="31" t="e">
        <f>#REF!</f>
        <v>#REF!</v>
      </c>
      <c r="O1366" s="37" t="e">
        <f t="shared" si="34"/>
        <v>#REF!</v>
      </c>
    </row>
    <row r="1367" spans="2:15" ht="17.399999999999999">
      <c r="B1367" s="42" t="s">
        <v>98</v>
      </c>
      <c r="C1367" s="39">
        <f>'تقرير المصروفات حسب الشهر'!O84</f>
        <v>0</v>
      </c>
      <c r="D1367" s="31" t="e">
        <f>#REF!</f>
        <v>#REF!</v>
      </c>
      <c r="E1367" s="31" t="e">
        <f>#REF!</f>
        <v>#REF!</v>
      </c>
      <c r="F1367" s="31" t="e">
        <f>#REF!</f>
        <v>#REF!</v>
      </c>
      <c r="G1367" s="31" t="e">
        <f>#REF!</f>
        <v>#REF!</v>
      </c>
      <c r="H1367" s="31" t="e">
        <f>#REF!</f>
        <v>#REF!</v>
      </c>
      <c r="I1367" s="31">
        <f>'تقرير المصروفات حسب الشهر'!O837</f>
        <v>0</v>
      </c>
      <c r="J1367" s="31">
        <f>'تقرير المصروفات حسب الشهر'!O964</f>
        <v>0</v>
      </c>
      <c r="K1367" s="31">
        <f>'تقرير المصروفات حسب الشهر'!O1091</f>
        <v>0</v>
      </c>
      <c r="L1367" s="292">
        <f>IFERROR(VLOOKUP(B1367,'تقرير المصروفات حسب الشهر'!$C$1143:$AD$1254,13,FALSE),0)</f>
        <v>0</v>
      </c>
      <c r="M1367" s="292">
        <f>IFERROR(VLOOKUP(B1367,'تقرير المصروفات حسب الشهر'!$C$1270:$AD$1381,13,FALSE),0)</f>
        <v>0</v>
      </c>
      <c r="N1367" s="31" t="e">
        <f>#REF!</f>
        <v>#REF!</v>
      </c>
      <c r="O1367" s="37" t="e">
        <f t="shared" si="34"/>
        <v>#REF!</v>
      </c>
    </row>
    <row r="1368" spans="2:15" ht="17.399999999999999">
      <c r="B1368" s="42" t="s">
        <v>99</v>
      </c>
      <c r="C1368" s="39">
        <f>'تقرير المصروفات حسب الشهر'!O85</f>
        <v>0</v>
      </c>
      <c r="D1368" s="31" t="e">
        <f>#REF!</f>
        <v>#REF!</v>
      </c>
      <c r="E1368" s="31" t="e">
        <f>#REF!</f>
        <v>#REF!</v>
      </c>
      <c r="F1368" s="31" t="e">
        <f>#REF!</f>
        <v>#REF!</v>
      </c>
      <c r="G1368" s="31" t="e">
        <f>#REF!</f>
        <v>#REF!</v>
      </c>
      <c r="H1368" s="31" t="e">
        <f>#REF!</f>
        <v>#REF!</v>
      </c>
      <c r="I1368" s="31">
        <f>'تقرير المصروفات حسب الشهر'!O838</f>
        <v>56.16</v>
      </c>
      <c r="J1368" s="31">
        <f>'تقرير المصروفات حسب الشهر'!O965</f>
        <v>56.16</v>
      </c>
      <c r="K1368" s="31">
        <f>'تقرير المصروفات حسب الشهر'!O1092</f>
        <v>56.16</v>
      </c>
      <c r="L1368" s="292">
        <f>IFERROR(VLOOKUP(B1368,'تقرير المصروفات حسب الشهر'!$C$1143:$AD$1254,13,FALSE),0)</f>
        <v>0</v>
      </c>
      <c r="M1368" s="292">
        <f>IFERROR(VLOOKUP(B1368,'تقرير المصروفات حسب الشهر'!$C$1270:$AD$1381,13,FALSE),0)</f>
        <v>0</v>
      </c>
      <c r="N1368" s="31" t="e">
        <f>#REF!</f>
        <v>#REF!</v>
      </c>
      <c r="O1368" s="37" t="e">
        <f t="shared" si="34"/>
        <v>#REF!</v>
      </c>
    </row>
    <row r="1369" spans="2:15" ht="17.399999999999999">
      <c r="B1369" s="42" t="s">
        <v>100</v>
      </c>
      <c r="C1369" s="39">
        <f>'تقرير المصروفات حسب الشهر'!O86</f>
        <v>56.16</v>
      </c>
      <c r="D1369" s="31" t="e">
        <f>#REF!</f>
        <v>#REF!</v>
      </c>
      <c r="E1369" s="31" t="e">
        <f>#REF!</f>
        <v>#REF!</v>
      </c>
      <c r="F1369" s="31" t="e">
        <f>#REF!</f>
        <v>#REF!</v>
      </c>
      <c r="G1369" s="31" t="e">
        <f>#REF!</f>
        <v>#REF!</v>
      </c>
      <c r="H1369" s="31" t="e">
        <f>#REF!</f>
        <v>#REF!</v>
      </c>
      <c r="I1369" s="31">
        <f>'تقرير المصروفات حسب الشهر'!O839</f>
        <v>0</v>
      </c>
      <c r="J1369" s="31">
        <f>'تقرير المصروفات حسب الشهر'!O966</f>
        <v>0</v>
      </c>
      <c r="K1369" s="31">
        <f>'تقرير المصروفات حسب الشهر'!O1093</f>
        <v>0</v>
      </c>
      <c r="L1369" s="292">
        <f>IFERROR(VLOOKUP(B1369,'تقرير المصروفات حسب الشهر'!$C$1143:$AD$1254,13,FALSE),0)</f>
        <v>56.16</v>
      </c>
      <c r="M1369" s="292">
        <f>IFERROR(VLOOKUP(B1369,'تقرير المصروفات حسب الشهر'!$C$1270:$AD$1381,13,FALSE),0)</f>
        <v>56.16</v>
      </c>
      <c r="N1369" s="31" t="e">
        <f>#REF!</f>
        <v>#REF!</v>
      </c>
      <c r="O1369" s="37" t="e">
        <f t="shared" si="34"/>
        <v>#REF!</v>
      </c>
    </row>
    <row r="1370" spans="2:15" ht="17.399999999999999">
      <c r="B1370" s="42" t="s">
        <v>101</v>
      </c>
      <c r="C1370" s="39">
        <f>'تقرير المصروفات حسب الشهر'!O87</f>
        <v>0</v>
      </c>
      <c r="D1370" s="31" t="e">
        <f>#REF!</f>
        <v>#REF!</v>
      </c>
      <c r="E1370" s="31" t="e">
        <f>#REF!</f>
        <v>#REF!</v>
      </c>
      <c r="F1370" s="31" t="e">
        <f>#REF!</f>
        <v>#REF!</v>
      </c>
      <c r="G1370" s="31" t="e">
        <f>#REF!</f>
        <v>#REF!</v>
      </c>
      <c r="H1370" s="31" t="e">
        <f>#REF!</f>
        <v>#REF!</v>
      </c>
      <c r="I1370" s="31">
        <f>'تقرير المصروفات حسب الشهر'!O840</f>
        <v>2325.88</v>
      </c>
      <c r="J1370" s="31">
        <f>'تقرير المصروفات حسب الشهر'!O967</f>
        <v>2325.88</v>
      </c>
      <c r="K1370" s="31">
        <f>'تقرير المصروفات حسب الشهر'!O1094</f>
        <v>2283.46</v>
      </c>
      <c r="L1370" s="292">
        <f>IFERROR(VLOOKUP(B1370,'تقرير المصروفات حسب الشهر'!$C$1143:$AD$1254,13,FALSE),0)</f>
        <v>0</v>
      </c>
      <c r="M1370" s="292">
        <f>IFERROR(VLOOKUP(B1370,'تقرير المصروفات حسب الشهر'!$C$1270:$AD$1381,13,FALSE),0)</f>
        <v>0</v>
      </c>
      <c r="N1370" s="31" t="e">
        <f>#REF!</f>
        <v>#REF!</v>
      </c>
      <c r="O1370" s="37" t="e">
        <f t="shared" si="34"/>
        <v>#REF!</v>
      </c>
    </row>
    <row r="1371" spans="2:15" ht="17.399999999999999">
      <c r="B1371" s="42" t="s">
        <v>102</v>
      </c>
      <c r="C1371" s="39">
        <f>'تقرير المصروفات حسب الشهر'!O88</f>
        <v>1436.31</v>
      </c>
      <c r="D1371" s="31" t="e">
        <f>#REF!</f>
        <v>#REF!</v>
      </c>
      <c r="E1371" s="31" t="e">
        <f>#REF!</f>
        <v>#REF!</v>
      </c>
      <c r="F1371" s="31" t="e">
        <f>#REF!</f>
        <v>#REF!</v>
      </c>
      <c r="G1371" s="31" t="e">
        <f>#REF!</f>
        <v>#REF!</v>
      </c>
      <c r="H1371" s="31" t="e">
        <f>#REF!</f>
        <v>#REF!</v>
      </c>
      <c r="I1371" s="31">
        <f>'تقرير المصروفات حسب الشهر'!O841</f>
        <v>147.82</v>
      </c>
      <c r="J1371" s="31">
        <f>'تقرير المصروفات حسب الشهر'!O968</f>
        <v>142.66999999999999</v>
      </c>
      <c r="K1371" s="31">
        <f>'تقرير المصروفات حسب الشهر'!O1095</f>
        <v>116.21</v>
      </c>
      <c r="L1371" s="292">
        <f>IFERROR(VLOOKUP(B1371,'تقرير المصروفات حسب الشهر'!$C$1143:$AD$1254,13,FALSE),0)</f>
        <v>2260.04</v>
      </c>
      <c r="M1371" s="292">
        <f>IFERROR(VLOOKUP(B1371,'تقرير المصروفات حسب الشهر'!$C$1270:$AD$1381,13,FALSE),0)</f>
        <v>2259.96</v>
      </c>
      <c r="N1371" s="31" t="e">
        <f>#REF!</f>
        <v>#REF!</v>
      </c>
      <c r="O1371" s="37" t="e">
        <f t="shared" si="34"/>
        <v>#REF!</v>
      </c>
    </row>
    <row r="1372" spans="2:15" ht="17.399999999999999">
      <c r="B1372" s="42" t="s">
        <v>103</v>
      </c>
      <c r="C1372" s="39">
        <f>'تقرير المصروفات حسب الشهر'!O89</f>
        <v>53.44</v>
      </c>
      <c r="D1372" s="31" t="e">
        <f>#REF!</f>
        <v>#REF!</v>
      </c>
      <c r="E1372" s="31" t="e">
        <f>#REF!</f>
        <v>#REF!</v>
      </c>
      <c r="F1372" s="31" t="e">
        <f>#REF!</f>
        <v>#REF!</v>
      </c>
      <c r="G1372" s="31" t="e">
        <f>#REF!</f>
        <v>#REF!</v>
      </c>
      <c r="H1372" s="31" t="e">
        <f>#REF!</f>
        <v>#REF!</v>
      </c>
      <c r="I1372" s="31">
        <f>'تقرير المصروفات حسب الشهر'!O842</f>
        <v>297.14</v>
      </c>
      <c r="J1372" s="31">
        <f>'تقرير المصروفات حسب الشهر'!O969</f>
        <v>297.14</v>
      </c>
      <c r="K1372" s="31">
        <f>'تقرير المصروفات حسب الشهر'!O1096</f>
        <v>440.23</v>
      </c>
      <c r="L1372" s="292">
        <f>IFERROR(VLOOKUP(B1372,'تقرير المصروفات حسب الشهر'!$C$1143:$AD$1254,13,FALSE),0)</f>
        <v>104.5</v>
      </c>
      <c r="M1372" s="292">
        <f>IFERROR(VLOOKUP(B1372,'تقرير المصروفات حسب الشهر'!$C$1270:$AD$1381,13,FALSE),0)</f>
        <v>104.5</v>
      </c>
      <c r="N1372" s="31" t="e">
        <f>#REF!</f>
        <v>#REF!</v>
      </c>
      <c r="O1372" s="37" t="e">
        <f t="shared" si="34"/>
        <v>#REF!</v>
      </c>
    </row>
    <row r="1373" spans="2:15" ht="17.399999999999999">
      <c r="B1373" s="42" t="s">
        <v>104</v>
      </c>
      <c r="C1373" s="39">
        <f>'تقرير المصروفات حسب الشهر'!O90</f>
        <v>331.22</v>
      </c>
      <c r="D1373" s="31" t="e">
        <f>#REF!</f>
        <v>#REF!</v>
      </c>
      <c r="E1373" s="31" t="e">
        <f>#REF!</f>
        <v>#REF!</v>
      </c>
      <c r="F1373" s="31" t="e">
        <f>#REF!</f>
        <v>#REF!</v>
      </c>
      <c r="G1373" s="31" t="e">
        <f>#REF!</f>
        <v>#REF!</v>
      </c>
      <c r="H1373" s="31" t="e">
        <f>#REF!</f>
        <v>#REF!</v>
      </c>
      <c r="I1373" s="31">
        <f>'تقرير المصروفات حسب الشهر'!O843</f>
        <v>276.99</v>
      </c>
      <c r="J1373" s="31">
        <f>'تقرير المصروفات حسب الشهر'!O970</f>
        <v>282.23</v>
      </c>
      <c r="K1373" s="31">
        <f>'تقرير المصروفات حسب الشهر'!O1097</f>
        <v>700.98</v>
      </c>
      <c r="L1373" s="292">
        <f>IFERROR(VLOOKUP(B1373,'تقرير المصروفات حسب الشهر'!$C$1143:$AD$1254,13,FALSE),0)</f>
        <v>774.14</v>
      </c>
      <c r="M1373" s="292">
        <f>IFERROR(VLOOKUP(B1373,'تقرير المصروفات حسب الشهر'!$C$1270:$AD$1381,13,FALSE),0)</f>
        <v>774.04</v>
      </c>
      <c r="N1373" s="31" t="e">
        <f>#REF!</f>
        <v>#REF!</v>
      </c>
      <c r="O1373" s="37" t="e">
        <f t="shared" si="34"/>
        <v>#REF!</v>
      </c>
    </row>
    <row r="1374" spans="2:15" ht="17.399999999999999">
      <c r="B1374" s="42" t="s">
        <v>105</v>
      </c>
      <c r="C1374" s="39">
        <f>'تقرير المصروفات حسب الشهر'!O91</f>
        <v>300.45999999999998</v>
      </c>
      <c r="D1374" s="31" t="e">
        <f>#REF!</f>
        <v>#REF!</v>
      </c>
      <c r="E1374" s="31" t="e">
        <f>#REF!</f>
        <v>#REF!</v>
      </c>
      <c r="F1374" s="31" t="e">
        <f>#REF!</f>
        <v>#REF!</v>
      </c>
      <c r="G1374" s="31" t="e">
        <f>#REF!</f>
        <v>#REF!</v>
      </c>
      <c r="H1374" s="31" t="e">
        <f>#REF!</f>
        <v>#REF!</v>
      </c>
      <c r="I1374" s="31">
        <f>'تقرير المصروفات حسب الشهر'!O844</f>
        <v>0</v>
      </c>
      <c r="J1374" s="31">
        <f>'تقرير المصروفات حسب الشهر'!O971</f>
        <v>0</v>
      </c>
      <c r="K1374" s="31">
        <f>'تقرير المصروفات حسب الشهر'!O1098</f>
        <v>0</v>
      </c>
      <c r="L1374" s="292">
        <f>IFERROR(VLOOKUP(B1374,'تقرير المصروفات حسب الشهر'!$C$1143:$AD$1254,13,FALSE),0)</f>
        <v>724.73</v>
      </c>
      <c r="M1374" s="292">
        <f>IFERROR(VLOOKUP(B1374,'تقرير المصروفات حسب الشهر'!$C$1270:$AD$1381,13,FALSE),0)</f>
        <v>724.73</v>
      </c>
      <c r="N1374" s="31" t="e">
        <f>#REF!</f>
        <v>#REF!</v>
      </c>
      <c r="O1374" s="37" t="e">
        <f t="shared" si="34"/>
        <v>#REF!</v>
      </c>
    </row>
    <row r="1375" spans="2:15" ht="17.399999999999999">
      <c r="B1375" s="42" t="s">
        <v>106</v>
      </c>
      <c r="C1375" s="39">
        <f>'تقرير المصروفات حسب الشهر'!O92</f>
        <v>0</v>
      </c>
      <c r="D1375" s="31" t="e">
        <f>#REF!</f>
        <v>#REF!</v>
      </c>
      <c r="E1375" s="31" t="e">
        <f>#REF!</f>
        <v>#REF!</v>
      </c>
      <c r="F1375" s="31" t="e">
        <f>#REF!</f>
        <v>#REF!</v>
      </c>
      <c r="G1375" s="31" t="e">
        <f>#REF!</f>
        <v>#REF!</v>
      </c>
      <c r="H1375" s="31" t="e">
        <f>#REF!</f>
        <v>#REF!</v>
      </c>
      <c r="I1375" s="31">
        <f>'تقرير المصروفات حسب الشهر'!O845</f>
        <v>0</v>
      </c>
      <c r="J1375" s="31">
        <f>'تقرير المصروفات حسب الشهر'!O972</f>
        <v>0</v>
      </c>
      <c r="K1375" s="31">
        <f>'تقرير المصروفات حسب الشهر'!O1099</f>
        <v>0</v>
      </c>
      <c r="L1375" s="292">
        <f>IFERROR(VLOOKUP(B1375,'تقرير المصروفات حسب الشهر'!$C$1143:$AD$1254,13,FALSE),0)</f>
        <v>0</v>
      </c>
      <c r="M1375" s="292">
        <f>IFERROR(VLOOKUP(B1375,'تقرير المصروفات حسب الشهر'!$C$1270:$AD$1381,13,FALSE),0)</f>
        <v>0</v>
      </c>
      <c r="N1375" s="31" t="e">
        <f>#REF!</f>
        <v>#REF!</v>
      </c>
      <c r="O1375" s="37" t="e">
        <f t="shared" si="34"/>
        <v>#REF!</v>
      </c>
    </row>
    <row r="1376" spans="2:15" ht="17.399999999999999">
      <c r="B1376" s="42" t="s">
        <v>107</v>
      </c>
      <c r="C1376" s="39">
        <f>'تقرير المصروفات حسب الشهر'!O93</f>
        <v>0</v>
      </c>
      <c r="D1376" s="31" t="e">
        <f>#REF!</f>
        <v>#REF!</v>
      </c>
      <c r="E1376" s="31" t="e">
        <f>#REF!</f>
        <v>#REF!</v>
      </c>
      <c r="F1376" s="31" t="e">
        <f>#REF!</f>
        <v>#REF!</v>
      </c>
      <c r="G1376" s="31" t="e">
        <f>#REF!</f>
        <v>#REF!</v>
      </c>
      <c r="H1376" s="31" t="e">
        <f>#REF!</f>
        <v>#REF!</v>
      </c>
      <c r="I1376" s="31">
        <f>'تقرير المصروفات حسب الشهر'!O846</f>
        <v>2400.8000000000002</v>
      </c>
      <c r="J1376" s="31">
        <f>'تقرير المصروفات حسب الشهر'!O973</f>
        <v>2576.7800000000002</v>
      </c>
      <c r="K1376" s="31">
        <f>'تقرير المصروفات حسب الشهر'!O1100</f>
        <v>2513.02</v>
      </c>
      <c r="L1376" s="292">
        <f>IFERROR(VLOOKUP(B1376,'تقرير المصروفات حسب الشهر'!$C$1143:$AD$1254,13,FALSE),0)</f>
        <v>0</v>
      </c>
      <c r="M1376" s="292">
        <f>IFERROR(VLOOKUP(B1376,'تقرير المصروفات حسب الشهر'!$C$1270:$AD$1381,13,FALSE),0)</f>
        <v>0</v>
      </c>
      <c r="N1376" s="31" t="e">
        <f>#REF!</f>
        <v>#REF!</v>
      </c>
      <c r="O1376" s="37" t="e">
        <f t="shared" si="34"/>
        <v>#REF!</v>
      </c>
    </row>
    <row r="1377" spans="2:15" ht="17.399999999999999">
      <c r="B1377" s="42" t="s">
        <v>108</v>
      </c>
      <c r="C1377" s="39">
        <f>'تقرير المصروفات حسب الشهر'!O94</f>
        <v>1832</v>
      </c>
      <c r="D1377" s="31" t="e">
        <f>#REF!</f>
        <v>#REF!</v>
      </c>
      <c r="E1377" s="31" t="e">
        <f>#REF!</f>
        <v>#REF!</v>
      </c>
      <c r="F1377" s="31" t="e">
        <f>#REF!</f>
        <v>#REF!</v>
      </c>
      <c r="G1377" s="31" t="e">
        <f>#REF!</f>
        <v>#REF!</v>
      </c>
      <c r="H1377" s="31" t="e">
        <f>#REF!</f>
        <v>#REF!</v>
      </c>
      <c r="I1377" s="31">
        <f>'تقرير المصروفات حسب الشهر'!O847</f>
        <v>0</v>
      </c>
      <c r="J1377" s="31">
        <f>'تقرير المصروفات حسب الشهر'!O974</f>
        <v>0</v>
      </c>
      <c r="K1377" s="31">
        <f>'تقرير المصروفات حسب الشهر'!O1101</f>
        <v>0</v>
      </c>
      <c r="L1377" s="292">
        <f>IFERROR(VLOOKUP(B1377,'تقرير المصروفات حسب الشهر'!$C$1143:$AD$1254,13,FALSE),0)</f>
        <v>2699.52</v>
      </c>
      <c r="M1377" s="292">
        <f>IFERROR(VLOOKUP(B1377,'تقرير المصروفات حسب الشهر'!$C$1270:$AD$1381,13,FALSE),0)</f>
        <v>1933.01</v>
      </c>
      <c r="N1377" s="31" t="e">
        <f>#REF!</f>
        <v>#REF!</v>
      </c>
      <c r="O1377" s="37" t="e">
        <f t="shared" si="34"/>
        <v>#REF!</v>
      </c>
    </row>
    <row r="1378" spans="2:15" ht="17.399999999999999">
      <c r="B1378" s="42" t="s">
        <v>109</v>
      </c>
      <c r="C1378" s="39">
        <f>'تقرير المصروفات حسب الشهر'!O95</f>
        <v>0</v>
      </c>
      <c r="D1378" s="31" t="e">
        <f>#REF!</f>
        <v>#REF!</v>
      </c>
      <c r="E1378" s="31" t="e">
        <f>#REF!</f>
        <v>#REF!</v>
      </c>
      <c r="F1378" s="31" t="e">
        <f>#REF!</f>
        <v>#REF!</v>
      </c>
      <c r="G1378" s="31" t="e">
        <f>#REF!</f>
        <v>#REF!</v>
      </c>
      <c r="H1378" s="31" t="e">
        <f>#REF!</f>
        <v>#REF!</v>
      </c>
      <c r="I1378" s="31">
        <f>'تقرير المصروفات حسب الشهر'!O848</f>
        <v>166.66</v>
      </c>
      <c r="J1378" s="31">
        <f>'تقرير المصروفات حسب الشهر'!O975</f>
        <v>166.66</v>
      </c>
      <c r="K1378" s="31">
        <f>'تقرير المصروفات حسب الشهر'!O1102</f>
        <v>166.66</v>
      </c>
      <c r="L1378" s="292">
        <f>IFERROR(VLOOKUP(B1378,'تقرير المصروفات حسب الشهر'!$C$1143:$AD$1254,13,FALSE),0)</f>
        <v>0</v>
      </c>
      <c r="M1378" s="292">
        <f>IFERROR(VLOOKUP(B1378,'تقرير المصروفات حسب الشهر'!$C$1270:$AD$1381,13,FALSE),0)</f>
        <v>0</v>
      </c>
      <c r="N1378" s="31" t="e">
        <f>#REF!</f>
        <v>#REF!</v>
      </c>
      <c r="O1378" s="37" t="e">
        <f t="shared" si="34"/>
        <v>#REF!</v>
      </c>
    </row>
    <row r="1379" spans="2:15" ht="17.399999999999999">
      <c r="B1379" s="42" t="s">
        <v>110</v>
      </c>
      <c r="C1379" s="39">
        <f>'تقرير المصروفات حسب الشهر'!O96</f>
        <v>166.66</v>
      </c>
      <c r="D1379" s="31" t="e">
        <f>#REF!</f>
        <v>#REF!</v>
      </c>
      <c r="E1379" s="31" t="e">
        <f>#REF!</f>
        <v>#REF!</v>
      </c>
      <c r="F1379" s="31" t="e">
        <f>#REF!</f>
        <v>#REF!</v>
      </c>
      <c r="G1379" s="31" t="e">
        <f>#REF!</f>
        <v>#REF!</v>
      </c>
      <c r="H1379" s="31" t="e">
        <f>#REF!</f>
        <v>#REF!</v>
      </c>
      <c r="I1379" s="31">
        <f>'تقرير المصروفات حسب الشهر'!O849</f>
        <v>0</v>
      </c>
      <c r="J1379" s="31">
        <f>'تقرير المصروفات حسب الشهر'!O976</f>
        <v>0</v>
      </c>
      <c r="K1379" s="31">
        <f>'تقرير المصروفات حسب الشهر'!O1103</f>
        <v>0</v>
      </c>
      <c r="L1379" s="292">
        <f>IFERROR(VLOOKUP(B1379,'تقرير المصروفات حسب الشهر'!$C$1143:$AD$1254,13,FALSE),0)</f>
        <v>166.66</v>
      </c>
      <c r="M1379" s="292">
        <f>IFERROR(VLOOKUP(B1379,'تقرير المصروفات حسب الشهر'!$C$1270:$AD$1381,13,FALSE),0)</f>
        <v>166.66</v>
      </c>
      <c r="N1379" s="31" t="e">
        <f>#REF!</f>
        <v>#REF!</v>
      </c>
      <c r="O1379" s="37" t="e">
        <f t="shared" si="34"/>
        <v>#REF!</v>
      </c>
    </row>
    <row r="1380" spans="2:15" ht="17.399999999999999">
      <c r="B1380" s="42" t="s">
        <v>112</v>
      </c>
      <c r="C1380" s="39">
        <f>'تقرير المصروفات حسب الشهر'!O97</f>
        <v>0</v>
      </c>
      <c r="D1380" s="31" t="e">
        <f>#REF!</f>
        <v>#REF!</v>
      </c>
      <c r="E1380" s="31" t="e">
        <f>#REF!</f>
        <v>#REF!</v>
      </c>
      <c r="F1380" s="31" t="e">
        <f>#REF!</f>
        <v>#REF!</v>
      </c>
      <c r="G1380" s="31" t="e">
        <f>#REF!</f>
        <v>#REF!</v>
      </c>
      <c r="H1380" s="31" t="e">
        <f>#REF!</f>
        <v>#REF!</v>
      </c>
      <c r="I1380" s="31">
        <f>'تقرير المصروفات حسب الشهر'!O850</f>
        <v>0</v>
      </c>
      <c r="J1380" s="31">
        <f>'تقرير المصروفات حسب الشهر'!O977</f>
        <v>0</v>
      </c>
      <c r="K1380" s="31">
        <f>'تقرير المصروفات حسب الشهر'!O1104</f>
        <v>0</v>
      </c>
      <c r="L1380" s="292">
        <f>IFERROR(VLOOKUP(B1380,'تقرير المصروفات حسب الشهر'!$C$1143:$AD$1254,13,FALSE),0)</f>
        <v>0</v>
      </c>
      <c r="M1380" s="292">
        <f>IFERROR(VLOOKUP(B1380,'تقرير المصروفات حسب الشهر'!$C$1270:$AD$1381,13,FALSE),0)</f>
        <v>0</v>
      </c>
      <c r="N1380" s="31" t="e">
        <f>#REF!</f>
        <v>#REF!</v>
      </c>
      <c r="O1380" s="37" t="e">
        <f t="shared" si="34"/>
        <v>#REF!</v>
      </c>
    </row>
    <row r="1381" spans="2:15" ht="17.399999999999999">
      <c r="B1381" s="42" t="s">
        <v>113</v>
      </c>
      <c r="C1381" s="39">
        <f>'تقرير المصروفات حسب الشهر'!O98</f>
        <v>240.04</v>
      </c>
      <c r="D1381" s="31" t="e">
        <f>#REF!</f>
        <v>#REF!</v>
      </c>
      <c r="E1381" s="31" t="e">
        <f>#REF!</f>
        <v>#REF!</v>
      </c>
      <c r="F1381" s="31" t="e">
        <f>#REF!</f>
        <v>#REF!</v>
      </c>
      <c r="G1381" s="31" t="e">
        <f>#REF!</f>
        <v>#REF!</v>
      </c>
      <c r="H1381" s="31" t="e">
        <f>#REF!</f>
        <v>#REF!</v>
      </c>
      <c r="I1381" s="31">
        <f>'تقرير المصروفات حسب الشهر'!O851</f>
        <v>0</v>
      </c>
      <c r="J1381" s="31">
        <f>'تقرير المصروفات حسب الشهر'!O978</f>
        <v>0</v>
      </c>
      <c r="K1381" s="31">
        <f>'تقرير المصروفات حسب الشهر'!O1105</f>
        <v>0</v>
      </c>
      <c r="L1381" s="292">
        <f>IFERROR(VLOOKUP(B1381,'تقرير المصروفات حسب الشهر'!$C$1143:$AD$1254,13,FALSE),0)</f>
        <v>0</v>
      </c>
      <c r="M1381" s="292">
        <f>IFERROR(VLOOKUP(B1381,'تقرير المصروفات حسب الشهر'!$C$1270:$AD$1381,13,FALSE),0)</f>
        <v>0</v>
      </c>
      <c r="N1381" s="31" t="e">
        <f>#REF!</f>
        <v>#REF!</v>
      </c>
      <c r="O1381" s="37" t="e">
        <f t="shared" si="34"/>
        <v>#REF!</v>
      </c>
    </row>
    <row r="1382" spans="2:15" ht="17.399999999999999">
      <c r="B1382" s="42" t="s">
        <v>137</v>
      </c>
      <c r="C1382" s="39">
        <f>'تقرير المصروفات حسب الشهر'!O99</f>
        <v>0</v>
      </c>
      <c r="D1382" s="31" t="e">
        <f>#REF!</f>
        <v>#REF!</v>
      </c>
      <c r="E1382" s="31" t="e">
        <f>#REF!</f>
        <v>#REF!</v>
      </c>
      <c r="F1382" s="31" t="e">
        <f>#REF!</f>
        <v>#REF!</v>
      </c>
      <c r="G1382" s="31" t="e">
        <f>#REF!</f>
        <v>#REF!</v>
      </c>
      <c r="H1382" s="31" t="e">
        <f>#REF!</f>
        <v>#REF!</v>
      </c>
      <c r="I1382" s="31">
        <f>'تقرير المصروفات حسب الشهر'!O852</f>
        <v>1000</v>
      </c>
      <c r="J1382" s="31">
        <f>'تقرير المصروفات حسب الشهر'!O979</f>
        <v>260</v>
      </c>
      <c r="K1382" s="31">
        <f>'تقرير المصروفات حسب الشهر'!O1106</f>
        <v>1022</v>
      </c>
      <c r="L1382" s="292">
        <f>IFERROR(VLOOKUP(B1382,'تقرير المصروفات حسب الشهر'!$C$1143:$AD$1254,13,FALSE),0)</f>
        <v>0</v>
      </c>
      <c r="M1382" s="292">
        <f>IFERROR(VLOOKUP(B1382,'تقرير المصروفات حسب الشهر'!$C$1270:$AD$1381,13,FALSE),0)</f>
        <v>0</v>
      </c>
      <c r="N1382" s="31" t="e">
        <f>#REF!</f>
        <v>#REF!</v>
      </c>
      <c r="O1382" s="37" t="e">
        <f t="shared" si="34"/>
        <v>#REF!</v>
      </c>
    </row>
    <row r="1383" spans="2:15" ht="17.399999999999999">
      <c r="B1383" s="42" t="s">
        <v>140</v>
      </c>
      <c r="C1383" s="39">
        <f>'تقرير المصروفات حسب الشهر'!O100</f>
        <v>0</v>
      </c>
      <c r="D1383" s="31" t="e">
        <f>#REF!</f>
        <v>#REF!</v>
      </c>
      <c r="E1383" s="31" t="e">
        <f>#REF!</f>
        <v>#REF!</v>
      </c>
      <c r="F1383" s="31" t="e">
        <f>#REF!</f>
        <v>#REF!</v>
      </c>
      <c r="G1383" s="31" t="e">
        <f>#REF!</f>
        <v>#REF!</v>
      </c>
      <c r="H1383" s="31" t="e">
        <f>#REF!</f>
        <v>#REF!</v>
      </c>
      <c r="I1383" s="31">
        <f>'تقرير المصروفات حسب الشهر'!O853</f>
        <v>0</v>
      </c>
      <c r="J1383" s="31">
        <f>'تقرير المصروفات حسب الشهر'!O980</f>
        <v>0</v>
      </c>
      <c r="K1383" s="31">
        <f>'تقرير المصروفات حسب الشهر'!O1107</f>
        <v>0</v>
      </c>
      <c r="L1383" s="292">
        <f>IFERROR(VLOOKUP(B1383,'تقرير المصروفات حسب الشهر'!$C$1143:$AD$1254,13,FALSE),0)</f>
        <v>1014</v>
      </c>
      <c r="M1383" s="292">
        <f>IFERROR(VLOOKUP(B1383,'تقرير المصروفات حسب الشهر'!$C$1270:$AD$1381,13,FALSE),0)</f>
        <v>0</v>
      </c>
      <c r="N1383" s="31" t="e">
        <f>#REF!</f>
        <v>#REF!</v>
      </c>
      <c r="O1383" s="37" t="e">
        <f t="shared" si="34"/>
        <v>#REF!</v>
      </c>
    </row>
    <row r="1384" spans="2:15" ht="17.399999999999999">
      <c r="B1384" s="42" t="s">
        <v>141</v>
      </c>
      <c r="C1384" s="39">
        <f>'تقرير المصروفات حسب الشهر'!O101</f>
        <v>0</v>
      </c>
      <c r="D1384" s="31" t="e">
        <f>#REF!</f>
        <v>#REF!</v>
      </c>
      <c r="E1384" s="31" t="e">
        <f>#REF!</f>
        <v>#REF!</v>
      </c>
      <c r="F1384" s="31" t="e">
        <f>#REF!</f>
        <v>#REF!</v>
      </c>
      <c r="G1384" s="31" t="e">
        <f>#REF!</f>
        <v>#REF!</v>
      </c>
      <c r="H1384" s="31" t="e">
        <f>#REF!</f>
        <v>#REF!</v>
      </c>
      <c r="I1384" s="31">
        <f>'تقرير المصروفات حسب الشهر'!O854</f>
        <v>0</v>
      </c>
      <c r="J1384" s="31">
        <f>'تقرير المصروفات حسب الشهر'!O981</f>
        <v>0</v>
      </c>
      <c r="K1384" s="31">
        <f>'تقرير المصروفات حسب الشهر'!O1108</f>
        <v>0</v>
      </c>
      <c r="L1384" s="292">
        <f>IFERROR(VLOOKUP(B1384,'تقرير المصروفات حسب الشهر'!$C$1143:$AD$1254,13,FALSE),0)</f>
        <v>0</v>
      </c>
      <c r="M1384" s="292">
        <f>IFERROR(VLOOKUP(B1384,'تقرير المصروفات حسب الشهر'!$C$1270:$AD$1381,13,FALSE),0)</f>
        <v>0</v>
      </c>
      <c r="N1384" s="31" t="e">
        <f>#REF!</f>
        <v>#REF!</v>
      </c>
      <c r="O1384" s="37" t="e">
        <f t="shared" si="34"/>
        <v>#REF!</v>
      </c>
    </row>
    <row r="1385" spans="2:15" ht="17.399999999999999">
      <c r="B1385" s="42" t="s">
        <v>193</v>
      </c>
      <c r="C1385" s="39">
        <f>'تقرير المصروفات حسب الشهر'!O102</f>
        <v>0</v>
      </c>
      <c r="D1385" s="31" t="e">
        <f>#REF!</f>
        <v>#REF!</v>
      </c>
      <c r="E1385" s="31" t="e">
        <f>#REF!</f>
        <v>#REF!</v>
      </c>
      <c r="F1385" s="31" t="e">
        <f>#REF!</f>
        <v>#REF!</v>
      </c>
      <c r="G1385" s="31" t="e">
        <f>#REF!</f>
        <v>#REF!</v>
      </c>
      <c r="H1385" s="31" t="e">
        <f>#REF!</f>
        <v>#REF!</v>
      </c>
      <c r="I1385" s="31">
        <f>'تقرير المصروفات حسب الشهر'!O855</f>
        <v>0</v>
      </c>
      <c r="J1385" s="31">
        <f>'تقرير المصروفات حسب الشهر'!O982</f>
        <v>0</v>
      </c>
      <c r="K1385" s="31">
        <f>'تقرير المصروفات حسب الشهر'!O1109</f>
        <v>0</v>
      </c>
      <c r="L1385" s="292">
        <f>IFERROR(VLOOKUP(B1385,'تقرير المصروفات حسب الشهر'!$C$1143:$AD$1254,13,FALSE),0)</f>
        <v>0</v>
      </c>
      <c r="M1385" s="292">
        <f>IFERROR(VLOOKUP(B1385,'تقرير المصروفات حسب الشهر'!$C$1270:$AD$1381,13,FALSE),0)</f>
        <v>0</v>
      </c>
      <c r="N1385" s="31" t="e">
        <f>#REF!</f>
        <v>#REF!</v>
      </c>
      <c r="O1385" s="37" t="e">
        <f t="shared" si="34"/>
        <v>#REF!</v>
      </c>
    </row>
    <row r="1386" spans="2:15" ht="17.399999999999999">
      <c r="B1386" s="42" t="s">
        <v>148</v>
      </c>
      <c r="C1386" s="39">
        <f>'تقرير المصروفات حسب الشهر'!O103</f>
        <v>0</v>
      </c>
      <c r="D1386" s="31" t="e">
        <f>#REF!</f>
        <v>#REF!</v>
      </c>
      <c r="E1386" s="31" t="e">
        <f>#REF!</f>
        <v>#REF!</v>
      </c>
      <c r="F1386" s="31" t="e">
        <f>#REF!</f>
        <v>#REF!</v>
      </c>
      <c r="G1386" s="31" t="e">
        <f>#REF!</f>
        <v>#REF!</v>
      </c>
      <c r="H1386" s="31" t="e">
        <f>#REF!</f>
        <v>#REF!</v>
      </c>
      <c r="I1386" s="31">
        <f>'تقرير المصروفات حسب الشهر'!O856</f>
        <v>0</v>
      </c>
      <c r="J1386" s="31">
        <f>'تقرير المصروفات حسب الشهر'!O983</f>
        <v>0</v>
      </c>
      <c r="K1386" s="31">
        <f>'تقرير المصروفات حسب الشهر'!O1110</f>
        <v>0</v>
      </c>
      <c r="L1386" s="292">
        <f>IFERROR(VLOOKUP(B1386,'تقرير المصروفات حسب الشهر'!$C$1143:$AD$1254,13,FALSE),0)</f>
        <v>0</v>
      </c>
      <c r="M1386" s="292">
        <f>IFERROR(VLOOKUP(B1386,'تقرير المصروفات حسب الشهر'!$C$1270:$AD$1381,13,FALSE),0)</f>
        <v>0</v>
      </c>
      <c r="N1386" s="31" t="e">
        <f>#REF!</f>
        <v>#REF!</v>
      </c>
      <c r="O1386" s="37" t="e">
        <f t="shared" si="34"/>
        <v>#REF!</v>
      </c>
    </row>
    <row r="1387" spans="2:15" ht="17.399999999999999">
      <c r="B1387" s="42" t="s">
        <v>186</v>
      </c>
      <c r="C1387" s="39">
        <f>'تقرير المصروفات حسب الشهر'!O104</f>
        <v>0</v>
      </c>
      <c r="D1387" s="31" t="e">
        <f>#REF!</f>
        <v>#REF!</v>
      </c>
      <c r="E1387" s="31" t="e">
        <f>#REF!</f>
        <v>#REF!</v>
      </c>
      <c r="F1387" s="31" t="e">
        <f>#REF!</f>
        <v>#REF!</v>
      </c>
      <c r="G1387" s="31" t="e">
        <f>#REF!</f>
        <v>#REF!</v>
      </c>
      <c r="H1387" s="31" t="e">
        <f>#REF!</f>
        <v>#REF!</v>
      </c>
      <c r="I1387" s="31">
        <f>'تقرير المصروفات حسب الشهر'!O857</f>
        <v>0</v>
      </c>
      <c r="J1387" s="31">
        <f>'تقرير المصروفات حسب الشهر'!O984</f>
        <v>0</v>
      </c>
      <c r="K1387" s="31">
        <f>'تقرير المصروفات حسب الشهر'!O1111</f>
        <v>0</v>
      </c>
      <c r="L1387" s="292">
        <f>IFERROR(VLOOKUP(B1387,'تقرير المصروفات حسب الشهر'!$C$1143:$AD$1254,13,FALSE),0)</f>
        <v>0</v>
      </c>
      <c r="M1387" s="292">
        <f>IFERROR(VLOOKUP(B1387,'تقرير المصروفات حسب الشهر'!$C$1270:$AD$1381,13,FALSE),0)</f>
        <v>0</v>
      </c>
      <c r="N1387" s="31" t="e">
        <f>#REF!</f>
        <v>#REF!</v>
      </c>
      <c r="O1387" s="37" t="e">
        <f t="shared" si="34"/>
        <v>#REF!</v>
      </c>
    </row>
    <row r="1388" spans="2:15" ht="17.399999999999999">
      <c r="B1388" s="42" t="s">
        <v>171</v>
      </c>
      <c r="C1388" s="39">
        <f>'تقرير المصروفات حسب الشهر'!O105</f>
        <v>0</v>
      </c>
      <c r="D1388" s="31" t="e">
        <f>#REF!</f>
        <v>#REF!</v>
      </c>
      <c r="E1388" s="31" t="e">
        <f>#REF!</f>
        <v>#REF!</v>
      </c>
      <c r="F1388" s="31" t="e">
        <f>#REF!</f>
        <v>#REF!</v>
      </c>
      <c r="G1388" s="31" t="e">
        <f>#REF!</f>
        <v>#REF!</v>
      </c>
      <c r="H1388" s="31" t="e">
        <f>#REF!</f>
        <v>#REF!</v>
      </c>
      <c r="I1388" s="31">
        <f>'تقرير المصروفات حسب الشهر'!O858</f>
        <v>0</v>
      </c>
      <c r="J1388" s="31">
        <f>'تقرير المصروفات حسب الشهر'!O985</f>
        <v>0</v>
      </c>
      <c r="K1388" s="31">
        <f>'تقرير المصروفات حسب الشهر'!O1112</f>
        <v>0</v>
      </c>
      <c r="L1388" s="292">
        <f>IFERROR(VLOOKUP(B1388,'تقرير المصروفات حسب الشهر'!$C$1143:$AD$1254,13,FALSE),0)</f>
        <v>0</v>
      </c>
      <c r="M1388" s="292">
        <f>IFERROR(VLOOKUP(B1388,'تقرير المصروفات حسب الشهر'!$C$1270:$AD$1381,13,FALSE),0)</f>
        <v>0</v>
      </c>
      <c r="N1388" s="31" t="e">
        <f>#REF!</f>
        <v>#REF!</v>
      </c>
      <c r="O1388" s="37" t="e">
        <f t="shared" si="34"/>
        <v>#REF!</v>
      </c>
    </row>
    <row r="1389" spans="2:15" ht="17.399999999999999">
      <c r="B1389" s="42" t="s">
        <v>180</v>
      </c>
      <c r="C1389" s="39">
        <f>'تقرير المصروفات حسب الشهر'!O106</f>
        <v>0</v>
      </c>
      <c r="D1389" s="31" t="e">
        <f>#REF!</f>
        <v>#REF!</v>
      </c>
      <c r="E1389" s="31" t="e">
        <f>#REF!</f>
        <v>#REF!</v>
      </c>
      <c r="F1389" s="31" t="e">
        <f>#REF!</f>
        <v>#REF!</v>
      </c>
      <c r="G1389" s="31" t="e">
        <f>#REF!</f>
        <v>#REF!</v>
      </c>
      <c r="H1389" s="31" t="e">
        <f>#REF!</f>
        <v>#REF!</v>
      </c>
      <c r="I1389" s="31">
        <f>'تقرير المصروفات حسب الشهر'!O859</f>
        <v>868</v>
      </c>
      <c r="J1389" s="31">
        <f>'تقرير المصروفات حسب الشهر'!O986</f>
        <v>172</v>
      </c>
      <c r="K1389" s="31">
        <f>'تقرير المصروفات حسب الشهر'!O1113</f>
        <v>0</v>
      </c>
      <c r="L1389" s="292">
        <f>IFERROR(VLOOKUP(B1389,'تقرير المصروفات حسب الشهر'!$C$1143:$AD$1254,13,FALSE),0)</f>
        <v>0</v>
      </c>
      <c r="M1389" s="292">
        <f>IFERROR(VLOOKUP(B1389,'تقرير المصروفات حسب الشهر'!$C$1270:$AD$1381,13,FALSE),0)</f>
        <v>0</v>
      </c>
      <c r="N1389" s="31" t="e">
        <f>#REF!</f>
        <v>#REF!</v>
      </c>
      <c r="O1389" s="37" t="e">
        <f t="shared" si="34"/>
        <v>#REF!</v>
      </c>
    </row>
    <row r="1390" spans="2:15" ht="17.399999999999999">
      <c r="B1390" s="42" t="s">
        <v>183</v>
      </c>
      <c r="C1390" s="39">
        <f>'تقرير المصروفات حسب الشهر'!O107</f>
        <v>0</v>
      </c>
      <c r="D1390" s="31" t="e">
        <f>#REF!</f>
        <v>#REF!</v>
      </c>
      <c r="E1390" s="31" t="e">
        <f>#REF!</f>
        <v>#REF!</v>
      </c>
      <c r="F1390" s="31" t="e">
        <f>#REF!</f>
        <v>#REF!</v>
      </c>
      <c r="G1390" s="31" t="e">
        <f>#REF!</f>
        <v>#REF!</v>
      </c>
      <c r="H1390" s="31" t="e">
        <f>#REF!</f>
        <v>#REF!</v>
      </c>
      <c r="I1390" s="31">
        <f>'تقرير المصروفات حسب الشهر'!O860</f>
        <v>0</v>
      </c>
      <c r="J1390" s="31">
        <f>'تقرير المصروفات حسب الشهر'!O987</f>
        <v>0</v>
      </c>
      <c r="K1390" s="31">
        <f>'تقرير المصروفات حسب الشهر'!O1114</f>
        <v>0</v>
      </c>
      <c r="L1390" s="292">
        <f>IFERROR(VLOOKUP(B1390,'تقرير المصروفات حسب الشهر'!$C$1143:$AD$1254,13,FALSE),0)</f>
        <v>0</v>
      </c>
      <c r="M1390" s="292">
        <f>IFERROR(VLOOKUP(B1390,'تقرير المصروفات حسب الشهر'!$C$1270:$AD$1381,13,FALSE),0)</f>
        <v>0</v>
      </c>
      <c r="N1390" s="31" t="e">
        <f>#REF!</f>
        <v>#REF!</v>
      </c>
      <c r="O1390" s="37" t="e">
        <f t="shared" si="34"/>
        <v>#REF!</v>
      </c>
    </row>
    <row r="1391" spans="2:15" ht="17.399999999999999">
      <c r="B1391" s="42" t="s">
        <v>195</v>
      </c>
      <c r="C1391" s="39">
        <f>'تقرير المصروفات حسب الشهر'!O108</f>
        <v>0</v>
      </c>
      <c r="D1391" s="31" t="e">
        <f>#REF!</f>
        <v>#REF!</v>
      </c>
      <c r="E1391" s="31" t="e">
        <f>#REF!</f>
        <v>#REF!</v>
      </c>
      <c r="F1391" s="31" t="e">
        <f>#REF!</f>
        <v>#REF!</v>
      </c>
      <c r="G1391" s="31" t="e">
        <f>#REF!</f>
        <v>#REF!</v>
      </c>
      <c r="H1391" s="31" t="e">
        <f>#REF!</f>
        <v>#REF!</v>
      </c>
      <c r="I1391" s="31">
        <f>'تقرير المصروفات حسب الشهر'!O861</f>
        <v>0</v>
      </c>
      <c r="J1391" s="31">
        <f>'تقرير المصروفات حسب الشهر'!O988</f>
        <v>0</v>
      </c>
      <c r="K1391" s="31">
        <f>'تقرير المصروفات حسب الشهر'!O1115</f>
        <v>0</v>
      </c>
      <c r="L1391" s="292">
        <f>IFERROR(VLOOKUP(B1391,'تقرير المصروفات حسب الشهر'!$C$1143:$AD$1254,13,FALSE),0)</f>
        <v>0</v>
      </c>
      <c r="M1391" s="292">
        <f>IFERROR(VLOOKUP(B1391,'تقرير المصروفات حسب الشهر'!$C$1270:$AD$1381,13,FALSE),0)</f>
        <v>0</v>
      </c>
      <c r="N1391" s="31" t="e">
        <f>#REF!</f>
        <v>#REF!</v>
      </c>
      <c r="O1391" s="37" t="e">
        <f t="shared" si="34"/>
        <v>#REF!</v>
      </c>
    </row>
    <row r="1392" spans="2:15" ht="17.399999999999999">
      <c r="B1392" s="42" t="s">
        <v>189</v>
      </c>
      <c r="C1392" s="39">
        <f>'تقرير المصروفات حسب الشهر'!O109</f>
        <v>0</v>
      </c>
      <c r="D1392" s="31" t="e">
        <f>#REF!</f>
        <v>#REF!</v>
      </c>
      <c r="E1392" s="31" t="e">
        <f>#REF!</f>
        <v>#REF!</v>
      </c>
      <c r="F1392" s="31" t="e">
        <f>#REF!</f>
        <v>#REF!</v>
      </c>
      <c r="G1392" s="31" t="e">
        <f>#REF!</f>
        <v>#REF!</v>
      </c>
      <c r="H1392" s="31" t="e">
        <f>#REF!</f>
        <v>#REF!</v>
      </c>
      <c r="I1392" s="31">
        <f>'تقرير المصروفات حسب الشهر'!O862</f>
        <v>0</v>
      </c>
      <c r="J1392" s="31">
        <f>'تقرير المصروفات حسب الشهر'!O989</f>
        <v>0</v>
      </c>
      <c r="K1392" s="31">
        <f>'تقرير المصروفات حسب الشهر'!O1116</f>
        <v>0</v>
      </c>
      <c r="L1392" s="292">
        <f>IFERROR(VLOOKUP(B1392,'تقرير المصروفات حسب الشهر'!$C$1143:$AD$1254,13,FALSE),0)</f>
        <v>0</v>
      </c>
      <c r="M1392" s="292">
        <f>IFERROR(VLOOKUP(B1392,'تقرير المصروفات حسب الشهر'!$C$1270:$AD$1381,13,FALSE),0)</f>
        <v>0</v>
      </c>
      <c r="N1392" s="31" t="e">
        <f>#REF!</f>
        <v>#REF!</v>
      </c>
      <c r="O1392" s="37" t="e">
        <f t="shared" si="34"/>
        <v>#REF!</v>
      </c>
    </row>
    <row r="1393" spans="2:15" ht="17.399999999999999">
      <c r="B1393" s="42" t="s">
        <v>188</v>
      </c>
      <c r="C1393" s="39">
        <f>'تقرير المصروفات حسب الشهر'!O110</f>
        <v>0</v>
      </c>
      <c r="D1393" s="31" t="e">
        <f>#REF!</f>
        <v>#REF!</v>
      </c>
      <c r="E1393" s="31" t="e">
        <f>#REF!</f>
        <v>#REF!</v>
      </c>
      <c r="F1393" s="31" t="e">
        <f>#REF!</f>
        <v>#REF!</v>
      </c>
      <c r="G1393" s="31" t="e">
        <f>#REF!</f>
        <v>#REF!</v>
      </c>
      <c r="H1393" s="31" t="e">
        <f>#REF!</f>
        <v>#REF!</v>
      </c>
      <c r="I1393" s="31">
        <f>'تقرير المصروفات حسب الشهر'!O863</f>
        <v>0</v>
      </c>
      <c r="J1393" s="31">
        <f>'تقرير المصروفات حسب الشهر'!O990</f>
        <v>0</v>
      </c>
      <c r="K1393" s="31">
        <f>'تقرير المصروفات حسب الشهر'!O1117</f>
        <v>0</v>
      </c>
      <c r="L1393" s="292">
        <f>IFERROR(VLOOKUP(B1393,'تقرير المصروفات حسب الشهر'!$C$1143:$AD$1254,13,FALSE),0)</f>
        <v>0</v>
      </c>
      <c r="M1393" s="292">
        <f>IFERROR(VLOOKUP(B1393,'تقرير المصروفات حسب الشهر'!$C$1270:$AD$1381,13,FALSE),0)</f>
        <v>0</v>
      </c>
      <c r="N1393" s="31" t="e">
        <f>#REF!</f>
        <v>#REF!</v>
      </c>
      <c r="O1393" s="37" t="e">
        <f t="shared" si="34"/>
        <v>#REF!</v>
      </c>
    </row>
    <row r="1394" spans="2:15" ht="17.399999999999999">
      <c r="B1394" s="42" t="s">
        <v>196</v>
      </c>
      <c r="C1394" s="39">
        <f>'تقرير المصروفات حسب الشهر'!O111</f>
        <v>0</v>
      </c>
      <c r="D1394" s="31" t="e">
        <f>#REF!</f>
        <v>#REF!</v>
      </c>
      <c r="E1394" s="31" t="e">
        <f>#REF!</f>
        <v>#REF!</v>
      </c>
      <c r="F1394" s="31" t="e">
        <f>#REF!</f>
        <v>#REF!</v>
      </c>
      <c r="G1394" s="31" t="e">
        <f>#REF!</f>
        <v>#REF!</v>
      </c>
      <c r="H1394" s="31" t="e">
        <f>#REF!</f>
        <v>#REF!</v>
      </c>
      <c r="I1394" s="31">
        <f>'تقرير المصروفات حسب الشهر'!O864</f>
        <v>0</v>
      </c>
      <c r="J1394" s="31">
        <f>'تقرير المصروفات حسب الشهر'!O991</f>
        <v>0</v>
      </c>
      <c r="K1394" s="31">
        <f>'تقرير المصروفات حسب الشهر'!O1118</f>
        <v>0</v>
      </c>
      <c r="L1394" s="292">
        <f>IFERROR(VLOOKUP(B1394,'تقرير المصروفات حسب الشهر'!$C$1143:$AD$1254,13,FALSE),0)</f>
        <v>0</v>
      </c>
      <c r="M1394" s="292">
        <f>IFERROR(VLOOKUP(B1394,'تقرير المصروفات حسب الشهر'!$C$1270:$AD$1381,13,FALSE),0)</f>
        <v>0</v>
      </c>
      <c r="N1394" s="31" t="e">
        <f>#REF!</f>
        <v>#REF!</v>
      </c>
      <c r="O1394" s="37" t="e">
        <f t="shared" si="34"/>
        <v>#REF!</v>
      </c>
    </row>
    <row r="1395" spans="2:15" ht="17.399999999999999">
      <c r="B1395" s="42" t="s">
        <v>197</v>
      </c>
      <c r="C1395" s="39">
        <f>'تقرير المصروفات حسب الشهر'!O112</f>
        <v>0</v>
      </c>
      <c r="D1395" s="31" t="e">
        <f>#REF!</f>
        <v>#REF!</v>
      </c>
      <c r="E1395" s="31" t="e">
        <f>#REF!</f>
        <v>#REF!</v>
      </c>
      <c r="F1395" s="31" t="e">
        <f>#REF!</f>
        <v>#REF!</v>
      </c>
      <c r="G1395" s="31" t="e">
        <f>#REF!</f>
        <v>#REF!</v>
      </c>
      <c r="H1395" s="31" t="e">
        <f>#REF!</f>
        <v>#REF!</v>
      </c>
      <c r="I1395" s="31">
        <f>'تقرير المصروفات حسب الشهر'!O865</f>
        <v>0</v>
      </c>
      <c r="J1395" s="31">
        <f>'تقرير المصروفات حسب الشهر'!O992</f>
        <v>0</v>
      </c>
      <c r="K1395" s="31">
        <f>'تقرير المصروفات حسب الشهر'!O1119</f>
        <v>0</v>
      </c>
      <c r="L1395" s="292">
        <f>IFERROR(VLOOKUP(B1395,'تقرير المصروفات حسب الشهر'!$C$1143:$AD$1254,13,FALSE),0)</f>
        <v>0</v>
      </c>
      <c r="M1395" s="292">
        <f>IFERROR(VLOOKUP(B1395,'تقرير المصروفات حسب الشهر'!$C$1270:$AD$1381,13,FALSE),0)</f>
        <v>0</v>
      </c>
      <c r="N1395" s="31" t="e">
        <f>#REF!</f>
        <v>#REF!</v>
      </c>
      <c r="O1395" s="37" t="e">
        <f t="shared" si="34"/>
        <v>#REF!</v>
      </c>
    </row>
    <row r="1396" spans="2:15" ht="17.399999999999999">
      <c r="B1396" s="42" t="s">
        <v>198</v>
      </c>
      <c r="C1396" s="39">
        <f>'تقرير المصروفات حسب الشهر'!O113</f>
        <v>0</v>
      </c>
      <c r="D1396" s="31" t="e">
        <f>#REF!</f>
        <v>#REF!</v>
      </c>
      <c r="E1396" s="31" t="e">
        <f>#REF!</f>
        <v>#REF!</v>
      </c>
      <c r="F1396" s="31" t="e">
        <f>#REF!</f>
        <v>#REF!</v>
      </c>
      <c r="G1396" s="31" t="e">
        <f>#REF!</f>
        <v>#REF!</v>
      </c>
      <c r="H1396" s="31" t="e">
        <f>#REF!</f>
        <v>#REF!</v>
      </c>
      <c r="I1396" s="31">
        <f>'تقرير المصروفات حسب الشهر'!O866</f>
        <v>0</v>
      </c>
      <c r="J1396" s="31">
        <f>'تقرير المصروفات حسب الشهر'!O993</f>
        <v>0</v>
      </c>
      <c r="K1396" s="31">
        <f>'تقرير المصروفات حسب الشهر'!O1120</f>
        <v>0</v>
      </c>
      <c r="L1396" s="292">
        <f>IFERROR(VLOOKUP(B1396,'تقرير المصروفات حسب الشهر'!$C$1143:$AD$1254,13,FALSE),0)</f>
        <v>0</v>
      </c>
      <c r="M1396" s="292">
        <f>IFERROR(VLOOKUP(B1396,'تقرير المصروفات حسب الشهر'!$C$1270:$AD$1381,13,FALSE),0)</f>
        <v>0</v>
      </c>
      <c r="N1396" s="31" t="e">
        <f>#REF!</f>
        <v>#REF!</v>
      </c>
      <c r="O1396" s="37" t="e">
        <f t="shared" si="34"/>
        <v>#REF!</v>
      </c>
    </row>
    <row r="1397" spans="2:15" ht="17.399999999999999">
      <c r="B1397" s="42" t="s">
        <v>201</v>
      </c>
      <c r="C1397" s="39">
        <f>'تقرير المصروفات حسب الشهر'!O114</f>
        <v>0</v>
      </c>
      <c r="D1397" s="31" t="e">
        <f>#REF!</f>
        <v>#REF!</v>
      </c>
      <c r="E1397" s="31" t="e">
        <f>#REF!</f>
        <v>#REF!</v>
      </c>
      <c r="F1397" s="31" t="e">
        <f>#REF!</f>
        <v>#REF!</v>
      </c>
      <c r="G1397" s="31" t="e">
        <f>#REF!</f>
        <v>#REF!</v>
      </c>
      <c r="H1397" s="31" t="e">
        <f>#REF!</f>
        <v>#REF!</v>
      </c>
      <c r="I1397" s="31">
        <f>'تقرير المصروفات حسب الشهر'!O867</f>
        <v>0</v>
      </c>
      <c r="J1397" s="31">
        <f>'تقرير المصروفات حسب الشهر'!O994</f>
        <v>0</v>
      </c>
      <c r="K1397" s="31">
        <f>'تقرير المصروفات حسب الشهر'!O1121</f>
        <v>0</v>
      </c>
      <c r="L1397" s="292">
        <f>IFERROR(VLOOKUP(B1397,'تقرير المصروفات حسب الشهر'!$C$1143:$AD$1254,13,FALSE),0)</f>
        <v>0</v>
      </c>
      <c r="M1397" s="292">
        <f>IFERROR(VLOOKUP(B1397,'تقرير المصروفات حسب الشهر'!$C$1270:$AD$1381,13,FALSE),0)</f>
        <v>0</v>
      </c>
      <c r="N1397" s="31" t="e">
        <f>#REF!</f>
        <v>#REF!</v>
      </c>
      <c r="O1397" s="37" t="e">
        <f t="shared" si="34"/>
        <v>#REF!</v>
      </c>
    </row>
    <row r="1398" spans="2:15" ht="17.399999999999999">
      <c r="B1398" s="42" t="s">
        <v>202</v>
      </c>
      <c r="C1398" s="39">
        <f>'تقرير المصروفات حسب الشهر'!O115</f>
        <v>0</v>
      </c>
      <c r="D1398" s="31" t="e">
        <f>#REF!</f>
        <v>#REF!</v>
      </c>
      <c r="E1398" s="31" t="e">
        <f>#REF!</f>
        <v>#REF!</v>
      </c>
      <c r="F1398" s="31" t="e">
        <f>#REF!</f>
        <v>#REF!</v>
      </c>
      <c r="G1398" s="31" t="e">
        <f>#REF!</f>
        <v>#REF!</v>
      </c>
      <c r="H1398" s="31" t="e">
        <f>#REF!</f>
        <v>#REF!</v>
      </c>
      <c r="I1398" s="31">
        <f>'تقرير المصروفات حسب الشهر'!O868</f>
        <v>0</v>
      </c>
      <c r="J1398" s="31">
        <f>'تقرير المصروفات حسب الشهر'!O995</f>
        <v>0</v>
      </c>
      <c r="K1398" s="31">
        <f>'تقرير المصروفات حسب الشهر'!O1122</f>
        <v>0</v>
      </c>
      <c r="L1398" s="292">
        <f>IFERROR(VLOOKUP(B1398,'تقرير المصروفات حسب الشهر'!$C$1143:$AD$1254,13,FALSE),0)</f>
        <v>0</v>
      </c>
      <c r="M1398" s="292">
        <f>IFERROR(VLOOKUP(B1398,'تقرير المصروفات حسب الشهر'!$C$1270:$AD$1381,13,FALSE),0)</f>
        <v>0</v>
      </c>
      <c r="N1398" s="31" t="e">
        <f>#REF!</f>
        <v>#REF!</v>
      </c>
      <c r="O1398" s="37" t="e">
        <f t="shared" si="34"/>
        <v>#REF!</v>
      </c>
    </row>
    <row r="1399" spans="2:15" ht="17.399999999999999">
      <c r="B1399" s="42" t="s">
        <v>206</v>
      </c>
      <c r="C1399" s="39">
        <f>'تقرير المصروفات حسب الشهر'!O116</f>
        <v>0</v>
      </c>
      <c r="D1399" s="31" t="e">
        <f>#REF!</f>
        <v>#REF!</v>
      </c>
      <c r="E1399" s="31" t="e">
        <f>#REF!</f>
        <v>#REF!</v>
      </c>
      <c r="F1399" s="31" t="e">
        <f>#REF!</f>
        <v>#REF!</v>
      </c>
      <c r="G1399" s="31" t="e">
        <f>#REF!</f>
        <v>#REF!</v>
      </c>
      <c r="H1399" s="31" t="e">
        <f>#REF!</f>
        <v>#REF!</v>
      </c>
      <c r="I1399" s="31">
        <f>'تقرير المصروفات حسب الشهر'!O869</f>
        <v>0</v>
      </c>
      <c r="J1399" s="31">
        <f>'تقرير المصروفات حسب الشهر'!O996</f>
        <v>862.5</v>
      </c>
      <c r="K1399" s="31">
        <f>'تقرير المصروفات حسب الشهر'!O1123</f>
        <v>862.5</v>
      </c>
      <c r="L1399" s="292">
        <f>IFERROR(VLOOKUP(B1399,'تقرير المصروفات حسب الشهر'!$C$1143:$AD$1254,13,FALSE),0)</f>
        <v>0</v>
      </c>
      <c r="M1399" s="292">
        <f>IFERROR(VLOOKUP(B1399,'تقرير المصروفات حسب الشهر'!$C$1270:$AD$1381,13,FALSE),0)</f>
        <v>0</v>
      </c>
      <c r="N1399" s="31" t="e">
        <f>#REF!</f>
        <v>#REF!</v>
      </c>
      <c r="O1399" s="37" t="e">
        <f t="shared" si="34"/>
        <v>#REF!</v>
      </c>
    </row>
    <row r="1400" spans="2:15" ht="17.399999999999999">
      <c r="B1400" s="42" t="s">
        <v>207</v>
      </c>
      <c r="C1400" s="39">
        <f>'تقرير المصروفات حسب الشهر'!O117</f>
        <v>0</v>
      </c>
      <c r="D1400" s="31" t="e">
        <f>#REF!</f>
        <v>#REF!</v>
      </c>
      <c r="E1400" s="31" t="e">
        <f>#REF!</f>
        <v>#REF!</v>
      </c>
      <c r="F1400" s="31" t="e">
        <f>#REF!</f>
        <v>#REF!</v>
      </c>
      <c r="G1400" s="31" t="e">
        <f>#REF!</f>
        <v>#REF!</v>
      </c>
      <c r="H1400" s="31" t="e">
        <f>#REF!</f>
        <v>#REF!</v>
      </c>
      <c r="I1400" s="31">
        <f>'تقرير المصروفات حسب الشهر'!O870</f>
        <v>0</v>
      </c>
      <c r="J1400" s="31">
        <f>'تقرير المصروفات حسب الشهر'!O997</f>
        <v>0</v>
      </c>
      <c r="K1400" s="31">
        <f>'تقرير المصروفات حسب الشهر'!O1124</f>
        <v>0</v>
      </c>
      <c r="L1400" s="292">
        <f>IFERROR(VLOOKUP(B1400,'تقرير المصروفات حسب الشهر'!$C$1143:$AD$1254,13,FALSE),0)</f>
        <v>862.5</v>
      </c>
      <c r="M1400" s="292">
        <f>IFERROR(VLOOKUP(B1400,'تقرير المصروفات حسب الشهر'!$C$1270:$AD$1381,13,FALSE),0)</f>
        <v>862.5</v>
      </c>
      <c r="N1400" s="31" t="e">
        <f>#REF!</f>
        <v>#REF!</v>
      </c>
      <c r="O1400" s="37" t="e">
        <f t="shared" si="34"/>
        <v>#REF!</v>
      </c>
    </row>
    <row r="1401" spans="2:15" ht="17.399999999999999">
      <c r="B1401" s="43" t="s">
        <v>208</v>
      </c>
      <c r="C1401" s="39">
        <f>'تقرير المصروفات حسب الشهر'!O118</f>
        <v>0</v>
      </c>
      <c r="D1401" s="31" t="e">
        <f>#REF!</f>
        <v>#REF!</v>
      </c>
      <c r="E1401" s="31" t="e">
        <f>#REF!</f>
        <v>#REF!</v>
      </c>
      <c r="F1401" s="31" t="e">
        <f>#REF!</f>
        <v>#REF!</v>
      </c>
      <c r="G1401" s="31" t="e">
        <f>#REF!</f>
        <v>#REF!</v>
      </c>
      <c r="H1401" s="31">
        <v>0</v>
      </c>
      <c r="I1401" s="31">
        <f>'تقرير المصروفات حسب الشهر'!O871</f>
        <v>0</v>
      </c>
      <c r="J1401" s="31">
        <f>'تقرير المصروفات حسب الشهر'!O998</f>
        <v>0</v>
      </c>
      <c r="K1401" s="31">
        <f>'تقرير المصروفات حسب الشهر'!O1125</f>
        <v>0</v>
      </c>
      <c r="L1401" s="292">
        <f>IFERROR(VLOOKUP(B1401,'تقرير المصروفات حسب الشهر'!$C$1143:$AD$1254,13,FALSE),0)</f>
        <v>0</v>
      </c>
      <c r="M1401" s="292">
        <f>IFERROR(VLOOKUP(B1401,'تقرير المصروفات حسب الشهر'!$C$1270:$AD$1381,13,FALSE),0)</f>
        <v>0</v>
      </c>
      <c r="N1401" s="31" t="e">
        <f>#REF!</f>
        <v>#REF!</v>
      </c>
      <c r="O1401" s="37" t="e">
        <f t="shared" si="34"/>
        <v>#REF!</v>
      </c>
    </row>
    <row r="1402" spans="2:15" ht="17.399999999999999">
      <c r="B1402" s="437" t="s">
        <v>236</v>
      </c>
      <c r="C1402" s="39">
        <f>'تقرير المصروفات حسب الشهر'!O119</f>
        <v>0</v>
      </c>
      <c r="D1402" s="438"/>
      <c r="E1402" s="438"/>
      <c r="F1402" s="438"/>
      <c r="G1402" s="438"/>
      <c r="H1402" s="438"/>
      <c r="I1402" s="438"/>
      <c r="J1402" s="438"/>
      <c r="K1402" s="438"/>
      <c r="L1402" s="439"/>
      <c r="M1402" s="439"/>
      <c r="N1402" s="438"/>
      <c r="O1402" s="440"/>
    </row>
    <row r="1403" spans="2:15" ht="17.399999999999999">
      <c r="B1403" s="437" t="s">
        <v>209</v>
      </c>
      <c r="C1403" s="39">
        <f>'تقرير المصروفات حسب الشهر'!O120</f>
        <v>0</v>
      </c>
      <c r="D1403" s="438"/>
      <c r="E1403" s="438"/>
      <c r="F1403" s="438"/>
      <c r="G1403" s="438"/>
      <c r="H1403" s="438"/>
      <c r="I1403" s="438"/>
      <c r="J1403" s="438"/>
      <c r="K1403" s="438"/>
      <c r="L1403" s="439"/>
      <c r="M1403" s="439"/>
      <c r="N1403" s="438"/>
      <c r="O1403" s="440"/>
    </row>
    <row r="1404" spans="2:15" ht="18" thickBot="1">
      <c r="B1404" s="437" t="s">
        <v>360</v>
      </c>
      <c r="C1404" s="39">
        <f>'تقرير المصروفات حسب الشهر'!O121</f>
        <v>138809.63</v>
      </c>
      <c r="D1404" s="438"/>
      <c r="E1404" s="438"/>
      <c r="F1404" s="438"/>
      <c r="G1404" s="438"/>
      <c r="H1404" s="438"/>
      <c r="I1404" s="438"/>
      <c r="J1404" s="438"/>
      <c r="K1404" s="438"/>
      <c r="L1404" s="439"/>
      <c r="M1404" s="439"/>
      <c r="N1404" s="438"/>
      <c r="O1404" s="440"/>
    </row>
    <row r="1405" spans="2:15" ht="21.6" thickBot="1">
      <c r="B1405" s="29" t="s">
        <v>18</v>
      </c>
      <c r="C1405" s="41">
        <f>SUM(C1293:C1404)</f>
        <v>455951.65999999992</v>
      </c>
      <c r="D1405" s="41" t="e">
        <f t="shared" ref="D1405:O1405" si="35">SUM(D1293:D1401)</f>
        <v>#REF!</v>
      </c>
      <c r="E1405" s="41" t="e">
        <f t="shared" si="35"/>
        <v>#REF!</v>
      </c>
      <c r="F1405" s="41" t="e">
        <f t="shared" si="35"/>
        <v>#REF!</v>
      </c>
      <c r="G1405" s="41" t="e">
        <f t="shared" si="35"/>
        <v>#REF!</v>
      </c>
      <c r="H1405" s="41" t="e">
        <f t="shared" si="35"/>
        <v>#REF!</v>
      </c>
      <c r="I1405" s="41">
        <f t="shared" si="35"/>
        <v>350799.98999999993</v>
      </c>
      <c r="J1405" s="41">
        <f t="shared" si="35"/>
        <v>361326.93</v>
      </c>
      <c r="K1405" s="41">
        <f t="shared" si="35"/>
        <v>384623.87999999995</v>
      </c>
      <c r="L1405" s="41">
        <f t="shared" si="35"/>
        <v>388278.52999999991</v>
      </c>
      <c r="M1405" s="41">
        <f t="shared" si="35"/>
        <v>368179.33999999997</v>
      </c>
      <c r="N1405" s="41" t="e">
        <f t="shared" si="35"/>
        <v>#REF!</v>
      </c>
      <c r="O1405" s="41" t="e">
        <f t="shared" si="35"/>
        <v>#REF!</v>
      </c>
    </row>
    <row r="1407" spans="2:15" ht="13.8" thickBot="1"/>
    <row r="1408" spans="2:15" ht="31.2" thickTop="1" thickBot="1">
      <c r="B1408" s="643" t="s">
        <v>244</v>
      </c>
      <c r="C1408" s="644"/>
      <c r="D1408" s="644"/>
      <c r="E1408" s="644"/>
      <c r="F1408" s="644"/>
      <c r="G1408" s="644"/>
      <c r="H1408" s="644"/>
      <c r="I1408" s="644"/>
      <c r="J1408" s="644"/>
      <c r="K1408" s="644"/>
      <c r="L1408" s="644"/>
      <c r="M1408" s="644"/>
      <c r="N1408" s="644"/>
      <c r="O1408" s="645"/>
    </row>
    <row r="1409" spans="2:15" ht="17.399999999999999">
      <c r="B1409" s="30" t="s">
        <v>23</v>
      </c>
      <c r="C1409" s="33" t="s">
        <v>0</v>
      </c>
      <c r="D1409" s="33" t="s">
        <v>1</v>
      </c>
      <c r="E1409" s="34" t="s">
        <v>2</v>
      </c>
      <c r="F1409" s="34" t="s">
        <v>3</v>
      </c>
      <c r="G1409" s="34" t="s">
        <v>4</v>
      </c>
      <c r="H1409" s="34" t="s">
        <v>5</v>
      </c>
      <c r="I1409" s="34" t="s">
        <v>6</v>
      </c>
      <c r="J1409" s="34" t="s">
        <v>7</v>
      </c>
      <c r="K1409" s="34" t="s">
        <v>8</v>
      </c>
      <c r="L1409" s="34" t="s">
        <v>9</v>
      </c>
      <c r="M1409" s="34" t="s">
        <v>10</v>
      </c>
      <c r="N1409" s="35" t="s">
        <v>11</v>
      </c>
      <c r="O1409" s="36" t="s">
        <v>18</v>
      </c>
    </row>
    <row r="1410" spans="2:15" ht="17.399999999999999">
      <c r="B1410" s="42" t="s">
        <v>40</v>
      </c>
      <c r="C1410" s="39">
        <f>'تقرير المصروفات حسب الشهر'!P10</f>
        <v>0</v>
      </c>
      <c r="D1410" s="31" t="e">
        <f>#REF!</f>
        <v>#REF!</v>
      </c>
      <c r="E1410" s="31" t="e">
        <f>#REF!</f>
        <v>#REF!</v>
      </c>
      <c r="F1410" s="31" t="e">
        <f>#REF!</f>
        <v>#REF!</v>
      </c>
      <c r="G1410" s="31" t="e">
        <f>#REF!</f>
        <v>#REF!</v>
      </c>
      <c r="H1410" s="31" t="e">
        <f>#REF!</f>
        <v>#REF!</v>
      </c>
      <c r="I1410" s="31">
        <f>'تقرير المصروفات حسب الشهر'!P763</f>
        <v>0</v>
      </c>
      <c r="J1410" s="31">
        <f>'تقرير المصروفات حسب الشهر'!P890</f>
        <v>0</v>
      </c>
      <c r="K1410" s="31">
        <f>'تقرير المصروفات حسب الشهر'!P1017</f>
        <v>0</v>
      </c>
      <c r="L1410" s="292">
        <f>IFERROR(VLOOKUP(B1410,'تقرير المصروفات حسب الشهر'!$C$1143:$AD$1254,14,FALSE),0)</f>
        <v>0</v>
      </c>
      <c r="M1410" s="292">
        <f>IFERROR(VLOOKUP(B1410,'تقرير المصروفات حسب الشهر'!$C$1270:$AD$1381,14,FALSE),0)</f>
        <v>0</v>
      </c>
      <c r="N1410" s="31" t="e">
        <f>#REF!</f>
        <v>#REF!</v>
      </c>
      <c r="O1410" s="37" t="e">
        <f>SUM(C1410:N1410)</f>
        <v>#REF!</v>
      </c>
    </row>
    <row r="1411" spans="2:15" ht="17.399999999999999">
      <c r="B1411" s="42" t="s">
        <v>41</v>
      </c>
      <c r="C1411" s="39">
        <f>'تقرير المصروفات حسب الشهر'!P11</f>
        <v>163023.78</v>
      </c>
      <c r="D1411" s="31" t="e">
        <f>#REF!</f>
        <v>#REF!</v>
      </c>
      <c r="E1411" s="31" t="e">
        <f>#REF!</f>
        <v>#REF!</v>
      </c>
      <c r="F1411" s="31" t="e">
        <f>#REF!</f>
        <v>#REF!</v>
      </c>
      <c r="G1411" s="31" t="e">
        <f>#REF!</f>
        <v>#REF!</v>
      </c>
      <c r="H1411" s="31" t="e">
        <f>#REF!</f>
        <v>#REF!</v>
      </c>
      <c r="I1411" s="31">
        <f>'تقرير المصروفات حسب الشهر'!P764</f>
        <v>209875.18</v>
      </c>
      <c r="J1411" s="31">
        <f>'تقرير المصروفات حسب الشهر'!P891</f>
        <v>219277.31999999998</v>
      </c>
      <c r="K1411" s="31">
        <f>'تقرير المصروفات حسب الشهر'!P1018</f>
        <v>243267.19999999998</v>
      </c>
      <c r="L1411" s="292">
        <f>IFERROR(VLOOKUP(B1411,'تقرير المصروفات حسب الشهر'!$C$1143:$AD$1254,14,FALSE),0)</f>
        <v>246162.788</v>
      </c>
      <c r="M1411" s="292">
        <f>IFERROR(VLOOKUP(B1411,'تقرير المصروفات حسب الشهر'!$C$1270:$AD$1381,14,FALSE),0)</f>
        <v>262643.20000000001</v>
      </c>
      <c r="N1411" s="31" t="e">
        <f>#REF!</f>
        <v>#REF!</v>
      </c>
      <c r="O1411" s="37" t="e">
        <f t="shared" ref="O1411:O1474" si="36">SUM(C1411:N1411)</f>
        <v>#REF!</v>
      </c>
    </row>
    <row r="1412" spans="2:15" ht="17.399999999999999">
      <c r="B1412" s="42" t="s">
        <v>26</v>
      </c>
      <c r="C1412" s="39">
        <f>'تقرير المصروفات حسب الشهر'!P12</f>
        <v>3790</v>
      </c>
      <c r="D1412" s="31" t="e">
        <f>#REF!</f>
        <v>#REF!</v>
      </c>
      <c r="E1412" s="31" t="e">
        <f>#REF!</f>
        <v>#REF!</v>
      </c>
      <c r="F1412" s="31" t="e">
        <f>#REF!</f>
        <v>#REF!</v>
      </c>
      <c r="G1412" s="31" t="e">
        <f>#REF!</f>
        <v>#REF!</v>
      </c>
      <c r="H1412" s="31" t="e">
        <f>#REF!</f>
        <v>#REF!</v>
      </c>
      <c r="I1412" s="31">
        <f>'تقرير المصروفات حسب الشهر'!P765</f>
        <v>4861</v>
      </c>
      <c r="J1412" s="31">
        <f>'تقرير المصروفات حسب الشهر'!P892</f>
        <v>6425</v>
      </c>
      <c r="K1412" s="31">
        <f>'تقرير المصروفات حسب الشهر'!P1019</f>
        <v>7505</v>
      </c>
      <c r="L1412" s="292">
        <f>IFERROR(VLOOKUP(B1412,'تقرير المصروفات حسب الشهر'!$C$1143:$AD$1254,14,FALSE),0)</f>
        <v>8045</v>
      </c>
      <c r="M1412" s="292">
        <f>IFERROR(VLOOKUP(B1412,'تقرير المصروفات حسب الشهر'!$C$1270:$AD$1381,14,FALSE),0)</f>
        <v>7100</v>
      </c>
      <c r="N1412" s="31" t="e">
        <f>#REF!</f>
        <v>#REF!</v>
      </c>
      <c r="O1412" s="37" t="e">
        <f t="shared" si="36"/>
        <v>#REF!</v>
      </c>
    </row>
    <row r="1413" spans="2:15" ht="17.399999999999999">
      <c r="B1413" s="42" t="s">
        <v>27</v>
      </c>
      <c r="C1413" s="39">
        <f>'تقرير المصروفات حسب الشهر'!P13</f>
        <v>0</v>
      </c>
      <c r="D1413" s="31" t="e">
        <f>#REF!</f>
        <v>#REF!</v>
      </c>
      <c r="E1413" s="31" t="e">
        <f>#REF!</f>
        <v>#REF!</v>
      </c>
      <c r="F1413" s="31" t="e">
        <f>#REF!</f>
        <v>#REF!</v>
      </c>
      <c r="G1413" s="31" t="e">
        <f>#REF!</f>
        <v>#REF!</v>
      </c>
      <c r="H1413" s="31" t="e">
        <f>#REF!</f>
        <v>#REF!</v>
      </c>
      <c r="I1413" s="31">
        <f>'تقرير المصروفات حسب الشهر'!P766</f>
        <v>0</v>
      </c>
      <c r="J1413" s="31">
        <f>'تقرير المصروفات حسب الشهر'!P893</f>
        <v>0</v>
      </c>
      <c r="K1413" s="31">
        <f>'تقرير المصروفات حسب الشهر'!P1020</f>
        <v>0</v>
      </c>
      <c r="L1413" s="292">
        <f>IFERROR(VLOOKUP(B1413,'تقرير المصروفات حسب الشهر'!$C$1143:$AD$1254,14,FALSE),0)</f>
        <v>0</v>
      </c>
      <c r="M1413" s="292">
        <f>IFERROR(VLOOKUP(B1413,'تقرير المصروفات حسب الشهر'!$C$1270:$AD$1381,14,FALSE),0)</f>
        <v>0</v>
      </c>
      <c r="N1413" s="31" t="e">
        <f>#REF!</f>
        <v>#REF!</v>
      </c>
      <c r="O1413" s="37" t="e">
        <f t="shared" si="36"/>
        <v>#REF!</v>
      </c>
    </row>
    <row r="1414" spans="2:15" ht="17.399999999999999">
      <c r="B1414" s="42" t="s">
        <v>42</v>
      </c>
      <c r="C1414" s="39">
        <f>'تقرير المصروفات حسب الشهر'!P14</f>
        <v>300</v>
      </c>
      <c r="D1414" s="31" t="e">
        <f>#REF!</f>
        <v>#REF!</v>
      </c>
      <c r="E1414" s="31" t="e">
        <f>#REF!</f>
        <v>#REF!</v>
      </c>
      <c r="F1414" s="31" t="e">
        <f>#REF!</f>
        <v>#REF!</v>
      </c>
      <c r="G1414" s="31" t="e">
        <f>#REF!</f>
        <v>#REF!</v>
      </c>
      <c r="H1414" s="31" t="e">
        <f>#REF!</f>
        <v>#REF!</v>
      </c>
      <c r="I1414" s="31">
        <f>'تقرير المصروفات حسب الشهر'!P767</f>
        <v>0</v>
      </c>
      <c r="J1414" s="31">
        <f>'تقرير المصروفات حسب الشهر'!P894</f>
        <v>0</v>
      </c>
      <c r="K1414" s="31">
        <f>'تقرير المصروفات حسب الشهر'!P1021</f>
        <v>0</v>
      </c>
      <c r="L1414" s="292">
        <f>IFERROR(VLOOKUP(B1414,'تقرير المصروفات حسب الشهر'!$C$1143:$AD$1254,14,FALSE),0)</f>
        <v>0</v>
      </c>
      <c r="M1414" s="292">
        <f>IFERROR(VLOOKUP(B1414,'تقرير المصروفات حسب الشهر'!$C$1270:$AD$1381,14,FALSE),0)</f>
        <v>0</v>
      </c>
      <c r="N1414" s="31" t="e">
        <f>#REF!</f>
        <v>#REF!</v>
      </c>
      <c r="O1414" s="37" t="e">
        <f t="shared" si="36"/>
        <v>#REF!</v>
      </c>
    </row>
    <row r="1415" spans="2:15" ht="17.399999999999999">
      <c r="B1415" s="42" t="s">
        <v>43</v>
      </c>
      <c r="C1415" s="39">
        <f>'تقرير المصروفات حسب الشهر'!P15</f>
        <v>0</v>
      </c>
      <c r="D1415" s="31" t="e">
        <f>#REF!</f>
        <v>#REF!</v>
      </c>
      <c r="E1415" s="31" t="e">
        <f>#REF!</f>
        <v>#REF!</v>
      </c>
      <c r="F1415" s="31" t="e">
        <f>#REF!</f>
        <v>#REF!</v>
      </c>
      <c r="G1415" s="31" t="e">
        <f>#REF!</f>
        <v>#REF!</v>
      </c>
      <c r="H1415" s="31" t="e">
        <f>#REF!</f>
        <v>#REF!</v>
      </c>
      <c r="I1415" s="31">
        <f>'تقرير المصروفات حسب الشهر'!P768</f>
        <v>0</v>
      </c>
      <c r="J1415" s="31">
        <f>'تقرير المصروفات حسب الشهر'!P895</f>
        <v>0</v>
      </c>
      <c r="K1415" s="31">
        <f>'تقرير المصروفات حسب الشهر'!P1022</f>
        <v>0</v>
      </c>
      <c r="L1415" s="292">
        <f>IFERROR(VLOOKUP(B1415,'تقرير المصروفات حسب الشهر'!$C$1143:$AD$1254,14,FALSE),0)</f>
        <v>0</v>
      </c>
      <c r="M1415" s="292">
        <f>IFERROR(VLOOKUP(B1415,'تقرير المصروفات حسب الشهر'!$C$1270:$AD$1381,14,FALSE),0)</f>
        <v>0</v>
      </c>
      <c r="N1415" s="31" t="e">
        <f>#REF!</f>
        <v>#REF!</v>
      </c>
      <c r="O1415" s="37" t="e">
        <f t="shared" si="36"/>
        <v>#REF!</v>
      </c>
    </row>
    <row r="1416" spans="2:15" ht="17.399999999999999">
      <c r="B1416" s="42" t="s">
        <v>44</v>
      </c>
      <c r="C1416" s="39">
        <f>'تقرير المصروفات حسب الشهر'!P16</f>
        <v>0</v>
      </c>
      <c r="D1416" s="31" t="e">
        <f>#REF!</f>
        <v>#REF!</v>
      </c>
      <c r="E1416" s="31" t="e">
        <f>#REF!</f>
        <v>#REF!</v>
      </c>
      <c r="F1416" s="31" t="e">
        <f>#REF!</f>
        <v>#REF!</v>
      </c>
      <c r="G1416" s="31" t="e">
        <f>#REF!</f>
        <v>#REF!</v>
      </c>
      <c r="H1416" s="31" t="e">
        <f>#REF!</f>
        <v>#REF!</v>
      </c>
      <c r="I1416" s="31">
        <f>'تقرير المصروفات حسب الشهر'!P769</f>
        <v>0</v>
      </c>
      <c r="J1416" s="31">
        <f>'تقرير المصروفات حسب الشهر'!P896</f>
        <v>0</v>
      </c>
      <c r="K1416" s="31">
        <f>'تقرير المصروفات حسب الشهر'!P1023</f>
        <v>0</v>
      </c>
      <c r="L1416" s="292">
        <f>IFERROR(VLOOKUP(B1416,'تقرير المصروفات حسب الشهر'!$C$1143:$AD$1254,14,FALSE),0)</f>
        <v>0</v>
      </c>
      <c r="M1416" s="292">
        <f>IFERROR(VLOOKUP(B1416,'تقرير المصروفات حسب الشهر'!$C$1270:$AD$1381,14,FALSE),0)</f>
        <v>0</v>
      </c>
      <c r="N1416" s="31" t="e">
        <f>#REF!</f>
        <v>#REF!</v>
      </c>
      <c r="O1416" s="37" t="e">
        <f t="shared" si="36"/>
        <v>#REF!</v>
      </c>
    </row>
    <row r="1417" spans="2:15" ht="17.399999999999999">
      <c r="B1417" s="42" t="s">
        <v>45</v>
      </c>
      <c r="C1417" s="39">
        <f>'تقرير المصروفات حسب الشهر'!P17</f>
        <v>20900</v>
      </c>
      <c r="D1417" s="31" t="e">
        <f>#REF!</f>
        <v>#REF!</v>
      </c>
      <c r="E1417" s="31" t="e">
        <f>#REF!</f>
        <v>#REF!</v>
      </c>
      <c r="F1417" s="31" t="e">
        <f>#REF!</f>
        <v>#REF!</v>
      </c>
      <c r="G1417" s="31" t="e">
        <f>#REF!</f>
        <v>#REF!</v>
      </c>
      <c r="H1417" s="31" t="e">
        <f>#REF!</f>
        <v>#REF!</v>
      </c>
      <c r="I1417" s="31">
        <f>'تقرير المصروفات حسب الشهر'!P770</f>
        <v>20900</v>
      </c>
      <c r="J1417" s="31">
        <f>'تقرير المصروفات حسب الشهر'!P897</f>
        <v>20900</v>
      </c>
      <c r="K1417" s="31">
        <f>'تقرير المصروفات حسب الشهر'!P1024</f>
        <v>20700</v>
      </c>
      <c r="L1417" s="292">
        <f>IFERROR(VLOOKUP(B1417,'تقرير المصروفات حسب الشهر'!$C$1143:$AD$1254,14,FALSE),0)</f>
        <v>18700</v>
      </c>
      <c r="M1417" s="292">
        <f>IFERROR(VLOOKUP(B1417,'تقرير المصروفات حسب الشهر'!$C$1270:$AD$1381,14,FALSE),0)</f>
        <v>22700</v>
      </c>
      <c r="N1417" s="31" t="e">
        <f>#REF!</f>
        <v>#REF!</v>
      </c>
      <c r="O1417" s="37" t="e">
        <f t="shared" si="36"/>
        <v>#REF!</v>
      </c>
    </row>
    <row r="1418" spans="2:15" ht="17.399999999999999">
      <c r="B1418" s="42" t="s">
        <v>156</v>
      </c>
      <c r="C1418" s="39">
        <f>'تقرير المصروفات حسب الشهر'!P18</f>
        <v>0</v>
      </c>
      <c r="D1418" s="31" t="e">
        <f>#REF!</f>
        <v>#REF!</v>
      </c>
      <c r="E1418" s="31" t="e">
        <f>#REF!</f>
        <v>#REF!</v>
      </c>
      <c r="F1418" s="31" t="e">
        <f>#REF!</f>
        <v>#REF!</v>
      </c>
      <c r="G1418" s="31" t="e">
        <f>#REF!</f>
        <v>#REF!</v>
      </c>
      <c r="H1418" s="31" t="e">
        <f>#REF!</f>
        <v>#REF!</v>
      </c>
      <c r="I1418" s="31">
        <f>'تقرير المصروفات حسب الشهر'!P771</f>
        <v>0</v>
      </c>
      <c r="J1418" s="31">
        <f>'تقرير المصروفات حسب الشهر'!P898</f>
        <v>0</v>
      </c>
      <c r="K1418" s="31">
        <f>'تقرير المصروفات حسب الشهر'!P1025</f>
        <v>0</v>
      </c>
      <c r="L1418" s="292">
        <f>IFERROR(VLOOKUP(B1418,'تقرير المصروفات حسب الشهر'!$C$1143:$AD$1254,14,FALSE),0)</f>
        <v>995.5</v>
      </c>
      <c r="M1418" s="292">
        <f>IFERROR(VLOOKUP(B1418,'تقرير المصروفات حسب الشهر'!$C$1270:$AD$1381,14,FALSE),0)</f>
        <v>0</v>
      </c>
      <c r="N1418" s="31" t="e">
        <f>#REF!</f>
        <v>#REF!</v>
      </c>
      <c r="O1418" s="37" t="e">
        <f t="shared" si="36"/>
        <v>#REF!</v>
      </c>
    </row>
    <row r="1419" spans="2:15" ht="17.399999999999999">
      <c r="B1419" s="42" t="s">
        <v>46</v>
      </c>
      <c r="C1419" s="39">
        <f>'تقرير المصروفات حسب الشهر'!P19</f>
        <v>648.82000000000005</v>
      </c>
      <c r="D1419" s="31" t="e">
        <f>#REF!</f>
        <v>#REF!</v>
      </c>
      <c r="E1419" s="31" t="e">
        <f>#REF!</f>
        <v>#REF!</v>
      </c>
      <c r="F1419" s="31" t="e">
        <f>#REF!</f>
        <v>#REF!</v>
      </c>
      <c r="G1419" s="31" t="e">
        <f>#REF!</f>
        <v>#REF!</v>
      </c>
      <c r="H1419" s="31" t="e">
        <f>#REF!</f>
        <v>#REF!</v>
      </c>
      <c r="I1419" s="31">
        <f>'تقرير المصروفات حسب الشهر'!P772</f>
        <v>623.80999999999995</v>
      </c>
      <c r="J1419" s="31">
        <f>'تقرير المصروفات حسب الشهر'!P899</f>
        <v>618.80999999999995</v>
      </c>
      <c r="K1419" s="31">
        <f>'تقرير المصروفات حسب الشهر'!P1026</f>
        <v>658.81</v>
      </c>
      <c r="L1419" s="292">
        <f>IFERROR(VLOOKUP(B1419,'تقرير المصروفات حسب الشهر'!$C$1143:$AD$1254,14,FALSE),0)</f>
        <v>593.80999999999995</v>
      </c>
      <c r="M1419" s="292">
        <f>IFERROR(VLOOKUP(B1419,'تقرير المصروفات حسب الشهر'!$C$1270:$AD$1381,14,FALSE),0)</f>
        <v>658.81</v>
      </c>
      <c r="N1419" s="31" t="e">
        <f>#REF!</f>
        <v>#REF!</v>
      </c>
      <c r="O1419" s="37" t="e">
        <f t="shared" si="36"/>
        <v>#REF!</v>
      </c>
    </row>
    <row r="1420" spans="2:15" ht="17.399999999999999">
      <c r="B1420" s="42" t="s">
        <v>47</v>
      </c>
      <c r="C1420" s="39">
        <f>'تقرير المصروفات حسب الشهر'!P20</f>
        <v>0</v>
      </c>
      <c r="D1420" s="31" t="e">
        <f>#REF!</f>
        <v>#REF!</v>
      </c>
      <c r="E1420" s="31" t="e">
        <f>#REF!</f>
        <v>#REF!</v>
      </c>
      <c r="F1420" s="31" t="e">
        <f>#REF!</f>
        <v>#REF!</v>
      </c>
      <c r="G1420" s="31" t="e">
        <f>#REF!</f>
        <v>#REF!</v>
      </c>
      <c r="H1420" s="31" t="e">
        <f>#REF!</f>
        <v>#REF!</v>
      </c>
      <c r="I1420" s="31">
        <f>'تقرير المصروفات حسب الشهر'!P773</f>
        <v>0</v>
      </c>
      <c r="J1420" s="31">
        <f>'تقرير المصروفات حسب الشهر'!P900</f>
        <v>0</v>
      </c>
      <c r="K1420" s="31">
        <f>'تقرير المصروفات حسب الشهر'!P1027</f>
        <v>0</v>
      </c>
      <c r="L1420" s="292">
        <f>IFERROR(VLOOKUP(B1420,'تقرير المصروفات حسب الشهر'!$C$1143:$AD$1254,14,FALSE),0)</f>
        <v>0</v>
      </c>
      <c r="M1420" s="292">
        <f>IFERROR(VLOOKUP(B1420,'تقرير المصروفات حسب الشهر'!$C$1270:$AD$1381,14,FALSE),0)</f>
        <v>0</v>
      </c>
      <c r="N1420" s="31" t="e">
        <f>#REF!</f>
        <v>#REF!</v>
      </c>
      <c r="O1420" s="37" t="e">
        <f t="shared" si="36"/>
        <v>#REF!</v>
      </c>
    </row>
    <row r="1421" spans="2:15" ht="17.399999999999999">
      <c r="B1421" s="42" t="s">
        <v>48</v>
      </c>
      <c r="C1421" s="39">
        <f>'تقرير المصروفات حسب الشهر'!P21</f>
        <v>500</v>
      </c>
      <c r="D1421" s="31" t="e">
        <f>#REF!</f>
        <v>#REF!</v>
      </c>
      <c r="E1421" s="31" t="e">
        <f>#REF!</f>
        <v>#REF!</v>
      </c>
      <c r="F1421" s="31" t="e">
        <f>#REF!</f>
        <v>#REF!</v>
      </c>
      <c r="G1421" s="31" t="e">
        <f>#REF!</f>
        <v>#REF!</v>
      </c>
      <c r="H1421" s="31" t="e">
        <f>#REF!</f>
        <v>#REF!</v>
      </c>
      <c r="I1421" s="31">
        <f>'تقرير المصروفات حسب الشهر'!P774</f>
        <v>400</v>
      </c>
      <c r="J1421" s="31">
        <f>'تقرير المصروفات حسب الشهر'!P901</f>
        <v>0</v>
      </c>
      <c r="K1421" s="31">
        <f>'تقرير المصروفات حسب الشهر'!P1028</f>
        <v>0</v>
      </c>
      <c r="L1421" s="292">
        <f>IFERROR(VLOOKUP(B1421,'تقرير المصروفات حسب الشهر'!$C$1143:$AD$1254,14,FALSE),0)</f>
        <v>0</v>
      </c>
      <c r="M1421" s="292">
        <f>IFERROR(VLOOKUP(B1421,'تقرير المصروفات حسب الشهر'!$C$1270:$AD$1381,14,FALSE),0)</f>
        <v>750</v>
      </c>
      <c r="N1421" s="31" t="e">
        <f>#REF!</f>
        <v>#REF!</v>
      </c>
      <c r="O1421" s="37" t="e">
        <f t="shared" si="36"/>
        <v>#REF!</v>
      </c>
    </row>
    <row r="1422" spans="2:15" ht="17.399999999999999">
      <c r="B1422" s="42" t="s">
        <v>49</v>
      </c>
      <c r="C1422" s="39">
        <f>'تقرير المصروفات حسب الشهر'!P22</f>
        <v>0</v>
      </c>
      <c r="D1422" s="31" t="e">
        <f>#REF!</f>
        <v>#REF!</v>
      </c>
      <c r="E1422" s="31" t="e">
        <f>#REF!</f>
        <v>#REF!</v>
      </c>
      <c r="F1422" s="31" t="e">
        <f>#REF!</f>
        <v>#REF!</v>
      </c>
      <c r="G1422" s="31" t="e">
        <f>#REF!</f>
        <v>#REF!</v>
      </c>
      <c r="H1422" s="31" t="e">
        <f>#REF!</f>
        <v>#REF!</v>
      </c>
      <c r="I1422" s="31">
        <f>'تقرير المصروفات حسب الشهر'!P775</f>
        <v>0</v>
      </c>
      <c r="J1422" s="31">
        <f>'تقرير المصروفات حسب الشهر'!P902</f>
        <v>0</v>
      </c>
      <c r="K1422" s="31">
        <f>'تقرير المصروفات حسب الشهر'!P1029</f>
        <v>0</v>
      </c>
      <c r="L1422" s="292">
        <f>IFERROR(VLOOKUP(B1422,'تقرير المصروفات حسب الشهر'!$C$1143:$AD$1254,14,FALSE),0)</f>
        <v>0</v>
      </c>
      <c r="M1422" s="292">
        <f>IFERROR(VLOOKUP(B1422,'تقرير المصروفات حسب الشهر'!$C$1270:$AD$1381,14,FALSE),0)</f>
        <v>0</v>
      </c>
      <c r="N1422" s="31" t="e">
        <f>#REF!</f>
        <v>#REF!</v>
      </c>
      <c r="O1422" s="37" t="e">
        <f t="shared" si="36"/>
        <v>#REF!</v>
      </c>
    </row>
    <row r="1423" spans="2:15" ht="17.399999999999999">
      <c r="B1423" s="42" t="s">
        <v>158</v>
      </c>
      <c r="C1423" s="39">
        <f>'تقرير المصروفات حسب الشهر'!P23</f>
        <v>0</v>
      </c>
      <c r="D1423" s="31" t="e">
        <f>#REF!</f>
        <v>#REF!</v>
      </c>
      <c r="E1423" s="31" t="e">
        <f>#REF!</f>
        <v>#REF!</v>
      </c>
      <c r="F1423" s="31" t="e">
        <f>#REF!</f>
        <v>#REF!</v>
      </c>
      <c r="G1423" s="31" t="e">
        <f>#REF!</f>
        <v>#REF!</v>
      </c>
      <c r="H1423" s="31" t="e">
        <f>#REF!</f>
        <v>#REF!</v>
      </c>
      <c r="I1423" s="31">
        <f>'تقرير المصروفات حسب الشهر'!P776</f>
        <v>0</v>
      </c>
      <c r="J1423" s="31">
        <f>'تقرير المصروفات حسب الشهر'!P903</f>
        <v>250</v>
      </c>
      <c r="K1423" s="31">
        <f>'تقرير المصروفات حسب الشهر'!P1030</f>
        <v>0</v>
      </c>
      <c r="L1423" s="292">
        <f>IFERROR(VLOOKUP(B1423,'تقرير المصروفات حسب الشهر'!$C$1143:$AD$1254,14,FALSE),0)</f>
        <v>0</v>
      </c>
      <c r="M1423" s="292">
        <f>IFERROR(VLOOKUP(B1423,'تقرير المصروفات حسب الشهر'!$C$1270:$AD$1381,14,FALSE),0)</f>
        <v>0</v>
      </c>
      <c r="N1423" s="31" t="e">
        <f>#REF!</f>
        <v>#REF!</v>
      </c>
      <c r="O1423" s="37" t="e">
        <f t="shared" si="36"/>
        <v>#REF!</v>
      </c>
    </row>
    <row r="1424" spans="2:15" ht="17.399999999999999">
      <c r="B1424" s="42" t="s">
        <v>50</v>
      </c>
      <c r="C1424" s="39">
        <f>'تقرير المصروفات حسب الشهر'!P24</f>
        <v>750</v>
      </c>
      <c r="D1424" s="31" t="e">
        <f>#REF!</f>
        <v>#REF!</v>
      </c>
      <c r="E1424" s="31" t="e">
        <f>#REF!</f>
        <v>#REF!</v>
      </c>
      <c r="F1424" s="31" t="e">
        <f>#REF!</f>
        <v>#REF!</v>
      </c>
      <c r="G1424" s="31" t="e">
        <f>#REF!</f>
        <v>#REF!</v>
      </c>
      <c r="H1424" s="31" t="e">
        <f>#REF!</f>
        <v>#REF!</v>
      </c>
      <c r="I1424" s="31">
        <f>'تقرير المصروفات حسب الشهر'!P777</f>
        <v>0</v>
      </c>
      <c r="J1424" s="31">
        <f>'تقرير المصروفات حسب الشهر'!P904</f>
        <v>0</v>
      </c>
      <c r="K1424" s="31">
        <f>'تقرير المصروفات حسب الشهر'!P1031</f>
        <v>0</v>
      </c>
      <c r="L1424" s="292">
        <f>IFERROR(VLOOKUP(B1424,'تقرير المصروفات حسب الشهر'!$C$1143:$AD$1254,14,FALSE),0)</f>
        <v>770</v>
      </c>
      <c r="M1424" s="292">
        <f>IFERROR(VLOOKUP(B1424,'تقرير المصروفات حسب الشهر'!$C$1270:$AD$1381,14,FALSE),0)</f>
        <v>0</v>
      </c>
      <c r="N1424" s="31" t="e">
        <f>#REF!</f>
        <v>#REF!</v>
      </c>
      <c r="O1424" s="37" t="e">
        <f t="shared" si="36"/>
        <v>#REF!</v>
      </c>
    </row>
    <row r="1425" spans="2:15" ht="17.399999999999999">
      <c r="B1425" s="42" t="s">
        <v>51</v>
      </c>
      <c r="C1425" s="39">
        <f>'تقرير المصروفات حسب الشهر'!P25</f>
        <v>2250</v>
      </c>
      <c r="D1425" s="31" t="e">
        <f>#REF!</f>
        <v>#REF!</v>
      </c>
      <c r="E1425" s="31" t="e">
        <f>#REF!</f>
        <v>#REF!</v>
      </c>
      <c r="F1425" s="31" t="e">
        <f>#REF!</f>
        <v>#REF!</v>
      </c>
      <c r="G1425" s="31" t="e">
        <f>#REF!</f>
        <v>#REF!</v>
      </c>
      <c r="H1425" s="31" t="e">
        <f>#REF!</f>
        <v>#REF!</v>
      </c>
      <c r="I1425" s="31">
        <f>'تقرير المصروفات حسب الشهر'!P778</f>
        <v>0</v>
      </c>
      <c r="J1425" s="31">
        <f>'تقرير المصروفات حسب الشهر'!P905</f>
        <v>2250</v>
      </c>
      <c r="K1425" s="31">
        <f>'تقرير المصروفات حسب الشهر'!P1032</f>
        <v>0</v>
      </c>
      <c r="L1425" s="292">
        <f>IFERROR(VLOOKUP(B1425,'تقرير المصروفات حسب الشهر'!$C$1143:$AD$1254,14,FALSE),0)</f>
        <v>2250</v>
      </c>
      <c r="M1425" s="292">
        <f>IFERROR(VLOOKUP(B1425,'تقرير المصروفات حسب الشهر'!$C$1270:$AD$1381,14,FALSE),0)</f>
        <v>0</v>
      </c>
      <c r="N1425" s="31" t="e">
        <f>#REF!</f>
        <v>#REF!</v>
      </c>
      <c r="O1425" s="37" t="e">
        <f t="shared" si="36"/>
        <v>#REF!</v>
      </c>
    </row>
    <row r="1426" spans="2:15" ht="17.399999999999999">
      <c r="B1426" s="42" t="s">
        <v>52</v>
      </c>
      <c r="C1426" s="39">
        <f>'تقرير المصروفات حسب الشهر'!P26</f>
        <v>0</v>
      </c>
      <c r="D1426" s="31" t="e">
        <f>#REF!</f>
        <v>#REF!</v>
      </c>
      <c r="E1426" s="31" t="e">
        <f>#REF!</f>
        <v>#REF!</v>
      </c>
      <c r="F1426" s="31" t="e">
        <f>#REF!</f>
        <v>#REF!</v>
      </c>
      <c r="G1426" s="31" t="e">
        <f>#REF!</f>
        <v>#REF!</v>
      </c>
      <c r="H1426" s="31" t="e">
        <f>#REF!</f>
        <v>#REF!</v>
      </c>
      <c r="I1426" s="31">
        <f>'تقرير المصروفات حسب الشهر'!P779</f>
        <v>0</v>
      </c>
      <c r="J1426" s="31">
        <f>'تقرير المصروفات حسب الشهر'!P906</f>
        <v>0</v>
      </c>
      <c r="K1426" s="31">
        <f>'تقرير المصروفات حسب الشهر'!P1033</f>
        <v>0</v>
      </c>
      <c r="L1426" s="292">
        <f>IFERROR(VLOOKUP(B1426,'تقرير المصروفات حسب الشهر'!$C$1143:$AD$1254,14,FALSE),0)</f>
        <v>0</v>
      </c>
      <c r="M1426" s="292">
        <f>IFERROR(VLOOKUP(B1426,'تقرير المصروفات حسب الشهر'!$C$1270:$AD$1381,14,FALSE),0)</f>
        <v>0</v>
      </c>
      <c r="N1426" s="31" t="e">
        <f>#REF!</f>
        <v>#REF!</v>
      </c>
      <c r="O1426" s="37" t="e">
        <f t="shared" si="36"/>
        <v>#REF!</v>
      </c>
    </row>
    <row r="1427" spans="2:15" ht="17.399999999999999">
      <c r="B1427" s="42" t="s">
        <v>174</v>
      </c>
      <c r="C1427" s="39">
        <f>'تقرير المصروفات حسب الشهر'!P27</f>
        <v>4567.5</v>
      </c>
      <c r="D1427" s="31" t="e">
        <f>#REF!</f>
        <v>#REF!</v>
      </c>
      <c r="E1427" s="31" t="e">
        <f>#REF!</f>
        <v>#REF!</v>
      </c>
      <c r="F1427" s="31" t="e">
        <f>#REF!</f>
        <v>#REF!</v>
      </c>
      <c r="G1427" s="31" t="e">
        <f>#REF!</f>
        <v>#REF!</v>
      </c>
      <c r="H1427" s="31" t="e">
        <f>#REF!</f>
        <v>#REF!</v>
      </c>
      <c r="I1427" s="31">
        <f>'تقرير المصروفات حسب الشهر'!P780</f>
        <v>2478</v>
      </c>
      <c r="J1427" s="31">
        <f>'تقرير المصروفات حسب الشهر'!P907</f>
        <v>2070</v>
      </c>
      <c r="K1427" s="31">
        <f>'تقرير المصروفات حسب الشهر'!P1034</f>
        <v>1866</v>
      </c>
      <c r="L1427" s="292">
        <f>IFERROR(VLOOKUP(B1427,'تقرير المصروفات حسب الشهر'!$C$1143:$AD$1254,14,FALSE),0)</f>
        <v>1382</v>
      </c>
      <c r="M1427" s="292">
        <f>IFERROR(VLOOKUP(B1427,'تقرير المصروفات حسب الشهر'!$C$1270:$AD$1381,14,FALSE),0)</f>
        <v>2906</v>
      </c>
      <c r="N1427" s="31" t="e">
        <f>#REF!</f>
        <v>#REF!</v>
      </c>
      <c r="O1427" s="37" t="e">
        <f t="shared" si="36"/>
        <v>#REF!</v>
      </c>
    </row>
    <row r="1428" spans="2:15" ht="17.399999999999999">
      <c r="B1428" s="42" t="s">
        <v>53</v>
      </c>
      <c r="C1428" s="39">
        <f>'تقرير المصروفات حسب الشهر'!P28</f>
        <v>0</v>
      </c>
      <c r="D1428" s="31" t="e">
        <f>#REF!</f>
        <v>#REF!</v>
      </c>
      <c r="E1428" s="31" t="e">
        <f>#REF!</f>
        <v>#REF!</v>
      </c>
      <c r="F1428" s="31" t="e">
        <f>#REF!</f>
        <v>#REF!</v>
      </c>
      <c r="G1428" s="31" t="e">
        <f>#REF!</f>
        <v>#REF!</v>
      </c>
      <c r="H1428" s="31" t="e">
        <f>#REF!</f>
        <v>#REF!</v>
      </c>
      <c r="I1428" s="31">
        <f>'تقرير المصروفات حسب الشهر'!P781</f>
        <v>0</v>
      </c>
      <c r="J1428" s="31">
        <f>'تقرير المصروفات حسب الشهر'!P908</f>
        <v>0</v>
      </c>
      <c r="K1428" s="31">
        <f>'تقرير المصروفات حسب الشهر'!P1035</f>
        <v>0</v>
      </c>
      <c r="L1428" s="292">
        <f>IFERROR(VLOOKUP(B1428,'تقرير المصروفات حسب الشهر'!$C$1143:$AD$1254,14,FALSE),0)</f>
        <v>0</v>
      </c>
      <c r="M1428" s="292">
        <f>IFERROR(VLOOKUP(B1428,'تقرير المصروفات حسب الشهر'!$C$1270:$AD$1381,14,FALSE),0)</f>
        <v>0</v>
      </c>
      <c r="N1428" s="31" t="e">
        <f>#REF!</f>
        <v>#REF!</v>
      </c>
      <c r="O1428" s="37" t="e">
        <f t="shared" si="36"/>
        <v>#REF!</v>
      </c>
    </row>
    <row r="1429" spans="2:15" ht="17.399999999999999">
      <c r="B1429" s="42" t="s">
        <v>191</v>
      </c>
      <c r="C1429" s="39">
        <f>'تقرير المصروفات حسب الشهر'!P29</f>
        <v>0</v>
      </c>
      <c r="D1429" s="31" t="e">
        <f>#REF!</f>
        <v>#REF!</v>
      </c>
      <c r="E1429" s="31" t="e">
        <f>#REF!</f>
        <v>#REF!</v>
      </c>
      <c r="F1429" s="31" t="e">
        <f>#REF!</f>
        <v>#REF!</v>
      </c>
      <c r="G1429" s="31" t="e">
        <f>#REF!</f>
        <v>#REF!</v>
      </c>
      <c r="H1429" s="31" t="e">
        <f>#REF!</f>
        <v>#REF!</v>
      </c>
      <c r="I1429" s="31">
        <f>'تقرير المصروفات حسب الشهر'!P782</f>
        <v>0</v>
      </c>
      <c r="J1429" s="31">
        <f>'تقرير المصروفات حسب الشهر'!P909</f>
        <v>0</v>
      </c>
      <c r="K1429" s="31">
        <f>'تقرير المصروفات حسب الشهر'!P1036</f>
        <v>0</v>
      </c>
      <c r="L1429" s="292">
        <f>IFERROR(VLOOKUP(B1429,'تقرير المصروفات حسب الشهر'!$C$1143:$AD$1254,14,FALSE),0)</f>
        <v>0</v>
      </c>
      <c r="M1429" s="292">
        <f>IFERROR(VLOOKUP(B1429,'تقرير المصروفات حسب الشهر'!$C$1270:$AD$1381,14,FALSE),0)</f>
        <v>0</v>
      </c>
      <c r="N1429" s="31" t="e">
        <f>#REF!</f>
        <v>#REF!</v>
      </c>
      <c r="O1429" s="37" t="e">
        <f t="shared" si="36"/>
        <v>#REF!</v>
      </c>
    </row>
    <row r="1430" spans="2:15" ht="17.399999999999999">
      <c r="B1430" s="42" t="s">
        <v>29</v>
      </c>
      <c r="C1430" s="39">
        <f>'تقرير المصروفات حسب الشهر'!P30</f>
        <v>0</v>
      </c>
      <c r="D1430" s="31" t="e">
        <f>#REF!</f>
        <v>#REF!</v>
      </c>
      <c r="E1430" s="31" t="e">
        <f>#REF!</f>
        <v>#REF!</v>
      </c>
      <c r="F1430" s="31" t="e">
        <f>#REF!</f>
        <v>#REF!</v>
      </c>
      <c r="G1430" s="31" t="e">
        <f>#REF!</f>
        <v>#REF!</v>
      </c>
      <c r="H1430" s="31" t="e">
        <f>#REF!</f>
        <v>#REF!</v>
      </c>
      <c r="I1430" s="31">
        <f>'تقرير المصروفات حسب الشهر'!P783</f>
        <v>0</v>
      </c>
      <c r="J1430" s="31">
        <f>'تقرير المصروفات حسب الشهر'!P910</f>
        <v>0</v>
      </c>
      <c r="K1430" s="31">
        <f>'تقرير المصروفات حسب الشهر'!P1037</f>
        <v>0</v>
      </c>
      <c r="L1430" s="292">
        <f>IFERROR(VLOOKUP(B1430,'تقرير المصروفات حسب الشهر'!$C$1143:$AD$1254,14,FALSE),0)</f>
        <v>0</v>
      </c>
      <c r="M1430" s="292">
        <f>IFERROR(VLOOKUP(B1430,'تقرير المصروفات حسب الشهر'!$C$1270:$AD$1381,14,FALSE),0)</f>
        <v>0</v>
      </c>
      <c r="N1430" s="31" t="e">
        <f>#REF!</f>
        <v>#REF!</v>
      </c>
      <c r="O1430" s="37" t="e">
        <f t="shared" si="36"/>
        <v>#REF!</v>
      </c>
    </row>
    <row r="1431" spans="2:15" ht="17.399999999999999">
      <c r="B1431" s="42" t="s">
        <v>54</v>
      </c>
      <c r="C1431" s="39">
        <f>'تقرير المصروفات حسب الشهر'!P31</f>
        <v>0</v>
      </c>
      <c r="D1431" s="31" t="e">
        <f>#REF!</f>
        <v>#REF!</v>
      </c>
      <c r="E1431" s="31" t="e">
        <f>#REF!</f>
        <v>#REF!</v>
      </c>
      <c r="F1431" s="31" t="e">
        <f>#REF!</f>
        <v>#REF!</v>
      </c>
      <c r="G1431" s="31" t="e">
        <f>#REF!</f>
        <v>#REF!</v>
      </c>
      <c r="H1431" s="31" t="e">
        <f>#REF!</f>
        <v>#REF!</v>
      </c>
      <c r="I1431" s="31">
        <f>'تقرير المصروفات حسب الشهر'!P784</f>
        <v>0</v>
      </c>
      <c r="J1431" s="31">
        <f>'تقرير المصروفات حسب الشهر'!P911</f>
        <v>0</v>
      </c>
      <c r="K1431" s="31">
        <f>'تقرير المصروفات حسب الشهر'!P1038</f>
        <v>0</v>
      </c>
      <c r="L1431" s="292">
        <f>IFERROR(VLOOKUP(B1431,'تقرير المصروفات حسب الشهر'!$C$1143:$AD$1254,14,FALSE),0)</f>
        <v>0</v>
      </c>
      <c r="M1431" s="292">
        <f>IFERROR(VLOOKUP(B1431,'تقرير المصروفات حسب الشهر'!$C$1270:$AD$1381,14,FALSE),0)</f>
        <v>0</v>
      </c>
      <c r="N1431" s="31" t="e">
        <f>#REF!</f>
        <v>#REF!</v>
      </c>
      <c r="O1431" s="37" t="e">
        <f t="shared" si="36"/>
        <v>#REF!</v>
      </c>
    </row>
    <row r="1432" spans="2:15" ht="17.399999999999999">
      <c r="B1432" s="42" t="s">
        <v>31</v>
      </c>
      <c r="C1432" s="39">
        <f>'تقرير المصروفات حسب الشهر'!P32</f>
        <v>0</v>
      </c>
      <c r="D1432" s="31" t="e">
        <f>#REF!</f>
        <v>#REF!</v>
      </c>
      <c r="E1432" s="31" t="e">
        <f>#REF!</f>
        <v>#REF!</v>
      </c>
      <c r="F1432" s="31" t="e">
        <f>#REF!</f>
        <v>#REF!</v>
      </c>
      <c r="G1432" s="31" t="e">
        <f>#REF!</f>
        <v>#REF!</v>
      </c>
      <c r="H1432" s="31" t="e">
        <f>#REF!</f>
        <v>#REF!</v>
      </c>
      <c r="I1432" s="31">
        <f>'تقرير المصروفات حسب الشهر'!P785</f>
        <v>325</v>
      </c>
      <c r="J1432" s="31">
        <f>'تقرير المصروفات حسب الشهر'!P912</f>
        <v>110</v>
      </c>
      <c r="K1432" s="31">
        <f>'تقرير المصروفات حسب الشهر'!P1039</f>
        <v>210</v>
      </c>
      <c r="L1432" s="292">
        <f>IFERROR(VLOOKUP(B1432,'تقرير المصروفات حسب الشهر'!$C$1143:$AD$1254,14,FALSE),0)</f>
        <v>285</v>
      </c>
      <c r="M1432" s="292">
        <f>IFERROR(VLOOKUP(B1432,'تقرير المصروفات حسب الشهر'!$C$1270:$AD$1381,14,FALSE),0)</f>
        <v>280</v>
      </c>
      <c r="N1432" s="31" t="e">
        <f>#REF!</f>
        <v>#REF!</v>
      </c>
      <c r="O1432" s="37" t="e">
        <f t="shared" si="36"/>
        <v>#REF!</v>
      </c>
    </row>
    <row r="1433" spans="2:15" ht="17.399999999999999">
      <c r="B1433" s="42" t="s">
        <v>55</v>
      </c>
      <c r="C1433" s="39">
        <f>'تقرير المصروفات حسب الشهر'!P33</f>
        <v>0</v>
      </c>
      <c r="D1433" s="31" t="e">
        <f>#REF!</f>
        <v>#REF!</v>
      </c>
      <c r="E1433" s="31" t="e">
        <f>#REF!</f>
        <v>#REF!</v>
      </c>
      <c r="F1433" s="31" t="e">
        <f>#REF!</f>
        <v>#REF!</v>
      </c>
      <c r="G1433" s="31" t="e">
        <f>#REF!</f>
        <v>#REF!</v>
      </c>
      <c r="H1433" s="31" t="e">
        <f>#REF!</f>
        <v>#REF!</v>
      </c>
      <c r="I1433" s="31">
        <f>'تقرير المصروفات حسب الشهر'!P786</f>
        <v>100</v>
      </c>
      <c r="J1433" s="31">
        <f>'تقرير المصروفات حسب الشهر'!P913</f>
        <v>0</v>
      </c>
      <c r="K1433" s="31">
        <f>'تقرير المصروفات حسب الشهر'!P1040</f>
        <v>0</v>
      </c>
      <c r="L1433" s="292">
        <f>IFERROR(VLOOKUP(B1433,'تقرير المصروفات حسب الشهر'!$C$1143:$AD$1254,14,FALSE),0)</f>
        <v>120</v>
      </c>
      <c r="M1433" s="292">
        <f>IFERROR(VLOOKUP(B1433,'تقرير المصروفات حسب الشهر'!$C$1270:$AD$1381,14,FALSE),0)</f>
        <v>120</v>
      </c>
      <c r="N1433" s="31" t="e">
        <f>#REF!</f>
        <v>#REF!</v>
      </c>
      <c r="O1433" s="37" t="e">
        <f t="shared" si="36"/>
        <v>#REF!</v>
      </c>
    </row>
    <row r="1434" spans="2:15" ht="17.399999999999999">
      <c r="B1434" s="42" t="s">
        <v>56</v>
      </c>
      <c r="C1434" s="39">
        <f>'تقرير المصروفات حسب الشهر'!P34</f>
        <v>0</v>
      </c>
      <c r="D1434" s="31" t="e">
        <f>#REF!</f>
        <v>#REF!</v>
      </c>
      <c r="E1434" s="31" t="e">
        <f>#REF!</f>
        <v>#REF!</v>
      </c>
      <c r="F1434" s="31" t="e">
        <f>#REF!</f>
        <v>#REF!</v>
      </c>
      <c r="G1434" s="31" t="e">
        <f>#REF!</f>
        <v>#REF!</v>
      </c>
      <c r="H1434" s="31" t="e">
        <f>#REF!</f>
        <v>#REF!</v>
      </c>
      <c r="I1434" s="31">
        <f>'تقرير المصروفات حسب الشهر'!P787</f>
        <v>0</v>
      </c>
      <c r="J1434" s="31">
        <f>'تقرير المصروفات حسب الشهر'!P914</f>
        <v>0</v>
      </c>
      <c r="K1434" s="31">
        <f>'تقرير المصروفات حسب الشهر'!P1041</f>
        <v>0</v>
      </c>
      <c r="L1434" s="292">
        <f>IFERROR(VLOOKUP(B1434,'تقرير المصروفات حسب الشهر'!$C$1143:$AD$1254,14,FALSE),0)</f>
        <v>0</v>
      </c>
      <c r="M1434" s="292">
        <f>IFERROR(VLOOKUP(B1434,'تقرير المصروفات حسب الشهر'!$C$1270:$AD$1381,14,FALSE),0)</f>
        <v>0</v>
      </c>
      <c r="N1434" s="31" t="e">
        <f>#REF!</f>
        <v>#REF!</v>
      </c>
      <c r="O1434" s="37" t="e">
        <f t="shared" si="36"/>
        <v>#REF!</v>
      </c>
    </row>
    <row r="1435" spans="2:15" ht="17.399999999999999">
      <c r="B1435" s="42" t="s">
        <v>57</v>
      </c>
      <c r="C1435" s="39">
        <f>'تقرير المصروفات حسب الشهر'!P35</f>
        <v>0</v>
      </c>
      <c r="D1435" s="31" t="e">
        <f>#REF!</f>
        <v>#REF!</v>
      </c>
      <c r="E1435" s="31" t="e">
        <f>#REF!</f>
        <v>#REF!</v>
      </c>
      <c r="F1435" s="31" t="e">
        <f>#REF!</f>
        <v>#REF!</v>
      </c>
      <c r="G1435" s="31" t="e">
        <f>#REF!</f>
        <v>#REF!</v>
      </c>
      <c r="H1435" s="31" t="e">
        <f>#REF!</f>
        <v>#REF!</v>
      </c>
      <c r="I1435" s="31">
        <f>'تقرير المصروفات حسب الشهر'!P788</f>
        <v>600</v>
      </c>
      <c r="J1435" s="31">
        <f>'تقرير المصروفات حسب الشهر'!P915</f>
        <v>300</v>
      </c>
      <c r="K1435" s="31">
        <f>'تقرير المصروفات حسب الشهر'!P1042</f>
        <v>0</v>
      </c>
      <c r="L1435" s="292">
        <f>IFERROR(VLOOKUP(B1435,'تقرير المصروفات حسب الشهر'!$C$1143:$AD$1254,14,FALSE),0)</f>
        <v>600</v>
      </c>
      <c r="M1435" s="292">
        <f>IFERROR(VLOOKUP(B1435,'تقرير المصروفات حسب الشهر'!$C$1270:$AD$1381,14,FALSE),0)</f>
        <v>300</v>
      </c>
      <c r="N1435" s="31" t="e">
        <f>#REF!</f>
        <v>#REF!</v>
      </c>
      <c r="O1435" s="37" t="e">
        <f t="shared" si="36"/>
        <v>#REF!</v>
      </c>
    </row>
    <row r="1436" spans="2:15" ht="17.399999999999999">
      <c r="B1436" s="42" t="s">
        <v>58</v>
      </c>
      <c r="C1436" s="39">
        <f>'تقرير المصروفات حسب الشهر'!P36</f>
        <v>90</v>
      </c>
      <c r="D1436" s="31" t="e">
        <f>#REF!</f>
        <v>#REF!</v>
      </c>
      <c r="E1436" s="31" t="e">
        <f>#REF!</f>
        <v>#REF!</v>
      </c>
      <c r="F1436" s="31" t="e">
        <f>#REF!</f>
        <v>#REF!</v>
      </c>
      <c r="G1436" s="31" t="e">
        <f>#REF!</f>
        <v>#REF!</v>
      </c>
      <c r="H1436" s="31" t="e">
        <f>#REF!</f>
        <v>#REF!</v>
      </c>
      <c r="I1436" s="31">
        <f>'تقرير المصروفات حسب الشهر'!P789</f>
        <v>0</v>
      </c>
      <c r="J1436" s="31">
        <f>'تقرير المصروفات حسب الشهر'!P916</f>
        <v>0</v>
      </c>
      <c r="K1436" s="31">
        <f>'تقرير المصروفات حسب الشهر'!P1043</f>
        <v>0</v>
      </c>
      <c r="L1436" s="292">
        <f>IFERROR(VLOOKUP(B1436,'تقرير المصروفات حسب الشهر'!$C$1143:$AD$1254,14,FALSE),0)</f>
        <v>115</v>
      </c>
      <c r="M1436" s="292">
        <f>IFERROR(VLOOKUP(B1436,'تقرير المصروفات حسب الشهر'!$C$1270:$AD$1381,14,FALSE),0)</f>
        <v>0</v>
      </c>
      <c r="N1436" s="31" t="e">
        <f>#REF!</f>
        <v>#REF!</v>
      </c>
      <c r="O1436" s="37" t="e">
        <f t="shared" si="36"/>
        <v>#REF!</v>
      </c>
    </row>
    <row r="1437" spans="2:15" ht="17.399999999999999">
      <c r="B1437" s="42" t="s">
        <v>59</v>
      </c>
      <c r="C1437" s="39">
        <f>'تقرير المصروفات حسب الشهر'!P37</f>
        <v>75</v>
      </c>
      <c r="D1437" s="31" t="e">
        <f>#REF!</f>
        <v>#REF!</v>
      </c>
      <c r="E1437" s="31" t="e">
        <f>#REF!</f>
        <v>#REF!</v>
      </c>
      <c r="F1437" s="31" t="e">
        <f>#REF!</f>
        <v>#REF!</v>
      </c>
      <c r="G1437" s="31" t="e">
        <f>#REF!</f>
        <v>#REF!</v>
      </c>
      <c r="H1437" s="31" t="e">
        <f>#REF!</f>
        <v>#REF!</v>
      </c>
      <c r="I1437" s="31">
        <f>'تقرير المصروفات حسب الشهر'!P790</f>
        <v>0</v>
      </c>
      <c r="J1437" s="31">
        <f>'تقرير المصروفات حسب الشهر'!P917</f>
        <v>0</v>
      </c>
      <c r="K1437" s="31">
        <f>'تقرير المصروفات حسب الشهر'!P1044</f>
        <v>0</v>
      </c>
      <c r="L1437" s="292">
        <f>IFERROR(VLOOKUP(B1437,'تقرير المصروفات حسب الشهر'!$C$1143:$AD$1254,14,FALSE),0)</f>
        <v>0</v>
      </c>
      <c r="M1437" s="292">
        <f>IFERROR(VLOOKUP(B1437,'تقرير المصروفات حسب الشهر'!$C$1270:$AD$1381,14,FALSE),0)</f>
        <v>3710</v>
      </c>
      <c r="N1437" s="31" t="e">
        <f>#REF!</f>
        <v>#REF!</v>
      </c>
      <c r="O1437" s="37" t="e">
        <f t="shared" si="36"/>
        <v>#REF!</v>
      </c>
    </row>
    <row r="1438" spans="2:15" ht="17.399999999999999">
      <c r="B1438" s="42" t="s">
        <v>60</v>
      </c>
      <c r="C1438" s="39">
        <f>'تقرير المصروفات حسب الشهر'!P38</f>
        <v>0</v>
      </c>
      <c r="D1438" s="31" t="e">
        <f>#REF!</f>
        <v>#REF!</v>
      </c>
      <c r="E1438" s="31" t="e">
        <f>#REF!</f>
        <v>#REF!</v>
      </c>
      <c r="F1438" s="31" t="e">
        <f>#REF!</f>
        <v>#REF!</v>
      </c>
      <c r="G1438" s="31" t="e">
        <f>#REF!</f>
        <v>#REF!</v>
      </c>
      <c r="H1438" s="31" t="e">
        <f>#REF!</f>
        <v>#REF!</v>
      </c>
      <c r="I1438" s="31">
        <f>'تقرير المصروفات حسب الشهر'!P791</f>
        <v>0</v>
      </c>
      <c r="J1438" s="31">
        <f>'تقرير المصروفات حسب الشهر'!P918</f>
        <v>0</v>
      </c>
      <c r="K1438" s="31">
        <f>'تقرير المصروفات حسب الشهر'!P1045</f>
        <v>0</v>
      </c>
      <c r="L1438" s="292">
        <f>IFERROR(VLOOKUP(B1438,'تقرير المصروفات حسب الشهر'!$C$1143:$AD$1254,14,FALSE),0)</f>
        <v>0</v>
      </c>
      <c r="M1438" s="292">
        <f>IFERROR(VLOOKUP(B1438,'تقرير المصروفات حسب الشهر'!$C$1270:$AD$1381,14,FALSE),0)</f>
        <v>0</v>
      </c>
      <c r="N1438" s="31" t="e">
        <f>#REF!</f>
        <v>#REF!</v>
      </c>
      <c r="O1438" s="37" t="e">
        <f t="shared" si="36"/>
        <v>#REF!</v>
      </c>
    </row>
    <row r="1439" spans="2:15" ht="17.399999999999999">
      <c r="B1439" s="42" t="s">
        <v>61</v>
      </c>
      <c r="C1439" s="39">
        <f>'تقرير المصروفات حسب الشهر'!P39</f>
        <v>0</v>
      </c>
      <c r="D1439" s="31" t="e">
        <f>#REF!</f>
        <v>#REF!</v>
      </c>
      <c r="E1439" s="31" t="e">
        <f>#REF!</f>
        <v>#REF!</v>
      </c>
      <c r="F1439" s="31" t="e">
        <f>#REF!</f>
        <v>#REF!</v>
      </c>
      <c r="G1439" s="31" t="e">
        <f>#REF!</f>
        <v>#REF!</v>
      </c>
      <c r="H1439" s="31" t="e">
        <f>#REF!</f>
        <v>#REF!</v>
      </c>
      <c r="I1439" s="31">
        <f>'تقرير المصروفات حسب الشهر'!P792</f>
        <v>0</v>
      </c>
      <c r="J1439" s="31">
        <f>'تقرير المصروفات حسب الشهر'!P919</f>
        <v>0</v>
      </c>
      <c r="K1439" s="31">
        <f>'تقرير المصروفات حسب الشهر'!P1046</f>
        <v>900</v>
      </c>
      <c r="L1439" s="292">
        <f>IFERROR(VLOOKUP(B1439,'تقرير المصروفات حسب الشهر'!$C$1143:$AD$1254,14,FALSE),0)</f>
        <v>3000</v>
      </c>
      <c r="M1439" s="292">
        <f>IFERROR(VLOOKUP(B1439,'تقرير المصروفات حسب الشهر'!$C$1270:$AD$1381,14,FALSE),0)</f>
        <v>0</v>
      </c>
      <c r="N1439" s="31" t="e">
        <f>#REF!</f>
        <v>#REF!</v>
      </c>
      <c r="O1439" s="37" t="e">
        <f t="shared" si="36"/>
        <v>#REF!</v>
      </c>
    </row>
    <row r="1440" spans="2:15" ht="17.399999999999999">
      <c r="B1440" s="42" t="s">
        <v>62</v>
      </c>
      <c r="C1440" s="39">
        <f>'تقرير المصروفات حسب الشهر'!P40</f>
        <v>0</v>
      </c>
      <c r="D1440" s="31" t="e">
        <f>#REF!</f>
        <v>#REF!</v>
      </c>
      <c r="E1440" s="31" t="e">
        <f>#REF!</f>
        <v>#REF!</v>
      </c>
      <c r="F1440" s="31" t="e">
        <f>#REF!</f>
        <v>#REF!</v>
      </c>
      <c r="G1440" s="31" t="e">
        <f>#REF!</f>
        <v>#REF!</v>
      </c>
      <c r="H1440" s="31" t="e">
        <f>#REF!</f>
        <v>#REF!</v>
      </c>
      <c r="I1440" s="31">
        <f>'تقرير المصروفات حسب الشهر'!P793</f>
        <v>1172</v>
      </c>
      <c r="J1440" s="31">
        <f>'تقرير المصروفات حسب الشهر'!P920</f>
        <v>0</v>
      </c>
      <c r="K1440" s="31">
        <f>'تقرير المصروفات حسب الشهر'!P1047</f>
        <v>0</v>
      </c>
      <c r="L1440" s="292">
        <f>IFERROR(VLOOKUP(B1440,'تقرير المصروفات حسب الشهر'!$C$1143:$AD$1254,14,FALSE),0)</f>
        <v>5000</v>
      </c>
      <c r="M1440" s="292">
        <f>IFERROR(VLOOKUP(B1440,'تقرير المصروفات حسب الشهر'!$C$1270:$AD$1381,14,FALSE),0)</f>
        <v>1200</v>
      </c>
      <c r="N1440" s="31" t="e">
        <f>#REF!</f>
        <v>#REF!</v>
      </c>
      <c r="O1440" s="37" t="e">
        <f t="shared" si="36"/>
        <v>#REF!</v>
      </c>
    </row>
    <row r="1441" spans="2:15" ht="17.399999999999999">
      <c r="B1441" s="42" t="s">
        <v>63</v>
      </c>
      <c r="C1441" s="39">
        <f>'تقرير المصروفات حسب الشهر'!P41</f>
        <v>0</v>
      </c>
      <c r="D1441" s="31" t="e">
        <f>#REF!</f>
        <v>#REF!</v>
      </c>
      <c r="E1441" s="31" t="e">
        <f>#REF!</f>
        <v>#REF!</v>
      </c>
      <c r="F1441" s="31" t="e">
        <f>#REF!</f>
        <v>#REF!</v>
      </c>
      <c r="G1441" s="31" t="e">
        <f>#REF!</f>
        <v>#REF!</v>
      </c>
      <c r="H1441" s="31" t="e">
        <f>#REF!</f>
        <v>#REF!</v>
      </c>
      <c r="I1441" s="31">
        <f>'تقرير المصروفات حسب الشهر'!P794</f>
        <v>0</v>
      </c>
      <c r="J1441" s="31">
        <f>'تقرير المصروفات حسب الشهر'!P921</f>
        <v>0</v>
      </c>
      <c r="K1441" s="31">
        <f>'تقرير المصروفات حسب الشهر'!P1048</f>
        <v>0</v>
      </c>
      <c r="L1441" s="292">
        <f>IFERROR(VLOOKUP(B1441,'تقرير المصروفات حسب الشهر'!$C$1143:$AD$1254,14,FALSE),0)</f>
        <v>0</v>
      </c>
      <c r="M1441" s="292">
        <f>IFERROR(VLOOKUP(B1441,'تقرير المصروفات حسب الشهر'!$C$1270:$AD$1381,14,FALSE),0)</f>
        <v>0</v>
      </c>
      <c r="N1441" s="31" t="e">
        <f>#REF!</f>
        <v>#REF!</v>
      </c>
      <c r="O1441" s="37" t="e">
        <f t="shared" si="36"/>
        <v>#REF!</v>
      </c>
    </row>
    <row r="1442" spans="2:15" ht="17.399999999999999">
      <c r="B1442" s="42" t="s">
        <v>64</v>
      </c>
      <c r="C1442" s="39">
        <f>'تقرير المصروفات حسب الشهر'!P42</f>
        <v>3850</v>
      </c>
      <c r="D1442" s="31" t="e">
        <f>#REF!</f>
        <v>#REF!</v>
      </c>
      <c r="E1442" s="31" t="e">
        <f>#REF!</f>
        <v>#REF!</v>
      </c>
      <c r="F1442" s="31" t="e">
        <f>#REF!</f>
        <v>#REF!</v>
      </c>
      <c r="G1442" s="31" t="e">
        <f>#REF!</f>
        <v>#REF!</v>
      </c>
      <c r="H1442" s="31" t="e">
        <f>#REF!</f>
        <v>#REF!</v>
      </c>
      <c r="I1442" s="31">
        <f>'تقرير المصروفات حسب الشهر'!P795</f>
        <v>0</v>
      </c>
      <c r="J1442" s="31">
        <f>'تقرير المصروفات حسب الشهر'!P922</f>
        <v>12350</v>
      </c>
      <c r="K1442" s="31">
        <f>'تقرير المصروفات حسب الشهر'!P1049</f>
        <v>7700</v>
      </c>
      <c r="L1442" s="292">
        <f>IFERROR(VLOOKUP(B1442,'تقرير المصروفات حسب الشهر'!$C$1143:$AD$1254,14,FALSE),0)</f>
        <v>7900</v>
      </c>
      <c r="M1442" s="292">
        <f>IFERROR(VLOOKUP(B1442,'تقرير المصروفات حسب الشهر'!$C$1270:$AD$1381,14,FALSE),0)</f>
        <v>0</v>
      </c>
      <c r="N1442" s="31" t="e">
        <f>#REF!</f>
        <v>#REF!</v>
      </c>
      <c r="O1442" s="37" t="e">
        <f t="shared" si="36"/>
        <v>#REF!</v>
      </c>
    </row>
    <row r="1443" spans="2:15" ht="17.399999999999999">
      <c r="B1443" s="42" t="s">
        <v>28</v>
      </c>
      <c r="C1443" s="39">
        <f>'تقرير المصروفات حسب الشهر'!P43</f>
        <v>0</v>
      </c>
      <c r="D1443" s="31" t="e">
        <f>#REF!</f>
        <v>#REF!</v>
      </c>
      <c r="E1443" s="31" t="e">
        <f>#REF!</f>
        <v>#REF!</v>
      </c>
      <c r="F1443" s="31" t="e">
        <f>#REF!</f>
        <v>#REF!</v>
      </c>
      <c r="G1443" s="31" t="e">
        <f>#REF!</f>
        <v>#REF!</v>
      </c>
      <c r="H1443" s="31" t="e">
        <f>#REF!</f>
        <v>#REF!</v>
      </c>
      <c r="I1443" s="31">
        <f>'تقرير المصروفات حسب الشهر'!P796</f>
        <v>0</v>
      </c>
      <c r="J1443" s="31">
        <f>'تقرير المصروفات حسب الشهر'!P923</f>
        <v>0</v>
      </c>
      <c r="K1443" s="31">
        <f>'تقرير المصروفات حسب الشهر'!P1050</f>
        <v>0</v>
      </c>
      <c r="L1443" s="292">
        <f>IFERROR(VLOOKUP(B1443,'تقرير المصروفات حسب الشهر'!$C$1143:$AD$1254,14,FALSE),0)</f>
        <v>0</v>
      </c>
      <c r="M1443" s="292">
        <f>IFERROR(VLOOKUP(B1443,'تقرير المصروفات حسب الشهر'!$C$1270:$AD$1381,14,FALSE),0)</f>
        <v>0</v>
      </c>
      <c r="N1443" s="31" t="e">
        <f>#REF!</f>
        <v>#REF!</v>
      </c>
      <c r="O1443" s="37" t="e">
        <f t="shared" si="36"/>
        <v>#REF!</v>
      </c>
    </row>
    <row r="1444" spans="2:15" ht="17.399999999999999">
      <c r="B1444" s="42" t="s">
        <v>157</v>
      </c>
      <c r="C1444" s="39">
        <f>'تقرير المصروفات حسب الشهر'!P44</f>
        <v>121.01</v>
      </c>
      <c r="D1444" s="31" t="e">
        <f>#REF!</f>
        <v>#REF!</v>
      </c>
      <c r="E1444" s="31" t="e">
        <f>#REF!</f>
        <v>#REF!</v>
      </c>
      <c r="F1444" s="31" t="e">
        <f>#REF!</f>
        <v>#REF!</v>
      </c>
      <c r="G1444" s="31" t="e">
        <f>#REF!</f>
        <v>#REF!</v>
      </c>
      <c r="H1444" s="31" t="e">
        <f>#REF!</f>
        <v>#REF!</v>
      </c>
      <c r="I1444" s="31">
        <f>'تقرير المصروفات حسب الشهر'!P797</f>
        <v>235.98</v>
      </c>
      <c r="J1444" s="31">
        <f>'تقرير المصروفات حسب الشهر'!P924</f>
        <v>0</v>
      </c>
      <c r="K1444" s="31">
        <f>'تقرير المصروفات حسب الشهر'!P1051</f>
        <v>0</v>
      </c>
      <c r="L1444" s="292">
        <f>IFERROR(VLOOKUP(B1444,'تقرير المصروفات حسب الشهر'!$C$1143:$AD$1254,14,FALSE),0)</f>
        <v>278.43</v>
      </c>
      <c r="M1444" s="292">
        <f>IFERROR(VLOOKUP(B1444,'تقرير المصروفات حسب الشهر'!$C$1270:$AD$1381,14,FALSE),0)</f>
        <v>124.91</v>
      </c>
      <c r="N1444" s="31" t="e">
        <f>#REF!</f>
        <v>#REF!</v>
      </c>
      <c r="O1444" s="37" t="e">
        <f t="shared" si="36"/>
        <v>#REF!</v>
      </c>
    </row>
    <row r="1445" spans="2:15" ht="17.399999999999999">
      <c r="B1445" s="42" t="s">
        <v>65</v>
      </c>
      <c r="C1445" s="39">
        <f>'تقرير المصروفات حسب الشهر'!P45</f>
        <v>0</v>
      </c>
      <c r="D1445" s="31" t="e">
        <f>#REF!</f>
        <v>#REF!</v>
      </c>
      <c r="E1445" s="31" t="e">
        <f>#REF!</f>
        <v>#REF!</v>
      </c>
      <c r="F1445" s="31" t="e">
        <f>#REF!</f>
        <v>#REF!</v>
      </c>
      <c r="G1445" s="31" t="e">
        <f>#REF!</f>
        <v>#REF!</v>
      </c>
      <c r="H1445" s="31" t="e">
        <f>#REF!</f>
        <v>#REF!</v>
      </c>
      <c r="I1445" s="31">
        <f>'تقرير المصروفات حسب الشهر'!P798</f>
        <v>0</v>
      </c>
      <c r="J1445" s="31">
        <f>'تقرير المصروفات حسب الشهر'!P925</f>
        <v>0</v>
      </c>
      <c r="K1445" s="31">
        <f>'تقرير المصروفات حسب الشهر'!P1052</f>
        <v>0</v>
      </c>
      <c r="L1445" s="292">
        <f>IFERROR(VLOOKUP(B1445,'تقرير المصروفات حسب الشهر'!$C$1143:$AD$1254,14,FALSE),0)</f>
        <v>0</v>
      </c>
      <c r="M1445" s="292">
        <f>IFERROR(VLOOKUP(B1445,'تقرير المصروفات حسب الشهر'!$C$1270:$AD$1381,14,FALSE),0)</f>
        <v>0</v>
      </c>
      <c r="N1445" s="31" t="e">
        <f>#REF!</f>
        <v>#REF!</v>
      </c>
      <c r="O1445" s="37" t="e">
        <f t="shared" si="36"/>
        <v>#REF!</v>
      </c>
    </row>
    <row r="1446" spans="2:15" ht="17.399999999999999">
      <c r="B1446" s="42" t="s">
        <v>66</v>
      </c>
      <c r="C1446" s="39">
        <f>'تقرير المصروفات حسب الشهر'!P46</f>
        <v>0</v>
      </c>
      <c r="D1446" s="31" t="e">
        <f>#REF!</f>
        <v>#REF!</v>
      </c>
      <c r="E1446" s="31" t="e">
        <f>#REF!</f>
        <v>#REF!</v>
      </c>
      <c r="F1446" s="31" t="e">
        <f>#REF!</f>
        <v>#REF!</v>
      </c>
      <c r="G1446" s="31" t="e">
        <f>#REF!</f>
        <v>#REF!</v>
      </c>
      <c r="H1446" s="31" t="e">
        <f>#REF!</f>
        <v>#REF!</v>
      </c>
      <c r="I1446" s="31">
        <f>'تقرير المصروفات حسب الشهر'!P799</f>
        <v>0</v>
      </c>
      <c r="J1446" s="31">
        <f>'تقرير المصروفات حسب الشهر'!P926</f>
        <v>0</v>
      </c>
      <c r="K1446" s="31">
        <f>'تقرير المصروفات حسب الشهر'!P1053</f>
        <v>0</v>
      </c>
      <c r="L1446" s="292">
        <f>IFERROR(VLOOKUP(B1446,'تقرير المصروفات حسب الشهر'!$C$1143:$AD$1254,14,FALSE),0)</f>
        <v>0</v>
      </c>
      <c r="M1446" s="292">
        <f>IFERROR(VLOOKUP(B1446,'تقرير المصروفات حسب الشهر'!$C$1270:$AD$1381,14,FALSE),0)</f>
        <v>0</v>
      </c>
      <c r="N1446" s="31" t="e">
        <f>#REF!</f>
        <v>#REF!</v>
      </c>
      <c r="O1446" s="37" t="e">
        <f t="shared" si="36"/>
        <v>#REF!</v>
      </c>
    </row>
    <row r="1447" spans="2:15" ht="17.399999999999999">
      <c r="B1447" s="42" t="s">
        <v>30</v>
      </c>
      <c r="C1447" s="39">
        <f>'تقرير المصروفات حسب الشهر'!P47</f>
        <v>0</v>
      </c>
      <c r="D1447" s="31" t="e">
        <f>#REF!</f>
        <v>#REF!</v>
      </c>
      <c r="E1447" s="31" t="e">
        <f>#REF!</f>
        <v>#REF!</v>
      </c>
      <c r="F1447" s="31" t="e">
        <f>#REF!</f>
        <v>#REF!</v>
      </c>
      <c r="G1447" s="31" t="e">
        <f>#REF!</f>
        <v>#REF!</v>
      </c>
      <c r="H1447" s="31" t="e">
        <f>#REF!</f>
        <v>#REF!</v>
      </c>
      <c r="I1447" s="31">
        <f>'تقرير المصروفات حسب الشهر'!P800</f>
        <v>5888.25</v>
      </c>
      <c r="J1447" s="31">
        <f>'تقرير المصروفات حسب الشهر'!P927</f>
        <v>0</v>
      </c>
      <c r="K1447" s="31">
        <f>'تقرير المصروفات حسب الشهر'!P1054</f>
        <v>7888.25</v>
      </c>
      <c r="L1447" s="292">
        <f>IFERROR(VLOOKUP(B1447,'تقرير المصروفات حسب الشهر'!$C$1143:$AD$1254,14,FALSE),0)</f>
        <v>3699.69</v>
      </c>
      <c r="M1447" s="292">
        <f>IFERROR(VLOOKUP(B1447,'تقرير المصروفات حسب الشهر'!$C$1270:$AD$1381,14,FALSE),0)</f>
        <v>5555.25</v>
      </c>
      <c r="N1447" s="31" t="e">
        <f>#REF!</f>
        <v>#REF!</v>
      </c>
      <c r="O1447" s="37" t="e">
        <f t="shared" si="36"/>
        <v>#REF!</v>
      </c>
    </row>
    <row r="1448" spans="2:15" ht="17.399999999999999">
      <c r="B1448" s="42" t="s">
        <v>67</v>
      </c>
      <c r="C1448" s="39">
        <f>'تقرير المصروفات حسب الشهر'!P48</f>
        <v>4680</v>
      </c>
      <c r="D1448" s="31" t="e">
        <f>#REF!</f>
        <v>#REF!</v>
      </c>
      <c r="E1448" s="31" t="e">
        <f>#REF!</f>
        <v>#REF!</v>
      </c>
      <c r="F1448" s="31" t="e">
        <f>#REF!</f>
        <v>#REF!</v>
      </c>
      <c r="G1448" s="31" t="e">
        <f>#REF!</f>
        <v>#REF!</v>
      </c>
      <c r="H1448" s="31" t="e">
        <f>#REF!</f>
        <v>#REF!</v>
      </c>
      <c r="I1448" s="31">
        <f>'تقرير المصروفات حسب الشهر'!P801</f>
        <v>0</v>
      </c>
      <c r="J1448" s="31">
        <f>'تقرير المصروفات حسب الشهر'!P928</f>
        <v>8250</v>
      </c>
      <c r="K1448" s="31">
        <f>'تقرير المصروفات حسب الشهر'!P1055</f>
        <v>0</v>
      </c>
      <c r="L1448" s="292">
        <f>IFERROR(VLOOKUP(B1448,'تقرير المصروفات حسب الشهر'!$C$1143:$AD$1254,14,FALSE),0)</f>
        <v>8250</v>
      </c>
      <c r="M1448" s="292">
        <f>IFERROR(VLOOKUP(B1448,'تقرير المصروفات حسب الشهر'!$C$1270:$AD$1381,14,FALSE),0)</f>
        <v>0</v>
      </c>
      <c r="N1448" s="31" t="e">
        <f>#REF!</f>
        <v>#REF!</v>
      </c>
      <c r="O1448" s="37" t="e">
        <f t="shared" si="36"/>
        <v>#REF!</v>
      </c>
    </row>
    <row r="1449" spans="2:15" ht="17.399999999999999">
      <c r="B1449" s="42" t="s">
        <v>111</v>
      </c>
      <c r="C1449" s="39">
        <f>'تقرير المصروفات حسب الشهر'!P49</f>
        <v>0</v>
      </c>
      <c r="D1449" s="31" t="e">
        <f>#REF!</f>
        <v>#REF!</v>
      </c>
      <c r="E1449" s="31" t="e">
        <f>#REF!</f>
        <v>#REF!</v>
      </c>
      <c r="F1449" s="31" t="e">
        <f>#REF!</f>
        <v>#REF!</v>
      </c>
      <c r="G1449" s="31" t="e">
        <f>#REF!</f>
        <v>#REF!</v>
      </c>
      <c r="H1449" s="31" t="e">
        <f>#REF!</f>
        <v>#REF!</v>
      </c>
      <c r="I1449" s="31">
        <f>'تقرير المصروفات حسب الشهر'!P802</f>
        <v>100</v>
      </c>
      <c r="J1449" s="31">
        <f>'تقرير المصروفات حسب الشهر'!P929</f>
        <v>0</v>
      </c>
      <c r="K1449" s="31">
        <f>'تقرير المصروفات حسب الشهر'!P1056</f>
        <v>450</v>
      </c>
      <c r="L1449" s="292">
        <f>IFERROR(VLOOKUP(B1449,'تقرير المصروفات حسب الشهر'!$C$1143:$AD$1254,14,FALSE),0)</f>
        <v>0</v>
      </c>
      <c r="M1449" s="292">
        <f>IFERROR(VLOOKUP(B1449,'تقرير المصروفات حسب الشهر'!$C$1270:$AD$1381,14,FALSE),0)</f>
        <v>0</v>
      </c>
      <c r="N1449" s="31" t="e">
        <f>#REF!</f>
        <v>#REF!</v>
      </c>
      <c r="O1449" s="37" t="e">
        <f t="shared" si="36"/>
        <v>#REF!</v>
      </c>
    </row>
    <row r="1450" spans="2:15" ht="17.399999999999999">
      <c r="B1450" s="42" t="s">
        <v>68</v>
      </c>
      <c r="C1450" s="39">
        <f>'تقرير المصروفات حسب الشهر'!P50</f>
        <v>0</v>
      </c>
      <c r="D1450" s="31" t="e">
        <f>#REF!</f>
        <v>#REF!</v>
      </c>
      <c r="E1450" s="31" t="e">
        <f>#REF!</f>
        <v>#REF!</v>
      </c>
      <c r="F1450" s="31" t="e">
        <f>#REF!</f>
        <v>#REF!</v>
      </c>
      <c r="G1450" s="31" t="e">
        <f>#REF!</f>
        <v>#REF!</v>
      </c>
      <c r="H1450" s="31" t="e">
        <f>#REF!</f>
        <v>#REF!</v>
      </c>
      <c r="I1450" s="31">
        <f>'تقرير المصروفات حسب الشهر'!P803</f>
        <v>0</v>
      </c>
      <c r="J1450" s="31">
        <f>'تقرير المصروفات حسب الشهر'!P930</f>
        <v>0</v>
      </c>
      <c r="K1450" s="31">
        <f>'تقرير المصروفات حسب الشهر'!P1057</f>
        <v>3608</v>
      </c>
      <c r="L1450" s="292">
        <f>IFERROR(VLOOKUP(B1450,'تقرير المصروفات حسب الشهر'!$C$1143:$AD$1254,14,FALSE),0)</f>
        <v>0</v>
      </c>
      <c r="M1450" s="292">
        <f>IFERROR(VLOOKUP(B1450,'تقرير المصروفات حسب الشهر'!$C$1270:$AD$1381,14,FALSE),0)</f>
        <v>0</v>
      </c>
      <c r="N1450" s="31" t="e">
        <f>#REF!</f>
        <v>#REF!</v>
      </c>
      <c r="O1450" s="37" t="e">
        <f t="shared" si="36"/>
        <v>#REF!</v>
      </c>
    </row>
    <row r="1451" spans="2:15" ht="17.399999999999999">
      <c r="B1451" s="42" t="s">
        <v>69</v>
      </c>
      <c r="C1451" s="39">
        <f>'تقرير المصروفات حسب الشهر'!P51</f>
        <v>2800</v>
      </c>
      <c r="D1451" s="31" t="e">
        <f>#REF!</f>
        <v>#REF!</v>
      </c>
      <c r="E1451" s="31" t="e">
        <f>#REF!</f>
        <v>#REF!</v>
      </c>
      <c r="F1451" s="31" t="e">
        <f>#REF!</f>
        <v>#REF!</v>
      </c>
      <c r="G1451" s="31" t="e">
        <f>#REF!</f>
        <v>#REF!</v>
      </c>
      <c r="H1451" s="31" t="e">
        <f>#REF!</f>
        <v>#REF!</v>
      </c>
      <c r="I1451" s="31">
        <f>'تقرير المصروفات حسب الشهر'!P804</f>
        <v>0</v>
      </c>
      <c r="J1451" s="31">
        <f>'تقرير المصروفات حسب الشهر'!P931</f>
        <v>0</v>
      </c>
      <c r="K1451" s="31">
        <f>'تقرير المصروفات حسب الشهر'!P1058</f>
        <v>0</v>
      </c>
      <c r="L1451" s="292">
        <f>IFERROR(VLOOKUP(B1451,'تقرير المصروفات حسب الشهر'!$C$1143:$AD$1254,14,FALSE),0)</f>
        <v>0</v>
      </c>
      <c r="M1451" s="292">
        <f>IFERROR(VLOOKUP(B1451,'تقرير المصروفات حسب الشهر'!$C$1270:$AD$1381,14,FALSE),0)</f>
        <v>0</v>
      </c>
      <c r="N1451" s="31" t="e">
        <f>#REF!</f>
        <v>#REF!</v>
      </c>
      <c r="O1451" s="37" t="e">
        <f t="shared" si="36"/>
        <v>#REF!</v>
      </c>
    </row>
    <row r="1452" spans="2:15" ht="17.399999999999999">
      <c r="B1452" s="42" t="s">
        <v>70</v>
      </c>
      <c r="C1452" s="39">
        <f>'تقرير المصروفات حسب الشهر'!P52</f>
        <v>0</v>
      </c>
      <c r="D1452" s="31" t="e">
        <f>#REF!</f>
        <v>#REF!</v>
      </c>
      <c r="E1452" s="31" t="e">
        <f>#REF!</f>
        <v>#REF!</v>
      </c>
      <c r="F1452" s="31" t="e">
        <f>#REF!</f>
        <v>#REF!</v>
      </c>
      <c r="G1452" s="31" t="e">
        <f>#REF!</f>
        <v>#REF!</v>
      </c>
      <c r="H1452" s="31" t="e">
        <f>#REF!</f>
        <v>#REF!</v>
      </c>
      <c r="I1452" s="31">
        <f>'تقرير المصروفات حسب الشهر'!P805</f>
        <v>0</v>
      </c>
      <c r="J1452" s="31">
        <f>'تقرير المصروفات حسب الشهر'!P932</f>
        <v>0</v>
      </c>
      <c r="K1452" s="31">
        <f>'تقرير المصروفات حسب الشهر'!P1059</f>
        <v>0</v>
      </c>
      <c r="L1452" s="292">
        <f>IFERROR(VLOOKUP(B1452,'تقرير المصروفات حسب الشهر'!$C$1143:$AD$1254,14,FALSE),0)</f>
        <v>0</v>
      </c>
      <c r="M1452" s="292">
        <f>IFERROR(VLOOKUP(B1452,'تقرير المصروفات حسب الشهر'!$C$1270:$AD$1381,14,FALSE),0)</f>
        <v>0</v>
      </c>
      <c r="N1452" s="31" t="e">
        <f>#REF!</f>
        <v>#REF!</v>
      </c>
      <c r="O1452" s="37" t="e">
        <f t="shared" si="36"/>
        <v>#REF!</v>
      </c>
    </row>
    <row r="1453" spans="2:15" ht="17.399999999999999">
      <c r="B1453" s="42" t="s">
        <v>71</v>
      </c>
      <c r="C1453" s="39">
        <f>'تقرير المصروفات حسب الشهر'!P53</f>
        <v>0</v>
      </c>
      <c r="D1453" s="31" t="e">
        <f>#REF!</f>
        <v>#REF!</v>
      </c>
      <c r="E1453" s="31" t="e">
        <f>#REF!</f>
        <v>#REF!</v>
      </c>
      <c r="F1453" s="31" t="e">
        <f>#REF!</f>
        <v>#REF!</v>
      </c>
      <c r="G1453" s="31" t="e">
        <f>#REF!</f>
        <v>#REF!</v>
      </c>
      <c r="H1453" s="31" t="e">
        <f>#REF!</f>
        <v>#REF!</v>
      </c>
      <c r="I1453" s="31">
        <f>'تقرير المصروفات حسب الشهر'!P806</f>
        <v>0</v>
      </c>
      <c r="J1453" s="31">
        <f>'تقرير المصروفات حسب الشهر'!P933</f>
        <v>0</v>
      </c>
      <c r="K1453" s="31">
        <f>'تقرير المصروفات حسب الشهر'!P1060</f>
        <v>0</v>
      </c>
      <c r="L1453" s="292">
        <f>IFERROR(VLOOKUP(B1453,'تقرير المصروفات حسب الشهر'!$C$1143:$AD$1254,14,FALSE),0)</f>
        <v>0</v>
      </c>
      <c r="M1453" s="292">
        <f>IFERROR(VLOOKUP(B1453,'تقرير المصروفات حسب الشهر'!$C$1270:$AD$1381,14,FALSE),0)</f>
        <v>0</v>
      </c>
      <c r="N1453" s="31" t="e">
        <f>#REF!</f>
        <v>#REF!</v>
      </c>
      <c r="O1453" s="37" t="e">
        <f t="shared" si="36"/>
        <v>#REF!</v>
      </c>
    </row>
    <row r="1454" spans="2:15" ht="17.399999999999999">
      <c r="B1454" s="42" t="s">
        <v>159</v>
      </c>
      <c r="C1454" s="39">
        <f>'تقرير المصروفات حسب الشهر'!P54</f>
        <v>0</v>
      </c>
      <c r="D1454" s="31" t="e">
        <f>#REF!</f>
        <v>#REF!</v>
      </c>
      <c r="E1454" s="31" t="e">
        <f>#REF!</f>
        <v>#REF!</v>
      </c>
      <c r="F1454" s="31" t="e">
        <f>#REF!</f>
        <v>#REF!</v>
      </c>
      <c r="G1454" s="31" t="e">
        <f>#REF!</f>
        <v>#REF!</v>
      </c>
      <c r="H1454" s="31" t="e">
        <f>#REF!</f>
        <v>#REF!</v>
      </c>
      <c r="I1454" s="31">
        <f>'تقرير المصروفات حسب الشهر'!P807</f>
        <v>0</v>
      </c>
      <c r="J1454" s="31">
        <f>'تقرير المصروفات حسب الشهر'!P934</f>
        <v>0</v>
      </c>
      <c r="K1454" s="31">
        <f>'تقرير المصروفات حسب الشهر'!P1061</f>
        <v>0</v>
      </c>
      <c r="L1454" s="292">
        <f>IFERROR(VLOOKUP(B1454,'تقرير المصروفات حسب الشهر'!$C$1143:$AD$1254,14,FALSE),0)</f>
        <v>0</v>
      </c>
      <c r="M1454" s="292">
        <f>IFERROR(VLOOKUP(B1454,'تقرير المصروفات حسب الشهر'!$C$1270:$AD$1381,14,FALSE),0)</f>
        <v>0</v>
      </c>
      <c r="N1454" s="31" t="e">
        <f>#REF!</f>
        <v>#REF!</v>
      </c>
      <c r="O1454" s="37" t="e">
        <f t="shared" si="36"/>
        <v>#REF!</v>
      </c>
    </row>
    <row r="1455" spans="2:15" ht="17.399999999999999">
      <c r="B1455" s="42" t="s">
        <v>72</v>
      </c>
      <c r="C1455" s="39">
        <f>'تقرير المصروفات حسب الشهر'!P55</f>
        <v>0</v>
      </c>
      <c r="D1455" s="31" t="e">
        <f>#REF!</f>
        <v>#REF!</v>
      </c>
      <c r="E1455" s="31" t="e">
        <f>#REF!</f>
        <v>#REF!</v>
      </c>
      <c r="F1455" s="31" t="e">
        <f>#REF!</f>
        <v>#REF!</v>
      </c>
      <c r="G1455" s="31" t="e">
        <f>#REF!</f>
        <v>#REF!</v>
      </c>
      <c r="H1455" s="31" t="e">
        <f>#REF!</f>
        <v>#REF!</v>
      </c>
      <c r="I1455" s="31">
        <f>'تقرير المصروفات حسب الشهر'!P808</f>
        <v>0</v>
      </c>
      <c r="J1455" s="31">
        <f>'تقرير المصروفات حسب الشهر'!P935</f>
        <v>0</v>
      </c>
      <c r="K1455" s="31">
        <f>'تقرير المصروفات حسب الشهر'!P1062</f>
        <v>0</v>
      </c>
      <c r="L1455" s="292">
        <f>IFERROR(VLOOKUP(B1455,'تقرير المصروفات حسب الشهر'!$C$1143:$AD$1254,14,FALSE),0)</f>
        <v>0</v>
      </c>
      <c r="M1455" s="292">
        <f>IFERROR(VLOOKUP(B1455,'تقرير المصروفات حسب الشهر'!$C$1270:$AD$1381,14,FALSE),0)</f>
        <v>0</v>
      </c>
      <c r="N1455" s="31" t="e">
        <f>#REF!</f>
        <v>#REF!</v>
      </c>
      <c r="O1455" s="37" t="e">
        <f t="shared" si="36"/>
        <v>#REF!</v>
      </c>
    </row>
    <row r="1456" spans="2:15" ht="17.399999999999999">
      <c r="B1456" s="42" t="s">
        <v>73</v>
      </c>
      <c r="C1456" s="39">
        <f>'تقرير المصروفات حسب الشهر'!P56</f>
        <v>0</v>
      </c>
      <c r="D1456" s="31" t="e">
        <f>#REF!</f>
        <v>#REF!</v>
      </c>
      <c r="E1456" s="31" t="e">
        <f>#REF!</f>
        <v>#REF!</v>
      </c>
      <c r="F1456" s="31" t="e">
        <f>#REF!</f>
        <v>#REF!</v>
      </c>
      <c r="G1456" s="31" t="e">
        <f>#REF!</f>
        <v>#REF!</v>
      </c>
      <c r="H1456" s="31" t="e">
        <f>#REF!</f>
        <v>#REF!</v>
      </c>
      <c r="I1456" s="31">
        <f>'تقرير المصروفات حسب الشهر'!P809</f>
        <v>0</v>
      </c>
      <c r="J1456" s="31">
        <f>'تقرير المصروفات حسب الشهر'!P936</f>
        <v>0</v>
      </c>
      <c r="K1456" s="31">
        <f>'تقرير المصروفات حسب الشهر'!P1063</f>
        <v>0</v>
      </c>
      <c r="L1456" s="292">
        <f>IFERROR(VLOOKUP(B1456,'تقرير المصروفات حسب الشهر'!$C$1143:$AD$1254,14,FALSE),0)</f>
        <v>0</v>
      </c>
      <c r="M1456" s="292">
        <f>IFERROR(VLOOKUP(B1456,'تقرير المصروفات حسب الشهر'!$C$1270:$AD$1381,14,FALSE),0)</f>
        <v>0</v>
      </c>
      <c r="N1456" s="31" t="e">
        <f>#REF!</f>
        <v>#REF!</v>
      </c>
      <c r="O1456" s="37" t="e">
        <f t="shared" si="36"/>
        <v>#REF!</v>
      </c>
    </row>
    <row r="1457" spans="2:15" ht="17.399999999999999">
      <c r="B1457" s="42" t="s">
        <v>74</v>
      </c>
      <c r="C1457" s="39">
        <f>'تقرير المصروفات حسب الشهر'!P57</f>
        <v>0</v>
      </c>
      <c r="D1457" s="31" t="e">
        <f>#REF!</f>
        <v>#REF!</v>
      </c>
      <c r="E1457" s="31" t="e">
        <f>#REF!</f>
        <v>#REF!</v>
      </c>
      <c r="F1457" s="31" t="e">
        <f>#REF!</f>
        <v>#REF!</v>
      </c>
      <c r="G1457" s="31" t="e">
        <f>#REF!</f>
        <v>#REF!</v>
      </c>
      <c r="H1457" s="31" t="e">
        <f>#REF!</f>
        <v>#REF!</v>
      </c>
      <c r="I1457" s="31">
        <f>'تقرير المصروفات حسب الشهر'!P810</f>
        <v>0</v>
      </c>
      <c r="J1457" s="31">
        <f>'تقرير المصروفات حسب الشهر'!P937</f>
        <v>0</v>
      </c>
      <c r="K1457" s="31">
        <f>'تقرير المصروفات حسب الشهر'!P1064</f>
        <v>0</v>
      </c>
      <c r="L1457" s="292">
        <f>IFERROR(VLOOKUP(B1457,'تقرير المصروفات حسب الشهر'!$C$1143:$AD$1254,14,FALSE),0)</f>
        <v>0</v>
      </c>
      <c r="M1457" s="292">
        <f>IFERROR(VLOOKUP(B1457,'تقرير المصروفات حسب الشهر'!$C$1270:$AD$1381,14,FALSE),0)</f>
        <v>0</v>
      </c>
      <c r="N1457" s="31" t="e">
        <f>#REF!</f>
        <v>#REF!</v>
      </c>
      <c r="O1457" s="37" t="e">
        <f t="shared" si="36"/>
        <v>#REF!</v>
      </c>
    </row>
    <row r="1458" spans="2:15" ht="17.399999999999999">
      <c r="B1458" s="42" t="s">
        <v>246</v>
      </c>
      <c r="C1458" s="39">
        <f>'تقرير المصروفات حسب الشهر'!P58</f>
        <v>0</v>
      </c>
      <c r="D1458" s="31" t="e">
        <f>#REF!</f>
        <v>#REF!</v>
      </c>
      <c r="E1458" s="31" t="e">
        <f>#REF!</f>
        <v>#REF!</v>
      </c>
      <c r="F1458" s="31" t="e">
        <f>#REF!</f>
        <v>#REF!</v>
      </c>
      <c r="G1458" s="31" t="e">
        <f>#REF!</f>
        <v>#REF!</v>
      </c>
      <c r="H1458" s="31" t="e">
        <f>#REF!</f>
        <v>#REF!</v>
      </c>
      <c r="I1458" s="31">
        <f>'تقرير المصروفات حسب الشهر'!P811</f>
        <v>0</v>
      </c>
      <c r="J1458" s="31">
        <f>'تقرير المصروفات حسب الشهر'!P938</f>
        <v>0</v>
      </c>
      <c r="K1458" s="31">
        <f>'تقرير المصروفات حسب الشهر'!P1065</f>
        <v>0</v>
      </c>
      <c r="L1458" s="292">
        <f>IFERROR(VLOOKUP(B1458,'تقرير المصروفات حسب الشهر'!$C$1143:$AD$1254,14,FALSE),0)</f>
        <v>0</v>
      </c>
      <c r="M1458" s="292">
        <f>IFERROR(VLOOKUP(B1458,'تقرير المصروفات حسب الشهر'!$C$1270:$AD$1381,14,FALSE),0)</f>
        <v>0</v>
      </c>
      <c r="N1458" s="31" t="e">
        <f>#REF!</f>
        <v>#REF!</v>
      </c>
      <c r="O1458" s="37" t="e">
        <f t="shared" si="36"/>
        <v>#REF!</v>
      </c>
    </row>
    <row r="1459" spans="2:15" ht="17.399999999999999">
      <c r="B1459" s="42" t="s">
        <v>75</v>
      </c>
      <c r="C1459" s="39">
        <f>'تقرير المصروفات حسب الشهر'!P59</f>
        <v>0</v>
      </c>
      <c r="D1459" s="31" t="e">
        <f>#REF!</f>
        <v>#REF!</v>
      </c>
      <c r="E1459" s="31" t="e">
        <f>#REF!</f>
        <v>#REF!</v>
      </c>
      <c r="F1459" s="31" t="e">
        <f>#REF!</f>
        <v>#REF!</v>
      </c>
      <c r="G1459" s="31" t="e">
        <f>#REF!</f>
        <v>#REF!</v>
      </c>
      <c r="H1459" s="31" t="e">
        <f>#REF!</f>
        <v>#REF!</v>
      </c>
      <c r="I1459" s="31">
        <f>'تقرير المصروفات حسب الشهر'!P812</f>
        <v>0</v>
      </c>
      <c r="J1459" s="31">
        <f>'تقرير المصروفات حسب الشهر'!P939</f>
        <v>0</v>
      </c>
      <c r="K1459" s="31">
        <f>'تقرير المصروفات حسب الشهر'!P1066</f>
        <v>0</v>
      </c>
      <c r="L1459" s="292">
        <f>IFERROR(VLOOKUP(B1459,'تقرير المصروفات حسب الشهر'!$C$1143:$AD$1254,14,FALSE),0)</f>
        <v>0</v>
      </c>
      <c r="M1459" s="292">
        <f>IFERROR(VLOOKUP(B1459,'تقرير المصروفات حسب الشهر'!$C$1270:$AD$1381,14,FALSE),0)</f>
        <v>0</v>
      </c>
      <c r="N1459" s="31" t="e">
        <f>#REF!</f>
        <v>#REF!</v>
      </c>
      <c r="O1459" s="37" t="e">
        <f t="shared" si="36"/>
        <v>#REF!</v>
      </c>
    </row>
    <row r="1460" spans="2:15" ht="17.399999999999999">
      <c r="B1460" s="42" t="s">
        <v>76</v>
      </c>
      <c r="C1460" s="39">
        <f>'تقرير المصروفات حسب الشهر'!P60</f>
        <v>0</v>
      </c>
      <c r="D1460" s="31" t="e">
        <f>#REF!</f>
        <v>#REF!</v>
      </c>
      <c r="E1460" s="31" t="e">
        <f>#REF!</f>
        <v>#REF!</v>
      </c>
      <c r="F1460" s="31" t="e">
        <f>#REF!</f>
        <v>#REF!</v>
      </c>
      <c r="G1460" s="31" t="e">
        <f>#REF!</f>
        <v>#REF!</v>
      </c>
      <c r="H1460" s="31" t="e">
        <f>#REF!</f>
        <v>#REF!</v>
      </c>
      <c r="I1460" s="31">
        <f>'تقرير المصروفات حسب الشهر'!P813</f>
        <v>0</v>
      </c>
      <c r="J1460" s="31">
        <f>'تقرير المصروفات حسب الشهر'!P940</f>
        <v>0</v>
      </c>
      <c r="K1460" s="31">
        <f>'تقرير المصروفات حسب الشهر'!P1067</f>
        <v>0</v>
      </c>
      <c r="L1460" s="292">
        <f>IFERROR(VLOOKUP(B1460,'تقرير المصروفات حسب الشهر'!$C$1143:$AD$1254,14,FALSE),0)</f>
        <v>0</v>
      </c>
      <c r="M1460" s="292">
        <f>IFERROR(VLOOKUP(B1460,'تقرير المصروفات حسب الشهر'!$C$1270:$AD$1381,14,FALSE),0)</f>
        <v>0</v>
      </c>
      <c r="N1460" s="31" t="e">
        <f>#REF!</f>
        <v>#REF!</v>
      </c>
      <c r="O1460" s="37" t="e">
        <f t="shared" si="36"/>
        <v>#REF!</v>
      </c>
    </row>
    <row r="1461" spans="2:15" ht="17.399999999999999">
      <c r="B1461" s="42" t="s">
        <v>77</v>
      </c>
      <c r="C1461" s="39">
        <f>'تقرير المصروفات حسب الشهر'!P61</f>
        <v>0</v>
      </c>
      <c r="D1461" s="31" t="e">
        <f>#REF!</f>
        <v>#REF!</v>
      </c>
      <c r="E1461" s="31" t="e">
        <f>#REF!</f>
        <v>#REF!</v>
      </c>
      <c r="F1461" s="31" t="e">
        <f>#REF!</f>
        <v>#REF!</v>
      </c>
      <c r="G1461" s="31" t="e">
        <f>#REF!</f>
        <v>#REF!</v>
      </c>
      <c r="H1461" s="31" t="e">
        <f>#REF!</f>
        <v>#REF!</v>
      </c>
      <c r="I1461" s="31">
        <f>'تقرير المصروفات حسب الشهر'!P814</f>
        <v>0</v>
      </c>
      <c r="J1461" s="31">
        <f>'تقرير المصروفات حسب الشهر'!P941</f>
        <v>0</v>
      </c>
      <c r="K1461" s="31">
        <f>'تقرير المصروفات حسب الشهر'!P1068</f>
        <v>0</v>
      </c>
      <c r="L1461" s="292">
        <f>IFERROR(VLOOKUP(B1461,'تقرير المصروفات حسب الشهر'!$C$1143:$AD$1254,14,FALSE),0)</f>
        <v>0</v>
      </c>
      <c r="M1461" s="292">
        <f>IFERROR(VLOOKUP(B1461,'تقرير المصروفات حسب الشهر'!$C$1270:$AD$1381,14,FALSE),0)</f>
        <v>0</v>
      </c>
      <c r="N1461" s="31" t="e">
        <f>#REF!</f>
        <v>#REF!</v>
      </c>
      <c r="O1461" s="37" t="e">
        <f t="shared" si="36"/>
        <v>#REF!</v>
      </c>
    </row>
    <row r="1462" spans="2:15" ht="17.399999999999999">
      <c r="B1462" s="42" t="s">
        <v>78</v>
      </c>
      <c r="C1462" s="39">
        <f>'تقرير المصروفات حسب الشهر'!P62</f>
        <v>0</v>
      </c>
      <c r="D1462" s="31" t="e">
        <f>#REF!</f>
        <v>#REF!</v>
      </c>
      <c r="E1462" s="31" t="e">
        <f>#REF!</f>
        <v>#REF!</v>
      </c>
      <c r="F1462" s="31" t="e">
        <f>#REF!</f>
        <v>#REF!</v>
      </c>
      <c r="G1462" s="31" t="e">
        <f>#REF!</f>
        <v>#REF!</v>
      </c>
      <c r="H1462" s="31" t="e">
        <f>#REF!</f>
        <v>#REF!</v>
      </c>
      <c r="I1462" s="31">
        <f>'تقرير المصروفات حسب الشهر'!P815</f>
        <v>0</v>
      </c>
      <c r="J1462" s="31">
        <f>'تقرير المصروفات حسب الشهر'!P942</f>
        <v>0</v>
      </c>
      <c r="K1462" s="31">
        <f>'تقرير المصروفات حسب الشهر'!P1069</f>
        <v>0</v>
      </c>
      <c r="L1462" s="292">
        <f>IFERROR(VLOOKUP(B1462,'تقرير المصروفات حسب الشهر'!$C$1143:$AD$1254,14,FALSE),0)</f>
        <v>0</v>
      </c>
      <c r="M1462" s="292">
        <f>IFERROR(VLOOKUP(B1462,'تقرير المصروفات حسب الشهر'!$C$1270:$AD$1381,14,FALSE),0)</f>
        <v>0</v>
      </c>
      <c r="N1462" s="31" t="e">
        <f>#REF!</f>
        <v>#REF!</v>
      </c>
      <c r="O1462" s="37" t="e">
        <f t="shared" si="36"/>
        <v>#REF!</v>
      </c>
    </row>
    <row r="1463" spans="2:15" ht="17.399999999999999">
      <c r="B1463" s="42" t="s">
        <v>79</v>
      </c>
      <c r="C1463" s="39">
        <f>'تقرير المصروفات حسب الشهر'!P63</f>
        <v>0</v>
      </c>
      <c r="D1463" s="31" t="e">
        <f>#REF!</f>
        <v>#REF!</v>
      </c>
      <c r="E1463" s="31" t="e">
        <f>#REF!</f>
        <v>#REF!</v>
      </c>
      <c r="F1463" s="31" t="e">
        <f>#REF!</f>
        <v>#REF!</v>
      </c>
      <c r="G1463" s="31" t="e">
        <f>#REF!</f>
        <v>#REF!</v>
      </c>
      <c r="H1463" s="31" t="e">
        <f>#REF!</f>
        <v>#REF!</v>
      </c>
      <c r="I1463" s="31">
        <f>'تقرير المصروفات حسب الشهر'!P816</f>
        <v>0</v>
      </c>
      <c r="J1463" s="31">
        <f>'تقرير المصروفات حسب الشهر'!P943</f>
        <v>0</v>
      </c>
      <c r="K1463" s="31">
        <f>'تقرير المصروفات حسب الشهر'!P1070</f>
        <v>0</v>
      </c>
      <c r="L1463" s="292">
        <f>IFERROR(VLOOKUP(B1463,'تقرير المصروفات حسب الشهر'!$C$1143:$AD$1254,14,FALSE),0)</f>
        <v>0</v>
      </c>
      <c r="M1463" s="292">
        <f>IFERROR(VLOOKUP(B1463,'تقرير المصروفات حسب الشهر'!$C$1270:$AD$1381,14,FALSE),0)</f>
        <v>0</v>
      </c>
      <c r="N1463" s="31" t="e">
        <f>#REF!</f>
        <v>#REF!</v>
      </c>
      <c r="O1463" s="37" t="e">
        <f t="shared" si="36"/>
        <v>#REF!</v>
      </c>
    </row>
    <row r="1464" spans="2:15" ht="17.399999999999999">
      <c r="B1464" s="42" t="s">
        <v>80</v>
      </c>
      <c r="C1464" s="39">
        <f>'تقرير المصروفات حسب الشهر'!P64</f>
        <v>0</v>
      </c>
      <c r="D1464" s="31" t="e">
        <f>#REF!</f>
        <v>#REF!</v>
      </c>
      <c r="E1464" s="31" t="e">
        <f>#REF!</f>
        <v>#REF!</v>
      </c>
      <c r="F1464" s="31" t="e">
        <f>#REF!</f>
        <v>#REF!</v>
      </c>
      <c r="G1464" s="31" t="e">
        <f>#REF!</f>
        <v>#REF!</v>
      </c>
      <c r="H1464" s="31" t="e">
        <f>#REF!</f>
        <v>#REF!</v>
      </c>
      <c r="I1464" s="31">
        <f>'تقرير المصروفات حسب الشهر'!P817</f>
        <v>0</v>
      </c>
      <c r="J1464" s="31">
        <f>'تقرير المصروفات حسب الشهر'!P944</f>
        <v>0</v>
      </c>
      <c r="K1464" s="31">
        <f>'تقرير المصروفات حسب الشهر'!P1071</f>
        <v>0</v>
      </c>
      <c r="L1464" s="292">
        <f>IFERROR(VLOOKUP(B1464,'تقرير المصروفات حسب الشهر'!$C$1143:$AD$1254,14,FALSE),0)</f>
        <v>0</v>
      </c>
      <c r="M1464" s="292">
        <f>IFERROR(VLOOKUP(B1464,'تقرير المصروفات حسب الشهر'!$C$1270:$AD$1381,14,FALSE),0)</f>
        <v>0</v>
      </c>
      <c r="N1464" s="31" t="e">
        <f>#REF!</f>
        <v>#REF!</v>
      </c>
      <c r="O1464" s="37" t="e">
        <f t="shared" si="36"/>
        <v>#REF!</v>
      </c>
    </row>
    <row r="1465" spans="2:15" ht="17.399999999999999">
      <c r="B1465" s="42" t="s">
        <v>81</v>
      </c>
      <c r="C1465" s="39">
        <f>'تقرير المصروفات حسب الشهر'!P65</f>
        <v>0</v>
      </c>
      <c r="D1465" s="31" t="e">
        <f>#REF!</f>
        <v>#REF!</v>
      </c>
      <c r="E1465" s="31" t="e">
        <f>#REF!</f>
        <v>#REF!</v>
      </c>
      <c r="F1465" s="31" t="e">
        <f>#REF!</f>
        <v>#REF!</v>
      </c>
      <c r="G1465" s="31" t="e">
        <f>#REF!</f>
        <v>#REF!</v>
      </c>
      <c r="H1465" s="31" t="e">
        <f>#REF!</f>
        <v>#REF!</v>
      </c>
      <c r="I1465" s="31">
        <f>'تقرير المصروفات حسب الشهر'!P818</f>
        <v>0</v>
      </c>
      <c r="J1465" s="31">
        <f>'تقرير المصروفات حسب الشهر'!P945</f>
        <v>0</v>
      </c>
      <c r="K1465" s="31">
        <f>'تقرير المصروفات حسب الشهر'!P1072</f>
        <v>0</v>
      </c>
      <c r="L1465" s="292">
        <f>IFERROR(VLOOKUP(B1465,'تقرير المصروفات حسب الشهر'!$C$1143:$AD$1254,14,FALSE),0)</f>
        <v>0</v>
      </c>
      <c r="M1465" s="292">
        <f>IFERROR(VLOOKUP(B1465,'تقرير المصروفات حسب الشهر'!$C$1270:$AD$1381,14,FALSE),0)</f>
        <v>0</v>
      </c>
      <c r="N1465" s="31" t="e">
        <f>#REF!</f>
        <v>#REF!</v>
      </c>
      <c r="O1465" s="37" t="e">
        <f t="shared" si="36"/>
        <v>#REF!</v>
      </c>
    </row>
    <row r="1466" spans="2:15" ht="17.399999999999999">
      <c r="B1466" s="42" t="s">
        <v>82</v>
      </c>
      <c r="C1466" s="39">
        <f>'تقرير المصروفات حسب الشهر'!P66</f>
        <v>0</v>
      </c>
      <c r="D1466" s="31" t="e">
        <f>#REF!</f>
        <v>#REF!</v>
      </c>
      <c r="E1466" s="31" t="e">
        <f>#REF!</f>
        <v>#REF!</v>
      </c>
      <c r="F1466" s="31" t="e">
        <f>#REF!</f>
        <v>#REF!</v>
      </c>
      <c r="G1466" s="31" t="e">
        <f>#REF!</f>
        <v>#REF!</v>
      </c>
      <c r="H1466" s="31" t="e">
        <f>#REF!</f>
        <v>#REF!</v>
      </c>
      <c r="I1466" s="31">
        <f>'تقرير المصروفات حسب الشهر'!P819</f>
        <v>0</v>
      </c>
      <c r="J1466" s="31">
        <f>'تقرير المصروفات حسب الشهر'!P946</f>
        <v>0</v>
      </c>
      <c r="K1466" s="31">
        <f>'تقرير المصروفات حسب الشهر'!P1073</f>
        <v>0</v>
      </c>
      <c r="L1466" s="292">
        <f>IFERROR(VLOOKUP(B1466,'تقرير المصروفات حسب الشهر'!$C$1143:$AD$1254,14,FALSE),0)</f>
        <v>0</v>
      </c>
      <c r="M1466" s="292">
        <f>IFERROR(VLOOKUP(B1466,'تقرير المصروفات حسب الشهر'!$C$1270:$AD$1381,14,FALSE),0)</f>
        <v>0</v>
      </c>
      <c r="N1466" s="31" t="e">
        <f>#REF!</f>
        <v>#REF!</v>
      </c>
      <c r="O1466" s="37" t="e">
        <f t="shared" si="36"/>
        <v>#REF!</v>
      </c>
    </row>
    <row r="1467" spans="2:15" ht="17.399999999999999">
      <c r="B1467" s="42" t="s">
        <v>83</v>
      </c>
      <c r="C1467" s="39">
        <f>'تقرير المصروفات حسب الشهر'!P67</f>
        <v>0</v>
      </c>
      <c r="D1467" s="31" t="e">
        <f>#REF!</f>
        <v>#REF!</v>
      </c>
      <c r="E1467" s="31" t="e">
        <f>#REF!</f>
        <v>#REF!</v>
      </c>
      <c r="F1467" s="31" t="e">
        <f>#REF!</f>
        <v>#REF!</v>
      </c>
      <c r="G1467" s="31" t="e">
        <f>#REF!</f>
        <v>#REF!</v>
      </c>
      <c r="H1467" s="31" t="e">
        <f>#REF!</f>
        <v>#REF!</v>
      </c>
      <c r="I1467" s="31">
        <f>'تقرير المصروفات حسب الشهر'!P820</f>
        <v>0</v>
      </c>
      <c r="J1467" s="31">
        <f>'تقرير المصروفات حسب الشهر'!P947</f>
        <v>0</v>
      </c>
      <c r="K1467" s="31">
        <f>'تقرير المصروفات حسب الشهر'!P1074</f>
        <v>0</v>
      </c>
      <c r="L1467" s="292">
        <f>IFERROR(VLOOKUP(B1467,'تقرير المصروفات حسب الشهر'!$C$1143:$AD$1254,14,FALSE),0)</f>
        <v>0</v>
      </c>
      <c r="M1467" s="292">
        <f>IFERROR(VLOOKUP(B1467,'تقرير المصروفات حسب الشهر'!$C$1270:$AD$1381,14,FALSE),0)</f>
        <v>0</v>
      </c>
      <c r="N1467" s="31" t="e">
        <f>#REF!</f>
        <v>#REF!</v>
      </c>
      <c r="O1467" s="37" t="e">
        <f t="shared" si="36"/>
        <v>#REF!</v>
      </c>
    </row>
    <row r="1468" spans="2:15" ht="17.399999999999999">
      <c r="B1468" s="42" t="s">
        <v>84</v>
      </c>
      <c r="C1468" s="39">
        <f>'تقرير المصروفات حسب الشهر'!P68</f>
        <v>0</v>
      </c>
      <c r="D1468" s="31" t="e">
        <f>#REF!</f>
        <v>#REF!</v>
      </c>
      <c r="E1468" s="31" t="e">
        <f>#REF!</f>
        <v>#REF!</v>
      </c>
      <c r="F1468" s="31" t="e">
        <f>#REF!</f>
        <v>#REF!</v>
      </c>
      <c r="G1468" s="31" t="e">
        <f>#REF!</f>
        <v>#REF!</v>
      </c>
      <c r="H1468" s="31" t="e">
        <f>#REF!</f>
        <v>#REF!</v>
      </c>
      <c r="I1468" s="31">
        <f>'تقرير المصروفات حسب الشهر'!P821</f>
        <v>0</v>
      </c>
      <c r="J1468" s="31">
        <f>'تقرير المصروفات حسب الشهر'!P948</f>
        <v>300</v>
      </c>
      <c r="K1468" s="31">
        <f>'تقرير المصروفات حسب الشهر'!P1075</f>
        <v>200</v>
      </c>
      <c r="L1468" s="292">
        <f>IFERROR(VLOOKUP(B1468,'تقرير المصروفات حسب الشهر'!$C$1143:$AD$1254,14,FALSE),0)</f>
        <v>0</v>
      </c>
      <c r="M1468" s="292">
        <f>IFERROR(VLOOKUP(B1468,'تقرير المصروفات حسب الشهر'!$C$1270:$AD$1381,14,FALSE),0)</f>
        <v>0</v>
      </c>
      <c r="N1468" s="31" t="e">
        <f>#REF!</f>
        <v>#REF!</v>
      </c>
      <c r="O1468" s="37" t="e">
        <f t="shared" si="36"/>
        <v>#REF!</v>
      </c>
    </row>
    <row r="1469" spans="2:15" ht="17.399999999999999">
      <c r="B1469" s="42" t="s">
        <v>85</v>
      </c>
      <c r="C1469" s="39">
        <f>'تقرير المصروفات حسب الشهر'!P69</f>
        <v>316</v>
      </c>
      <c r="D1469" s="31" t="e">
        <f>#REF!</f>
        <v>#REF!</v>
      </c>
      <c r="E1469" s="31" t="e">
        <f>#REF!</f>
        <v>#REF!</v>
      </c>
      <c r="F1469" s="31" t="e">
        <f>#REF!</f>
        <v>#REF!</v>
      </c>
      <c r="G1469" s="31" t="e">
        <f>#REF!</f>
        <v>#REF!</v>
      </c>
      <c r="H1469" s="31" t="e">
        <f>#REF!</f>
        <v>#REF!</v>
      </c>
      <c r="I1469" s="31">
        <f>'تقرير المصروفات حسب الشهر'!P822</f>
        <v>0</v>
      </c>
      <c r="J1469" s="31">
        <f>'تقرير المصروفات حسب الشهر'!P949</f>
        <v>0</v>
      </c>
      <c r="K1469" s="31">
        <f>'تقرير المصروفات حسب الشهر'!P1076</f>
        <v>0</v>
      </c>
      <c r="L1469" s="292">
        <f>IFERROR(VLOOKUP(B1469,'تقرير المصروفات حسب الشهر'!$C$1143:$AD$1254,14,FALSE),0)</f>
        <v>200</v>
      </c>
      <c r="M1469" s="292">
        <f>IFERROR(VLOOKUP(B1469,'تقرير المصروفات حسب الشهر'!$C$1270:$AD$1381,14,FALSE),0)</f>
        <v>200</v>
      </c>
      <c r="N1469" s="31" t="e">
        <f>#REF!</f>
        <v>#REF!</v>
      </c>
      <c r="O1469" s="37" t="e">
        <f t="shared" si="36"/>
        <v>#REF!</v>
      </c>
    </row>
    <row r="1470" spans="2:15" ht="17.399999999999999">
      <c r="B1470" s="42" t="s">
        <v>86</v>
      </c>
      <c r="C1470" s="39">
        <f>'تقرير المصروفات حسب الشهر'!P70</f>
        <v>0</v>
      </c>
      <c r="D1470" s="31" t="e">
        <f>#REF!</f>
        <v>#REF!</v>
      </c>
      <c r="E1470" s="31" t="e">
        <f>#REF!</f>
        <v>#REF!</v>
      </c>
      <c r="F1470" s="31" t="e">
        <f>#REF!</f>
        <v>#REF!</v>
      </c>
      <c r="G1470" s="31" t="e">
        <f>#REF!</f>
        <v>#REF!</v>
      </c>
      <c r="H1470" s="31" t="e">
        <f>#REF!</f>
        <v>#REF!</v>
      </c>
      <c r="I1470" s="31">
        <f>'تقرير المصروفات حسب الشهر'!P823</f>
        <v>0</v>
      </c>
      <c r="J1470" s="31">
        <f>'تقرير المصروفات حسب الشهر'!P950</f>
        <v>0</v>
      </c>
      <c r="K1470" s="31">
        <f>'تقرير المصروفات حسب الشهر'!P1077</f>
        <v>0</v>
      </c>
      <c r="L1470" s="292">
        <f>IFERROR(VLOOKUP(B1470,'تقرير المصروفات حسب الشهر'!$C$1143:$AD$1254,14,FALSE),0)</f>
        <v>0</v>
      </c>
      <c r="M1470" s="292">
        <f>IFERROR(VLOOKUP(B1470,'تقرير المصروفات حسب الشهر'!$C$1270:$AD$1381,14,FALSE),0)</f>
        <v>0</v>
      </c>
      <c r="N1470" s="31" t="e">
        <f>#REF!</f>
        <v>#REF!</v>
      </c>
      <c r="O1470" s="37" t="e">
        <f t="shared" si="36"/>
        <v>#REF!</v>
      </c>
    </row>
    <row r="1471" spans="2:15" ht="17.399999999999999">
      <c r="B1471" s="42" t="s">
        <v>87</v>
      </c>
      <c r="C1471" s="39">
        <f>'تقرير المصروفات حسب الشهر'!P71</f>
        <v>0</v>
      </c>
      <c r="D1471" s="31" t="e">
        <f>#REF!</f>
        <v>#REF!</v>
      </c>
      <c r="E1471" s="31" t="e">
        <f>#REF!</f>
        <v>#REF!</v>
      </c>
      <c r="F1471" s="31" t="e">
        <f>#REF!</f>
        <v>#REF!</v>
      </c>
      <c r="G1471" s="31" t="e">
        <f>#REF!</f>
        <v>#REF!</v>
      </c>
      <c r="H1471" s="31" t="e">
        <f>#REF!</f>
        <v>#REF!</v>
      </c>
      <c r="I1471" s="31">
        <f>'تقرير المصروفات حسب الشهر'!P824</f>
        <v>0</v>
      </c>
      <c r="J1471" s="31">
        <f>'تقرير المصروفات حسب الشهر'!P951</f>
        <v>0</v>
      </c>
      <c r="K1471" s="31">
        <f>'تقرير المصروفات حسب الشهر'!P1078</f>
        <v>0</v>
      </c>
      <c r="L1471" s="292">
        <f>IFERROR(VLOOKUP(B1471,'تقرير المصروفات حسب الشهر'!$C$1143:$AD$1254,14,FALSE),0)</f>
        <v>0</v>
      </c>
      <c r="M1471" s="292">
        <f>IFERROR(VLOOKUP(B1471,'تقرير المصروفات حسب الشهر'!$C$1270:$AD$1381,14,FALSE),0)</f>
        <v>0</v>
      </c>
      <c r="N1471" s="31" t="e">
        <f>#REF!</f>
        <v>#REF!</v>
      </c>
      <c r="O1471" s="37" t="e">
        <f t="shared" si="36"/>
        <v>#REF!</v>
      </c>
    </row>
    <row r="1472" spans="2:15" ht="17.399999999999999">
      <c r="B1472" s="42" t="s">
        <v>88</v>
      </c>
      <c r="C1472" s="39">
        <f>'تقرير المصروفات حسب الشهر'!P72</f>
        <v>0</v>
      </c>
      <c r="D1472" s="31" t="e">
        <f>#REF!</f>
        <v>#REF!</v>
      </c>
      <c r="E1472" s="31" t="e">
        <f>#REF!</f>
        <v>#REF!</v>
      </c>
      <c r="F1472" s="31" t="e">
        <f>#REF!</f>
        <v>#REF!</v>
      </c>
      <c r="G1472" s="31" t="e">
        <f>#REF!</f>
        <v>#REF!</v>
      </c>
      <c r="H1472" s="31" t="e">
        <f>#REF!</f>
        <v>#REF!</v>
      </c>
      <c r="I1472" s="31">
        <f>'تقرير المصروفات حسب الشهر'!P825</f>
        <v>0</v>
      </c>
      <c r="J1472" s="31">
        <f>'تقرير المصروفات حسب الشهر'!P952</f>
        <v>0</v>
      </c>
      <c r="K1472" s="31">
        <f>'تقرير المصروفات حسب الشهر'!P1079</f>
        <v>0</v>
      </c>
      <c r="L1472" s="292">
        <f>IFERROR(VLOOKUP(B1472,'تقرير المصروفات حسب الشهر'!$C$1143:$AD$1254,14,FALSE),0)</f>
        <v>0</v>
      </c>
      <c r="M1472" s="292">
        <f>IFERROR(VLOOKUP(B1472,'تقرير المصروفات حسب الشهر'!$C$1270:$AD$1381,14,FALSE),0)</f>
        <v>0</v>
      </c>
      <c r="N1472" s="31" t="e">
        <f>#REF!</f>
        <v>#REF!</v>
      </c>
      <c r="O1472" s="37" t="e">
        <f t="shared" si="36"/>
        <v>#REF!</v>
      </c>
    </row>
    <row r="1473" spans="2:15" ht="17.399999999999999">
      <c r="B1473" s="42" t="s">
        <v>89</v>
      </c>
      <c r="C1473" s="39">
        <f>'تقرير المصروفات حسب الشهر'!P73</f>
        <v>0</v>
      </c>
      <c r="D1473" s="31" t="e">
        <f>#REF!</f>
        <v>#REF!</v>
      </c>
      <c r="E1473" s="31" t="e">
        <f>#REF!</f>
        <v>#REF!</v>
      </c>
      <c r="F1473" s="31" t="e">
        <f>#REF!</f>
        <v>#REF!</v>
      </c>
      <c r="G1473" s="31" t="e">
        <f>#REF!</f>
        <v>#REF!</v>
      </c>
      <c r="H1473" s="31" t="e">
        <f>#REF!</f>
        <v>#REF!</v>
      </c>
      <c r="I1473" s="31">
        <f>'تقرير المصروفات حسب الشهر'!P826</f>
        <v>979</v>
      </c>
      <c r="J1473" s="31">
        <f>'تقرير المصروفات حسب الشهر'!P953</f>
        <v>0</v>
      </c>
      <c r="K1473" s="31">
        <f>'تقرير المصروفات حسب الشهر'!P1080</f>
        <v>0</v>
      </c>
      <c r="L1473" s="292">
        <f>IFERROR(VLOOKUP(B1473,'تقرير المصروفات حسب الشهر'!$C$1143:$AD$1254,14,FALSE),0)</f>
        <v>0</v>
      </c>
      <c r="M1473" s="292">
        <f>IFERROR(VLOOKUP(B1473,'تقرير المصروفات حسب الشهر'!$C$1270:$AD$1381,14,FALSE),0)</f>
        <v>0</v>
      </c>
      <c r="N1473" s="31" t="e">
        <f>#REF!</f>
        <v>#REF!</v>
      </c>
      <c r="O1473" s="37" t="e">
        <f t="shared" si="36"/>
        <v>#REF!</v>
      </c>
    </row>
    <row r="1474" spans="2:15" ht="17.399999999999999">
      <c r="B1474" s="42" t="s">
        <v>33</v>
      </c>
      <c r="C1474" s="39">
        <f>'تقرير المصروفات حسب الشهر'!P74</f>
        <v>1735</v>
      </c>
      <c r="D1474" s="31" t="e">
        <f>#REF!</f>
        <v>#REF!</v>
      </c>
      <c r="E1474" s="31" t="e">
        <f>#REF!</f>
        <v>#REF!</v>
      </c>
      <c r="F1474" s="31" t="e">
        <f>#REF!</f>
        <v>#REF!</v>
      </c>
      <c r="G1474" s="31" t="e">
        <f>#REF!</f>
        <v>#REF!</v>
      </c>
      <c r="H1474" s="31" t="e">
        <f>#REF!</f>
        <v>#REF!</v>
      </c>
      <c r="I1474" s="31">
        <f>'تقرير المصروفات حسب الشهر'!P827</f>
        <v>0</v>
      </c>
      <c r="J1474" s="31">
        <f>'تقرير المصروفات حسب الشهر'!P954</f>
        <v>0</v>
      </c>
      <c r="K1474" s="31">
        <f>'تقرير المصروفات حسب الشهر'!P1081</f>
        <v>0</v>
      </c>
      <c r="L1474" s="292">
        <f>IFERROR(VLOOKUP(B1474,'تقرير المصروفات حسب الشهر'!$C$1143:$AD$1254,14,FALSE),0)</f>
        <v>1335.76</v>
      </c>
      <c r="M1474" s="292">
        <f>IFERROR(VLOOKUP(B1474,'تقرير المصروفات حسب الشهر'!$C$1270:$AD$1381,14,FALSE),0)</f>
        <v>1105.82</v>
      </c>
      <c r="N1474" s="31" t="e">
        <f>#REF!</f>
        <v>#REF!</v>
      </c>
      <c r="O1474" s="37" t="e">
        <f t="shared" si="36"/>
        <v>#REF!</v>
      </c>
    </row>
    <row r="1475" spans="2:15" ht="17.399999999999999">
      <c r="B1475" s="42" t="s">
        <v>90</v>
      </c>
      <c r="C1475" s="39">
        <f>'تقرير المصروفات حسب الشهر'!P75</f>
        <v>0</v>
      </c>
      <c r="D1475" s="31" t="e">
        <f>#REF!</f>
        <v>#REF!</v>
      </c>
      <c r="E1475" s="31" t="e">
        <f>#REF!</f>
        <v>#REF!</v>
      </c>
      <c r="F1475" s="31" t="e">
        <f>#REF!</f>
        <v>#REF!</v>
      </c>
      <c r="G1475" s="31" t="e">
        <f>#REF!</f>
        <v>#REF!</v>
      </c>
      <c r="H1475" s="31" t="e">
        <f>#REF!</f>
        <v>#REF!</v>
      </c>
      <c r="I1475" s="31">
        <f>'تقرير المصروفات حسب الشهر'!P828</f>
        <v>0</v>
      </c>
      <c r="J1475" s="31">
        <f>'تقرير المصروفات حسب الشهر'!P955</f>
        <v>0</v>
      </c>
      <c r="K1475" s="31">
        <f>'تقرير المصروفات حسب الشهر'!P1082</f>
        <v>0</v>
      </c>
      <c r="L1475" s="292">
        <f>IFERROR(VLOOKUP(B1475,'تقرير المصروفات حسب الشهر'!$C$1143:$AD$1254,14,FALSE),0)</f>
        <v>0</v>
      </c>
      <c r="M1475" s="292">
        <f>IFERROR(VLOOKUP(B1475,'تقرير المصروفات حسب الشهر'!$C$1270:$AD$1381,14,FALSE),0)</f>
        <v>0</v>
      </c>
      <c r="N1475" s="31" t="e">
        <f>#REF!</f>
        <v>#REF!</v>
      </c>
      <c r="O1475" s="37" t="e">
        <f t="shared" ref="O1475:O1521" si="37">SUM(C1475:N1475)</f>
        <v>#REF!</v>
      </c>
    </row>
    <row r="1476" spans="2:15" ht="17.399999999999999">
      <c r="B1476" s="42" t="s">
        <v>91</v>
      </c>
      <c r="C1476" s="39">
        <f>'تقرير المصروفات حسب الشهر'!P76</f>
        <v>0</v>
      </c>
      <c r="D1476" s="31" t="e">
        <f>#REF!</f>
        <v>#REF!</v>
      </c>
      <c r="E1476" s="31" t="e">
        <f>#REF!</f>
        <v>#REF!</v>
      </c>
      <c r="F1476" s="31" t="e">
        <f>#REF!</f>
        <v>#REF!</v>
      </c>
      <c r="G1476" s="31" t="e">
        <f>#REF!</f>
        <v>#REF!</v>
      </c>
      <c r="H1476" s="31" t="e">
        <f>#REF!</f>
        <v>#REF!</v>
      </c>
      <c r="I1476" s="31">
        <f>'تقرير المصروفات حسب الشهر'!P829</f>
        <v>0</v>
      </c>
      <c r="J1476" s="31">
        <f>'تقرير المصروفات حسب الشهر'!P956</f>
        <v>0</v>
      </c>
      <c r="K1476" s="31">
        <f>'تقرير المصروفات حسب الشهر'!P1083</f>
        <v>0</v>
      </c>
      <c r="L1476" s="292">
        <f>IFERROR(VLOOKUP(B1476,'تقرير المصروفات حسب الشهر'!$C$1143:$AD$1254,14,FALSE),0)</f>
        <v>0</v>
      </c>
      <c r="M1476" s="292">
        <f>IFERROR(VLOOKUP(B1476,'تقرير المصروفات حسب الشهر'!$C$1270:$AD$1381,14,FALSE),0)</f>
        <v>0</v>
      </c>
      <c r="N1476" s="31" t="e">
        <f>#REF!</f>
        <v>#REF!</v>
      </c>
      <c r="O1476" s="37" t="e">
        <f t="shared" si="37"/>
        <v>#REF!</v>
      </c>
    </row>
    <row r="1477" spans="2:15" ht="17.399999999999999">
      <c r="B1477" s="42" t="s">
        <v>92</v>
      </c>
      <c r="C1477" s="39">
        <f>'تقرير المصروفات حسب الشهر'!P77</f>
        <v>0</v>
      </c>
      <c r="D1477" s="31" t="e">
        <f>#REF!</f>
        <v>#REF!</v>
      </c>
      <c r="E1477" s="31" t="e">
        <f>#REF!</f>
        <v>#REF!</v>
      </c>
      <c r="F1477" s="31" t="e">
        <f>#REF!</f>
        <v>#REF!</v>
      </c>
      <c r="G1477" s="31" t="e">
        <f>#REF!</f>
        <v>#REF!</v>
      </c>
      <c r="H1477" s="31" t="e">
        <f>#REF!</f>
        <v>#REF!</v>
      </c>
      <c r="I1477" s="31">
        <f>'تقرير المصروفات حسب الشهر'!P830</f>
        <v>0</v>
      </c>
      <c r="J1477" s="31">
        <f>'تقرير المصروفات حسب الشهر'!P957</f>
        <v>0</v>
      </c>
      <c r="K1477" s="31">
        <f>'تقرير المصروفات حسب الشهر'!P1084</f>
        <v>0</v>
      </c>
      <c r="L1477" s="292">
        <f>IFERROR(VLOOKUP(B1477,'تقرير المصروفات حسب الشهر'!$C$1143:$AD$1254,14,FALSE),0)</f>
        <v>0</v>
      </c>
      <c r="M1477" s="292">
        <f>IFERROR(VLOOKUP(B1477,'تقرير المصروفات حسب الشهر'!$C$1270:$AD$1381,14,FALSE),0)</f>
        <v>0</v>
      </c>
      <c r="N1477" s="31" t="e">
        <f>#REF!</f>
        <v>#REF!</v>
      </c>
      <c r="O1477" s="37" t="e">
        <f t="shared" si="37"/>
        <v>#REF!</v>
      </c>
    </row>
    <row r="1478" spans="2:15" ht="17.399999999999999">
      <c r="B1478" s="42" t="s">
        <v>93</v>
      </c>
      <c r="C1478" s="39">
        <f>'تقرير المصروفات حسب الشهر'!P78</f>
        <v>0</v>
      </c>
      <c r="D1478" s="31" t="e">
        <f>#REF!</f>
        <v>#REF!</v>
      </c>
      <c r="E1478" s="31" t="e">
        <f>#REF!</f>
        <v>#REF!</v>
      </c>
      <c r="F1478" s="31" t="e">
        <f>#REF!</f>
        <v>#REF!</v>
      </c>
      <c r="G1478" s="31" t="e">
        <f>#REF!</f>
        <v>#REF!</v>
      </c>
      <c r="H1478" s="31" t="e">
        <f>#REF!</f>
        <v>#REF!</v>
      </c>
      <c r="I1478" s="31">
        <f>'تقرير المصروفات حسب الشهر'!P831</f>
        <v>3383</v>
      </c>
      <c r="J1478" s="31">
        <f>'تقرير المصروفات حسب الشهر'!P958</f>
        <v>3000</v>
      </c>
      <c r="K1478" s="31">
        <f>'تقرير المصروفات حسب الشهر'!P1085</f>
        <v>3000</v>
      </c>
      <c r="L1478" s="292">
        <f>IFERROR(VLOOKUP(B1478,'تقرير المصروفات حسب الشهر'!$C$1143:$AD$1254,14,FALSE),0)</f>
        <v>0</v>
      </c>
      <c r="M1478" s="292">
        <f>IFERROR(VLOOKUP(B1478,'تقرير المصروفات حسب الشهر'!$C$1270:$AD$1381,14,FALSE),0)</f>
        <v>0</v>
      </c>
      <c r="N1478" s="31" t="e">
        <f>#REF!</f>
        <v>#REF!</v>
      </c>
      <c r="O1478" s="37" t="e">
        <f t="shared" si="37"/>
        <v>#REF!</v>
      </c>
    </row>
    <row r="1479" spans="2:15" ht="17.399999999999999">
      <c r="B1479" s="42" t="s">
        <v>94</v>
      </c>
      <c r="C1479" s="39">
        <f>'تقرير المصروفات حسب الشهر'!P79</f>
        <v>3000</v>
      </c>
      <c r="D1479" s="31" t="e">
        <f>#REF!</f>
        <v>#REF!</v>
      </c>
      <c r="E1479" s="31" t="e">
        <f>#REF!</f>
        <v>#REF!</v>
      </c>
      <c r="F1479" s="31" t="e">
        <f>#REF!</f>
        <v>#REF!</v>
      </c>
      <c r="G1479" s="31" t="e">
        <f>#REF!</f>
        <v>#REF!</v>
      </c>
      <c r="H1479" s="31" t="e">
        <f>#REF!</f>
        <v>#REF!</v>
      </c>
      <c r="I1479" s="31">
        <f>'تقرير المصروفات حسب الشهر'!P832</f>
        <v>0</v>
      </c>
      <c r="J1479" s="31">
        <f>'تقرير المصروفات حسب الشهر'!P959</f>
        <v>6000</v>
      </c>
      <c r="K1479" s="31">
        <f>'تقرير المصروفات حسب الشهر'!P1086</f>
        <v>0</v>
      </c>
      <c r="L1479" s="292">
        <f>IFERROR(VLOOKUP(B1479,'تقرير المصروفات حسب الشهر'!$C$1143:$AD$1254,14,FALSE),0)</f>
        <v>3000</v>
      </c>
      <c r="M1479" s="292">
        <f>IFERROR(VLOOKUP(B1479,'تقرير المصروفات حسب الشهر'!$C$1270:$AD$1381,14,FALSE),0)</f>
        <v>3544</v>
      </c>
      <c r="N1479" s="31" t="e">
        <f>#REF!</f>
        <v>#REF!</v>
      </c>
      <c r="O1479" s="37" t="e">
        <f t="shared" si="37"/>
        <v>#REF!</v>
      </c>
    </row>
    <row r="1480" spans="2:15" ht="17.399999999999999">
      <c r="B1480" s="42" t="s">
        <v>95</v>
      </c>
      <c r="C1480" s="39">
        <f>'تقرير المصروفات حسب الشهر'!P80</f>
        <v>0</v>
      </c>
      <c r="D1480" s="31" t="e">
        <f>#REF!</f>
        <v>#REF!</v>
      </c>
      <c r="E1480" s="31" t="e">
        <f>#REF!</f>
        <v>#REF!</v>
      </c>
      <c r="F1480" s="31" t="e">
        <f>#REF!</f>
        <v>#REF!</v>
      </c>
      <c r="G1480" s="31" t="e">
        <f>#REF!</f>
        <v>#REF!</v>
      </c>
      <c r="H1480" s="31" t="e">
        <f>#REF!</f>
        <v>#REF!</v>
      </c>
      <c r="I1480" s="31">
        <f>'تقرير المصروفات حسب الشهر'!P833</f>
        <v>668</v>
      </c>
      <c r="J1480" s="31">
        <f>'تقرير المصروفات حسب الشهر'!P960</f>
        <v>0</v>
      </c>
      <c r="K1480" s="31">
        <f>'تقرير المصروفات حسب الشهر'!P1087</f>
        <v>0</v>
      </c>
      <c r="L1480" s="292">
        <f>IFERROR(VLOOKUP(B1480,'تقرير المصروفات حسب الشهر'!$C$1143:$AD$1254,14,FALSE),0)</f>
        <v>500</v>
      </c>
      <c r="M1480" s="292">
        <f>IFERROR(VLOOKUP(B1480,'تقرير المصروفات حسب الشهر'!$C$1270:$AD$1381,14,FALSE),0)</f>
        <v>0</v>
      </c>
      <c r="N1480" s="31" t="e">
        <f>#REF!</f>
        <v>#REF!</v>
      </c>
      <c r="O1480" s="37" t="e">
        <f t="shared" si="37"/>
        <v>#REF!</v>
      </c>
    </row>
    <row r="1481" spans="2:15" ht="17.399999999999999">
      <c r="B1481" s="42" t="s">
        <v>96</v>
      </c>
      <c r="C1481" s="39">
        <f>'تقرير المصروفات حسب الشهر'!P81</f>
        <v>0</v>
      </c>
      <c r="D1481" s="31" t="e">
        <f>#REF!</f>
        <v>#REF!</v>
      </c>
      <c r="E1481" s="31" t="e">
        <f>#REF!</f>
        <v>#REF!</v>
      </c>
      <c r="F1481" s="31" t="e">
        <f>#REF!</f>
        <v>#REF!</v>
      </c>
      <c r="G1481" s="31" t="e">
        <f>#REF!</f>
        <v>#REF!</v>
      </c>
      <c r="H1481" s="31" t="e">
        <f>#REF!</f>
        <v>#REF!</v>
      </c>
      <c r="I1481" s="31">
        <f>'تقرير المصروفات حسب الشهر'!P834</f>
        <v>423</v>
      </c>
      <c r="J1481" s="31">
        <f>'تقرير المصروفات حسب الشهر'!P961</f>
        <v>423</v>
      </c>
      <c r="K1481" s="31">
        <f>'تقرير المصروفات حسب الشهر'!P1088</f>
        <v>423</v>
      </c>
      <c r="L1481" s="292">
        <f>IFERROR(VLOOKUP(B1481,'تقرير المصروفات حسب الشهر'!$C$1143:$AD$1254,14,FALSE),0)</f>
        <v>0</v>
      </c>
      <c r="M1481" s="292">
        <f>IFERROR(VLOOKUP(B1481,'تقرير المصروفات حسب الشهر'!$C$1270:$AD$1381,14,FALSE),0)</f>
        <v>0</v>
      </c>
      <c r="N1481" s="31" t="e">
        <f>#REF!</f>
        <v>#REF!</v>
      </c>
      <c r="O1481" s="37" t="e">
        <f t="shared" si="37"/>
        <v>#REF!</v>
      </c>
    </row>
    <row r="1482" spans="2:15" ht="17.399999999999999">
      <c r="B1482" s="42" t="s">
        <v>97</v>
      </c>
      <c r="C1482" s="39">
        <f>'تقرير المصروفات حسب الشهر'!P82</f>
        <v>423</v>
      </c>
      <c r="D1482" s="31" t="e">
        <f>#REF!</f>
        <v>#REF!</v>
      </c>
      <c r="E1482" s="31" t="e">
        <f>#REF!</f>
        <v>#REF!</v>
      </c>
      <c r="F1482" s="31" t="e">
        <f>#REF!</f>
        <v>#REF!</v>
      </c>
      <c r="G1482" s="31" t="e">
        <f>#REF!</f>
        <v>#REF!</v>
      </c>
      <c r="H1482" s="31" t="e">
        <f>#REF!</f>
        <v>#REF!</v>
      </c>
      <c r="I1482" s="31">
        <f>'تقرير المصروفات حسب الشهر'!P835</f>
        <v>0</v>
      </c>
      <c r="J1482" s="31">
        <f>'تقرير المصروفات حسب الشهر'!P962</f>
        <v>0</v>
      </c>
      <c r="K1482" s="31">
        <f>'تقرير المصروفات حسب الشهر'!P1089</f>
        <v>2130</v>
      </c>
      <c r="L1482" s="292">
        <f>IFERROR(VLOOKUP(B1482,'تقرير المصروفات حسب الشهر'!$C$1143:$AD$1254,14,FALSE),0)</f>
        <v>423</v>
      </c>
      <c r="M1482" s="292">
        <f>IFERROR(VLOOKUP(B1482,'تقرير المصروفات حسب الشهر'!$C$1270:$AD$1381,14,FALSE),0)</f>
        <v>423</v>
      </c>
      <c r="N1482" s="31" t="e">
        <f>#REF!</f>
        <v>#REF!</v>
      </c>
      <c r="O1482" s="37" t="e">
        <f t="shared" si="37"/>
        <v>#REF!</v>
      </c>
    </row>
    <row r="1483" spans="2:15" ht="17.399999999999999">
      <c r="B1483" s="42" t="s">
        <v>192</v>
      </c>
      <c r="C1483" s="39">
        <f>'تقرير المصروفات حسب الشهر'!P83</f>
        <v>0</v>
      </c>
      <c r="D1483" s="31" t="e">
        <f>#REF!</f>
        <v>#REF!</v>
      </c>
      <c r="E1483" s="31" t="e">
        <f>#REF!</f>
        <v>#REF!</v>
      </c>
      <c r="F1483" s="31" t="e">
        <f>#REF!</f>
        <v>#REF!</v>
      </c>
      <c r="G1483" s="31" t="e">
        <f>#REF!</f>
        <v>#REF!</v>
      </c>
      <c r="H1483" s="31" t="e">
        <f>#REF!</f>
        <v>#REF!</v>
      </c>
      <c r="I1483" s="31">
        <f>'تقرير المصروفات حسب الشهر'!P836</f>
        <v>0</v>
      </c>
      <c r="J1483" s="31">
        <f>'تقرير المصروفات حسب الشهر'!P963</f>
        <v>0</v>
      </c>
      <c r="K1483" s="31">
        <f>'تقرير المصروفات حسب الشهر'!P1090</f>
        <v>0</v>
      </c>
      <c r="L1483" s="292">
        <f>IFERROR(VLOOKUP(B1483,'تقرير المصروفات حسب الشهر'!$C$1143:$AD$1254,14,FALSE),0)</f>
        <v>1065</v>
      </c>
      <c r="M1483" s="292">
        <f>IFERROR(VLOOKUP(B1483,'تقرير المصروفات حسب الشهر'!$C$1270:$AD$1381,14,FALSE),0)</f>
        <v>1065</v>
      </c>
      <c r="N1483" s="31" t="e">
        <f>#REF!</f>
        <v>#REF!</v>
      </c>
      <c r="O1483" s="37" t="e">
        <f t="shared" si="37"/>
        <v>#REF!</v>
      </c>
    </row>
    <row r="1484" spans="2:15" ht="17.399999999999999">
      <c r="B1484" s="42" t="s">
        <v>98</v>
      </c>
      <c r="C1484" s="39">
        <f>'تقرير المصروفات حسب الشهر'!P84</f>
        <v>0</v>
      </c>
      <c r="D1484" s="31" t="e">
        <f>#REF!</f>
        <v>#REF!</v>
      </c>
      <c r="E1484" s="31" t="e">
        <f>#REF!</f>
        <v>#REF!</v>
      </c>
      <c r="F1484" s="31" t="e">
        <f>#REF!</f>
        <v>#REF!</v>
      </c>
      <c r="G1484" s="31" t="e">
        <f>#REF!</f>
        <v>#REF!</v>
      </c>
      <c r="H1484" s="31" t="e">
        <f>#REF!</f>
        <v>#REF!</v>
      </c>
      <c r="I1484" s="31">
        <f>'تقرير المصروفات حسب الشهر'!P837</f>
        <v>0</v>
      </c>
      <c r="J1484" s="31">
        <f>'تقرير المصروفات حسب الشهر'!P964</f>
        <v>0</v>
      </c>
      <c r="K1484" s="31">
        <f>'تقرير المصروفات حسب الشهر'!P1091</f>
        <v>0</v>
      </c>
      <c r="L1484" s="292">
        <f>IFERROR(VLOOKUP(B1484,'تقرير المصروفات حسب الشهر'!$C$1143:$AD$1254,14,FALSE),0)</f>
        <v>0</v>
      </c>
      <c r="M1484" s="292">
        <f>IFERROR(VLOOKUP(B1484,'تقرير المصروفات حسب الشهر'!$C$1270:$AD$1381,14,FALSE),0)</f>
        <v>0</v>
      </c>
      <c r="N1484" s="31" t="e">
        <f>#REF!</f>
        <v>#REF!</v>
      </c>
      <c r="O1484" s="37" t="e">
        <f t="shared" si="37"/>
        <v>#REF!</v>
      </c>
    </row>
    <row r="1485" spans="2:15" ht="17.399999999999999">
      <c r="B1485" s="42" t="s">
        <v>99</v>
      </c>
      <c r="C1485" s="39">
        <f>'تقرير المصروفات حسب الشهر'!P85</f>
        <v>0</v>
      </c>
      <c r="D1485" s="31" t="e">
        <f>#REF!</f>
        <v>#REF!</v>
      </c>
      <c r="E1485" s="31" t="e">
        <f>#REF!</f>
        <v>#REF!</v>
      </c>
      <c r="F1485" s="31" t="e">
        <f>#REF!</f>
        <v>#REF!</v>
      </c>
      <c r="G1485" s="31" t="e">
        <f>#REF!</f>
        <v>#REF!</v>
      </c>
      <c r="H1485" s="31" t="e">
        <f>#REF!</f>
        <v>#REF!</v>
      </c>
      <c r="I1485" s="31">
        <f>'تقرير المصروفات حسب الشهر'!P838</f>
        <v>0</v>
      </c>
      <c r="J1485" s="31">
        <f>'تقرير المصروفات حسب الشهر'!P965</f>
        <v>0</v>
      </c>
      <c r="K1485" s="31">
        <f>'تقرير المصروفات حسب الشهر'!P1092</f>
        <v>0</v>
      </c>
      <c r="L1485" s="292">
        <f>IFERROR(VLOOKUP(B1485,'تقرير المصروفات حسب الشهر'!$C$1143:$AD$1254,14,FALSE),0)</f>
        <v>0</v>
      </c>
      <c r="M1485" s="292">
        <f>IFERROR(VLOOKUP(B1485,'تقرير المصروفات حسب الشهر'!$C$1270:$AD$1381,14,FALSE),0)</f>
        <v>0</v>
      </c>
      <c r="N1485" s="31" t="e">
        <f>#REF!</f>
        <v>#REF!</v>
      </c>
      <c r="O1485" s="37" t="e">
        <f t="shared" si="37"/>
        <v>#REF!</v>
      </c>
    </row>
    <row r="1486" spans="2:15" ht="17.399999999999999">
      <c r="B1486" s="42" t="s">
        <v>100</v>
      </c>
      <c r="C1486" s="39">
        <f>'تقرير المصروفات حسب الشهر'!P86</f>
        <v>8.8699999999999992</v>
      </c>
      <c r="D1486" s="31" t="e">
        <f>#REF!</f>
        <v>#REF!</v>
      </c>
      <c r="E1486" s="31" t="e">
        <f>#REF!</f>
        <v>#REF!</v>
      </c>
      <c r="F1486" s="31" t="e">
        <f>#REF!</f>
        <v>#REF!</v>
      </c>
      <c r="G1486" s="31" t="e">
        <f>#REF!</f>
        <v>#REF!</v>
      </c>
      <c r="H1486" s="31" t="e">
        <f>#REF!</f>
        <v>#REF!</v>
      </c>
      <c r="I1486" s="31">
        <f>'تقرير المصروفات حسب الشهر'!P839</f>
        <v>0</v>
      </c>
      <c r="J1486" s="31">
        <f>'تقرير المصروفات حسب الشهر'!P966</f>
        <v>0</v>
      </c>
      <c r="K1486" s="31">
        <f>'تقرير المصروفات حسب الشهر'!P1093</f>
        <v>0</v>
      </c>
      <c r="L1486" s="292">
        <f>IFERROR(VLOOKUP(B1486,'تقرير المصروفات حسب الشهر'!$C$1143:$AD$1254,14,FALSE),0)</f>
        <v>0</v>
      </c>
      <c r="M1486" s="292">
        <f>IFERROR(VLOOKUP(B1486,'تقرير المصروفات حسب الشهر'!$C$1270:$AD$1381,14,FALSE),0)</f>
        <v>0</v>
      </c>
      <c r="N1486" s="31" t="e">
        <f>#REF!</f>
        <v>#REF!</v>
      </c>
      <c r="O1486" s="37" t="e">
        <f t="shared" si="37"/>
        <v>#REF!</v>
      </c>
    </row>
    <row r="1487" spans="2:15" ht="17.399999999999999">
      <c r="B1487" s="42" t="s">
        <v>101</v>
      </c>
      <c r="C1487" s="39">
        <f>'تقرير المصروفات حسب الشهر'!P87</f>
        <v>0</v>
      </c>
      <c r="D1487" s="31" t="e">
        <f>#REF!</f>
        <v>#REF!</v>
      </c>
      <c r="E1487" s="31" t="e">
        <f>#REF!</f>
        <v>#REF!</v>
      </c>
      <c r="F1487" s="31" t="e">
        <f>#REF!</f>
        <v>#REF!</v>
      </c>
      <c r="G1487" s="31" t="e">
        <f>#REF!</f>
        <v>#REF!</v>
      </c>
      <c r="H1487" s="31" t="e">
        <f>#REF!</f>
        <v>#REF!</v>
      </c>
      <c r="I1487" s="31">
        <f>'تقرير المصروفات حسب الشهر'!P840</f>
        <v>1633.4</v>
      </c>
      <c r="J1487" s="31">
        <f>'تقرير المصروفات حسب الشهر'!P967</f>
        <v>1633.4</v>
      </c>
      <c r="K1487" s="31">
        <f>'تقرير المصروفات حسب الشهر'!P1094</f>
        <v>1806.84</v>
      </c>
      <c r="L1487" s="292">
        <f>IFERROR(VLOOKUP(B1487,'تقرير المصروفات حسب الشهر'!$C$1143:$AD$1254,14,FALSE),0)</f>
        <v>0</v>
      </c>
      <c r="M1487" s="292">
        <f>IFERROR(VLOOKUP(B1487,'تقرير المصروفات حسب الشهر'!$C$1270:$AD$1381,14,FALSE),0)</f>
        <v>0</v>
      </c>
      <c r="N1487" s="31" t="e">
        <f>#REF!</f>
        <v>#REF!</v>
      </c>
      <c r="O1487" s="37" t="e">
        <f t="shared" si="37"/>
        <v>#REF!</v>
      </c>
    </row>
    <row r="1488" spans="2:15" ht="17.399999999999999">
      <c r="B1488" s="42" t="s">
        <v>102</v>
      </c>
      <c r="C1488" s="39">
        <f>'تقرير المصروفات حسب الشهر'!P88</f>
        <v>1561.07</v>
      </c>
      <c r="D1488" s="31" t="e">
        <f>#REF!</f>
        <v>#REF!</v>
      </c>
      <c r="E1488" s="31" t="e">
        <f>#REF!</f>
        <v>#REF!</v>
      </c>
      <c r="F1488" s="31" t="e">
        <f>#REF!</f>
        <v>#REF!</v>
      </c>
      <c r="G1488" s="31" t="e">
        <f>#REF!</f>
        <v>#REF!</v>
      </c>
      <c r="H1488" s="31" t="e">
        <f>#REF!</f>
        <v>#REF!</v>
      </c>
      <c r="I1488" s="31">
        <f>'تقرير المصروفات حسب الشهر'!P841</f>
        <v>98.65</v>
      </c>
      <c r="J1488" s="31">
        <f>'تقرير المصروفات حسب الشهر'!P968</f>
        <v>83.38</v>
      </c>
      <c r="K1488" s="31">
        <f>'تقرير المصروفات حسب الشهر'!P1095</f>
        <v>45.21</v>
      </c>
      <c r="L1488" s="292">
        <f>IFERROR(VLOOKUP(B1488,'تقرير المصروفات حسب الشهر'!$C$1143:$AD$1254,14,FALSE),0)</f>
        <v>1833.5</v>
      </c>
      <c r="M1488" s="292">
        <f>IFERROR(VLOOKUP(B1488,'تقرير المصروفات حسب الشهر'!$C$1270:$AD$1381,14,FALSE),0)</f>
        <v>1833.42</v>
      </c>
      <c r="N1488" s="31" t="e">
        <f>#REF!</f>
        <v>#REF!</v>
      </c>
      <c r="O1488" s="37" t="e">
        <f t="shared" si="37"/>
        <v>#REF!</v>
      </c>
    </row>
    <row r="1489" spans="2:15" ht="17.399999999999999">
      <c r="B1489" s="42" t="s">
        <v>103</v>
      </c>
      <c r="C1489" s="39">
        <f>'تقرير المصروفات حسب الشهر'!P89</f>
        <v>53.44</v>
      </c>
      <c r="D1489" s="31" t="e">
        <f>#REF!</f>
        <v>#REF!</v>
      </c>
      <c r="E1489" s="31" t="e">
        <f>#REF!</f>
        <v>#REF!</v>
      </c>
      <c r="F1489" s="31" t="e">
        <f>#REF!</f>
        <v>#REF!</v>
      </c>
      <c r="G1489" s="31" t="e">
        <f>#REF!</f>
        <v>#REF!</v>
      </c>
      <c r="H1489" s="31" t="e">
        <f>#REF!</f>
        <v>#REF!</v>
      </c>
      <c r="I1489" s="31">
        <f>'تقرير المصروفات حسب الشهر'!P842</f>
        <v>825.03</v>
      </c>
      <c r="J1489" s="31">
        <f>'تقرير المصروفات حسب الشهر'!P969</f>
        <v>884.8</v>
      </c>
      <c r="K1489" s="31">
        <f>'تقرير المصروفات حسب الشهر'!P1096</f>
        <v>884.8</v>
      </c>
      <c r="L1489" s="292">
        <f>IFERROR(VLOOKUP(B1489,'تقرير المصروفات حسب الشهر'!$C$1143:$AD$1254,14,FALSE),0)</f>
        <v>45.21</v>
      </c>
      <c r="M1489" s="292">
        <f>IFERROR(VLOOKUP(B1489,'تقرير المصروفات حسب الشهر'!$C$1270:$AD$1381,14,FALSE),0)</f>
        <v>45.21</v>
      </c>
      <c r="N1489" s="31" t="e">
        <f>#REF!</f>
        <v>#REF!</v>
      </c>
      <c r="O1489" s="37" t="e">
        <f t="shared" si="37"/>
        <v>#REF!</v>
      </c>
    </row>
    <row r="1490" spans="2:15" ht="17.399999999999999">
      <c r="B1490" s="42" t="s">
        <v>104</v>
      </c>
      <c r="C1490" s="39">
        <f>'تقرير المصروفات حسب الشهر'!P90</f>
        <v>267.3</v>
      </c>
      <c r="D1490" s="31" t="e">
        <f>#REF!</f>
        <v>#REF!</v>
      </c>
      <c r="E1490" s="31" t="e">
        <f>#REF!</f>
        <v>#REF!</v>
      </c>
      <c r="F1490" s="31" t="e">
        <f>#REF!</f>
        <v>#REF!</v>
      </c>
      <c r="G1490" s="31" t="e">
        <f>#REF!</f>
        <v>#REF!</v>
      </c>
      <c r="H1490" s="31" t="e">
        <f>#REF!</f>
        <v>#REF!</v>
      </c>
      <c r="I1490" s="31">
        <f>'تقرير المصروفات حسب الشهر'!P843</f>
        <v>56.25</v>
      </c>
      <c r="J1490" s="31">
        <f>'تقرير المصروفات حسب الشهر'!P970</f>
        <v>56.25</v>
      </c>
      <c r="K1490" s="31">
        <f>'تقرير المصروفات حسب الشهر'!P1097</f>
        <v>56.25</v>
      </c>
      <c r="L1490" s="292">
        <f>IFERROR(VLOOKUP(B1490,'تقرير المصروفات حسب الشهر'!$C$1143:$AD$1254,14,FALSE),0)</f>
        <v>884.8</v>
      </c>
      <c r="M1490" s="292">
        <f>IFERROR(VLOOKUP(B1490,'تقرير المصروفات حسب الشهر'!$C$1270:$AD$1381,14,FALSE),0)</f>
        <v>884.7</v>
      </c>
      <c r="N1490" s="31" t="e">
        <f>#REF!</f>
        <v>#REF!</v>
      </c>
      <c r="O1490" s="37" t="e">
        <f t="shared" si="37"/>
        <v>#REF!</v>
      </c>
    </row>
    <row r="1491" spans="2:15" ht="17.399999999999999">
      <c r="B1491" s="42" t="s">
        <v>105</v>
      </c>
      <c r="C1491" s="39">
        <f>'تقرير المصروفات حسب الشهر'!P91</f>
        <v>75.81</v>
      </c>
      <c r="D1491" s="31" t="e">
        <f>#REF!</f>
        <v>#REF!</v>
      </c>
      <c r="E1491" s="31" t="e">
        <f>#REF!</f>
        <v>#REF!</v>
      </c>
      <c r="F1491" s="31" t="e">
        <f>#REF!</f>
        <v>#REF!</v>
      </c>
      <c r="G1491" s="31" t="e">
        <f>#REF!</f>
        <v>#REF!</v>
      </c>
      <c r="H1491" s="31" t="e">
        <f>#REF!</f>
        <v>#REF!</v>
      </c>
      <c r="I1491" s="31">
        <f>'تقرير المصروفات حسب الشهر'!P844</f>
        <v>0</v>
      </c>
      <c r="J1491" s="31">
        <f>'تقرير المصروفات حسب الشهر'!P971</f>
        <v>0</v>
      </c>
      <c r="K1491" s="31">
        <f>'تقرير المصروفات حسب الشهر'!P1098</f>
        <v>0</v>
      </c>
      <c r="L1491" s="292">
        <f>IFERROR(VLOOKUP(B1491,'تقرير المصروفات حسب الشهر'!$C$1143:$AD$1254,14,FALSE),0)</f>
        <v>56.25</v>
      </c>
      <c r="M1491" s="292">
        <f>IFERROR(VLOOKUP(B1491,'تقرير المصروفات حسب الشهر'!$C$1270:$AD$1381,14,FALSE),0)</f>
        <v>56.25</v>
      </c>
      <c r="N1491" s="31" t="e">
        <f>#REF!</f>
        <v>#REF!</v>
      </c>
      <c r="O1491" s="37" t="e">
        <f t="shared" si="37"/>
        <v>#REF!</v>
      </c>
    </row>
    <row r="1492" spans="2:15" ht="17.399999999999999">
      <c r="B1492" s="42" t="s">
        <v>106</v>
      </c>
      <c r="C1492" s="39">
        <f>'تقرير المصروفات حسب الشهر'!P92</f>
        <v>0</v>
      </c>
      <c r="D1492" s="31" t="e">
        <f>#REF!</f>
        <v>#REF!</v>
      </c>
      <c r="E1492" s="31" t="e">
        <f>#REF!</f>
        <v>#REF!</v>
      </c>
      <c r="F1492" s="31" t="e">
        <f>#REF!</f>
        <v>#REF!</v>
      </c>
      <c r="G1492" s="31" t="e">
        <f>#REF!</f>
        <v>#REF!</v>
      </c>
      <c r="H1492" s="31" t="e">
        <f>#REF!</f>
        <v>#REF!</v>
      </c>
      <c r="I1492" s="31">
        <f>'تقرير المصروفات حسب الشهر'!P845</f>
        <v>0</v>
      </c>
      <c r="J1492" s="31">
        <f>'تقرير المصروفات حسب الشهر'!P972</f>
        <v>0</v>
      </c>
      <c r="K1492" s="31">
        <f>'تقرير المصروفات حسب الشهر'!P1099</f>
        <v>0</v>
      </c>
      <c r="L1492" s="292">
        <f>IFERROR(VLOOKUP(B1492,'تقرير المصروفات حسب الشهر'!$C$1143:$AD$1254,14,FALSE),0)</f>
        <v>0</v>
      </c>
      <c r="M1492" s="292">
        <f>IFERROR(VLOOKUP(B1492,'تقرير المصروفات حسب الشهر'!$C$1270:$AD$1381,14,FALSE),0)</f>
        <v>0</v>
      </c>
      <c r="N1492" s="31" t="e">
        <f>#REF!</f>
        <v>#REF!</v>
      </c>
      <c r="O1492" s="37" t="e">
        <f t="shared" si="37"/>
        <v>#REF!</v>
      </c>
    </row>
    <row r="1493" spans="2:15" ht="17.399999999999999">
      <c r="B1493" s="42" t="s">
        <v>107</v>
      </c>
      <c r="C1493" s="39">
        <f>'تقرير المصروفات حسب الشهر'!P93</f>
        <v>0</v>
      </c>
      <c r="D1493" s="31" t="e">
        <f>#REF!</f>
        <v>#REF!</v>
      </c>
      <c r="E1493" s="31" t="e">
        <f>#REF!</f>
        <v>#REF!</v>
      </c>
      <c r="F1493" s="31" t="e">
        <f>#REF!</f>
        <v>#REF!</v>
      </c>
      <c r="G1493" s="31" t="e">
        <f>#REF!</f>
        <v>#REF!</v>
      </c>
      <c r="H1493" s="31" t="e">
        <f>#REF!</f>
        <v>#REF!</v>
      </c>
      <c r="I1493" s="31">
        <f>'تقرير المصروفات حسب الشهر'!P846</f>
        <v>1480.43</v>
      </c>
      <c r="J1493" s="31">
        <f>'تقرير المصروفات حسب الشهر'!P973</f>
        <v>174</v>
      </c>
      <c r="K1493" s="31">
        <f>'تقرير المصروفات حسب الشهر'!P1100</f>
        <v>112</v>
      </c>
      <c r="L1493" s="292">
        <f>IFERROR(VLOOKUP(B1493,'تقرير المصروفات حسب الشهر'!$C$1143:$AD$1254,14,FALSE),0)</f>
        <v>0</v>
      </c>
      <c r="M1493" s="292">
        <f>IFERROR(VLOOKUP(B1493,'تقرير المصروفات حسب الشهر'!$C$1270:$AD$1381,14,FALSE),0)</f>
        <v>0</v>
      </c>
      <c r="N1493" s="31" t="e">
        <f>#REF!</f>
        <v>#REF!</v>
      </c>
      <c r="O1493" s="37" t="e">
        <f t="shared" si="37"/>
        <v>#REF!</v>
      </c>
    </row>
    <row r="1494" spans="2:15" ht="17.399999999999999">
      <c r="B1494" s="42" t="s">
        <v>108</v>
      </c>
      <c r="C1494" s="39">
        <f>'تقرير المصروفات حسب الشهر'!P94</f>
        <v>308</v>
      </c>
      <c r="D1494" s="31" t="e">
        <f>#REF!</f>
        <v>#REF!</v>
      </c>
      <c r="E1494" s="31" t="e">
        <f>#REF!</f>
        <v>#REF!</v>
      </c>
      <c r="F1494" s="31" t="e">
        <f>#REF!</f>
        <v>#REF!</v>
      </c>
      <c r="G1494" s="31" t="e">
        <f>#REF!</f>
        <v>#REF!</v>
      </c>
      <c r="H1494" s="31" t="e">
        <f>#REF!</f>
        <v>#REF!</v>
      </c>
      <c r="I1494" s="31">
        <f>'تقرير المصروفات حسب الشهر'!P847</f>
        <v>0</v>
      </c>
      <c r="J1494" s="31">
        <f>'تقرير المصروفات حسب الشهر'!P974</f>
        <v>0</v>
      </c>
      <c r="K1494" s="31">
        <f>'تقرير المصروفات حسب الشهر'!P1101</f>
        <v>0</v>
      </c>
      <c r="L1494" s="292">
        <f>IFERROR(VLOOKUP(B1494,'تقرير المصروفات حسب الشهر'!$C$1143:$AD$1254,14,FALSE),0)</f>
        <v>412.33</v>
      </c>
      <c r="M1494" s="292">
        <f>IFERROR(VLOOKUP(B1494,'تقرير المصروفات حسب الشهر'!$C$1270:$AD$1381,14,FALSE),0)</f>
        <v>796.1</v>
      </c>
      <c r="N1494" s="31" t="e">
        <f>#REF!</f>
        <v>#REF!</v>
      </c>
      <c r="O1494" s="37" t="e">
        <f t="shared" si="37"/>
        <v>#REF!</v>
      </c>
    </row>
    <row r="1495" spans="2:15" ht="17.399999999999999">
      <c r="B1495" s="42" t="s">
        <v>109</v>
      </c>
      <c r="C1495" s="39">
        <f>'تقرير المصروفات حسب الشهر'!P95</f>
        <v>0</v>
      </c>
      <c r="D1495" s="31" t="e">
        <f>#REF!</f>
        <v>#REF!</v>
      </c>
      <c r="E1495" s="31" t="e">
        <f>#REF!</f>
        <v>#REF!</v>
      </c>
      <c r="F1495" s="31" t="e">
        <f>#REF!</f>
        <v>#REF!</v>
      </c>
      <c r="G1495" s="31" t="e">
        <f>#REF!</f>
        <v>#REF!</v>
      </c>
      <c r="H1495" s="31" t="e">
        <f>#REF!</f>
        <v>#REF!</v>
      </c>
      <c r="I1495" s="31">
        <f>'تقرير المصروفات حسب الشهر'!P848</f>
        <v>0</v>
      </c>
      <c r="J1495" s="31">
        <f>'تقرير المصروفات حسب الشهر'!P975</f>
        <v>0</v>
      </c>
      <c r="K1495" s="31">
        <f>'تقرير المصروفات حسب الشهر'!P1102</f>
        <v>0</v>
      </c>
      <c r="L1495" s="292">
        <f>IFERROR(VLOOKUP(B1495,'تقرير المصروفات حسب الشهر'!$C$1143:$AD$1254,14,FALSE),0)</f>
        <v>0</v>
      </c>
      <c r="M1495" s="292">
        <f>IFERROR(VLOOKUP(B1495,'تقرير المصروفات حسب الشهر'!$C$1270:$AD$1381,14,FALSE),0)</f>
        <v>0</v>
      </c>
      <c r="N1495" s="31" t="e">
        <f>#REF!</f>
        <v>#REF!</v>
      </c>
      <c r="O1495" s="37" t="e">
        <f t="shared" si="37"/>
        <v>#REF!</v>
      </c>
    </row>
    <row r="1496" spans="2:15" ht="17.399999999999999">
      <c r="B1496" s="42" t="s">
        <v>110</v>
      </c>
      <c r="C1496" s="39">
        <f>'تقرير المصروفات حسب الشهر'!P96</f>
        <v>0</v>
      </c>
      <c r="D1496" s="31" t="e">
        <f>#REF!</f>
        <v>#REF!</v>
      </c>
      <c r="E1496" s="31" t="e">
        <f>#REF!</f>
        <v>#REF!</v>
      </c>
      <c r="F1496" s="31" t="e">
        <f>#REF!</f>
        <v>#REF!</v>
      </c>
      <c r="G1496" s="31" t="e">
        <f>#REF!</f>
        <v>#REF!</v>
      </c>
      <c r="H1496" s="31" t="e">
        <f>#REF!</f>
        <v>#REF!</v>
      </c>
      <c r="I1496" s="31">
        <f>'تقرير المصروفات حسب الشهر'!P849</f>
        <v>0</v>
      </c>
      <c r="J1496" s="31">
        <f>'تقرير المصروفات حسب الشهر'!P976</f>
        <v>0</v>
      </c>
      <c r="K1496" s="31">
        <f>'تقرير المصروفات حسب الشهر'!P1103</f>
        <v>0</v>
      </c>
      <c r="L1496" s="292">
        <f>IFERROR(VLOOKUP(B1496,'تقرير المصروفات حسب الشهر'!$C$1143:$AD$1254,14,FALSE),0)</f>
        <v>0</v>
      </c>
      <c r="M1496" s="292">
        <f>IFERROR(VLOOKUP(B1496,'تقرير المصروفات حسب الشهر'!$C$1270:$AD$1381,14,FALSE),0)</f>
        <v>0</v>
      </c>
      <c r="N1496" s="31" t="e">
        <f>#REF!</f>
        <v>#REF!</v>
      </c>
      <c r="O1496" s="37" t="e">
        <f t="shared" si="37"/>
        <v>#REF!</v>
      </c>
    </row>
    <row r="1497" spans="2:15" ht="17.399999999999999">
      <c r="B1497" s="42" t="s">
        <v>112</v>
      </c>
      <c r="C1497" s="39">
        <f>'تقرير المصروفات حسب الشهر'!P97</f>
        <v>0</v>
      </c>
      <c r="D1497" s="31" t="e">
        <f>#REF!</f>
        <v>#REF!</v>
      </c>
      <c r="E1497" s="31" t="e">
        <f>#REF!</f>
        <v>#REF!</v>
      </c>
      <c r="F1497" s="31" t="e">
        <f>#REF!</f>
        <v>#REF!</v>
      </c>
      <c r="G1497" s="31" t="e">
        <f>#REF!</f>
        <v>#REF!</v>
      </c>
      <c r="H1497" s="31" t="e">
        <f>#REF!</f>
        <v>#REF!</v>
      </c>
      <c r="I1497" s="31">
        <f>'تقرير المصروفات حسب الشهر'!P850</f>
        <v>0</v>
      </c>
      <c r="J1497" s="31">
        <f>'تقرير المصروفات حسب الشهر'!P977</f>
        <v>0</v>
      </c>
      <c r="K1497" s="31">
        <f>'تقرير المصروفات حسب الشهر'!P1104</f>
        <v>19983.16</v>
      </c>
      <c r="L1497" s="292">
        <f>IFERROR(VLOOKUP(B1497,'تقرير المصروفات حسب الشهر'!$C$1143:$AD$1254,14,FALSE),0)</f>
        <v>0</v>
      </c>
      <c r="M1497" s="292">
        <f>IFERROR(VLOOKUP(B1497,'تقرير المصروفات حسب الشهر'!$C$1270:$AD$1381,14,FALSE),0)</f>
        <v>0</v>
      </c>
      <c r="N1497" s="31" t="e">
        <f>#REF!</f>
        <v>#REF!</v>
      </c>
      <c r="O1497" s="37" t="e">
        <f t="shared" si="37"/>
        <v>#REF!</v>
      </c>
    </row>
    <row r="1498" spans="2:15" ht="17.399999999999999">
      <c r="B1498" s="42" t="s">
        <v>113</v>
      </c>
      <c r="C1498" s="39">
        <f>'تقرير المصروفات حسب الشهر'!P98</f>
        <v>0</v>
      </c>
      <c r="D1498" s="31" t="e">
        <f>#REF!</f>
        <v>#REF!</v>
      </c>
      <c r="E1498" s="31" t="e">
        <f>#REF!</f>
        <v>#REF!</v>
      </c>
      <c r="F1498" s="31" t="e">
        <f>#REF!</f>
        <v>#REF!</v>
      </c>
      <c r="G1498" s="31" t="e">
        <f>#REF!</f>
        <v>#REF!</v>
      </c>
      <c r="H1498" s="31" t="e">
        <f>#REF!</f>
        <v>#REF!</v>
      </c>
      <c r="I1498" s="31">
        <f>'تقرير المصروفات حسب الشهر'!P851</f>
        <v>0</v>
      </c>
      <c r="J1498" s="31">
        <f>'تقرير المصروفات حسب الشهر'!P978</f>
        <v>0</v>
      </c>
      <c r="K1498" s="31">
        <f>'تقرير المصروفات حسب الشهر'!P1105</f>
        <v>0</v>
      </c>
      <c r="L1498" s="292">
        <f>IFERROR(VLOOKUP(B1498,'تقرير المصروفات حسب الشهر'!$C$1143:$AD$1254,14,FALSE),0)</f>
        <v>0</v>
      </c>
      <c r="M1498" s="292">
        <f>IFERROR(VLOOKUP(B1498,'تقرير المصروفات حسب الشهر'!$C$1270:$AD$1381,14,FALSE),0)</f>
        <v>0</v>
      </c>
      <c r="N1498" s="31" t="e">
        <f>#REF!</f>
        <v>#REF!</v>
      </c>
      <c r="O1498" s="37" t="e">
        <f t="shared" si="37"/>
        <v>#REF!</v>
      </c>
    </row>
    <row r="1499" spans="2:15" ht="17.399999999999999">
      <c r="B1499" s="42" t="s">
        <v>137</v>
      </c>
      <c r="C1499" s="39">
        <f>'تقرير المصروفات حسب الشهر'!P99</f>
        <v>0</v>
      </c>
      <c r="D1499" s="31" t="e">
        <f>#REF!</f>
        <v>#REF!</v>
      </c>
      <c r="E1499" s="31" t="e">
        <f>#REF!</f>
        <v>#REF!</v>
      </c>
      <c r="F1499" s="31" t="e">
        <f>#REF!</f>
        <v>#REF!</v>
      </c>
      <c r="G1499" s="31" t="e">
        <f>#REF!</f>
        <v>#REF!</v>
      </c>
      <c r="H1499" s="31" t="e">
        <f>#REF!</f>
        <v>#REF!</v>
      </c>
      <c r="I1499" s="31">
        <f>'تقرير المصروفات حسب الشهر'!P852</f>
        <v>0</v>
      </c>
      <c r="J1499" s="31">
        <f>'تقرير المصروفات حسب الشهر'!P979</f>
        <v>0</v>
      </c>
      <c r="K1499" s="31">
        <f>'تقرير المصروفات حسب الشهر'!P1106</f>
        <v>0</v>
      </c>
      <c r="L1499" s="292">
        <f>IFERROR(VLOOKUP(B1499,'تقرير المصروفات حسب الشهر'!$C$1143:$AD$1254,14,FALSE),0)</f>
        <v>0</v>
      </c>
      <c r="M1499" s="292">
        <f>IFERROR(VLOOKUP(B1499,'تقرير المصروفات حسب الشهر'!$C$1270:$AD$1381,14,FALSE),0)</f>
        <v>0</v>
      </c>
      <c r="N1499" s="31" t="e">
        <f>#REF!</f>
        <v>#REF!</v>
      </c>
      <c r="O1499" s="37" t="e">
        <f t="shared" si="37"/>
        <v>#REF!</v>
      </c>
    </row>
    <row r="1500" spans="2:15" ht="17.399999999999999">
      <c r="B1500" s="42" t="s">
        <v>140</v>
      </c>
      <c r="C1500" s="39">
        <f>'تقرير المصروفات حسب الشهر'!P100</f>
        <v>0</v>
      </c>
      <c r="D1500" s="31" t="e">
        <f>#REF!</f>
        <v>#REF!</v>
      </c>
      <c r="E1500" s="31" t="e">
        <f>#REF!</f>
        <v>#REF!</v>
      </c>
      <c r="F1500" s="31" t="e">
        <f>#REF!</f>
        <v>#REF!</v>
      </c>
      <c r="G1500" s="31" t="e">
        <f>#REF!</f>
        <v>#REF!</v>
      </c>
      <c r="H1500" s="31" t="e">
        <f>#REF!</f>
        <v>#REF!</v>
      </c>
      <c r="I1500" s="31">
        <f>'تقرير المصروفات حسب الشهر'!P853</f>
        <v>0</v>
      </c>
      <c r="J1500" s="31">
        <f>'تقرير المصروفات حسب الشهر'!P980</f>
        <v>0</v>
      </c>
      <c r="K1500" s="31">
        <f>'تقرير المصروفات حسب الشهر'!P1107</f>
        <v>0</v>
      </c>
      <c r="L1500" s="292">
        <f>IFERROR(VLOOKUP(B1500,'تقرير المصروفات حسب الشهر'!$C$1143:$AD$1254,14,FALSE),0)</f>
        <v>0</v>
      </c>
      <c r="M1500" s="292">
        <f>IFERROR(VLOOKUP(B1500,'تقرير المصروفات حسب الشهر'!$C$1270:$AD$1381,14,FALSE),0)</f>
        <v>0</v>
      </c>
      <c r="N1500" s="31" t="e">
        <f>#REF!</f>
        <v>#REF!</v>
      </c>
      <c r="O1500" s="37" t="e">
        <f t="shared" si="37"/>
        <v>#REF!</v>
      </c>
    </row>
    <row r="1501" spans="2:15" ht="17.399999999999999">
      <c r="B1501" s="42" t="s">
        <v>141</v>
      </c>
      <c r="C1501" s="39">
        <f>'تقرير المصروفات حسب الشهر'!P101</f>
        <v>0</v>
      </c>
      <c r="D1501" s="31" t="e">
        <f>#REF!</f>
        <v>#REF!</v>
      </c>
      <c r="E1501" s="31" t="e">
        <f>#REF!</f>
        <v>#REF!</v>
      </c>
      <c r="F1501" s="31" t="e">
        <f>#REF!</f>
        <v>#REF!</v>
      </c>
      <c r="G1501" s="31" t="e">
        <f>#REF!</f>
        <v>#REF!</v>
      </c>
      <c r="H1501" s="31" t="e">
        <f>#REF!</f>
        <v>#REF!</v>
      </c>
      <c r="I1501" s="31">
        <f>'تقرير المصروفات حسب الشهر'!P854</f>
        <v>0</v>
      </c>
      <c r="J1501" s="31">
        <f>'تقرير المصروفات حسب الشهر'!P981</f>
        <v>0</v>
      </c>
      <c r="K1501" s="31">
        <f>'تقرير المصروفات حسب الشهر'!P1108</f>
        <v>0</v>
      </c>
      <c r="L1501" s="292">
        <f>IFERROR(VLOOKUP(B1501,'تقرير المصروفات حسب الشهر'!$C$1143:$AD$1254,14,FALSE),0)</f>
        <v>0</v>
      </c>
      <c r="M1501" s="292">
        <f>IFERROR(VLOOKUP(B1501,'تقرير المصروفات حسب الشهر'!$C$1270:$AD$1381,14,FALSE),0)</f>
        <v>0</v>
      </c>
      <c r="N1501" s="31" t="e">
        <f>#REF!</f>
        <v>#REF!</v>
      </c>
      <c r="O1501" s="37" t="e">
        <f t="shared" si="37"/>
        <v>#REF!</v>
      </c>
    </row>
    <row r="1502" spans="2:15" ht="17.399999999999999">
      <c r="B1502" s="42" t="s">
        <v>193</v>
      </c>
      <c r="C1502" s="39">
        <f>'تقرير المصروفات حسب الشهر'!P102</f>
        <v>0</v>
      </c>
      <c r="D1502" s="31" t="e">
        <f>#REF!</f>
        <v>#REF!</v>
      </c>
      <c r="E1502" s="31" t="e">
        <f>#REF!</f>
        <v>#REF!</v>
      </c>
      <c r="F1502" s="31" t="e">
        <f>#REF!</f>
        <v>#REF!</v>
      </c>
      <c r="G1502" s="31" t="e">
        <f>#REF!</f>
        <v>#REF!</v>
      </c>
      <c r="H1502" s="31" t="e">
        <f>#REF!</f>
        <v>#REF!</v>
      </c>
      <c r="I1502" s="31">
        <f>'تقرير المصروفات حسب الشهر'!P855</f>
        <v>0</v>
      </c>
      <c r="J1502" s="31">
        <f>'تقرير المصروفات حسب الشهر'!P982</f>
        <v>0</v>
      </c>
      <c r="K1502" s="31">
        <f>'تقرير المصروفات حسب الشهر'!P1109</f>
        <v>0</v>
      </c>
      <c r="L1502" s="292">
        <f>IFERROR(VLOOKUP(B1502,'تقرير المصروفات حسب الشهر'!$C$1143:$AD$1254,14,FALSE),0)</f>
        <v>4000</v>
      </c>
      <c r="M1502" s="292">
        <f>IFERROR(VLOOKUP(B1502,'تقرير المصروفات حسب الشهر'!$C$1270:$AD$1381,14,FALSE),0)</f>
        <v>500</v>
      </c>
      <c r="N1502" s="31" t="e">
        <f>#REF!</f>
        <v>#REF!</v>
      </c>
      <c r="O1502" s="37" t="e">
        <f t="shared" si="37"/>
        <v>#REF!</v>
      </c>
    </row>
    <row r="1503" spans="2:15" ht="17.399999999999999">
      <c r="B1503" s="42" t="s">
        <v>148</v>
      </c>
      <c r="C1503" s="39">
        <f>'تقرير المصروفات حسب الشهر'!P103</f>
        <v>0</v>
      </c>
      <c r="D1503" s="31" t="e">
        <f>#REF!</f>
        <v>#REF!</v>
      </c>
      <c r="E1503" s="31" t="e">
        <f>#REF!</f>
        <v>#REF!</v>
      </c>
      <c r="F1503" s="31" t="e">
        <f>#REF!</f>
        <v>#REF!</v>
      </c>
      <c r="G1503" s="31" t="e">
        <f>#REF!</f>
        <v>#REF!</v>
      </c>
      <c r="H1503" s="31" t="e">
        <f>#REF!</f>
        <v>#REF!</v>
      </c>
      <c r="I1503" s="31">
        <f>'تقرير المصروفات حسب الشهر'!P856</f>
        <v>0</v>
      </c>
      <c r="J1503" s="31">
        <f>'تقرير المصروفات حسب الشهر'!P983</f>
        <v>0</v>
      </c>
      <c r="K1503" s="31">
        <f>'تقرير المصروفات حسب الشهر'!P1110</f>
        <v>0</v>
      </c>
      <c r="L1503" s="292">
        <f>IFERROR(VLOOKUP(B1503,'تقرير المصروفات حسب الشهر'!$C$1143:$AD$1254,14,FALSE),0)</f>
        <v>0</v>
      </c>
      <c r="M1503" s="292">
        <f>IFERROR(VLOOKUP(B1503,'تقرير المصروفات حسب الشهر'!$C$1270:$AD$1381,14,FALSE),0)</f>
        <v>0</v>
      </c>
      <c r="N1503" s="31" t="e">
        <f>#REF!</f>
        <v>#REF!</v>
      </c>
      <c r="O1503" s="37" t="e">
        <f t="shared" si="37"/>
        <v>#REF!</v>
      </c>
    </row>
    <row r="1504" spans="2:15" ht="17.399999999999999">
      <c r="B1504" s="42" t="s">
        <v>186</v>
      </c>
      <c r="C1504" s="39">
        <f>'تقرير المصروفات حسب الشهر'!P104</f>
        <v>0</v>
      </c>
      <c r="D1504" s="31" t="e">
        <f>#REF!</f>
        <v>#REF!</v>
      </c>
      <c r="E1504" s="31" t="e">
        <f>#REF!</f>
        <v>#REF!</v>
      </c>
      <c r="F1504" s="31" t="e">
        <f>#REF!</f>
        <v>#REF!</v>
      </c>
      <c r="G1504" s="31" t="e">
        <f>#REF!</f>
        <v>#REF!</v>
      </c>
      <c r="H1504" s="31" t="e">
        <f>#REF!</f>
        <v>#REF!</v>
      </c>
      <c r="I1504" s="31">
        <f>'تقرير المصروفات حسب الشهر'!P857</f>
        <v>0</v>
      </c>
      <c r="J1504" s="31">
        <f>'تقرير المصروفات حسب الشهر'!P984</f>
        <v>0</v>
      </c>
      <c r="K1504" s="31">
        <f>'تقرير المصروفات حسب الشهر'!P1111</f>
        <v>0</v>
      </c>
      <c r="L1504" s="292">
        <f>IFERROR(VLOOKUP(B1504,'تقرير المصروفات حسب الشهر'!$C$1143:$AD$1254,14,FALSE),0)</f>
        <v>0</v>
      </c>
      <c r="M1504" s="292">
        <f>IFERROR(VLOOKUP(B1504,'تقرير المصروفات حسب الشهر'!$C$1270:$AD$1381,14,FALSE),0)</f>
        <v>0</v>
      </c>
      <c r="N1504" s="31" t="e">
        <f>#REF!</f>
        <v>#REF!</v>
      </c>
      <c r="O1504" s="37" t="e">
        <f t="shared" si="37"/>
        <v>#REF!</v>
      </c>
    </row>
    <row r="1505" spans="2:15" ht="17.399999999999999">
      <c r="B1505" s="42" t="s">
        <v>171</v>
      </c>
      <c r="C1505" s="39">
        <f>'تقرير المصروفات حسب الشهر'!P105</f>
        <v>0</v>
      </c>
      <c r="D1505" s="31" t="e">
        <f>#REF!</f>
        <v>#REF!</v>
      </c>
      <c r="E1505" s="31" t="e">
        <f>#REF!</f>
        <v>#REF!</v>
      </c>
      <c r="F1505" s="31" t="e">
        <f>#REF!</f>
        <v>#REF!</v>
      </c>
      <c r="G1505" s="31" t="e">
        <f>#REF!</f>
        <v>#REF!</v>
      </c>
      <c r="H1505" s="31" t="e">
        <f>#REF!</f>
        <v>#REF!</v>
      </c>
      <c r="I1505" s="31">
        <f>'تقرير المصروفات حسب الشهر'!P858</f>
        <v>0</v>
      </c>
      <c r="J1505" s="31">
        <f>'تقرير المصروفات حسب الشهر'!P985</f>
        <v>0</v>
      </c>
      <c r="K1505" s="31">
        <f>'تقرير المصروفات حسب الشهر'!P1112</f>
        <v>0</v>
      </c>
      <c r="L1505" s="292">
        <f>IFERROR(VLOOKUP(B1505,'تقرير المصروفات حسب الشهر'!$C$1143:$AD$1254,14,FALSE),0)</f>
        <v>0</v>
      </c>
      <c r="M1505" s="292">
        <f>IFERROR(VLOOKUP(B1505,'تقرير المصروفات حسب الشهر'!$C$1270:$AD$1381,14,FALSE),0)</f>
        <v>0</v>
      </c>
      <c r="N1505" s="31" t="e">
        <f>#REF!</f>
        <v>#REF!</v>
      </c>
      <c r="O1505" s="37" t="e">
        <f t="shared" si="37"/>
        <v>#REF!</v>
      </c>
    </row>
    <row r="1506" spans="2:15" ht="17.399999999999999">
      <c r="B1506" s="42" t="s">
        <v>180</v>
      </c>
      <c r="C1506" s="39">
        <f>'تقرير المصروفات حسب الشهر'!P106</f>
        <v>0</v>
      </c>
      <c r="D1506" s="31" t="e">
        <f>#REF!</f>
        <v>#REF!</v>
      </c>
      <c r="E1506" s="31" t="e">
        <f>#REF!</f>
        <v>#REF!</v>
      </c>
      <c r="F1506" s="31" t="e">
        <f>#REF!</f>
        <v>#REF!</v>
      </c>
      <c r="G1506" s="31" t="e">
        <f>#REF!</f>
        <v>#REF!</v>
      </c>
      <c r="H1506" s="31" t="e">
        <f>#REF!</f>
        <v>#REF!</v>
      </c>
      <c r="I1506" s="31">
        <f>'تقرير المصروفات حسب الشهر'!P859</f>
        <v>538</v>
      </c>
      <c r="J1506" s="31">
        <f>'تقرير المصروفات حسب الشهر'!P986</f>
        <v>213</v>
      </c>
      <c r="K1506" s="31">
        <f>'تقرير المصروفات حسب الشهر'!P1113</f>
        <v>0</v>
      </c>
      <c r="L1506" s="292">
        <f>IFERROR(VLOOKUP(B1506,'تقرير المصروفات حسب الشهر'!$C$1143:$AD$1254,14,FALSE),0)</f>
        <v>0</v>
      </c>
      <c r="M1506" s="292">
        <f>IFERROR(VLOOKUP(B1506,'تقرير المصروفات حسب الشهر'!$C$1270:$AD$1381,14,FALSE),0)</f>
        <v>0</v>
      </c>
      <c r="N1506" s="31" t="e">
        <f>#REF!</f>
        <v>#REF!</v>
      </c>
      <c r="O1506" s="37" t="e">
        <f t="shared" si="37"/>
        <v>#REF!</v>
      </c>
    </row>
    <row r="1507" spans="2:15" ht="17.399999999999999">
      <c r="B1507" s="42" t="s">
        <v>183</v>
      </c>
      <c r="C1507" s="39">
        <f>'تقرير المصروفات حسب الشهر'!P107</f>
        <v>0</v>
      </c>
      <c r="D1507" s="31" t="e">
        <f>#REF!</f>
        <v>#REF!</v>
      </c>
      <c r="E1507" s="31" t="e">
        <f>#REF!</f>
        <v>#REF!</v>
      </c>
      <c r="F1507" s="31" t="e">
        <f>#REF!</f>
        <v>#REF!</v>
      </c>
      <c r="G1507" s="31" t="e">
        <f>#REF!</f>
        <v>#REF!</v>
      </c>
      <c r="H1507" s="31" t="e">
        <f>#REF!</f>
        <v>#REF!</v>
      </c>
      <c r="I1507" s="31">
        <f>'تقرير المصروفات حسب الشهر'!P860</f>
        <v>0</v>
      </c>
      <c r="J1507" s="31">
        <f>'تقرير المصروفات حسب الشهر'!P987</f>
        <v>0</v>
      </c>
      <c r="K1507" s="31">
        <f>'تقرير المصروفات حسب الشهر'!P1114</f>
        <v>0</v>
      </c>
      <c r="L1507" s="292">
        <f>IFERROR(VLOOKUP(B1507,'تقرير المصروفات حسب الشهر'!$C$1143:$AD$1254,14,FALSE),0)</f>
        <v>0</v>
      </c>
      <c r="M1507" s="292">
        <f>IFERROR(VLOOKUP(B1507,'تقرير المصروفات حسب الشهر'!$C$1270:$AD$1381,14,FALSE),0)</f>
        <v>0</v>
      </c>
      <c r="N1507" s="31" t="e">
        <f>#REF!</f>
        <v>#REF!</v>
      </c>
      <c r="O1507" s="37" t="e">
        <f t="shared" si="37"/>
        <v>#REF!</v>
      </c>
    </row>
    <row r="1508" spans="2:15" ht="17.399999999999999">
      <c r="B1508" s="42" t="s">
        <v>195</v>
      </c>
      <c r="C1508" s="39">
        <f>'تقرير المصروفات حسب الشهر'!P108</f>
        <v>0</v>
      </c>
      <c r="D1508" s="31" t="e">
        <f>#REF!</f>
        <v>#REF!</v>
      </c>
      <c r="E1508" s="31" t="e">
        <f>#REF!</f>
        <v>#REF!</v>
      </c>
      <c r="F1508" s="31" t="e">
        <f>#REF!</f>
        <v>#REF!</v>
      </c>
      <c r="G1508" s="31" t="e">
        <f>#REF!</f>
        <v>#REF!</v>
      </c>
      <c r="H1508" s="31" t="e">
        <f>#REF!</f>
        <v>#REF!</v>
      </c>
      <c r="I1508" s="31">
        <f>'تقرير المصروفات حسب الشهر'!P861</f>
        <v>0</v>
      </c>
      <c r="J1508" s="31">
        <f>'تقرير المصروفات حسب الشهر'!P988</f>
        <v>0</v>
      </c>
      <c r="K1508" s="31">
        <f>'تقرير المصروفات حسب الشهر'!P1115</f>
        <v>0</v>
      </c>
      <c r="L1508" s="292">
        <f>IFERROR(VLOOKUP(B1508,'تقرير المصروفات حسب الشهر'!$C$1143:$AD$1254,14,FALSE),0)</f>
        <v>0</v>
      </c>
      <c r="M1508" s="292">
        <f>IFERROR(VLOOKUP(B1508,'تقرير المصروفات حسب الشهر'!$C$1270:$AD$1381,14,FALSE),0)</f>
        <v>0</v>
      </c>
      <c r="N1508" s="31" t="e">
        <f>#REF!</f>
        <v>#REF!</v>
      </c>
      <c r="O1508" s="37" t="e">
        <f t="shared" si="37"/>
        <v>#REF!</v>
      </c>
    </row>
    <row r="1509" spans="2:15" ht="17.399999999999999">
      <c r="B1509" s="42" t="s">
        <v>189</v>
      </c>
      <c r="C1509" s="39">
        <f>'تقرير المصروفات حسب الشهر'!P109</f>
        <v>0</v>
      </c>
      <c r="D1509" s="31" t="e">
        <f>#REF!</f>
        <v>#REF!</v>
      </c>
      <c r="E1509" s="31" t="e">
        <f>#REF!</f>
        <v>#REF!</v>
      </c>
      <c r="F1509" s="31" t="e">
        <f>#REF!</f>
        <v>#REF!</v>
      </c>
      <c r="G1509" s="31" t="e">
        <f>#REF!</f>
        <v>#REF!</v>
      </c>
      <c r="H1509" s="31" t="e">
        <f>#REF!</f>
        <v>#REF!</v>
      </c>
      <c r="I1509" s="31">
        <f>'تقرير المصروفات حسب الشهر'!P862</f>
        <v>0</v>
      </c>
      <c r="J1509" s="31">
        <f>'تقرير المصروفات حسب الشهر'!P989</f>
        <v>0</v>
      </c>
      <c r="K1509" s="31">
        <f>'تقرير المصروفات حسب الشهر'!P1116</f>
        <v>0</v>
      </c>
      <c r="L1509" s="292">
        <f>IFERROR(VLOOKUP(B1509,'تقرير المصروفات حسب الشهر'!$C$1143:$AD$1254,14,FALSE),0)</f>
        <v>0</v>
      </c>
      <c r="M1509" s="292">
        <f>IFERROR(VLOOKUP(B1509,'تقرير المصروفات حسب الشهر'!$C$1270:$AD$1381,14,FALSE),0)</f>
        <v>0</v>
      </c>
      <c r="N1509" s="31" t="e">
        <f>#REF!</f>
        <v>#REF!</v>
      </c>
      <c r="O1509" s="37" t="e">
        <f t="shared" si="37"/>
        <v>#REF!</v>
      </c>
    </row>
    <row r="1510" spans="2:15" ht="17.399999999999999">
      <c r="B1510" s="42" t="s">
        <v>188</v>
      </c>
      <c r="C1510" s="39">
        <f>'تقرير المصروفات حسب الشهر'!P110</f>
        <v>0</v>
      </c>
      <c r="D1510" s="31" t="e">
        <f>#REF!</f>
        <v>#REF!</v>
      </c>
      <c r="E1510" s="31" t="e">
        <f>#REF!</f>
        <v>#REF!</v>
      </c>
      <c r="F1510" s="31" t="e">
        <f>#REF!</f>
        <v>#REF!</v>
      </c>
      <c r="G1510" s="31" t="e">
        <f>#REF!</f>
        <v>#REF!</v>
      </c>
      <c r="H1510" s="31" t="e">
        <f>#REF!</f>
        <v>#REF!</v>
      </c>
      <c r="I1510" s="31">
        <f>'تقرير المصروفات حسب الشهر'!P863</f>
        <v>0</v>
      </c>
      <c r="J1510" s="31">
        <f>'تقرير المصروفات حسب الشهر'!P990</f>
        <v>0</v>
      </c>
      <c r="K1510" s="31">
        <f>'تقرير المصروفات حسب الشهر'!P1117</f>
        <v>0</v>
      </c>
      <c r="L1510" s="292">
        <f>IFERROR(VLOOKUP(B1510,'تقرير المصروفات حسب الشهر'!$C$1143:$AD$1254,14,FALSE),0)</f>
        <v>0</v>
      </c>
      <c r="M1510" s="292">
        <f>IFERROR(VLOOKUP(B1510,'تقرير المصروفات حسب الشهر'!$C$1270:$AD$1381,14,FALSE),0)</f>
        <v>0</v>
      </c>
      <c r="N1510" s="31" t="e">
        <f>#REF!</f>
        <v>#REF!</v>
      </c>
      <c r="O1510" s="37" t="e">
        <f t="shared" si="37"/>
        <v>#REF!</v>
      </c>
    </row>
    <row r="1511" spans="2:15" ht="17.399999999999999">
      <c r="B1511" s="42" t="s">
        <v>196</v>
      </c>
      <c r="C1511" s="39">
        <f>'تقرير المصروفات حسب الشهر'!P111</f>
        <v>0</v>
      </c>
      <c r="D1511" s="31" t="e">
        <f>#REF!</f>
        <v>#REF!</v>
      </c>
      <c r="E1511" s="31" t="e">
        <f>#REF!</f>
        <v>#REF!</v>
      </c>
      <c r="F1511" s="31" t="e">
        <f>#REF!</f>
        <v>#REF!</v>
      </c>
      <c r="G1511" s="31" t="e">
        <f>#REF!</f>
        <v>#REF!</v>
      </c>
      <c r="H1511" s="31" t="e">
        <f>#REF!</f>
        <v>#REF!</v>
      </c>
      <c r="I1511" s="31">
        <f>'تقرير المصروفات حسب الشهر'!P864</f>
        <v>0</v>
      </c>
      <c r="J1511" s="31">
        <f>'تقرير المصروفات حسب الشهر'!P991</f>
        <v>0</v>
      </c>
      <c r="K1511" s="31">
        <f>'تقرير المصروفات حسب الشهر'!P1118</f>
        <v>0</v>
      </c>
      <c r="L1511" s="292">
        <f>IFERROR(VLOOKUP(B1511,'تقرير المصروفات حسب الشهر'!$C$1143:$AD$1254,14,FALSE),0)</f>
        <v>0</v>
      </c>
      <c r="M1511" s="292">
        <f>IFERROR(VLOOKUP(B1511,'تقرير المصروفات حسب الشهر'!$C$1270:$AD$1381,14,FALSE),0)</f>
        <v>0</v>
      </c>
      <c r="N1511" s="31" t="e">
        <f>#REF!</f>
        <v>#REF!</v>
      </c>
      <c r="O1511" s="37" t="e">
        <f t="shared" si="37"/>
        <v>#REF!</v>
      </c>
    </row>
    <row r="1512" spans="2:15" ht="17.399999999999999">
      <c r="B1512" s="42" t="s">
        <v>197</v>
      </c>
      <c r="C1512" s="39">
        <f>'تقرير المصروفات حسب الشهر'!P112</f>
        <v>0</v>
      </c>
      <c r="D1512" s="31" t="e">
        <f>#REF!</f>
        <v>#REF!</v>
      </c>
      <c r="E1512" s="31" t="e">
        <f>#REF!</f>
        <v>#REF!</v>
      </c>
      <c r="F1512" s="31" t="e">
        <f>#REF!</f>
        <v>#REF!</v>
      </c>
      <c r="G1512" s="31" t="e">
        <f>#REF!</f>
        <v>#REF!</v>
      </c>
      <c r="H1512" s="31" t="e">
        <f>#REF!</f>
        <v>#REF!</v>
      </c>
      <c r="I1512" s="31">
        <f>'تقرير المصروفات حسب الشهر'!P865</f>
        <v>0</v>
      </c>
      <c r="J1512" s="31">
        <f>'تقرير المصروفات حسب الشهر'!P992</f>
        <v>0</v>
      </c>
      <c r="K1512" s="31">
        <f>'تقرير المصروفات حسب الشهر'!P1119</f>
        <v>0</v>
      </c>
      <c r="L1512" s="292">
        <f>IFERROR(VLOOKUP(B1512,'تقرير المصروفات حسب الشهر'!$C$1143:$AD$1254,14,FALSE),0)</f>
        <v>0</v>
      </c>
      <c r="M1512" s="292">
        <f>IFERROR(VLOOKUP(B1512,'تقرير المصروفات حسب الشهر'!$C$1270:$AD$1381,14,FALSE),0)</f>
        <v>0</v>
      </c>
      <c r="N1512" s="31" t="e">
        <f>#REF!</f>
        <v>#REF!</v>
      </c>
      <c r="O1512" s="37" t="e">
        <f t="shared" si="37"/>
        <v>#REF!</v>
      </c>
    </row>
    <row r="1513" spans="2:15" ht="17.399999999999999">
      <c r="B1513" s="42" t="s">
        <v>198</v>
      </c>
      <c r="C1513" s="39">
        <f>'تقرير المصروفات حسب الشهر'!P113</f>
        <v>0</v>
      </c>
      <c r="D1513" s="31" t="e">
        <f>#REF!</f>
        <v>#REF!</v>
      </c>
      <c r="E1513" s="31" t="e">
        <f>#REF!</f>
        <v>#REF!</v>
      </c>
      <c r="F1513" s="31" t="e">
        <f>#REF!</f>
        <v>#REF!</v>
      </c>
      <c r="G1513" s="31" t="e">
        <f>#REF!</f>
        <v>#REF!</v>
      </c>
      <c r="H1513" s="31" t="e">
        <f>#REF!</f>
        <v>#REF!</v>
      </c>
      <c r="I1513" s="31">
        <f>'تقرير المصروفات حسب الشهر'!P866</f>
        <v>0</v>
      </c>
      <c r="J1513" s="31">
        <f>'تقرير المصروفات حسب الشهر'!P993</f>
        <v>0</v>
      </c>
      <c r="K1513" s="31">
        <f>'تقرير المصروفات حسب الشهر'!P1120</f>
        <v>0</v>
      </c>
      <c r="L1513" s="292">
        <f>IFERROR(VLOOKUP(B1513,'تقرير المصروفات حسب الشهر'!$C$1143:$AD$1254,14,FALSE),0)</f>
        <v>0</v>
      </c>
      <c r="M1513" s="292">
        <f>IFERROR(VLOOKUP(B1513,'تقرير المصروفات حسب الشهر'!$C$1270:$AD$1381,14,FALSE),0)</f>
        <v>0</v>
      </c>
      <c r="N1513" s="31" t="e">
        <f>#REF!</f>
        <v>#REF!</v>
      </c>
      <c r="O1513" s="37" t="e">
        <f t="shared" si="37"/>
        <v>#REF!</v>
      </c>
    </row>
    <row r="1514" spans="2:15" ht="17.399999999999999">
      <c r="B1514" s="42" t="s">
        <v>201</v>
      </c>
      <c r="C1514" s="39">
        <f>'تقرير المصروفات حسب الشهر'!P114</f>
        <v>0</v>
      </c>
      <c r="D1514" s="31" t="e">
        <f>#REF!</f>
        <v>#REF!</v>
      </c>
      <c r="E1514" s="31" t="e">
        <f>#REF!</f>
        <v>#REF!</v>
      </c>
      <c r="F1514" s="31" t="e">
        <f>#REF!</f>
        <v>#REF!</v>
      </c>
      <c r="G1514" s="31" t="e">
        <f>#REF!</f>
        <v>#REF!</v>
      </c>
      <c r="H1514" s="31" t="e">
        <f>#REF!</f>
        <v>#REF!</v>
      </c>
      <c r="I1514" s="31">
        <f>'تقرير المصروفات حسب الشهر'!P867</f>
        <v>0</v>
      </c>
      <c r="J1514" s="31">
        <f>'تقرير المصروفات حسب الشهر'!P994</f>
        <v>0</v>
      </c>
      <c r="K1514" s="31">
        <f>'تقرير المصروفات حسب الشهر'!P1121</f>
        <v>0</v>
      </c>
      <c r="L1514" s="292">
        <f>IFERROR(VLOOKUP(B1514,'تقرير المصروفات حسب الشهر'!$C$1143:$AD$1254,14,FALSE),0)</f>
        <v>0</v>
      </c>
      <c r="M1514" s="292">
        <f>IFERROR(VLOOKUP(B1514,'تقرير المصروفات حسب الشهر'!$C$1270:$AD$1381,14,FALSE),0)</f>
        <v>0</v>
      </c>
      <c r="N1514" s="31" t="e">
        <f>#REF!</f>
        <v>#REF!</v>
      </c>
      <c r="O1514" s="37" t="e">
        <f t="shared" si="37"/>
        <v>#REF!</v>
      </c>
    </row>
    <row r="1515" spans="2:15" ht="17.399999999999999">
      <c r="B1515" s="42" t="s">
        <v>202</v>
      </c>
      <c r="C1515" s="39">
        <f>'تقرير المصروفات حسب الشهر'!P115</f>
        <v>0</v>
      </c>
      <c r="D1515" s="31" t="e">
        <f>#REF!</f>
        <v>#REF!</v>
      </c>
      <c r="E1515" s="31" t="e">
        <f>#REF!</f>
        <v>#REF!</v>
      </c>
      <c r="F1515" s="31" t="e">
        <f>#REF!</f>
        <v>#REF!</v>
      </c>
      <c r="G1515" s="31" t="e">
        <f>#REF!</f>
        <v>#REF!</v>
      </c>
      <c r="H1515" s="31" t="e">
        <f>#REF!</f>
        <v>#REF!</v>
      </c>
      <c r="I1515" s="31">
        <f>'تقرير المصروفات حسب الشهر'!P868</f>
        <v>0</v>
      </c>
      <c r="J1515" s="31">
        <f>'تقرير المصروفات حسب الشهر'!P995</f>
        <v>0</v>
      </c>
      <c r="K1515" s="31">
        <f>'تقرير المصروفات حسب الشهر'!P1122</f>
        <v>0</v>
      </c>
      <c r="L1515" s="292">
        <f>IFERROR(VLOOKUP(B1515,'تقرير المصروفات حسب الشهر'!$C$1143:$AD$1254,14,FALSE),0)</f>
        <v>0</v>
      </c>
      <c r="M1515" s="292">
        <f>IFERROR(VLOOKUP(B1515,'تقرير المصروفات حسب الشهر'!$C$1270:$AD$1381,14,FALSE),0)</f>
        <v>0</v>
      </c>
      <c r="N1515" s="31" t="e">
        <f>#REF!</f>
        <v>#REF!</v>
      </c>
      <c r="O1515" s="37" t="e">
        <f t="shared" si="37"/>
        <v>#REF!</v>
      </c>
    </row>
    <row r="1516" spans="2:15" ht="17.399999999999999">
      <c r="B1516" s="42" t="s">
        <v>206</v>
      </c>
      <c r="C1516" s="39">
        <f>'تقرير المصروفات حسب الشهر'!P116</f>
        <v>0</v>
      </c>
      <c r="D1516" s="31" t="e">
        <f>#REF!</f>
        <v>#REF!</v>
      </c>
      <c r="E1516" s="31" t="e">
        <f>#REF!</f>
        <v>#REF!</v>
      </c>
      <c r="F1516" s="31" t="e">
        <f>#REF!</f>
        <v>#REF!</v>
      </c>
      <c r="G1516" s="31" t="e">
        <f>#REF!</f>
        <v>#REF!</v>
      </c>
      <c r="H1516" s="31" t="e">
        <f>#REF!</f>
        <v>#REF!</v>
      </c>
      <c r="I1516" s="31">
        <f>'تقرير المصروفات حسب الشهر'!P869</f>
        <v>431.25</v>
      </c>
      <c r="J1516" s="31">
        <f>'تقرير المصروفات حسب الشهر'!P996</f>
        <v>431.25</v>
      </c>
      <c r="K1516" s="31">
        <f>'تقرير المصروفات حسب الشهر'!P1123</f>
        <v>431.25</v>
      </c>
      <c r="L1516" s="292">
        <f>IFERROR(VLOOKUP(B1516,'تقرير المصروفات حسب الشهر'!$C$1143:$AD$1254,14,FALSE),0)</f>
        <v>0</v>
      </c>
      <c r="M1516" s="292">
        <f>IFERROR(VLOOKUP(B1516,'تقرير المصروفات حسب الشهر'!$C$1270:$AD$1381,14,FALSE),0)</f>
        <v>0</v>
      </c>
      <c r="N1516" s="31" t="e">
        <f>#REF!</f>
        <v>#REF!</v>
      </c>
      <c r="O1516" s="37" t="e">
        <f t="shared" si="37"/>
        <v>#REF!</v>
      </c>
    </row>
    <row r="1517" spans="2:15" ht="17.399999999999999">
      <c r="B1517" s="42" t="s">
        <v>207</v>
      </c>
      <c r="C1517" s="39">
        <f>'تقرير المصروفات حسب الشهر'!P117</f>
        <v>431.25</v>
      </c>
      <c r="D1517" s="31" t="e">
        <f>#REF!</f>
        <v>#REF!</v>
      </c>
      <c r="E1517" s="31" t="e">
        <f>#REF!</f>
        <v>#REF!</v>
      </c>
      <c r="F1517" s="31" t="e">
        <f>#REF!</f>
        <v>#REF!</v>
      </c>
      <c r="G1517" s="31" t="e">
        <f>#REF!</f>
        <v>#REF!</v>
      </c>
      <c r="H1517" s="31" t="e">
        <f>#REF!</f>
        <v>#REF!</v>
      </c>
      <c r="I1517" s="31">
        <f>'تقرير المصروفات حسب الشهر'!P870</f>
        <v>0</v>
      </c>
      <c r="J1517" s="31">
        <f>'تقرير المصروفات حسب الشهر'!P997</f>
        <v>0</v>
      </c>
      <c r="K1517" s="31">
        <f>'تقرير المصروفات حسب الشهر'!P1124</f>
        <v>0</v>
      </c>
      <c r="L1517" s="292">
        <f>IFERROR(VLOOKUP(B1517,'تقرير المصروفات حسب الشهر'!$C$1143:$AD$1254,14,FALSE),0)</f>
        <v>431.25</v>
      </c>
      <c r="M1517" s="292">
        <f>IFERROR(VLOOKUP(B1517,'تقرير المصروفات حسب الشهر'!$C$1270:$AD$1381,14,FALSE),0)</f>
        <v>431.25</v>
      </c>
      <c r="N1517" s="31" t="e">
        <f>#REF!</f>
        <v>#REF!</v>
      </c>
      <c r="O1517" s="37" t="e">
        <f t="shared" si="37"/>
        <v>#REF!</v>
      </c>
    </row>
    <row r="1518" spans="2:15" ht="17.399999999999999">
      <c r="B1518" s="43" t="s">
        <v>208</v>
      </c>
      <c r="C1518" s="39">
        <f>'تقرير المصروفات حسب الشهر'!P118</f>
        <v>0</v>
      </c>
      <c r="D1518" s="31" t="e">
        <f>#REF!</f>
        <v>#REF!</v>
      </c>
      <c r="E1518" s="31" t="e">
        <f>#REF!</f>
        <v>#REF!</v>
      </c>
      <c r="F1518" s="31" t="e">
        <f>#REF!</f>
        <v>#REF!</v>
      </c>
      <c r="G1518" s="31" t="e">
        <f>#REF!</f>
        <v>#REF!</v>
      </c>
      <c r="H1518" s="31">
        <v>0</v>
      </c>
      <c r="I1518" s="31">
        <f>'تقرير المصروفات حسب الشهر'!P871</f>
        <v>0</v>
      </c>
      <c r="J1518" s="31">
        <f>'تقرير المصروفات حسب الشهر'!P998</f>
        <v>0</v>
      </c>
      <c r="K1518" s="31">
        <f>'تقرير المصروفات حسب الشهر'!P1125</f>
        <v>0</v>
      </c>
      <c r="L1518" s="292">
        <f>IFERROR(VLOOKUP(B1518,'تقرير المصروفات حسب الشهر'!$C$1143:$AD$1254,14,FALSE),0)</f>
        <v>0</v>
      </c>
      <c r="M1518" s="292">
        <f>IFERROR(VLOOKUP(B1518,'تقرير المصروفات حسب الشهر'!$C$1270:$AD$1381,14,FALSE),0)</f>
        <v>0</v>
      </c>
      <c r="N1518" s="31" t="e">
        <f>#REF!</f>
        <v>#REF!</v>
      </c>
      <c r="O1518" s="37" t="e">
        <f t="shared" si="37"/>
        <v>#REF!</v>
      </c>
    </row>
    <row r="1519" spans="2:15" ht="17.399999999999999">
      <c r="B1519" s="437" t="s">
        <v>236</v>
      </c>
      <c r="C1519" s="39">
        <f>'تقرير المصروفات حسب الشهر'!P119</f>
        <v>0</v>
      </c>
      <c r="D1519" s="438"/>
      <c r="E1519" s="438"/>
      <c r="F1519" s="438"/>
      <c r="G1519" s="438"/>
      <c r="H1519" s="438"/>
      <c r="I1519" s="438"/>
      <c r="J1519" s="438"/>
      <c r="K1519" s="438"/>
      <c r="L1519" s="439"/>
      <c r="M1519" s="439"/>
      <c r="N1519" s="438"/>
      <c r="O1519" s="37">
        <f t="shared" si="37"/>
        <v>0</v>
      </c>
    </row>
    <row r="1520" spans="2:15" ht="17.399999999999999">
      <c r="B1520" s="437" t="s">
        <v>209</v>
      </c>
      <c r="C1520" s="39">
        <f>'تقرير المصروفات حسب الشهر'!P120</f>
        <v>0</v>
      </c>
      <c r="D1520" s="438"/>
      <c r="E1520" s="438"/>
      <c r="F1520" s="438"/>
      <c r="G1520" s="438"/>
      <c r="H1520" s="438"/>
      <c r="I1520" s="438"/>
      <c r="J1520" s="438"/>
      <c r="K1520" s="438"/>
      <c r="L1520" s="439"/>
      <c r="M1520" s="439"/>
      <c r="N1520" s="438"/>
      <c r="O1520" s="37">
        <f t="shared" si="37"/>
        <v>0</v>
      </c>
    </row>
    <row r="1521" spans="2:15" ht="18" thickBot="1">
      <c r="B1521" s="437" t="s">
        <v>360</v>
      </c>
      <c r="C1521" s="39">
        <f>'تقرير المصروفات حسب الشهر'!P121</f>
        <v>58344.87</v>
      </c>
      <c r="D1521" s="438"/>
      <c r="E1521" s="438"/>
      <c r="F1521" s="438"/>
      <c r="G1521" s="438"/>
      <c r="H1521" s="438"/>
      <c r="I1521" s="438"/>
      <c r="J1521" s="438"/>
      <c r="K1521" s="438"/>
      <c r="L1521" s="439"/>
      <c r="M1521" s="439"/>
      <c r="N1521" s="438"/>
      <c r="O1521" s="37">
        <f t="shared" si="37"/>
        <v>58344.87</v>
      </c>
    </row>
    <row r="1522" spans="2:15" ht="21.6" thickBot="1">
      <c r="B1522" s="29" t="s">
        <v>18</v>
      </c>
      <c r="C1522" s="41">
        <f>SUM(C1410:C1521)</f>
        <v>274870.72000000003</v>
      </c>
      <c r="D1522" s="41" t="e">
        <f t="shared" ref="D1522:N1522" si="38">SUM(D1410:D1518)</f>
        <v>#REF!</v>
      </c>
      <c r="E1522" s="41" t="e">
        <f t="shared" si="38"/>
        <v>#REF!</v>
      </c>
      <c r="F1522" s="41" t="e">
        <f t="shared" si="38"/>
        <v>#REF!</v>
      </c>
      <c r="G1522" s="41" t="e">
        <f t="shared" si="38"/>
        <v>#REF!</v>
      </c>
      <c r="H1522" s="41" t="e">
        <f t="shared" si="38"/>
        <v>#REF!</v>
      </c>
      <c r="I1522" s="41">
        <f t="shared" si="38"/>
        <v>258075.22999999998</v>
      </c>
      <c r="J1522" s="41">
        <f t="shared" si="38"/>
        <v>286000.21000000002</v>
      </c>
      <c r="K1522" s="41">
        <f t="shared" si="38"/>
        <v>323825.76999999996</v>
      </c>
      <c r="L1522" s="41">
        <f t="shared" si="38"/>
        <v>322334.31800000003</v>
      </c>
      <c r="M1522" s="41">
        <f t="shared" si="38"/>
        <v>318932.92</v>
      </c>
      <c r="N1522" s="41" t="e">
        <f t="shared" si="38"/>
        <v>#REF!</v>
      </c>
      <c r="O1522" s="41" t="e">
        <f>SUM(O1410:O1521)</f>
        <v>#REF!</v>
      </c>
    </row>
    <row r="1524" spans="2:15" ht="13.8" thickBot="1"/>
    <row r="1525" spans="2:15" ht="31.2" thickTop="1" thickBot="1">
      <c r="B1525" s="643" t="s">
        <v>222</v>
      </c>
      <c r="C1525" s="644"/>
      <c r="D1525" s="644"/>
      <c r="E1525" s="644"/>
      <c r="F1525" s="644"/>
      <c r="G1525" s="644"/>
      <c r="H1525" s="644"/>
      <c r="I1525" s="644"/>
      <c r="J1525" s="644"/>
      <c r="K1525" s="644"/>
      <c r="L1525" s="644"/>
      <c r="M1525" s="644"/>
      <c r="N1525" s="644"/>
      <c r="O1525" s="645"/>
    </row>
    <row r="1526" spans="2:15" ht="17.399999999999999">
      <c r="B1526" s="30" t="s">
        <v>23</v>
      </c>
      <c r="C1526" s="33" t="s">
        <v>0</v>
      </c>
      <c r="D1526" s="33" t="s">
        <v>1</v>
      </c>
      <c r="E1526" s="34" t="s">
        <v>2</v>
      </c>
      <c r="F1526" s="34" t="s">
        <v>3</v>
      </c>
      <c r="G1526" s="34" t="s">
        <v>4</v>
      </c>
      <c r="H1526" s="34" t="s">
        <v>5</v>
      </c>
      <c r="I1526" s="34" t="s">
        <v>6</v>
      </c>
      <c r="J1526" s="34" t="s">
        <v>7</v>
      </c>
      <c r="K1526" s="34" t="s">
        <v>8</v>
      </c>
      <c r="L1526" s="34" t="s">
        <v>9</v>
      </c>
      <c r="M1526" s="34" t="s">
        <v>10</v>
      </c>
      <c r="N1526" s="35" t="s">
        <v>11</v>
      </c>
      <c r="O1526" s="36" t="s">
        <v>18</v>
      </c>
    </row>
    <row r="1527" spans="2:15" ht="17.399999999999999">
      <c r="B1527" s="42" t="s">
        <v>40</v>
      </c>
      <c r="C1527" s="39">
        <f>'تقرير المصروفات حسب الشهر'!Q10</f>
        <v>0</v>
      </c>
      <c r="D1527" s="31" t="e">
        <f>#REF!</f>
        <v>#REF!</v>
      </c>
      <c r="E1527" s="31" t="e">
        <f>#REF!</f>
        <v>#REF!</v>
      </c>
      <c r="F1527" s="31" t="e">
        <f>#REF!</f>
        <v>#REF!</v>
      </c>
      <c r="G1527" s="31" t="e">
        <f>#REF!</f>
        <v>#REF!</v>
      </c>
      <c r="H1527" s="31" t="e">
        <f>#REF!</f>
        <v>#REF!</v>
      </c>
      <c r="I1527" s="31">
        <f>'تقرير المصروفات حسب الشهر'!Q763</f>
        <v>0</v>
      </c>
      <c r="J1527" s="31">
        <f>'تقرير المصروفات حسب الشهر'!Q890</f>
        <v>0</v>
      </c>
      <c r="K1527" s="31">
        <f>'تقرير المصروفات حسب الشهر'!Q1017</f>
        <v>0</v>
      </c>
      <c r="L1527" s="292">
        <f>IFERROR(VLOOKUP(B1527,'تقرير المصروفات حسب الشهر'!$C$1143:$AD$1254,15,FALSE),0)</f>
        <v>0</v>
      </c>
      <c r="M1527" s="292">
        <f>IFERROR(VLOOKUP(B1527,'تقرير المصروفات حسب الشهر'!$C$1270:$AD$1381,15,FALSE),0)</f>
        <v>0</v>
      </c>
      <c r="N1527" s="31" t="e">
        <f>#REF!</f>
        <v>#REF!</v>
      </c>
      <c r="O1527" s="37" t="e">
        <f>SUM(C1527:N1527)</f>
        <v>#REF!</v>
      </c>
    </row>
    <row r="1528" spans="2:15" ht="17.399999999999999">
      <c r="B1528" s="42" t="s">
        <v>41</v>
      </c>
      <c r="C1528" s="39">
        <f>'تقرير المصروفات حسب الشهر'!Q11</f>
        <v>338683.88999999996</v>
      </c>
      <c r="D1528" s="31" t="e">
        <f>#REF!</f>
        <v>#REF!</v>
      </c>
      <c r="E1528" s="31" t="e">
        <f>#REF!</f>
        <v>#REF!</v>
      </c>
      <c r="F1528" s="31" t="e">
        <f>#REF!</f>
        <v>#REF!</v>
      </c>
      <c r="G1528" s="31" t="e">
        <f>#REF!</f>
        <v>#REF!</v>
      </c>
      <c r="H1528" s="31" t="e">
        <f>#REF!</f>
        <v>#REF!</v>
      </c>
      <c r="I1528" s="31">
        <f>'تقرير المصروفات حسب الشهر'!Q764</f>
        <v>458442.54000000004</v>
      </c>
      <c r="J1528" s="31">
        <f>'تقرير المصروفات حسب الشهر'!Q891</f>
        <v>431511.25</v>
      </c>
      <c r="K1528" s="31">
        <f>'تقرير المصروفات حسب الشهر'!Q1018</f>
        <v>453552.97</v>
      </c>
      <c r="L1528" s="292">
        <f>IFERROR(VLOOKUP(B1528,'تقرير المصروفات حسب الشهر'!$C$1143:$AD$1254,15,FALSE),0)</f>
        <v>512614.7</v>
      </c>
      <c r="M1528" s="292">
        <f>IFERROR(VLOOKUP(B1528,'تقرير المصروفات حسب الشهر'!$C$1270:$AD$1381,15,FALSE),0)</f>
        <v>540061.31000000006</v>
      </c>
      <c r="N1528" s="31" t="e">
        <f>#REF!</f>
        <v>#REF!</v>
      </c>
      <c r="O1528" s="37" t="e">
        <f t="shared" ref="O1528:O1591" si="39">SUM(C1528:N1528)</f>
        <v>#REF!</v>
      </c>
    </row>
    <row r="1529" spans="2:15" ht="17.399999999999999">
      <c r="B1529" s="42" t="s">
        <v>26</v>
      </c>
      <c r="C1529" s="39">
        <f>'تقرير المصروفات حسب الشهر'!Q12</f>
        <v>0</v>
      </c>
      <c r="D1529" s="31" t="e">
        <f>#REF!</f>
        <v>#REF!</v>
      </c>
      <c r="E1529" s="31" t="e">
        <f>#REF!</f>
        <v>#REF!</v>
      </c>
      <c r="F1529" s="31" t="e">
        <f>#REF!</f>
        <v>#REF!</v>
      </c>
      <c r="G1529" s="31" t="e">
        <f>#REF!</f>
        <v>#REF!</v>
      </c>
      <c r="H1529" s="31" t="e">
        <f>#REF!</f>
        <v>#REF!</v>
      </c>
      <c r="I1529" s="31">
        <f>'تقرير المصروفات حسب الشهر'!Q765</f>
        <v>20916</v>
      </c>
      <c r="J1529" s="31">
        <f>'تقرير المصروفات حسب الشهر'!Q892</f>
        <v>0</v>
      </c>
      <c r="K1529" s="31">
        <f>'تقرير المصروفات حسب الشهر'!Q1019</f>
        <v>27561</v>
      </c>
      <c r="L1529" s="292">
        <f>IFERROR(VLOOKUP(B1529,'تقرير المصروفات حسب الشهر'!$C$1143:$AD$1254,15,FALSE),0)</f>
        <v>0</v>
      </c>
      <c r="M1529" s="292">
        <f>IFERROR(VLOOKUP(B1529,'تقرير المصروفات حسب الشهر'!$C$1270:$AD$1381,15,FALSE),0)</f>
        <v>6130</v>
      </c>
      <c r="N1529" s="31" t="e">
        <f>#REF!</f>
        <v>#REF!</v>
      </c>
      <c r="O1529" s="37" t="e">
        <f t="shared" si="39"/>
        <v>#REF!</v>
      </c>
    </row>
    <row r="1530" spans="2:15" ht="17.399999999999999">
      <c r="B1530" s="42" t="s">
        <v>27</v>
      </c>
      <c r="C1530" s="39">
        <f>'تقرير المصروفات حسب الشهر'!Q13</f>
        <v>0</v>
      </c>
      <c r="D1530" s="31" t="e">
        <f>#REF!</f>
        <v>#REF!</v>
      </c>
      <c r="E1530" s="31" t="e">
        <f>#REF!</f>
        <v>#REF!</v>
      </c>
      <c r="F1530" s="31" t="e">
        <f>#REF!</f>
        <v>#REF!</v>
      </c>
      <c r="G1530" s="31" t="e">
        <f>#REF!</f>
        <v>#REF!</v>
      </c>
      <c r="H1530" s="31" t="e">
        <f>#REF!</f>
        <v>#REF!</v>
      </c>
      <c r="I1530" s="31">
        <f>'تقرير المصروفات حسب الشهر'!Q766</f>
        <v>0</v>
      </c>
      <c r="J1530" s="31">
        <f>'تقرير المصروفات حسب الشهر'!Q893</f>
        <v>0</v>
      </c>
      <c r="K1530" s="31">
        <f>'تقرير المصروفات حسب الشهر'!Q1020</f>
        <v>0</v>
      </c>
      <c r="L1530" s="292">
        <f>IFERROR(VLOOKUP(B1530,'تقرير المصروفات حسب الشهر'!$C$1143:$AD$1254,15,FALSE),0)</f>
        <v>0</v>
      </c>
      <c r="M1530" s="292">
        <f>IFERROR(VLOOKUP(B1530,'تقرير المصروفات حسب الشهر'!$C$1270:$AD$1381,15,FALSE),0)</f>
        <v>0</v>
      </c>
      <c r="N1530" s="31" t="e">
        <f>#REF!</f>
        <v>#REF!</v>
      </c>
      <c r="O1530" s="37" t="e">
        <f t="shared" si="39"/>
        <v>#REF!</v>
      </c>
    </row>
    <row r="1531" spans="2:15" ht="17.399999999999999">
      <c r="B1531" s="42" t="s">
        <v>42</v>
      </c>
      <c r="C1531" s="39">
        <f>'تقرير المصروفات حسب الشهر'!Q14</f>
        <v>0</v>
      </c>
      <c r="D1531" s="31" t="e">
        <f>#REF!</f>
        <v>#REF!</v>
      </c>
      <c r="E1531" s="31" t="e">
        <f>#REF!</f>
        <v>#REF!</v>
      </c>
      <c r="F1531" s="31" t="e">
        <f>#REF!</f>
        <v>#REF!</v>
      </c>
      <c r="G1531" s="31" t="e">
        <f>#REF!</f>
        <v>#REF!</v>
      </c>
      <c r="H1531" s="31" t="e">
        <f>#REF!</f>
        <v>#REF!</v>
      </c>
      <c r="I1531" s="31">
        <f>'تقرير المصروفات حسب الشهر'!Q767</f>
        <v>0</v>
      </c>
      <c r="J1531" s="31">
        <f>'تقرير المصروفات حسب الشهر'!Q894</f>
        <v>0</v>
      </c>
      <c r="K1531" s="31">
        <f>'تقرير المصروفات حسب الشهر'!Q1021</f>
        <v>0</v>
      </c>
      <c r="L1531" s="292">
        <f>IFERROR(VLOOKUP(B1531,'تقرير المصروفات حسب الشهر'!$C$1143:$AD$1254,15,FALSE),0)</f>
        <v>0</v>
      </c>
      <c r="M1531" s="292">
        <f>IFERROR(VLOOKUP(B1531,'تقرير المصروفات حسب الشهر'!$C$1270:$AD$1381,15,FALSE),0)</f>
        <v>0</v>
      </c>
      <c r="N1531" s="31" t="e">
        <f>#REF!</f>
        <v>#REF!</v>
      </c>
      <c r="O1531" s="37" t="e">
        <f t="shared" si="39"/>
        <v>#REF!</v>
      </c>
    </row>
    <row r="1532" spans="2:15" ht="17.399999999999999">
      <c r="B1532" s="42" t="s">
        <v>43</v>
      </c>
      <c r="C1532" s="39">
        <f>'تقرير المصروفات حسب الشهر'!Q15</f>
        <v>0</v>
      </c>
      <c r="D1532" s="31" t="e">
        <f>#REF!</f>
        <v>#REF!</v>
      </c>
      <c r="E1532" s="31" t="e">
        <f>#REF!</f>
        <v>#REF!</v>
      </c>
      <c r="F1532" s="31" t="e">
        <f>#REF!</f>
        <v>#REF!</v>
      </c>
      <c r="G1532" s="31" t="e">
        <f>#REF!</f>
        <v>#REF!</v>
      </c>
      <c r="H1532" s="31" t="e">
        <f>#REF!</f>
        <v>#REF!</v>
      </c>
      <c r="I1532" s="31">
        <f>'تقرير المصروفات حسب الشهر'!Q768</f>
        <v>0</v>
      </c>
      <c r="J1532" s="31">
        <f>'تقرير المصروفات حسب الشهر'!Q895</f>
        <v>0</v>
      </c>
      <c r="K1532" s="31">
        <f>'تقرير المصروفات حسب الشهر'!Q1022</f>
        <v>0</v>
      </c>
      <c r="L1532" s="292">
        <f>IFERROR(VLOOKUP(B1532,'تقرير المصروفات حسب الشهر'!$C$1143:$AD$1254,15,FALSE),0)</f>
        <v>0</v>
      </c>
      <c r="M1532" s="292">
        <f>IFERROR(VLOOKUP(B1532,'تقرير المصروفات حسب الشهر'!$C$1270:$AD$1381,15,FALSE),0)</f>
        <v>0</v>
      </c>
      <c r="N1532" s="31" t="e">
        <f>#REF!</f>
        <v>#REF!</v>
      </c>
      <c r="O1532" s="37" t="e">
        <f t="shared" si="39"/>
        <v>#REF!</v>
      </c>
    </row>
    <row r="1533" spans="2:15" ht="17.399999999999999">
      <c r="B1533" s="42" t="s">
        <v>44</v>
      </c>
      <c r="C1533" s="39">
        <f>'تقرير المصروفات حسب الشهر'!Q16</f>
        <v>0</v>
      </c>
      <c r="D1533" s="31" t="e">
        <f>#REF!</f>
        <v>#REF!</v>
      </c>
      <c r="E1533" s="31" t="e">
        <f>#REF!</f>
        <v>#REF!</v>
      </c>
      <c r="F1533" s="31" t="e">
        <f>#REF!</f>
        <v>#REF!</v>
      </c>
      <c r="G1533" s="31" t="e">
        <f>#REF!</f>
        <v>#REF!</v>
      </c>
      <c r="H1533" s="31" t="e">
        <f>#REF!</f>
        <v>#REF!</v>
      </c>
      <c r="I1533" s="31">
        <f>'تقرير المصروفات حسب الشهر'!Q769</f>
        <v>0</v>
      </c>
      <c r="J1533" s="31">
        <f>'تقرير المصروفات حسب الشهر'!Q896</f>
        <v>0</v>
      </c>
      <c r="K1533" s="31">
        <f>'تقرير المصروفات حسب الشهر'!Q1023</f>
        <v>0</v>
      </c>
      <c r="L1533" s="292">
        <f>IFERROR(VLOOKUP(B1533,'تقرير المصروفات حسب الشهر'!$C$1143:$AD$1254,15,FALSE),0)</f>
        <v>0</v>
      </c>
      <c r="M1533" s="292">
        <f>IFERROR(VLOOKUP(B1533,'تقرير المصروفات حسب الشهر'!$C$1270:$AD$1381,15,FALSE),0)</f>
        <v>0</v>
      </c>
      <c r="N1533" s="31" t="e">
        <f>#REF!</f>
        <v>#REF!</v>
      </c>
      <c r="O1533" s="37" t="e">
        <f t="shared" si="39"/>
        <v>#REF!</v>
      </c>
    </row>
    <row r="1534" spans="2:15" ht="17.399999999999999">
      <c r="B1534" s="42" t="s">
        <v>45</v>
      </c>
      <c r="C1534" s="39">
        <f>'تقرير المصروفات حسب الشهر'!Q17</f>
        <v>99176</v>
      </c>
      <c r="D1534" s="31" t="e">
        <f>#REF!</f>
        <v>#REF!</v>
      </c>
      <c r="E1534" s="31" t="e">
        <f>#REF!</f>
        <v>#REF!</v>
      </c>
      <c r="F1534" s="31" t="e">
        <f>#REF!</f>
        <v>#REF!</v>
      </c>
      <c r="G1534" s="31" t="e">
        <f>#REF!</f>
        <v>#REF!</v>
      </c>
      <c r="H1534" s="31" t="e">
        <f>#REF!</f>
        <v>#REF!</v>
      </c>
      <c r="I1534" s="31">
        <f>'تقرير المصروفات حسب الشهر'!Q770</f>
        <v>100886</v>
      </c>
      <c r="J1534" s="31">
        <f>'تقرير المصروفات حسب الشهر'!Q897</f>
        <v>93886</v>
      </c>
      <c r="K1534" s="31">
        <f>'تقرير المصروفات حسب الشهر'!Q1024</f>
        <v>108586</v>
      </c>
      <c r="L1534" s="292">
        <f>IFERROR(VLOOKUP(B1534,'تقرير المصروفات حسب الشهر'!$C$1143:$AD$1254,15,FALSE),0)</f>
        <v>93886</v>
      </c>
      <c r="M1534" s="292">
        <f>IFERROR(VLOOKUP(B1534,'تقرير المصروفات حسب الشهر'!$C$1270:$AD$1381,15,FALSE),0)</f>
        <v>101586</v>
      </c>
      <c r="N1534" s="31" t="e">
        <f>#REF!</f>
        <v>#REF!</v>
      </c>
      <c r="O1534" s="37" t="e">
        <f t="shared" si="39"/>
        <v>#REF!</v>
      </c>
    </row>
    <row r="1535" spans="2:15" ht="17.399999999999999">
      <c r="B1535" s="42" t="s">
        <v>156</v>
      </c>
      <c r="C1535" s="39">
        <f>'تقرير المصروفات حسب الشهر'!Q18</f>
        <v>0</v>
      </c>
      <c r="D1535" s="31" t="e">
        <f>#REF!</f>
        <v>#REF!</v>
      </c>
      <c r="E1535" s="31" t="e">
        <f>#REF!</f>
        <v>#REF!</v>
      </c>
      <c r="F1535" s="31" t="e">
        <f>#REF!</f>
        <v>#REF!</v>
      </c>
      <c r="G1535" s="31" t="e">
        <f>#REF!</f>
        <v>#REF!</v>
      </c>
      <c r="H1535" s="31" t="e">
        <f>#REF!</f>
        <v>#REF!</v>
      </c>
      <c r="I1535" s="31">
        <f>'تقرير المصروفات حسب الشهر'!Q771</f>
        <v>50</v>
      </c>
      <c r="J1535" s="31">
        <f>'تقرير المصروفات حسب الشهر'!Q898</f>
        <v>260</v>
      </c>
      <c r="K1535" s="31">
        <f>'تقرير المصروفات حسب الشهر'!Q1025</f>
        <v>135</v>
      </c>
      <c r="L1535" s="292">
        <f>IFERROR(VLOOKUP(B1535,'تقرير المصروفات حسب الشهر'!$C$1143:$AD$1254,15,FALSE),0)</f>
        <v>733.25</v>
      </c>
      <c r="M1535" s="292">
        <f>IFERROR(VLOOKUP(B1535,'تقرير المصروفات حسب الشهر'!$C$1270:$AD$1381,15,FALSE),0)</f>
        <v>0</v>
      </c>
      <c r="N1535" s="31" t="e">
        <f>#REF!</f>
        <v>#REF!</v>
      </c>
      <c r="O1535" s="37" t="e">
        <f t="shared" si="39"/>
        <v>#REF!</v>
      </c>
    </row>
    <row r="1536" spans="2:15" ht="17.399999999999999">
      <c r="B1536" s="42" t="s">
        <v>46</v>
      </c>
      <c r="C1536" s="39">
        <f>'تقرير المصروفات حسب الشهر'!Q19</f>
        <v>348.43</v>
      </c>
      <c r="D1536" s="31" t="e">
        <f>#REF!</f>
        <v>#REF!</v>
      </c>
      <c r="E1536" s="31" t="e">
        <f>#REF!</f>
        <v>#REF!</v>
      </c>
      <c r="F1536" s="31" t="e">
        <f>#REF!</f>
        <v>#REF!</v>
      </c>
      <c r="G1536" s="31" t="e">
        <f>#REF!</f>
        <v>#REF!</v>
      </c>
      <c r="H1536" s="31" t="e">
        <f>#REF!</f>
        <v>#REF!</v>
      </c>
      <c r="I1536" s="31">
        <f>'تقرير المصروفات حسب الشهر'!Q772</f>
        <v>448.43</v>
      </c>
      <c r="J1536" s="31">
        <f>'تقرير المصروفات حسب الشهر'!Q899</f>
        <v>348.43</v>
      </c>
      <c r="K1536" s="31">
        <f>'تقرير المصروفات حسب الشهر'!Q1026</f>
        <v>348.43</v>
      </c>
      <c r="L1536" s="292">
        <f>IFERROR(VLOOKUP(B1536,'تقرير المصروفات حسب الشهر'!$C$1143:$AD$1254,15,FALSE),0)</f>
        <v>540.5</v>
      </c>
      <c r="M1536" s="292">
        <f>IFERROR(VLOOKUP(B1536,'تقرير المصروفات حسب الشهر'!$C$1270:$AD$1381,15,FALSE),0)</f>
        <v>540.5</v>
      </c>
      <c r="N1536" s="31" t="e">
        <f>#REF!</f>
        <v>#REF!</v>
      </c>
      <c r="O1536" s="37" t="e">
        <f t="shared" si="39"/>
        <v>#REF!</v>
      </c>
    </row>
    <row r="1537" spans="2:15" ht="17.399999999999999">
      <c r="B1537" s="42" t="s">
        <v>47</v>
      </c>
      <c r="C1537" s="39">
        <f>'تقرير المصروفات حسب الشهر'!Q20</f>
        <v>0</v>
      </c>
      <c r="D1537" s="31" t="e">
        <f>#REF!</f>
        <v>#REF!</v>
      </c>
      <c r="E1537" s="31" t="e">
        <f>#REF!</f>
        <v>#REF!</v>
      </c>
      <c r="F1537" s="31" t="e">
        <f>#REF!</f>
        <v>#REF!</v>
      </c>
      <c r="G1537" s="31" t="e">
        <f>#REF!</f>
        <v>#REF!</v>
      </c>
      <c r="H1537" s="31" t="e">
        <f>#REF!</f>
        <v>#REF!</v>
      </c>
      <c r="I1537" s="31">
        <f>'تقرير المصروفات حسب الشهر'!Q773</f>
        <v>0</v>
      </c>
      <c r="J1537" s="31">
        <f>'تقرير المصروفات حسب الشهر'!Q900</f>
        <v>0</v>
      </c>
      <c r="K1537" s="31">
        <f>'تقرير المصروفات حسب الشهر'!Q1027</f>
        <v>0</v>
      </c>
      <c r="L1537" s="292">
        <f>IFERROR(VLOOKUP(B1537,'تقرير المصروفات حسب الشهر'!$C$1143:$AD$1254,15,FALSE),0)</f>
        <v>0</v>
      </c>
      <c r="M1537" s="292">
        <f>IFERROR(VLOOKUP(B1537,'تقرير المصروفات حسب الشهر'!$C$1270:$AD$1381,15,FALSE),0)</f>
        <v>0</v>
      </c>
      <c r="N1537" s="31" t="e">
        <f>#REF!</f>
        <v>#REF!</v>
      </c>
      <c r="O1537" s="37" t="e">
        <f t="shared" si="39"/>
        <v>#REF!</v>
      </c>
    </row>
    <row r="1538" spans="2:15" ht="17.399999999999999">
      <c r="B1538" s="42" t="s">
        <v>48</v>
      </c>
      <c r="C1538" s="39">
        <f>'تقرير المصروفات حسب الشهر'!Q21</f>
        <v>750</v>
      </c>
      <c r="D1538" s="31" t="e">
        <f>#REF!</f>
        <v>#REF!</v>
      </c>
      <c r="E1538" s="31" t="e">
        <f>#REF!</f>
        <v>#REF!</v>
      </c>
      <c r="F1538" s="31" t="e">
        <f>#REF!</f>
        <v>#REF!</v>
      </c>
      <c r="G1538" s="31" t="e">
        <f>#REF!</f>
        <v>#REF!</v>
      </c>
      <c r="H1538" s="31" t="e">
        <f>#REF!</f>
        <v>#REF!</v>
      </c>
      <c r="I1538" s="31">
        <f>'تقرير المصروفات حسب الشهر'!Q774</f>
        <v>650</v>
      </c>
      <c r="J1538" s="31">
        <f>'تقرير المصروفات حسب الشهر'!Q901</f>
        <v>900</v>
      </c>
      <c r="K1538" s="31">
        <f>'تقرير المصروفات حسب الشهر'!Q1028</f>
        <v>500</v>
      </c>
      <c r="L1538" s="292">
        <f>IFERROR(VLOOKUP(B1538,'تقرير المصروفات حسب الشهر'!$C$1143:$AD$1254,15,FALSE),0)</f>
        <v>0</v>
      </c>
      <c r="M1538" s="292">
        <f>IFERROR(VLOOKUP(B1538,'تقرير المصروفات حسب الشهر'!$C$1270:$AD$1381,15,FALSE),0)</f>
        <v>650</v>
      </c>
      <c r="N1538" s="31" t="e">
        <f>#REF!</f>
        <v>#REF!</v>
      </c>
      <c r="O1538" s="37" t="e">
        <f t="shared" si="39"/>
        <v>#REF!</v>
      </c>
    </row>
    <row r="1539" spans="2:15" ht="17.399999999999999">
      <c r="B1539" s="42" t="s">
        <v>49</v>
      </c>
      <c r="C1539" s="39">
        <f>'تقرير المصروفات حسب الشهر'!Q22</f>
        <v>0</v>
      </c>
      <c r="D1539" s="31" t="e">
        <f>#REF!</f>
        <v>#REF!</v>
      </c>
      <c r="E1539" s="31" t="e">
        <f>#REF!</f>
        <v>#REF!</v>
      </c>
      <c r="F1539" s="31" t="e">
        <f>#REF!</f>
        <v>#REF!</v>
      </c>
      <c r="G1539" s="31" t="e">
        <f>#REF!</f>
        <v>#REF!</v>
      </c>
      <c r="H1539" s="31" t="e">
        <f>#REF!</f>
        <v>#REF!</v>
      </c>
      <c r="I1539" s="31">
        <f>'تقرير المصروفات حسب الشهر'!Q775</f>
        <v>0</v>
      </c>
      <c r="J1539" s="31">
        <f>'تقرير المصروفات حسب الشهر'!Q902</f>
        <v>0</v>
      </c>
      <c r="K1539" s="31">
        <f>'تقرير المصروفات حسب الشهر'!Q1029</f>
        <v>0</v>
      </c>
      <c r="L1539" s="292">
        <f>IFERROR(VLOOKUP(B1539,'تقرير المصروفات حسب الشهر'!$C$1143:$AD$1254,15,FALSE),0)</f>
        <v>0</v>
      </c>
      <c r="M1539" s="292">
        <f>IFERROR(VLOOKUP(B1539,'تقرير المصروفات حسب الشهر'!$C$1270:$AD$1381,15,FALSE),0)</f>
        <v>0</v>
      </c>
      <c r="N1539" s="31" t="e">
        <f>#REF!</f>
        <v>#REF!</v>
      </c>
      <c r="O1539" s="37" t="e">
        <f t="shared" si="39"/>
        <v>#REF!</v>
      </c>
    </row>
    <row r="1540" spans="2:15" ht="17.399999999999999">
      <c r="B1540" s="42" t="s">
        <v>158</v>
      </c>
      <c r="C1540" s="39">
        <f>'تقرير المصروفات حسب الشهر'!Q23</f>
        <v>0</v>
      </c>
      <c r="D1540" s="31" t="e">
        <f>#REF!</f>
        <v>#REF!</v>
      </c>
      <c r="E1540" s="31" t="e">
        <f>#REF!</f>
        <v>#REF!</v>
      </c>
      <c r="F1540" s="31" t="e">
        <f>#REF!</f>
        <v>#REF!</v>
      </c>
      <c r="G1540" s="31" t="e">
        <f>#REF!</f>
        <v>#REF!</v>
      </c>
      <c r="H1540" s="31" t="e">
        <f>#REF!</f>
        <v>#REF!</v>
      </c>
      <c r="I1540" s="31">
        <f>'تقرير المصروفات حسب الشهر'!Q776</f>
        <v>0</v>
      </c>
      <c r="J1540" s="31">
        <f>'تقرير المصروفات حسب الشهر'!Q903</f>
        <v>0</v>
      </c>
      <c r="K1540" s="31">
        <f>'تقرير المصروفات حسب الشهر'!Q1030</f>
        <v>1150</v>
      </c>
      <c r="L1540" s="292">
        <f>IFERROR(VLOOKUP(B1540,'تقرير المصروفات حسب الشهر'!$C$1143:$AD$1254,15,FALSE),0)</f>
        <v>0</v>
      </c>
      <c r="M1540" s="292">
        <f>IFERROR(VLOOKUP(B1540,'تقرير المصروفات حسب الشهر'!$C$1270:$AD$1381,15,FALSE),0)</f>
        <v>0</v>
      </c>
      <c r="N1540" s="31" t="e">
        <f>#REF!</f>
        <v>#REF!</v>
      </c>
      <c r="O1540" s="37" t="e">
        <f t="shared" si="39"/>
        <v>#REF!</v>
      </c>
    </row>
    <row r="1541" spans="2:15" ht="17.399999999999999">
      <c r="B1541" s="42" t="s">
        <v>50</v>
      </c>
      <c r="C1541" s="39">
        <f>'تقرير المصروفات حسب الشهر'!Q24</f>
        <v>750</v>
      </c>
      <c r="D1541" s="31" t="e">
        <f>#REF!</f>
        <v>#REF!</v>
      </c>
      <c r="E1541" s="31" t="e">
        <f>#REF!</f>
        <v>#REF!</v>
      </c>
      <c r="F1541" s="31" t="e">
        <f>#REF!</f>
        <v>#REF!</v>
      </c>
      <c r="G1541" s="31" t="e">
        <f>#REF!</f>
        <v>#REF!</v>
      </c>
      <c r="H1541" s="31" t="e">
        <f>#REF!</f>
        <v>#REF!</v>
      </c>
      <c r="I1541" s="31">
        <f>'تقرير المصروفات حسب الشهر'!Q777</f>
        <v>0</v>
      </c>
      <c r="J1541" s="31">
        <f>'تقرير المصروفات حسب الشهر'!Q904</f>
        <v>0</v>
      </c>
      <c r="K1541" s="31">
        <f>'تقرير المصروفات حسب الشهر'!Q1031</f>
        <v>0</v>
      </c>
      <c r="L1541" s="292">
        <f>IFERROR(VLOOKUP(B1541,'تقرير المصروفات حسب الشهر'!$C$1143:$AD$1254,15,FALSE),0)</f>
        <v>0</v>
      </c>
      <c r="M1541" s="292">
        <f>IFERROR(VLOOKUP(B1541,'تقرير المصروفات حسب الشهر'!$C$1270:$AD$1381,15,FALSE),0)</f>
        <v>0</v>
      </c>
      <c r="N1541" s="31" t="e">
        <f>#REF!</f>
        <v>#REF!</v>
      </c>
      <c r="O1541" s="37" t="e">
        <f t="shared" si="39"/>
        <v>#REF!</v>
      </c>
    </row>
    <row r="1542" spans="2:15" ht="17.399999999999999">
      <c r="B1542" s="42" t="s">
        <v>51</v>
      </c>
      <c r="C1542" s="39">
        <f>'تقرير المصروفات حسب الشهر'!Q25</f>
        <v>0</v>
      </c>
      <c r="D1542" s="31" t="e">
        <f>#REF!</f>
        <v>#REF!</v>
      </c>
      <c r="E1542" s="31" t="e">
        <f>#REF!</f>
        <v>#REF!</v>
      </c>
      <c r="F1542" s="31" t="e">
        <f>#REF!</f>
        <v>#REF!</v>
      </c>
      <c r="G1542" s="31" t="e">
        <f>#REF!</f>
        <v>#REF!</v>
      </c>
      <c r="H1542" s="31" t="e">
        <f>#REF!</f>
        <v>#REF!</v>
      </c>
      <c r="I1542" s="31">
        <f>'تقرير المصروفات حسب الشهر'!Q778</f>
        <v>0</v>
      </c>
      <c r="J1542" s="31">
        <f>'تقرير المصروفات حسب الشهر'!Q905</f>
        <v>6750</v>
      </c>
      <c r="K1542" s="31">
        <f>'تقرير المصروفات حسب الشهر'!Q1032</f>
        <v>0</v>
      </c>
      <c r="L1542" s="292">
        <f>IFERROR(VLOOKUP(B1542,'تقرير المصروفات حسب الشهر'!$C$1143:$AD$1254,15,FALSE),0)</f>
        <v>4500</v>
      </c>
      <c r="M1542" s="292">
        <f>IFERROR(VLOOKUP(B1542,'تقرير المصروفات حسب الشهر'!$C$1270:$AD$1381,15,FALSE),0)</f>
        <v>0</v>
      </c>
      <c r="N1542" s="31" t="e">
        <f>#REF!</f>
        <v>#REF!</v>
      </c>
      <c r="O1542" s="37" t="e">
        <f t="shared" si="39"/>
        <v>#REF!</v>
      </c>
    </row>
    <row r="1543" spans="2:15" ht="17.399999999999999">
      <c r="B1543" s="42" t="s">
        <v>52</v>
      </c>
      <c r="C1543" s="39">
        <f>'تقرير المصروفات حسب الشهر'!Q26</f>
        <v>0</v>
      </c>
      <c r="D1543" s="31" t="e">
        <f>#REF!</f>
        <v>#REF!</v>
      </c>
      <c r="E1543" s="31" t="e">
        <f>#REF!</f>
        <v>#REF!</v>
      </c>
      <c r="F1543" s="31" t="e">
        <f>#REF!</f>
        <v>#REF!</v>
      </c>
      <c r="G1543" s="31" t="e">
        <f>#REF!</f>
        <v>#REF!</v>
      </c>
      <c r="H1543" s="31" t="e">
        <f>#REF!</f>
        <v>#REF!</v>
      </c>
      <c r="I1543" s="31">
        <f>'تقرير المصروفات حسب الشهر'!Q779</f>
        <v>0</v>
      </c>
      <c r="J1543" s="31">
        <f>'تقرير المصروفات حسب الشهر'!Q906</f>
        <v>0</v>
      </c>
      <c r="K1543" s="31">
        <f>'تقرير المصروفات حسب الشهر'!Q1033</f>
        <v>0</v>
      </c>
      <c r="L1543" s="292">
        <f>IFERROR(VLOOKUP(B1543,'تقرير المصروفات حسب الشهر'!$C$1143:$AD$1254,15,FALSE),0)</f>
        <v>0</v>
      </c>
      <c r="M1543" s="292">
        <f>IFERROR(VLOOKUP(B1543,'تقرير المصروفات حسب الشهر'!$C$1270:$AD$1381,15,FALSE),0)</f>
        <v>0</v>
      </c>
      <c r="N1543" s="31" t="e">
        <f>#REF!</f>
        <v>#REF!</v>
      </c>
      <c r="O1543" s="37" t="e">
        <f t="shared" si="39"/>
        <v>#REF!</v>
      </c>
    </row>
    <row r="1544" spans="2:15" ht="17.399999999999999">
      <c r="B1544" s="42" t="s">
        <v>174</v>
      </c>
      <c r="C1544" s="39">
        <f>'تقرير المصروفات حسب الشهر'!Q27</f>
        <v>4422.5</v>
      </c>
      <c r="D1544" s="31" t="e">
        <f>#REF!</f>
        <v>#REF!</v>
      </c>
      <c r="E1544" s="31" t="e">
        <f>#REF!</f>
        <v>#REF!</v>
      </c>
      <c r="F1544" s="31" t="e">
        <f>#REF!</f>
        <v>#REF!</v>
      </c>
      <c r="G1544" s="31" t="e">
        <f>#REF!</f>
        <v>#REF!</v>
      </c>
      <c r="H1544" s="31" t="e">
        <f>#REF!</f>
        <v>#REF!</v>
      </c>
      <c r="I1544" s="31">
        <f>'تقرير المصروفات حسب الشهر'!Q780</f>
        <v>2478</v>
      </c>
      <c r="J1544" s="31">
        <f>'تقرير المصروفات حسب الشهر'!Q907</f>
        <v>2072</v>
      </c>
      <c r="K1544" s="31">
        <f>'تقرير المصروفات حسب الشهر'!Q1034</f>
        <v>2193</v>
      </c>
      <c r="L1544" s="292">
        <f>IFERROR(VLOOKUP(B1544,'تقرير المصروفات حسب الشهر'!$C$1143:$AD$1254,15,FALSE),0)</f>
        <v>1382</v>
      </c>
      <c r="M1544" s="292">
        <f>IFERROR(VLOOKUP(B1544,'تقرير المصروفات حسب الشهر'!$C$1270:$AD$1381,15,FALSE),0)</f>
        <v>2906</v>
      </c>
      <c r="N1544" s="31" t="e">
        <f>#REF!</f>
        <v>#REF!</v>
      </c>
      <c r="O1544" s="37" t="e">
        <f t="shared" si="39"/>
        <v>#REF!</v>
      </c>
    </row>
    <row r="1545" spans="2:15" ht="17.399999999999999">
      <c r="B1545" s="42" t="s">
        <v>53</v>
      </c>
      <c r="C1545" s="39">
        <f>'تقرير المصروفات حسب الشهر'!Q28</f>
        <v>351.25</v>
      </c>
      <c r="D1545" s="31" t="e">
        <f>#REF!</f>
        <v>#REF!</v>
      </c>
      <c r="E1545" s="31" t="e">
        <f>#REF!</f>
        <v>#REF!</v>
      </c>
      <c r="F1545" s="31" t="e">
        <f>#REF!</f>
        <v>#REF!</v>
      </c>
      <c r="G1545" s="31" t="e">
        <f>#REF!</f>
        <v>#REF!</v>
      </c>
      <c r="H1545" s="31" t="e">
        <f>#REF!</f>
        <v>#REF!</v>
      </c>
      <c r="I1545" s="31">
        <f>'تقرير المصروفات حسب الشهر'!Q781</f>
        <v>0</v>
      </c>
      <c r="J1545" s="31">
        <f>'تقرير المصروفات حسب الشهر'!Q908</f>
        <v>0</v>
      </c>
      <c r="K1545" s="31">
        <f>'تقرير المصروفات حسب الشهر'!Q1035</f>
        <v>0</v>
      </c>
      <c r="L1545" s="292">
        <f>IFERROR(VLOOKUP(B1545,'تقرير المصروفات حسب الشهر'!$C$1143:$AD$1254,15,FALSE),0)</f>
        <v>0</v>
      </c>
      <c r="M1545" s="292">
        <f>IFERROR(VLOOKUP(B1545,'تقرير المصروفات حسب الشهر'!$C$1270:$AD$1381,15,FALSE),0)</f>
        <v>0</v>
      </c>
      <c r="N1545" s="31" t="e">
        <f>#REF!</f>
        <v>#REF!</v>
      </c>
      <c r="O1545" s="37" t="e">
        <f t="shared" si="39"/>
        <v>#REF!</v>
      </c>
    </row>
    <row r="1546" spans="2:15" ht="17.399999999999999">
      <c r="B1546" s="42" t="s">
        <v>191</v>
      </c>
      <c r="C1546" s="39">
        <f>'تقرير المصروفات حسب الشهر'!Q29</f>
        <v>0</v>
      </c>
      <c r="D1546" s="31" t="e">
        <f>#REF!</f>
        <v>#REF!</v>
      </c>
      <c r="E1546" s="31" t="e">
        <f>#REF!</f>
        <v>#REF!</v>
      </c>
      <c r="F1546" s="31" t="e">
        <f>#REF!</f>
        <v>#REF!</v>
      </c>
      <c r="G1546" s="31" t="e">
        <f>#REF!</f>
        <v>#REF!</v>
      </c>
      <c r="H1546" s="31" t="e">
        <f>#REF!</f>
        <v>#REF!</v>
      </c>
      <c r="I1546" s="31">
        <f>'تقرير المصروفات حسب الشهر'!Q782</f>
        <v>0</v>
      </c>
      <c r="J1546" s="31">
        <f>'تقرير المصروفات حسب الشهر'!Q909</f>
        <v>0</v>
      </c>
      <c r="K1546" s="31">
        <f>'تقرير المصروفات حسب الشهر'!Q1036</f>
        <v>0</v>
      </c>
      <c r="L1546" s="292">
        <f>IFERROR(VLOOKUP(B1546,'تقرير المصروفات حسب الشهر'!$C$1143:$AD$1254,15,FALSE),0)</f>
        <v>0</v>
      </c>
      <c r="M1546" s="292">
        <f>IFERROR(VLOOKUP(B1546,'تقرير المصروفات حسب الشهر'!$C$1270:$AD$1381,15,FALSE),0)</f>
        <v>0</v>
      </c>
      <c r="N1546" s="31" t="e">
        <f>#REF!</f>
        <v>#REF!</v>
      </c>
      <c r="O1546" s="37" t="e">
        <f t="shared" si="39"/>
        <v>#REF!</v>
      </c>
    </row>
    <row r="1547" spans="2:15" ht="17.399999999999999">
      <c r="B1547" s="42" t="s">
        <v>29</v>
      </c>
      <c r="C1547" s="39">
        <f>'تقرير المصروفات حسب الشهر'!Q30</f>
        <v>0</v>
      </c>
      <c r="D1547" s="31" t="e">
        <f>#REF!</f>
        <v>#REF!</v>
      </c>
      <c r="E1547" s="31" t="e">
        <f>#REF!</f>
        <v>#REF!</v>
      </c>
      <c r="F1547" s="31" t="e">
        <f>#REF!</f>
        <v>#REF!</v>
      </c>
      <c r="G1547" s="31" t="e">
        <f>#REF!</f>
        <v>#REF!</v>
      </c>
      <c r="H1547" s="31" t="e">
        <f>#REF!</f>
        <v>#REF!</v>
      </c>
      <c r="I1547" s="31">
        <f>'تقرير المصروفات حسب الشهر'!Q783</f>
        <v>0</v>
      </c>
      <c r="J1547" s="31">
        <f>'تقرير المصروفات حسب الشهر'!Q910</f>
        <v>0</v>
      </c>
      <c r="K1547" s="31">
        <f>'تقرير المصروفات حسب الشهر'!Q1037</f>
        <v>0</v>
      </c>
      <c r="L1547" s="292">
        <f>IFERROR(VLOOKUP(B1547,'تقرير المصروفات حسب الشهر'!$C$1143:$AD$1254,15,FALSE),0)</f>
        <v>0</v>
      </c>
      <c r="M1547" s="292">
        <f>IFERROR(VLOOKUP(B1547,'تقرير المصروفات حسب الشهر'!$C$1270:$AD$1381,15,FALSE),0)</f>
        <v>0</v>
      </c>
      <c r="N1547" s="31" t="e">
        <f>#REF!</f>
        <v>#REF!</v>
      </c>
      <c r="O1547" s="37" t="e">
        <f t="shared" si="39"/>
        <v>#REF!</v>
      </c>
    </row>
    <row r="1548" spans="2:15" ht="17.399999999999999">
      <c r="B1548" s="42" t="s">
        <v>54</v>
      </c>
      <c r="C1548" s="39">
        <f>'تقرير المصروفات حسب الشهر'!Q31</f>
        <v>0</v>
      </c>
      <c r="D1548" s="31" t="e">
        <f>#REF!</f>
        <v>#REF!</v>
      </c>
      <c r="E1548" s="31" t="e">
        <f>#REF!</f>
        <v>#REF!</v>
      </c>
      <c r="F1548" s="31" t="e">
        <f>#REF!</f>
        <v>#REF!</v>
      </c>
      <c r="G1548" s="31" t="e">
        <f>#REF!</f>
        <v>#REF!</v>
      </c>
      <c r="H1548" s="31" t="e">
        <f>#REF!</f>
        <v>#REF!</v>
      </c>
      <c r="I1548" s="31">
        <f>'تقرير المصروفات حسب الشهر'!Q784</f>
        <v>0</v>
      </c>
      <c r="J1548" s="31">
        <f>'تقرير المصروفات حسب الشهر'!Q911</f>
        <v>0</v>
      </c>
      <c r="K1548" s="31">
        <f>'تقرير المصروفات حسب الشهر'!Q1038</f>
        <v>0</v>
      </c>
      <c r="L1548" s="292">
        <f>IFERROR(VLOOKUP(B1548,'تقرير المصروفات حسب الشهر'!$C$1143:$AD$1254,15,FALSE),0)</f>
        <v>0</v>
      </c>
      <c r="M1548" s="292">
        <f>IFERROR(VLOOKUP(B1548,'تقرير المصروفات حسب الشهر'!$C$1270:$AD$1381,15,FALSE),0)</f>
        <v>0</v>
      </c>
      <c r="N1548" s="31" t="e">
        <f>#REF!</f>
        <v>#REF!</v>
      </c>
      <c r="O1548" s="37" t="e">
        <f t="shared" si="39"/>
        <v>#REF!</v>
      </c>
    </row>
    <row r="1549" spans="2:15" ht="17.399999999999999">
      <c r="B1549" s="42" t="s">
        <v>31</v>
      </c>
      <c r="C1549" s="39">
        <f>'تقرير المصروفات حسب الشهر'!Q32</f>
        <v>75</v>
      </c>
      <c r="D1549" s="31" t="e">
        <f>#REF!</f>
        <v>#REF!</v>
      </c>
      <c r="E1549" s="31" t="e">
        <f>#REF!</f>
        <v>#REF!</v>
      </c>
      <c r="F1549" s="31" t="e">
        <f>#REF!</f>
        <v>#REF!</v>
      </c>
      <c r="G1549" s="31" t="e">
        <f>#REF!</f>
        <v>#REF!</v>
      </c>
      <c r="H1549" s="31" t="e">
        <f>#REF!</f>
        <v>#REF!</v>
      </c>
      <c r="I1549" s="31">
        <f>'تقرير المصروفات حسب الشهر'!Q785</f>
        <v>311</v>
      </c>
      <c r="J1549" s="31">
        <f>'تقرير المصروفات حسب الشهر'!Q912</f>
        <v>115</v>
      </c>
      <c r="K1549" s="31">
        <f>'تقرير المصروفات حسب الشهر'!Q1039</f>
        <v>827</v>
      </c>
      <c r="L1549" s="292">
        <f>IFERROR(VLOOKUP(B1549,'تقرير المصروفات حسب الشهر'!$C$1143:$AD$1254,15,FALSE),0)</f>
        <v>0</v>
      </c>
      <c r="M1549" s="292">
        <f>IFERROR(VLOOKUP(B1549,'تقرير المصروفات حسب الشهر'!$C$1270:$AD$1381,15,FALSE),0)</f>
        <v>750</v>
      </c>
      <c r="N1549" s="31" t="e">
        <f>#REF!</f>
        <v>#REF!</v>
      </c>
      <c r="O1549" s="37" t="e">
        <f t="shared" si="39"/>
        <v>#REF!</v>
      </c>
    </row>
    <row r="1550" spans="2:15" ht="17.399999999999999">
      <c r="B1550" s="42" t="s">
        <v>55</v>
      </c>
      <c r="C1550" s="39">
        <f>'تقرير المصروفات حسب الشهر'!Q33</f>
        <v>0</v>
      </c>
      <c r="D1550" s="31" t="e">
        <f>#REF!</f>
        <v>#REF!</v>
      </c>
      <c r="E1550" s="31" t="e">
        <f>#REF!</f>
        <v>#REF!</v>
      </c>
      <c r="F1550" s="31" t="e">
        <f>#REF!</f>
        <v>#REF!</v>
      </c>
      <c r="G1550" s="31" t="e">
        <f>#REF!</f>
        <v>#REF!</v>
      </c>
      <c r="H1550" s="31" t="e">
        <f>#REF!</f>
        <v>#REF!</v>
      </c>
      <c r="I1550" s="31">
        <f>'تقرير المصروفات حسب الشهر'!Q786</f>
        <v>0</v>
      </c>
      <c r="J1550" s="31">
        <f>'تقرير المصروفات حسب الشهر'!Q913</f>
        <v>0</v>
      </c>
      <c r="K1550" s="31">
        <f>'تقرير المصروفات حسب الشهر'!Q1040</f>
        <v>0</v>
      </c>
      <c r="L1550" s="292">
        <f>IFERROR(VLOOKUP(B1550,'تقرير المصروفات حسب الشهر'!$C$1143:$AD$1254,15,FALSE),0)</f>
        <v>0</v>
      </c>
      <c r="M1550" s="292">
        <f>IFERROR(VLOOKUP(B1550,'تقرير المصروفات حسب الشهر'!$C$1270:$AD$1381,15,FALSE),0)</f>
        <v>0</v>
      </c>
      <c r="N1550" s="31" t="e">
        <f>#REF!</f>
        <v>#REF!</v>
      </c>
      <c r="O1550" s="37" t="e">
        <f t="shared" si="39"/>
        <v>#REF!</v>
      </c>
    </row>
    <row r="1551" spans="2:15" ht="17.399999999999999">
      <c r="B1551" s="42" t="s">
        <v>56</v>
      </c>
      <c r="C1551" s="39">
        <f>'تقرير المصروفات حسب الشهر'!Q34</f>
        <v>209.87</v>
      </c>
      <c r="D1551" s="31" t="e">
        <f>#REF!</f>
        <v>#REF!</v>
      </c>
      <c r="E1551" s="31" t="e">
        <f>#REF!</f>
        <v>#REF!</v>
      </c>
      <c r="F1551" s="31" t="e">
        <f>#REF!</f>
        <v>#REF!</v>
      </c>
      <c r="G1551" s="31" t="e">
        <f>#REF!</f>
        <v>#REF!</v>
      </c>
      <c r="H1551" s="31" t="e">
        <f>#REF!</f>
        <v>#REF!</v>
      </c>
      <c r="I1551" s="31">
        <f>'تقرير المصروفات حسب الشهر'!Q787</f>
        <v>209.87</v>
      </c>
      <c r="J1551" s="31">
        <f>'تقرير المصروفات حسب الشهر'!Q914</f>
        <v>209.87</v>
      </c>
      <c r="K1551" s="31">
        <f>'تقرير المصروفات حسب الشهر'!Q1041</f>
        <v>209.87</v>
      </c>
      <c r="L1551" s="292">
        <f>IFERROR(VLOOKUP(B1551,'تقرير المصروفات حسب الشهر'!$C$1143:$AD$1254,15,FALSE),0)</f>
        <v>209.87</v>
      </c>
      <c r="M1551" s="292">
        <f>IFERROR(VLOOKUP(B1551,'تقرير المصروفات حسب الشهر'!$C$1270:$AD$1381,15,FALSE),0)</f>
        <v>209.87</v>
      </c>
      <c r="N1551" s="31" t="e">
        <f>#REF!</f>
        <v>#REF!</v>
      </c>
      <c r="O1551" s="37" t="e">
        <f t="shared" si="39"/>
        <v>#REF!</v>
      </c>
    </row>
    <row r="1552" spans="2:15" ht="17.399999999999999">
      <c r="B1552" s="42" t="s">
        <v>57</v>
      </c>
      <c r="C1552" s="39">
        <f>'تقرير المصروفات حسب الشهر'!Q35</f>
        <v>0</v>
      </c>
      <c r="D1552" s="31" t="e">
        <f>#REF!</f>
        <v>#REF!</v>
      </c>
      <c r="E1552" s="31" t="e">
        <f>#REF!</f>
        <v>#REF!</v>
      </c>
      <c r="F1552" s="31" t="e">
        <f>#REF!</f>
        <v>#REF!</v>
      </c>
      <c r="G1552" s="31" t="e">
        <f>#REF!</f>
        <v>#REF!</v>
      </c>
      <c r="H1552" s="31" t="e">
        <f>#REF!</f>
        <v>#REF!</v>
      </c>
      <c r="I1552" s="31">
        <f>'تقرير المصروفات حسب الشهر'!Q788</f>
        <v>2600</v>
      </c>
      <c r="J1552" s="31">
        <f>'تقرير المصروفات حسب الشهر'!Q915</f>
        <v>600</v>
      </c>
      <c r="K1552" s="31">
        <f>'تقرير المصروفات حسب الشهر'!Q1042</f>
        <v>0</v>
      </c>
      <c r="L1552" s="292">
        <f>IFERROR(VLOOKUP(B1552,'تقرير المصروفات حسب الشهر'!$C$1143:$AD$1254,15,FALSE),0)</f>
        <v>1200</v>
      </c>
      <c r="M1552" s="292">
        <f>IFERROR(VLOOKUP(B1552,'تقرير المصروفات حسب الشهر'!$C$1270:$AD$1381,15,FALSE),0)</f>
        <v>600</v>
      </c>
      <c r="N1552" s="31" t="e">
        <f>#REF!</f>
        <v>#REF!</v>
      </c>
      <c r="O1552" s="37" t="e">
        <f t="shared" si="39"/>
        <v>#REF!</v>
      </c>
    </row>
    <row r="1553" spans="2:15" ht="17.399999999999999">
      <c r="B1553" s="42" t="s">
        <v>58</v>
      </c>
      <c r="C1553" s="39">
        <f>'تقرير المصروفات حسب الشهر'!Q36</f>
        <v>0</v>
      </c>
      <c r="D1553" s="31" t="e">
        <f>#REF!</f>
        <v>#REF!</v>
      </c>
      <c r="E1553" s="31" t="e">
        <f>#REF!</f>
        <v>#REF!</v>
      </c>
      <c r="F1553" s="31" t="e">
        <f>#REF!</f>
        <v>#REF!</v>
      </c>
      <c r="G1553" s="31" t="e">
        <f>#REF!</f>
        <v>#REF!</v>
      </c>
      <c r="H1553" s="31" t="e">
        <f>#REF!</f>
        <v>#REF!</v>
      </c>
      <c r="I1553" s="31">
        <f>'تقرير المصروفات حسب الشهر'!Q789</f>
        <v>0</v>
      </c>
      <c r="J1553" s="31">
        <f>'تقرير المصروفات حسب الشهر'!Q916</f>
        <v>0</v>
      </c>
      <c r="K1553" s="31">
        <f>'تقرير المصروفات حسب الشهر'!Q1043</f>
        <v>210</v>
      </c>
      <c r="L1553" s="292">
        <f>IFERROR(VLOOKUP(B1553,'تقرير المصروفات حسب الشهر'!$C$1143:$AD$1254,15,FALSE),0)</f>
        <v>0</v>
      </c>
      <c r="M1553" s="292">
        <f>IFERROR(VLOOKUP(B1553,'تقرير المصروفات حسب الشهر'!$C$1270:$AD$1381,15,FALSE),0)</f>
        <v>10160</v>
      </c>
      <c r="N1553" s="31" t="e">
        <f>#REF!</f>
        <v>#REF!</v>
      </c>
      <c r="O1553" s="37" t="e">
        <f t="shared" si="39"/>
        <v>#REF!</v>
      </c>
    </row>
    <row r="1554" spans="2:15" ht="17.399999999999999">
      <c r="B1554" s="42" t="s">
        <v>59</v>
      </c>
      <c r="C1554" s="39">
        <f>'تقرير المصروفات حسب الشهر'!Q37</f>
        <v>0</v>
      </c>
      <c r="D1554" s="31" t="e">
        <f>#REF!</f>
        <v>#REF!</v>
      </c>
      <c r="E1554" s="31" t="e">
        <f>#REF!</f>
        <v>#REF!</v>
      </c>
      <c r="F1554" s="31" t="e">
        <f>#REF!</f>
        <v>#REF!</v>
      </c>
      <c r="G1554" s="31" t="e">
        <f>#REF!</f>
        <v>#REF!</v>
      </c>
      <c r="H1554" s="31" t="e">
        <f>#REF!</f>
        <v>#REF!</v>
      </c>
      <c r="I1554" s="31">
        <f>'تقرير المصروفات حسب الشهر'!Q790</f>
        <v>0</v>
      </c>
      <c r="J1554" s="31">
        <f>'تقرير المصروفات حسب الشهر'!Q917</f>
        <v>0</v>
      </c>
      <c r="K1554" s="31">
        <f>'تقرير المصروفات حسب الشهر'!Q1044</f>
        <v>0</v>
      </c>
      <c r="L1554" s="292">
        <f>IFERROR(VLOOKUP(B1554,'تقرير المصروفات حسب الشهر'!$C$1143:$AD$1254,15,FALSE),0)</f>
        <v>0</v>
      </c>
      <c r="M1554" s="292">
        <f>IFERROR(VLOOKUP(B1554,'تقرير المصروفات حسب الشهر'!$C$1270:$AD$1381,15,FALSE),0)</f>
        <v>0</v>
      </c>
      <c r="N1554" s="31" t="e">
        <f>#REF!</f>
        <v>#REF!</v>
      </c>
      <c r="O1554" s="37" t="e">
        <f t="shared" si="39"/>
        <v>#REF!</v>
      </c>
    </row>
    <row r="1555" spans="2:15" ht="17.399999999999999">
      <c r="B1555" s="42" t="s">
        <v>60</v>
      </c>
      <c r="C1555" s="39">
        <f>'تقرير المصروفات حسب الشهر'!Q38</f>
        <v>0</v>
      </c>
      <c r="D1555" s="31" t="e">
        <f>#REF!</f>
        <v>#REF!</v>
      </c>
      <c r="E1555" s="31" t="e">
        <f>#REF!</f>
        <v>#REF!</v>
      </c>
      <c r="F1555" s="31" t="e">
        <f>#REF!</f>
        <v>#REF!</v>
      </c>
      <c r="G1555" s="31" t="e">
        <f>#REF!</f>
        <v>#REF!</v>
      </c>
      <c r="H1555" s="31" t="e">
        <f>#REF!</f>
        <v>#REF!</v>
      </c>
      <c r="I1555" s="31">
        <f>'تقرير المصروفات حسب الشهر'!Q791</f>
        <v>0</v>
      </c>
      <c r="J1555" s="31">
        <f>'تقرير المصروفات حسب الشهر'!Q918</f>
        <v>0</v>
      </c>
      <c r="K1555" s="31">
        <f>'تقرير المصروفات حسب الشهر'!Q1045</f>
        <v>0</v>
      </c>
      <c r="L1555" s="292">
        <f>IFERROR(VLOOKUP(B1555,'تقرير المصروفات حسب الشهر'!$C$1143:$AD$1254,15,FALSE),0)</f>
        <v>0</v>
      </c>
      <c r="M1555" s="292">
        <f>IFERROR(VLOOKUP(B1555,'تقرير المصروفات حسب الشهر'!$C$1270:$AD$1381,15,FALSE),0)</f>
        <v>0</v>
      </c>
      <c r="N1555" s="31" t="e">
        <f>#REF!</f>
        <v>#REF!</v>
      </c>
      <c r="O1555" s="37" t="e">
        <f t="shared" si="39"/>
        <v>#REF!</v>
      </c>
    </row>
    <row r="1556" spans="2:15" ht="17.399999999999999">
      <c r="B1556" s="42" t="s">
        <v>61</v>
      </c>
      <c r="C1556" s="39">
        <f>'تقرير المصروفات حسب الشهر'!Q39</f>
        <v>1700</v>
      </c>
      <c r="D1556" s="31" t="e">
        <f>#REF!</f>
        <v>#REF!</v>
      </c>
      <c r="E1556" s="31" t="e">
        <f>#REF!</f>
        <v>#REF!</v>
      </c>
      <c r="F1556" s="31" t="e">
        <f>#REF!</f>
        <v>#REF!</v>
      </c>
      <c r="G1556" s="31" t="e">
        <f>#REF!</f>
        <v>#REF!</v>
      </c>
      <c r="H1556" s="31" t="e">
        <f>#REF!</f>
        <v>#REF!</v>
      </c>
      <c r="I1556" s="31">
        <f>'تقرير المصروفات حسب الشهر'!Q792</f>
        <v>1899.5</v>
      </c>
      <c r="J1556" s="31">
        <f>'تقرير المصروفات حسب الشهر'!Q919</f>
        <v>2080</v>
      </c>
      <c r="K1556" s="31">
        <f>'تقرير المصروفات حسب الشهر'!Q1046</f>
        <v>1500</v>
      </c>
      <c r="L1556" s="292">
        <f>IFERROR(VLOOKUP(B1556,'تقرير المصروفات حسب الشهر'!$C$1143:$AD$1254,15,FALSE),0)</f>
        <v>1500</v>
      </c>
      <c r="M1556" s="292">
        <f>IFERROR(VLOOKUP(B1556,'تقرير المصروفات حسب الشهر'!$C$1270:$AD$1381,15,FALSE),0)</f>
        <v>1700</v>
      </c>
      <c r="N1556" s="31" t="e">
        <f>#REF!</f>
        <v>#REF!</v>
      </c>
      <c r="O1556" s="37" t="e">
        <f t="shared" si="39"/>
        <v>#REF!</v>
      </c>
    </row>
    <row r="1557" spans="2:15" ht="17.399999999999999">
      <c r="B1557" s="42" t="s">
        <v>62</v>
      </c>
      <c r="C1557" s="39">
        <f>'تقرير المصروفات حسب الشهر'!Q40</f>
        <v>0</v>
      </c>
      <c r="D1557" s="31" t="e">
        <f>#REF!</f>
        <v>#REF!</v>
      </c>
      <c r="E1557" s="31" t="e">
        <f>#REF!</f>
        <v>#REF!</v>
      </c>
      <c r="F1557" s="31" t="e">
        <f>#REF!</f>
        <v>#REF!</v>
      </c>
      <c r="G1557" s="31" t="e">
        <f>#REF!</f>
        <v>#REF!</v>
      </c>
      <c r="H1557" s="31" t="e">
        <f>#REF!</f>
        <v>#REF!</v>
      </c>
      <c r="I1557" s="31">
        <f>'تقرير المصروفات حسب الشهر'!Q793</f>
        <v>0</v>
      </c>
      <c r="J1557" s="31">
        <f>'تقرير المصروفات حسب الشهر'!Q920</f>
        <v>900</v>
      </c>
      <c r="K1557" s="31">
        <f>'تقرير المصروفات حسب الشهر'!Q1047</f>
        <v>345</v>
      </c>
      <c r="L1557" s="292">
        <f>IFERROR(VLOOKUP(B1557,'تقرير المصروفات حسب الشهر'!$C$1143:$AD$1254,15,FALSE),0)</f>
        <v>1100</v>
      </c>
      <c r="M1557" s="292">
        <f>IFERROR(VLOOKUP(B1557,'تقرير المصروفات حسب الشهر'!$C$1270:$AD$1381,15,FALSE),0)</f>
        <v>0</v>
      </c>
      <c r="N1557" s="31" t="e">
        <f>#REF!</f>
        <v>#REF!</v>
      </c>
      <c r="O1557" s="37" t="e">
        <f t="shared" si="39"/>
        <v>#REF!</v>
      </c>
    </row>
    <row r="1558" spans="2:15" ht="17.399999999999999">
      <c r="B1558" s="42" t="s">
        <v>63</v>
      </c>
      <c r="C1558" s="39">
        <f>'تقرير المصروفات حسب الشهر'!Q41</f>
        <v>0</v>
      </c>
      <c r="D1558" s="31" t="e">
        <f>#REF!</f>
        <v>#REF!</v>
      </c>
      <c r="E1558" s="31" t="e">
        <f>#REF!</f>
        <v>#REF!</v>
      </c>
      <c r="F1558" s="31" t="e">
        <f>#REF!</f>
        <v>#REF!</v>
      </c>
      <c r="G1558" s="31" t="e">
        <f>#REF!</f>
        <v>#REF!</v>
      </c>
      <c r="H1558" s="31" t="e">
        <f>#REF!</f>
        <v>#REF!</v>
      </c>
      <c r="I1558" s="31">
        <f>'تقرير المصروفات حسب الشهر'!Q794</f>
        <v>0</v>
      </c>
      <c r="J1558" s="31">
        <f>'تقرير المصروفات حسب الشهر'!Q921</f>
        <v>0</v>
      </c>
      <c r="K1558" s="31">
        <f>'تقرير المصروفات حسب الشهر'!Q1048</f>
        <v>0</v>
      </c>
      <c r="L1558" s="292">
        <f>IFERROR(VLOOKUP(B1558,'تقرير المصروفات حسب الشهر'!$C$1143:$AD$1254,15,FALSE),0)</f>
        <v>0</v>
      </c>
      <c r="M1558" s="292">
        <f>IFERROR(VLOOKUP(B1558,'تقرير المصروفات حسب الشهر'!$C$1270:$AD$1381,15,FALSE),0)</f>
        <v>0</v>
      </c>
      <c r="N1558" s="31" t="e">
        <f>#REF!</f>
        <v>#REF!</v>
      </c>
      <c r="O1558" s="37" t="e">
        <f t="shared" si="39"/>
        <v>#REF!</v>
      </c>
    </row>
    <row r="1559" spans="2:15" ht="17.399999999999999">
      <c r="B1559" s="42" t="s">
        <v>64</v>
      </c>
      <c r="C1559" s="39">
        <f>'تقرير المصروفات حسب الشهر'!Q42</f>
        <v>11000</v>
      </c>
      <c r="D1559" s="31" t="e">
        <f>#REF!</f>
        <v>#REF!</v>
      </c>
      <c r="E1559" s="31" t="e">
        <f>#REF!</f>
        <v>#REF!</v>
      </c>
      <c r="F1559" s="31" t="e">
        <f>#REF!</f>
        <v>#REF!</v>
      </c>
      <c r="G1559" s="31" t="e">
        <f>#REF!</f>
        <v>#REF!</v>
      </c>
      <c r="H1559" s="31" t="e">
        <f>#REF!</f>
        <v>#REF!</v>
      </c>
      <c r="I1559" s="31">
        <f>'تقرير المصروفات حسب الشهر'!Q795</f>
        <v>18000</v>
      </c>
      <c r="J1559" s="31">
        <f>'تقرير المصروفات حسب الشهر'!Q922</f>
        <v>18100</v>
      </c>
      <c r="K1559" s="31">
        <f>'تقرير المصروفات حسب الشهر'!Q1049</f>
        <v>20200</v>
      </c>
      <c r="L1559" s="292">
        <f>IFERROR(VLOOKUP(B1559,'تقرير المصروفات حسب الشهر'!$C$1143:$AD$1254,15,FALSE),0)</f>
        <v>10000</v>
      </c>
      <c r="M1559" s="292">
        <f>IFERROR(VLOOKUP(B1559,'تقرير المصروفات حسب الشهر'!$C$1270:$AD$1381,15,FALSE),0)</f>
        <v>0</v>
      </c>
      <c r="N1559" s="31" t="e">
        <f>#REF!</f>
        <v>#REF!</v>
      </c>
      <c r="O1559" s="37" t="e">
        <f t="shared" si="39"/>
        <v>#REF!</v>
      </c>
    </row>
    <row r="1560" spans="2:15" ht="17.399999999999999">
      <c r="B1560" s="42" t="s">
        <v>28</v>
      </c>
      <c r="C1560" s="39">
        <f>'تقرير المصروفات حسب الشهر'!Q43</f>
        <v>0</v>
      </c>
      <c r="D1560" s="31" t="e">
        <f>#REF!</f>
        <v>#REF!</v>
      </c>
      <c r="E1560" s="31" t="e">
        <f>#REF!</f>
        <v>#REF!</v>
      </c>
      <c r="F1560" s="31" t="e">
        <f>#REF!</f>
        <v>#REF!</v>
      </c>
      <c r="G1560" s="31" t="e">
        <f>#REF!</f>
        <v>#REF!</v>
      </c>
      <c r="H1560" s="31" t="e">
        <f>#REF!</f>
        <v>#REF!</v>
      </c>
      <c r="I1560" s="31">
        <f>'تقرير المصروفات حسب الشهر'!Q796</f>
        <v>0</v>
      </c>
      <c r="J1560" s="31">
        <f>'تقرير المصروفات حسب الشهر'!Q923</f>
        <v>0</v>
      </c>
      <c r="K1560" s="31">
        <f>'تقرير المصروفات حسب الشهر'!Q1050</f>
        <v>0</v>
      </c>
      <c r="L1560" s="292">
        <f>IFERROR(VLOOKUP(B1560,'تقرير المصروفات حسب الشهر'!$C$1143:$AD$1254,15,FALSE),0)</f>
        <v>0</v>
      </c>
      <c r="M1560" s="292">
        <f>IFERROR(VLOOKUP(B1560,'تقرير المصروفات حسب الشهر'!$C$1270:$AD$1381,15,FALSE),0)</f>
        <v>0</v>
      </c>
      <c r="N1560" s="31" t="e">
        <f>#REF!</f>
        <v>#REF!</v>
      </c>
      <c r="O1560" s="37" t="e">
        <f t="shared" si="39"/>
        <v>#REF!</v>
      </c>
    </row>
    <row r="1561" spans="2:15" ht="17.399999999999999">
      <c r="B1561" s="42" t="s">
        <v>157</v>
      </c>
      <c r="C1561" s="39">
        <f>'تقرير المصروفات حسب الشهر'!Q44</f>
        <v>903.32</v>
      </c>
      <c r="D1561" s="31" t="e">
        <f>#REF!</f>
        <v>#REF!</v>
      </c>
      <c r="E1561" s="31" t="e">
        <f>#REF!</f>
        <v>#REF!</v>
      </c>
      <c r="F1561" s="31" t="e">
        <f>#REF!</f>
        <v>#REF!</v>
      </c>
      <c r="G1561" s="31" t="e">
        <f>#REF!</f>
        <v>#REF!</v>
      </c>
      <c r="H1561" s="31" t="e">
        <f>#REF!</f>
        <v>#REF!</v>
      </c>
      <c r="I1561" s="31">
        <f>'تقرير المصروفات حسب الشهر'!Q797</f>
        <v>820</v>
      </c>
      <c r="J1561" s="31">
        <f>'تقرير المصروفات حسب الشهر'!Q924</f>
        <v>1170.29</v>
      </c>
      <c r="K1561" s="31">
        <f>'تقرير المصروفات حسب الشهر'!Q1051</f>
        <v>1143.57</v>
      </c>
      <c r="L1561" s="292">
        <f>IFERROR(VLOOKUP(B1561,'تقرير المصروفات حسب الشهر'!$C$1143:$AD$1254,15,FALSE),0)</f>
        <v>1686.29</v>
      </c>
      <c r="M1561" s="292">
        <f>IFERROR(VLOOKUP(B1561,'تقرير المصروفات حسب الشهر'!$C$1270:$AD$1381,15,FALSE),0)</f>
        <v>744.31</v>
      </c>
      <c r="N1561" s="31" t="e">
        <f>#REF!</f>
        <v>#REF!</v>
      </c>
      <c r="O1561" s="37" t="e">
        <f t="shared" si="39"/>
        <v>#REF!</v>
      </c>
    </row>
    <row r="1562" spans="2:15" ht="17.399999999999999">
      <c r="B1562" s="42" t="s">
        <v>65</v>
      </c>
      <c r="C1562" s="39">
        <f>'تقرير المصروفات حسب الشهر'!Q45</f>
        <v>0</v>
      </c>
      <c r="D1562" s="31" t="e">
        <f>#REF!</f>
        <v>#REF!</v>
      </c>
      <c r="E1562" s="31" t="e">
        <f>#REF!</f>
        <v>#REF!</v>
      </c>
      <c r="F1562" s="31" t="e">
        <f>#REF!</f>
        <v>#REF!</v>
      </c>
      <c r="G1562" s="31" t="e">
        <f>#REF!</f>
        <v>#REF!</v>
      </c>
      <c r="H1562" s="31" t="e">
        <f>#REF!</f>
        <v>#REF!</v>
      </c>
      <c r="I1562" s="31">
        <f>'تقرير المصروفات حسب الشهر'!Q798</f>
        <v>0</v>
      </c>
      <c r="J1562" s="31">
        <f>'تقرير المصروفات حسب الشهر'!Q925</f>
        <v>0</v>
      </c>
      <c r="K1562" s="31">
        <f>'تقرير المصروفات حسب الشهر'!Q1052</f>
        <v>0</v>
      </c>
      <c r="L1562" s="292">
        <f>IFERROR(VLOOKUP(B1562,'تقرير المصروفات حسب الشهر'!$C$1143:$AD$1254,15,FALSE),0)</f>
        <v>0</v>
      </c>
      <c r="M1562" s="292">
        <f>IFERROR(VLOOKUP(B1562,'تقرير المصروفات حسب الشهر'!$C$1270:$AD$1381,15,FALSE),0)</f>
        <v>0</v>
      </c>
      <c r="N1562" s="31" t="e">
        <f>#REF!</f>
        <v>#REF!</v>
      </c>
      <c r="O1562" s="37" t="e">
        <f t="shared" si="39"/>
        <v>#REF!</v>
      </c>
    </row>
    <row r="1563" spans="2:15" ht="17.399999999999999">
      <c r="B1563" s="42" t="s">
        <v>66</v>
      </c>
      <c r="C1563" s="39">
        <f>'تقرير المصروفات حسب الشهر'!Q46</f>
        <v>0</v>
      </c>
      <c r="D1563" s="31" t="e">
        <f>#REF!</f>
        <v>#REF!</v>
      </c>
      <c r="E1563" s="31" t="e">
        <f>#REF!</f>
        <v>#REF!</v>
      </c>
      <c r="F1563" s="31" t="e">
        <f>#REF!</f>
        <v>#REF!</v>
      </c>
      <c r="G1563" s="31" t="e">
        <f>#REF!</f>
        <v>#REF!</v>
      </c>
      <c r="H1563" s="31" t="e">
        <f>#REF!</f>
        <v>#REF!</v>
      </c>
      <c r="I1563" s="31">
        <f>'تقرير المصروفات حسب الشهر'!Q799</f>
        <v>0</v>
      </c>
      <c r="J1563" s="31">
        <f>'تقرير المصروفات حسب الشهر'!Q926</f>
        <v>0</v>
      </c>
      <c r="K1563" s="31">
        <f>'تقرير المصروفات حسب الشهر'!Q1053</f>
        <v>0</v>
      </c>
      <c r="L1563" s="292">
        <f>IFERROR(VLOOKUP(B1563,'تقرير المصروفات حسب الشهر'!$C$1143:$AD$1254,15,FALSE),0)</f>
        <v>0</v>
      </c>
      <c r="M1563" s="292">
        <f>IFERROR(VLOOKUP(B1563,'تقرير المصروفات حسب الشهر'!$C$1270:$AD$1381,15,FALSE),0)</f>
        <v>0</v>
      </c>
      <c r="N1563" s="31" t="e">
        <f>#REF!</f>
        <v>#REF!</v>
      </c>
      <c r="O1563" s="37" t="e">
        <f t="shared" si="39"/>
        <v>#REF!</v>
      </c>
    </row>
    <row r="1564" spans="2:15" ht="17.399999999999999">
      <c r="B1564" s="42" t="s">
        <v>30</v>
      </c>
      <c r="C1564" s="39">
        <f>'تقرير المصروفات حسب الشهر'!Q47</f>
        <v>0</v>
      </c>
      <c r="D1564" s="31" t="e">
        <f>#REF!</f>
        <v>#REF!</v>
      </c>
      <c r="E1564" s="31" t="e">
        <f>#REF!</f>
        <v>#REF!</v>
      </c>
      <c r="F1564" s="31" t="e">
        <f>#REF!</f>
        <v>#REF!</v>
      </c>
      <c r="G1564" s="31" t="e">
        <f>#REF!</f>
        <v>#REF!</v>
      </c>
      <c r="H1564" s="31" t="e">
        <f>#REF!</f>
        <v>#REF!</v>
      </c>
      <c r="I1564" s="31">
        <f>'تقرير المصروفات حسب الشهر'!Q800</f>
        <v>8999.25</v>
      </c>
      <c r="J1564" s="31">
        <f>'تقرير المصروفات حسب الشهر'!Q927</f>
        <v>0</v>
      </c>
      <c r="K1564" s="31">
        <f>'تقرير المصروفات حسب الشهر'!Q1054</f>
        <v>17555.560000000001</v>
      </c>
      <c r="L1564" s="292">
        <f>IFERROR(VLOOKUP(B1564,'تقرير المصروفات حسب الشهر'!$C$1143:$AD$1254,15,FALSE),0)</f>
        <v>8900.25</v>
      </c>
      <c r="M1564" s="292">
        <f>IFERROR(VLOOKUP(B1564,'تقرير المصروفات حسب الشهر'!$C$1270:$AD$1381,15,FALSE),0)</f>
        <v>14222.26</v>
      </c>
      <c r="N1564" s="31" t="e">
        <f>#REF!</f>
        <v>#REF!</v>
      </c>
      <c r="O1564" s="37" t="e">
        <f t="shared" si="39"/>
        <v>#REF!</v>
      </c>
    </row>
    <row r="1565" spans="2:15" ht="17.399999999999999">
      <c r="B1565" s="42" t="s">
        <v>67</v>
      </c>
      <c r="C1565" s="39">
        <f>'تقرير المصروفات حسب الشهر'!Q48</f>
        <v>10920</v>
      </c>
      <c r="D1565" s="31" t="e">
        <f>#REF!</f>
        <v>#REF!</v>
      </c>
      <c r="E1565" s="31" t="e">
        <f>#REF!</f>
        <v>#REF!</v>
      </c>
      <c r="F1565" s="31" t="e">
        <f>#REF!</f>
        <v>#REF!</v>
      </c>
      <c r="G1565" s="31" t="e">
        <f>#REF!</f>
        <v>#REF!</v>
      </c>
      <c r="H1565" s="31" t="e">
        <f>#REF!</f>
        <v>#REF!</v>
      </c>
      <c r="I1565" s="31">
        <f>'تقرير المصروفات حسب الشهر'!Q801</f>
        <v>0</v>
      </c>
      <c r="J1565" s="31">
        <f>'تقرير المصروفات حسب الشهر'!Q928</f>
        <v>26400</v>
      </c>
      <c r="K1565" s="31">
        <f>'تقرير المصروفات حسب الشهر'!Q1055</f>
        <v>0</v>
      </c>
      <c r="L1565" s="292">
        <f>IFERROR(VLOOKUP(B1565,'تقرير المصروفات حسب الشهر'!$C$1143:$AD$1254,15,FALSE),0)</f>
        <v>6930</v>
      </c>
      <c r="M1565" s="292">
        <f>IFERROR(VLOOKUP(B1565,'تقرير المصروفات حسب الشهر'!$C$1270:$AD$1381,15,FALSE),0)</f>
        <v>0</v>
      </c>
      <c r="N1565" s="31" t="e">
        <f>#REF!</f>
        <v>#REF!</v>
      </c>
      <c r="O1565" s="37" t="e">
        <f t="shared" si="39"/>
        <v>#REF!</v>
      </c>
    </row>
    <row r="1566" spans="2:15" ht="17.399999999999999">
      <c r="B1566" s="42" t="s">
        <v>111</v>
      </c>
      <c r="C1566" s="39">
        <f>'تقرير المصروفات حسب الشهر'!Q49</f>
        <v>0</v>
      </c>
      <c r="D1566" s="31" t="e">
        <f>#REF!</f>
        <v>#REF!</v>
      </c>
      <c r="E1566" s="31" t="e">
        <f>#REF!</f>
        <v>#REF!</v>
      </c>
      <c r="F1566" s="31" t="e">
        <f>#REF!</f>
        <v>#REF!</v>
      </c>
      <c r="G1566" s="31" t="e">
        <f>#REF!</f>
        <v>#REF!</v>
      </c>
      <c r="H1566" s="31" t="e">
        <f>#REF!</f>
        <v>#REF!</v>
      </c>
      <c r="I1566" s="31">
        <f>'تقرير المصروفات حسب الشهر'!Q802</f>
        <v>600</v>
      </c>
      <c r="J1566" s="31">
        <f>'تقرير المصروفات حسب الشهر'!Q929</f>
        <v>1000</v>
      </c>
      <c r="K1566" s="31">
        <f>'تقرير المصروفات حسب الشهر'!Q1056</f>
        <v>950</v>
      </c>
      <c r="L1566" s="292">
        <f>IFERROR(VLOOKUP(B1566,'تقرير المصروفات حسب الشهر'!$C$1143:$AD$1254,15,FALSE),0)</f>
        <v>2620</v>
      </c>
      <c r="M1566" s="292">
        <f>IFERROR(VLOOKUP(B1566,'تقرير المصروفات حسب الشهر'!$C$1270:$AD$1381,15,FALSE),0)</f>
        <v>1000</v>
      </c>
      <c r="N1566" s="31" t="e">
        <f>#REF!</f>
        <v>#REF!</v>
      </c>
      <c r="O1566" s="37" t="e">
        <f t="shared" si="39"/>
        <v>#REF!</v>
      </c>
    </row>
    <row r="1567" spans="2:15" ht="17.399999999999999">
      <c r="B1567" s="42" t="s">
        <v>68</v>
      </c>
      <c r="C1567" s="39">
        <f>'تقرير المصروفات حسب الشهر'!Q50</f>
        <v>0</v>
      </c>
      <c r="D1567" s="31" t="e">
        <f>#REF!</f>
        <v>#REF!</v>
      </c>
      <c r="E1567" s="31" t="e">
        <f>#REF!</f>
        <v>#REF!</v>
      </c>
      <c r="F1567" s="31" t="e">
        <f>#REF!</f>
        <v>#REF!</v>
      </c>
      <c r="G1567" s="31" t="e">
        <f>#REF!</f>
        <v>#REF!</v>
      </c>
      <c r="H1567" s="31" t="e">
        <f>#REF!</f>
        <v>#REF!</v>
      </c>
      <c r="I1567" s="31">
        <f>'تقرير المصروفات حسب الشهر'!Q803</f>
        <v>0</v>
      </c>
      <c r="J1567" s="31">
        <f>'تقرير المصروفات حسب الشهر'!Q930</f>
        <v>0</v>
      </c>
      <c r="K1567" s="31">
        <f>'تقرير المصروفات حسب الشهر'!Q1057</f>
        <v>3608</v>
      </c>
      <c r="L1567" s="292">
        <f>IFERROR(VLOOKUP(B1567,'تقرير المصروفات حسب الشهر'!$C$1143:$AD$1254,15,FALSE),0)</f>
        <v>0</v>
      </c>
      <c r="M1567" s="292">
        <f>IFERROR(VLOOKUP(B1567,'تقرير المصروفات حسب الشهر'!$C$1270:$AD$1381,15,FALSE),0)</f>
        <v>0</v>
      </c>
      <c r="N1567" s="31" t="e">
        <f>#REF!</f>
        <v>#REF!</v>
      </c>
      <c r="O1567" s="37" t="e">
        <f t="shared" si="39"/>
        <v>#REF!</v>
      </c>
    </row>
    <row r="1568" spans="2:15" ht="17.399999999999999">
      <c r="B1568" s="42" t="s">
        <v>69</v>
      </c>
      <c r="C1568" s="39">
        <f>'تقرير المصروفات حسب الشهر'!Q51</f>
        <v>4800</v>
      </c>
      <c r="D1568" s="31" t="e">
        <f>#REF!</f>
        <v>#REF!</v>
      </c>
      <c r="E1568" s="31" t="e">
        <f>#REF!</f>
        <v>#REF!</v>
      </c>
      <c r="F1568" s="31" t="e">
        <f>#REF!</f>
        <v>#REF!</v>
      </c>
      <c r="G1568" s="31" t="e">
        <f>#REF!</f>
        <v>#REF!</v>
      </c>
      <c r="H1568" s="31" t="e">
        <f>#REF!</f>
        <v>#REF!</v>
      </c>
      <c r="I1568" s="31">
        <f>'تقرير المصروفات حسب الشهر'!Q804</f>
        <v>2200</v>
      </c>
      <c r="J1568" s="31">
        <f>'تقرير المصروفات حسب الشهر'!Q931</f>
        <v>0</v>
      </c>
      <c r="K1568" s="31">
        <f>'تقرير المصروفات حسب الشهر'!Q1058</f>
        <v>0</v>
      </c>
      <c r="L1568" s="292">
        <f>IFERROR(VLOOKUP(B1568,'تقرير المصروفات حسب الشهر'!$C$1143:$AD$1254,15,FALSE),0)</f>
        <v>0</v>
      </c>
      <c r="M1568" s="292">
        <f>IFERROR(VLOOKUP(B1568,'تقرير المصروفات حسب الشهر'!$C$1270:$AD$1381,15,FALSE),0)</f>
        <v>700</v>
      </c>
      <c r="N1568" s="31" t="e">
        <f>#REF!</f>
        <v>#REF!</v>
      </c>
      <c r="O1568" s="37" t="e">
        <f t="shared" si="39"/>
        <v>#REF!</v>
      </c>
    </row>
    <row r="1569" spans="2:15" ht="17.399999999999999">
      <c r="B1569" s="42" t="s">
        <v>70</v>
      </c>
      <c r="C1569" s="39">
        <f>'تقرير المصروفات حسب الشهر'!Q52</f>
        <v>0</v>
      </c>
      <c r="D1569" s="31" t="e">
        <f>#REF!</f>
        <v>#REF!</v>
      </c>
      <c r="E1569" s="31" t="e">
        <f>#REF!</f>
        <v>#REF!</v>
      </c>
      <c r="F1569" s="31" t="e">
        <f>#REF!</f>
        <v>#REF!</v>
      </c>
      <c r="G1569" s="31" t="e">
        <f>#REF!</f>
        <v>#REF!</v>
      </c>
      <c r="H1569" s="31" t="e">
        <f>#REF!</f>
        <v>#REF!</v>
      </c>
      <c r="I1569" s="31">
        <f>'تقرير المصروفات حسب الشهر'!Q805</f>
        <v>0</v>
      </c>
      <c r="J1569" s="31">
        <f>'تقرير المصروفات حسب الشهر'!Q932</f>
        <v>0</v>
      </c>
      <c r="K1569" s="31">
        <f>'تقرير المصروفات حسب الشهر'!Q1059</f>
        <v>0</v>
      </c>
      <c r="L1569" s="292">
        <f>IFERROR(VLOOKUP(B1569,'تقرير المصروفات حسب الشهر'!$C$1143:$AD$1254,15,FALSE),0)</f>
        <v>0</v>
      </c>
      <c r="M1569" s="292">
        <f>IFERROR(VLOOKUP(B1569,'تقرير المصروفات حسب الشهر'!$C$1270:$AD$1381,15,FALSE),0)</f>
        <v>0</v>
      </c>
      <c r="N1569" s="31" t="e">
        <f>#REF!</f>
        <v>#REF!</v>
      </c>
      <c r="O1569" s="37" t="e">
        <f t="shared" si="39"/>
        <v>#REF!</v>
      </c>
    </row>
    <row r="1570" spans="2:15" ht="17.399999999999999">
      <c r="B1570" s="42" t="s">
        <v>71</v>
      </c>
      <c r="C1570" s="39">
        <f>'تقرير المصروفات حسب الشهر'!Q53</f>
        <v>0</v>
      </c>
      <c r="D1570" s="31" t="e">
        <f>#REF!</f>
        <v>#REF!</v>
      </c>
      <c r="E1570" s="31" t="e">
        <f>#REF!</f>
        <v>#REF!</v>
      </c>
      <c r="F1570" s="31" t="e">
        <f>#REF!</f>
        <v>#REF!</v>
      </c>
      <c r="G1570" s="31" t="e">
        <f>#REF!</f>
        <v>#REF!</v>
      </c>
      <c r="H1570" s="31" t="e">
        <f>#REF!</f>
        <v>#REF!</v>
      </c>
      <c r="I1570" s="31">
        <f>'تقرير المصروفات حسب الشهر'!Q806</f>
        <v>0</v>
      </c>
      <c r="J1570" s="31">
        <f>'تقرير المصروفات حسب الشهر'!Q933</f>
        <v>0</v>
      </c>
      <c r="K1570" s="31">
        <f>'تقرير المصروفات حسب الشهر'!Q1060</f>
        <v>0</v>
      </c>
      <c r="L1570" s="292">
        <f>IFERROR(VLOOKUP(B1570,'تقرير المصروفات حسب الشهر'!$C$1143:$AD$1254,15,FALSE),0)</f>
        <v>0</v>
      </c>
      <c r="M1570" s="292">
        <f>IFERROR(VLOOKUP(B1570,'تقرير المصروفات حسب الشهر'!$C$1270:$AD$1381,15,FALSE),0)</f>
        <v>0</v>
      </c>
      <c r="N1570" s="31" t="e">
        <f>#REF!</f>
        <v>#REF!</v>
      </c>
      <c r="O1570" s="37" t="e">
        <f t="shared" si="39"/>
        <v>#REF!</v>
      </c>
    </row>
    <row r="1571" spans="2:15" ht="17.399999999999999">
      <c r="B1571" s="42" t="s">
        <v>159</v>
      </c>
      <c r="C1571" s="39">
        <f>'تقرير المصروفات حسب الشهر'!Q54</f>
        <v>0</v>
      </c>
      <c r="D1571" s="31" t="e">
        <f>#REF!</f>
        <v>#REF!</v>
      </c>
      <c r="E1571" s="31" t="e">
        <f>#REF!</f>
        <v>#REF!</v>
      </c>
      <c r="F1571" s="31" t="e">
        <f>#REF!</f>
        <v>#REF!</v>
      </c>
      <c r="G1571" s="31" t="e">
        <f>#REF!</f>
        <v>#REF!</v>
      </c>
      <c r="H1571" s="31" t="e">
        <f>#REF!</f>
        <v>#REF!</v>
      </c>
      <c r="I1571" s="31">
        <f>'تقرير المصروفات حسب الشهر'!Q807</f>
        <v>0</v>
      </c>
      <c r="J1571" s="31">
        <f>'تقرير المصروفات حسب الشهر'!Q934</f>
        <v>0</v>
      </c>
      <c r="K1571" s="31">
        <f>'تقرير المصروفات حسب الشهر'!Q1061</f>
        <v>0</v>
      </c>
      <c r="L1571" s="292">
        <f>IFERROR(VLOOKUP(B1571,'تقرير المصروفات حسب الشهر'!$C$1143:$AD$1254,15,FALSE),0)</f>
        <v>0</v>
      </c>
      <c r="M1571" s="292">
        <f>IFERROR(VLOOKUP(B1571,'تقرير المصروفات حسب الشهر'!$C$1270:$AD$1381,15,FALSE),0)</f>
        <v>0</v>
      </c>
      <c r="N1571" s="31" t="e">
        <f>#REF!</f>
        <v>#REF!</v>
      </c>
      <c r="O1571" s="37" t="e">
        <f t="shared" si="39"/>
        <v>#REF!</v>
      </c>
    </row>
    <row r="1572" spans="2:15" ht="17.399999999999999">
      <c r="B1572" s="42" t="s">
        <v>72</v>
      </c>
      <c r="C1572" s="39">
        <f>'تقرير المصروفات حسب الشهر'!Q55</f>
        <v>0</v>
      </c>
      <c r="D1572" s="31" t="e">
        <f>#REF!</f>
        <v>#REF!</v>
      </c>
      <c r="E1572" s="31" t="e">
        <f>#REF!</f>
        <v>#REF!</v>
      </c>
      <c r="F1572" s="31" t="e">
        <f>#REF!</f>
        <v>#REF!</v>
      </c>
      <c r="G1572" s="31" t="e">
        <f>#REF!</f>
        <v>#REF!</v>
      </c>
      <c r="H1572" s="31" t="e">
        <f>#REF!</f>
        <v>#REF!</v>
      </c>
      <c r="I1572" s="31">
        <f>'تقرير المصروفات حسب الشهر'!Q808</f>
        <v>0</v>
      </c>
      <c r="J1572" s="31">
        <f>'تقرير المصروفات حسب الشهر'!Q935</f>
        <v>0</v>
      </c>
      <c r="K1572" s="31">
        <f>'تقرير المصروفات حسب الشهر'!Q1062</f>
        <v>0</v>
      </c>
      <c r="L1572" s="292">
        <f>IFERROR(VLOOKUP(B1572,'تقرير المصروفات حسب الشهر'!$C$1143:$AD$1254,15,FALSE),0)</f>
        <v>0</v>
      </c>
      <c r="M1572" s="292">
        <f>IFERROR(VLOOKUP(B1572,'تقرير المصروفات حسب الشهر'!$C$1270:$AD$1381,15,FALSE),0)</f>
        <v>0</v>
      </c>
      <c r="N1572" s="31" t="e">
        <f>#REF!</f>
        <v>#REF!</v>
      </c>
      <c r="O1572" s="37" t="e">
        <f t="shared" si="39"/>
        <v>#REF!</v>
      </c>
    </row>
    <row r="1573" spans="2:15" ht="17.399999999999999">
      <c r="B1573" s="42" t="s">
        <v>73</v>
      </c>
      <c r="C1573" s="39">
        <f>'تقرير المصروفات حسب الشهر'!Q56</f>
        <v>0</v>
      </c>
      <c r="D1573" s="31" t="e">
        <f>#REF!</f>
        <v>#REF!</v>
      </c>
      <c r="E1573" s="31" t="e">
        <f>#REF!</f>
        <v>#REF!</v>
      </c>
      <c r="F1573" s="31" t="e">
        <f>#REF!</f>
        <v>#REF!</v>
      </c>
      <c r="G1573" s="31" t="e">
        <f>#REF!</f>
        <v>#REF!</v>
      </c>
      <c r="H1573" s="31" t="e">
        <f>#REF!</f>
        <v>#REF!</v>
      </c>
      <c r="I1573" s="31">
        <f>'تقرير المصروفات حسب الشهر'!Q809</f>
        <v>0</v>
      </c>
      <c r="J1573" s="31">
        <f>'تقرير المصروفات حسب الشهر'!Q936</f>
        <v>0</v>
      </c>
      <c r="K1573" s="31">
        <f>'تقرير المصروفات حسب الشهر'!Q1063</f>
        <v>0</v>
      </c>
      <c r="L1573" s="292">
        <f>IFERROR(VLOOKUP(B1573,'تقرير المصروفات حسب الشهر'!$C$1143:$AD$1254,15,FALSE),0)</f>
        <v>0</v>
      </c>
      <c r="M1573" s="292">
        <f>IFERROR(VLOOKUP(B1573,'تقرير المصروفات حسب الشهر'!$C$1270:$AD$1381,15,FALSE),0)</f>
        <v>0</v>
      </c>
      <c r="N1573" s="31" t="e">
        <f>#REF!</f>
        <v>#REF!</v>
      </c>
      <c r="O1573" s="37" t="e">
        <f t="shared" si="39"/>
        <v>#REF!</v>
      </c>
    </row>
    <row r="1574" spans="2:15" ht="17.399999999999999">
      <c r="B1574" s="42" t="s">
        <v>74</v>
      </c>
      <c r="C1574" s="39">
        <f>'تقرير المصروفات حسب الشهر'!Q57</f>
        <v>0</v>
      </c>
      <c r="D1574" s="31" t="e">
        <f>#REF!</f>
        <v>#REF!</v>
      </c>
      <c r="E1574" s="31" t="e">
        <f>#REF!</f>
        <v>#REF!</v>
      </c>
      <c r="F1574" s="31" t="e">
        <f>#REF!</f>
        <v>#REF!</v>
      </c>
      <c r="G1574" s="31" t="e">
        <f>#REF!</f>
        <v>#REF!</v>
      </c>
      <c r="H1574" s="31" t="e">
        <f>#REF!</f>
        <v>#REF!</v>
      </c>
      <c r="I1574" s="31">
        <f>'تقرير المصروفات حسب الشهر'!Q810</f>
        <v>0</v>
      </c>
      <c r="J1574" s="31">
        <f>'تقرير المصروفات حسب الشهر'!Q937</f>
        <v>0</v>
      </c>
      <c r="K1574" s="31">
        <f>'تقرير المصروفات حسب الشهر'!Q1064</f>
        <v>0</v>
      </c>
      <c r="L1574" s="292">
        <f>IFERROR(VLOOKUP(B1574,'تقرير المصروفات حسب الشهر'!$C$1143:$AD$1254,15,FALSE),0)</f>
        <v>0</v>
      </c>
      <c r="M1574" s="292">
        <f>IFERROR(VLOOKUP(B1574,'تقرير المصروفات حسب الشهر'!$C$1270:$AD$1381,15,FALSE),0)</f>
        <v>0</v>
      </c>
      <c r="N1574" s="31" t="e">
        <f>#REF!</f>
        <v>#REF!</v>
      </c>
      <c r="O1574" s="37" t="e">
        <f t="shared" si="39"/>
        <v>#REF!</v>
      </c>
    </row>
    <row r="1575" spans="2:15" ht="17.399999999999999">
      <c r="B1575" s="42" t="s">
        <v>246</v>
      </c>
      <c r="C1575" s="39">
        <f>'تقرير المصروفات حسب الشهر'!Q58</f>
        <v>0</v>
      </c>
      <c r="D1575" s="31" t="e">
        <f>#REF!</f>
        <v>#REF!</v>
      </c>
      <c r="E1575" s="31" t="e">
        <f>#REF!</f>
        <v>#REF!</v>
      </c>
      <c r="F1575" s="31" t="e">
        <f>#REF!</f>
        <v>#REF!</v>
      </c>
      <c r="G1575" s="31" t="e">
        <f>#REF!</f>
        <v>#REF!</v>
      </c>
      <c r="H1575" s="31" t="e">
        <f>#REF!</f>
        <v>#REF!</v>
      </c>
      <c r="I1575" s="31">
        <f>'تقرير المصروفات حسب الشهر'!Q811</f>
        <v>0</v>
      </c>
      <c r="J1575" s="31">
        <f>'تقرير المصروفات حسب الشهر'!Q938</f>
        <v>0</v>
      </c>
      <c r="K1575" s="31">
        <f>'تقرير المصروفات حسب الشهر'!Q1065</f>
        <v>0</v>
      </c>
      <c r="L1575" s="292">
        <f>IFERROR(VLOOKUP(B1575,'تقرير المصروفات حسب الشهر'!$C$1143:$AD$1254,15,FALSE),0)</f>
        <v>0</v>
      </c>
      <c r="M1575" s="292">
        <f>IFERROR(VLOOKUP(B1575,'تقرير المصروفات حسب الشهر'!$C$1270:$AD$1381,15,FALSE),0)</f>
        <v>0</v>
      </c>
      <c r="N1575" s="31" t="e">
        <f>#REF!</f>
        <v>#REF!</v>
      </c>
      <c r="O1575" s="37" t="e">
        <f t="shared" si="39"/>
        <v>#REF!</v>
      </c>
    </row>
    <row r="1576" spans="2:15" ht="17.399999999999999">
      <c r="B1576" s="42" t="s">
        <v>75</v>
      </c>
      <c r="C1576" s="39">
        <f>'تقرير المصروفات حسب الشهر'!Q59</f>
        <v>0</v>
      </c>
      <c r="D1576" s="31" t="e">
        <f>#REF!</f>
        <v>#REF!</v>
      </c>
      <c r="E1576" s="31" t="e">
        <f>#REF!</f>
        <v>#REF!</v>
      </c>
      <c r="F1576" s="31" t="e">
        <f>#REF!</f>
        <v>#REF!</v>
      </c>
      <c r="G1576" s="31" t="e">
        <f>#REF!</f>
        <v>#REF!</v>
      </c>
      <c r="H1576" s="31" t="e">
        <f>#REF!</f>
        <v>#REF!</v>
      </c>
      <c r="I1576" s="31">
        <f>'تقرير المصروفات حسب الشهر'!Q812</f>
        <v>0</v>
      </c>
      <c r="J1576" s="31">
        <f>'تقرير المصروفات حسب الشهر'!Q939</f>
        <v>0</v>
      </c>
      <c r="K1576" s="31">
        <f>'تقرير المصروفات حسب الشهر'!Q1066</f>
        <v>0</v>
      </c>
      <c r="L1576" s="292">
        <f>IFERROR(VLOOKUP(B1576,'تقرير المصروفات حسب الشهر'!$C$1143:$AD$1254,15,FALSE),0)</f>
        <v>0</v>
      </c>
      <c r="M1576" s="292">
        <f>IFERROR(VLOOKUP(B1576,'تقرير المصروفات حسب الشهر'!$C$1270:$AD$1381,15,FALSE),0)</f>
        <v>0</v>
      </c>
      <c r="N1576" s="31" t="e">
        <f>#REF!</f>
        <v>#REF!</v>
      </c>
      <c r="O1576" s="37" t="e">
        <f t="shared" si="39"/>
        <v>#REF!</v>
      </c>
    </row>
    <row r="1577" spans="2:15" ht="17.399999999999999">
      <c r="B1577" s="42" t="s">
        <v>76</v>
      </c>
      <c r="C1577" s="39">
        <f>'تقرير المصروفات حسب الشهر'!Q60</f>
        <v>0</v>
      </c>
      <c r="D1577" s="31" t="e">
        <f>#REF!</f>
        <v>#REF!</v>
      </c>
      <c r="E1577" s="31" t="e">
        <f>#REF!</f>
        <v>#REF!</v>
      </c>
      <c r="F1577" s="31" t="e">
        <f>#REF!</f>
        <v>#REF!</v>
      </c>
      <c r="G1577" s="31" t="e">
        <f>#REF!</f>
        <v>#REF!</v>
      </c>
      <c r="H1577" s="31" t="e">
        <f>#REF!</f>
        <v>#REF!</v>
      </c>
      <c r="I1577" s="31">
        <f>'تقرير المصروفات حسب الشهر'!Q813</f>
        <v>0</v>
      </c>
      <c r="J1577" s="31">
        <f>'تقرير المصروفات حسب الشهر'!Q940</f>
        <v>0</v>
      </c>
      <c r="K1577" s="31">
        <f>'تقرير المصروفات حسب الشهر'!Q1067</f>
        <v>0</v>
      </c>
      <c r="L1577" s="292">
        <f>IFERROR(VLOOKUP(B1577,'تقرير المصروفات حسب الشهر'!$C$1143:$AD$1254,15,FALSE),0)</f>
        <v>0</v>
      </c>
      <c r="M1577" s="292">
        <f>IFERROR(VLOOKUP(B1577,'تقرير المصروفات حسب الشهر'!$C$1270:$AD$1381,15,FALSE),0)</f>
        <v>0</v>
      </c>
      <c r="N1577" s="31" t="e">
        <f>#REF!</f>
        <v>#REF!</v>
      </c>
      <c r="O1577" s="37" t="e">
        <f t="shared" si="39"/>
        <v>#REF!</v>
      </c>
    </row>
    <row r="1578" spans="2:15" ht="17.399999999999999">
      <c r="B1578" s="42" t="s">
        <v>77</v>
      </c>
      <c r="C1578" s="39">
        <f>'تقرير المصروفات حسب الشهر'!Q61</f>
        <v>0</v>
      </c>
      <c r="D1578" s="31" t="e">
        <f>#REF!</f>
        <v>#REF!</v>
      </c>
      <c r="E1578" s="31" t="e">
        <f>#REF!</f>
        <v>#REF!</v>
      </c>
      <c r="F1578" s="31" t="e">
        <f>#REF!</f>
        <v>#REF!</v>
      </c>
      <c r="G1578" s="31" t="e">
        <f>#REF!</f>
        <v>#REF!</v>
      </c>
      <c r="H1578" s="31" t="e">
        <f>#REF!</f>
        <v>#REF!</v>
      </c>
      <c r="I1578" s="31">
        <f>'تقرير المصروفات حسب الشهر'!Q814</f>
        <v>0</v>
      </c>
      <c r="J1578" s="31">
        <f>'تقرير المصروفات حسب الشهر'!Q941</f>
        <v>0</v>
      </c>
      <c r="K1578" s="31">
        <f>'تقرير المصروفات حسب الشهر'!Q1068</f>
        <v>0</v>
      </c>
      <c r="L1578" s="292">
        <f>IFERROR(VLOOKUP(B1578,'تقرير المصروفات حسب الشهر'!$C$1143:$AD$1254,15,FALSE),0)</f>
        <v>0</v>
      </c>
      <c r="M1578" s="292">
        <f>IFERROR(VLOOKUP(B1578,'تقرير المصروفات حسب الشهر'!$C$1270:$AD$1381,15,FALSE),0)</f>
        <v>0</v>
      </c>
      <c r="N1578" s="31" t="e">
        <f>#REF!</f>
        <v>#REF!</v>
      </c>
      <c r="O1578" s="37" t="e">
        <f t="shared" si="39"/>
        <v>#REF!</v>
      </c>
    </row>
    <row r="1579" spans="2:15" ht="17.399999999999999">
      <c r="B1579" s="42" t="s">
        <v>78</v>
      </c>
      <c r="C1579" s="39">
        <f>'تقرير المصروفات حسب الشهر'!Q62</f>
        <v>0</v>
      </c>
      <c r="D1579" s="31" t="e">
        <f>#REF!</f>
        <v>#REF!</v>
      </c>
      <c r="E1579" s="31" t="e">
        <f>#REF!</f>
        <v>#REF!</v>
      </c>
      <c r="F1579" s="31" t="e">
        <f>#REF!</f>
        <v>#REF!</v>
      </c>
      <c r="G1579" s="31" t="e">
        <f>#REF!</f>
        <v>#REF!</v>
      </c>
      <c r="H1579" s="31" t="e">
        <f>#REF!</f>
        <v>#REF!</v>
      </c>
      <c r="I1579" s="31">
        <f>'تقرير المصروفات حسب الشهر'!Q815</f>
        <v>0</v>
      </c>
      <c r="J1579" s="31">
        <f>'تقرير المصروفات حسب الشهر'!Q942</f>
        <v>0</v>
      </c>
      <c r="K1579" s="31">
        <f>'تقرير المصروفات حسب الشهر'!Q1069</f>
        <v>0</v>
      </c>
      <c r="L1579" s="292">
        <f>IFERROR(VLOOKUP(B1579,'تقرير المصروفات حسب الشهر'!$C$1143:$AD$1254,15,FALSE),0)</f>
        <v>0</v>
      </c>
      <c r="M1579" s="292">
        <f>IFERROR(VLOOKUP(B1579,'تقرير المصروفات حسب الشهر'!$C$1270:$AD$1381,15,FALSE),0)</f>
        <v>0</v>
      </c>
      <c r="N1579" s="31" t="e">
        <f>#REF!</f>
        <v>#REF!</v>
      </c>
      <c r="O1579" s="37" t="e">
        <f t="shared" si="39"/>
        <v>#REF!</v>
      </c>
    </row>
    <row r="1580" spans="2:15" ht="17.399999999999999">
      <c r="B1580" s="42" t="s">
        <v>79</v>
      </c>
      <c r="C1580" s="39">
        <f>'تقرير المصروفات حسب الشهر'!Q63</f>
        <v>0</v>
      </c>
      <c r="D1580" s="31" t="e">
        <f>#REF!</f>
        <v>#REF!</v>
      </c>
      <c r="E1580" s="31" t="e">
        <f>#REF!</f>
        <v>#REF!</v>
      </c>
      <c r="F1580" s="31" t="e">
        <f>#REF!</f>
        <v>#REF!</v>
      </c>
      <c r="G1580" s="31" t="e">
        <f>#REF!</f>
        <v>#REF!</v>
      </c>
      <c r="H1580" s="31" t="e">
        <f>#REF!</f>
        <v>#REF!</v>
      </c>
      <c r="I1580" s="31">
        <f>'تقرير المصروفات حسب الشهر'!Q816</f>
        <v>0</v>
      </c>
      <c r="J1580" s="31">
        <f>'تقرير المصروفات حسب الشهر'!Q943</f>
        <v>0</v>
      </c>
      <c r="K1580" s="31">
        <f>'تقرير المصروفات حسب الشهر'!Q1070</f>
        <v>0</v>
      </c>
      <c r="L1580" s="292">
        <f>IFERROR(VLOOKUP(B1580,'تقرير المصروفات حسب الشهر'!$C$1143:$AD$1254,15,FALSE),0)</f>
        <v>0</v>
      </c>
      <c r="M1580" s="292">
        <f>IFERROR(VLOOKUP(B1580,'تقرير المصروفات حسب الشهر'!$C$1270:$AD$1381,15,FALSE),0)</f>
        <v>0</v>
      </c>
      <c r="N1580" s="31" t="e">
        <f>#REF!</f>
        <v>#REF!</v>
      </c>
      <c r="O1580" s="37" t="e">
        <f t="shared" si="39"/>
        <v>#REF!</v>
      </c>
    </row>
    <row r="1581" spans="2:15" ht="17.399999999999999">
      <c r="B1581" s="42" t="s">
        <v>80</v>
      </c>
      <c r="C1581" s="39">
        <f>'تقرير المصروفات حسب الشهر'!Q64</f>
        <v>0</v>
      </c>
      <c r="D1581" s="31" t="e">
        <f>#REF!</f>
        <v>#REF!</v>
      </c>
      <c r="E1581" s="31" t="e">
        <f>#REF!</f>
        <v>#REF!</v>
      </c>
      <c r="F1581" s="31" t="e">
        <f>#REF!</f>
        <v>#REF!</v>
      </c>
      <c r="G1581" s="31" t="e">
        <f>#REF!</f>
        <v>#REF!</v>
      </c>
      <c r="H1581" s="31" t="e">
        <f>#REF!</f>
        <v>#REF!</v>
      </c>
      <c r="I1581" s="31">
        <f>'تقرير المصروفات حسب الشهر'!Q817</f>
        <v>0</v>
      </c>
      <c r="J1581" s="31">
        <f>'تقرير المصروفات حسب الشهر'!Q944</f>
        <v>0</v>
      </c>
      <c r="K1581" s="31">
        <f>'تقرير المصروفات حسب الشهر'!Q1071</f>
        <v>0</v>
      </c>
      <c r="L1581" s="292">
        <f>IFERROR(VLOOKUP(B1581,'تقرير المصروفات حسب الشهر'!$C$1143:$AD$1254,15,FALSE),0)</f>
        <v>0</v>
      </c>
      <c r="M1581" s="292">
        <f>IFERROR(VLOOKUP(B1581,'تقرير المصروفات حسب الشهر'!$C$1270:$AD$1381,15,FALSE),0)</f>
        <v>0</v>
      </c>
      <c r="N1581" s="31" t="e">
        <f>#REF!</f>
        <v>#REF!</v>
      </c>
      <c r="O1581" s="37" t="e">
        <f t="shared" si="39"/>
        <v>#REF!</v>
      </c>
    </row>
    <row r="1582" spans="2:15" ht="17.399999999999999">
      <c r="B1582" s="42" t="s">
        <v>81</v>
      </c>
      <c r="C1582" s="39">
        <f>'تقرير المصروفات حسب الشهر'!Q65</f>
        <v>0</v>
      </c>
      <c r="D1582" s="31" t="e">
        <f>#REF!</f>
        <v>#REF!</v>
      </c>
      <c r="E1582" s="31" t="e">
        <f>#REF!</f>
        <v>#REF!</v>
      </c>
      <c r="F1582" s="31" t="e">
        <f>#REF!</f>
        <v>#REF!</v>
      </c>
      <c r="G1582" s="31" t="e">
        <f>#REF!</f>
        <v>#REF!</v>
      </c>
      <c r="H1582" s="31" t="e">
        <f>#REF!</f>
        <v>#REF!</v>
      </c>
      <c r="I1582" s="31">
        <f>'تقرير المصروفات حسب الشهر'!Q818</f>
        <v>0</v>
      </c>
      <c r="J1582" s="31">
        <f>'تقرير المصروفات حسب الشهر'!Q945</f>
        <v>0</v>
      </c>
      <c r="K1582" s="31">
        <f>'تقرير المصروفات حسب الشهر'!Q1072</f>
        <v>0</v>
      </c>
      <c r="L1582" s="292">
        <f>IFERROR(VLOOKUP(B1582,'تقرير المصروفات حسب الشهر'!$C$1143:$AD$1254,15,FALSE),0)</f>
        <v>0</v>
      </c>
      <c r="M1582" s="292">
        <f>IFERROR(VLOOKUP(B1582,'تقرير المصروفات حسب الشهر'!$C$1270:$AD$1381,15,FALSE),0)</f>
        <v>0</v>
      </c>
      <c r="N1582" s="31" t="e">
        <f>#REF!</f>
        <v>#REF!</v>
      </c>
      <c r="O1582" s="37" t="e">
        <f t="shared" si="39"/>
        <v>#REF!</v>
      </c>
    </row>
    <row r="1583" spans="2:15" ht="17.399999999999999">
      <c r="B1583" s="42" t="s">
        <v>82</v>
      </c>
      <c r="C1583" s="39">
        <f>'تقرير المصروفات حسب الشهر'!Q66</f>
        <v>0</v>
      </c>
      <c r="D1583" s="31" t="e">
        <f>#REF!</f>
        <v>#REF!</v>
      </c>
      <c r="E1583" s="31" t="e">
        <f>#REF!</f>
        <v>#REF!</v>
      </c>
      <c r="F1583" s="31" t="e">
        <f>#REF!</f>
        <v>#REF!</v>
      </c>
      <c r="G1583" s="31" t="e">
        <f>#REF!</f>
        <v>#REF!</v>
      </c>
      <c r="H1583" s="31" t="e">
        <f>#REF!</f>
        <v>#REF!</v>
      </c>
      <c r="I1583" s="31">
        <f>'تقرير المصروفات حسب الشهر'!Q819</f>
        <v>0</v>
      </c>
      <c r="J1583" s="31">
        <f>'تقرير المصروفات حسب الشهر'!Q946</f>
        <v>0</v>
      </c>
      <c r="K1583" s="31">
        <f>'تقرير المصروفات حسب الشهر'!Q1073</f>
        <v>0</v>
      </c>
      <c r="L1583" s="292">
        <f>IFERROR(VLOOKUP(B1583,'تقرير المصروفات حسب الشهر'!$C$1143:$AD$1254,15,FALSE),0)</f>
        <v>0</v>
      </c>
      <c r="M1583" s="292">
        <f>IFERROR(VLOOKUP(B1583,'تقرير المصروفات حسب الشهر'!$C$1270:$AD$1381,15,FALSE),0)</f>
        <v>0</v>
      </c>
      <c r="N1583" s="31" t="e">
        <f>#REF!</f>
        <v>#REF!</v>
      </c>
      <c r="O1583" s="37" t="e">
        <f t="shared" si="39"/>
        <v>#REF!</v>
      </c>
    </row>
    <row r="1584" spans="2:15" ht="17.399999999999999">
      <c r="B1584" s="42" t="s">
        <v>83</v>
      </c>
      <c r="C1584" s="39">
        <f>'تقرير المصروفات حسب الشهر'!Q67</f>
        <v>0</v>
      </c>
      <c r="D1584" s="31" t="e">
        <f>#REF!</f>
        <v>#REF!</v>
      </c>
      <c r="E1584" s="31" t="e">
        <f>#REF!</f>
        <v>#REF!</v>
      </c>
      <c r="F1584" s="31" t="e">
        <f>#REF!</f>
        <v>#REF!</v>
      </c>
      <c r="G1584" s="31" t="e">
        <f>#REF!</f>
        <v>#REF!</v>
      </c>
      <c r="H1584" s="31" t="e">
        <f>#REF!</f>
        <v>#REF!</v>
      </c>
      <c r="I1584" s="31">
        <f>'تقرير المصروفات حسب الشهر'!Q820</f>
        <v>0</v>
      </c>
      <c r="J1584" s="31">
        <f>'تقرير المصروفات حسب الشهر'!Q947</f>
        <v>0</v>
      </c>
      <c r="K1584" s="31">
        <f>'تقرير المصروفات حسب الشهر'!Q1074</f>
        <v>0</v>
      </c>
      <c r="L1584" s="292">
        <f>IFERROR(VLOOKUP(B1584,'تقرير المصروفات حسب الشهر'!$C$1143:$AD$1254,15,FALSE),0)</f>
        <v>0</v>
      </c>
      <c r="M1584" s="292">
        <f>IFERROR(VLOOKUP(B1584,'تقرير المصروفات حسب الشهر'!$C$1270:$AD$1381,15,FALSE),0)</f>
        <v>0</v>
      </c>
      <c r="N1584" s="31" t="e">
        <f>#REF!</f>
        <v>#REF!</v>
      </c>
      <c r="O1584" s="37" t="e">
        <f t="shared" si="39"/>
        <v>#REF!</v>
      </c>
    </row>
    <row r="1585" spans="2:15" ht="17.399999999999999">
      <c r="B1585" s="42" t="s">
        <v>84</v>
      </c>
      <c r="C1585" s="39">
        <f>'تقرير المصروفات حسب الشهر'!Q68</f>
        <v>0</v>
      </c>
      <c r="D1585" s="31" t="e">
        <f>#REF!</f>
        <v>#REF!</v>
      </c>
      <c r="E1585" s="31" t="e">
        <f>#REF!</f>
        <v>#REF!</v>
      </c>
      <c r="F1585" s="31" t="e">
        <f>#REF!</f>
        <v>#REF!</v>
      </c>
      <c r="G1585" s="31" t="e">
        <f>#REF!</f>
        <v>#REF!</v>
      </c>
      <c r="H1585" s="31" t="e">
        <f>#REF!</f>
        <v>#REF!</v>
      </c>
      <c r="I1585" s="31">
        <f>'تقرير المصروفات حسب الشهر'!Q821</f>
        <v>8880</v>
      </c>
      <c r="J1585" s="31">
        <f>'تقرير المصروفات حسب الشهر'!Q948</f>
        <v>300</v>
      </c>
      <c r="K1585" s="31">
        <f>'تقرير المصروفات حسب الشهر'!Q1075</f>
        <v>200</v>
      </c>
      <c r="L1585" s="292">
        <f>IFERROR(VLOOKUP(B1585,'تقرير المصروفات حسب الشهر'!$C$1143:$AD$1254,15,FALSE),0)</f>
        <v>0</v>
      </c>
      <c r="M1585" s="292">
        <f>IFERROR(VLOOKUP(B1585,'تقرير المصروفات حسب الشهر'!$C$1270:$AD$1381,15,FALSE),0)</f>
        <v>0</v>
      </c>
      <c r="N1585" s="31" t="e">
        <f>#REF!</f>
        <v>#REF!</v>
      </c>
      <c r="O1585" s="37" t="e">
        <f t="shared" si="39"/>
        <v>#REF!</v>
      </c>
    </row>
    <row r="1586" spans="2:15" ht="17.399999999999999">
      <c r="B1586" s="42" t="s">
        <v>85</v>
      </c>
      <c r="C1586" s="39">
        <f>'تقرير المصروفات حسب الشهر'!Q69</f>
        <v>316</v>
      </c>
      <c r="D1586" s="31" t="e">
        <f>#REF!</f>
        <v>#REF!</v>
      </c>
      <c r="E1586" s="31" t="e">
        <f>#REF!</f>
        <v>#REF!</v>
      </c>
      <c r="F1586" s="31" t="e">
        <f>#REF!</f>
        <v>#REF!</v>
      </c>
      <c r="G1586" s="31" t="e">
        <f>#REF!</f>
        <v>#REF!</v>
      </c>
      <c r="H1586" s="31" t="e">
        <f>#REF!</f>
        <v>#REF!</v>
      </c>
      <c r="I1586" s="31">
        <f>'تقرير المصروفات حسب الشهر'!Q822</f>
        <v>0</v>
      </c>
      <c r="J1586" s="31">
        <f>'تقرير المصروفات حسب الشهر'!Q949</f>
        <v>0</v>
      </c>
      <c r="K1586" s="31">
        <f>'تقرير المصروفات حسب الشهر'!Q1076</f>
        <v>0</v>
      </c>
      <c r="L1586" s="292">
        <f>IFERROR(VLOOKUP(B1586,'تقرير المصروفات حسب الشهر'!$C$1143:$AD$1254,15,FALSE),0)</f>
        <v>200</v>
      </c>
      <c r="M1586" s="292">
        <f>IFERROR(VLOOKUP(B1586,'تقرير المصروفات حسب الشهر'!$C$1270:$AD$1381,15,FALSE),0)</f>
        <v>200</v>
      </c>
      <c r="N1586" s="31" t="e">
        <f>#REF!</f>
        <v>#REF!</v>
      </c>
      <c r="O1586" s="37" t="e">
        <f t="shared" si="39"/>
        <v>#REF!</v>
      </c>
    </row>
    <row r="1587" spans="2:15" ht="17.399999999999999">
      <c r="B1587" s="42" t="s">
        <v>86</v>
      </c>
      <c r="C1587" s="39">
        <f>'تقرير المصروفات حسب الشهر'!Q70</f>
        <v>0</v>
      </c>
      <c r="D1587" s="31" t="e">
        <f>#REF!</f>
        <v>#REF!</v>
      </c>
      <c r="E1587" s="31" t="e">
        <f>#REF!</f>
        <v>#REF!</v>
      </c>
      <c r="F1587" s="31" t="e">
        <f>#REF!</f>
        <v>#REF!</v>
      </c>
      <c r="G1587" s="31" t="e">
        <f>#REF!</f>
        <v>#REF!</v>
      </c>
      <c r="H1587" s="31" t="e">
        <f>#REF!</f>
        <v>#REF!</v>
      </c>
      <c r="I1587" s="31">
        <f>'تقرير المصروفات حسب الشهر'!Q823</f>
        <v>3832</v>
      </c>
      <c r="J1587" s="31">
        <f>'تقرير المصروفات حسب الشهر'!Q950</f>
        <v>0</v>
      </c>
      <c r="K1587" s="31">
        <f>'تقرير المصروفات حسب الشهر'!Q1077</f>
        <v>0</v>
      </c>
      <c r="L1587" s="292">
        <f>IFERROR(VLOOKUP(B1587,'تقرير المصروفات حسب الشهر'!$C$1143:$AD$1254,15,FALSE),0)</f>
        <v>0</v>
      </c>
      <c r="M1587" s="292">
        <f>IFERROR(VLOOKUP(B1587,'تقرير المصروفات حسب الشهر'!$C$1270:$AD$1381,15,FALSE),0)</f>
        <v>0</v>
      </c>
      <c r="N1587" s="31" t="e">
        <f>#REF!</f>
        <v>#REF!</v>
      </c>
      <c r="O1587" s="37" t="e">
        <f t="shared" si="39"/>
        <v>#REF!</v>
      </c>
    </row>
    <row r="1588" spans="2:15" ht="17.399999999999999">
      <c r="B1588" s="42" t="s">
        <v>87</v>
      </c>
      <c r="C1588" s="39">
        <f>'تقرير المصروفات حسب الشهر'!Q71</f>
        <v>0</v>
      </c>
      <c r="D1588" s="31" t="e">
        <f>#REF!</f>
        <v>#REF!</v>
      </c>
      <c r="E1588" s="31" t="e">
        <f>#REF!</f>
        <v>#REF!</v>
      </c>
      <c r="F1588" s="31" t="e">
        <f>#REF!</f>
        <v>#REF!</v>
      </c>
      <c r="G1588" s="31" t="e">
        <f>#REF!</f>
        <v>#REF!</v>
      </c>
      <c r="H1588" s="31" t="e">
        <f>#REF!</f>
        <v>#REF!</v>
      </c>
      <c r="I1588" s="31">
        <f>'تقرير المصروفات حسب الشهر'!Q824</f>
        <v>0</v>
      </c>
      <c r="J1588" s="31">
        <f>'تقرير المصروفات حسب الشهر'!Q951</f>
        <v>0</v>
      </c>
      <c r="K1588" s="31">
        <f>'تقرير المصروفات حسب الشهر'!Q1078</f>
        <v>0</v>
      </c>
      <c r="L1588" s="292">
        <f>IFERROR(VLOOKUP(B1588,'تقرير المصروفات حسب الشهر'!$C$1143:$AD$1254,15,FALSE),0)</f>
        <v>0</v>
      </c>
      <c r="M1588" s="292">
        <f>IFERROR(VLOOKUP(B1588,'تقرير المصروفات حسب الشهر'!$C$1270:$AD$1381,15,FALSE),0)</f>
        <v>0</v>
      </c>
      <c r="N1588" s="31" t="e">
        <f>#REF!</f>
        <v>#REF!</v>
      </c>
      <c r="O1588" s="37" t="e">
        <f t="shared" si="39"/>
        <v>#REF!</v>
      </c>
    </row>
    <row r="1589" spans="2:15" ht="17.399999999999999">
      <c r="B1589" s="42" t="s">
        <v>88</v>
      </c>
      <c r="C1589" s="39">
        <f>'تقرير المصروفات حسب الشهر'!Q72</f>
        <v>0</v>
      </c>
      <c r="D1589" s="31" t="e">
        <f>#REF!</f>
        <v>#REF!</v>
      </c>
      <c r="E1589" s="31" t="e">
        <f>#REF!</f>
        <v>#REF!</v>
      </c>
      <c r="F1589" s="31" t="e">
        <f>#REF!</f>
        <v>#REF!</v>
      </c>
      <c r="G1589" s="31" t="e">
        <f>#REF!</f>
        <v>#REF!</v>
      </c>
      <c r="H1589" s="31" t="e">
        <f>#REF!</f>
        <v>#REF!</v>
      </c>
      <c r="I1589" s="31">
        <f>'تقرير المصروفات حسب الشهر'!Q825</f>
        <v>0</v>
      </c>
      <c r="J1589" s="31">
        <f>'تقرير المصروفات حسب الشهر'!Q952</f>
        <v>0</v>
      </c>
      <c r="K1589" s="31">
        <f>'تقرير المصروفات حسب الشهر'!Q1079</f>
        <v>0</v>
      </c>
      <c r="L1589" s="292">
        <f>IFERROR(VLOOKUP(B1589,'تقرير المصروفات حسب الشهر'!$C$1143:$AD$1254,15,FALSE),0)</f>
        <v>0</v>
      </c>
      <c r="M1589" s="292">
        <f>IFERROR(VLOOKUP(B1589,'تقرير المصروفات حسب الشهر'!$C$1270:$AD$1381,15,FALSE),0)</f>
        <v>0</v>
      </c>
      <c r="N1589" s="31" t="e">
        <f>#REF!</f>
        <v>#REF!</v>
      </c>
      <c r="O1589" s="37" t="e">
        <f t="shared" si="39"/>
        <v>#REF!</v>
      </c>
    </row>
    <row r="1590" spans="2:15" ht="17.399999999999999">
      <c r="B1590" s="42" t="s">
        <v>89</v>
      </c>
      <c r="C1590" s="39">
        <f>'تقرير المصروفات حسب الشهر'!Q73</f>
        <v>0</v>
      </c>
      <c r="D1590" s="31" t="e">
        <f>#REF!</f>
        <v>#REF!</v>
      </c>
      <c r="E1590" s="31" t="e">
        <f>#REF!</f>
        <v>#REF!</v>
      </c>
      <c r="F1590" s="31" t="e">
        <f>#REF!</f>
        <v>#REF!</v>
      </c>
      <c r="G1590" s="31" t="e">
        <f>#REF!</f>
        <v>#REF!</v>
      </c>
      <c r="H1590" s="31" t="e">
        <f>#REF!</f>
        <v>#REF!</v>
      </c>
      <c r="I1590" s="31">
        <f>'تقرير المصروفات حسب الشهر'!Q826</f>
        <v>979</v>
      </c>
      <c r="J1590" s="31">
        <f>'تقرير المصروفات حسب الشهر'!Q953</f>
        <v>4439.3999999999996</v>
      </c>
      <c r="K1590" s="31">
        <f>'تقرير المصروفات حسب الشهر'!Q1080</f>
        <v>0</v>
      </c>
      <c r="L1590" s="292">
        <f>IFERROR(VLOOKUP(B1590,'تقرير المصروفات حسب الشهر'!$C$1143:$AD$1254,15,FALSE),0)</f>
        <v>0</v>
      </c>
      <c r="M1590" s="292">
        <f>IFERROR(VLOOKUP(B1590,'تقرير المصروفات حسب الشهر'!$C$1270:$AD$1381,15,FALSE),0)</f>
        <v>0</v>
      </c>
      <c r="N1590" s="31" t="e">
        <f>#REF!</f>
        <v>#REF!</v>
      </c>
      <c r="O1590" s="37" t="e">
        <f t="shared" si="39"/>
        <v>#REF!</v>
      </c>
    </row>
    <row r="1591" spans="2:15" ht="17.399999999999999">
      <c r="B1591" s="42" t="s">
        <v>33</v>
      </c>
      <c r="C1591" s="39">
        <f>'تقرير المصروفات حسب الشهر'!Q74</f>
        <v>23.96</v>
      </c>
      <c r="D1591" s="31" t="e">
        <f>#REF!</f>
        <v>#REF!</v>
      </c>
      <c r="E1591" s="31" t="e">
        <f>#REF!</f>
        <v>#REF!</v>
      </c>
      <c r="F1591" s="31" t="e">
        <f>#REF!</f>
        <v>#REF!</v>
      </c>
      <c r="G1591" s="31" t="e">
        <f>#REF!</f>
        <v>#REF!</v>
      </c>
      <c r="H1591" s="31" t="e">
        <f>#REF!</f>
        <v>#REF!</v>
      </c>
      <c r="I1591" s="31">
        <f>'تقرير المصروفات حسب الشهر'!Q827</f>
        <v>0</v>
      </c>
      <c r="J1591" s="31">
        <f>'تقرير المصروفات حسب الشهر'!Q954</f>
        <v>0</v>
      </c>
      <c r="K1591" s="31">
        <f>'تقرير المصروفات حسب الشهر'!Q1081</f>
        <v>0</v>
      </c>
      <c r="L1591" s="292">
        <f>IFERROR(VLOOKUP(B1591,'تقرير المصروفات حسب الشهر'!$C$1143:$AD$1254,15,FALSE),0)</f>
        <v>1325.76</v>
      </c>
      <c r="M1591" s="292">
        <f>IFERROR(VLOOKUP(B1591,'تقرير المصروفات حسب الشهر'!$C$1270:$AD$1381,15,FALSE),0)</f>
        <v>1105.82</v>
      </c>
      <c r="N1591" s="31" t="e">
        <f>#REF!</f>
        <v>#REF!</v>
      </c>
      <c r="O1591" s="37" t="e">
        <f t="shared" si="39"/>
        <v>#REF!</v>
      </c>
    </row>
    <row r="1592" spans="2:15" ht="17.399999999999999">
      <c r="B1592" s="42" t="s">
        <v>90</v>
      </c>
      <c r="C1592" s="39">
        <f>'تقرير المصروفات حسب الشهر'!Q75</f>
        <v>0</v>
      </c>
      <c r="D1592" s="31" t="e">
        <f>#REF!</f>
        <v>#REF!</v>
      </c>
      <c r="E1592" s="31" t="e">
        <f>#REF!</f>
        <v>#REF!</v>
      </c>
      <c r="F1592" s="31" t="e">
        <f>#REF!</f>
        <v>#REF!</v>
      </c>
      <c r="G1592" s="31" t="e">
        <f>#REF!</f>
        <v>#REF!</v>
      </c>
      <c r="H1592" s="31" t="e">
        <f>#REF!</f>
        <v>#REF!</v>
      </c>
      <c r="I1592" s="31">
        <f>'تقرير المصروفات حسب الشهر'!Q828</f>
        <v>0</v>
      </c>
      <c r="J1592" s="31">
        <f>'تقرير المصروفات حسب الشهر'!Q955</f>
        <v>0</v>
      </c>
      <c r="K1592" s="31">
        <f>'تقرير المصروفات حسب الشهر'!Q1082</f>
        <v>0</v>
      </c>
      <c r="L1592" s="292">
        <f>IFERROR(VLOOKUP(B1592,'تقرير المصروفات حسب الشهر'!$C$1143:$AD$1254,15,FALSE),0)</f>
        <v>0</v>
      </c>
      <c r="M1592" s="292">
        <f>IFERROR(VLOOKUP(B1592,'تقرير المصروفات حسب الشهر'!$C$1270:$AD$1381,15,FALSE),0)</f>
        <v>0</v>
      </c>
      <c r="N1592" s="31" t="e">
        <f>#REF!</f>
        <v>#REF!</v>
      </c>
      <c r="O1592" s="37" t="e">
        <f t="shared" ref="O1592:O1635" si="40">SUM(C1592:N1592)</f>
        <v>#REF!</v>
      </c>
    </row>
    <row r="1593" spans="2:15" ht="17.399999999999999">
      <c r="B1593" s="42" t="s">
        <v>91</v>
      </c>
      <c r="C1593" s="39">
        <f>'تقرير المصروفات حسب الشهر'!Q76</f>
        <v>0</v>
      </c>
      <c r="D1593" s="31" t="e">
        <f>#REF!</f>
        <v>#REF!</v>
      </c>
      <c r="E1593" s="31" t="e">
        <f>#REF!</f>
        <v>#REF!</v>
      </c>
      <c r="F1593" s="31" t="e">
        <f>#REF!</f>
        <v>#REF!</v>
      </c>
      <c r="G1593" s="31" t="e">
        <f>#REF!</f>
        <v>#REF!</v>
      </c>
      <c r="H1593" s="31" t="e">
        <f>#REF!</f>
        <v>#REF!</v>
      </c>
      <c r="I1593" s="31">
        <f>'تقرير المصروفات حسب الشهر'!Q829</f>
        <v>0</v>
      </c>
      <c r="J1593" s="31">
        <f>'تقرير المصروفات حسب الشهر'!Q956</f>
        <v>0</v>
      </c>
      <c r="K1593" s="31">
        <f>'تقرير المصروفات حسب الشهر'!Q1083</f>
        <v>0</v>
      </c>
      <c r="L1593" s="292">
        <f>IFERROR(VLOOKUP(B1593,'تقرير المصروفات حسب الشهر'!$C$1143:$AD$1254,15,FALSE),0)</f>
        <v>0</v>
      </c>
      <c r="M1593" s="292">
        <f>IFERROR(VLOOKUP(B1593,'تقرير المصروفات حسب الشهر'!$C$1270:$AD$1381,15,FALSE),0)</f>
        <v>0</v>
      </c>
      <c r="N1593" s="31" t="e">
        <f>#REF!</f>
        <v>#REF!</v>
      </c>
      <c r="O1593" s="37" t="e">
        <f t="shared" si="40"/>
        <v>#REF!</v>
      </c>
    </row>
    <row r="1594" spans="2:15" ht="17.399999999999999">
      <c r="B1594" s="42" t="s">
        <v>92</v>
      </c>
      <c r="C1594" s="39">
        <f>'تقرير المصروفات حسب الشهر'!Q77</f>
        <v>0</v>
      </c>
      <c r="D1594" s="31" t="e">
        <f>#REF!</f>
        <v>#REF!</v>
      </c>
      <c r="E1594" s="31" t="e">
        <f>#REF!</f>
        <v>#REF!</v>
      </c>
      <c r="F1594" s="31" t="e">
        <f>#REF!</f>
        <v>#REF!</v>
      </c>
      <c r="G1594" s="31" t="e">
        <f>#REF!</f>
        <v>#REF!</v>
      </c>
      <c r="H1594" s="31" t="e">
        <f>#REF!</f>
        <v>#REF!</v>
      </c>
      <c r="I1594" s="31">
        <f>'تقرير المصروفات حسب الشهر'!Q830</f>
        <v>0</v>
      </c>
      <c r="J1594" s="31">
        <f>'تقرير المصروفات حسب الشهر'!Q957</f>
        <v>0</v>
      </c>
      <c r="K1594" s="31">
        <f>'تقرير المصروفات حسب الشهر'!Q1084</f>
        <v>0</v>
      </c>
      <c r="L1594" s="292">
        <f>IFERROR(VLOOKUP(B1594,'تقرير المصروفات حسب الشهر'!$C$1143:$AD$1254,15,FALSE),0)</f>
        <v>0</v>
      </c>
      <c r="M1594" s="292">
        <f>IFERROR(VLOOKUP(B1594,'تقرير المصروفات حسب الشهر'!$C$1270:$AD$1381,15,FALSE),0)</f>
        <v>0</v>
      </c>
      <c r="N1594" s="31" t="e">
        <f>#REF!</f>
        <v>#REF!</v>
      </c>
      <c r="O1594" s="37" t="e">
        <f t="shared" si="40"/>
        <v>#REF!</v>
      </c>
    </row>
    <row r="1595" spans="2:15" ht="17.399999999999999">
      <c r="B1595" s="42" t="s">
        <v>93</v>
      </c>
      <c r="C1595" s="39">
        <f>'تقرير المصروفات حسب الشهر'!Q78</f>
        <v>0</v>
      </c>
      <c r="D1595" s="31" t="e">
        <f>#REF!</f>
        <v>#REF!</v>
      </c>
      <c r="E1595" s="31" t="e">
        <f>#REF!</f>
        <v>#REF!</v>
      </c>
      <c r="F1595" s="31" t="e">
        <f>#REF!</f>
        <v>#REF!</v>
      </c>
      <c r="G1595" s="31" t="e">
        <f>#REF!</f>
        <v>#REF!</v>
      </c>
      <c r="H1595" s="31" t="e">
        <f>#REF!</f>
        <v>#REF!</v>
      </c>
      <c r="I1595" s="31">
        <f>'تقرير المصروفات حسب الشهر'!Q831</f>
        <v>4630</v>
      </c>
      <c r="J1595" s="31">
        <f>'تقرير المصروفات حسب الشهر'!Q958</f>
        <v>4755</v>
      </c>
      <c r="K1595" s="31">
        <f>'تقرير المصروفات حسب الشهر'!Q1085</f>
        <v>4265</v>
      </c>
      <c r="L1595" s="292">
        <f>IFERROR(VLOOKUP(B1595,'تقرير المصروفات حسب الشهر'!$C$1143:$AD$1254,15,FALSE),0)</f>
        <v>0</v>
      </c>
      <c r="M1595" s="292">
        <f>IFERROR(VLOOKUP(B1595,'تقرير المصروفات حسب الشهر'!$C$1270:$AD$1381,15,FALSE),0)</f>
        <v>0</v>
      </c>
      <c r="N1595" s="31" t="e">
        <f>#REF!</f>
        <v>#REF!</v>
      </c>
      <c r="O1595" s="37" t="e">
        <f t="shared" si="40"/>
        <v>#REF!</v>
      </c>
    </row>
    <row r="1596" spans="2:15" ht="17.399999999999999">
      <c r="B1596" s="42" t="s">
        <v>94</v>
      </c>
      <c r="C1596" s="39">
        <f>'تقرير المصروفات حسب الشهر'!Q79</f>
        <v>4000</v>
      </c>
      <c r="D1596" s="31" t="e">
        <f>#REF!</f>
        <v>#REF!</v>
      </c>
      <c r="E1596" s="31" t="e">
        <f>#REF!</f>
        <v>#REF!</v>
      </c>
      <c r="F1596" s="31" t="e">
        <f>#REF!</f>
        <v>#REF!</v>
      </c>
      <c r="G1596" s="31" t="e">
        <f>#REF!</f>
        <v>#REF!</v>
      </c>
      <c r="H1596" s="31" t="e">
        <f>#REF!</f>
        <v>#REF!</v>
      </c>
      <c r="I1596" s="31">
        <f>'تقرير المصروفات حسب الشهر'!Q832</f>
        <v>1396.5</v>
      </c>
      <c r="J1596" s="31">
        <f>'تقرير المصروفات حسب الشهر'!Q959</f>
        <v>0</v>
      </c>
      <c r="K1596" s="31">
        <f>'تقرير المصروفات حسب الشهر'!Q1086</f>
        <v>0</v>
      </c>
      <c r="L1596" s="292">
        <f>IFERROR(VLOOKUP(B1596,'تقرير المصروفات حسب الشهر'!$C$1143:$AD$1254,15,FALSE),0)</f>
        <v>4150</v>
      </c>
      <c r="M1596" s="292">
        <f>IFERROR(VLOOKUP(B1596,'تقرير المصروفات حسب الشهر'!$C$1270:$AD$1381,15,FALSE),0)</f>
        <v>5980</v>
      </c>
      <c r="N1596" s="31" t="e">
        <f>#REF!</f>
        <v>#REF!</v>
      </c>
      <c r="O1596" s="37" t="e">
        <f t="shared" si="40"/>
        <v>#REF!</v>
      </c>
    </row>
    <row r="1597" spans="2:15" ht="17.399999999999999">
      <c r="B1597" s="42" t="s">
        <v>95</v>
      </c>
      <c r="C1597" s="39">
        <f>'تقرير المصروفات حسب الشهر'!Q80</f>
        <v>0</v>
      </c>
      <c r="D1597" s="31" t="e">
        <f>#REF!</f>
        <v>#REF!</v>
      </c>
      <c r="E1597" s="31" t="e">
        <f>#REF!</f>
        <v>#REF!</v>
      </c>
      <c r="F1597" s="31" t="e">
        <f>#REF!</f>
        <v>#REF!</v>
      </c>
      <c r="G1597" s="31" t="e">
        <f>#REF!</f>
        <v>#REF!</v>
      </c>
      <c r="H1597" s="31" t="e">
        <f>#REF!</f>
        <v>#REF!</v>
      </c>
      <c r="I1597" s="31">
        <f>'تقرير المصروفات حسب الشهر'!Q833</f>
        <v>668</v>
      </c>
      <c r="J1597" s="31">
        <f>'تقرير المصروفات حسب الشهر'!Q960</f>
        <v>1331.8</v>
      </c>
      <c r="K1597" s="31">
        <f>'تقرير المصروفات حسب الشهر'!Q1087</f>
        <v>0</v>
      </c>
      <c r="L1597" s="292">
        <f>IFERROR(VLOOKUP(B1597,'تقرير المصروفات حسب الشهر'!$C$1143:$AD$1254,15,FALSE),0)</f>
        <v>0</v>
      </c>
      <c r="M1597" s="292">
        <f>IFERROR(VLOOKUP(B1597,'تقرير المصروفات حسب الشهر'!$C$1270:$AD$1381,15,FALSE),0)</f>
        <v>0</v>
      </c>
      <c r="N1597" s="31" t="e">
        <f>#REF!</f>
        <v>#REF!</v>
      </c>
      <c r="O1597" s="37" t="e">
        <f t="shared" si="40"/>
        <v>#REF!</v>
      </c>
    </row>
    <row r="1598" spans="2:15" ht="17.399999999999999">
      <c r="B1598" s="42" t="s">
        <v>96</v>
      </c>
      <c r="C1598" s="39">
        <f>'تقرير المصروفات حسب الشهر'!Q81</f>
        <v>0</v>
      </c>
      <c r="D1598" s="31" t="e">
        <f>#REF!</f>
        <v>#REF!</v>
      </c>
      <c r="E1598" s="31" t="e">
        <f>#REF!</f>
        <v>#REF!</v>
      </c>
      <c r="F1598" s="31" t="e">
        <f>#REF!</f>
        <v>#REF!</v>
      </c>
      <c r="G1598" s="31" t="e">
        <f>#REF!</f>
        <v>#REF!</v>
      </c>
      <c r="H1598" s="31" t="e">
        <f>#REF!</f>
        <v>#REF!</v>
      </c>
      <c r="I1598" s="31">
        <f>'تقرير المصروفات حسب الشهر'!Q834</f>
        <v>801.93</v>
      </c>
      <c r="J1598" s="31">
        <f>'تقرير المصروفات حسب الشهر'!Q961</f>
        <v>801.93</v>
      </c>
      <c r="K1598" s="31">
        <f>'تقرير المصروفات حسب الشهر'!Q1088</f>
        <v>1191.93</v>
      </c>
      <c r="L1598" s="292">
        <f>IFERROR(VLOOKUP(B1598,'تقرير المصروفات حسب الشهر'!$C$1143:$AD$1254,15,FALSE),0)</f>
        <v>0</v>
      </c>
      <c r="M1598" s="292">
        <f>IFERROR(VLOOKUP(B1598,'تقرير المصروفات حسب الشهر'!$C$1270:$AD$1381,15,FALSE),0)</f>
        <v>0</v>
      </c>
      <c r="N1598" s="31" t="e">
        <f>#REF!</f>
        <v>#REF!</v>
      </c>
      <c r="O1598" s="37" t="e">
        <f t="shared" si="40"/>
        <v>#REF!</v>
      </c>
    </row>
    <row r="1599" spans="2:15" ht="17.399999999999999">
      <c r="B1599" s="42" t="s">
        <v>97</v>
      </c>
      <c r="C1599" s="39">
        <f>'تقرير المصروفات حسب الشهر'!Q82</f>
        <v>296.31</v>
      </c>
      <c r="D1599" s="31" t="e">
        <f>#REF!</f>
        <v>#REF!</v>
      </c>
      <c r="E1599" s="31" t="e">
        <f>#REF!</f>
        <v>#REF!</v>
      </c>
      <c r="F1599" s="31" t="e">
        <f>#REF!</f>
        <v>#REF!</v>
      </c>
      <c r="G1599" s="31" t="e">
        <f>#REF!</f>
        <v>#REF!</v>
      </c>
      <c r="H1599" s="31" t="e">
        <f>#REF!</f>
        <v>#REF!</v>
      </c>
      <c r="I1599" s="31">
        <f>'تقرير المصروفات حسب الشهر'!Q835</f>
        <v>0</v>
      </c>
      <c r="J1599" s="31">
        <f>'تقرير المصروفات حسب الشهر'!Q962</f>
        <v>0</v>
      </c>
      <c r="K1599" s="31">
        <f>'تقرير المصروفات حسب الشهر'!Q1089</f>
        <v>2130</v>
      </c>
      <c r="L1599" s="292">
        <f>IFERROR(VLOOKUP(B1599,'تقرير المصروفات حسب الشهر'!$C$1143:$AD$1254,15,FALSE),0)</f>
        <v>1181.93</v>
      </c>
      <c r="M1599" s="292">
        <f>IFERROR(VLOOKUP(B1599,'تقرير المصروفات حسب الشهر'!$C$1270:$AD$1381,15,FALSE),0)</f>
        <v>801.93</v>
      </c>
      <c r="N1599" s="31" t="e">
        <f>#REF!</f>
        <v>#REF!</v>
      </c>
      <c r="O1599" s="37" t="e">
        <f t="shared" si="40"/>
        <v>#REF!</v>
      </c>
    </row>
    <row r="1600" spans="2:15" ht="17.399999999999999">
      <c r="B1600" s="42" t="s">
        <v>192</v>
      </c>
      <c r="C1600" s="39">
        <f>'تقرير المصروفات حسب الشهر'!Q83</f>
        <v>0</v>
      </c>
      <c r="D1600" s="31" t="e">
        <f>#REF!</f>
        <v>#REF!</v>
      </c>
      <c r="E1600" s="31" t="e">
        <f>#REF!</f>
        <v>#REF!</v>
      </c>
      <c r="F1600" s="31" t="e">
        <f>#REF!</f>
        <v>#REF!</v>
      </c>
      <c r="G1600" s="31" t="e">
        <f>#REF!</f>
        <v>#REF!</v>
      </c>
      <c r="H1600" s="31" t="e">
        <f>#REF!</f>
        <v>#REF!</v>
      </c>
      <c r="I1600" s="31">
        <f>'تقرير المصروفات حسب الشهر'!Q836</f>
        <v>0</v>
      </c>
      <c r="J1600" s="31">
        <f>'تقرير المصروفات حسب الشهر'!Q963</f>
        <v>0</v>
      </c>
      <c r="K1600" s="31">
        <f>'تقرير المصروفات حسب الشهر'!Q1090</f>
        <v>0</v>
      </c>
      <c r="L1600" s="292">
        <f>IFERROR(VLOOKUP(B1600,'تقرير المصروفات حسب الشهر'!$C$1143:$AD$1254,15,FALSE),0)</f>
        <v>1065</v>
      </c>
      <c r="M1600" s="292">
        <f>IFERROR(VLOOKUP(B1600,'تقرير المصروفات حسب الشهر'!$C$1270:$AD$1381,15,FALSE),0)</f>
        <v>1065</v>
      </c>
      <c r="N1600" s="31" t="e">
        <f>#REF!</f>
        <v>#REF!</v>
      </c>
      <c r="O1600" s="37" t="e">
        <f t="shared" si="40"/>
        <v>#REF!</v>
      </c>
    </row>
    <row r="1601" spans="2:15" ht="17.399999999999999">
      <c r="B1601" s="42" t="s">
        <v>98</v>
      </c>
      <c r="C1601" s="39">
        <f>'تقرير المصروفات حسب الشهر'!Q84</f>
        <v>0</v>
      </c>
      <c r="D1601" s="31" t="e">
        <f>#REF!</f>
        <v>#REF!</v>
      </c>
      <c r="E1601" s="31" t="e">
        <f>#REF!</f>
        <v>#REF!</v>
      </c>
      <c r="F1601" s="31" t="e">
        <f>#REF!</f>
        <v>#REF!</v>
      </c>
      <c r="G1601" s="31" t="e">
        <f>#REF!</f>
        <v>#REF!</v>
      </c>
      <c r="H1601" s="31" t="e">
        <f>#REF!</f>
        <v>#REF!</v>
      </c>
      <c r="I1601" s="31">
        <f>'تقرير المصروفات حسب الشهر'!Q837</f>
        <v>0</v>
      </c>
      <c r="J1601" s="31">
        <f>'تقرير المصروفات حسب الشهر'!Q964</f>
        <v>0</v>
      </c>
      <c r="K1601" s="31">
        <f>'تقرير المصروفات حسب الشهر'!Q1091</f>
        <v>0</v>
      </c>
      <c r="L1601" s="292">
        <f>IFERROR(VLOOKUP(B1601,'تقرير المصروفات حسب الشهر'!$C$1143:$AD$1254,15,FALSE),0)</f>
        <v>0</v>
      </c>
      <c r="M1601" s="292">
        <f>IFERROR(VLOOKUP(B1601,'تقرير المصروفات حسب الشهر'!$C$1270:$AD$1381,15,FALSE),0)</f>
        <v>0</v>
      </c>
      <c r="N1601" s="31" t="e">
        <f>#REF!</f>
        <v>#REF!</v>
      </c>
      <c r="O1601" s="37" t="e">
        <f t="shared" si="40"/>
        <v>#REF!</v>
      </c>
    </row>
    <row r="1602" spans="2:15" ht="17.399999999999999">
      <c r="B1602" s="42" t="s">
        <v>99</v>
      </c>
      <c r="C1602" s="39">
        <f>'تقرير المصروفات حسب الشهر'!Q85</f>
        <v>0</v>
      </c>
      <c r="D1602" s="31" t="e">
        <f>#REF!</f>
        <v>#REF!</v>
      </c>
      <c r="E1602" s="31" t="e">
        <f>#REF!</f>
        <v>#REF!</v>
      </c>
      <c r="F1602" s="31" t="e">
        <f>#REF!</f>
        <v>#REF!</v>
      </c>
      <c r="G1602" s="31" t="e">
        <f>#REF!</f>
        <v>#REF!</v>
      </c>
      <c r="H1602" s="31" t="e">
        <f>#REF!</f>
        <v>#REF!</v>
      </c>
      <c r="I1602" s="31">
        <f>'تقرير المصروفات حسب الشهر'!Q838</f>
        <v>23.33</v>
      </c>
      <c r="J1602" s="31">
        <f>'تقرير المصروفات حسب الشهر'!Q965</f>
        <v>23.33</v>
      </c>
      <c r="K1602" s="31">
        <f>'تقرير المصروفات حسب الشهر'!Q1092</f>
        <v>23.33</v>
      </c>
      <c r="L1602" s="292">
        <f>IFERROR(VLOOKUP(B1602,'تقرير المصروفات حسب الشهر'!$C$1143:$AD$1254,15,FALSE),0)</f>
        <v>0</v>
      </c>
      <c r="M1602" s="292">
        <f>IFERROR(VLOOKUP(B1602,'تقرير المصروفات حسب الشهر'!$C$1270:$AD$1381,15,FALSE),0)</f>
        <v>0</v>
      </c>
      <c r="N1602" s="31" t="e">
        <f>#REF!</f>
        <v>#REF!</v>
      </c>
      <c r="O1602" s="37" t="e">
        <f t="shared" si="40"/>
        <v>#REF!</v>
      </c>
    </row>
    <row r="1603" spans="2:15" ht="17.399999999999999">
      <c r="B1603" s="42" t="s">
        <v>100</v>
      </c>
      <c r="C1603" s="39">
        <f>'تقرير المصروفات حسب الشهر'!Q86</f>
        <v>23.33</v>
      </c>
      <c r="D1603" s="31" t="e">
        <f>#REF!</f>
        <v>#REF!</v>
      </c>
      <c r="E1603" s="31" t="e">
        <f>#REF!</f>
        <v>#REF!</v>
      </c>
      <c r="F1603" s="31" t="e">
        <f>#REF!</f>
        <v>#REF!</v>
      </c>
      <c r="G1603" s="31" t="e">
        <f>#REF!</f>
        <v>#REF!</v>
      </c>
      <c r="H1603" s="31" t="e">
        <f>#REF!</f>
        <v>#REF!</v>
      </c>
      <c r="I1603" s="31">
        <f>'تقرير المصروفات حسب الشهر'!Q839</f>
        <v>1404.17</v>
      </c>
      <c r="J1603" s="31">
        <f>'تقرير المصروفات حسب الشهر'!Q966</f>
        <v>1404.17</v>
      </c>
      <c r="K1603" s="31">
        <f>'تقرير المصروفات حسب الشهر'!Q1093</f>
        <v>1404.17</v>
      </c>
      <c r="L1603" s="292">
        <f>IFERROR(VLOOKUP(B1603,'تقرير المصروفات حسب الشهر'!$C$1143:$AD$1254,15,FALSE),0)</f>
        <v>23.33</v>
      </c>
      <c r="M1603" s="292">
        <f>IFERROR(VLOOKUP(B1603,'تقرير المصروفات حسب الشهر'!$C$1270:$AD$1381,15,FALSE),0)</f>
        <v>23.33</v>
      </c>
      <c r="N1603" s="31" t="e">
        <f>#REF!</f>
        <v>#REF!</v>
      </c>
      <c r="O1603" s="37" t="e">
        <f t="shared" si="40"/>
        <v>#REF!</v>
      </c>
    </row>
    <row r="1604" spans="2:15" ht="17.399999999999999">
      <c r="B1604" s="42" t="s">
        <v>101</v>
      </c>
      <c r="C1604" s="39">
        <f>'تقرير المصروفات حسب الشهر'!Q87</f>
        <v>23.33</v>
      </c>
      <c r="D1604" s="31" t="e">
        <f>#REF!</f>
        <v>#REF!</v>
      </c>
      <c r="E1604" s="31" t="e">
        <f>#REF!</f>
        <v>#REF!</v>
      </c>
      <c r="F1604" s="31" t="e">
        <f>#REF!</f>
        <v>#REF!</v>
      </c>
      <c r="G1604" s="31" t="e">
        <f>#REF!</f>
        <v>#REF!</v>
      </c>
      <c r="H1604" s="31" t="e">
        <f>#REF!</f>
        <v>#REF!</v>
      </c>
      <c r="I1604" s="31">
        <f>'تقرير المصروفات حسب الشهر'!Q840</f>
        <v>1560.52</v>
      </c>
      <c r="J1604" s="31">
        <f>'تقرير المصروفات حسب الشهر'!Q967</f>
        <v>1565.82</v>
      </c>
      <c r="K1604" s="31">
        <f>'تقرير المصروفات حسب الشهر'!Q1094</f>
        <v>1601.73</v>
      </c>
      <c r="L1604" s="292">
        <f>IFERROR(VLOOKUP(B1604,'تقرير المصروفات حسب الشهر'!$C$1143:$AD$1254,15,FALSE),0)</f>
        <v>1404.17</v>
      </c>
      <c r="M1604" s="292">
        <f>IFERROR(VLOOKUP(B1604,'تقرير المصروفات حسب الشهر'!$C$1270:$AD$1381,15,FALSE),0)</f>
        <v>1404.17</v>
      </c>
      <c r="N1604" s="31" t="e">
        <f>#REF!</f>
        <v>#REF!</v>
      </c>
      <c r="O1604" s="37" t="e">
        <f t="shared" si="40"/>
        <v>#REF!</v>
      </c>
    </row>
    <row r="1605" spans="2:15" ht="17.399999999999999">
      <c r="B1605" s="42" t="s">
        <v>102</v>
      </c>
      <c r="C1605" s="39">
        <f>'تقرير المصروفات حسب الشهر'!Q88</f>
        <v>710.67</v>
      </c>
      <c r="D1605" s="31" t="e">
        <f>#REF!</f>
        <v>#REF!</v>
      </c>
      <c r="E1605" s="31" t="e">
        <f>#REF!</f>
        <v>#REF!</v>
      </c>
      <c r="F1605" s="31" t="e">
        <f>#REF!</f>
        <v>#REF!</v>
      </c>
      <c r="G1605" s="31" t="e">
        <f>#REF!</f>
        <v>#REF!</v>
      </c>
      <c r="H1605" s="31" t="e">
        <f>#REF!</f>
        <v>#REF!</v>
      </c>
      <c r="I1605" s="31">
        <f>'تقرير المصروفات حسب الشهر'!Q841</f>
        <v>53.44</v>
      </c>
      <c r="J1605" s="31">
        <f>'تقرير المصروفات حسب الشهر'!Q968</f>
        <v>38.17</v>
      </c>
      <c r="K1605" s="31">
        <f>'تقرير المصروفات حسب الشهر'!Q1095</f>
        <v>0</v>
      </c>
      <c r="L1605" s="292">
        <f>IFERROR(VLOOKUP(B1605,'تقرير المصروفات حسب الشهر'!$C$1143:$AD$1254,15,FALSE),0)</f>
        <v>1680.63</v>
      </c>
      <c r="M1605" s="292">
        <f>IFERROR(VLOOKUP(B1605,'تقرير المصروفات حسب الشهر'!$C$1270:$AD$1381,15,FALSE),0)</f>
        <v>1674.48</v>
      </c>
      <c r="N1605" s="31" t="e">
        <f>#REF!</f>
        <v>#REF!</v>
      </c>
      <c r="O1605" s="37" t="e">
        <f t="shared" si="40"/>
        <v>#REF!</v>
      </c>
    </row>
    <row r="1606" spans="2:15" ht="17.399999999999999">
      <c r="B1606" s="42" t="s">
        <v>103</v>
      </c>
      <c r="C1606" s="39">
        <f>'تقرير المصروفات حسب الشهر'!Q89</f>
        <v>53.44</v>
      </c>
      <c r="D1606" s="31" t="e">
        <f>#REF!</f>
        <v>#REF!</v>
      </c>
      <c r="E1606" s="31" t="e">
        <f>#REF!</f>
        <v>#REF!</v>
      </c>
      <c r="F1606" s="31" t="e">
        <f>#REF!</f>
        <v>#REF!</v>
      </c>
      <c r="G1606" s="31" t="e">
        <f>#REF!</f>
        <v>#REF!</v>
      </c>
      <c r="H1606" s="31" t="e">
        <f>#REF!</f>
        <v>#REF!</v>
      </c>
      <c r="I1606" s="31">
        <f>'تقرير المصروفات حسب الشهر'!Q842</f>
        <v>274.49</v>
      </c>
      <c r="J1606" s="31">
        <f>'تقرير المصروفات حسب الشهر'!Q969</f>
        <v>274.49</v>
      </c>
      <c r="K1606" s="31">
        <f>'تقرير المصروفات حسب الشهر'!Q1096</f>
        <v>274.49</v>
      </c>
      <c r="L1606" s="292">
        <f>IFERROR(VLOOKUP(B1606,'تقرير المصروفات حسب الشهر'!$C$1143:$AD$1254,15,FALSE),0)</f>
        <v>0</v>
      </c>
      <c r="M1606" s="292">
        <f>IFERROR(VLOOKUP(B1606,'تقرير المصروفات حسب الشهر'!$C$1270:$AD$1381,15,FALSE),0)</f>
        <v>0</v>
      </c>
      <c r="N1606" s="31" t="e">
        <f>#REF!</f>
        <v>#REF!</v>
      </c>
      <c r="O1606" s="37" t="e">
        <f t="shared" si="40"/>
        <v>#REF!</v>
      </c>
    </row>
    <row r="1607" spans="2:15" ht="17.399999999999999">
      <c r="B1607" s="42" t="s">
        <v>104</v>
      </c>
      <c r="C1607" s="39">
        <f>'تقرير المصروفات حسب الشهر'!Q90</f>
        <v>305.82</v>
      </c>
      <c r="D1607" s="31" t="e">
        <f>#REF!</f>
        <v>#REF!</v>
      </c>
      <c r="E1607" s="31" t="e">
        <f>#REF!</f>
        <v>#REF!</v>
      </c>
      <c r="F1607" s="31" t="e">
        <f>#REF!</f>
        <v>#REF!</v>
      </c>
      <c r="G1607" s="31" t="e">
        <f>#REF!</f>
        <v>#REF!</v>
      </c>
      <c r="H1607" s="31" t="e">
        <f>#REF!</f>
        <v>#REF!</v>
      </c>
      <c r="I1607" s="31">
        <f>'تقرير المصروفات حسب الشهر'!Q843</f>
        <v>5393.6</v>
      </c>
      <c r="J1607" s="31">
        <f>'تقرير المصروفات حسب الشهر'!Q970</f>
        <v>3077.44</v>
      </c>
      <c r="K1607" s="31">
        <f>'تقرير المصروفات حسب الشهر'!Q1097</f>
        <v>2915.77</v>
      </c>
      <c r="L1607" s="292">
        <f>IFERROR(VLOOKUP(B1607,'تقرير المصروفات حسب الشهر'!$C$1143:$AD$1254,15,FALSE),0)</f>
        <v>274.49</v>
      </c>
      <c r="M1607" s="292">
        <f>IFERROR(VLOOKUP(B1607,'تقرير المصروفات حسب الشهر'!$C$1270:$AD$1381,15,FALSE),0)</f>
        <v>274.36</v>
      </c>
      <c r="N1607" s="31" t="e">
        <f>#REF!</f>
        <v>#REF!</v>
      </c>
      <c r="O1607" s="37" t="e">
        <f t="shared" si="40"/>
        <v>#REF!</v>
      </c>
    </row>
    <row r="1608" spans="2:15" ht="17.399999999999999">
      <c r="B1608" s="42" t="s">
        <v>105</v>
      </c>
      <c r="C1608" s="39">
        <f>'تقرير المصروفات حسب الشهر'!Q91</f>
        <v>5967.45</v>
      </c>
      <c r="D1608" s="31" t="e">
        <f>#REF!</f>
        <v>#REF!</v>
      </c>
      <c r="E1608" s="31" t="e">
        <f>#REF!</f>
        <v>#REF!</v>
      </c>
      <c r="F1608" s="31" t="e">
        <f>#REF!</f>
        <v>#REF!</v>
      </c>
      <c r="G1608" s="31" t="e">
        <f>#REF!</f>
        <v>#REF!</v>
      </c>
      <c r="H1608" s="31" t="e">
        <f>#REF!</f>
        <v>#REF!</v>
      </c>
      <c r="I1608" s="31">
        <f>'تقرير المصروفات حسب الشهر'!Q844</f>
        <v>0</v>
      </c>
      <c r="J1608" s="31">
        <f>'تقرير المصروفات حسب الشهر'!Q971</f>
        <v>0</v>
      </c>
      <c r="K1608" s="31">
        <f>'تقرير المصروفات حسب الشهر'!Q1098</f>
        <v>0</v>
      </c>
      <c r="L1608" s="292">
        <f>IFERROR(VLOOKUP(B1608,'تقرير المصروفات حسب الشهر'!$C$1143:$AD$1254,15,FALSE),0)</f>
        <v>2754.1</v>
      </c>
      <c r="M1608" s="292">
        <f>IFERROR(VLOOKUP(B1608,'تقرير المصروفات حسب الشهر'!$C$1270:$AD$1381,15,FALSE),0)</f>
        <v>2784.32</v>
      </c>
      <c r="N1608" s="31" t="e">
        <f>#REF!</f>
        <v>#REF!</v>
      </c>
      <c r="O1608" s="37" t="e">
        <f t="shared" si="40"/>
        <v>#REF!</v>
      </c>
    </row>
    <row r="1609" spans="2:15" ht="17.399999999999999">
      <c r="B1609" s="42" t="s">
        <v>106</v>
      </c>
      <c r="C1609" s="39">
        <f>'تقرير المصروفات حسب الشهر'!Q92</f>
        <v>0</v>
      </c>
      <c r="D1609" s="31" t="e">
        <f>#REF!</f>
        <v>#REF!</v>
      </c>
      <c r="E1609" s="31" t="e">
        <f>#REF!</f>
        <v>#REF!</v>
      </c>
      <c r="F1609" s="31" t="e">
        <f>#REF!</f>
        <v>#REF!</v>
      </c>
      <c r="G1609" s="31" t="e">
        <f>#REF!</f>
        <v>#REF!</v>
      </c>
      <c r="H1609" s="31" t="e">
        <f>#REF!</f>
        <v>#REF!</v>
      </c>
      <c r="I1609" s="31">
        <f>'تقرير المصروفات حسب الشهر'!Q845</f>
        <v>0</v>
      </c>
      <c r="J1609" s="31">
        <f>'تقرير المصروفات حسب الشهر'!Q972</f>
        <v>0</v>
      </c>
      <c r="K1609" s="31">
        <f>'تقرير المصروفات حسب الشهر'!Q1099</f>
        <v>0</v>
      </c>
      <c r="L1609" s="292">
        <f>IFERROR(VLOOKUP(B1609,'تقرير المصروفات حسب الشهر'!$C$1143:$AD$1254,15,FALSE),0)</f>
        <v>0</v>
      </c>
      <c r="M1609" s="292">
        <f>IFERROR(VLOOKUP(B1609,'تقرير المصروفات حسب الشهر'!$C$1270:$AD$1381,15,FALSE),0)</f>
        <v>0</v>
      </c>
      <c r="N1609" s="31" t="e">
        <f>#REF!</f>
        <v>#REF!</v>
      </c>
      <c r="O1609" s="37" t="e">
        <f t="shared" si="40"/>
        <v>#REF!</v>
      </c>
    </row>
    <row r="1610" spans="2:15" ht="17.399999999999999">
      <c r="B1610" s="42" t="s">
        <v>107</v>
      </c>
      <c r="C1610" s="39">
        <f>'تقرير المصروفات حسب الشهر'!Q93</f>
        <v>0</v>
      </c>
      <c r="D1610" s="31" t="e">
        <f>#REF!</f>
        <v>#REF!</v>
      </c>
      <c r="E1610" s="31" t="e">
        <f>#REF!</f>
        <v>#REF!</v>
      </c>
      <c r="F1610" s="31" t="e">
        <f>#REF!</f>
        <v>#REF!</v>
      </c>
      <c r="G1610" s="31" t="e">
        <f>#REF!</f>
        <v>#REF!</v>
      </c>
      <c r="H1610" s="31" t="e">
        <f>#REF!</f>
        <v>#REF!</v>
      </c>
      <c r="I1610" s="31">
        <f>'تقرير المصروفات حسب الشهر'!Q846</f>
        <v>34033.93</v>
      </c>
      <c r="J1610" s="31">
        <f>'تقرير المصروفات حسب الشهر'!Q973</f>
        <v>35058.89</v>
      </c>
      <c r="K1610" s="31">
        <f>'تقرير المصروفات حسب الشهر'!Q1100</f>
        <v>34471.050000000003</v>
      </c>
      <c r="L1610" s="292">
        <f>IFERROR(VLOOKUP(B1610,'تقرير المصروفات حسب الشهر'!$C$1143:$AD$1254,15,FALSE),0)</f>
        <v>0</v>
      </c>
      <c r="M1610" s="292">
        <f>IFERROR(VLOOKUP(B1610,'تقرير المصروفات حسب الشهر'!$C$1270:$AD$1381,15,FALSE),0)</f>
        <v>0</v>
      </c>
      <c r="N1610" s="31" t="e">
        <f>#REF!</f>
        <v>#REF!</v>
      </c>
      <c r="O1610" s="37" t="e">
        <f t="shared" si="40"/>
        <v>#REF!</v>
      </c>
    </row>
    <row r="1611" spans="2:15" ht="17.399999999999999">
      <c r="B1611" s="42" t="s">
        <v>108</v>
      </c>
      <c r="C1611" s="39">
        <f>'تقرير المصروفات حسب الشهر'!Q94</f>
        <v>32065.59</v>
      </c>
      <c r="D1611" s="31" t="e">
        <f>#REF!</f>
        <v>#REF!</v>
      </c>
      <c r="E1611" s="31" t="e">
        <f>#REF!</f>
        <v>#REF!</v>
      </c>
      <c r="F1611" s="31" t="e">
        <f>#REF!</f>
        <v>#REF!</v>
      </c>
      <c r="G1611" s="31" t="e">
        <f>#REF!</f>
        <v>#REF!</v>
      </c>
      <c r="H1611" s="31" t="e">
        <f>#REF!</f>
        <v>#REF!</v>
      </c>
      <c r="I1611" s="31">
        <f>'تقرير المصروفات حسب الشهر'!Q847</f>
        <v>0</v>
      </c>
      <c r="J1611" s="31">
        <f>'تقرير المصروفات حسب الشهر'!Q974</f>
        <v>0</v>
      </c>
      <c r="K1611" s="31">
        <f>'تقرير المصروفات حسب الشهر'!Q1101</f>
        <v>0</v>
      </c>
      <c r="L1611" s="292">
        <f>IFERROR(VLOOKUP(B1611,'تقرير المصروفات حسب الشهر'!$C$1143:$AD$1254,15,FALSE),0)</f>
        <v>34755.020000000004</v>
      </c>
      <c r="M1611" s="292">
        <f>IFERROR(VLOOKUP(B1611,'تقرير المصروفات حسب الشهر'!$C$1270:$AD$1381,15,FALSE),0)</f>
        <v>31033.94</v>
      </c>
      <c r="N1611" s="31" t="e">
        <f>#REF!</f>
        <v>#REF!</v>
      </c>
      <c r="O1611" s="37" t="e">
        <f t="shared" si="40"/>
        <v>#REF!</v>
      </c>
    </row>
    <row r="1612" spans="2:15" ht="17.399999999999999">
      <c r="B1612" s="42" t="s">
        <v>109</v>
      </c>
      <c r="C1612" s="39">
        <f>'تقرير المصروفات حسب الشهر'!Q95</f>
        <v>0</v>
      </c>
      <c r="D1612" s="31" t="e">
        <f>#REF!</f>
        <v>#REF!</v>
      </c>
      <c r="E1612" s="31" t="e">
        <f>#REF!</f>
        <v>#REF!</v>
      </c>
      <c r="F1612" s="31" t="e">
        <f>#REF!</f>
        <v>#REF!</v>
      </c>
      <c r="G1612" s="31" t="e">
        <f>#REF!</f>
        <v>#REF!</v>
      </c>
      <c r="H1612" s="31" t="e">
        <f>#REF!</f>
        <v>#REF!</v>
      </c>
      <c r="I1612" s="31">
        <f>'تقرير المصروفات حسب الشهر'!Q848</f>
        <v>0</v>
      </c>
      <c r="J1612" s="31">
        <f>'تقرير المصروفات حسب الشهر'!Q975</f>
        <v>0</v>
      </c>
      <c r="K1612" s="31">
        <f>'تقرير المصروفات حسب الشهر'!Q1102</f>
        <v>0</v>
      </c>
      <c r="L1612" s="292">
        <f>IFERROR(VLOOKUP(B1612,'تقرير المصروفات حسب الشهر'!$C$1143:$AD$1254,15,FALSE),0)</f>
        <v>0</v>
      </c>
      <c r="M1612" s="292">
        <f>IFERROR(VLOOKUP(B1612,'تقرير المصروفات حسب الشهر'!$C$1270:$AD$1381,15,FALSE),0)</f>
        <v>0</v>
      </c>
      <c r="N1612" s="31" t="e">
        <f>#REF!</f>
        <v>#REF!</v>
      </c>
      <c r="O1612" s="37" t="e">
        <f t="shared" si="40"/>
        <v>#REF!</v>
      </c>
    </row>
    <row r="1613" spans="2:15" ht="17.399999999999999">
      <c r="B1613" s="42" t="s">
        <v>110</v>
      </c>
      <c r="C1613" s="39">
        <f>'تقرير المصروفات حسب الشهر'!Q96</f>
        <v>0</v>
      </c>
      <c r="D1613" s="31" t="e">
        <f>#REF!</f>
        <v>#REF!</v>
      </c>
      <c r="E1613" s="31" t="e">
        <f>#REF!</f>
        <v>#REF!</v>
      </c>
      <c r="F1613" s="31" t="e">
        <f>#REF!</f>
        <v>#REF!</v>
      </c>
      <c r="G1613" s="31" t="e">
        <f>#REF!</f>
        <v>#REF!</v>
      </c>
      <c r="H1613" s="31" t="e">
        <f>#REF!</f>
        <v>#REF!</v>
      </c>
      <c r="I1613" s="31">
        <f>'تقرير المصروفات حسب الشهر'!Q849</f>
        <v>0</v>
      </c>
      <c r="J1613" s="31">
        <f>'تقرير المصروفات حسب الشهر'!Q976</f>
        <v>0</v>
      </c>
      <c r="K1613" s="31">
        <f>'تقرير المصروفات حسب الشهر'!Q1103</f>
        <v>0</v>
      </c>
      <c r="L1613" s="292">
        <f>IFERROR(VLOOKUP(B1613,'تقرير المصروفات حسب الشهر'!$C$1143:$AD$1254,15,FALSE),0)</f>
        <v>0</v>
      </c>
      <c r="M1613" s="292">
        <f>IFERROR(VLOOKUP(B1613,'تقرير المصروفات حسب الشهر'!$C$1270:$AD$1381,15,FALSE),0)</f>
        <v>0</v>
      </c>
      <c r="N1613" s="31" t="e">
        <f>#REF!</f>
        <v>#REF!</v>
      </c>
      <c r="O1613" s="37" t="e">
        <f t="shared" si="40"/>
        <v>#REF!</v>
      </c>
    </row>
    <row r="1614" spans="2:15" ht="17.399999999999999">
      <c r="B1614" s="42" t="s">
        <v>112</v>
      </c>
      <c r="C1614" s="39">
        <f>'تقرير المصروفات حسب الشهر'!Q97</f>
        <v>0</v>
      </c>
      <c r="D1614" s="31" t="e">
        <f>#REF!</f>
        <v>#REF!</v>
      </c>
      <c r="E1614" s="31" t="e">
        <f>#REF!</f>
        <v>#REF!</v>
      </c>
      <c r="F1614" s="31" t="e">
        <f>#REF!</f>
        <v>#REF!</v>
      </c>
      <c r="G1614" s="31" t="e">
        <f>#REF!</f>
        <v>#REF!</v>
      </c>
      <c r="H1614" s="31" t="e">
        <f>#REF!</f>
        <v>#REF!</v>
      </c>
      <c r="I1614" s="31">
        <f>'تقرير المصروفات حسب الشهر'!Q850</f>
        <v>6645.16</v>
      </c>
      <c r="J1614" s="31">
        <f>'تقرير المصروفات حسب الشهر'!Q977</f>
        <v>0</v>
      </c>
      <c r="K1614" s="31">
        <f>'تقرير المصروفات حسب الشهر'!Q1104</f>
        <v>0</v>
      </c>
      <c r="L1614" s="292">
        <f>IFERROR(VLOOKUP(B1614,'تقرير المصروفات حسب الشهر'!$C$1143:$AD$1254,15,FALSE),0)</f>
        <v>0</v>
      </c>
      <c r="M1614" s="292">
        <f>IFERROR(VLOOKUP(B1614,'تقرير المصروفات حسب الشهر'!$C$1270:$AD$1381,15,FALSE),0)</f>
        <v>5808.29</v>
      </c>
      <c r="N1614" s="31" t="e">
        <f>#REF!</f>
        <v>#REF!</v>
      </c>
      <c r="O1614" s="37" t="e">
        <f t="shared" si="40"/>
        <v>#REF!</v>
      </c>
    </row>
    <row r="1615" spans="2:15" ht="17.399999999999999">
      <c r="B1615" s="42" t="s">
        <v>113</v>
      </c>
      <c r="C1615" s="39">
        <f>'تقرير المصروفات حسب الشهر'!Q98</f>
        <v>0</v>
      </c>
      <c r="D1615" s="31" t="e">
        <f>#REF!</f>
        <v>#REF!</v>
      </c>
      <c r="E1615" s="31" t="e">
        <f>#REF!</f>
        <v>#REF!</v>
      </c>
      <c r="F1615" s="31" t="e">
        <f>#REF!</f>
        <v>#REF!</v>
      </c>
      <c r="G1615" s="31" t="e">
        <f>#REF!</f>
        <v>#REF!</v>
      </c>
      <c r="H1615" s="31" t="e">
        <f>#REF!</f>
        <v>#REF!</v>
      </c>
      <c r="I1615" s="31">
        <f>'تقرير المصروفات حسب الشهر'!Q851</f>
        <v>0</v>
      </c>
      <c r="J1615" s="31">
        <f>'تقرير المصروفات حسب الشهر'!Q978</f>
        <v>0</v>
      </c>
      <c r="K1615" s="31">
        <f>'تقرير المصروفات حسب الشهر'!Q1105</f>
        <v>0</v>
      </c>
      <c r="L1615" s="292">
        <f>IFERROR(VLOOKUP(B1615,'تقرير المصروفات حسب الشهر'!$C$1143:$AD$1254,15,FALSE),0)</f>
        <v>0</v>
      </c>
      <c r="M1615" s="292">
        <f>IFERROR(VLOOKUP(B1615,'تقرير المصروفات حسب الشهر'!$C$1270:$AD$1381,15,FALSE),0)</f>
        <v>2269.62</v>
      </c>
      <c r="N1615" s="31" t="e">
        <f>#REF!</f>
        <v>#REF!</v>
      </c>
      <c r="O1615" s="37" t="e">
        <f t="shared" si="40"/>
        <v>#REF!</v>
      </c>
    </row>
    <row r="1616" spans="2:15" ht="17.399999999999999">
      <c r="B1616" s="42" t="s">
        <v>137</v>
      </c>
      <c r="C1616" s="39">
        <f>'تقرير المصروفات حسب الشهر'!Q99</f>
        <v>0</v>
      </c>
      <c r="D1616" s="31" t="e">
        <f>#REF!</f>
        <v>#REF!</v>
      </c>
      <c r="E1616" s="31" t="e">
        <f>#REF!</f>
        <v>#REF!</v>
      </c>
      <c r="F1616" s="31" t="e">
        <f>#REF!</f>
        <v>#REF!</v>
      </c>
      <c r="G1616" s="31" t="e">
        <f>#REF!</f>
        <v>#REF!</v>
      </c>
      <c r="H1616" s="31" t="e">
        <f>#REF!</f>
        <v>#REF!</v>
      </c>
      <c r="I1616" s="31">
        <f>'تقرير المصروفات حسب الشهر'!Q852</f>
        <v>820</v>
      </c>
      <c r="J1616" s="31">
        <f>'تقرير المصروفات حسب الشهر'!Q979</f>
        <v>0</v>
      </c>
      <c r="K1616" s="31">
        <f>'تقرير المصروفات حسب الشهر'!Q1106</f>
        <v>0</v>
      </c>
      <c r="L1616" s="292">
        <f>IFERROR(VLOOKUP(B1616,'تقرير المصروفات حسب الشهر'!$C$1143:$AD$1254,15,FALSE),0)</f>
        <v>0</v>
      </c>
      <c r="M1616" s="292">
        <f>IFERROR(VLOOKUP(B1616,'تقرير المصروفات حسب الشهر'!$C$1270:$AD$1381,15,FALSE),0)</f>
        <v>0</v>
      </c>
      <c r="N1616" s="31" t="e">
        <f>#REF!</f>
        <v>#REF!</v>
      </c>
      <c r="O1616" s="37" t="e">
        <f t="shared" si="40"/>
        <v>#REF!</v>
      </c>
    </row>
    <row r="1617" spans="2:15" ht="17.399999999999999">
      <c r="B1617" s="42" t="s">
        <v>140</v>
      </c>
      <c r="C1617" s="39">
        <f>'تقرير المصروفات حسب الشهر'!Q100</f>
        <v>901</v>
      </c>
      <c r="D1617" s="31" t="e">
        <f>#REF!</f>
        <v>#REF!</v>
      </c>
      <c r="E1617" s="31" t="e">
        <f>#REF!</f>
        <v>#REF!</v>
      </c>
      <c r="F1617" s="31" t="e">
        <f>#REF!</f>
        <v>#REF!</v>
      </c>
      <c r="G1617" s="31" t="e">
        <f>#REF!</f>
        <v>#REF!</v>
      </c>
      <c r="H1617" s="31" t="e">
        <f>#REF!</f>
        <v>#REF!</v>
      </c>
      <c r="I1617" s="31">
        <f>'تقرير المصروفات حسب الشهر'!Q853</f>
        <v>0</v>
      </c>
      <c r="J1617" s="31">
        <f>'تقرير المصروفات حسب الشهر'!Q980</f>
        <v>0</v>
      </c>
      <c r="K1617" s="31">
        <f>'تقرير المصروفات حسب الشهر'!Q1107</f>
        <v>0</v>
      </c>
      <c r="L1617" s="292">
        <f>IFERROR(VLOOKUP(B1617,'تقرير المصروفات حسب الشهر'!$C$1143:$AD$1254,15,FALSE),0)</f>
        <v>2832</v>
      </c>
      <c r="M1617" s="292">
        <f>IFERROR(VLOOKUP(B1617,'تقرير المصروفات حسب الشهر'!$C$1270:$AD$1381,15,FALSE),0)</f>
        <v>0</v>
      </c>
      <c r="N1617" s="31" t="e">
        <f>#REF!</f>
        <v>#REF!</v>
      </c>
      <c r="O1617" s="37" t="e">
        <f t="shared" si="40"/>
        <v>#REF!</v>
      </c>
    </row>
    <row r="1618" spans="2:15" ht="17.399999999999999">
      <c r="B1618" s="42" t="s">
        <v>141</v>
      </c>
      <c r="C1618" s="39">
        <f>'تقرير المصروفات حسب الشهر'!Q101</f>
        <v>0</v>
      </c>
      <c r="D1618" s="31" t="e">
        <f>#REF!</f>
        <v>#REF!</v>
      </c>
      <c r="E1618" s="31" t="e">
        <f>#REF!</f>
        <v>#REF!</v>
      </c>
      <c r="F1618" s="31" t="e">
        <f>#REF!</f>
        <v>#REF!</v>
      </c>
      <c r="G1618" s="31" t="e">
        <f>#REF!</f>
        <v>#REF!</v>
      </c>
      <c r="H1618" s="31" t="e">
        <f>#REF!</f>
        <v>#REF!</v>
      </c>
      <c r="I1618" s="31">
        <f>'تقرير المصروفات حسب الشهر'!Q854</f>
        <v>0</v>
      </c>
      <c r="J1618" s="31">
        <f>'تقرير المصروفات حسب الشهر'!Q981</f>
        <v>3400</v>
      </c>
      <c r="K1618" s="31">
        <f>'تقرير المصروفات حسب الشهر'!Q1108</f>
        <v>-6000</v>
      </c>
      <c r="L1618" s="292">
        <f>IFERROR(VLOOKUP(B1618,'تقرير المصروفات حسب الشهر'!$C$1143:$AD$1254,15,FALSE),0)</f>
        <v>0</v>
      </c>
      <c r="M1618" s="292">
        <f>IFERROR(VLOOKUP(B1618,'تقرير المصروفات حسب الشهر'!$C$1270:$AD$1381,15,FALSE),0)</f>
        <v>0</v>
      </c>
      <c r="N1618" s="31" t="e">
        <f>#REF!</f>
        <v>#REF!</v>
      </c>
      <c r="O1618" s="37" t="e">
        <f t="shared" si="40"/>
        <v>#REF!</v>
      </c>
    </row>
    <row r="1619" spans="2:15" ht="17.399999999999999">
      <c r="B1619" s="42" t="s">
        <v>193</v>
      </c>
      <c r="C1619" s="39">
        <f>'تقرير المصروفات حسب الشهر'!Q102</f>
        <v>0</v>
      </c>
      <c r="D1619" s="31" t="e">
        <f>#REF!</f>
        <v>#REF!</v>
      </c>
      <c r="E1619" s="31" t="e">
        <f>#REF!</f>
        <v>#REF!</v>
      </c>
      <c r="F1619" s="31" t="e">
        <f>#REF!</f>
        <v>#REF!</v>
      </c>
      <c r="G1619" s="31" t="e">
        <f>#REF!</f>
        <v>#REF!</v>
      </c>
      <c r="H1619" s="31" t="e">
        <f>#REF!</f>
        <v>#REF!</v>
      </c>
      <c r="I1619" s="31">
        <f>'تقرير المصروفات حسب الشهر'!Q855</f>
        <v>0</v>
      </c>
      <c r="J1619" s="31">
        <f>'تقرير المصروفات حسب الشهر'!Q982</f>
        <v>0</v>
      </c>
      <c r="K1619" s="31">
        <f>'تقرير المصروفات حسب الشهر'!Q1109</f>
        <v>0</v>
      </c>
      <c r="L1619" s="292">
        <f>IFERROR(VLOOKUP(B1619,'تقرير المصروفات حسب الشهر'!$C$1143:$AD$1254,15,FALSE),0)</f>
        <v>0</v>
      </c>
      <c r="M1619" s="292">
        <f>IFERROR(VLOOKUP(B1619,'تقرير المصروفات حسب الشهر'!$C$1270:$AD$1381,15,FALSE),0)</f>
        <v>0</v>
      </c>
      <c r="N1619" s="31" t="e">
        <f>#REF!</f>
        <v>#REF!</v>
      </c>
      <c r="O1619" s="37" t="e">
        <f t="shared" si="40"/>
        <v>#REF!</v>
      </c>
    </row>
    <row r="1620" spans="2:15" ht="17.399999999999999">
      <c r="B1620" s="42" t="s">
        <v>148</v>
      </c>
      <c r="C1620" s="39">
        <f>'تقرير المصروفات حسب الشهر'!Q103</f>
        <v>0</v>
      </c>
      <c r="D1620" s="31" t="e">
        <f>#REF!</f>
        <v>#REF!</v>
      </c>
      <c r="E1620" s="31" t="e">
        <f>#REF!</f>
        <v>#REF!</v>
      </c>
      <c r="F1620" s="31" t="e">
        <f>#REF!</f>
        <v>#REF!</v>
      </c>
      <c r="G1620" s="31" t="e">
        <f>#REF!</f>
        <v>#REF!</v>
      </c>
      <c r="H1620" s="31" t="e">
        <f>#REF!</f>
        <v>#REF!</v>
      </c>
      <c r="I1620" s="31">
        <f>'تقرير المصروفات حسب الشهر'!Q856</f>
        <v>0</v>
      </c>
      <c r="J1620" s="31">
        <f>'تقرير المصروفات حسب الشهر'!Q983</f>
        <v>0</v>
      </c>
      <c r="K1620" s="31">
        <f>'تقرير المصروفات حسب الشهر'!Q1110</f>
        <v>0</v>
      </c>
      <c r="L1620" s="292">
        <f>IFERROR(VLOOKUP(B1620,'تقرير المصروفات حسب الشهر'!$C$1143:$AD$1254,15,FALSE),0)</f>
        <v>0</v>
      </c>
      <c r="M1620" s="292">
        <f>IFERROR(VLOOKUP(B1620,'تقرير المصروفات حسب الشهر'!$C$1270:$AD$1381,15,FALSE),0)</f>
        <v>0</v>
      </c>
      <c r="N1620" s="31" t="e">
        <f>#REF!</f>
        <v>#REF!</v>
      </c>
      <c r="O1620" s="37" t="e">
        <f t="shared" si="40"/>
        <v>#REF!</v>
      </c>
    </row>
    <row r="1621" spans="2:15" ht="17.399999999999999">
      <c r="B1621" s="42" t="s">
        <v>186</v>
      </c>
      <c r="C1621" s="39">
        <f>'تقرير المصروفات حسب الشهر'!Q104</f>
        <v>0</v>
      </c>
      <c r="D1621" s="31" t="e">
        <f>#REF!</f>
        <v>#REF!</v>
      </c>
      <c r="E1621" s="31" t="e">
        <f>#REF!</f>
        <v>#REF!</v>
      </c>
      <c r="F1621" s="31" t="e">
        <f>#REF!</f>
        <v>#REF!</v>
      </c>
      <c r="G1621" s="31" t="e">
        <f>#REF!</f>
        <v>#REF!</v>
      </c>
      <c r="H1621" s="31" t="e">
        <f>#REF!</f>
        <v>#REF!</v>
      </c>
      <c r="I1621" s="31">
        <f>'تقرير المصروفات حسب الشهر'!Q857</f>
        <v>0</v>
      </c>
      <c r="J1621" s="31">
        <f>'تقرير المصروفات حسب الشهر'!Q984</f>
        <v>0</v>
      </c>
      <c r="K1621" s="31">
        <f>'تقرير المصروفات حسب الشهر'!Q1111</f>
        <v>0</v>
      </c>
      <c r="L1621" s="292">
        <f>IFERROR(VLOOKUP(B1621,'تقرير المصروفات حسب الشهر'!$C$1143:$AD$1254,15,FALSE),0)</f>
        <v>0</v>
      </c>
      <c r="M1621" s="292">
        <f>IFERROR(VLOOKUP(B1621,'تقرير المصروفات حسب الشهر'!$C$1270:$AD$1381,15,FALSE),0)</f>
        <v>0</v>
      </c>
      <c r="N1621" s="31" t="e">
        <f>#REF!</f>
        <v>#REF!</v>
      </c>
      <c r="O1621" s="37" t="e">
        <f t="shared" si="40"/>
        <v>#REF!</v>
      </c>
    </row>
    <row r="1622" spans="2:15" ht="17.399999999999999">
      <c r="B1622" s="42" t="s">
        <v>171</v>
      </c>
      <c r="C1622" s="39">
        <f>'تقرير المصروفات حسب الشهر'!Q105</f>
        <v>0</v>
      </c>
      <c r="D1622" s="31" t="e">
        <f>#REF!</f>
        <v>#REF!</v>
      </c>
      <c r="E1622" s="31" t="e">
        <f>#REF!</f>
        <v>#REF!</v>
      </c>
      <c r="F1622" s="31" t="e">
        <f>#REF!</f>
        <v>#REF!</v>
      </c>
      <c r="G1622" s="31" t="e">
        <f>#REF!</f>
        <v>#REF!</v>
      </c>
      <c r="H1622" s="31" t="e">
        <f>#REF!</f>
        <v>#REF!</v>
      </c>
      <c r="I1622" s="31">
        <f>'تقرير المصروفات حسب الشهر'!Q858</f>
        <v>0</v>
      </c>
      <c r="J1622" s="31">
        <f>'تقرير المصروفات حسب الشهر'!Q985</f>
        <v>0</v>
      </c>
      <c r="K1622" s="31">
        <f>'تقرير المصروفات حسب الشهر'!Q1112</f>
        <v>0</v>
      </c>
      <c r="L1622" s="292">
        <f>IFERROR(VLOOKUP(B1622,'تقرير المصروفات حسب الشهر'!$C$1143:$AD$1254,15,FALSE),0)</f>
        <v>0</v>
      </c>
      <c r="M1622" s="292">
        <f>IFERROR(VLOOKUP(B1622,'تقرير المصروفات حسب الشهر'!$C$1270:$AD$1381,15,FALSE),0)</f>
        <v>0</v>
      </c>
      <c r="N1622" s="31" t="e">
        <f>#REF!</f>
        <v>#REF!</v>
      </c>
      <c r="O1622" s="37" t="e">
        <f t="shared" si="40"/>
        <v>#REF!</v>
      </c>
    </row>
    <row r="1623" spans="2:15" ht="17.399999999999999">
      <c r="B1623" s="42" t="s">
        <v>180</v>
      </c>
      <c r="C1623" s="39">
        <f>'تقرير المصروفات حسب الشهر'!Q106</f>
        <v>0</v>
      </c>
      <c r="D1623" s="31" t="e">
        <f>#REF!</f>
        <v>#REF!</v>
      </c>
      <c r="E1623" s="31" t="e">
        <f>#REF!</f>
        <v>#REF!</v>
      </c>
      <c r="F1623" s="31" t="e">
        <f>#REF!</f>
        <v>#REF!</v>
      </c>
      <c r="G1623" s="31" t="e">
        <f>#REF!</f>
        <v>#REF!</v>
      </c>
      <c r="H1623" s="31" t="e">
        <f>#REF!</f>
        <v>#REF!</v>
      </c>
      <c r="I1623" s="31">
        <f>'تقرير المصروفات حسب الشهر'!Q859</f>
        <v>4679.95</v>
      </c>
      <c r="J1623" s="31">
        <f>'تقرير المصروفات حسب الشهر'!Q986</f>
        <v>1926</v>
      </c>
      <c r="K1623" s="31">
        <f>'تقرير المصروفات حسب الشهر'!Q1113</f>
        <v>0</v>
      </c>
      <c r="L1623" s="292">
        <f>IFERROR(VLOOKUP(B1623,'تقرير المصروفات حسب الشهر'!$C$1143:$AD$1254,15,FALSE),0)</f>
        <v>0</v>
      </c>
      <c r="M1623" s="292">
        <f>IFERROR(VLOOKUP(B1623,'تقرير المصروفات حسب الشهر'!$C$1270:$AD$1381,15,FALSE),0)</f>
        <v>0</v>
      </c>
      <c r="N1623" s="31" t="e">
        <f>#REF!</f>
        <v>#REF!</v>
      </c>
      <c r="O1623" s="37" t="e">
        <f t="shared" si="40"/>
        <v>#REF!</v>
      </c>
    </row>
    <row r="1624" spans="2:15" ht="17.399999999999999">
      <c r="B1624" s="42" t="s">
        <v>183</v>
      </c>
      <c r="C1624" s="39">
        <f>'تقرير المصروفات حسب الشهر'!Q107</f>
        <v>0</v>
      </c>
      <c r="D1624" s="31" t="e">
        <f>#REF!</f>
        <v>#REF!</v>
      </c>
      <c r="E1624" s="31" t="e">
        <f>#REF!</f>
        <v>#REF!</v>
      </c>
      <c r="F1624" s="31" t="e">
        <f>#REF!</f>
        <v>#REF!</v>
      </c>
      <c r="G1624" s="31" t="e">
        <f>#REF!</f>
        <v>#REF!</v>
      </c>
      <c r="H1624" s="31" t="e">
        <f>#REF!</f>
        <v>#REF!</v>
      </c>
      <c r="I1624" s="31">
        <f>'تقرير المصروفات حسب الشهر'!Q860</f>
        <v>0</v>
      </c>
      <c r="J1624" s="31">
        <f>'تقرير المصروفات حسب الشهر'!Q987</f>
        <v>0</v>
      </c>
      <c r="K1624" s="31">
        <f>'تقرير المصروفات حسب الشهر'!Q1114</f>
        <v>0</v>
      </c>
      <c r="L1624" s="292">
        <f>IFERROR(VLOOKUP(B1624,'تقرير المصروفات حسب الشهر'!$C$1143:$AD$1254,15,FALSE),0)</f>
        <v>0</v>
      </c>
      <c r="M1624" s="292">
        <f>IFERROR(VLOOKUP(B1624,'تقرير المصروفات حسب الشهر'!$C$1270:$AD$1381,15,FALSE),0)</f>
        <v>0</v>
      </c>
      <c r="N1624" s="31" t="e">
        <f>#REF!</f>
        <v>#REF!</v>
      </c>
      <c r="O1624" s="37" t="e">
        <f t="shared" si="40"/>
        <v>#REF!</v>
      </c>
    </row>
    <row r="1625" spans="2:15" ht="17.399999999999999">
      <c r="B1625" s="42" t="s">
        <v>195</v>
      </c>
      <c r="C1625" s="39">
        <f>'تقرير المصروفات حسب الشهر'!Q108</f>
        <v>0</v>
      </c>
      <c r="D1625" s="31" t="e">
        <f>#REF!</f>
        <v>#REF!</v>
      </c>
      <c r="E1625" s="31" t="e">
        <f>#REF!</f>
        <v>#REF!</v>
      </c>
      <c r="F1625" s="31" t="e">
        <f>#REF!</f>
        <v>#REF!</v>
      </c>
      <c r="G1625" s="31" t="e">
        <f>#REF!</f>
        <v>#REF!</v>
      </c>
      <c r="H1625" s="31" t="e">
        <f>#REF!</f>
        <v>#REF!</v>
      </c>
      <c r="I1625" s="31">
        <f>'تقرير المصروفات حسب الشهر'!Q861</f>
        <v>0</v>
      </c>
      <c r="J1625" s="31">
        <f>'تقرير المصروفات حسب الشهر'!Q988</f>
        <v>0</v>
      </c>
      <c r="K1625" s="31">
        <f>'تقرير المصروفات حسب الشهر'!Q1115</f>
        <v>0</v>
      </c>
      <c r="L1625" s="292">
        <f>IFERROR(VLOOKUP(B1625,'تقرير المصروفات حسب الشهر'!$C$1143:$AD$1254,15,FALSE),0)</f>
        <v>0</v>
      </c>
      <c r="M1625" s="292">
        <f>IFERROR(VLOOKUP(B1625,'تقرير المصروفات حسب الشهر'!$C$1270:$AD$1381,15,FALSE),0)</f>
        <v>0</v>
      </c>
      <c r="N1625" s="31" t="e">
        <f>#REF!</f>
        <v>#REF!</v>
      </c>
      <c r="O1625" s="37" t="e">
        <f t="shared" si="40"/>
        <v>#REF!</v>
      </c>
    </row>
    <row r="1626" spans="2:15" ht="17.399999999999999">
      <c r="B1626" s="42" t="s">
        <v>189</v>
      </c>
      <c r="C1626" s="39">
        <f>'تقرير المصروفات حسب الشهر'!Q109</f>
        <v>0</v>
      </c>
      <c r="D1626" s="31" t="e">
        <f>#REF!</f>
        <v>#REF!</v>
      </c>
      <c r="E1626" s="31" t="e">
        <f>#REF!</f>
        <v>#REF!</v>
      </c>
      <c r="F1626" s="31" t="e">
        <f>#REF!</f>
        <v>#REF!</v>
      </c>
      <c r="G1626" s="31" t="e">
        <f>#REF!</f>
        <v>#REF!</v>
      </c>
      <c r="H1626" s="31" t="e">
        <f>#REF!</f>
        <v>#REF!</v>
      </c>
      <c r="I1626" s="31">
        <f>'تقرير المصروفات حسب الشهر'!Q862</f>
        <v>0</v>
      </c>
      <c r="J1626" s="31">
        <f>'تقرير المصروفات حسب الشهر'!Q989</f>
        <v>0</v>
      </c>
      <c r="K1626" s="31">
        <f>'تقرير المصروفات حسب الشهر'!Q1116</f>
        <v>0</v>
      </c>
      <c r="L1626" s="292">
        <f>IFERROR(VLOOKUP(B1626,'تقرير المصروفات حسب الشهر'!$C$1143:$AD$1254,15,FALSE),0)</f>
        <v>0</v>
      </c>
      <c r="M1626" s="292">
        <f>IFERROR(VLOOKUP(B1626,'تقرير المصروفات حسب الشهر'!$C$1270:$AD$1381,15,FALSE),0)</f>
        <v>0</v>
      </c>
      <c r="N1626" s="31" t="e">
        <f>#REF!</f>
        <v>#REF!</v>
      </c>
      <c r="O1626" s="37" t="e">
        <f t="shared" si="40"/>
        <v>#REF!</v>
      </c>
    </row>
    <row r="1627" spans="2:15" ht="17.399999999999999">
      <c r="B1627" s="42" t="s">
        <v>188</v>
      </c>
      <c r="C1627" s="39">
        <f>'تقرير المصروفات حسب الشهر'!Q110</f>
        <v>0</v>
      </c>
      <c r="D1627" s="31" t="e">
        <f>#REF!</f>
        <v>#REF!</v>
      </c>
      <c r="E1627" s="31" t="e">
        <f>#REF!</f>
        <v>#REF!</v>
      </c>
      <c r="F1627" s="31" t="e">
        <f>#REF!</f>
        <v>#REF!</v>
      </c>
      <c r="G1627" s="31" t="e">
        <f>#REF!</f>
        <v>#REF!</v>
      </c>
      <c r="H1627" s="31" t="e">
        <f>#REF!</f>
        <v>#REF!</v>
      </c>
      <c r="I1627" s="31">
        <f>'تقرير المصروفات حسب الشهر'!Q863</f>
        <v>0</v>
      </c>
      <c r="J1627" s="31">
        <f>'تقرير المصروفات حسب الشهر'!Q990</f>
        <v>0</v>
      </c>
      <c r="K1627" s="31">
        <f>'تقرير المصروفات حسب الشهر'!Q1117</f>
        <v>0</v>
      </c>
      <c r="L1627" s="292">
        <f>IFERROR(VLOOKUP(B1627,'تقرير المصروفات حسب الشهر'!$C$1143:$AD$1254,15,FALSE),0)</f>
        <v>0</v>
      </c>
      <c r="M1627" s="292">
        <f>IFERROR(VLOOKUP(B1627,'تقرير المصروفات حسب الشهر'!$C$1270:$AD$1381,15,FALSE),0)</f>
        <v>0</v>
      </c>
      <c r="N1627" s="31" t="e">
        <f>#REF!</f>
        <v>#REF!</v>
      </c>
      <c r="O1627" s="37" t="e">
        <f t="shared" si="40"/>
        <v>#REF!</v>
      </c>
    </row>
    <row r="1628" spans="2:15" ht="17.399999999999999">
      <c r="B1628" s="42" t="s">
        <v>196</v>
      </c>
      <c r="C1628" s="39">
        <f>'تقرير المصروفات حسب الشهر'!Q111</f>
        <v>0</v>
      </c>
      <c r="D1628" s="31" t="e">
        <f>#REF!</f>
        <v>#REF!</v>
      </c>
      <c r="E1628" s="31" t="e">
        <f>#REF!</f>
        <v>#REF!</v>
      </c>
      <c r="F1628" s="31" t="e">
        <f>#REF!</f>
        <v>#REF!</v>
      </c>
      <c r="G1628" s="31" t="e">
        <f>#REF!</f>
        <v>#REF!</v>
      </c>
      <c r="H1628" s="31" t="e">
        <f>#REF!</f>
        <v>#REF!</v>
      </c>
      <c r="I1628" s="31">
        <f>'تقرير المصروفات حسب الشهر'!Q864</f>
        <v>0</v>
      </c>
      <c r="J1628" s="31">
        <f>'تقرير المصروفات حسب الشهر'!Q991</f>
        <v>0</v>
      </c>
      <c r="K1628" s="31">
        <f>'تقرير المصروفات حسب الشهر'!Q1118</f>
        <v>0</v>
      </c>
      <c r="L1628" s="292">
        <f>IFERROR(VLOOKUP(B1628,'تقرير المصروفات حسب الشهر'!$C$1143:$AD$1254,15,FALSE),0)</f>
        <v>0</v>
      </c>
      <c r="M1628" s="292">
        <f>IFERROR(VLOOKUP(B1628,'تقرير المصروفات حسب الشهر'!$C$1270:$AD$1381,15,FALSE),0)</f>
        <v>0</v>
      </c>
      <c r="N1628" s="31" t="e">
        <f>#REF!</f>
        <v>#REF!</v>
      </c>
      <c r="O1628" s="37" t="e">
        <f t="shared" si="40"/>
        <v>#REF!</v>
      </c>
    </row>
    <row r="1629" spans="2:15" ht="17.399999999999999">
      <c r="B1629" s="42" t="s">
        <v>197</v>
      </c>
      <c r="C1629" s="39">
        <f>'تقرير المصروفات حسب الشهر'!Q112</f>
        <v>0</v>
      </c>
      <c r="D1629" s="31" t="e">
        <f>#REF!</f>
        <v>#REF!</v>
      </c>
      <c r="E1629" s="31" t="e">
        <f>#REF!</f>
        <v>#REF!</v>
      </c>
      <c r="F1629" s="31" t="e">
        <f>#REF!</f>
        <v>#REF!</v>
      </c>
      <c r="G1629" s="31" t="e">
        <f>#REF!</f>
        <v>#REF!</v>
      </c>
      <c r="H1629" s="31" t="e">
        <f>#REF!</f>
        <v>#REF!</v>
      </c>
      <c r="I1629" s="31">
        <f>'تقرير المصروفات حسب الشهر'!Q865</f>
        <v>0</v>
      </c>
      <c r="J1629" s="31">
        <f>'تقرير المصروفات حسب الشهر'!Q992</f>
        <v>0</v>
      </c>
      <c r="K1629" s="31">
        <f>'تقرير المصروفات حسب الشهر'!Q1119</f>
        <v>0</v>
      </c>
      <c r="L1629" s="292">
        <f>IFERROR(VLOOKUP(B1629,'تقرير المصروفات حسب الشهر'!$C$1143:$AD$1254,15,FALSE),0)</f>
        <v>0</v>
      </c>
      <c r="M1629" s="292">
        <f>IFERROR(VLOOKUP(B1629,'تقرير المصروفات حسب الشهر'!$C$1270:$AD$1381,15,FALSE),0)</f>
        <v>0</v>
      </c>
      <c r="N1629" s="31" t="e">
        <f>#REF!</f>
        <v>#REF!</v>
      </c>
      <c r="O1629" s="37" t="e">
        <f t="shared" si="40"/>
        <v>#REF!</v>
      </c>
    </row>
    <row r="1630" spans="2:15" ht="17.399999999999999">
      <c r="B1630" s="42" t="s">
        <v>198</v>
      </c>
      <c r="C1630" s="39">
        <f>'تقرير المصروفات حسب الشهر'!Q113</f>
        <v>0</v>
      </c>
      <c r="D1630" s="31" t="e">
        <f>#REF!</f>
        <v>#REF!</v>
      </c>
      <c r="E1630" s="31" t="e">
        <f>#REF!</f>
        <v>#REF!</v>
      </c>
      <c r="F1630" s="31" t="e">
        <f>#REF!</f>
        <v>#REF!</v>
      </c>
      <c r="G1630" s="31" t="e">
        <f>#REF!</f>
        <v>#REF!</v>
      </c>
      <c r="H1630" s="31" t="e">
        <f>#REF!</f>
        <v>#REF!</v>
      </c>
      <c r="I1630" s="31">
        <f>'تقرير المصروفات حسب الشهر'!Q866</f>
        <v>0</v>
      </c>
      <c r="J1630" s="31">
        <f>'تقرير المصروفات حسب الشهر'!Q993</f>
        <v>0</v>
      </c>
      <c r="K1630" s="31">
        <f>'تقرير المصروفات حسب الشهر'!Q1120</f>
        <v>0</v>
      </c>
      <c r="L1630" s="292">
        <f>IFERROR(VLOOKUP(B1630,'تقرير المصروفات حسب الشهر'!$C$1143:$AD$1254,15,FALSE),0)</f>
        <v>0</v>
      </c>
      <c r="M1630" s="292">
        <f>IFERROR(VLOOKUP(B1630,'تقرير المصروفات حسب الشهر'!$C$1270:$AD$1381,15,FALSE),0)</f>
        <v>0</v>
      </c>
      <c r="N1630" s="31" t="e">
        <f>#REF!</f>
        <v>#REF!</v>
      </c>
      <c r="O1630" s="37" t="e">
        <f t="shared" si="40"/>
        <v>#REF!</v>
      </c>
    </row>
    <row r="1631" spans="2:15" ht="17.399999999999999">
      <c r="B1631" s="42" t="s">
        <v>201</v>
      </c>
      <c r="C1631" s="39">
        <f>'تقرير المصروفات حسب الشهر'!Q114</f>
        <v>0</v>
      </c>
      <c r="D1631" s="31" t="e">
        <f>#REF!</f>
        <v>#REF!</v>
      </c>
      <c r="E1631" s="31" t="e">
        <f>#REF!</f>
        <v>#REF!</v>
      </c>
      <c r="F1631" s="31" t="e">
        <f>#REF!</f>
        <v>#REF!</v>
      </c>
      <c r="G1631" s="31" t="e">
        <f>#REF!</f>
        <v>#REF!</v>
      </c>
      <c r="H1631" s="31" t="e">
        <f>#REF!</f>
        <v>#REF!</v>
      </c>
      <c r="I1631" s="31">
        <f>'تقرير المصروفات حسب الشهر'!Q867</f>
        <v>0</v>
      </c>
      <c r="J1631" s="31">
        <f>'تقرير المصروفات حسب الشهر'!Q994</f>
        <v>0</v>
      </c>
      <c r="K1631" s="31">
        <f>'تقرير المصروفات حسب الشهر'!Q1121</f>
        <v>0</v>
      </c>
      <c r="L1631" s="292">
        <f>IFERROR(VLOOKUP(B1631,'تقرير المصروفات حسب الشهر'!$C$1143:$AD$1254,15,FALSE),0)</f>
        <v>0</v>
      </c>
      <c r="M1631" s="292">
        <f>IFERROR(VLOOKUP(B1631,'تقرير المصروفات حسب الشهر'!$C$1270:$AD$1381,15,FALSE),0)</f>
        <v>0</v>
      </c>
      <c r="N1631" s="31" t="e">
        <f>#REF!</f>
        <v>#REF!</v>
      </c>
      <c r="O1631" s="37" t="e">
        <f t="shared" si="40"/>
        <v>#REF!</v>
      </c>
    </row>
    <row r="1632" spans="2:15" ht="17.399999999999999">
      <c r="B1632" s="42" t="s">
        <v>202</v>
      </c>
      <c r="C1632" s="39">
        <f>'تقرير المصروفات حسب الشهر'!Q115</f>
        <v>0</v>
      </c>
      <c r="D1632" s="31" t="e">
        <f>#REF!</f>
        <v>#REF!</v>
      </c>
      <c r="E1632" s="31" t="e">
        <f>#REF!</f>
        <v>#REF!</v>
      </c>
      <c r="F1632" s="31" t="e">
        <f>#REF!</f>
        <v>#REF!</v>
      </c>
      <c r="G1632" s="31" t="e">
        <f>#REF!</f>
        <v>#REF!</v>
      </c>
      <c r="H1632" s="31" t="e">
        <f>#REF!</f>
        <v>#REF!</v>
      </c>
      <c r="I1632" s="31">
        <f>'تقرير المصروفات حسب الشهر'!Q868</f>
        <v>0</v>
      </c>
      <c r="J1632" s="31">
        <f>'تقرير المصروفات حسب الشهر'!Q995</f>
        <v>0</v>
      </c>
      <c r="K1632" s="31">
        <f>'تقرير المصروفات حسب الشهر'!Q1122</f>
        <v>0</v>
      </c>
      <c r="L1632" s="292">
        <f>IFERROR(VLOOKUP(B1632,'تقرير المصروفات حسب الشهر'!$C$1143:$AD$1254,15,FALSE),0)</f>
        <v>0</v>
      </c>
      <c r="M1632" s="292">
        <f>IFERROR(VLOOKUP(B1632,'تقرير المصروفات حسب الشهر'!$C$1270:$AD$1381,15,FALSE),0)</f>
        <v>0</v>
      </c>
      <c r="N1632" s="31" t="e">
        <f>#REF!</f>
        <v>#REF!</v>
      </c>
      <c r="O1632" s="37" t="e">
        <f t="shared" si="40"/>
        <v>#REF!</v>
      </c>
    </row>
    <row r="1633" spans="2:15" ht="17.399999999999999">
      <c r="B1633" s="42" t="s">
        <v>206</v>
      </c>
      <c r="C1633" s="39">
        <f>'تقرير المصروفات حسب الشهر'!Q116</f>
        <v>0</v>
      </c>
      <c r="D1633" s="31" t="e">
        <f>#REF!</f>
        <v>#REF!</v>
      </c>
      <c r="E1633" s="31" t="e">
        <f>#REF!</f>
        <v>#REF!</v>
      </c>
      <c r="F1633" s="31" t="e">
        <f>#REF!</f>
        <v>#REF!</v>
      </c>
      <c r="G1633" s="31" t="e">
        <f>#REF!</f>
        <v>#REF!</v>
      </c>
      <c r="H1633" s="31" t="e">
        <f>#REF!</f>
        <v>#REF!</v>
      </c>
      <c r="I1633" s="31">
        <f>'تقرير المصروفات حسب الشهر'!Q869</f>
        <v>431.25</v>
      </c>
      <c r="J1633" s="31">
        <f>'تقرير المصروفات حسب الشهر'!Q996</f>
        <v>431.25</v>
      </c>
      <c r="K1633" s="31">
        <f>'تقرير المصروفات حسب الشهر'!Q1123</f>
        <v>431.25</v>
      </c>
      <c r="L1633" s="292">
        <f>IFERROR(VLOOKUP(B1633,'تقرير المصروفات حسب الشهر'!$C$1143:$AD$1254,15,FALSE),0)</f>
        <v>0</v>
      </c>
      <c r="M1633" s="292">
        <f>IFERROR(VLOOKUP(B1633,'تقرير المصروفات حسب الشهر'!$C$1270:$AD$1381,15,FALSE),0)</f>
        <v>0</v>
      </c>
      <c r="N1633" s="31" t="e">
        <f>#REF!</f>
        <v>#REF!</v>
      </c>
      <c r="O1633" s="37" t="e">
        <f t="shared" si="40"/>
        <v>#REF!</v>
      </c>
    </row>
    <row r="1634" spans="2:15" ht="17.399999999999999">
      <c r="B1634" s="42" t="s">
        <v>207</v>
      </c>
      <c r="C1634" s="39">
        <f>'تقرير المصروفات حسب الشهر'!Q117</f>
        <v>431.25</v>
      </c>
      <c r="D1634" s="31" t="e">
        <f>#REF!</f>
        <v>#REF!</v>
      </c>
      <c r="E1634" s="31" t="e">
        <f>#REF!</f>
        <v>#REF!</v>
      </c>
      <c r="F1634" s="31" t="e">
        <f>#REF!</f>
        <v>#REF!</v>
      </c>
      <c r="G1634" s="31" t="e">
        <f>#REF!</f>
        <v>#REF!</v>
      </c>
      <c r="H1634" s="31" t="e">
        <f>#REF!</f>
        <v>#REF!</v>
      </c>
      <c r="I1634" s="31">
        <f>'تقرير المصروفات حسب الشهر'!Q870</f>
        <v>0</v>
      </c>
      <c r="J1634" s="31">
        <f>'تقرير المصروفات حسب الشهر'!Q997</f>
        <v>0</v>
      </c>
      <c r="K1634" s="31">
        <f>'تقرير المصروفات حسب الشهر'!Q1124</f>
        <v>0</v>
      </c>
      <c r="L1634" s="292">
        <f>IFERROR(VLOOKUP(B1634,'تقرير المصروفات حسب الشهر'!$C$1143:$AD$1254,15,FALSE),0)</f>
        <v>431.25</v>
      </c>
      <c r="M1634" s="292">
        <f>IFERROR(VLOOKUP(B1634,'تقرير المصروفات حسب الشهر'!$C$1270:$AD$1381,15,FALSE),0)</f>
        <v>431.25</v>
      </c>
      <c r="N1634" s="31" t="e">
        <f>#REF!</f>
        <v>#REF!</v>
      </c>
      <c r="O1634" s="37" t="e">
        <f t="shared" si="40"/>
        <v>#REF!</v>
      </c>
    </row>
    <row r="1635" spans="2:15" ht="17.399999999999999">
      <c r="B1635" s="43" t="s">
        <v>208</v>
      </c>
      <c r="C1635" s="39">
        <f>'تقرير المصروفات حسب الشهر'!Q118</f>
        <v>0</v>
      </c>
      <c r="D1635" s="31" t="e">
        <f>#REF!</f>
        <v>#REF!</v>
      </c>
      <c r="E1635" s="31" t="e">
        <f>#REF!</f>
        <v>#REF!</v>
      </c>
      <c r="F1635" s="31" t="e">
        <f>#REF!</f>
        <v>#REF!</v>
      </c>
      <c r="G1635" s="31" t="e">
        <f>#REF!</f>
        <v>#REF!</v>
      </c>
      <c r="H1635" s="31">
        <v>0</v>
      </c>
      <c r="I1635" s="31">
        <f>'تقرير المصروفات حسب الشهر'!Q871</f>
        <v>0</v>
      </c>
      <c r="J1635" s="31">
        <f>'تقرير المصروفات حسب الشهر'!Q998</f>
        <v>0</v>
      </c>
      <c r="K1635" s="31">
        <f>'تقرير المصروفات حسب الشهر'!Q1125</f>
        <v>0</v>
      </c>
      <c r="L1635" s="292">
        <f>IFERROR(VLOOKUP(B1635,'تقرير المصروفات حسب الشهر'!$C$1143:$AD$1254,15,FALSE),0)</f>
        <v>0</v>
      </c>
      <c r="M1635" s="292">
        <f>IFERROR(VLOOKUP(B1635,'تقرير المصروفات حسب الشهر'!$C$1270:$AD$1381,15,FALSE),0)</f>
        <v>0</v>
      </c>
      <c r="N1635" s="31" t="e">
        <f>#REF!</f>
        <v>#REF!</v>
      </c>
      <c r="O1635" s="37" t="e">
        <f t="shared" si="40"/>
        <v>#REF!</v>
      </c>
    </row>
    <row r="1636" spans="2:15" ht="17.399999999999999">
      <c r="B1636" s="437" t="s">
        <v>236</v>
      </c>
      <c r="C1636" s="39">
        <f>'تقرير المصروفات حسب الشهر'!Q119</f>
        <v>0</v>
      </c>
      <c r="D1636" s="438"/>
      <c r="E1636" s="438"/>
      <c r="F1636" s="438"/>
      <c r="G1636" s="438"/>
      <c r="H1636" s="438"/>
      <c r="I1636" s="438"/>
      <c r="J1636" s="438"/>
      <c r="K1636" s="438"/>
      <c r="L1636" s="439"/>
      <c r="M1636" s="439"/>
      <c r="N1636" s="438"/>
      <c r="O1636" s="440"/>
    </row>
    <row r="1637" spans="2:15" ht="17.399999999999999">
      <c r="B1637" s="437" t="s">
        <v>209</v>
      </c>
      <c r="C1637" s="39">
        <f>'تقرير المصروفات حسب الشهر'!Q120</f>
        <v>0</v>
      </c>
      <c r="D1637" s="438"/>
      <c r="E1637" s="438"/>
      <c r="F1637" s="438"/>
      <c r="G1637" s="438"/>
      <c r="H1637" s="438"/>
      <c r="I1637" s="438"/>
      <c r="J1637" s="438"/>
      <c r="K1637" s="438"/>
      <c r="L1637" s="439"/>
      <c r="M1637" s="439"/>
      <c r="N1637" s="438"/>
      <c r="O1637" s="440"/>
    </row>
    <row r="1638" spans="2:15" ht="18" thickBot="1">
      <c r="B1638" s="437" t="s">
        <v>360</v>
      </c>
      <c r="C1638" s="39">
        <f>'تقرير المصروفات حسب الشهر'!Q121</f>
        <v>123291.55</v>
      </c>
      <c r="D1638" s="438"/>
      <c r="E1638" s="438"/>
      <c r="F1638" s="438"/>
      <c r="G1638" s="438"/>
      <c r="H1638" s="438"/>
      <c r="I1638" s="438"/>
      <c r="J1638" s="438"/>
      <c r="K1638" s="438"/>
      <c r="L1638" s="439"/>
      <c r="M1638" s="439"/>
      <c r="N1638" s="438"/>
      <c r="O1638" s="440"/>
    </row>
    <row r="1639" spans="2:15" ht="21.6" thickBot="1">
      <c r="B1639" s="29" t="s">
        <v>18</v>
      </c>
      <c r="C1639" s="41">
        <f>SUM(C1527:C1638)</f>
        <v>642499.96000000008</v>
      </c>
      <c r="D1639" s="41" t="e">
        <f t="shared" ref="D1639:O1639" si="41">SUM(D1527:D1635)</f>
        <v>#REF!</v>
      </c>
      <c r="E1639" s="41" t="e">
        <f t="shared" si="41"/>
        <v>#REF!</v>
      </c>
      <c r="F1639" s="41" t="e">
        <f t="shared" si="41"/>
        <v>#REF!</v>
      </c>
      <c r="G1639" s="41" t="e">
        <f t="shared" si="41"/>
        <v>#REF!</v>
      </c>
      <c r="H1639" s="41" t="e">
        <f t="shared" si="41"/>
        <v>#REF!</v>
      </c>
      <c r="I1639" s="41">
        <f t="shared" si="41"/>
        <v>696017.8600000001</v>
      </c>
      <c r="J1639" s="41">
        <f t="shared" si="41"/>
        <v>645130.53000000014</v>
      </c>
      <c r="K1639" s="41">
        <f t="shared" si="41"/>
        <v>683484.12000000011</v>
      </c>
      <c r="L1639" s="41">
        <f t="shared" si="41"/>
        <v>699880.54</v>
      </c>
      <c r="M1639" s="41">
        <f t="shared" si="41"/>
        <v>736816.76</v>
      </c>
      <c r="N1639" s="41" t="e">
        <f t="shared" si="41"/>
        <v>#REF!</v>
      </c>
      <c r="O1639" s="41" t="e">
        <f t="shared" si="41"/>
        <v>#REF!</v>
      </c>
    </row>
    <row r="1641" spans="2:15" ht="13.8" thickBot="1"/>
    <row r="1642" spans="2:15" ht="31.2" thickTop="1" thickBot="1">
      <c r="B1642" s="643" t="s">
        <v>223</v>
      </c>
      <c r="C1642" s="644"/>
      <c r="D1642" s="644"/>
      <c r="E1642" s="644"/>
      <c r="F1642" s="644"/>
      <c r="G1642" s="644"/>
      <c r="H1642" s="644"/>
      <c r="I1642" s="644"/>
      <c r="J1642" s="644"/>
      <c r="K1642" s="644"/>
      <c r="L1642" s="644"/>
      <c r="M1642" s="644"/>
      <c r="N1642" s="644"/>
      <c r="O1642" s="645"/>
    </row>
    <row r="1643" spans="2:15" ht="17.399999999999999">
      <c r="B1643" s="30" t="s">
        <v>23</v>
      </c>
      <c r="C1643" s="33" t="s">
        <v>0</v>
      </c>
      <c r="D1643" s="33" t="s">
        <v>1</v>
      </c>
      <c r="E1643" s="34" t="s">
        <v>2</v>
      </c>
      <c r="F1643" s="34" t="s">
        <v>3</v>
      </c>
      <c r="G1643" s="34" t="s">
        <v>4</v>
      </c>
      <c r="H1643" s="34" t="s">
        <v>5</v>
      </c>
      <c r="I1643" s="34" t="s">
        <v>6</v>
      </c>
      <c r="J1643" s="34" t="s">
        <v>7</v>
      </c>
      <c r="K1643" s="34" t="s">
        <v>8</v>
      </c>
      <c r="L1643" s="34" t="s">
        <v>9</v>
      </c>
      <c r="M1643" s="34" t="s">
        <v>10</v>
      </c>
      <c r="N1643" s="35" t="s">
        <v>11</v>
      </c>
      <c r="O1643" s="36" t="s">
        <v>18</v>
      </c>
    </row>
    <row r="1644" spans="2:15" ht="17.399999999999999">
      <c r="B1644" s="42" t="s">
        <v>40</v>
      </c>
      <c r="C1644" s="39">
        <f>'تقرير المصروفات حسب الشهر'!R10</f>
        <v>0</v>
      </c>
      <c r="D1644" s="31" t="e">
        <f>#REF!</f>
        <v>#REF!</v>
      </c>
      <c r="E1644" s="31" t="e">
        <f>#REF!</f>
        <v>#REF!</v>
      </c>
      <c r="F1644" s="31" t="e">
        <f>#REF!</f>
        <v>#REF!</v>
      </c>
      <c r="G1644" s="31" t="e">
        <f>#REF!</f>
        <v>#REF!</v>
      </c>
      <c r="H1644" s="31" t="e">
        <f>#REF!</f>
        <v>#REF!</v>
      </c>
      <c r="I1644" s="31">
        <f>'تقرير المصروفات حسب الشهر'!R763</f>
        <v>0</v>
      </c>
      <c r="J1644" s="31">
        <f>'تقرير المصروفات حسب الشهر'!R890</f>
        <v>0</v>
      </c>
      <c r="K1644" s="31">
        <f>'تقرير المصروفات حسب الشهر'!R1017</f>
        <v>0</v>
      </c>
      <c r="L1644" s="292">
        <f>IFERROR(VLOOKUP(B1644,'تقرير المصروفات حسب الشهر'!$C$1143:$AD$1254,16,FALSE),0)</f>
        <v>0</v>
      </c>
      <c r="M1644" s="292">
        <f>IFERROR(VLOOKUP(B1644,'تقرير المصروفات حسب الشهر'!$C$1270:$AD$1381,16,FALSE),0)</f>
        <v>0</v>
      </c>
      <c r="N1644" s="31" t="e">
        <f>#REF!</f>
        <v>#REF!</v>
      </c>
      <c r="O1644" s="37" t="e">
        <f>SUM(C1644:N1644)</f>
        <v>#REF!</v>
      </c>
    </row>
    <row r="1645" spans="2:15" ht="17.399999999999999">
      <c r="B1645" s="42" t="s">
        <v>41</v>
      </c>
      <c r="C1645" s="39">
        <f>'تقرير المصروفات حسب الشهر'!R11</f>
        <v>43064.82</v>
      </c>
      <c r="D1645" s="31" t="e">
        <f>#REF!</f>
        <v>#REF!</v>
      </c>
      <c r="E1645" s="31" t="e">
        <f>#REF!</f>
        <v>#REF!</v>
      </c>
      <c r="F1645" s="31" t="e">
        <f>#REF!</f>
        <v>#REF!</v>
      </c>
      <c r="G1645" s="31" t="e">
        <f>#REF!</f>
        <v>#REF!</v>
      </c>
      <c r="H1645" s="31" t="e">
        <f>#REF!</f>
        <v>#REF!</v>
      </c>
      <c r="I1645" s="31">
        <f>'تقرير المصروفات حسب الشهر'!R764</f>
        <v>34523.54</v>
      </c>
      <c r="J1645" s="31">
        <f>'تقرير المصروفات حسب الشهر'!R891</f>
        <v>57300.4</v>
      </c>
      <c r="K1645" s="31">
        <f>'تقرير المصروفات حسب الشهر'!R1018</f>
        <v>35266.910000000003</v>
      </c>
      <c r="L1645" s="292">
        <f>IFERROR(VLOOKUP(B1645,'تقرير المصروفات حسب الشهر'!$C$1143:$AD$1254,16,FALSE),0)</f>
        <v>56440.06</v>
      </c>
      <c r="M1645" s="292">
        <f>IFERROR(VLOOKUP(B1645,'تقرير المصروفات حسب الشهر'!$C$1270:$AD$1381,16,FALSE),0)</f>
        <v>42680.450000000004</v>
      </c>
      <c r="N1645" s="31" t="e">
        <f>#REF!</f>
        <v>#REF!</v>
      </c>
      <c r="O1645" s="37" t="e">
        <f t="shared" ref="O1645:O1708" si="42">SUM(C1645:N1645)</f>
        <v>#REF!</v>
      </c>
    </row>
    <row r="1646" spans="2:15" ht="17.399999999999999">
      <c r="B1646" s="42" t="s">
        <v>26</v>
      </c>
      <c r="C1646" s="39">
        <f>'تقرير المصروفات حسب الشهر'!R12</f>
        <v>4200</v>
      </c>
      <c r="D1646" s="31" t="e">
        <f>#REF!</f>
        <v>#REF!</v>
      </c>
      <c r="E1646" s="31" t="e">
        <f>#REF!</f>
        <v>#REF!</v>
      </c>
      <c r="F1646" s="31" t="e">
        <f>#REF!</f>
        <v>#REF!</v>
      </c>
      <c r="G1646" s="31" t="e">
        <f>#REF!</f>
        <v>#REF!</v>
      </c>
      <c r="H1646" s="31" t="e">
        <f>#REF!</f>
        <v>#REF!</v>
      </c>
      <c r="I1646" s="31">
        <f>'تقرير المصروفات حسب الشهر'!R765</f>
        <v>4200</v>
      </c>
      <c r="J1646" s="31">
        <f>'تقرير المصروفات حسب الشهر'!R892</f>
        <v>4200</v>
      </c>
      <c r="K1646" s="31">
        <f>'تقرير المصروفات حسب الشهر'!R1019</f>
        <v>4200</v>
      </c>
      <c r="L1646" s="292">
        <f>IFERROR(VLOOKUP(B1646,'تقرير المصروفات حسب الشهر'!$C$1143:$AD$1254,16,FALSE),0)</f>
        <v>4200</v>
      </c>
      <c r="M1646" s="292">
        <f>IFERROR(VLOOKUP(B1646,'تقرير المصروفات حسب الشهر'!$C$1270:$AD$1381,16,FALSE),0)</f>
        <v>4200</v>
      </c>
      <c r="N1646" s="31" t="e">
        <f>#REF!</f>
        <v>#REF!</v>
      </c>
      <c r="O1646" s="37" t="e">
        <f t="shared" si="42"/>
        <v>#REF!</v>
      </c>
    </row>
    <row r="1647" spans="2:15" ht="17.399999999999999">
      <c r="B1647" s="42" t="s">
        <v>27</v>
      </c>
      <c r="C1647" s="39">
        <f>'تقرير المصروفات حسب الشهر'!R13</f>
        <v>0</v>
      </c>
      <c r="D1647" s="31" t="e">
        <f>#REF!</f>
        <v>#REF!</v>
      </c>
      <c r="E1647" s="31" t="e">
        <f>#REF!</f>
        <v>#REF!</v>
      </c>
      <c r="F1647" s="31" t="e">
        <f>#REF!</f>
        <v>#REF!</v>
      </c>
      <c r="G1647" s="31" t="e">
        <f>#REF!</f>
        <v>#REF!</v>
      </c>
      <c r="H1647" s="31" t="e">
        <f>#REF!</f>
        <v>#REF!</v>
      </c>
      <c r="I1647" s="31">
        <f>'تقرير المصروفات حسب الشهر'!R766</f>
        <v>0</v>
      </c>
      <c r="J1647" s="31">
        <f>'تقرير المصروفات حسب الشهر'!R893</f>
        <v>540</v>
      </c>
      <c r="K1647" s="31">
        <f>'تقرير المصروفات حسب الشهر'!R1020</f>
        <v>0</v>
      </c>
      <c r="L1647" s="292">
        <f>IFERROR(VLOOKUP(B1647,'تقرير المصروفات حسب الشهر'!$C$1143:$AD$1254,16,FALSE),0)</f>
        <v>560</v>
      </c>
      <c r="M1647" s="292">
        <f>IFERROR(VLOOKUP(B1647,'تقرير المصروفات حسب الشهر'!$C$1270:$AD$1381,16,FALSE),0)</f>
        <v>0</v>
      </c>
      <c r="N1647" s="31" t="e">
        <f>#REF!</f>
        <v>#REF!</v>
      </c>
      <c r="O1647" s="37" t="e">
        <f t="shared" si="42"/>
        <v>#REF!</v>
      </c>
    </row>
    <row r="1648" spans="2:15" ht="17.399999999999999">
      <c r="B1648" s="42" t="s">
        <v>42</v>
      </c>
      <c r="C1648" s="39">
        <f>'تقرير المصروفات حسب الشهر'!R14</f>
        <v>0</v>
      </c>
      <c r="D1648" s="31" t="e">
        <f>#REF!</f>
        <v>#REF!</v>
      </c>
      <c r="E1648" s="31" t="e">
        <f>#REF!</f>
        <v>#REF!</v>
      </c>
      <c r="F1648" s="31" t="e">
        <f>#REF!</f>
        <v>#REF!</v>
      </c>
      <c r="G1648" s="31" t="e">
        <f>#REF!</f>
        <v>#REF!</v>
      </c>
      <c r="H1648" s="31" t="e">
        <f>#REF!</f>
        <v>#REF!</v>
      </c>
      <c r="I1648" s="31">
        <f>'تقرير المصروفات حسب الشهر'!R767</f>
        <v>0</v>
      </c>
      <c r="J1648" s="31">
        <f>'تقرير المصروفات حسب الشهر'!R894</f>
        <v>0</v>
      </c>
      <c r="K1648" s="31">
        <f>'تقرير المصروفات حسب الشهر'!R1021</f>
        <v>0</v>
      </c>
      <c r="L1648" s="292">
        <f>IFERROR(VLOOKUP(B1648,'تقرير المصروفات حسب الشهر'!$C$1143:$AD$1254,16,FALSE),0)</f>
        <v>0</v>
      </c>
      <c r="M1648" s="292">
        <f>IFERROR(VLOOKUP(B1648,'تقرير المصروفات حسب الشهر'!$C$1270:$AD$1381,16,FALSE),0)</f>
        <v>0</v>
      </c>
      <c r="N1648" s="31" t="e">
        <f>#REF!</f>
        <v>#REF!</v>
      </c>
      <c r="O1648" s="37" t="e">
        <f t="shared" si="42"/>
        <v>#REF!</v>
      </c>
    </row>
    <row r="1649" spans="2:15" ht="17.399999999999999">
      <c r="B1649" s="42" t="s">
        <v>43</v>
      </c>
      <c r="C1649" s="39">
        <f>'تقرير المصروفات حسب الشهر'!R15</f>
        <v>0</v>
      </c>
      <c r="D1649" s="31" t="e">
        <f>#REF!</f>
        <v>#REF!</v>
      </c>
      <c r="E1649" s="31" t="e">
        <f>#REF!</f>
        <v>#REF!</v>
      </c>
      <c r="F1649" s="31" t="e">
        <f>#REF!</f>
        <v>#REF!</v>
      </c>
      <c r="G1649" s="31" t="e">
        <f>#REF!</f>
        <v>#REF!</v>
      </c>
      <c r="H1649" s="31" t="e">
        <f>#REF!</f>
        <v>#REF!</v>
      </c>
      <c r="I1649" s="31">
        <f>'تقرير المصروفات حسب الشهر'!R768</f>
        <v>0</v>
      </c>
      <c r="J1649" s="31">
        <f>'تقرير المصروفات حسب الشهر'!R895</f>
        <v>0</v>
      </c>
      <c r="K1649" s="31">
        <f>'تقرير المصروفات حسب الشهر'!R1022</f>
        <v>0</v>
      </c>
      <c r="L1649" s="292">
        <f>IFERROR(VLOOKUP(B1649,'تقرير المصروفات حسب الشهر'!$C$1143:$AD$1254,16,FALSE),0)</f>
        <v>0</v>
      </c>
      <c r="M1649" s="292">
        <f>IFERROR(VLOOKUP(B1649,'تقرير المصروفات حسب الشهر'!$C$1270:$AD$1381,16,FALSE),0)</f>
        <v>0</v>
      </c>
      <c r="N1649" s="31" t="e">
        <f>#REF!</f>
        <v>#REF!</v>
      </c>
      <c r="O1649" s="37" t="e">
        <f t="shared" si="42"/>
        <v>#REF!</v>
      </c>
    </row>
    <row r="1650" spans="2:15" ht="17.399999999999999">
      <c r="B1650" s="42" t="s">
        <v>44</v>
      </c>
      <c r="C1650" s="39">
        <f>'تقرير المصروفات حسب الشهر'!R16</f>
        <v>0</v>
      </c>
      <c r="D1650" s="31" t="e">
        <f>#REF!</f>
        <v>#REF!</v>
      </c>
      <c r="E1650" s="31" t="e">
        <f>#REF!</f>
        <v>#REF!</v>
      </c>
      <c r="F1650" s="31" t="e">
        <f>#REF!</f>
        <v>#REF!</v>
      </c>
      <c r="G1650" s="31" t="e">
        <f>#REF!</f>
        <v>#REF!</v>
      </c>
      <c r="H1650" s="31" t="e">
        <f>#REF!</f>
        <v>#REF!</v>
      </c>
      <c r="I1650" s="31">
        <f>'تقرير المصروفات حسب الشهر'!R769</f>
        <v>0</v>
      </c>
      <c r="J1650" s="31">
        <f>'تقرير المصروفات حسب الشهر'!R896</f>
        <v>0</v>
      </c>
      <c r="K1650" s="31">
        <f>'تقرير المصروفات حسب الشهر'!R1023</f>
        <v>0</v>
      </c>
      <c r="L1650" s="292">
        <f>IFERROR(VLOOKUP(B1650,'تقرير المصروفات حسب الشهر'!$C$1143:$AD$1254,16,FALSE),0)</f>
        <v>0</v>
      </c>
      <c r="M1650" s="292">
        <f>IFERROR(VLOOKUP(B1650,'تقرير المصروفات حسب الشهر'!$C$1270:$AD$1381,16,FALSE),0)</f>
        <v>0</v>
      </c>
      <c r="N1650" s="31" t="e">
        <f>#REF!</f>
        <v>#REF!</v>
      </c>
      <c r="O1650" s="37" t="e">
        <f t="shared" si="42"/>
        <v>#REF!</v>
      </c>
    </row>
    <row r="1651" spans="2:15" ht="17.399999999999999">
      <c r="B1651" s="42" t="s">
        <v>45</v>
      </c>
      <c r="C1651" s="39">
        <f>'تقرير المصروفات حسب الشهر'!R17</f>
        <v>22420</v>
      </c>
      <c r="D1651" s="31" t="e">
        <f>#REF!</f>
        <v>#REF!</v>
      </c>
      <c r="E1651" s="31" t="e">
        <f>#REF!</f>
        <v>#REF!</v>
      </c>
      <c r="F1651" s="31" t="e">
        <f>#REF!</f>
        <v>#REF!</v>
      </c>
      <c r="G1651" s="31" t="e">
        <f>#REF!</f>
        <v>#REF!</v>
      </c>
      <c r="H1651" s="31" t="e">
        <f>#REF!</f>
        <v>#REF!</v>
      </c>
      <c r="I1651" s="31">
        <f>'تقرير المصروفات حسب الشهر'!R770</f>
        <v>23420</v>
      </c>
      <c r="J1651" s="31">
        <f>'تقرير المصروفات حسب الشهر'!R897</f>
        <v>23420</v>
      </c>
      <c r="K1651" s="31">
        <f>'تقرير المصروفات حسب الشهر'!R1024</f>
        <v>23420</v>
      </c>
      <c r="L1651" s="292">
        <f>IFERROR(VLOOKUP(B1651,'تقرير المصروفات حسب الشهر'!$C$1143:$AD$1254,16,FALSE),0)</f>
        <v>23420</v>
      </c>
      <c r="M1651" s="292">
        <f>IFERROR(VLOOKUP(B1651,'تقرير المصروفات حسب الشهر'!$C$1270:$AD$1381,16,FALSE),0)</f>
        <v>23420</v>
      </c>
      <c r="N1651" s="31" t="e">
        <f>#REF!</f>
        <v>#REF!</v>
      </c>
      <c r="O1651" s="37" t="e">
        <f t="shared" si="42"/>
        <v>#REF!</v>
      </c>
    </row>
    <row r="1652" spans="2:15" ht="17.399999999999999">
      <c r="B1652" s="42" t="s">
        <v>156</v>
      </c>
      <c r="C1652" s="39">
        <f>'تقرير المصروفات حسب الشهر'!R18</f>
        <v>0</v>
      </c>
      <c r="D1652" s="31" t="e">
        <f>#REF!</f>
        <v>#REF!</v>
      </c>
      <c r="E1652" s="31" t="e">
        <f>#REF!</f>
        <v>#REF!</v>
      </c>
      <c r="F1652" s="31" t="e">
        <f>#REF!</f>
        <v>#REF!</v>
      </c>
      <c r="G1652" s="31" t="e">
        <f>#REF!</f>
        <v>#REF!</v>
      </c>
      <c r="H1652" s="31" t="e">
        <f>#REF!</f>
        <v>#REF!</v>
      </c>
      <c r="I1652" s="31">
        <f>'تقرير المصروفات حسب الشهر'!R771</f>
        <v>0</v>
      </c>
      <c r="J1652" s="31">
        <f>'تقرير المصروفات حسب الشهر'!R898</f>
        <v>0</v>
      </c>
      <c r="K1652" s="31">
        <f>'تقرير المصروفات حسب الشهر'!R1025</f>
        <v>0</v>
      </c>
      <c r="L1652" s="292">
        <f>IFERROR(VLOOKUP(B1652,'تقرير المصروفات حسب الشهر'!$C$1143:$AD$1254,16,FALSE),0)</f>
        <v>350</v>
      </c>
      <c r="M1652" s="292">
        <f>IFERROR(VLOOKUP(B1652,'تقرير المصروفات حسب الشهر'!$C$1270:$AD$1381,16,FALSE),0)</f>
        <v>0</v>
      </c>
      <c r="N1652" s="31" t="e">
        <f>#REF!</f>
        <v>#REF!</v>
      </c>
      <c r="O1652" s="37" t="e">
        <f t="shared" si="42"/>
        <v>#REF!</v>
      </c>
    </row>
    <row r="1653" spans="2:15" ht="17.399999999999999">
      <c r="B1653" s="42" t="s">
        <v>46</v>
      </c>
      <c r="C1653" s="39">
        <f>'تقرير المصروفات حسب الشهر'!R19</f>
        <v>65.87</v>
      </c>
      <c r="D1653" s="31" t="e">
        <f>#REF!</f>
        <v>#REF!</v>
      </c>
      <c r="E1653" s="31" t="e">
        <f>#REF!</f>
        <v>#REF!</v>
      </c>
      <c r="F1653" s="31" t="e">
        <f>#REF!</f>
        <v>#REF!</v>
      </c>
      <c r="G1653" s="31" t="e">
        <f>#REF!</f>
        <v>#REF!</v>
      </c>
      <c r="H1653" s="31" t="e">
        <f>#REF!</f>
        <v>#REF!</v>
      </c>
      <c r="I1653" s="31">
        <f>'تقرير المصروفات حسب الشهر'!R772</f>
        <v>270.87</v>
      </c>
      <c r="J1653" s="31">
        <f>'تقرير المصروفات حسب الشهر'!R899</f>
        <v>65.87</v>
      </c>
      <c r="K1653" s="31">
        <f>'تقرير المصروفات حسب الشهر'!R1026</f>
        <v>65.87</v>
      </c>
      <c r="L1653" s="292">
        <f>IFERROR(VLOOKUP(B1653,'تقرير المصروفات حسب الشهر'!$C$1143:$AD$1254,16,FALSE),0)</f>
        <v>65.87</v>
      </c>
      <c r="M1653" s="292">
        <f>IFERROR(VLOOKUP(B1653,'تقرير المصروفات حسب الشهر'!$C$1270:$AD$1381,16,FALSE),0)</f>
        <v>65.87</v>
      </c>
      <c r="N1653" s="31" t="e">
        <f>#REF!</f>
        <v>#REF!</v>
      </c>
      <c r="O1653" s="37" t="e">
        <f t="shared" si="42"/>
        <v>#REF!</v>
      </c>
    </row>
    <row r="1654" spans="2:15" ht="17.399999999999999">
      <c r="B1654" s="42" t="s">
        <v>47</v>
      </c>
      <c r="C1654" s="39">
        <f>'تقرير المصروفات حسب الشهر'!R20</f>
        <v>0</v>
      </c>
      <c r="D1654" s="31" t="e">
        <f>#REF!</f>
        <v>#REF!</v>
      </c>
      <c r="E1654" s="31" t="e">
        <f>#REF!</f>
        <v>#REF!</v>
      </c>
      <c r="F1654" s="31" t="e">
        <f>#REF!</f>
        <v>#REF!</v>
      </c>
      <c r="G1654" s="31" t="e">
        <f>#REF!</f>
        <v>#REF!</v>
      </c>
      <c r="H1654" s="31" t="e">
        <f>#REF!</f>
        <v>#REF!</v>
      </c>
      <c r="I1654" s="31">
        <f>'تقرير المصروفات حسب الشهر'!R773</f>
        <v>0</v>
      </c>
      <c r="J1654" s="31">
        <f>'تقرير المصروفات حسب الشهر'!R900</f>
        <v>0</v>
      </c>
      <c r="K1654" s="31">
        <f>'تقرير المصروفات حسب الشهر'!R1027</f>
        <v>0</v>
      </c>
      <c r="L1654" s="292">
        <f>IFERROR(VLOOKUP(B1654,'تقرير المصروفات حسب الشهر'!$C$1143:$AD$1254,16,FALSE),0)</f>
        <v>0</v>
      </c>
      <c r="M1654" s="292">
        <f>IFERROR(VLOOKUP(B1654,'تقرير المصروفات حسب الشهر'!$C$1270:$AD$1381,16,FALSE),0)</f>
        <v>0</v>
      </c>
      <c r="N1654" s="31" t="e">
        <f>#REF!</f>
        <v>#REF!</v>
      </c>
      <c r="O1654" s="37" t="e">
        <f t="shared" si="42"/>
        <v>#REF!</v>
      </c>
    </row>
    <row r="1655" spans="2:15" ht="17.399999999999999">
      <c r="B1655" s="42" t="s">
        <v>48</v>
      </c>
      <c r="C1655" s="39">
        <f>'تقرير المصروفات حسب الشهر'!R21</f>
        <v>0</v>
      </c>
      <c r="D1655" s="31" t="e">
        <f>#REF!</f>
        <v>#REF!</v>
      </c>
      <c r="E1655" s="31" t="e">
        <f>#REF!</f>
        <v>#REF!</v>
      </c>
      <c r="F1655" s="31" t="e">
        <f>#REF!</f>
        <v>#REF!</v>
      </c>
      <c r="G1655" s="31" t="e">
        <f>#REF!</f>
        <v>#REF!</v>
      </c>
      <c r="H1655" s="31" t="e">
        <f>#REF!</f>
        <v>#REF!</v>
      </c>
      <c r="I1655" s="31">
        <f>'تقرير المصروفات حسب الشهر'!R774</f>
        <v>0</v>
      </c>
      <c r="J1655" s="31">
        <f>'تقرير المصروفات حسب الشهر'!R901</f>
        <v>1325</v>
      </c>
      <c r="K1655" s="31">
        <f>'تقرير المصروفات حسب الشهر'!R1028</f>
        <v>280</v>
      </c>
      <c r="L1655" s="292">
        <f>IFERROR(VLOOKUP(B1655,'تقرير المصروفات حسب الشهر'!$C$1143:$AD$1254,16,FALSE),0)</f>
        <v>0</v>
      </c>
      <c r="M1655" s="292">
        <f>IFERROR(VLOOKUP(B1655,'تقرير المصروفات حسب الشهر'!$C$1270:$AD$1381,16,FALSE),0)</f>
        <v>0</v>
      </c>
      <c r="N1655" s="31" t="e">
        <f>#REF!</f>
        <v>#REF!</v>
      </c>
      <c r="O1655" s="37" t="e">
        <f t="shared" si="42"/>
        <v>#REF!</v>
      </c>
    </row>
    <row r="1656" spans="2:15" ht="17.399999999999999">
      <c r="B1656" s="42" t="s">
        <v>49</v>
      </c>
      <c r="C1656" s="39">
        <f>'تقرير المصروفات حسب الشهر'!R22</f>
        <v>0</v>
      </c>
      <c r="D1656" s="31" t="e">
        <f>#REF!</f>
        <v>#REF!</v>
      </c>
      <c r="E1656" s="31" t="e">
        <f>#REF!</f>
        <v>#REF!</v>
      </c>
      <c r="F1656" s="31" t="e">
        <f>#REF!</f>
        <v>#REF!</v>
      </c>
      <c r="G1656" s="31" t="e">
        <f>#REF!</f>
        <v>#REF!</v>
      </c>
      <c r="H1656" s="31" t="e">
        <f>#REF!</f>
        <v>#REF!</v>
      </c>
      <c r="I1656" s="31">
        <f>'تقرير المصروفات حسب الشهر'!R775</f>
        <v>0</v>
      </c>
      <c r="J1656" s="31">
        <f>'تقرير المصروفات حسب الشهر'!R902</f>
        <v>0</v>
      </c>
      <c r="K1656" s="31">
        <f>'تقرير المصروفات حسب الشهر'!R1029</f>
        <v>0</v>
      </c>
      <c r="L1656" s="292">
        <f>IFERROR(VLOOKUP(B1656,'تقرير المصروفات حسب الشهر'!$C$1143:$AD$1254,16,FALSE),0)</f>
        <v>0</v>
      </c>
      <c r="M1656" s="292">
        <f>IFERROR(VLOOKUP(B1656,'تقرير المصروفات حسب الشهر'!$C$1270:$AD$1381,16,FALSE),0)</f>
        <v>0</v>
      </c>
      <c r="N1656" s="31" t="e">
        <f>#REF!</f>
        <v>#REF!</v>
      </c>
      <c r="O1656" s="37" t="e">
        <f t="shared" si="42"/>
        <v>#REF!</v>
      </c>
    </row>
    <row r="1657" spans="2:15" ht="17.399999999999999">
      <c r="B1657" s="42" t="s">
        <v>158</v>
      </c>
      <c r="C1657" s="39">
        <f>'تقرير المصروفات حسب الشهر'!R23</f>
        <v>0</v>
      </c>
      <c r="D1657" s="31" t="e">
        <f>#REF!</f>
        <v>#REF!</v>
      </c>
      <c r="E1657" s="31" t="e">
        <f>#REF!</f>
        <v>#REF!</v>
      </c>
      <c r="F1657" s="31" t="e">
        <f>#REF!</f>
        <v>#REF!</v>
      </c>
      <c r="G1657" s="31" t="e">
        <f>#REF!</f>
        <v>#REF!</v>
      </c>
      <c r="H1657" s="31" t="e">
        <f>#REF!</f>
        <v>#REF!</v>
      </c>
      <c r="I1657" s="31">
        <f>'تقرير المصروفات حسب الشهر'!R776</f>
        <v>0</v>
      </c>
      <c r="J1657" s="31">
        <f>'تقرير المصروفات حسب الشهر'!R903</f>
        <v>0</v>
      </c>
      <c r="K1657" s="31">
        <f>'تقرير المصروفات حسب الشهر'!R1030</f>
        <v>0</v>
      </c>
      <c r="L1657" s="292">
        <f>IFERROR(VLOOKUP(B1657,'تقرير المصروفات حسب الشهر'!$C$1143:$AD$1254,16,FALSE),0)</f>
        <v>0</v>
      </c>
      <c r="M1657" s="292">
        <f>IFERROR(VLOOKUP(B1657,'تقرير المصروفات حسب الشهر'!$C$1270:$AD$1381,16,FALSE),0)</f>
        <v>0</v>
      </c>
      <c r="N1657" s="31" t="e">
        <f>#REF!</f>
        <v>#REF!</v>
      </c>
      <c r="O1657" s="37" t="e">
        <f t="shared" si="42"/>
        <v>#REF!</v>
      </c>
    </row>
    <row r="1658" spans="2:15" ht="17.399999999999999">
      <c r="B1658" s="42" t="s">
        <v>50</v>
      </c>
      <c r="C1658" s="39">
        <f>'تقرير المصروفات حسب الشهر'!R24</f>
        <v>0</v>
      </c>
      <c r="D1658" s="31" t="e">
        <f>#REF!</f>
        <v>#REF!</v>
      </c>
      <c r="E1658" s="31" t="e">
        <f>#REF!</f>
        <v>#REF!</v>
      </c>
      <c r="F1658" s="31" t="e">
        <f>#REF!</f>
        <v>#REF!</v>
      </c>
      <c r="G1658" s="31" t="e">
        <f>#REF!</f>
        <v>#REF!</v>
      </c>
      <c r="H1658" s="31" t="e">
        <f>#REF!</f>
        <v>#REF!</v>
      </c>
      <c r="I1658" s="31">
        <f>'تقرير المصروفات حسب الشهر'!R777</f>
        <v>0</v>
      </c>
      <c r="J1658" s="31">
        <f>'تقرير المصروفات حسب الشهر'!R904</f>
        <v>0</v>
      </c>
      <c r="K1658" s="31">
        <f>'تقرير المصروفات حسب الشهر'!R1031</f>
        <v>0</v>
      </c>
      <c r="L1658" s="292">
        <f>IFERROR(VLOOKUP(B1658,'تقرير المصروفات حسب الشهر'!$C$1143:$AD$1254,16,FALSE),0)</f>
        <v>0</v>
      </c>
      <c r="M1658" s="292">
        <f>IFERROR(VLOOKUP(B1658,'تقرير المصروفات حسب الشهر'!$C$1270:$AD$1381,16,FALSE),0)</f>
        <v>0</v>
      </c>
      <c r="N1658" s="31" t="e">
        <f>#REF!</f>
        <v>#REF!</v>
      </c>
      <c r="O1658" s="37" t="e">
        <f t="shared" si="42"/>
        <v>#REF!</v>
      </c>
    </row>
    <row r="1659" spans="2:15" ht="17.399999999999999">
      <c r="B1659" s="42" t="s">
        <v>51</v>
      </c>
      <c r="C1659" s="39">
        <f>'تقرير المصروفات حسب الشهر'!R25</f>
        <v>2250</v>
      </c>
      <c r="D1659" s="31" t="e">
        <f>#REF!</f>
        <v>#REF!</v>
      </c>
      <c r="E1659" s="31" t="e">
        <f>#REF!</f>
        <v>#REF!</v>
      </c>
      <c r="F1659" s="31" t="e">
        <f>#REF!</f>
        <v>#REF!</v>
      </c>
      <c r="G1659" s="31" t="e">
        <f>#REF!</f>
        <v>#REF!</v>
      </c>
      <c r="H1659" s="31" t="e">
        <f>#REF!</f>
        <v>#REF!</v>
      </c>
      <c r="I1659" s="31">
        <f>'تقرير المصروفات حسب الشهر'!R778</f>
        <v>0</v>
      </c>
      <c r="J1659" s="31">
        <f>'تقرير المصروفات حسب الشهر'!R905</f>
        <v>0</v>
      </c>
      <c r="K1659" s="31">
        <f>'تقرير المصروفات حسب الشهر'!R1032</f>
        <v>0</v>
      </c>
      <c r="L1659" s="292">
        <f>IFERROR(VLOOKUP(B1659,'تقرير المصروفات حسب الشهر'!$C$1143:$AD$1254,16,FALSE),0)</f>
        <v>0</v>
      </c>
      <c r="M1659" s="292">
        <f>IFERROR(VLOOKUP(B1659,'تقرير المصروفات حسب الشهر'!$C$1270:$AD$1381,16,FALSE),0)</f>
        <v>0</v>
      </c>
      <c r="N1659" s="31" t="e">
        <f>#REF!</f>
        <v>#REF!</v>
      </c>
      <c r="O1659" s="37" t="e">
        <f t="shared" si="42"/>
        <v>#REF!</v>
      </c>
    </row>
    <row r="1660" spans="2:15" ht="17.399999999999999">
      <c r="B1660" s="42" t="s">
        <v>52</v>
      </c>
      <c r="C1660" s="39">
        <f>'تقرير المصروفات حسب الشهر'!R26</f>
        <v>0</v>
      </c>
      <c r="D1660" s="31" t="e">
        <f>#REF!</f>
        <v>#REF!</v>
      </c>
      <c r="E1660" s="31" t="e">
        <f>#REF!</f>
        <v>#REF!</v>
      </c>
      <c r="F1660" s="31" t="e">
        <f>#REF!</f>
        <v>#REF!</v>
      </c>
      <c r="G1660" s="31" t="e">
        <f>#REF!</f>
        <v>#REF!</v>
      </c>
      <c r="H1660" s="31" t="e">
        <f>#REF!</f>
        <v>#REF!</v>
      </c>
      <c r="I1660" s="31">
        <f>'تقرير المصروفات حسب الشهر'!R779</f>
        <v>0</v>
      </c>
      <c r="J1660" s="31">
        <f>'تقرير المصروفات حسب الشهر'!R906</f>
        <v>0</v>
      </c>
      <c r="K1660" s="31">
        <f>'تقرير المصروفات حسب الشهر'!R1033</f>
        <v>0</v>
      </c>
      <c r="L1660" s="292">
        <f>IFERROR(VLOOKUP(B1660,'تقرير المصروفات حسب الشهر'!$C$1143:$AD$1254,16,FALSE),0)</f>
        <v>0</v>
      </c>
      <c r="M1660" s="292">
        <f>IFERROR(VLOOKUP(B1660,'تقرير المصروفات حسب الشهر'!$C$1270:$AD$1381,16,FALSE),0)</f>
        <v>0</v>
      </c>
      <c r="N1660" s="31" t="e">
        <f>#REF!</f>
        <v>#REF!</v>
      </c>
      <c r="O1660" s="37" t="e">
        <f t="shared" si="42"/>
        <v>#REF!</v>
      </c>
    </row>
    <row r="1661" spans="2:15" ht="17.399999999999999">
      <c r="B1661" s="42" t="s">
        <v>174</v>
      </c>
      <c r="C1661" s="39">
        <f>'تقرير المصروفات حسب الشهر'!R27</f>
        <v>4422.5</v>
      </c>
      <c r="D1661" s="31" t="e">
        <f>#REF!</f>
        <v>#REF!</v>
      </c>
      <c r="E1661" s="31" t="e">
        <f>#REF!</f>
        <v>#REF!</v>
      </c>
      <c r="F1661" s="31" t="e">
        <f>#REF!</f>
        <v>#REF!</v>
      </c>
      <c r="G1661" s="31" t="e">
        <f>#REF!</f>
        <v>#REF!</v>
      </c>
      <c r="H1661" s="31" t="e">
        <f>#REF!</f>
        <v>#REF!</v>
      </c>
      <c r="I1661" s="31">
        <f>'تقرير المصروفات حسب الشهر'!R780</f>
        <v>2478</v>
      </c>
      <c r="J1661" s="31">
        <f>'تقرير المصروفات حسب الشهر'!R907</f>
        <v>2071</v>
      </c>
      <c r="K1661" s="31">
        <f>'تقرير المصروفات حسب الشهر'!R1034</f>
        <v>1867</v>
      </c>
      <c r="L1661" s="292">
        <f>IFERROR(VLOOKUP(B1661,'تقرير المصروفات حسب الشهر'!$C$1143:$AD$1254,16,FALSE),0)</f>
        <v>1382</v>
      </c>
      <c r="M1661" s="292">
        <f>IFERROR(VLOOKUP(B1661,'تقرير المصروفات حسب الشهر'!$C$1270:$AD$1381,16,FALSE),0)</f>
        <v>2906</v>
      </c>
      <c r="N1661" s="31" t="e">
        <f>#REF!</f>
        <v>#REF!</v>
      </c>
      <c r="O1661" s="37" t="e">
        <f t="shared" si="42"/>
        <v>#REF!</v>
      </c>
    </row>
    <row r="1662" spans="2:15" ht="17.399999999999999">
      <c r="B1662" s="42" t="s">
        <v>53</v>
      </c>
      <c r="C1662" s="39">
        <f>'تقرير المصروفات حسب الشهر'!R28</f>
        <v>400</v>
      </c>
      <c r="D1662" s="31" t="e">
        <f>#REF!</f>
        <v>#REF!</v>
      </c>
      <c r="E1662" s="31" t="e">
        <f>#REF!</f>
        <v>#REF!</v>
      </c>
      <c r="F1662" s="31" t="e">
        <f>#REF!</f>
        <v>#REF!</v>
      </c>
      <c r="G1662" s="31" t="e">
        <f>#REF!</f>
        <v>#REF!</v>
      </c>
      <c r="H1662" s="31" t="e">
        <f>#REF!</f>
        <v>#REF!</v>
      </c>
      <c r="I1662" s="31">
        <f>'تقرير المصروفات حسب الشهر'!R781</f>
        <v>400</v>
      </c>
      <c r="J1662" s="31">
        <f>'تقرير المصروفات حسب الشهر'!R908</f>
        <v>400</v>
      </c>
      <c r="K1662" s="31">
        <f>'تقرير المصروفات حسب الشهر'!R1035</f>
        <v>400</v>
      </c>
      <c r="L1662" s="292">
        <f>IFERROR(VLOOKUP(B1662,'تقرير المصروفات حسب الشهر'!$C$1143:$AD$1254,16,FALSE),0)</f>
        <v>400</v>
      </c>
      <c r="M1662" s="292">
        <f>IFERROR(VLOOKUP(B1662,'تقرير المصروفات حسب الشهر'!$C$1270:$AD$1381,16,FALSE),0)</f>
        <v>400</v>
      </c>
      <c r="N1662" s="31" t="e">
        <f>#REF!</f>
        <v>#REF!</v>
      </c>
      <c r="O1662" s="37" t="e">
        <f t="shared" si="42"/>
        <v>#REF!</v>
      </c>
    </row>
    <row r="1663" spans="2:15" ht="17.399999999999999">
      <c r="B1663" s="42" t="s">
        <v>191</v>
      </c>
      <c r="C1663" s="39">
        <f>'تقرير المصروفات حسب الشهر'!R29</f>
        <v>0</v>
      </c>
      <c r="D1663" s="31" t="e">
        <f>#REF!</f>
        <v>#REF!</v>
      </c>
      <c r="E1663" s="31" t="e">
        <f>#REF!</f>
        <v>#REF!</v>
      </c>
      <c r="F1663" s="31" t="e">
        <f>#REF!</f>
        <v>#REF!</v>
      </c>
      <c r="G1663" s="31" t="e">
        <f>#REF!</f>
        <v>#REF!</v>
      </c>
      <c r="H1663" s="31" t="e">
        <f>#REF!</f>
        <v>#REF!</v>
      </c>
      <c r="I1663" s="31">
        <f>'تقرير المصروفات حسب الشهر'!R782</f>
        <v>0</v>
      </c>
      <c r="J1663" s="31">
        <f>'تقرير المصروفات حسب الشهر'!R909</f>
        <v>0</v>
      </c>
      <c r="K1663" s="31">
        <f>'تقرير المصروفات حسب الشهر'!R1036</f>
        <v>0</v>
      </c>
      <c r="L1663" s="292">
        <f>IFERROR(VLOOKUP(B1663,'تقرير المصروفات حسب الشهر'!$C$1143:$AD$1254,16,FALSE),0)</f>
        <v>0</v>
      </c>
      <c r="M1663" s="292">
        <f>IFERROR(VLOOKUP(B1663,'تقرير المصروفات حسب الشهر'!$C$1270:$AD$1381,16,FALSE),0)</f>
        <v>0</v>
      </c>
      <c r="N1663" s="31" t="e">
        <f>#REF!</f>
        <v>#REF!</v>
      </c>
      <c r="O1663" s="37" t="e">
        <f t="shared" si="42"/>
        <v>#REF!</v>
      </c>
    </row>
    <row r="1664" spans="2:15" ht="17.399999999999999">
      <c r="B1664" s="42" t="s">
        <v>29</v>
      </c>
      <c r="C1664" s="39">
        <f>'تقرير المصروفات حسب الشهر'!R30</f>
        <v>0</v>
      </c>
      <c r="D1664" s="31" t="e">
        <f>#REF!</f>
        <v>#REF!</v>
      </c>
      <c r="E1664" s="31" t="e">
        <f>#REF!</f>
        <v>#REF!</v>
      </c>
      <c r="F1664" s="31" t="e">
        <f>#REF!</f>
        <v>#REF!</v>
      </c>
      <c r="G1664" s="31" t="e">
        <f>#REF!</f>
        <v>#REF!</v>
      </c>
      <c r="H1664" s="31" t="e">
        <f>#REF!</f>
        <v>#REF!</v>
      </c>
      <c r="I1664" s="31">
        <f>'تقرير المصروفات حسب الشهر'!R783</f>
        <v>0</v>
      </c>
      <c r="J1664" s="31">
        <f>'تقرير المصروفات حسب الشهر'!R910</f>
        <v>0</v>
      </c>
      <c r="K1664" s="31">
        <f>'تقرير المصروفات حسب الشهر'!R1037</f>
        <v>0</v>
      </c>
      <c r="L1664" s="292">
        <f>IFERROR(VLOOKUP(B1664,'تقرير المصروفات حسب الشهر'!$C$1143:$AD$1254,16,FALSE),0)</f>
        <v>0</v>
      </c>
      <c r="M1664" s="292">
        <f>IFERROR(VLOOKUP(B1664,'تقرير المصروفات حسب الشهر'!$C$1270:$AD$1381,16,FALSE),0)</f>
        <v>0</v>
      </c>
      <c r="N1664" s="31" t="e">
        <f>#REF!</f>
        <v>#REF!</v>
      </c>
      <c r="O1664" s="37" t="e">
        <f t="shared" si="42"/>
        <v>#REF!</v>
      </c>
    </row>
    <row r="1665" spans="2:15" ht="17.399999999999999">
      <c r="B1665" s="42" t="s">
        <v>54</v>
      </c>
      <c r="C1665" s="39">
        <f>'تقرير المصروفات حسب الشهر'!R31</f>
        <v>0</v>
      </c>
      <c r="D1665" s="31" t="e">
        <f>#REF!</f>
        <v>#REF!</v>
      </c>
      <c r="E1665" s="31" t="e">
        <f>#REF!</f>
        <v>#REF!</v>
      </c>
      <c r="F1665" s="31" t="e">
        <f>#REF!</f>
        <v>#REF!</v>
      </c>
      <c r="G1665" s="31" t="e">
        <f>#REF!</f>
        <v>#REF!</v>
      </c>
      <c r="H1665" s="31" t="e">
        <f>#REF!</f>
        <v>#REF!</v>
      </c>
      <c r="I1665" s="31">
        <f>'تقرير المصروفات حسب الشهر'!R784</f>
        <v>0</v>
      </c>
      <c r="J1665" s="31">
        <f>'تقرير المصروفات حسب الشهر'!R911</f>
        <v>0</v>
      </c>
      <c r="K1665" s="31">
        <f>'تقرير المصروفات حسب الشهر'!R1038</f>
        <v>0</v>
      </c>
      <c r="L1665" s="292">
        <f>IFERROR(VLOOKUP(B1665,'تقرير المصروفات حسب الشهر'!$C$1143:$AD$1254,16,FALSE),0)</f>
        <v>0</v>
      </c>
      <c r="M1665" s="292">
        <f>IFERROR(VLOOKUP(B1665,'تقرير المصروفات حسب الشهر'!$C$1270:$AD$1381,16,FALSE),0)</f>
        <v>0</v>
      </c>
      <c r="N1665" s="31" t="e">
        <f>#REF!</f>
        <v>#REF!</v>
      </c>
      <c r="O1665" s="37" t="e">
        <f t="shared" si="42"/>
        <v>#REF!</v>
      </c>
    </row>
    <row r="1666" spans="2:15" ht="17.399999999999999">
      <c r="B1666" s="42" t="s">
        <v>31</v>
      </c>
      <c r="C1666" s="39">
        <f>'تقرير المصروفات حسب الشهر'!R32</f>
        <v>300</v>
      </c>
      <c r="D1666" s="31" t="e">
        <f>#REF!</f>
        <v>#REF!</v>
      </c>
      <c r="E1666" s="31" t="e">
        <f>#REF!</f>
        <v>#REF!</v>
      </c>
      <c r="F1666" s="31" t="e">
        <f>#REF!</f>
        <v>#REF!</v>
      </c>
      <c r="G1666" s="31" t="e">
        <f>#REF!</f>
        <v>#REF!</v>
      </c>
      <c r="H1666" s="31" t="e">
        <f>#REF!</f>
        <v>#REF!</v>
      </c>
      <c r="I1666" s="31">
        <f>'تقرير المصروفات حسب الشهر'!R785</f>
        <v>255</v>
      </c>
      <c r="J1666" s="31">
        <f>'تقرير المصروفات حسب الشهر'!R912</f>
        <v>60</v>
      </c>
      <c r="K1666" s="31">
        <f>'تقرير المصروفات حسب الشهر'!R1039</f>
        <v>200</v>
      </c>
      <c r="L1666" s="292">
        <f>IFERROR(VLOOKUP(B1666,'تقرير المصروفات حسب الشهر'!$C$1143:$AD$1254,16,FALSE),0)</f>
        <v>440</v>
      </c>
      <c r="M1666" s="292">
        <f>IFERROR(VLOOKUP(B1666,'تقرير المصروفات حسب الشهر'!$C$1270:$AD$1381,16,FALSE),0)</f>
        <v>300</v>
      </c>
      <c r="N1666" s="31" t="e">
        <f>#REF!</f>
        <v>#REF!</v>
      </c>
      <c r="O1666" s="37" t="e">
        <f t="shared" si="42"/>
        <v>#REF!</v>
      </c>
    </row>
    <row r="1667" spans="2:15" ht="17.399999999999999">
      <c r="B1667" s="42" t="s">
        <v>55</v>
      </c>
      <c r="C1667" s="39">
        <f>'تقرير المصروفات حسب الشهر'!R33</f>
        <v>0</v>
      </c>
      <c r="D1667" s="31" t="e">
        <f>#REF!</f>
        <v>#REF!</v>
      </c>
      <c r="E1667" s="31" t="e">
        <f>#REF!</f>
        <v>#REF!</v>
      </c>
      <c r="F1667" s="31" t="e">
        <f>#REF!</f>
        <v>#REF!</v>
      </c>
      <c r="G1667" s="31" t="e">
        <f>#REF!</f>
        <v>#REF!</v>
      </c>
      <c r="H1667" s="31" t="e">
        <f>#REF!</f>
        <v>#REF!</v>
      </c>
      <c r="I1667" s="31">
        <f>'تقرير المصروفات حسب الشهر'!R786</f>
        <v>0</v>
      </c>
      <c r="J1667" s="31">
        <f>'تقرير المصروفات حسب الشهر'!R913</f>
        <v>0</v>
      </c>
      <c r="K1667" s="31">
        <f>'تقرير المصروفات حسب الشهر'!R1040</f>
        <v>0</v>
      </c>
      <c r="L1667" s="292">
        <f>IFERROR(VLOOKUP(B1667,'تقرير المصروفات حسب الشهر'!$C$1143:$AD$1254,16,FALSE),0)</f>
        <v>0</v>
      </c>
      <c r="M1667" s="292">
        <f>IFERROR(VLOOKUP(B1667,'تقرير المصروفات حسب الشهر'!$C$1270:$AD$1381,16,FALSE),0)</f>
        <v>0</v>
      </c>
      <c r="N1667" s="31" t="e">
        <f>#REF!</f>
        <v>#REF!</v>
      </c>
      <c r="O1667" s="37" t="e">
        <f t="shared" si="42"/>
        <v>#REF!</v>
      </c>
    </row>
    <row r="1668" spans="2:15" ht="17.399999999999999">
      <c r="B1668" s="42" t="s">
        <v>56</v>
      </c>
      <c r="C1668" s="39">
        <f>'تقرير المصروفات حسب الشهر'!R34</f>
        <v>0</v>
      </c>
      <c r="D1668" s="31" t="e">
        <f>#REF!</f>
        <v>#REF!</v>
      </c>
      <c r="E1668" s="31" t="e">
        <f>#REF!</f>
        <v>#REF!</v>
      </c>
      <c r="F1668" s="31" t="e">
        <f>#REF!</f>
        <v>#REF!</v>
      </c>
      <c r="G1668" s="31" t="e">
        <f>#REF!</f>
        <v>#REF!</v>
      </c>
      <c r="H1668" s="31" t="e">
        <f>#REF!</f>
        <v>#REF!</v>
      </c>
      <c r="I1668" s="31">
        <f>'تقرير المصروفات حسب الشهر'!R787</f>
        <v>0</v>
      </c>
      <c r="J1668" s="31">
        <f>'تقرير المصروفات حسب الشهر'!R914</f>
        <v>0</v>
      </c>
      <c r="K1668" s="31">
        <f>'تقرير المصروفات حسب الشهر'!R1041</f>
        <v>0</v>
      </c>
      <c r="L1668" s="292">
        <f>IFERROR(VLOOKUP(B1668,'تقرير المصروفات حسب الشهر'!$C$1143:$AD$1254,16,FALSE),0)</f>
        <v>0</v>
      </c>
      <c r="M1668" s="292">
        <f>IFERROR(VLOOKUP(B1668,'تقرير المصروفات حسب الشهر'!$C$1270:$AD$1381,16,FALSE),0)</f>
        <v>0</v>
      </c>
      <c r="N1668" s="31" t="e">
        <f>#REF!</f>
        <v>#REF!</v>
      </c>
      <c r="O1668" s="37" t="e">
        <f t="shared" si="42"/>
        <v>#REF!</v>
      </c>
    </row>
    <row r="1669" spans="2:15" ht="17.399999999999999">
      <c r="B1669" s="42" t="s">
        <v>57</v>
      </c>
      <c r="C1669" s="39">
        <f>'تقرير المصروفات حسب الشهر'!R35</f>
        <v>0</v>
      </c>
      <c r="D1669" s="31" t="e">
        <f>#REF!</f>
        <v>#REF!</v>
      </c>
      <c r="E1669" s="31" t="e">
        <f>#REF!</f>
        <v>#REF!</v>
      </c>
      <c r="F1669" s="31" t="e">
        <f>#REF!</f>
        <v>#REF!</v>
      </c>
      <c r="G1669" s="31" t="e">
        <f>#REF!</f>
        <v>#REF!</v>
      </c>
      <c r="H1669" s="31" t="e">
        <f>#REF!</f>
        <v>#REF!</v>
      </c>
      <c r="I1669" s="31">
        <f>'تقرير المصروفات حسب الشهر'!R788</f>
        <v>0</v>
      </c>
      <c r="J1669" s="31">
        <f>'تقرير المصروفات حسب الشهر'!R915</f>
        <v>1190</v>
      </c>
      <c r="K1669" s="31">
        <f>'تقرير المصروفات حسب الشهر'!R1042</f>
        <v>0</v>
      </c>
      <c r="L1669" s="292">
        <f>IFERROR(VLOOKUP(B1669,'تقرير المصروفات حسب الشهر'!$C$1143:$AD$1254,16,FALSE),0)</f>
        <v>0</v>
      </c>
      <c r="M1669" s="292">
        <f>IFERROR(VLOOKUP(B1669,'تقرير المصروفات حسب الشهر'!$C$1270:$AD$1381,16,FALSE),0)</f>
        <v>0</v>
      </c>
      <c r="N1669" s="31" t="e">
        <f>#REF!</f>
        <v>#REF!</v>
      </c>
      <c r="O1669" s="37" t="e">
        <f t="shared" si="42"/>
        <v>#REF!</v>
      </c>
    </row>
    <row r="1670" spans="2:15" ht="17.399999999999999">
      <c r="B1670" s="42" t="s">
        <v>58</v>
      </c>
      <c r="C1670" s="39">
        <f>'تقرير المصروفات حسب الشهر'!R36</f>
        <v>50</v>
      </c>
      <c r="D1670" s="31" t="e">
        <f>#REF!</f>
        <v>#REF!</v>
      </c>
      <c r="E1670" s="31" t="e">
        <f>#REF!</f>
        <v>#REF!</v>
      </c>
      <c r="F1670" s="31" t="e">
        <f>#REF!</f>
        <v>#REF!</v>
      </c>
      <c r="G1670" s="31" t="e">
        <f>#REF!</f>
        <v>#REF!</v>
      </c>
      <c r="H1670" s="31" t="e">
        <f>#REF!</f>
        <v>#REF!</v>
      </c>
      <c r="I1670" s="31">
        <f>'تقرير المصروفات حسب الشهر'!R789</f>
        <v>0</v>
      </c>
      <c r="J1670" s="31">
        <f>'تقرير المصروفات حسب الشهر'!R916</f>
        <v>0</v>
      </c>
      <c r="K1670" s="31">
        <f>'تقرير المصروفات حسب الشهر'!R1043</f>
        <v>11580</v>
      </c>
      <c r="L1670" s="292">
        <f>IFERROR(VLOOKUP(B1670,'تقرير المصروفات حسب الشهر'!$C$1143:$AD$1254,16,FALSE),0)</f>
        <v>0</v>
      </c>
      <c r="M1670" s="292">
        <f>IFERROR(VLOOKUP(B1670,'تقرير المصروفات حسب الشهر'!$C$1270:$AD$1381,16,FALSE),0)</f>
        <v>985</v>
      </c>
      <c r="N1670" s="31" t="e">
        <f>#REF!</f>
        <v>#REF!</v>
      </c>
      <c r="O1670" s="37" t="e">
        <f t="shared" si="42"/>
        <v>#REF!</v>
      </c>
    </row>
    <row r="1671" spans="2:15" ht="17.399999999999999">
      <c r="B1671" s="42" t="s">
        <v>59</v>
      </c>
      <c r="C1671" s="39">
        <f>'تقرير المصروفات حسب الشهر'!R37</f>
        <v>0</v>
      </c>
      <c r="D1671" s="31" t="e">
        <f>#REF!</f>
        <v>#REF!</v>
      </c>
      <c r="E1671" s="31" t="e">
        <f>#REF!</f>
        <v>#REF!</v>
      </c>
      <c r="F1671" s="31" t="e">
        <f>#REF!</f>
        <v>#REF!</v>
      </c>
      <c r="G1671" s="31" t="e">
        <f>#REF!</f>
        <v>#REF!</v>
      </c>
      <c r="H1671" s="31" t="e">
        <f>#REF!</f>
        <v>#REF!</v>
      </c>
      <c r="I1671" s="31">
        <f>'تقرير المصروفات حسب الشهر'!R790</f>
        <v>0</v>
      </c>
      <c r="J1671" s="31">
        <f>'تقرير المصروفات حسب الشهر'!R917</f>
        <v>0</v>
      </c>
      <c r="K1671" s="31">
        <f>'تقرير المصروفات حسب الشهر'!R1044</f>
        <v>200</v>
      </c>
      <c r="L1671" s="292">
        <f>IFERROR(VLOOKUP(B1671,'تقرير المصروفات حسب الشهر'!$C$1143:$AD$1254,16,FALSE),0)</f>
        <v>0</v>
      </c>
      <c r="M1671" s="292">
        <f>IFERROR(VLOOKUP(B1671,'تقرير المصروفات حسب الشهر'!$C$1270:$AD$1381,16,FALSE),0)</f>
        <v>0</v>
      </c>
      <c r="N1671" s="31" t="e">
        <f>#REF!</f>
        <v>#REF!</v>
      </c>
      <c r="O1671" s="37" t="e">
        <f t="shared" si="42"/>
        <v>#REF!</v>
      </c>
    </row>
    <row r="1672" spans="2:15" ht="17.399999999999999">
      <c r="B1672" s="42" t="s">
        <v>60</v>
      </c>
      <c r="C1672" s="39">
        <f>'تقرير المصروفات حسب الشهر'!R38</f>
        <v>0</v>
      </c>
      <c r="D1672" s="31" t="e">
        <f>#REF!</f>
        <v>#REF!</v>
      </c>
      <c r="E1672" s="31" t="e">
        <f>#REF!</f>
        <v>#REF!</v>
      </c>
      <c r="F1672" s="31" t="e">
        <f>#REF!</f>
        <v>#REF!</v>
      </c>
      <c r="G1672" s="31" t="e">
        <f>#REF!</f>
        <v>#REF!</v>
      </c>
      <c r="H1672" s="31" t="e">
        <f>#REF!</f>
        <v>#REF!</v>
      </c>
      <c r="I1672" s="31">
        <f>'تقرير المصروفات حسب الشهر'!R791</f>
        <v>0</v>
      </c>
      <c r="J1672" s="31">
        <f>'تقرير المصروفات حسب الشهر'!R918</f>
        <v>0</v>
      </c>
      <c r="K1672" s="31">
        <f>'تقرير المصروفات حسب الشهر'!R1045</f>
        <v>0</v>
      </c>
      <c r="L1672" s="292">
        <f>IFERROR(VLOOKUP(B1672,'تقرير المصروفات حسب الشهر'!$C$1143:$AD$1254,16,FALSE),0)</f>
        <v>0</v>
      </c>
      <c r="M1672" s="292">
        <f>IFERROR(VLOOKUP(B1672,'تقرير المصروفات حسب الشهر'!$C$1270:$AD$1381,16,FALSE),0)</f>
        <v>0</v>
      </c>
      <c r="N1672" s="31" t="e">
        <f>#REF!</f>
        <v>#REF!</v>
      </c>
      <c r="O1672" s="37" t="e">
        <f t="shared" si="42"/>
        <v>#REF!</v>
      </c>
    </row>
    <row r="1673" spans="2:15" ht="17.399999999999999">
      <c r="B1673" s="42" t="s">
        <v>61</v>
      </c>
      <c r="C1673" s="39">
        <f>'تقرير المصروفات حسب الشهر'!R39</f>
        <v>735</v>
      </c>
      <c r="D1673" s="31" t="e">
        <f>#REF!</f>
        <v>#REF!</v>
      </c>
      <c r="E1673" s="31" t="e">
        <f>#REF!</f>
        <v>#REF!</v>
      </c>
      <c r="F1673" s="31" t="e">
        <f>#REF!</f>
        <v>#REF!</v>
      </c>
      <c r="G1673" s="31" t="e">
        <f>#REF!</f>
        <v>#REF!</v>
      </c>
      <c r="H1673" s="31" t="e">
        <f>#REF!</f>
        <v>#REF!</v>
      </c>
      <c r="I1673" s="31">
        <f>'تقرير المصروفات حسب الشهر'!R792</f>
        <v>160</v>
      </c>
      <c r="J1673" s="31">
        <f>'تقرير المصروفات حسب الشهر'!R919</f>
        <v>100</v>
      </c>
      <c r="K1673" s="31">
        <f>'تقرير المصروفات حسب الشهر'!R1046</f>
        <v>200</v>
      </c>
      <c r="L1673" s="292">
        <f>IFERROR(VLOOKUP(B1673,'تقرير المصروفات حسب الشهر'!$C$1143:$AD$1254,16,FALSE),0)</f>
        <v>0</v>
      </c>
      <c r="M1673" s="292">
        <f>IFERROR(VLOOKUP(B1673,'تقرير المصروفات حسب الشهر'!$C$1270:$AD$1381,16,FALSE),0)</f>
        <v>13100</v>
      </c>
      <c r="N1673" s="31" t="e">
        <f>#REF!</f>
        <v>#REF!</v>
      </c>
      <c r="O1673" s="37" t="e">
        <f t="shared" si="42"/>
        <v>#REF!</v>
      </c>
    </row>
    <row r="1674" spans="2:15" ht="17.399999999999999">
      <c r="B1674" s="42" t="s">
        <v>62</v>
      </c>
      <c r="C1674" s="39">
        <f>'تقرير المصروفات حسب الشهر'!R40</f>
        <v>0</v>
      </c>
      <c r="D1674" s="31" t="e">
        <f>#REF!</f>
        <v>#REF!</v>
      </c>
      <c r="E1674" s="31" t="e">
        <f>#REF!</f>
        <v>#REF!</v>
      </c>
      <c r="F1674" s="31" t="e">
        <f>#REF!</f>
        <v>#REF!</v>
      </c>
      <c r="G1674" s="31" t="e">
        <f>#REF!</f>
        <v>#REF!</v>
      </c>
      <c r="H1674" s="31" t="e">
        <f>#REF!</f>
        <v>#REF!</v>
      </c>
      <c r="I1674" s="31">
        <f>'تقرير المصروفات حسب الشهر'!R793</f>
        <v>0</v>
      </c>
      <c r="J1674" s="31">
        <f>'تقرير المصروفات حسب الشهر'!R920</f>
        <v>0</v>
      </c>
      <c r="K1674" s="31">
        <f>'تقرير المصروفات حسب الشهر'!R1047</f>
        <v>0</v>
      </c>
      <c r="L1674" s="292">
        <f>IFERROR(VLOOKUP(B1674,'تقرير المصروفات حسب الشهر'!$C$1143:$AD$1254,16,FALSE),0)</f>
        <v>0</v>
      </c>
      <c r="M1674" s="292">
        <f>IFERROR(VLOOKUP(B1674,'تقرير المصروفات حسب الشهر'!$C$1270:$AD$1381,16,FALSE),0)</f>
        <v>0</v>
      </c>
      <c r="N1674" s="31" t="e">
        <f>#REF!</f>
        <v>#REF!</v>
      </c>
      <c r="O1674" s="37" t="e">
        <f t="shared" si="42"/>
        <v>#REF!</v>
      </c>
    </row>
    <row r="1675" spans="2:15" ht="17.399999999999999">
      <c r="B1675" s="42" t="s">
        <v>63</v>
      </c>
      <c r="C1675" s="39">
        <f>'تقرير المصروفات حسب الشهر'!R41</f>
        <v>0</v>
      </c>
      <c r="D1675" s="31" t="e">
        <f>#REF!</f>
        <v>#REF!</v>
      </c>
      <c r="E1675" s="31" t="e">
        <f>#REF!</f>
        <v>#REF!</v>
      </c>
      <c r="F1675" s="31" t="e">
        <f>#REF!</f>
        <v>#REF!</v>
      </c>
      <c r="G1675" s="31" t="e">
        <f>#REF!</f>
        <v>#REF!</v>
      </c>
      <c r="H1675" s="31" t="e">
        <f>#REF!</f>
        <v>#REF!</v>
      </c>
      <c r="I1675" s="31">
        <f>'تقرير المصروفات حسب الشهر'!R794</f>
        <v>0</v>
      </c>
      <c r="J1675" s="31">
        <f>'تقرير المصروفات حسب الشهر'!R921</f>
        <v>0</v>
      </c>
      <c r="K1675" s="31">
        <f>'تقرير المصروفات حسب الشهر'!R1048</f>
        <v>0</v>
      </c>
      <c r="L1675" s="292">
        <f>IFERROR(VLOOKUP(B1675,'تقرير المصروفات حسب الشهر'!$C$1143:$AD$1254,16,FALSE),0)</f>
        <v>0</v>
      </c>
      <c r="M1675" s="292">
        <f>IFERROR(VLOOKUP(B1675,'تقرير المصروفات حسب الشهر'!$C$1270:$AD$1381,16,FALSE),0)</f>
        <v>0</v>
      </c>
      <c r="N1675" s="31" t="e">
        <f>#REF!</f>
        <v>#REF!</v>
      </c>
      <c r="O1675" s="37" t="e">
        <f t="shared" si="42"/>
        <v>#REF!</v>
      </c>
    </row>
    <row r="1676" spans="2:15" ht="17.399999999999999">
      <c r="B1676" s="42" t="s">
        <v>64</v>
      </c>
      <c r="C1676" s="39">
        <f>'تقرير المصروفات حسب الشهر'!R42</f>
        <v>1650</v>
      </c>
      <c r="D1676" s="31" t="e">
        <f>#REF!</f>
        <v>#REF!</v>
      </c>
      <c r="E1676" s="31" t="e">
        <f>#REF!</f>
        <v>#REF!</v>
      </c>
      <c r="F1676" s="31" t="e">
        <f>#REF!</f>
        <v>#REF!</v>
      </c>
      <c r="G1676" s="31" t="e">
        <f>#REF!</f>
        <v>#REF!</v>
      </c>
      <c r="H1676" s="31" t="e">
        <f>#REF!</f>
        <v>#REF!</v>
      </c>
      <c r="I1676" s="31">
        <f>'تقرير المصروفات حسب الشهر'!R795</f>
        <v>3260</v>
      </c>
      <c r="J1676" s="31">
        <f>'تقرير المصروفات حسب الشهر'!R922</f>
        <v>0</v>
      </c>
      <c r="K1676" s="31">
        <f>'تقرير المصروفات حسب الشهر'!R1049</f>
        <v>3940</v>
      </c>
      <c r="L1676" s="292">
        <f>IFERROR(VLOOKUP(B1676,'تقرير المصروفات حسب الشهر'!$C$1143:$AD$1254,16,FALSE),0)</f>
        <v>3000</v>
      </c>
      <c r="M1676" s="292">
        <f>IFERROR(VLOOKUP(B1676,'تقرير المصروفات حسب الشهر'!$C$1270:$AD$1381,16,FALSE),0)</f>
        <v>0</v>
      </c>
      <c r="N1676" s="31" t="e">
        <f>#REF!</f>
        <v>#REF!</v>
      </c>
      <c r="O1676" s="37" t="e">
        <f t="shared" si="42"/>
        <v>#REF!</v>
      </c>
    </row>
    <row r="1677" spans="2:15" ht="17.399999999999999">
      <c r="B1677" s="42" t="s">
        <v>28</v>
      </c>
      <c r="C1677" s="39">
        <f>'تقرير المصروفات حسب الشهر'!R43</f>
        <v>0</v>
      </c>
      <c r="D1677" s="31" t="e">
        <f>#REF!</f>
        <v>#REF!</v>
      </c>
      <c r="E1677" s="31" t="e">
        <f>#REF!</f>
        <v>#REF!</v>
      </c>
      <c r="F1677" s="31" t="e">
        <f>#REF!</f>
        <v>#REF!</v>
      </c>
      <c r="G1677" s="31" t="e">
        <f>#REF!</f>
        <v>#REF!</v>
      </c>
      <c r="H1677" s="31" t="e">
        <f>#REF!</f>
        <v>#REF!</v>
      </c>
      <c r="I1677" s="31">
        <f>'تقرير المصروفات حسب الشهر'!R796</f>
        <v>0</v>
      </c>
      <c r="J1677" s="31">
        <f>'تقرير المصروفات حسب الشهر'!R923</f>
        <v>0</v>
      </c>
      <c r="K1677" s="31">
        <f>'تقرير المصروفات حسب الشهر'!R1050</f>
        <v>0</v>
      </c>
      <c r="L1677" s="292">
        <f>IFERROR(VLOOKUP(B1677,'تقرير المصروفات حسب الشهر'!$C$1143:$AD$1254,16,FALSE),0)</f>
        <v>0</v>
      </c>
      <c r="M1677" s="292">
        <f>IFERROR(VLOOKUP(B1677,'تقرير المصروفات حسب الشهر'!$C$1270:$AD$1381,16,FALSE),0)</f>
        <v>0</v>
      </c>
      <c r="N1677" s="31" t="e">
        <f>#REF!</f>
        <v>#REF!</v>
      </c>
      <c r="O1677" s="37" t="e">
        <f t="shared" si="42"/>
        <v>#REF!</v>
      </c>
    </row>
    <row r="1678" spans="2:15" ht="17.399999999999999">
      <c r="B1678" s="42" t="s">
        <v>157</v>
      </c>
      <c r="C1678" s="39">
        <f>'تقرير المصروفات حسب الشهر'!R44</f>
        <v>0</v>
      </c>
      <c r="D1678" s="31" t="e">
        <f>#REF!</f>
        <v>#REF!</v>
      </c>
      <c r="E1678" s="31" t="e">
        <f>#REF!</f>
        <v>#REF!</v>
      </c>
      <c r="F1678" s="31" t="e">
        <f>#REF!</f>
        <v>#REF!</v>
      </c>
      <c r="G1678" s="31" t="e">
        <f>#REF!</f>
        <v>#REF!</v>
      </c>
      <c r="H1678" s="31" t="e">
        <f>#REF!</f>
        <v>#REF!</v>
      </c>
      <c r="I1678" s="31">
        <f>'تقرير المصروفات حسب الشهر'!R797</f>
        <v>266.58</v>
      </c>
      <c r="J1678" s="31">
        <f>'تقرير المصروفات حسب الشهر'!R924</f>
        <v>0</v>
      </c>
      <c r="K1678" s="31">
        <f>'تقرير المصروفات حسب الشهر'!R1051</f>
        <v>0</v>
      </c>
      <c r="L1678" s="292">
        <f>IFERROR(VLOOKUP(B1678,'تقرير المصروفات حسب الشهر'!$C$1143:$AD$1254,16,FALSE),0)</f>
        <v>715.89</v>
      </c>
      <c r="M1678" s="292">
        <f>IFERROR(VLOOKUP(B1678,'تقرير المصروفات حسب الشهر'!$C$1270:$AD$1381,16,FALSE),0)</f>
        <v>0</v>
      </c>
      <c r="N1678" s="31" t="e">
        <f>#REF!</f>
        <v>#REF!</v>
      </c>
      <c r="O1678" s="37" t="e">
        <f t="shared" si="42"/>
        <v>#REF!</v>
      </c>
    </row>
    <row r="1679" spans="2:15" ht="17.399999999999999">
      <c r="B1679" s="42" t="s">
        <v>65</v>
      </c>
      <c r="C1679" s="39">
        <f>'تقرير المصروفات حسب الشهر'!R45</f>
        <v>0</v>
      </c>
      <c r="D1679" s="31" t="e">
        <f>#REF!</f>
        <v>#REF!</v>
      </c>
      <c r="E1679" s="31" t="e">
        <f>#REF!</f>
        <v>#REF!</v>
      </c>
      <c r="F1679" s="31" t="e">
        <f>#REF!</f>
        <v>#REF!</v>
      </c>
      <c r="G1679" s="31" t="e">
        <f>#REF!</f>
        <v>#REF!</v>
      </c>
      <c r="H1679" s="31" t="e">
        <f>#REF!</f>
        <v>#REF!</v>
      </c>
      <c r="I1679" s="31">
        <f>'تقرير المصروفات حسب الشهر'!R798</f>
        <v>0</v>
      </c>
      <c r="J1679" s="31">
        <f>'تقرير المصروفات حسب الشهر'!R925</f>
        <v>0</v>
      </c>
      <c r="K1679" s="31">
        <f>'تقرير المصروفات حسب الشهر'!R1052</f>
        <v>0</v>
      </c>
      <c r="L1679" s="292">
        <f>IFERROR(VLOOKUP(B1679,'تقرير المصروفات حسب الشهر'!$C$1143:$AD$1254,16,FALSE),0)</f>
        <v>0</v>
      </c>
      <c r="M1679" s="292">
        <f>IFERROR(VLOOKUP(B1679,'تقرير المصروفات حسب الشهر'!$C$1270:$AD$1381,16,FALSE),0)</f>
        <v>0</v>
      </c>
      <c r="N1679" s="31" t="e">
        <f>#REF!</f>
        <v>#REF!</v>
      </c>
      <c r="O1679" s="37" t="e">
        <f t="shared" si="42"/>
        <v>#REF!</v>
      </c>
    </row>
    <row r="1680" spans="2:15" ht="17.399999999999999">
      <c r="B1680" s="42" t="s">
        <v>66</v>
      </c>
      <c r="C1680" s="39">
        <f>'تقرير المصروفات حسب الشهر'!R46</f>
        <v>0</v>
      </c>
      <c r="D1680" s="31" t="e">
        <f>#REF!</f>
        <v>#REF!</v>
      </c>
      <c r="E1680" s="31" t="e">
        <f>#REF!</f>
        <v>#REF!</v>
      </c>
      <c r="F1680" s="31" t="e">
        <f>#REF!</f>
        <v>#REF!</v>
      </c>
      <c r="G1680" s="31" t="e">
        <f>#REF!</f>
        <v>#REF!</v>
      </c>
      <c r="H1680" s="31" t="e">
        <f>#REF!</f>
        <v>#REF!</v>
      </c>
      <c r="I1680" s="31">
        <f>'تقرير المصروفات حسب الشهر'!R799</f>
        <v>0</v>
      </c>
      <c r="J1680" s="31">
        <f>'تقرير المصروفات حسب الشهر'!R926</f>
        <v>0</v>
      </c>
      <c r="K1680" s="31">
        <f>'تقرير المصروفات حسب الشهر'!R1053</f>
        <v>0</v>
      </c>
      <c r="L1680" s="292">
        <f>IFERROR(VLOOKUP(B1680,'تقرير المصروفات حسب الشهر'!$C$1143:$AD$1254,16,FALSE),0)</f>
        <v>0</v>
      </c>
      <c r="M1680" s="292">
        <f>IFERROR(VLOOKUP(B1680,'تقرير المصروفات حسب الشهر'!$C$1270:$AD$1381,16,FALSE),0)</f>
        <v>0</v>
      </c>
      <c r="N1680" s="31" t="e">
        <f>#REF!</f>
        <v>#REF!</v>
      </c>
      <c r="O1680" s="37" t="e">
        <f t="shared" si="42"/>
        <v>#REF!</v>
      </c>
    </row>
    <row r="1681" spans="2:15" ht="17.399999999999999">
      <c r="B1681" s="42" t="s">
        <v>30</v>
      </c>
      <c r="C1681" s="39">
        <f>'تقرير المصروفات حسب الشهر'!R47</f>
        <v>0</v>
      </c>
      <c r="D1681" s="31" t="e">
        <f>#REF!</f>
        <v>#REF!</v>
      </c>
      <c r="E1681" s="31" t="e">
        <f>#REF!</f>
        <v>#REF!</v>
      </c>
      <c r="F1681" s="31" t="e">
        <f>#REF!</f>
        <v>#REF!</v>
      </c>
      <c r="G1681" s="31" t="e">
        <f>#REF!</f>
        <v>#REF!</v>
      </c>
      <c r="H1681" s="31" t="e">
        <f>#REF!</f>
        <v>#REF!</v>
      </c>
      <c r="I1681" s="31">
        <f>'تقرير المصروفات حسب الشهر'!R800</f>
        <v>1100.25</v>
      </c>
      <c r="J1681" s="31">
        <f>'تقرير المصروفات حسب الشهر'!R927</f>
        <v>0</v>
      </c>
      <c r="K1681" s="31">
        <f>'تقرير المصروفات حسب الشهر'!R1054</f>
        <v>3555.5</v>
      </c>
      <c r="L1681" s="292">
        <f>IFERROR(VLOOKUP(B1681,'تقرير المصروفات حسب الشهر'!$C$1143:$AD$1254,16,FALSE),0)</f>
        <v>1400.25</v>
      </c>
      <c r="M1681" s="292">
        <f>IFERROR(VLOOKUP(B1681,'تقرير المصروفات حسب الشهر'!$C$1270:$AD$1381,16,FALSE),0)</f>
        <v>2200</v>
      </c>
      <c r="N1681" s="31" t="e">
        <f>#REF!</f>
        <v>#REF!</v>
      </c>
      <c r="O1681" s="37" t="e">
        <f t="shared" si="42"/>
        <v>#REF!</v>
      </c>
    </row>
    <row r="1682" spans="2:15" ht="17.399999999999999">
      <c r="B1682" s="42" t="s">
        <v>67</v>
      </c>
      <c r="C1682" s="39">
        <f>'تقرير المصروفات حسب الشهر'!R48</f>
        <v>3120</v>
      </c>
      <c r="D1682" s="31" t="e">
        <f>#REF!</f>
        <v>#REF!</v>
      </c>
      <c r="E1682" s="31" t="e">
        <f>#REF!</f>
        <v>#REF!</v>
      </c>
      <c r="F1682" s="31" t="e">
        <f>#REF!</f>
        <v>#REF!</v>
      </c>
      <c r="G1682" s="31" t="e">
        <f>#REF!</f>
        <v>#REF!</v>
      </c>
      <c r="H1682" s="31" t="e">
        <f>#REF!</f>
        <v>#REF!</v>
      </c>
      <c r="I1682" s="31">
        <f>'تقرير المصروفات حسب الشهر'!R801</f>
        <v>0</v>
      </c>
      <c r="J1682" s="31">
        <f>'تقرير المصروفات حسب الشهر'!R928</f>
        <v>9900</v>
      </c>
      <c r="K1682" s="31">
        <f>'تقرير المصروفات حسب الشهر'!R1055</f>
        <v>0</v>
      </c>
      <c r="L1682" s="292">
        <f>IFERROR(VLOOKUP(B1682,'تقرير المصروفات حسب الشهر'!$C$1143:$AD$1254,16,FALSE),0)</f>
        <v>3300</v>
      </c>
      <c r="M1682" s="292">
        <f>IFERROR(VLOOKUP(B1682,'تقرير المصروفات حسب الشهر'!$C$1270:$AD$1381,16,FALSE),0)</f>
        <v>0</v>
      </c>
      <c r="N1682" s="31" t="e">
        <f>#REF!</f>
        <v>#REF!</v>
      </c>
      <c r="O1682" s="37" t="e">
        <f t="shared" si="42"/>
        <v>#REF!</v>
      </c>
    </row>
    <row r="1683" spans="2:15" ht="17.399999999999999">
      <c r="B1683" s="42" t="s">
        <v>111</v>
      </c>
      <c r="C1683" s="39">
        <f>'تقرير المصروفات حسب الشهر'!R49</f>
        <v>0</v>
      </c>
      <c r="D1683" s="31" t="e">
        <f>#REF!</f>
        <v>#REF!</v>
      </c>
      <c r="E1683" s="31" t="e">
        <f>#REF!</f>
        <v>#REF!</v>
      </c>
      <c r="F1683" s="31" t="e">
        <f>#REF!</f>
        <v>#REF!</v>
      </c>
      <c r="G1683" s="31" t="e">
        <f>#REF!</f>
        <v>#REF!</v>
      </c>
      <c r="H1683" s="31" t="e">
        <f>#REF!</f>
        <v>#REF!</v>
      </c>
      <c r="I1683" s="31">
        <f>'تقرير المصروفات حسب الشهر'!R802</f>
        <v>0</v>
      </c>
      <c r="J1683" s="31">
        <f>'تقرير المصروفات حسب الشهر'!R929</f>
        <v>0</v>
      </c>
      <c r="K1683" s="31">
        <f>'تقرير المصروفات حسب الشهر'!R1056</f>
        <v>350</v>
      </c>
      <c r="L1683" s="292">
        <f>IFERROR(VLOOKUP(B1683,'تقرير المصروفات حسب الشهر'!$C$1143:$AD$1254,16,FALSE),0)</f>
        <v>0</v>
      </c>
      <c r="M1683" s="292">
        <f>IFERROR(VLOOKUP(B1683,'تقرير المصروفات حسب الشهر'!$C$1270:$AD$1381,16,FALSE),0)</f>
        <v>0</v>
      </c>
      <c r="N1683" s="31" t="e">
        <f>#REF!</f>
        <v>#REF!</v>
      </c>
      <c r="O1683" s="37" t="e">
        <f t="shared" si="42"/>
        <v>#REF!</v>
      </c>
    </row>
    <row r="1684" spans="2:15" ht="17.399999999999999">
      <c r="B1684" s="42" t="s">
        <v>68</v>
      </c>
      <c r="C1684" s="39">
        <f>'تقرير المصروفات حسب الشهر'!R50</f>
        <v>0</v>
      </c>
      <c r="D1684" s="31" t="e">
        <f>#REF!</f>
        <v>#REF!</v>
      </c>
      <c r="E1684" s="31" t="e">
        <f>#REF!</f>
        <v>#REF!</v>
      </c>
      <c r="F1684" s="31" t="e">
        <f>#REF!</f>
        <v>#REF!</v>
      </c>
      <c r="G1684" s="31" t="e">
        <f>#REF!</f>
        <v>#REF!</v>
      </c>
      <c r="H1684" s="31" t="e">
        <f>#REF!</f>
        <v>#REF!</v>
      </c>
      <c r="I1684" s="31">
        <f>'تقرير المصروفات حسب الشهر'!R803</f>
        <v>0</v>
      </c>
      <c r="J1684" s="31">
        <f>'تقرير المصروفات حسب الشهر'!R930</f>
        <v>0</v>
      </c>
      <c r="K1684" s="31">
        <f>'تقرير المصروفات حسب الشهر'!R1057</f>
        <v>3608</v>
      </c>
      <c r="L1684" s="292">
        <f>IFERROR(VLOOKUP(B1684,'تقرير المصروفات حسب الشهر'!$C$1143:$AD$1254,16,FALSE),0)</f>
        <v>0</v>
      </c>
      <c r="M1684" s="292">
        <f>IFERROR(VLOOKUP(B1684,'تقرير المصروفات حسب الشهر'!$C$1270:$AD$1381,16,FALSE),0)</f>
        <v>0</v>
      </c>
      <c r="N1684" s="31" t="e">
        <f>#REF!</f>
        <v>#REF!</v>
      </c>
      <c r="O1684" s="37" t="e">
        <f t="shared" si="42"/>
        <v>#REF!</v>
      </c>
    </row>
    <row r="1685" spans="2:15" ht="17.399999999999999">
      <c r="B1685" s="42" t="s">
        <v>69</v>
      </c>
      <c r="C1685" s="39">
        <f>'تقرير المصروفات حسب الشهر'!R51</f>
        <v>0</v>
      </c>
      <c r="D1685" s="31" t="e">
        <f>#REF!</f>
        <v>#REF!</v>
      </c>
      <c r="E1685" s="31" t="e">
        <f>#REF!</f>
        <v>#REF!</v>
      </c>
      <c r="F1685" s="31" t="e">
        <f>#REF!</f>
        <v>#REF!</v>
      </c>
      <c r="G1685" s="31" t="e">
        <f>#REF!</f>
        <v>#REF!</v>
      </c>
      <c r="H1685" s="31" t="e">
        <f>#REF!</f>
        <v>#REF!</v>
      </c>
      <c r="I1685" s="31">
        <f>'تقرير المصروفات حسب الشهر'!R804</f>
        <v>0</v>
      </c>
      <c r="J1685" s="31">
        <f>'تقرير المصروفات حسب الشهر'!R931</f>
        <v>0</v>
      </c>
      <c r="K1685" s="31">
        <f>'تقرير المصروفات حسب الشهر'!R1058</f>
        <v>0</v>
      </c>
      <c r="L1685" s="292">
        <f>IFERROR(VLOOKUP(B1685,'تقرير المصروفات حسب الشهر'!$C$1143:$AD$1254,16,FALSE),0)</f>
        <v>0</v>
      </c>
      <c r="M1685" s="292">
        <f>IFERROR(VLOOKUP(B1685,'تقرير المصروفات حسب الشهر'!$C$1270:$AD$1381,16,FALSE),0)</f>
        <v>0</v>
      </c>
      <c r="N1685" s="31" t="e">
        <f>#REF!</f>
        <v>#REF!</v>
      </c>
      <c r="O1685" s="37" t="e">
        <f t="shared" si="42"/>
        <v>#REF!</v>
      </c>
    </row>
    <row r="1686" spans="2:15" ht="17.399999999999999">
      <c r="B1686" s="42" t="s">
        <v>70</v>
      </c>
      <c r="C1686" s="39">
        <f>'تقرير المصروفات حسب الشهر'!R52</f>
        <v>0</v>
      </c>
      <c r="D1686" s="31" t="e">
        <f>#REF!</f>
        <v>#REF!</v>
      </c>
      <c r="E1686" s="31" t="e">
        <f>#REF!</f>
        <v>#REF!</v>
      </c>
      <c r="F1686" s="31" t="e">
        <f>#REF!</f>
        <v>#REF!</v>
      </c>
      <c r="G1686" s="31" t="e">
        <f>#REF!</f>
        <v>#REF!</v>
      </c>
      <c r="H1686" s="31" t="e">
        <f>#REF!</f>
        <v>#REF!</v>
      </c>
      <c r="I1686" s="31">
        <f>'تقرير المصروفات حسب الشهر'!R805</f>
        <v>0</v>
      </c>
      <c r="J1686" s="31">
        <f>'تقرير المصروفات حسب الشهر'!R932</f>
        <v>0</v>
      </c>
      <c r="K1686" s="31">
        <f>'تقرير المصروفات حسب الشهر'!R1059</f>
        <v>0</v>
      </c>
      <c r="L1686" s="292">
        <f>IFERROR(VLOOKUP(B1686,'تقرير المصروفات حسب الشهر'!$C$1143:$AD$1254,16,FALSE),0)</f>
        <v>0</v>
      </c>
      <c r="M1686" s="292">
        <f>IFERROR(VLOOKUP(B1686,'تقرير المصروفات حسب الشهر'!$C$1270:$AD$1381,16,FALSE),0)</f>
        <v>0</v>
      </c>
      <c r="N1686" s="31" t="e">
        <f>#REF!</f>
        <v>#REF!</v>
      </c>
      <c r="O1686" s="37" t="e">
        <f t="shared" si="42"/>
        <v>#REF!</v>
      </c>
    </row>
    <row r="1687" spans="2:15" ht="17.399999999999999">
      <c r="B1687" s="42" t="s">
        <v>71</v>
      </c>
      <c r="C1687" s="39">
        <f>'تقرير المصروفات حسب الشهر'!R53</f>
        <v>0</v>
      </c>
      <c r="D1687" s="31" t="e">
        <f>#REF!</f>
        <v>#REF!</v>
      </c>
      <c r="E1687" s="31" t="e">
        <f>#REF!</f>
        <v>#REF!</v>
      </c>
      <c r="F1687" s="31" t="e">
        <f>#REF!</f>
        <v>#REF!</v>
      </c>
      <c r="G1687" s="31" t="e">
        <f>#REF!</f>
        <v>#REF!</v>
      </c>
      <c r="H1687" s="31" t="e">
        <f>#REF!</f>
        <v>#REF!</v>
      </c>
      <c r="I1687" s="31">
        <f>'تقرير المصروفات حسب الشهر'!R806</f>
        <v>0</v>
      </c>
      <c r="J1687" s="31">
        <f>'تقرير المصروفات حسب الشهر'!R933</f>
        <v>0</v>
      </c>
      <c r="K1687" s="31">
        <f>'تقرير المصروفات حسب الشهر'!R1060</f>
        <v>0</v>
      </c>
      <c r="L1687" s="292">
        <f>IFERROR(VLOOKUP(B1687,'تقرير المصروفات حسب الشهر'!$C$1143:$AD$1254,16,FALSE),0)</f>
        <v>0</v>
      </c>
      <c r="M1687" s="292">
        <f>IFERROR(VLOOKUP(B1687,'تقرير المصروفات حسب الشهر'!$C$1270:$AD$1381,16,FALSE),0)</f>
        <v>0</v>
      </c>
      <c r="N1687" s="31" t="e">
        <f>#REF!</f>
        <v>#REF!</v>
      </c>
      <c r="O1687" s="37" t="e">
        <f t="shared" si="42"/>
        <v>#REF!</v>
      </c>
    </row>
    <row r="1688" spans="2:15" ht="17.399999999999999">
      <c r="B1688" s="42" t="s">
        <v>159</v>
      </c>
      <c r="C1688" s="39">
        <f>'تقرير المصروفات حسب الشهر'!R54</f>
        <v>0</v>
      </c>
      <c r="D1688" s="31" t="e">
        <f>#REF!</f>
        <v>#REF!</v>
      </c>
      <c r="E1688" s="31" t="e">
        <f>#REF!</f>
        <v>#REF!</v>
      </c>
      <c r="F1688" s="31" t="e">
        <f>#REF!</f>
        <v>#REF!</v>
      </c>
      <c r="G1688" s="31" t="e">
        <f>#REF!</f>
        <v>#REF!</v>
      </c>
      <c r="H1688" s="31" t="e">
        <f>#REF!</f>
        <v>#REF!</v>
      </c>
      <c r="I1688" s="31">
        <f>'تقرير المصروفات حسب الشهر'!R807</f>
        <v>400</v>
      </c>
      <c r="J1688" s="31">
        <f>'تقرير المصروفات حسب الشهر'!R934</f>
        <v>1600</v>
      </c>
      <c r="K1688" s="31">
        <f>'تقرير المصروفات حسب الشهر'!R1061</f>
        <v>590</v>
      </c>
      <c r="L1688" s="292">
        <f>IFERROR(VLOOKUP(B1688,'تقرير المصروفات حسب الشهر'!$C$1143:$AD$1254,16,FALSE),0)</f>
        <v>0</v>
      </c>
      <c r="M1688" s="292">
        <f>IFERROR(VLOOKUP(B1688,'تقرير المصروفات حسب الشهر'!$C$1270:$AD$1381,16,FALSE),0)</f>
        <v>400</v>
      </c>
      <c r="N1688" s="31" t="e">
        <f>#REF!</f>
        <v>#REF!</v>
      </c>
      <c r="O1688" s="37" t="e">
        <f t="shared" si="42"/>
        <v>#REF!</v>
      </c>
    </row>
    <row r="1689" spans="2:15" ht="17.399999999999999">
      <c r="B1689" s="42" t="s">
        <v>72</v>
      </c>
      <c r="C1689" s="39">
        <f>'تقرير المصروفات حسب الشهر'!R55</f>
        <v>0</v>
      </c>
      <c r="D1689" s="31" t="e">
        <f>#REF!</f>
        <v>#REF!</v>
      </c>
      <c r="E1689" s="31" t="e">
        <f>#REF!</f>
        <v>#REF!</v>
      </c>
      <c r="F1689" s="31" t="e">
        <f>#REF!</f>
        <v>#REF!</v>
      </c>
      <c r="G1689" s="31" t="e">
        <f>#REF!</f>
        <v>#REF!</v>
      </c>
      <c r="H1689" s="31" t="e">
        <f>#REF!</f>
        <v>#REF!</v>
      </c>
      <c r="I1689" s="31">
        <f>'تقرير المصروفات حسب الشهر'!R808</f>
        <v>0</v>
      </c>
      <c r="J1689" s="31">
        <f>'تقرير المصروفات حسب الشهر'!R935</f>
        <v>0</v>
      </c>
      <c r="K1689" s="31">
        <f>'تقرير المصروفات حسب الشهر'!R1062</f>
        <v>0</v>
      </c>
      <c r="L1689" s="292">
        <f>IFERROR(VLOOKUP(B1689,'تقرير المصروفات حسب الشهر'!$C$1143:$AD$1254,16,FALSE),0)</f>
        <v>0</v>
      </c>
      <c r="M1689" s="292">
        <f>IFERROR(VLOOKUP(B1689,'تقرير المصروفات حسب الشهر'!$C$1270:$AD$1381,16,FALSE),0)</f>
        <v>0</v>
      </c>
      <c r="N1689" s="31" t="e">
        <f>#REF!</f>
        <v>#REF!</v>
      </c>
      <c r="O1689" s="37" t="e">
        <f t="shared" si="42"/>
        <v>#REF!</v>
      </c>
    </row>
    <row r="1690" spans="2:15" ht="17.399999999999999">
      <c r="B1690" s="42" t="s">
        <v>73</v>
      </c>
      <c r="C1690" s="39">
        <f>'تقرير المصروفات حسب الشهر'!R56</f>
        <v>0</v>
      </c>
      <c r="D1690" s="31" t="e">
        <f>#REF!</f>
        <v>#REF!</v>
      </c>
      <c r="E1690" s="31" t="e">
        <f>#REF!</f>
        <v>#REF!</v>
      </c>
      <c r="F1690" s="31" t="e">
        <f>#REF!</f>
        <v>#REF!</v>
      </c>
      <c r="G1690" s="31" t="e">
        <f>#REF!</f>
        <v>#REF!</v>
      </c>
      <c r="H1690" s="31" t="e">
        <f>#REF!</f>
        <v>#REF!</v>
      </c>
      <c r="I1690" s="31">
        <f>'تقرير المصروفات حسب الشهر'!R809</f>
        <v>0</v>
      </c>
      <c r="J1690" s="31">
        <f>'تقرير المصروفات حسب الشهر'!R936</f>
        <v>0</v>
      </c>
      <c r="K1690" s="31">
        <f>'تقرير المصروفات حسب الشهر'!R1063</f>
        <v>0</v>
      </c>
      <c r="L1690" s="292">
        <f>IFERROR(VLOOKUP(B1690,'تقرير المصروفات حسب الشهر'!$C$1143:$AD$1254,16,FALSE),0)</f>
        <v>0</v>
      </c>
      <c r="M1690" s="292">
        <f>IFERROR(VLOOKUP(B1690,'تقرير المصروفات حسب الشهر'!$C$1270:$AD$1381,16,FALSE),0)</f>
        <v>0</v>
      </c>
      <c r="N1690" s="31" t="e">
        <f>#REF!</f>
        <v>#REF!</v>
      </c>
      <c r="O1690" s="37" t="e">
        <f t="shared" si="42"/>
        <v>#REF!</v>
      </c>
    </row>
    <row r="1691" spans="2:15" ht="17.399999999999999">
      <c r="B1691" s="42" t="s">
        <v>74</v>
      </c>
      <c r="C1691" s="39">
        <f>'تقرير المصروفات حسب الشهر'!R57</f>
        <v>0</v>
      </c>
      <c r="D1691" s="31" t="e">
        <f>#REF!</f>
        <v>#REF!</v>
      </c>
      <c r="E1691" s="31" t="e">
        <f>#REF!</f>
        <v>#REF!</v>
      </c>
      <c r="F1691" s="31" t="e">
        <f>#REF!</f>
        <v>#REF!</v>
      </c>
      <c r="G1691" s="31" t="e">
        <f>#REF!</f>
        <v>#REF!</v>
      </c>
      <c r="H1691" s="31" t="e">
        <f>#REF!</f>
        <v>#REF!</v>
      </c>
      <c r="I1691" s="31">
        <f>'تقرير المصروفات حسب الشهر'!R810</f>
        <v>0</v>
      </c>
      <c r="J1691" s="31">
        <f>'تقرير المصروفات حسب الشهر'!R937</f>
        <v>0</v>
      </c>
      <c r="K1691" s="31">
        <f>'تقرير المصروفات حسب الشهر'!R1064</f>
        <v>0</v>
      </c>
      <c r="L1691" s="292">
        <f>IFERROR(VLOOKUP(B1691,'تقرير المصروفات حسب الشهر'!$C$1143:$AD$1254,16,FALSE),0)</f>
        <v>0</v>
      </c>
      <c r="M1691" s="292">
        <f>IFERROR(VLOOKUP(B1691,'تقرير المصروفات حسب الشهر'!$C$1270:$AD$1381,16,FALSE),0)</f>
        <v>0</v>
      </c>
      <c r="N1691" s="31" t="e">
        <f>#REF!</f>
        <v>#REF!</v>
      </c>
      <c r="O1691" s="37" t="e">
        <f t="shared" si="42"/>
        <v>#REF!</v>
      </c>
    </row>
    <row r="1692" spans="2:15" ht="17.399999999999999">
      <c r="B1692" s="42" t="s">
        <v>246</v>
      </c>
      <c r="C1692" s="39">
        <f>'تقرير المصروفات حسب الشهر'!R58</f>
        <v>0</v>
      </c>
      <c r="D1692" s="31" t="e">
        <f>#REF!</f>
        <v>#REF!</v>
      </c>
      <c r="E1692" s="31" t="e">
        <f>#REF!</f>
        <v>#REF!</v>
      </c>
      <c r="F1692" s="31" t="e">
        <f>#REF!</f>
        <v>#REF!</v>
      </c>
      <c r="G1692" s="31" t="e">
        <f>#REF!</f>
        <v>#REF!</v>
      </c>
      <c r="H1692" s="31" t="e">
        <f>#REF!</f>
        <v>#REF!</v>
      </c>
      <c r="I1692" s="31">
        <f>'تقرير المصروفات حسب الشهر'!R811</f>
        <v>0</v>
      </c>
      <c r="J1692" s="31">
        <f>'تقرير المصروفات حسب الشهر'!R938</f>
        <v>0</v>
      </c>
      <c r="K1692" s="31">
        <f>'تقرير المصروفات حسب الشهر'!R1065</f>
        <v>0</v>
      </c>
      <c r="L1692" s="292">
        <f>IFERROR(VLOOKUP(B1692,'تقرير المصروفات حسب الشهر'!$C$1143:$AD$1254,16,FALSE),0)</f>
        <v>0</v>
      </c>
      <c r="M1692" s="292">
        <f>IFERROR(VLOOKUP(B1692,'تقرير المصروفات حسب الشهر'!$C$1270:$AD$1381,16,FALSE),0)</f>
        <v>0</v>
      </c>
      <c r="N1692" s="31" t="e">
        <f>#REF!</f>
        <v>#REF!</v>
      </c>
      <c r="O1692" s="37" t="e">
        <f t="shared" si="42"/>
        <v>#REF!</v>
      </c>
    </row>
    <row r="1693" spans="2:15" ht="17.399999999999999">
      <c r="B1693" s="42" t="s">
        <v>75</v>
      </c>
      <c r="C1693" s="39">
        <f>'تقرير المصروفات حسب الشهر'!R59</f>
        <v>0</v>
      </c>
      <c r="D1693" s="31" t="e">
        <f>#REF!</f>
        <v>#REF!</v>
      </c>
      <c r="E1693" s="31" t="e">
        <f>#REF!</f>
        <v>#REF!</v>
      </c>
      <c r="F1693" s="31" t="e">
        <f>#REF!</f>
        <v>#REF!</v>
      </c>
      <c r="G1693" s="31" t="e">
        <f>#REF!</f>
        <v>#REF!</v>
      </c>
      <c r="H1693" s="31" t="e">
        <f>#REF!</f>
        <v>#REF!</v>
      </c>
      <c r="I1693" s="31">
        <f>'تقرير المصروفات حسب الشهر'!R812</f>
        <v>0</v>
      </c>
      <c r="J1693" s="31">
        <f>'تقرير المصروفات حسب الشهر'!R939</f>
        <v>0</v>
      </c>
      <c r="K1693" s="31">
        <f>'تقرير المصروفات حسب الشهر'!R1066</f>
        <v>0</v>
      </c>
      <c r="L1693" s="292">
        <f>IFERROR(VLOOKUP(B1693,'تقرير المصروفات حسب الشهر'!$C$1143:$AD$1254,16,FALSE),0)</f>
        <v>0</v>
      </c>
      <c r="M1693" s="292">
        <f>IFERROR(VLOOKUP(B1693,'تقرير المصروفات حسب الشهر'!$C$1270:$AD$1381,16,FALSE),0)</f>
        <v>0</v>
      </c>
      <c r="N1693" s="31" t="e">
        <f>#REF!</f>
        <v>#REF!</v>
      </c>
      <c r="O1693" s="37" t="e">
        <f t="shared" si="42"/>
        <v>#REF!</v>
      </c>
    </row>
    <row r="1694" spans="2:15" ht="17.399999999999999">
      <c r="B1694" s="42" t="s">
        <v>76</v>
      </c>
      <c r="C1694" s="39">
        <f>'تقرير المصروفات حسب الشهر'!R60</f>
        <v>0</v>
      </c>
      <c r="D1694" s="31" t="e">
        <f>#REF!</f>
        <v>#REF!</v>
      </c>
      <c r="E1694" s="31" t="e">
        <f>#REF!</f>
        <v>#REF!</v>
      </c>
      <c r="F1694" s="31" t="e">
        <f>#REF!</f>
        <v>#REF!</v>
      </c>
      <c r="G1694" s="31" t="e">
        <f>#REF!</f>
        <v>#REF!</v>
      </c>
      <c r="H1694" s="31" t="e">
        <f>#REF!</f>
        <v>#REF!</v>
      </c>
      <c r="I1694" s="31">
        <f>'تقرير المصروفات حسب الشهر'!R813</f>
        <v>0</v>
      </c>
      <c r="J1694" s="31">
        <f>'تقرير المصروفات حسب الشهر'!R940</f>
        <v>0</v>
      </c>
      <c r="K1694" s="31">
        <f>'تقرير المصروفات حسب الشهر'!R1067</f>
        <v>0</v>
      </c>
      <c r="L1694" s="292">
        <f>IFERROR(VLOOKUP(B1694,'تقرير المصروفات حسب الشهر'!$C$1143:$AD$1254,16,FALSE),0)</f>
        <v>0</v>
      </c>
      <c r="M1694" s="292">
        <f>IFERROR(VLOOKUP(B1694,'تقرير المصروفات حسب الشهر'!$C$1270:$AD$1381,16,FALSE),0)</f>
        <v>0</v>
      </c>
      <c r="N1694" s="31" t="e">
        <f>#REF!</f>
        <v>#REF!</v>
      </c>
      <c r="O1694" s="37" t="e">
        <f t="shared" si="42"/>
        <v>#REF!</v>
      </c>
    </row>
    <row r="1695" spans="2:15" ht="17.399999999999999">
      <c r="B1695" s="42" t="s">
        <v>77</v>
      </c>
      <c r="C1695" s="39">
        <f>'تقرير المصروفات حسب الشهر'!R61</f>
        <v>0</v>
      </c>
      <c r="D1695" s="31" t="e">
        <f>#REF!</f>
        <v>#REF!</v>
      </c>
      <c r="E1695" s="31" t="e">
        <f>#REF!</f>
        <v>#REF!</v>
      </c>
      <c r="F1695" s="31" t="e">
        <f>#REF!</f>
        <v>#REF!</v>
      </c>
      <c r="G1695" s="31" t="e">
        <f>#REF!</f>
        <v>#REF!</v>
      </c>
      <c r="H1695" s="31" t="e">
        <f>#REF!</f>
        <v>#REF!</v>
      </c>
      <c r="I1695" s="31">
        <f>'تقرير المصروفات حسب الشهر'!R814</f>
        <v>0</v>
      </c>
      <c r="J1695" s="31">
        <f>'تقرير المصروفات حسب الشهر'!R941</f>
        <v>0</v>
      </c>
      <c r="K1695" s="31">
        <f>'تقرير المصروفات حسب الشهر'!R1068</f>
        <v>0</v>
      </c>
      <c r="L1695" s="292">
        <f>IFERROR(VLOOKUP(B1695,'تقرير المصروفات حسب الشهر'!$C$1143:$AD$1254,16,FALSE),0)</f>
        <v>0</v>
      </c>
      <c r="M1695" s="292">
        <f>IFERROR(VLOOKUP(B1695,'تقرير المصروفات حسب الشهر'!$C$1270:$AD$1381,16,FALSE),0)</f>
        <v>0</v>
      </c>
      <c r="N1695" s="31" t="e">
        <f>#REF!</f>
        <v>#REF!</v>
      </c>
      <c r="O1695" s="37" t="e">
        <f t="shared" si="42"/>
        <v>#REF!</v>
      </c>
    </row>
    <row r="1696" spans="2:15" ht="17.399999999999999">
      <c r="B1696" s="42" t="s">
        <v>78</v>
      </c>
      <c r="C1696" s="39">
        <f>'تقرير المصروفات حسب الشهر'!R62</f>
        <v>0</v>
      </c>
      <c r="D1696" s="31" t="e">
        <f>#REF!</f>
        <v>#REF!</v>
      </c>
      <c r="E1696" s="31" t="e">
        <f>#REF!</f>
        <v>#REF!</v>
      </c>
      <c r="F1696" s="31" t="e">
        <f>#REF!</f>
        <v>#REF!</v>
      </c>
      <c r="G1696" s="31" t="e">
        <f>#REF!</f>
        <v>#REF!</v>
      </c>
      <c r="H1696" s="31" t="e">
        <f>#REF!</f>
        <v>#REF!</v>
      </c>
      <c r="I1696" s="31">
        <f>'تقرير المصروفات حسب الشهر'!R815</f>
        <v>0</v>
      </c>
      <c r="J1696" s="31">
        <f>'تقرير المصروفات حسب الشهر'!R942</f>
        <v>0</v>
      </c>
      <c r="K1696" s="31">
        <f>'تقرير المصروفات حسب الشهر'!R1069</f>
        <v>0</v>
      </c>
      <c r="L1696" s="292">
        <f>IFERROR(VLOOKUP(B1696,'تقرير المصروفات حسب الشهر'!$C$1143:$AD$1254,16,FALSE),0)</f>
        <v>0</v>
      </c>
      <c r="M1696" s="292">
        <f>IFERROR(VLOOKUP(B1696,'تقرير المصروفات حسب الشهر'!$C$1270:$AD$1381,16,FALSE),0)</f>
        <v>0</v>
      </c>
      <c r="N1696" s="31" t="e">
        <f>#REF!</f>
        <v>#REF!</v>
      </c>
      <c r="O1696" s="37" t="e">
        <f t="shared" si="42"/>
        <v>#REF!</v>
      </c>
    </row>
    <row r="1697" spans="2:15" ht="17.399999999999999">
      <c r="B1697" s="42" t="s">
        <v>79</v>
      </c>
      <c r="C1697" s="39">
        <f>'تقرير المصروفات حسب الشهر'!R63</f>
        <v>0</v>
      </c>
      <c r="D1697" s="31" t="e">
        <f>#REF!</f>
        <v>#REF!</v>
      </c>
      <c r="E1697" s="31" t="e">
        <f>#REF!</f>
        <v>#REF!</v>
      </c>
      <c r="F1697" s="31" t="e">
        <f>#REF!</f>
        <v>#REF!</v>
      </c>
      <c r="G1697" s="31" t="e">
        <f>#REF!</f>
        <v>#REF!</v>
      </c>
      <c r="H1697" s="31" t="e">
        <f>#REF!</f>
        <v>#REF!</v>
      </c>
      <c r="I1697" s="31">
        <f>'تقرير المصروفات حسب الشهر'!R816</f>
        <v>0</v>
      </c>
      <c r="J1697" s="31">
        <f>'تقرير المصروفات حسب الشهر'!R943</f>
        <v>0</v>
      </c>
      <c r="K1697" s="31">
        <f>'تقرير المصروفات حسب الشهر'!R1070</f>
        <v>0</v>
      </c>
      <c r="L1697" s="292">
        <f>IFERROR(VLOOKUP(B1697,'تقرير المصروفات حسب الشهر'!$C$1143:$AD$1254,16,FALSE),0)</f>
        <v>0</v>
      </c>
      <c r="M1697" s="292">
        <f>IFERROR(VLOOKUP(B1697,'تقرير المصروفات حسب الشهر'!$C$1270:$AD$1381,16,FALSE),0)</f>
        <v>0</v>
      </c>
      <c r="N1697" s="31" t="e">
        <f>#REF!</f>
        <v>#REF!</v>
      </c>
      <c r="O1697" s="37" t="e">
        <f t="shared" si="42"/>
        <v>#REF!</v>
      </c>
    </row>
    <row r="1698" spans="2:15" ht="17.399999999999999">
      <c r="B1698" s="42" t="s">
        <v>80</v>
      </c>
      <c r="C1698" s="39">
        <f>'تقرير المصروفات حسب الشهر'!R64</f>
        <v>0</v>
      </c>
      <c r="D1698" s="31" t="e">
        <f>#REF!</f>
        <v>#REF!</v>
      </c>
      <c r="E1698" s="31" t="e">
        <f>#REF!</f>
        <v>#REF!</v>
      </c>
      <c r="F1698" s="31" t="e">
        <f>#REF!</f>
        <v>#REF!</v>
      </c>
      <c r="G1698" s="31" t="e">
        <f>#REF!</f>
        <v>#REF!</v>
      </c>
      <c r="H1698" s="31" t="e">
        <f>#REF!</f>
        <v>#REF!</v>
      </c>
      <c r="I1698" s="31">
        <f>'تقرير المصروفات حسب الشهر'!R817</f>
        <v>0</v>
      </c>
      <c r="J1698" s="31">
        <f>'تقرير المصروفات حسب الشهر'!R944</f>
        <v>0</v>
      </c>
      <c r="K1698" s="31">
        <f>'تقرير المصروفات حسب الشهر'!R1071</f>
        <v>0</v>
      </c>
      <c r="L1698" s="292">
        <f>IFERROR(VLOOKUP(B1698,'تقرير المصروفات حسب الشهر'!$C$1143:$AD$1254,16,FALSE),0)</f>
        <v>0</v>
      </c>
      <c r="M1698" s="292">
        <f>IFERROR(VLOOKUP(B1698,'تقرير المصروفات حسب الشهر'!$C$1270:$AD$1381,16,FALSE),0)</f>
        <v>0</v>
      </c>
      <c r="N1698" s="31" t="e">
        <f>#REF!</f>
        <v>#REF!</v>
      </c>
      <c r="O1698" s="37" t="e">
        <f t="shared" si="42"/>
        <v>#REF!</v>
      </c>
    </row>
    <row r="1699" spans="2:15" ht="17.399999999999999">
      <c r="B1699" s="42" t="s">
        <v>81</v>
      </c>
      <c r="C1699" s="39">
        <f>'تقرير المصروفات حسب الشهر'!R65</f>
        <v>0</v>
      </c>
      <c r="D1699" s="31" t="e">
        <f>#REF!</f>
        <v>#REF!</v>
      </c>
      <c r="E1699" s="31" t="e">
        <f>#REF!</f>
        <v>#REF!</v>
      </c>
      <c r="F1699" s="31" t="e">
        <f>#REF!</f>
        <v>#REF!</v>
      </c>
      <c r="G1699" s="31" t="e">
        <f>#REF!</f>
        <v>#REF!</v>
      </c>
      <c r="H1699" s="31" t="e">
        <f>#REF!</f>
        <v>#REF!</v>
      </c>
      <c r="I1699" s="31">
        <f>'تقرير المصروفات حسب الشهر'!R818</f>
        <v>0</v>
      </c>
      <c r="J1699" s="31">
        <f>'تقرير المصروفات حسب الشهر'!R945</f>
        <v>0</v>
      </c>
      <c r="K1699" s="31">
        <f>'تقرير المصروفات حسب الشهر'!R1072</f>
        <v>0</v>
      </c>
      <c r="L1699" s="292">
        <f>IFERROR(VLOOKUP(B1699,'تقرير المصروفات حسب الشهر'!$C$1143:$AD$1254,16,FALSE),0)</f>
        <v>0</v>
      </c>
      <c r="M1699" s="292">
        <f>IFERROR(VLOOKUP(B1699,'تقرير المصروفات حسب الشهر'!$C$1270:$AD$1381,16,FALSE),0)</f>
        <v>0</v>
      </c>
      <c r="N1699" s="31" t="e">
        <f>#REF!</f>
        <v>#REF!</v>
      </c>
      <c r="O1699" s="37" t="e">
        <f t="shared" si="42"/>
        <v>#REF!</v>
      </c>
    </row>
    <row r="1700" spans="2:15" ht="17.399999999999999">
      <c r="B1700" s="42" t="s">
        <v>82</v>
      </c>
      <c r="C1700" s="39">
        <f>'تقرير المصروفات حسب الشهر'!R66</f>
        <v>0</v>
      </c>
      <c r="D1700" s="31" t="e">
        <f>#REF!</f>
        <v>#REF!</v>
      </c>
      <c r="E1700" s="31" t="e">
        <f>#REF!</f>
        <v>#REF!</v>
      </c>
      <c r="F1700" s="31" t="e">
        <f>#REF!</f>
        <v>#REF!</v>
      </c>
      <c r="G1700" s="31" t="e">
        <f>#REF!</f>
        <v>#REF!</v>
      </c>
      <c r="H1700" s="31" t="e">
        <f>#REF!</f>
        <v>#REF!</v>
      </c>
      <c r="I1700" s="31">
        <f>'تقرير المصروفات حسب الشهر'!R819</f>
        <v>0</v>
      </c>
      <c r="J1700" s="31">
        <f>'تقرير المصروفات حسب الشهر'!R946</f>
        <v>0</v>
      </c>
      <c r="K1700" s="31">
        <f>'تقرير المصروفات حسب الشهر'!R1073</f>
        <v>0</v>
      </c>
      <c r="L1700" s="292">
        <f>IFERROR(VLOOKUP(B1700,'تقرير المصروفات حسب الشهر'!$C$1143:$AD$1254,16,FALSE),0)</f>
        <v>0</v>
      </c>
      <c r="M1700" s="292">
        <f>IFERROR(VLOOKUP(B1700,'تقرير المصروفات حسب الشهر'!$C$1270:$AD$1381,16,FALSE),0)</f>
        <v>0</v>
      </c>
      <c r="N1700" s="31" t="e">
        <f>#REF!</f>
        <v>#REF!</v>
      </c>
      <c r="O1700" s="37" t="e">
        <f t="shared" si="42"/>
        <v>#REF!</v>
      </c>
    </row>
    <row r="1701" spans="2:15" ht="17.399999999999999">
      <c r="B1701" s="42" t="s">
        <v>83</v>
      </c>
      <c r="C1701" s="39">
        <f>'تقرير المصروفات حسب الشهر'!R67</f>
        <v>0</v>
      </c>
      <c r="D1701" s="31" t="e">
        <f>#REF!</f>
        <v>#REF!</v>
      </c>
      <c r="E1701" s="31" t="e">
        <f>#REF!</f>
        <v>#REF!</v>
      </c>
      <c r="F1701" s="31" t="e">
        <f>#REF!</f>
        <v>#REF!</v>
      </c>
      <c r="G1701" s="31" t="e">
        <f>#REF!</f>
        <v>#REF!</v>
      </c>
      <c r="H1701" s="31" t="e">
        <f>#REF!</f>
        <v>#REF!</v>
      </c>
      <c r="I1701" s="31">
        <f>'تقرير المصروفات حسب الشهر'!R820</f>
        <v>0</v>
      </c>
      <c r="J1701" s="31">
        <f>'تقرير المصروفات حسب الشهر'!R947</f>
        <v>0</v>
      </c>
      <c r="K1701" s="31">
        <f>'تقرير المصروفات حسب الشهر'!R1074</f>
        <v>0</v>
      </c>
      <c r="L1701" s="292">
        <f>IFERROR(VLOOKUP(B1701,'تقرير المصروفات حسب الشهر'!$C$1143:$AD$1254,16,FALSE),0)</f>
        <v>0</v>
      </c>
      <c r="M1701" s="292">
        <f>IFERROR(VLOOKUP(B1701,'تقرير المصروفات حسب الشهر'!$C$1270:$AD$1381,16,FALSE),0)</f>
        <v>0</v>
      </c>
      <c r="N1701" s="31" t="e">
        <f>#REF!</f>
        <v>#REF!</v>
      </c>
      <c r="O1701" s="37" t="e">
        <f t="shared" si="42"/>
        <v>#REF!</v>
      </c>
    </row>
    <row r="1702" spans="2:15" ht="17.399999999999999">
      <c r="B1702" s="42" t="s">
        <v>84</v>
      </c>
      <c r="C1702" s="39">
        <f>'تقرير المصروفات حسب الشهر'!R68</f>
        <v>0</v>
      </c>
      <c r="D1702" s="31" t="e">
        <f>#REF!</f>
        <v>#REF!</v>
      </c>
      <c r="E1702" s="31" t="e">
        <f>#REF!</f>
        <v>#REF!</v>
      </c>
      <c r="F1702" s="31" t="e">
        <f>#REF!</f>
        <v>#REF!</v>
      </c>
      <c r="G1702" s="31" t="e">
        <f>#REF!</f>
        <v>#REF!</v>
      </c>
      <c r="H1702" s="31" t="e">
        <f>#REF!</f>
        <v>#REF!</v>
      </c>
      <c r="I1702" s="31">
        <f>'تقرير المصروفات حسب الشهر'!R821</f>
        <v>0</v>
      </c>
      <c r="J1702" s="31">
        <f>'تقرير المصروفات حسب الشهر'!R948</f>
        <v>300</v>
      </c>
      <c r="K1702" s="31">
        <f>'تقرير المصروفات حسب الشهر'!R1075</f>
        <v>0</v>
      </c>
      <c r="L1702" s="292">
        <f>IFERROR(VLOOKUP(B1702,'تقرير المصروفات حسب الشهر'!$C$1143:$AD$1254,16,FALSE),0)</f>
        <v>0</v>
      </c>
      <c r="M1702" s="292">
        <f>IFERROR(VLOOKUP(B1702,'تقرير المصروفات حسب الشهر'!$C$1270:$AD$1381,16,FALSE),0)</f>
        <v>0</v>
      </c>
      <c r="N1702" s="31" t="e">
        <f>#REF!</f>
        <v>#REF!</v>
      </c>
      <c r="O1702" s="37" t="e">
        <f t="shared" si="42"/>
        <v>#REF!</v>
      </c>
    </row>
    <row r="1703" spans="2:15" ht="17.399999999999999">
      <c r="B1703" s="42" t="s">
        <v>85</v>
      </c>
      <c r="C1703" s="39">
        <f>'تقرير المصروفات حسب الشهر'!R69</f>
        <v>216</v>
      </c>
      <c r="D1703" s="31" t="e">
        <f>#REF!</f>
        <v>#REF!</v>
      </c>
      <c r="E1703" s="31" t="e">
        <f>#REF!</f>
        <v>#REF!</v>
      </c>
      <c r="F1703" s="31" t="e">
        <f>#REF!</f>
        <v>#REF!</v>
      </c>
      <c r="G1703" s="31" t="e">
        <f>#REF!</f>
        <v>#REF!</v>
      </c>
      <c r="H1703" s="31" t="e">
        <f>#REF!</f>
        <v>#REF!</v>
      </c>
      <c r="I1703" s="31">
        <f>'تقرير المصروفات حسب الشهر'!R822</f>
        <v>0</v>
      </c>
      <c r="J1703" s="31">
        <f>'تقرير المصروفات حسب الشهر'!R949</f>
        <v>0</v>
      </c>
      <c r="K1703" s="31">
        <f>'تقرير المصروفات حسب الشهر'!R1076</f>
        <v>0</v>
      </c>
      <c r="L1703" s="292">
        <f>IFERROR(VLOOKUP(B1703,'تقرير المصروفات حسب الشهر'!$C$1143:$AD$1254,16,FALSE),0)</f>
        <v>0</v>
      </c>
      <c r="M1703" s="292">
        <f>IFERROR(VLOOKUP(B1703,'تقرير المصروفات حسب الشهر'!$C$1270:$AD$1381,16,FALSE),0)</f>
        <v>0</v>
      </c>
      <c r="N1703" s="31" t="e">
        <f>#REF!</f>
        <v>#REF!</v>
      </c>
      <c r="O1703" s="37" t="e">
        <f t="shared" si="42"/>
        <v>#REF!</v>
      </c>
    </row>
    <row r="1704" spans="2:15" ht="17.399999999999999">
      <c r="B1704" s="42" t="s">
        <v>86</v>
      </c>
      <c r="C1704" s="39">
        <f>'تقرير المصروفات حسب الشهر'!R70</f>
        <v>0</v>
      </c>
      <c r="D1704" s="31" t="e">
        <f>#REF!</f>
        <v>#REF!</v>
      </c>
      <c r="E1704" s="31" t="e">
        <f>#REF!</f>
        <v>#REF!</v>
      </c>
      <c r="F1704" s="31" t="e">
        <f>#REF!</f>
        <v>#REF!</v>
      </c>
      <c r="G1704" s="31" t="e">
        <f>#REF!</f>
        <v>#REF!</v>
      </c>
      <c r="H1704" s="31" t="e">
        <f>#REF!</f>
        <v>#REF!</v>
      </c>
      <c r="I1704" s="31">
        <f>'تقرير المصروفات حسب الشهر'!R823</f>
        <v>0</v>
      </c>
      <c r="J1704" s="31">
        <f>'تقرير المصروفات حسب الشهر'!R950</f>
        <v>0</v>
      </c>
      <c r="K1704" s="31">
        <f>'تقرير المصروفات حسب الشهر'!R1077</f>
        <v>0</v>
      </c>
      <c r="L1704" s="292">
        <f>IFERROR(VLOOKUP(B1704,'تقرير المصروفات حسب الشهر'!$C$1143:$AD$1254,16,FALSE),0)</f>
        <v>0</v>
      </c>
      <c r="M1704" s="292">
        <f>IFERROR(VLOOKUP(B1704,'تقرير المصروفات حسب الشهر'!$C$1270:$AD$1381,16,FALSE),0)</f>
        <v>0</v>
      </c>
      <c r="N1704" s="31" t="e">
        <f>#REF!</f>
        <v>#REF!</v>
      </c>
      <c r="O1704" s="37" t="e">
        <f t="shared" si="42"/>
        <v>#REF!</v>
      </c>
    </row>
    <row r="1705" spans="2:15" ht="17.399999999999999">
      <c r="B1705" s="42" t="s">
        <v>87</v>
      </c>
      <c r="C1705" s="39">
        <f>'تقرير المصروفات حسب الشهر'!R71</f>
        <v>0</v>
      </c>
      <c r="D1705" s="31" t="e">
        <f>#REF!</f>
        <v>#REF!</v>
      </c>
      <c r="E1705" s="31" t="e">
        <f>#REF!</f>
        <v>#REF!</v>
      </c>
      <c r="F1705" s="31" t="e">
        <f>#REF!</f>
        <v>#REF!</v>
      </c>
      <c r="G1705" s="31" t="e">
        <f>#REF!</f>
        <v>#REF!</v>
      </c>
      <c r="H1705" s="31" t="e">
        <f>#REF!</f>
        <v>#REF!</v>
      </c>
      <c r="I1705" s="31">
        <f>'تقرير المصروفات حسب الشهر'!R824</f>
        <v>0</v>
      </c>
      <c r="J1705" s="31">
        <f>'تقرير المصروفات حسب الشهر'!R951</f>
        <v>0</v>
      </c>
      <c r="K1705" s="31">
        <f>'تقرير المصروفات حسب الشهر'!R1078</f>
        <v>0</v>
      </c>
      <c r="L1705" s="292">
        <f>IFERROR(VLOOKUP(B1705,'تقرير المصروفات حسب الشهر'!$C$1143:$AD$1254,16,FALSE),0)</f>
        <v>0</v>
      </c>
      <c r="M1705" s="292">
        <f>IFERROR(VLOOKUP(B1705,'تقرير المصروفات حسب الشهر'!$C$1270:$AD$1381,16,FALSE),0)</f>
        <v>0</v>
      </c>
      <c r="N1705" s="31" t="e">
        <f>#REF!</f>
        <v>#REF!</v>
      </c>
      <c r="O1705" s="37" t="e">
        <f t="shared" si="42"/>
        <v>#REF!</v>
      </c>
    </row>
    <row r="1706" spans="2:15" ht="17.399999999999999">
      <c r="B1706" s="42" t="s">
        <v>88</v>
      </c>
      <c r="C1706" s="39">
        <f>'تقرير المصروفات حسب الشهر'!R72</f>
        <v>0</v>
      </c>
      <c r="D1706" s="31" t="e">
        <f>#REF!</f>
        <v>#REF!</v>
      </c>
      <c r="E1706" s="31" t="e">
        <f>#REF!</f>
        <v>#REF!</v>
      </c>
      <c r="F1706" s="31" t="e">
        <f>#REF!</f>
        <v>#REF!</v>
      </c>
      <c r="G1706" s="31" t="e">
        <f>#REF!</f>
        <v>#REF!</v>
      </c>
      <c r="H1706" s="31" t="e">
        <f>#REF!</f>
        <v>#REF!</v>
      </c>
      <c r="I1706" s="31">
        <f>'تقرير المصروفات حسب الشهر'!R825</f>
        <v>0</v>
      </c>
      <c r="J1706" s="31">
        <f>'تقرير المصروفات حسب الشهر'!R952</f>
        <v>0</v>
      </c>
      <c r="K1706" s="31">
        <f>'تقرير المصروفات حسب الشهر'!R1079</f>
        <v>0</v>
      </c>
      <c r="L1706" s="292">
        <f>IFERROR(VLOOKUP(B1706,'تقرير المصروفات حسب الشهر'!$C$1143:$AD$1254,16,FALSE),0)</f>
        <v>0</v>
      </c>
      <c r="M1706" s="292">
        <f>IFERROR(VLOOKUP(B1706,'تقرير المصروفات حسب الشهر'!$C$1270:$AD$1381,16,FALSE),0)</f>
        <v>0</v>
      </c>
      <c r="N1706" s="31" t="e">
        <f>#REF!</f>
        <v>#REF!</v>
      </c>
      <c r="O1706" s="37" t="e">
        <f t="shared" si="42"/>
        <v>#REF!</v>
      </c>
    </row>
    <row r="1707" spans="2:15" ht="17.399999999999999">
      <c r="B1707" s="42" t="s">
        <v>89</v>
      </c>
      <c r="C1707" s="39">
        <f>'تقرير المصروفات حسب الشهر'!R73</f>
        <v>0</v>
      </c>
      <c r="D1707" s="31" t="e">
        <f>#REF!</f>
        <v>#REF!</v>
      </c>
      <c r="E1707" s="31" t="e">
        <f>#REF!</f>
        <v>#REF!</v>
      </c>
      <c r="F1707" s="31" t="e">
        <f>#REF!</f>
        <v>#REF!</v>
      </c>
      <c r="G1707" s="31" t="e">
        <f>#REF!</f>
        <v>#REF!</v>
      </c>
      <c r="H1707" s="31" t="e">
        <f>#REF!</f>
        <v>#REF!</v>
      </c>
      <c r="I1707" s="31">
        <f>'تقرير المصروفات حسب الشهر'!R826</f>
        <v>979</v>
      </c>
      <c r="J1707" s="31">
        <f>'تقرير المصروفات حسب الشهر'!R953</f>
        <v>0</v>
      </c>
      <c r="K1707" s="31">
        <f>'تقرير المصروفات حسب الشهر'!R1080</f>
        <v>0</v>
      </c>
      <c r="L1707" s="292">
        <f>IFERROR(VLOOKUP(B1707,'تقرير المصروفات حسب الشهر'!$C$1143:$AD$1254,16,FALSE),0)</f>
        <v>0</v>
      </c>
      <c r="M1707" s="292">
        <f>IFERROR(VLOOKUP(B1707,'تقرير المصروفات حسب الشهر'!$C$1270:$AD$1381,16,FALSE),0)</f>
        <v>0</v>
      </c>
      <c r="N1707" s="31" t="e">
        <f>#REF!</f>
        <v>#REF!</v>
      </c>
      <c r="O1707" s="37" t="e">
        <f t="shared" si="42"/>
        <v>#REF!</v>
      </c>
    </row>
    <row r="1708" spans="2:15" ht="17.399999999999999">
      <c r="B1708" s="42" t="s">
        <v>33</v>
      </c>
      <c r="C1708" s="39">
        <f>'تقرير المصروفات حسب الشهر'!R74</f>
        <v>0</v>
      </c>
      <c r="D1708" s="31" t="e">
        <f>#REF!</f>
        <v>#REF!</v>
      </c>
      <c r="E1708" s="31" t="e">
        <f>#REF!</f>
        <v>#REF!</v>
      </c>
      <c r="F1708" s="31" t="e">
        <f>#REF!</f>
        <v>#REF!</v>
      </c>
      <c r="G1708" s="31" t="e">
        <f>#REF!</f>
        <v>#REF!</v>
      </c>
      <c r="H1708" s="31" t="e">
        <f>#REF!</f>
        <v>#REF!</v>
      </c>
      <c r="I1708" s="31">
        <f>'تقرير المصروفات حسب الشهر'!R827</f>
        <v>0</v>
      </c>
      <c r="J1708" s="31">
        <f>'تقرير المصروفات حسب الشهر'!R954</f>
        <v>0</v>
      </c>
      <c r="K1708" s="31">
        <f>'تقرير المصروفات حسب الشهر'!R1081</f>
        <v>0</v>
      </c>
      <c r="L1708" s="292">
        <f>IFERROR(VLOOKUP(B1708,'تقرير المصروفات حسب الشهر'!$C$1143:$AD$1254,16,FALSE),0)</f>
        <v>1335.76</v>
      </c>
      <c r="M1708" s="292">
        <f>IFERROR(VLOOKUP(B1708,'تقرير المصروفات حسب الشهر'!$C$1270:$AD$1381,16,FALSE),0)</f>
        <v>1105.82</v>
      </c>
      <c r="N1708" s="31" t="e">
        <f>#REF!</f>
        <v>#REF!</v>
      </c>
      <c r="O1708" s="37" t="e">
        <f t="shared" si="42"/>
        <v>#REF!</v>
      </c>
    </row>
    <row r="1709" spans="2:15" ht="17.399999999999999">
      <c r="B1709" s="42" t="s">
        <v>90</v>
      </c>
      <c r="C1709" s="39">
        <f>'تقرير المصروفات حسب الشهر'!R75</f>
        <v>0</v>
      </c>
      <c r="D1709" s="31" t="e">
        <f>#REF!</f>
        <v>#REF!</v>
      </c>
      <c r="E1709" s="31" t="e">
        <f>#REF!</f>
        <v>#REF!</v>
      </c>
      <c r="F1709" s="31" t="e">
        <f>#REF!</f>
        <v>#REF!</v>
      </c>
      <c r="G1709" s="31" t="e">
        <f>#REF!</f>
        <v>#REF!</v>
      </c>
      <c r="H1709" s="31" t="e">
        <f>#REF!</f>
        <v>#REF!</v>
      </c>
      <c r="I1709" s="31">
        <f>'تقرير المصروفات حسب الشهر'!R828</f>
        <v>0</v>
      </c>
      <c r="J1709" s="31">
        <f>'تقرير المصروفات حسب الشهر'!R955</f>
        <v>0</v>
      </c>
      <c r="K1709" s="31">
        <f>'تقرير المصروفات حسب الشهر'!R1082</f>
        <v>0</v>
      </c>
      <c r="L1709" s="292">
        <f>IFERROR(VLOOKUP(B1709,'تقرير المصروفات حسب الشهر'!$C$1143:$AD$1254,16,FALSE),0)</f>
        <v>0</v>
      </c>
      <c r="M1709" s="292">
        <f>IFERROR(VLOOKUP(B1709,'تقرير المصروفات حسب الشهر'!$C$1270:$AD$1381,16,FALSE),0)</f>
        <v>0</v>
      </c>
      <c r="N1709" s="31" t="e">
        <f>#REF!</f>
        <v>#REF!</v>
      </c>
      <c r="O1709" s="37" t="e">
        <f t="shared" ref="O1709:O1752" si="43">SUM(C1709:N1709)</f>
        <v>#REF!</v>
      </c>
    </row>
    <row r="1710" spans="2:15" ht="17.399999999999999">
      <c r="B1710" s="42" t="s">
        <v>91</v>
      </c>
      <c r="C1710" s="39">
        <f>'تقرير المصروفات حسب الشهر'!R76</f>
        <v>0</v>
      </c>
      <c r="D1710" s="31" t="e">
        <f>#REF!</f>
        <v>#REF!</v>
      </c>
      <c r="E1710" s="31" t="e">
        <f>#REF!</f>
        <v>#REF!</v>
      </c>
      <c r="F1710" s="31" t="e">
        <f>#REF!</f>
        <v>#REF!</v>
      </c>
      <c r="G1710" s="31" t="e">
        <f>#REF!</f>
        <v>#REF!</v>
      </c>
      <c r="H1710" s="31" t="e">
        <f>#REF!</f>
        <v>#REF!</v>
      </c>
      <c r="I1710" s="31">
        <f>'تقرير المصروفات حسب الشهر'!R829</f>
        <v>0</v>
      </c>
      <c r="J1710" s="31">
        <f>'تقرير المصروفات حسب الشهر'!R956</f>
        <v>0</v>
      </c>
      <c r="K1710" s="31">
        <f>'تقرير المصروفات حسب الشهر'!R1083</f>
        <v>0</v>
      </c>
      <c r="L1710" s="292">
        <f>IFERROR(VLOOKUP(B1710,'تقرير المصروفات حسب الشهر'!$C$1143:$AD$1254,16,FALSE),0)</f>
        <v>0</v>
      </c>
      <c r="M1710" s="292">
        <f>IFERROR(VLOOKUP(B1710,'تقرير المصروفات حسب الشهر'!$C$1270:$AD$1381,16,FALSE),0)</f>
        <v>0</v>
      </c>
      <c r="N1710" s="31" t="e">
        <f>#REF!</f>
        <v>#REF!</v>
      </c>
      <c r="O1710" s="37" t="e">
        <f t="shared" si="43"/>
        <v>#REF!</v>
      </c>
    </row>
    <row r="1711" spans="2:15" ht="17.399999999999999">
      <c r="B1711" s="42" t="s">
        <v>92</v>
      </c>
      <c r="C1711" s="39">
        <f>'تقرير المصروفات حسب الشهر'!R77</f>
        <v>0</v>
      </c>
      <c r="D1711" s="31" t="e">
        <f>#REF!</f>
        <v>#REF!</v>
      </c>
      <c r="E1711" s="31" t="e">
        <f>#REF!</f>
        <v>#REF!</v>
      </c>
      <c r="F1711" s="31" t="e">
        <f>#REF!</f>
        <v>#REF!</v>
      </c>
      <c r="G1711" s="31" t="e">
        <f>#REF!</f>
        <v>#REF!</v>
      </c>
      <c r="H1711" s="31" t="e">
        <f>#REF!</f>
        <v>#REF!</v>
      </c>
      <c r="I1711" s="31">
        <f>'تقرير المصروفات حسب الشهر'!R830</f>
        <v>0</v>
      </c>
      <c r="J1711" s="31">
        <f>'تقرير المصروفات حسب الشهر'!R957</f>
        <v>0</v>
      </c>
      <c r="K1711" s="31">
        <f>'تقرير المصروفات حسب الشهر'!R1084</f>
        <v>0</v>
      </c>
      <c r="L1711" s="292">
        <f>IFERROR(VLOOKUP(B1711,'تقرير المصروفات حسب الشهر'!$C$1143:$AD$1254,16,FALSE),0)</f>
        <v>0</v>
      </c>
      <c r="M1711" s="292">
        <f>IFERROR(VLOOKUP(B1711,'تقرير المصروفات حسب الشهر'!$C$1270:$AD$1381,16,FALSE),0)</f>
        <v>0</v>
      </c>
      <c r="N1711" s="31" t="e">
        <f>#REF!</f>
        <v>#REF!</v>
      </c>
      <c r="O1711" s="37" t="e">
        <f t="shared" si="43"/>
        <v>#REF!</v>
      </c>
    </row>
    <row r="1712" spans="2:15" ht="17.399999999999999">
      <c r="B1712" s="42" t="s">
        <v>93</v>
      </c>
      <c r="C1712" s="39">
        <f>'تقرير المصروفات حسب الشهر'!R78</f>
        <v>0</v>
      </c>
      <c r="D1712" s="31" t="e">
        <f>#REF!</f>
        <v>#REF!</v>
      </c>
      <c r="E1712" s="31" t="e">
        <f>#REF!</f>
        <v>#REF!</v>
      </c>
      <c r="F1712" s="31" t="e">
        <f>#REF!</f>
        <v>#REF!</v>
      </c>
      <c r="G1712" s="31" t="e">
        <f>#REF!</f>
        <v>#REF!</v>
      </c>
      <c r="H1712" s="31" t="e">
        <f>#REF!</f>
        <v>#REF!</v>
      </c>
      <c r="I1712" s="31">
        <f>'تقرير المصروفات حسب الشهر'!R831</f>
        <v>2200</v>
      </c>
      <c r="J1712" s="31">
        <f>'تقرير المصروفات حسب الشهر'!R958</f>
        <v>2200</v>
      </c>
      <c r="K1712" s="31">
        <f>'تقرير المصروفات حسب الشهر'!R1085</f>
        <v>2200</v>
      </c>
      <c r="L1712" s="292">
        <f>IFERROR(VLOOKUP(B1712,'تقرير المصروفات حسب الشهر'!$C$1143:$AD$1254,16,FALSE),0)</f>
        <v>0</v>
      </c>
      <c r="M1712" s="292">
        <f>IFERROR(VLOOKUP(B1712,'تقرير المصروفات حسب الشهر'!$C$1270:$AD$1381,16,FALSE),0)</f>
        <v>0</v>
      </c>
      <c r="N1712" s="31" t="e">
        <f>#REF!</f>
        <v>#REF!</v>
      </c>
      <c r="O1712" s="37" t="e">
        <f t="shared" si="43"/>
        <v>#REF!</v>
      </c>
    </row>
    <row r="1713" spans="2:15" ht="17.399999999999999">
      <c r="B1713" s="42" t="s">
        <v>94</v>
      </c>
      <c r="C1713" s="39">
        <f>'تقرير المصروفات حسب الشهر'!R79</f>
        <v>2200</v>
      </c>
      <c r="D1713" s="31" t="e">
        <f>#REF!</f>
        <v>#REF!</v>
      </c>
      <c r="E1713" s="31" t="e">
        <f>#REF!</f>
        <v>#REF!</v>
      </c>
      <c r="F1713" s="31" t="e">
        <f>#REF!</f>
        <v>#REF!</v>
      </c>
      <c r="G1713" s="31" t="e">
        <f>#REF!</f>
        <v>#REF!</v>
      </c>
      <c r="H1713" s="31" t="e">
        <f>#REF!</f>
        <v>#REF!</v>
      </c>
      <c r="I1713" s="31">
        <f>'تقرير المصروفات حسب الشهر'!R832</f>
        <v>1165</v>
      </c>
      <c r="J1713" s="31">
        <f>'تقرير المصروفات حسب الشهر'!R959</f>
        <v>0</v>
      </c>
      <c r="K1713" s="31">
        <f>'تقرير المصروفات حسب الشهر'!R1086</f>
        <v>0</v>
      </c>
      <c r="L1713" s="292">
        <f>IFERROR(VLOOKUP(B1713,'تقرير المصروفات حسب الشهر'!$C$1143:$AD$1254,16,FALSE),0)</f>
        <v>2200</v>
      </c>
      <c r="M1713" s="292">
        <f>IFERROR(VLOOKUP(B1713,'تقرير المصروفات حسب الشهر'!$C$1270:$AD$1381,16,FALSE),0)</f>
        <v>2200</v>
      </c>
      <c r="N1713" s="31" t="e">
        <f>#REF!</f>
        <v>#REF!</v>
      </c>
      <c r="O1713" s="37" t="e">
        <f t="shared" si="43"/>
        <v>#REF!</v>
      </c>
    </row>
    <row r="1714" spans="2:15" ht="17.399999999999999">
      <c r="B1714" s="42" t="s">
        <v>95</v>
      </c>
      <c r="C1714" s="39">
        <f>'تقرير المصروفات حسب الشهر'!R80</f>
        <v>0</v>
      </c>
      <c r="D1714" s="31" t="e">
        <f>#REF!</f>
        <v>#REF!</v>
      </c>
      <c r="E1714" s="31" t="e">
        <f>#REF!</f>
        <v>#REF!</v>
      </c>
      <c r="F1714" s="31" t="e">
        <f>#REF!</f>
        <v>#REF!</v>
      </c>
      <c r="G1714" s="31" t="e">
        <f>#REF!</f>
        <v>#REF!</v>
      </c>
      <c r="H1714" s="31" t="e">
        <f>#REF!</f>
        <v>#REF!</v>
      </c>
      <c r="I1714" s="31">
        <f>'تقرير المصروفات حسب الشهر'!R833</f>
        <v>668</v>
      </c>
      <c r="J1714" s="31">
        <f>'تقرير المصروفات حسب الشهر'!R960</f>
        <v>0</v>
      </c>
      <c r="K1714" s="31">
        <f>'تقرير المصروفات حسب الشهر'!R1087</f>
        <v>0</v>
      </c>
      <c r="L1714" s="292">
        <f>IFERROR(VLOOKUP(B1714,'تقرير المصروفات حسب الشهر'!$C$1143:$AD$1254,16,FALSE),0)</f>
        <v>0</v>
      </c>
      <c r="M1714" s="292">
        <f>IFERROR(VLOOKUP(B1714,'تقرير المصروفات حسب الشهر'!$C$1270:$AD$1381,16,FALSE),0)</f>
        <v>0</v>
      </c>
      <c r="N1714" s="31" t="e">
        <f>#REF!</f>
        <v>#REF!</v>
      </c>
      <c r="O1714" s="37" t="e">
        <f t="shared" si="43"/>
        <v>#REF!</v>
      </c>
    </row>
    <row r="1715" spans="2:15" ht="17.399999999999999">
      <c r="B1715" s="42" t="s">
        <v>96</v>
      </c>
      <c r="C1715" s="39">
        <f>'تقرير المصروفات حسب الشهر'!R81</f>
        <v>0</v>
      </c>
      <c r="D1715" s="31" t="e">
        <f>#REF!</f>
        <v>#REF!</v>
      </c>
      <c r="E1715" s="31" t="e">
        <f>#REF!</f>
        <v>#REF!</v>
      </c>
      <c r="F1715" s="31" t="e">
        <f>#REF!</f>
        <v>#REF!</v>
      </c>
      <c r="G1715" s="31" t="e">
        <f>#REF!</f>
        <v>#REF!</v>
      </c>
      <c r="H1715" s="31" t="e">
        <f>#REF!</f>
        <v>#REF!</v>
      </c>
      <c r="I1715" s="31">
        <f>'تقرير المصروفات حسب الشهر'!R834</f>
        <v>400.96</v>
      </c>
      <c r="J1715" s="31">
        <f>'تقرير المصروفات حسب الشهر'!R961</f>
        <v>400.96</v>
      </c>
      <c r="K1715" s="31">
        <f>'تقرير المصروفات حسب الشهر'!R1088</f>
        <v>400.96</v>
      </c>
      <c r="L1715" s="292">
        <f>IFERROR(VLOOKUP(B1715,'تقرير المصروفات حسب الشهر'!$C$1143:$AD$1254,16,FALSE),0)</f>
        <v>0</v>
      </c>
      <c r="M1715" s="292">
        <f>IFERROR(VLOOKUP(B1715,'تقرير المصروفات حسب الشهر'!$C$1270:$AD$1381,16,FALSE),0)</f>
        <v>0</v>
      </c>
      <c r="N1715" s="31" t="e">
        <f>#REF!</f>
        <v>#REF!</v>
      </c>
      <c r="O1715" s="37" t="e">
        <f t="shared" si="43"/>
        <v>#REF!</v>
      </c>
    </row>
    <row r="1716" spans="2:15" ht="17.399999999999999">
      <c r="B1716" s="42" t="s">
        <v>97</v>
      </c>
      <c r="C1716" s="39">
        <f>'تقرير المصروفات حسب الشهر'!R82</f>
        <v>296.31</v>
      </c>
      <c r="D1716" s="31" t="e">
        <f>#REF!</f>
        <v>#REF!</v>
      </c>
      <c r="E1716" s="31" t="e">
        <f>#REF!</f>
        <v>#REF!</v>
      </c>
      <c r="F1716" s="31" t="e">
        <f>#REF!</f>
        <v>#REF!</v>
      </c>
      <c r="G1716" s="31" t="e">
        <f>#REF!</f>
        <v>#REF!</v>
      </c>
      <c r="H1716" s="31" t="e">
        <f>#REF!</f>
        <v>#REF!</v>
      </c>
      <c r="I1716" s="31">
        <f>'تقرير المصروفات حسب الشهر'!R835</f>
        <v>0</v>
      </c>
      <c r="J1716" s="31">
        <f>'تقرير المصروفات حسب الشهر'!R962</f>
        <v>0</v>
      </c>
      <c r="K1716" s="31">
        <f>'تقرير المصروفات حسب الشهر'!R1089</f>
        <v>2130</v>
      </c>
      <c r="L1716" s="292">
        <f>IFERROR(VLOOKUP(B1716,'تقرير المصروفات حسب الشهر'!$C$1143:$AD$1254,16,FALSE),0)</f>
        <v>400.96</v>
      </c>
      <c r="M1716" s="292">
        <f>IFERROR(VLOOKUP(B1716,'تقرير المصروفات حسب الشهر'!$C$1270:$AD$1381,16,FALSE),0)</f>
        <v>400.96</v>
      </c>
      <c r="N1716" s="31" t="e">
        <f>#REF!</f>
        <v>#REF!</v>
      </c>
      <c r="O1716" s="37" t="e">
        <f t="shared" si="43"/>
        <v>#REF!</v>
      </c>
    </row>
    <row r="1717" spans="2:15" ht="17.399999999999999">
      <c r="B1717" s="42" t="s">
        <v>192</v>
      </c>
      <c r="C1717" s="39">
        <f>'تقرير المصروفات حسب الشهر'!R83</f>
        <v>0</v>
      </c>
      <c r="D1717" s="31" t="e">
        <f>#REF!</f>
        <v>#REF!</v>
      </c>
      <c r="E1717" s="31" t="e">
        <f>#REF!</f>
        <v>#REF!</v>
      </c>
      <c r="F1717" s="31" t="e">
        <f>#REF!</f>
        <v>#REF!</v>
      </c>
      <c r="G1717" s="31" t="e">
        <f>#REF!</f>
        <v>#REF!</v>
      </c>
      <c r="H1717" s="31" t="e">
        <f>#REF!</f>
        <v>#REF!</v>
      </c>
      <c r="I1717" s="31">
        <f>'تقرير المصروفات حسب الشهر'!R836</f>
        <v>0</v>
      </c>
      <c r="J1717" s="31">
        <f>'تقرير المصروفات حسب الشهر'!R963</f>
        <v>0</v>
      </c>
      <c r="K1717" s="31">
        <f>'تقرير المصروفات حسب الشهر'!R1090</f>
        <v>0</v>
      </c>
      <c r="L1717" s="292">
        <f>IFERROR(VLOOKUP(B1717,'تقرير المصروفات حسب الشهر'!$C$1143:$AD$1254,16,FALSE),0)</f>
        <v>1065</v>
      </c>
      <c r="M1717" s="292">
        <f>IFERROR(VLOOKUP(B1717,'تقرير المصروفات حسب الشهر'!$C$1270:$AD$1381,16,FALSE),0)</f>
        <v>1065</v>
      </c>
      <c r="N1717" s="31" t="e">
        <f>#REF!</f>
        <v>#REF!</v>
      </c>
      <c r="O1717" s="37" t="e">
        <f t="shared" si="43"/>
        <v>#REF!</v>
      </c>
    </row>
    <row r="1718" spans="2:15" ht="17.399999999999999">
      <c r="B1718" s="42" t="s">
        <v>98</v>
      </c>
      <c r="C1718" s="39">
        <f>'تقرير المصروفات حسب الشهر'!R84</f>
        <v>0</v>
      </c>
      <c r="D1718" s="31" t="e">
        <f>#REF!</f>
        <v>#REF!</v>
      </c>
      <c r="E1718" s="31" t="e">
        <f>#REF!</f>
        <v>#REF!</v>
      </c>
      <c r="F1718" s="31" t="e">
        <f>#REF!</f>
        <v>#REF!</v>
      </c>
      <c r="G1718" s="31" t="e">
        <f>#REF!</f>
        <v>#REF!</v>
      </c>
      <c r="H1718" s="31" t="e">
        <f>#REF!</f>
        <v>#REF!</v>
      </c>
      <c r="I1718" s="31">
        <f>'تقرير المصروفات حسب الشهر'!R837</f>
        <v>0</v>
      </c>
      <c r="J1718" s="31">
        <f>'تقرير المصروفات حسب الشهر'!R964</f>
        <v>0</v>
      </c>
      <c r="K1718" s="31">
        <f>'تقرير المصروفات حسب الشهر'!R1091</f>
        <v>0</v>
      </c>
      <c r="L1718" s="292">
        <f>IFERROR(VLOOKUP(B1718,'تقرير المصروفات حسب الشهر'!$C$1143:$AD$1254,16,FALSE),0)</f>
        <v>0</v>
      </c>
      <c r="M1718" s="292">
        <f>IFERROR(VLOOKUP(B1718,'تقرير المصروفات حسب الشهر'!$C$1270:$AD$1381,16,FALSE),0)</f>
        <v>0</v>
      </c>
      <c r="N1718" s="31" t="e">
        <f>#REF!</f>
        <v>#REF!</v>
      </c>
      <c r="O1718" s="37" t="e">
        <f t="shared" si="43"/>
        <v>#REF!</v>
      </c>
    </row>
    <row r="1719" spans="2:15" ht="17.399999999999999">
      <c r="B1719" s="42" t="s">
        <v>99</v>
      </c>
      <c r="C1719" s="39">
        <f>'تقرير المصروفات حسب الشهر'!R85</f>
        <v>0</v>
      </c>
      <c r="D1719" s="31" t="e">
        <f>#REF!</f>
        <v>#REF!</v>
      </c>
      <c r="E1719" s="31" t="e">
        <f>#REF!</f>
        <v>#REF!</v>
      </c>
      <c r="F1719" s="31" t="e">
        <f>#REF!</f>
        <v>#REF!</v>
      </c>
      <c r="G1719" s="31" t="e">
        <f>#REF!</f>
        <v>#REF!</v>
      </c>
      <c r="H1719" s="31" t="e">
        <f>#REF!</f>
        <v>#REF!</v>
      </c>
      <c r="I1719" s="31">
        <f>'تقرير المصروفات حسب الشهر'!R838</f>
        <v>0</v>
      </c>
      <c r="J1719" s="31">
        <f>'تقرير المصروفات حسب الشهر'!R965</f>
        <v>0</v>
      </c>
      <c r="K1719" s="31">
        <f>'تقرير المصروفات حسب الشهر'!R1092</f>
        <v>0</v>
      </c>
      <c r="L1719" s="292">
        <f>IFERROR(VLOOKUP(B1719,'تقرير المصروفات حسب الشهر'!$C$1143:$AD$1254,16,FALSE),0)</f>
        <v>0</v>
      </c>
      <c r="M1719" s="292">
        <f>IFERROR(VLOOKUP(B1719,'تقرير المصروفات حسب الشهر'!$C$1270:$AD$1381,16,FALSE),0)</f>
        <v>0</v>
      </c>
      <c r="N1719" s="31" t="e">
        <f>#REF!</f>
        <v>#REF!</v>
      </c>
      <c r="O1719" s="37" t="e">
        <f t="shared" si="43"/>
        <v>#REF!</v>
      </c>
    </row>
    <row r="1720" spans="2:15" ht="17.399999999999999">
      <c r="B1720" s="42" t="s">
        <v>100</v>
      </c>
      <c r="C1720" s="39">
        <f>'تقرير المصروفات حسب الشهر'!R86</f>
        <v>0</v>
      </c>
      <c r="D1720" s="31" t="e">
        <f>#REF!</f>
        <v>#REF!</v>
      </c>
      <c r="E1720" s="31" t="e">
        <f>#REF!</f>
        <v>#REF!</v>
      </c>
      <c r="F1720" s="31" t="e">
        <f>#REF!</f>
        <v>#REF!</v>
      </c>
      <c r="G1720" s="31" t="e">
        <f>#REF!</f>
        <v>#REF!</v>
      </c>
      <c r="H1720" s="31" t="e">
        <f>#REF!</f>
        <v>#REF!</v>
      </c>
      <c r="I1720" s="31">
        <f>'تقرير المصروفات حسب الشهر'!R839</f>
        <v>0</v>
      </c>
      <c r="J1720" s="31">
        <f>'تقرير المصروفات حسب الشهر'!R966</f>
        <v>0</v>
      </c>
      <c r="K1720" s="31">
        <f>'تقرير المصروفات حسب الشهر'!R1093</f>
        <v>0</v>
      </c>
      <c r="L1720" s="292">
        <f>IFERROR(VLOOKUP(B1720,'تقرير المصروفات حسب الشهر'!$C$1143:$AD$1254,16,FALSE),0)</f>
        <v>0</v>
      </c>
      <c r="M1720" s="292">
        <f>IFERROR(VLOOKUP(B1720,'تقرير المصروفات حسب الشهر'!$C$1270:$AD$1381,16,FALSE),0)</f>
        <v>0</v>
      </c>
      <c r="N1720" s="31" t="e">
        <f>#REF!</f>
        <v>#REF!</v>
      </c>
      <c r="O1720" s="37" t="e">
        <f t="shared" si="43"/>
        <v>#REF!</v>
      </c>
    </row>
    <row r="1721" spans="2:15" ht="17.399999999999999">
      <c r="B1721" s="42" t="s">
        <v>101</v>
      </c>
      <c r="C1721" s="39">
        <f>'تقرير المصروفات حسب الشهر'!R87</f>
        <v>0</v>
      </c>
      <c r="D1721" s="31" t="e">
        <f>#REF!</f>
        <v>#REF!</v>
      </c>
      <c r="E1721" s="31" t="e">
        <f>#REF!</f>
        <v>#REF!</v>
      </c>
      <c r="F1721" s="31" t="e">
        <f>#REF!</f>
        <v>#REF!</v>
      </c>
      <c r="G1721" s="31" t="e">
        <f>#REF!</f>
        <v>#REF!</v>
      </c>
      <c r="H1721" s="31" t="e">
        <f>#REF!</f>
        <v>#REF!</v>
      </c>
      <c r="I1721" s="31">
        <f>'تقرير المصروفات حسب الشهر'!R840</f>
        <v>0</v>
      </c>
      <c r="J1721" s="31">
        <f>'تقرير المصروفات حسب الشهر'!R967</f>
        <v>0</v>
      </c>
      <c r="K1721" s="31">
        <f>'تقرير المصروفات حسب الشهر'!R1094</f>
        <v>0</v>
      </c>
      <c r="L1721" s="292">
        <f>IFERROR(VLOOKUP(B1721,'تقرير المصروفات حسب الشهر'!$C$1143:$AD$1254,16,FALSE),0)</f>
        <v>0</v>
      </c>
      <c r="M1721" s="292">
        <f>IFERROR(VLOOKUP(B1721,'تقرير المصروفات حسب الشهر'!$C$1270:$AD$1381,16,FALSE),0)</f>
        <v>0</v>
      </c>
      <c r="N1721" s="31" t="e">
        <f>#REF!</f>
        <v>#REF!</v>
      </c>
      <c r="O1721" s="37" t="e">
        <f t="shared" si="43"/>
        <v>#REF!</v>
      </c>
    </row>
    <row r="1722" spans="2:15" ht="17.399999999999999">
      <c r="B1722" s="42" t="s">
        <v>102</v>
      </c>
      <c r="C1722" s="39">
        <f>'تقرير المصروفات حسب الشهر'!R88</f>
        <v>69.790000000000006</v>
      </c>
      <c r="D1722" s="31" t="e">
        <f>#REF!</f>
        <v>#REF!</v>
      </c>
      <c r="E1722" s="31" t="e">
        <f>#REF!</f>
        <v>#REF!</v>
      </c>
      <c r="F1722" s="31" t="e">
        <f>#REF!</f>
        <v>#REF!</v>
      </c>
      <c r="G1722" s="31" t="e">
        <f>#REF!</f>
        <v>#REF!</v>
      </c>
      <c r="H1722" s="31" t="e">
        <f>#REF!</f>
        <v>#REF!</v>
      </c>
      <c r="I1722" s="31">
        <f>'تقرير المصروفات حسب الشهر'!R841</f>
        <v>79.5</v>
      </c>
      <c r="J1722" s="31">
        <f>'تقرير المصروفات حسب الشهر'!R968</f>
        <v>67.040000000000006</v>
      </c>
      <c r="K1722" s="31">
        <f>'تقرير المصروفات حسب الشهر'!R1095</f>
        <v>28.87</v>
      </c>
      <c r="L1722" s="292">
        <f>IFERROR(VLOOKUP(B1722,'تقرير المصروفات حسب الشهر'!$C$1143:$AD$1254,16,FALSE),0)</f>
        <v>0</v>
      </c>
      <c r="M1722" s="292">
        <f>IFERROR(VLOOKUP(B1722,'تقرير المصروفات حسب الشهر'!$C$1270:$AD$1381,16,FALSE),0)</f>
        <v>0</v>
      </c>
      <c r="N1722" s="31" t="e">
        <f>#REF!</f>
        <v>#REF!</v>
      </c>
      <c r="O1722" s="37" t="e">
        <f t="shared" si="43"/>
        <v>#REF!</v>
      </c>
    </row>
    <row r="1723" spans="2:15" ht="17.399999999999999">
      <c r="B1723" s="42" t="s">
        <v>103</v>
      </c>
      <c r="C1723" s="39">
        <f>'تقرير المصروفات حسب الشهر'!R89</f>
        <v>53.44</v>
      </c>
      <c r="D1723" s="31" t="e">
        <f>#REF!</f>
        <v>#REF!</v>
      </c>
      <c r="E1723" s="31" t="e">
        <f>#REF!</f>
        <v>#REF!</v>
      </c>
      <c r="F1723" s="31" t="e">
        <f>#REF!</f>
        <v>#REF!</v>
      </c>
      <c r="G1723" s="31" t="e">
        <f>#REF!</f>
        <v>#REF!</v>
      </c>
      <c r="H1723" s="31" t="e">
        <f>#REF!</f>
        <v>#REF!</v>
      </c>
      <c r="I1723" s="31">
        <f>'تقرير المصروفات حسب الشهر'!R842</f>
        <v>843.3</v>
      </c>
      <c r="J1723" s="31">
        <f>'تقرير المصروفات حسب الشهر'!R969</f>
        <v>843.3</v>
      </c>
      <c r="K1723" s="31">
        <f>'تقرير المصروفات حسب الشهر'!R1096</f>
        <v>843.3</v>
      </c>
      <c r="L1723" s="292">
        <f>IFERROR(VLOOKUP(B1723,'تقرير المصروفات حسب الشهر'!$C$1143:$AD$1254,16,FALSE),0)</f>
        <v>28.87</v>
      </c>
      <c r="M1723" s="292">
        <f>IFERROR(VLOOKUP(B1723,'تقرير المصروفات حسب الشهر'!$C$1270:$AD$1381,16,FALSE),0)</f>
        <v>28.87</v>
      </c>
      <c r="N1723" s="31" t="e">
        <f>#REF!</f>
        <v>#REF!</v>
      </c>
      <c r="O1723" s="37" t="e">
        <f t="shared" si="43"/>
        <v>#REF!</v>
      </c>
    </row>
    <row r="1724" spans="2:15" ht="17.399999999999999">
      <c r="B1724" s="42" t="s">
        <v>104</v>
      </c>
      <c r="C1724" s="39">
        <f>'تقرير المصروفات حسب الشهر'!R90</f>
        <v>843.3</v>
      </c>
      <c r="D1724" s="31" t="e">
        <f>#REF!</f>
        <v>#REF!</v>
      </c>
      <c r="E1724" s="31" t="e">
        <f>#REF!</f>
        <v>#REF!</v>
      </c>
      <c r="F1724" s="31" t="e">
        <f>#REF!</f>
        <v>#REF!</v>
      </c>
      <c r="G1724" s="31" t="e">
        <f>#REF!</f>
        <v>#REF!</v>
      </c>
      <c r="H1724" s="31" t="e">
        <f>#REF!</f>
        <v>#REF!</v>
      </c>
      <c r="I1724" s="31">
        <f>'تقرير المصروفات حسب الشهر'!R843</f>
        <v>851.16</v>
      </c>
      <c r="J1724" s="31">
        <f>'تقرير المصروفات حسب الشهر'!R970</f>
        <v>851.16</v>
      </c>
      <c r="K1724" s="31">
        <f>'تقرير المصروفات حسب الشهر'!R1097</f>
        <v>851.16</v>
      </c>
      <c r="L1724" s="292">
        <f>IFERROR(VLOOKUP(B1724,'تقرير المصروفات حسب الشهر'!$C$1143:$AD$1254,16,FALSE),0)</f>
        <v>818.09</v>
      </c>
      <c r="M1724" s="292">
        <f>IFERROR(VLOOKUP(B1724,'تقرير المصروفات حسب الشهر'!$C$1270:$AD$1381,16,FALSE),0)</f>
        <v>777.52</v>
      </c>
      <c r="N1724" s="31" t="e">
        <f>#REF!</f>
        <v>#REF!</v>
      </c>
      <c r="O1724" s="37" t="e">
        <f t="shared" si="43"/>
        <v>#REF!</v>
      </c>
    </row>
    <row r="1725" spans="2:15" ht="17.399999999999999">
      <c r="B1725" s="42" t="s">
        <v>105</v>
      </c>
      <c r="C1725" s="39">
        <f>'تقرير المصروفات حسب الشهر'!R91</f>
        <v>1093.48</v>
      </c>
      <c r="D1725" s="31" t="e">
        <f>#REF!</f>
        <v>#REF!</v>
      </c>
      <c r="E1725" s="31" t="e">
        <f>#REF!</f>
        <v>#REF!</v>
      </c>
      <c r="F1725" s="31" t="e">
        <f>#REF!</f>
        <v>#REF!</v>
      </c>
      <c r="G1725" s="31" t="e">
        <f>#REF!</f>
        <v>#REF!</v>
      </c>
      <c r="H1725" s="31" t="e">
        <f>#REF!</f>
        <v>#REF!</v>
      </c>
      <c r="I1725" s="31">
        <f>'تقرير المصروفات حسب الشهر'!R844</f>
        <v>0</v>
      </c>
      <c r="J1725" s="31">
        <f>'تقرير المصروفات حسب الشهر'!R971</f>
        <v>0</v>
      </c>
      <c r="K1725" s="31">
        <f>'تقرير المصروفات حسب الشهر'!R1098</f>
        <v>0</v>
      </c>
      <c r="L1725" s="292">
        <f>IFERROR(VLOOKUP(B1725,'تقرير المصروفات حسب الشهر'!$C$1143:$AD$1254,16,FALSE),0)</f>
        <v>851.16</v>
      </c>
      <c r="M1725" s="292">
        <f>IFERROR(VLOOKUP(B1725,'تقرير المصروفات حسب الشهر'!$C$1270:$AD$1381,16,FALSE),0)</f>
        <v>870.49</v>
      </c>
      <c r="N1725" s="31" t="e">
        <f>#REF!</f>
        <v>#REF!</v>
      </c>
      <c r="O1725" s="37" t="e">
        <f t="shared" si="43"/>
        <v>#REF!</v>
      </c>
    </row>
    <row r="1726" spans="2:15" ht="17.399999999999999">
      <c r="B1726" s="42" t="s">
        <v>106</v>
      </c>
      <c r="C1726" s="39">
        <f>'تقرير المصروفات حسب الشهر'!R92</f>
        <v>0</v>
      </c>
      <c r="D1726" s="31" t="e">
        <f>#REF!</f>
        <v>#REF!</v>
      </c>
      <c r="E1726" s="31" t="e">
        <f>#REF!</f>
        <v>#REF!</v>
      </c>
      <c r="F1726" s="31" t="e">
        <f>#REF!</f>
        <v>#REF!</v>
      </c>
      <c r="G1726" s="31" t="e">
        <f>#REF!</f>
        <v>#REF!</v>
      </c>
      <c r="H1726" s="31" t="e">
        <f>#REF!</f>
        <v>#REF!</v>
      </c>
      <c r="I1726" s="31">
        <f>'تقرير المصروفات حسب الشهر'!R845</f>
        <v>0</v>
      </c>
      <c r="J1726" s="31">
        <f>'تقرير المصروفات حسب الشهر'!R972</f>
        <v>0</v>
      </c>
      <c r="K1726" s="31">
        <f>'تقرير المصروفات حسب الشهر'!R1099</f>
        <v>0</v>
      </c>
      <c r="L1726" s="292">
        <f>IFERROR(VLOOKUP(B1726,'تقرير المصروفات حسب الشهر'!$C$1143:$AD$1254,16,FALSE),0)</f>
        <v>0</v>
      </c>
      <c r="M1726" s="292">
        <f>IFERROR(VLOOKUP(B1726,'تقرير المصروفات حسب الشهر'!$C$1270:$AD$1381,16,FALSE),0)</f>
        <v>0</v>
      </c>
      <c r="N1726" s="31" t="e">
        <f>#REF!</f>
        <v>#REF!</v>
      </c>
      <c r="O1726" s="37" t="e">
        <f t="shared" si="43"/>
        <v>#REF!</v>
      </c>
    </row>
    <row r="1727" spans="2:15" ht="17.399999999999999">
      <c r="B1727" s="42" t="s">
        <v>107</v>
      </c>
      <c r="C1727" s="39">
        <f>'تقرير المصروفات حسب الشهر'!R93</f>
        <v>0</v>
      </c>
      <c r="D1727" s="31" t="e">
        <f>#REF!</f>
        <v>#REF!</v>
      </c>
      <c r="E1727" s="31" t="e">
        <f>#REF!</f>
        <v>#REF!</v>
      </c>
      <c r="F1727" s="31" t="e">
        <f>#REF!</f>
        <v>#REF!</v>
      </c>
      <c r="G1727" s="31" t="e">
        <f>#REF!</f>
        <v>#REF!</v>
      </c>
      <c r="H1727" s="31" t="e">
        <f>#REF!</f>
        <v>#REF!</v>
      </c>
      <c r="I1727" s="31">
        <f>'تقرير المصروفات حسب الشهر'!R846</f>
        <v>3497</v>
      </c>
      <c r="J1727" s="31">
        <f>'تقرير المصروفات حسب الشهر'!R973</f>
        <v>5888</v>
      </c>
      <c r="K1727" s="31">
        <f>'تقرير المصروفات حسب الشهر'!R1100</f>
        <v>3583.3</v>
      </c>
      <c r="L1727" s="292">
        <f>IFERROR(VLOOKUP(B1727,'تقرير المصروفات حسب الشهر'!$C$1143:$AD$1254,16,FALSE),0)</f>
        <v>0</v>
      </c>
      <c r="M1727" s="292">
        <f>IFERROR(VLOOKUP(B1727,'تقرير المصروفات حسب الشهر'!$C$1270:$AD$1381,16,FALSE),0)</f>
        <v>0</v>
      </c>
      <c r="N1727" s="31" t="e">
        <f>#REF!</f>
        <v>#REF!</v>
      </c>
      <c r="O1727" s="37" t="e">
        <f t="shared" si="43"/>
        <v>#REF!</v>
      </c>
    </row>
    <row r="1728" spans="2:15" ht="17.399999999999999">
      <c r="B1728" s="42" t="s">
        <v>108</v>
      </c>
      <c r="C1728" s="39">
        <f>'تقرير المصروفات حسب الشهر'!R94</f>
        <v>1280</v>
      </c>
      <c r="D1728" s="31" t="e">
        <f>#REF!</f>
        <v>#REF!</v>
      </c>
      <c r="E1728" s="31" t="e">
        <f>#REF!</f>
        <v>#REF!</v>
      </c>
      <c r="F1728" s="31" t="e">
        <f>#REF!</f>
        <v>#REF!</v>
      </c>
      <c r="G1728" s="31" t="e">
        <f>#REF!</f>
        <v>#REF!</v>
      </c>
      <c r="H1728" s="31" t="e">
        <f>#REF!</f>
        <v>#REF!</v>
      </c>
      <c r="I1728" s="31">
        <f>'تقرير المصروفات حسب الشهر'!R847</f>
        <v>0</v>
      </c>
      <c r="J1728" s="31">
        <f>'تقرير المصروفات حسب الشهر'!R974</f>
        <v>0</v>
      </c>
      <c r="K1728" s="31">
        <f>'تقرير المصروفات حسب الشهر'!R1101</f>
        <v>0</v>
      </c>
      <c r="L1728" s="292">
        <f>IFERROR(VLOOKUP(B1728,'تقرير المصروفات حسب الشهر'!$C$1143:$AD$1254,16,FALSE),0)</f>
        <v>897.74</v>
      </c>
      <c r="M1728" s="292">
        <f>IFERROR(VLOOKUP(B1728,'تقرير المصروفات حسب الشهر'!$C$1270:$AD$1381,16,FALSE),0)</f>
        <v>1330</v>
      </c>
      <c r="N1728" s="31" t="e">
        <f>#REF!</f>
        <v>#REF!</v>
      </c>
      <c r="O1728" s="37" t="e">
        <f t="shared" si="43"/>
        <v>#REF!</v>
      </c>
    </row>
    <row r="1729" spans="2:15" ht="17.399999999999999">
      <c r="B1729" s="42" t="s">
        <v>109</v>
      </c>
      <c r="C1729" s="39">
        <f>'تقرير المصروفات حسب الشهر'!R95</f>
        <v>0</v>
      </c>
      <c r="D1729" s="31" t="e">
        <f>#REF!</f>
        <v>#REF!</v>
      </c>
      <c r="E1729" s="31" t="e">
        <f>#REF!</f>
        <v>#REF!</v>
      </c>
      <c r="F1729" s="31" t="e">
        <f>#REF!</f>
        <v>#REF!</v>
      </c>
      <c r="G1729" s="31" t="e">
        <f>#REF!</f>
        <v>#REF!</v>
      </c>
      <c r="H1729" s="31" t="e">
        <f>#REF!</f>
        <v>#REF!</v>
      </c>
      <c r="I1729" s="31">
        <f>'تقرير المصروفات حسب الشهر'!R848</f>
        <v>0</v>
      </c>
      <c r="J1729" s="31">
        <f>'تقرير المصروفات حسب الشهر'!R975</f>
        <v>0</v>
      </c>
      <c r="K1729" s="31">
        <f>'تقرير المصروفات حسب الشهر'!R1102</f>
        <v>0</v>
      </c>
      <c r="L1729" s="292">
        <f>IFERROR(VLOOKUP(B1729,'تقرير المصروفات حسب الشهر'!$C$1143:$AD$1254,16,FALSE),0)</f>
        <v>0</v>
      </c>
      <c r="M1729" s="292">
        <f>IFERROR(VLOOKUP(B1729,'تقرير المصروفات حسب الشهر'!$C$1270:$AD$1381,16,FALSE),0)</f>
        <v>0</v>
      </c>
      <c r="N1729" s="31" t="e">
        <f>#REF!</f>
        <v>#REF!</v>
      </c>
      <c r="O1729" s="37" t="e">
        <f t="shared" si="43"/>
        <v>#REF!</v>
      </c>
    </row>
    <row r="1730" spans="2:15" ht="17.399999999999999">
      <c r="B1730" s="42" t="s">
        <v>110</v>
      </c>
      <c r="C1730" s="39">
        <f>'تقرير المصروفات حسب الشهر'!R96</f>
        <v>0</v>
      </c>
      <c r="D1730" s="31" t="e">
        <f>#REF!</f>
        <v>#REF!</v>
      </c>
      <c r="E1730" s="31" t="e">
        <f>#REF!</f>
        <v>#REF!</v>
      </c>
      <c r="F1730" s="31" t="e">
        <f>#REF!</f>
        <v>#REF!</v>
      </c>
      <c r="G1730" s="31" t="e">
        <f>#REF!</f>
        <v>#REF!</v>
      </c>
      <c r="H1730" s="31" t="e">
        <f>#REF!</f>
        <v>#REF!</v>
      </c>
      <c r="I1730" s="31">
        <f>'تقرير المصروفات حسب الشهر'!R849</f>
        <v>0</v>
      </c>
      <c r="J1730" s="31">
        <f>'تقرير المصروفات حسب الشهر'!R976</f>
        <v>0</v>
      </c>
      <c r="K1730" s="31">
        <f>'تقرير المصروفات حسب الشهر'!R1103</f>
        <v>0</v>
      </c>
      <c r="L1730" s="292">
        <f>IFERROR(VLOOKUP(B1730,'تقرير المصروفات حسب الشهر'!$C$1143:$AD$1254,16,FALSE),0)</f>
        <v>0</v>
      </c>
      <c r="M1730" s="292">
        <f>IFERROR(VLOOKUP(B1730,'تقرير المصروفات حسب الشهر'!$C$1270:$AD$1381,16,FALSE),0)</f>
        <v>0</v>
      </c>
      <c r="N1730" s="31" t="e">
        <f>#REF!</f>
        <v>#REF!</v>
      </c>
      <c r="O1730" s="37" t="e">
        <f t="shared" si="43"/>
        <v>#REF!</v>
      </c>
    </row>
    <row r="1731" spans="2:15" ht="17.399999999999999">
      <c r="B1731" s="42" t="s">
        <v>112</v>
      </c>
      <c r="C1731" s="39">
        <f>'تقرير المصروفات حسب الشهر'!R97</f>
        <v>0</v>
      </c>
      <c r="D1731" s="31" t="e">
        <f>#REF!</f>
        <v>#REF!</v>
      </c>
      <c r="E1731" s="31" t="e">
        <f>#REF!</f>
        <v>#REF!</v>
      </c>
      <c r="F1731" s="31" t="e">
        <f>#REF!</f>
        <v>#REF!</v>
      </c>
      <c r="G1731" s="31" t="e">
        <f>#REF!</f>
        <v>#REF!</v>
      </c>
      <c r="H1731" s="31" t="e">
        <f>#REF!</f>
        <v>#REF!</v>
      </c>
      <c r="I1731" s="31">
        <f>'تقرير المصروفات حسب الشهر'!R850</f>
        <v>0</v>
      </c>
      <c r="J1731" s="31">
        <f>'تقرير المصروفات حسب الشهر'!R977</f>
        <v>9.24</v>
      </c>
      <c r="K1731" s="31">
        <f>'تقرير المصروفات حسب الشهر'!R1104</f>
        <v>13.34</v>
      </c>
      <c r="L1731" s="292">
        <f>IFERROR(VLOOKUP(B1731,'تقرير المصروفات حسب الشهر'!$C$1143:$AD$1254,16,FALSE),0)</f>
        <v>0</v>
      </c>
      <c r="M1731" s="292">
        <f>IFERROR(VLOOKUP(B1731,'تقرير المصروفات حسب الشهر'!$C$1270:$AD$1381,16,FALSE),0)</f>
        <v>0</v>
      </c>
      <c r="N1731" s="31" t="e">
        <f>#REF!</f>
        <v>#REF!</v>
      </c>
      <c r="O1731" s="37" t="e">
        <f t="shared" si="43"/>
        <v>#REF!</v>
      </c>
    </row>
    <row r="1732" spans="2:15" ht="17.399999999999999">
      <c r="B1732" s="42" t="s">
        <v>113</v>
      </c>
      <c r="C1732" s="39">
        <f>'تقرير المصروفات حسب الشهر'!R98</f>
        <v>10.06</v>
      </c>
      <c r="D1732" s="31" t="e">
        <f>#REF!</f>
        <v>#REF!</v>
      </c>
      <c r="E1732" s="31" t="e">
        <f>#REF!</f>
        <v>#REF!</v>
      </c>
      <c r="F1732" s="31" t="e">
        <f>#REF!</f>
        <v>#REF!</v>
      </c>
      <c r="G1732" s="31" t="e">
        <f>#REF!</f>
        <v>#REF!</v>
      </c>
      <c r="H1732" s="31" t="e">
        <f>#REF!</f>
        <v>#REF!</v>
      </c>
      <c r="I1732" s="31">
        <f>'تقرير المصروفات حسب الشهر'!R851</f>
        <v>0</v>
      </c>
      <c r="J1732" s="31">
        <f>'تقرير المصروفات حسب الشهر'!R978</f>
        <v>0</v>
      </c>
      <c r="K1732" s="31">
        <f>'تقرير المصروفات حسب الشهر'!R1105</f>
        <v>0</v>
      </c>
      <c r="L1732" s="292">
        <f>IFERROR(VLOOKUP(B1732,'تقرير المصروفات حسب الشهر'!$C$1143:$AD$1254,16,FALSE),0)</f>
        <v>13.81</v>
      </c>
      <c r="M1732" s="292">
        <f>IFERROR(VLOOKUP(B1732,'تقرير المصروفات حسب الشهر'!$C$1270:$AD$1381,16,FALSE),0)</f>
        <v>0</v>
      </c>
      <c r="N1732" s="31" t="e">
        <f>#REF!</f>
        <v>#REF!</v>
      </c>
      <c r="O1732" s="37" t="e">
        <f t="shared" si="43"/>
        <v>#REF!</v>
      </c>
    </row>
    <row r="1733" spans="2:15" ht="17.399999999999999">
      <c r="B1733" s="42" t="s">
        <v>137</v>
      </c>
      <c r="C1733" s="39">
        <f>'تقرير المصروفات حسب الشهر'!R99</f>
        <v>0</v>
      </c>
      <c r="D1733" s="31" t="e">
        <f>#REF!</f>
        <v>#REF!</v>
      </c>
      <c r="E1733" s="31" t="e">
        <f>#REF!</f>
        <v>#REF!</v>
      </c>
      <c r="F1733" s="31" t="e">
        <f>#REF!</f>
        <v>#REF!</v>
      </c>
      <c r="G1733" s="31" t="e">
        <f>#REF!</f>
        <v>#REF!</v>
      </c>
      <c r="H1733" s="31" t="e">
        <f>#REF!</f>
        <v>#REF!</v>
      </c>
      <c r="I1733" s="31">
        <f>'تقرير المصروفات حسب الشهر'!R852</f>
        <v>0</v>
      </c>
      <c r="J1733" s="31">
        <f>'تقرير المصروفات حسب الشهر'!R979</f>
        <v>0</v>
      </c>
      <c r="K1733" s="31">
        <f>'تقرير المصروفات حسب الشهر'!R1106</f>
        <v>0</v>
      </c>
      <c r="L1733" s="292">
        <f>IFERROR(VLOOKUP(B1733,'تقرير المصروفات حسب الشهر'!$C$1143:$AD$1254,16,FALSE),0)</f>
        <v>0</v>
      </c>
      <c r="M1733" s="292">
        <f>IFERROR(VLOOKUP(B1733,'تقرير المصروفات حسب الشهر'!$C$1270:$AD$1381,16,FALSE),0)</f>
        <v>0</v>
      </c>
      <c r="N1733" s="31" t="e">
        <f>#REF!</f>
        <v>#REF!</v>
      </c>
      <c r="O1733" s="37" t="e">
        <f t="shared" si="43"/>
        <v>#REF!</v>
      </c>
    </row>
    <row r="1734" spans="2:15" ht="17.399999999999999">
      <c r="B1734" s="42" t="s">
        <v>140</v>
      </c>
      <c r="C1734" s="39">
        <f>'تقرير المصروفات حسب الشهر'!R100</f>
        <v>0</v>
      </c>
      <c r="D1734" s="31" t="e">
        <f>#REF!</f>
        <v>#REF!</v>
      </c>
      <c r="E1734" s="31" t="e">
        <f>#REF!</f>
        <v>#REF!</v>
      </c>
      <c r="F1734" s="31" t="e">
        <f>#REF!</f>
        <v>#REF!</v>
      </c>
      <c r="G1734" s="31" t="e">
        <f>#REF!</f>
        <v>#REF!</v>
      </c>
      <c r="H1734" s="31" t="e">
        <f>#REF!</f>
        <v>#REF!</v>
      </c>
      <c r="I1734" s="31">
        <f>'تقرير المصروفات حسب الشهر'!R853</f>
        <v>0</v>
      </c>
      <c r="J1734" s="31">
        <f>'تقرير المصروفات حسب الشهر'!R980</f>
        <v>0</v>
      </c>
      <c r="K1734" s="31">
        <f>'تقرير المصروفات حسب الشهر'!R1107</f>
        <v>0</v>
      </c>
      <c r="L1734" s="292">
        <f>IFERROR(VLOOKUP(B1734,'تقرير المصروفات حسب الشهر'!$C$1143:$AD$1254,16,FALSE),0)</f>
        <v>0</v>
      </c>
      <c r="M1734" s="292">
        <f>IFERROR(VLOOKUP(B1734,'تقرير المصروفات حسب الشهر'!$C$1270:$AD$1381,16,FALSE),0)</f>
        <v>0</v>
      </c>
      <c r="N1734" s="31" t="e">
        <f>#REF!</f>
        <v>#REF!</v>
      </c>
      <c r="O1734" s="37" t="e">
        <f t="shared" si="43"/>
        <v>#REF!</v>
      </c>
    </row>
    <row r="1735" spans="2:15" ht="17.399999999999999">
      <c r="B1735" s="42" t="s">
        <v>141</v>
      </c>
      <c r="C1735" s="39">
        <f>'تقرير المصروفات حسب الشهر'!R101</f>
        <v>0</v>
      </c>
      <c r="D1735" s="31" t="e">
        <f>#REF!</f>
        <v>#REF!</v>
      </c>
      <c r="E1735" s="31" t="e">
        <f>#REF!</f>
        <v>#REF!</v>
      </c>
      <c r="F1735" s="31" t="e">
        <f>#REF!</f>
        <v>#REF!</v>
      </c>
      <c r="G1735" s="31" t="e">
        <f>#REF!</f>
        <v>#REF!</v>
      </c>
      <c r="H1735" s="31" t="e">
        <f>#REF!</f>
        <v>#REF!</v>
      </c>
      <c r="I1735" s="31">
        <f>'تقرير المصروفات حسب الشهر'!R854</f>
        <v>0</v>
      </c>
      <c r="J1735" s="31">
        <f>'تقرير المصروفات حسب الشهر'!R981</f>
        <v>0</v>
      </c>
      <c r="K1735" s="31">
        <f>'تقرير المصروفات حسب الشهر'!R1108</f>
        <v>0</v>
      </c>
      <c r="L1735" s="292">
        <f>IFERROR(VLOOKUP(B1735,'تقرير المصروفات حسب الشهر'!$C$1143:$AD$1254,16,FALSE),0)</f>
        <v>0</v>
      </c>
      <c r="M1735" s="292">
        <f>IFERROR(VLOOKUP(B1735,'تقرير المصروفات حسب الشهر'!$C$1270:$AD$1381,16,FALSE),0)</f>
        <v>0</v>
      </c>
      <c r="N1735" s="31" t="e">
        <f>#REF!</f>
        <v>#REF!</v>
      </c>
      <c r="O1735" s="37" t="e">
        <f t="shared" si="43"/>
        <v>#REF!</v>
      </c>
    </row>
    <row r="1736" spans="2:15" ht="17.399999999999999">
      <c r="B1736" s="42" t="s">
        <v>193</v>
      </c>
      <c r="C1736" s="39">
        <f>'تقرير المصروفات حسب الشهر'!R102</f>
        <v>0</v>
      </c>
      <c r="D1736" s="31" t="e">
        <f>#REF!</f>
        <v>#REF!</v>
      </c>
      <c r="E1736" s="31" t="e">
        <f>#REF!</f>
        <v>#REF!</v>
      </c>
      <c r="F1736" s="31" t="e">
        <f>#REF!</f>
        <v>#REF!</v>
      </c>
      <c r="G1736" s="31" t="e">
        <f>#REF!</f>
        <v>#REF!</v>
      </c>
      <c r="H1736" s="31" t="e">
        <f>#REF!</f>
        <v>#REF!</v>
      </c>
      <c r="I1736" s="31">
        <f>'تقرير المصروفات حسب الشهر'!R855</f>
        <v>0</v>
      </c>
      <c r="J1736" s="31">
        <f>'تقرير المصروفات حسب الشهر'!R982</f>
        <v>0</v>
      </c>
      <c r="K1736" s="31">
        <f>'تقرير المصروفات حسب الشهر'!R1109</f>
        <v>0</v>
      </c>
      <c r="L1736" s="292">
        <f>IFERROR(VLOOKUP(B1736,'تقرير المصروفات حسب الشهر'!$C$1143:$AD$1254,16,FALSE),0)</f>
        <v>0</v>
      </c>
      <c r="M1736" s="292">
        <f>IFERROR(VLOOKUP(B1736,'تقرير المصروفات حسب الشهر'!$C$1270:$AD$1381,16,FALSE),0)</f>
        <v>0</v>
      </c>
      <c r="N1736" s="31" t="e">
        <f>#REF!</f>
        <v>#REF!</v>
      </c>
      <c r="O1736" s="37" t="e">
        <f t="shared" si="43"/>
        <v>#REF!</v>
      </c>
    </row>
    <row r="1737" spans="2:15" ht="17.399999999999999">
      <c r="B1737" s="42" t="s">
        <v>148</v>
      </c>
      <c r="C1737" s="39">
        <f>'تقرير المصروفات حسب الشهر'!R103</f>
        <v>0</v>
      </c>
      <c r="D1737" s="31" t="e">
        <f>#REF!</f>
        <v>#REF!</v>
      </c>
      <c r="E1737" s="31" t="e">
        <f>#REF!</f>
        <v>#REF!</v>
      </c>
      <c r="F1737" s="31" t="e">
        <f>#REF!</f>
        <v>#REF!</v>
      </c>
      <c r="G1737" s="31" t="e">
        <f>#REF!</f>
        <v>#REF!</v>
      </c>
      <c r="H1737" s="31" t="e">
        <f>#REF!</f>
        <v>#REF!</v>
      </c>
      <c r="I1737" s="31">
        <f>'تقرير المصروفات حسب الشهر'!R856</f>
        <v>0</v>
      </c>
      <c r="J1737" s="31">
        <f>'تقرير المصروفات حسب الشهر'!R983</f>
        <v>0</v>
      </c>
      <c r="K1737" s="31">
        <f>'تقرير المصروفات حسب الشهر'!R1110</f>
        <v>0</v>
      </c>
      <c r="L1737" s="292">
        <f>IFERROR(VLOOKUP(B1737,'تقرير المصروفات حسب الشهر'!$C$1143:$AD$1254,16,FALSE),0)</f>
        <v>0</v>
      </c>
      <c r="M1737" s="292">
        <f>IFERROR(VLOOKUP(B1737,'تقرير المصروفات حسب الشهر'!$C$1270:$AD$1381,16,FALSE),0)</f>
        <v>0</v>
      </c>
      <c r="N1737" s="31" t="e">
        <f>#REF!</f>
        <v>#REF!</v>
      </c>
      <c r="O1737" s="37" t="e">
        <f t="shared" si="43"/>
        <v>#REF!</v>
      </c>
    </row>
    <row r="1738" spans="2:15" ht="17.399999999999999">
      <c r="B1738" s="42" t="s">
        <v>186</v>
      </c>
      <c r="C1738" s="39">
        <f>'تقرير المصروفات حسب الشهر'!R104</f>
        <v>0</v>
      </c>
      <c r="D1738" s="31" t="e">
        <f>#REF!</f>
        <v>#REF!</v>
      </c>
      <c r="E1738" s="31" t="e">
        <f>#REF!</f>
        <v>#REF!</v>
      </c>
      <c r="F1738" s="31" t="e">
        <f>#REF!</f>
        <v>#REF!</v>
      </c>
      <c r="G1738" s="31" t="e">
        <f>#REF!</f>
        <v>#REF!</v>
      </c>
      <c r="H1738" s="31" t="e">
        <f>#REF!</f>
        <v>#REF!</v>
      </c>
      <c r="I1738" s="31">
        <f>'تقرير المصروفات حسب الشهر'!R857</f>
        <v>0</v>
      </c>
      <c r="J1738" s="31">
        <f>'تقرير المصروفات حسب الشهر'!R984</f>
        <v>0</v>
      </c>
      <c r="K1738" s="31">
        <f>'تقرير المصروفات حسب الشهر'!R1111</f>
        <v>0</v>
      </c>
      <c r="L1738" s="292">
        <f>IFERROR(VLOOKUP(B1738,'تقرير المصروفات حسب الشهر'!$C$1143:$AD$1254,16,FALSE),0)</f>
        <v>0</v>
      </c>
      <c r="M1738" s="292">
        <f>IFERROR(VLOOKUP(B1738,'تقرير المصروفات حسب الشهر'!$C$1270:$AD$1381,16,FALSE),0)</f>
        <v>0</v>
      </c>
      <c r="N1738" s="31" t="e">
        <f>#REF!</f>
        <v>#REF!</v>
      </c>
      <c r="O1738" s="37" t="e">
        <f t="shared" si="43"/>
        <v>#REF!</v>
      </c>
    </row>
    <row r="1739" spans="2:15" ht="17.399999999999999">
      <c r="B1739" s="42" t="s">
        <v>171</v>
      </c>
      <c r="C1739" s="39">
        <f>'تقرير المصروفات حسب الشهر'!R105</f>
        <v>0</v>
      </c>
      <c r="D1739" s="31" t="e">
        <f>#REF!</f>
        <v>#REF!</v>
      </c>
      <c r="E1739" s="31" t="e">
        <f>#REF!</f>
        <v>#REF!</v>
      </c>
      <c r="F1739" s="31" t="e">
        <f>#REF!</f>
        <v>#REF!</v>
      </c>
      <c r="G1739" s="31" t="e">
        <f>#REF!</f>
        <v>#REF!</v>
      </c>
      <c r="H1739" s="31" t="e">
        <f>#REF!</f>
        <v>#REF!</v>
      </c>
      <c r="I1739" s="31">
        <f>'تقرير المصروفات حسب الشهر'!R858</f>
        <v>0</v>
      </c>
      <c r="J1739" s="31">
        <f>'تقرير المصروفات حسب الشهر'!R985</f>
        <v>0</v>
      </c>
      <c r="K1739" s="31">
        <f>'تقرير المصروفات حسب الشهر'!R1112</f>
        <v>0</v>
      </c>
      <c r="L1739" s="292">
        <f>IFERROR(VLOOKUP(B1739,'تقرير المصروفات حسب الشهر'!$C$1143:$AD$1254,16,FALSE),0)</f>
        <v>0</v>
      </c>
      <c r="M1739" s="292">
        <f>IFERROR(VLOOKUP(B1739,'تقرير المصروفات حسب الشهر'!$C$1270:$AD$1381,16,FALSE),0)</f>
        <v>0</v>
      </c>
      <c r="N1739" s="31" t="e">
        <f>#REF!</f>
        <v>#REF!</v>
      </c>
      <c r="O1739" s="37" t="e">
        <f t="shared" si="43"/>
        <v>#REF!</v>
      </c>
    </row>
    <row r="1740" spans="2:15" ht="17.399999999999999">
      <c r="B1740" s="42" t="s">
        <v>180</v>
      </c>
      <c r="C1740" s="39">
        <f>'تقرير المصروفات حسب الشهر'!R106</f>
        <v>0</v>
      </c>
      <c r="D1740" s="31" t="e">
        <f>#REF!</f>
        <v>#REF!</v>
      </c>
      <c r="E1740" s="31" t="e">
        <f>#REF!</f>
        <v>#REF!</v>
      </c>
      <c r="F1740" s="31" t="e">
        <f>#REF!</f>
        <v>#REF!</v>
      </c>
      <c r="G1740" s="31" t="e">
        <f>#REF!</f>
        <v>#REF!</v>
      </c>
      <c r="H1740" s="31" t="e">
        <f>#REF!</f>
        <v>#REF!</v>
      </c>
      <c r="I1740" s="31">
        <f>'تقرير المصروفات حسب الشهر'!R859</f>
        <v>0</v>
      </c>
      <c r="J1740" s="31">
        <f>'تقرير المصروفات حسب الشهر'!R986</f>
        <v>0</v>
      </c>
      <c r="K1740" s="31">
        <f>'تقرير المصروفات حسب الشهر'!R1113</f>
        <v>0</v>
      </c>
      <c r="L1740" s="292">
        <f>IFERROR(VLOOKUP(B1740,'تقرير المصروفات حسب الشهر'!$C$1143:$AD$1254,16,FALSE),0)</f>
        <v>0</v>
      </c>
      <c r="M1740" s="292">
        <f>IFERROR(VLOOKUP(B1740,'تقرير المصروفات حسب الشهر'!$C$1270:$AD$1381,16,FALSE),0)</f>
        <v>0</v>
      </c>
      <c r="N1740" s="31" t="e">
        <f>#REF!</f>
        <v>#REF!</v>
      </c>
      <c r="O1740" s="37" t="e">
        <f t="shared" si="43"/>
        <v>#REF!</v>
      </c>
    </row>
    <row r="1741" spans="2:15" ht="17.399999999999999">
      <c r="B1741" s="42" t="s">
        <v>183</v>
      </c>
      <c r="C1741" s="39">
        <f>'تقرير المصروفات حسب الشهر'!R107</f>
        <v>0</v>
      </c>
      <c r="D1741" s="31" t="e">
        <f>#REF!</f>
        <v>#REF!</v>
      </c>
      <c r="E1741" s="31" t="e">
        <f>#REF!</f>
        <v>#REF!</v>
      </c>
      <c r="F1741" s="31" t="e">
        <f>#REF!</f>
        <v>#REF!</v>
      </c>
      <c r="G1741" s="31" t="e">
        <f>#REF!</f>
        <v>#REF!</v>
      </c>
      <c r="H1741" s="31" t="e">
        <f>#REF!</f>
        <v>#REF!</v>
      </c>
      <c r="I1741" s="31">
        <f>'تقرير المصروفات حسب الشهر'!R860</f>
        <v>0</v>
      </c>
      <c r="J1741" s="31">
        <f>'تقرير المصروفات حسب الشهر'!R987</f>
        <v>0</v>
      </c>
      <c r="K1741" s="31">
        <f>'تقرير المصروفات حسب الشهر'!R1114</f>
        <v>0</v>
      </c>
      <c r="L1741" s="292">
        <f>IFERROR(VLOOKUP(B1741,'تقرير المصروفات حسب الشهر'!$C$1143:$AD$1254,16,FALSE),0)</f>
        <v>0</v>
      </c>
      <c r="M1741" s="292">
        <f>IFERROR(VLOOKUP(B1741,'تقرير المصروفات حسب الشهر'!$C$1270:$AD$1381,16,FALSE),0)</f>
        <v>0</v>
      </c>
      <c r="N1741" s="31" t="e">
        <f>#REF!</f>
        <v>#REF!</v>
      </c>
      <c r="O1741" s="37" t="e">
        <f t="shared" si="43"/>
        <v>#REF!</v>
      </c>
    </row>
    <row r="1742" spans="2:15" ht="17.399999999999999">
      <c r="B1742" s="42" t="s">
        <v>195</v>
      </c>
      <c r="C1742" s="39">
        <f>'تقرير المصروفات حسب الشهر'!R108</f>
        <v>0</v>
      </c>
      <c r="D1742" s="31" t="e">
        <f>#REF!</f>
        <v>#REF!</v>
      </c>
      <c r="E1742" s="31" t="e">
        <f>#REF!</f>
        <v>#REF!</v>
      </c>
      <c r="F1742" s="31" t="e">
        <f>#REF!</f>
        <v>#REF!</v>
      </c>
      <c r="G1742" s="31" t="e">
        <f>#REF!</f>
        <v>#REF!</v>
      </c>
      <c r="H1742" s="31" t="e">
        <f>#REF!</f>
        <v>#REF!</v>
      </c>
      <c r="I1742" s="31">
        <f>'تقرير المصروفات حسب الشهر'!R861</f>
        <v>0</v>
      </c>
      <c r="J1742" s="31">
        <f>'تقرير المصروفات حسب الشهر'!R988</f>
        <v>0</v>
      </c>
      <c r="K1742" s="31">
        <f>'تقرير المصروفات حسب الشهر'!R1115</f>
        <v>0</v>
      </c>
      <c r="L1742" s="292">
        <f>IFERROR(VLOOKUP(B1742,'تقرير المصروفات حسب الشهر'!$C$1143:$AD$1254,16,FALSE),0)</f>
        <v>0</v>
      </c>
      <c r="M1742" s="292">
        <f>IFERROR(VLOOKUP(B1742,'تقرير المصروفات حسب الشهر'!$C$1270:$AD$1381,16,FALSE),0)</f>
        <v>0</v>
      </c>
      <c r="N1742" s="31" t="e">
        <f>#REF!</f>
        <v>#REF!</v>
      </c>
      <c r="O1742" s="37" t="e">
        <f t="shared" si="43"/>
        <v>#REF!</v>
      </c>
    </row>
    <row r="1743" spans="2:15" ht="17.399999999999999">
      <c r="B1743" s="42" t="s">
        <v>189</v>
      </c>
      <c r="C1743" s="39">
        <f>'تقرير المصروفات حسب الشهر'!R109</f>
        <v>0</v>
      </c>
      <c r="D1743" s="31" t="e">
        <f>#REF!</f>
        <v>#REF!</v>
      </c>
      <c r="E1743" s="31" t="e">
        <f>#REF!</f>
        <v>#REF!</v>
      </c>
      <c r="F1743" s="31" t="e">
        <f>#REF!</f>
        <v>#REF!</v>
      </c>
      <c r="G1743" s="31" t="e">
        <f>#REF!</f>
        <v>#REF!</v>
      </c>
      <c r="H1743" s="31" t="e">
        <f>#REF!</f>
        <v>#REF!</v>
      </c>
      <c r="I1743" s="31">
        <f>'تقرير المصروفات حسب الشهر'!R862</f>
        <v>0</v>
      </c>
      <c r="J1743" s="31">
        <f>'تقرير المصروفات حسب الشهر'!R989</f>
        <v>0</v>
      </c>
      <c r="K1743" s="31">
        <f>'تقرير المصروفات حسب الشهر'!R1116</f>
        <v>0</v>
      </c>
      <c r="L1743" s="292">
        <f>IFERROR(VLOOKUP(B1743,'تقرير المصروفات حسب الشهر'!$C$1143:$AD$1254,16,FALSE),0)</f>
        <v>0</v>
      </c>
      <c r="M1743" s="292">
        <f>IFERROR(VLOOKUP(B1743,'تقرير المصروفات حسب الشهر'!$C$1270:$AD$1381,16,FALSE),0)</f>
        <v>0</v>
      </c>
      <c r="N1743" s="31" t="e">
        <f>#REF!</f>
        <v>#REF!</v>
      </c>
      <c r="O1743" s="37" t="e">
        <f t="shared" si="43"/>
        <v>#REF!</v>
      </c>
    </row>
    <row r="1744" spans="2:15" ht="17.399999999999999">
      <c r="B1744" s="42" t="s">
        <v>188</v>
      </c>
      <c r="C1744" s="39">
        <f>'تقرير المصروفات حسب الشهر'!R110</f>
        <v>0</v>
      </c>
      <c r="D1744" s="31" t="e">
        <f>#REF!</f>
        <v>#REF!</v>
      </c>
      <c r="E1744" s="31" t="e">
        <f>#REF!</f>
        <v>#REF!</v>
      </c>
      <c r="F1744" s="31" t="e">
        <f>#REF!</f>
        <v>#REF!</v>
      </c>
      <c r="G1744" s="31" t="e">
        <f>#REF!</f>
        <v>#REF!</v>
      </c>
      <c r="H1744" s="31" t="e">
        <f>#REF!</f>
        <v>#REF!</v>
      </c>
      <c r="I1744" s="31">
        <f>'تقرير المصروفات حسب الشهر'!R863</f>
        <v>0</v>
      </c>
      <c r="J1744" s="31">
        <f>'تقرير المصروفات حسب الشهر'!R990</f>
        <v>0</v>
      </c>
      <c r="K1744" s="31">
        <f>'تقرير المصروفات حسب الشهر'!R1117</f>
        <v>0</v>
      </c>
      <c r="L1744" s="292">
        <f>IFERROR(VLOOKUP(B1744,'تقرير المصروفات حسب الشهر'!$C$1143:$AD$1254,16,FALSE),0)</f>
        <v>0</v>
      </c>
      <c r="M1744" s="292">
        <f>IFERROR(VLOOKUP(B1744,'تقرير المصروفات حسب الشهر'!$C$1270:$AD$1381,16,FALSE),0)</f>
        <v>0</v>
      </c>
      <c r="N1744" s="31" t="e">
        <f>#REF!</f>
        <v>#REF!</v>
      </c>
      <c r="O1744" s="37" t="e">
        <f t="shared" si="43"/>
        <v>#REF!</v>
      </c>
    </row>
    <row r="1745" spans="2:15" ht="17.399999999999999">
      <c r="B1745" s="42" t="s">
        <v>196</v>
      </c>
      <c r="C1745" s="39">
        <f>'تقرير المصروفات حسب الشهر'!R111</f>
        <v>0</v>
      </c>
      <c r="D1745" s="31" t="e">
        <f>#REF!</f>
        <v>#REF!</v>
      </c>
      <c r="E1745" s="31" t="e">
        <f>#REF!</f>
        <v>#REF!</v>
      </c>
      <c r="F1745" s="31" t="e">
        <f>#REF!</f>
        <v>#REF!</v>
      </c>
      <c r="G1745" s="31" t="e">
        <f>#REF!</f>
        <v>#REF!</v>
      </c>
      <c r="H1745" s="31" t="e">
        <f>#REF!</f>
        <v>#REF!</v>
      </c>
      <c r="I1745" s="31">
        <f>'تقرير المصروفات حسب الشهر'!R864</f>
        <v>0</v>
      </c>
      <c r="J1745" s="31">
        <f>'تقرير المصروفات حسب الشهر'!R991</f>
        <v>0</v>
      </c>
      <c r="K1745" s="31">
        <f>'تقرير المصروفات حسب الشهر'!R1118</f>
        <v>0</v>
      </c>
      <c r="L1745" s="292">
        <f>IFERROR(VLOOKUP(B1745,'تقرير المصروفات حسب الشهر'!$C$1143:$AD$1254,16,FALSE),0)</f>
        <v>0</v>
      </c>
      <c r="M1745" s="292">
        <f>IFERROR(VLOOKUP(B1745,'تقرير المصروفات حسب الشهر'!$C$1270:$AD$1381,16,FALSE),0)</f>
        <v>0</v>
      </c>
      <c r="N1745" s="31" t="e">
        <f>#REF!</f>
        <v>#REF!</v>
      </c>
      <c r="O1745" s="37" t="e">
        <f t="shared" si="43"/>
        <v>#REF!</v>
      </c>
    </row>
    <row r="1746" spans="2:15" ht="17.399999999999999">
      <c r="B1746" s="42" t="s">
        <v>197</v>
      </c>
      <c r="C1746" s="39">
        <f>'تقرير المصروفات حسب الشهر'!R112</f>
        <v>0</v>
      </c>
      <c r="D1746" s="31" t="e">
        <f>#REF!</f>
        <v>#REF!</v>
      </c>
      <c r="E1746" s="31" t="e">
        <f>#REF!</f>
        <v>#REF!</v>
      </c>
      <c r="F1746" s="31" t="e">
        <f>#REF!</f>
        <v>#REF!</v>
      </c>
      <c r="G1746" s="31" t="e">
        <f>#REF!</f>
        <v>#REF!</v>
      </c>
      <c r="H1746" s="31" t="e">
        <f>#REF!</f>
        <v>#REF!</v>
      </c>
      <c r="I1746" s="31">
        <f>'تقرير المصروفات حسب الشهر'!R865</f>
        <v>0</v>
      </c>
      <c r="J1746" s="31">
        <f>'تقرير المصروفات حسب الشهر'!R992</f>
        <v>0</v>
      </c>
      <c r="K1746" s="31">
        <f>'تقرير المصروفات حسب الشهر'!R1119</f>
        <v>0</v>
      </c>
      <c r="L1746" s="292">
        <f>IFERROR(VLOOKUP(B1746,'تقرير المصروفات حسب الشهر'!$C$1143:$AD$1254,16,FALSE),0)</f>
        <v>0</v>
      </c>
      <c r="M1746" s="292">
        <f>IFERROR(VLOOKUP(B1746,'تقرير المصروفات حسب الشهر'!$C$1270:$AD$1381,16,FALSE),0)</f>
        <v>0</v>
      </c>
      <c r="N1746" s="31" t="e">
        <f>#REF!</f>
        <v>#REF!</v>
      </c>
      <c r="O1746" s="37" t="e">
        <f t="shared" si="43"/>
        <v>#REF!</v>
      </c>
    </row>
    <row r="1747" spans="2:15" ht="17.399999999999999">
      <c r="B1747" s="42" t="s">
        <v>198</v>
      </c>
      <c r="C1747" s="39">
        <f>'تقرير المصروفات حسب الشهر'!R113</f>
        <v>0</v>
      </c>
      <c r="D1747" s="31" t="e">
        <f>#REF!</f>
        <v>#REF!</v>
      </c>
      <c r="E1747" s="31" t="e">
        <f>#REF!</f>
        <v>#REF!</v>
      </c>
      <c r="F1747" s="31" t="e">
        <f>#REF!</f>
        <v>#REF!</v>
      </c>
      <c r="G1747" s="31" t="e">
        <f>#REF!</f>
        <v>#REF!</v>
      </c>
      <c r="H1747" s="31" t="e">
        <f>#REF!</f>
        <v>#REF!</v>
      </c>
      <c r="I1747" s="31">
        <f>'تقرير المصروفات حسب الشهر'!R866</f>
        <v>0</v>
      </c>
      <c r="J1747" s="31">
        <f>'تقرير المصروفات حسب الشهر'!R993</f>
        <v>0</v>
      </c>
      <c r="K1747" s="31">
        <f>'تقرير المصروفات حسب الشهر'!R1120</f>
        <v>0</v>
      </c>
      <c r="L1747" s="292">
        <f>IFERROR(VLOOKUP(B1747,'تقرير المصروفات حسب الشهر'!$C$1143:$AD$1254,16,FALSE),0)</f>
        <v>0</v>
      </c>
      <c r="M1747" s="292">
        <f>IFERROR(VLOOKUP(B1747,'تقرير المصروفات حسب الشهر'!$C$1270:$AD$1381,16,FALSE),0)</f>
        <v>0</v>
      </c>
      <c r="N1747" s="31" t="e">
        <f>#REF!</f>
        <v>#REF!</v>
      </c>
      <c r="O1747" s="37" t="e">
        <f t="shared" si="43"/>
        <v>#REF!</v>
      </c>
    </row>
    <row r="1748" spans="2:15" ht="17.399999999999999">
      <c r="B1748" s="42" t="s">
        <v>201</v>
      </c>
      <c r="C1748" s="39">
        <f>'تقرير المصروفات حسب الشهر'!R114</f>
        <v>0</v>
      </c>
      <c r="D1748" s="31" t="e">
        <f>#REF!</f>
        <v>#REF!</v>
      </c>
      <c r="E1748" s="31" t="e">
        <f>#REF!</f>
        <v>#REF!</v>
      </c>
      <c r="F1748" s="31" t="e">
        <f>#REF!</f>
        <v>#REF!</v>
      </c>
      <c r="G1748" s="31" t="e">
        <f>#REF!</f>
        <v>#REF!</v>
      </c>
      <c r="H1748" s="31" t="e">
        <f>#REF!</f>
        <v>#REF!</v>
      </c>
      <c r="I1748" s="31">
        <f>'تقرير المصروفات حسب الشهر'!R867</f>
        <v>0</v>
      </c>
      <c r="J1748" s="31">
        <f>'تقرير المصروفات حسب الشهر'!R994</f>
        <v>0</v>
      </c>
      <c r="K1748" s="31">
        <f>'تقرير المصروفات حسب الشهر'!R1121</f>
        <v>0</v>
      </c>
      <c r="L1748" s="292">
        <f>IFERROR(VLOOKUP(B1748,'تقرير المصروفات حسب الشهر'!$C$1143:$AD$1254,16,FALSE),0)</f>
        <v>0</v>
      </c>
      <c r="M1748" s="292">
        <f>IFERROR(VLOOKUP(B1748,'تقرير المصروفات حسب الشهر'!$C$1270:$AD$1381,16,FALSE),0)</f>
        <v>0</v>
      </c>
      <c r="N1748" s="31" t="e">
        <f>#REF!</f>
        <v>#REF!</v>
      </c>
      <c r="O1748" s="37" t="e">
        <f t="shared" si="43"/>
        <v>#REF!</v>
      </c>
    </row>
    <row r="1749" spans="2:15" ht="17.399999999999999">
      <c r="B1749" s="42" t="s">
        <v>202</v>
      </c>
      <c r="C1749" s="39">
        <f>'تقرير المصروفات حسب الشهر'!R115</f>
        <v>0</v>
      </c>
      <c r="D1749" s="31" t="e">
        <f>#REF!</f>
        <v>#REF!</v>
      </c>
      <c r="E1749" s="31" t="e">
        <f>#REF!</f>
        <v>#REF!</v>
      </c>
      <c r="F1749" s="31" t="e">
        <f>#REF!</f>
        <v>#REF!</v>
      </c>
      <c r="G1749" s="31" t="e">
        <f>#REF!</f>
        <v>#REF!</v>
      </c>
      <c r="H1749" s="31" t="e">
        <f>#REF!</f>
        <v>#REF!</v>
      </c>
      <c r="I1749" s="31">
        <f>'تقرير المصروفات حسب الشهر'!R868</f>
        <v>0</v>
      </c>
      <c r="J1749" s="31">
        <f>'تقرير المصروفات حسب الشهر'!R995</f>
        <v>0</v>
      </c>
      <c r="K1749" s="31">
        <f>'تقرير المصروفات حسب الشهر'!R1122</f>
        <v>0</v>
      </c>
      <c r="L1749" s="292">
        <f>IFERROR(VLOOKUP(B1749,'تقرير المصروفات حسب الشهر'!$C$1143:$AD$1254,16,FALSE),0)</f>
        <v>0</v>
      </c>
      <c r="M1749" s="292">
        <f>IFERROR(VLOOKUP(B1749,'تقرير المصروفات حسب الشهر'!$C$1270:$AD$1381,16,FALSE),0)</f>
        <v>0</v>
      </c>
      <c r="N1749" s="31" t="e">
        <f>#REF!</f>
        <v>#REF!</v>
      </c>
      <c r="O1749" s="37" t="e">
        <f t="shared" si="43"/>
        <v>#REF!</v>
      </c>
    </row>
    <row r="1750" spans="2:15" ht="17.399999999999999">
      <c r="B1750" s="42" t="s">
        <v>206</v>
      </c>
      <c r="C1750" s="39">
        <f>'تقرير المصروفات حسب الشهر'!R116</f>
        <v>0</v>
      </c>
      <c r="D1750" s="31" t="e">
        <f>#REF!</f>
        <v>#REF!</v>
      </c>
      <c r="E1750" s="31" t="e">
        <f>#REF!</f>
        <v>#REF!</v>
      </c>
      <c r="F1750" s="31" t="e">
        <f>#REF!</f>
        <v>#REF!</v>
      </c>
      <c r="G1750" s="31" t="e">
        <f>#REF!</f>
        <v>#REF!</v>
      </c>
      <c r="H1750" s="31" t="e">
        <f>#REF!</f>
        <v>#REF!</v>
      </c>
      <c r="I1750" s="31">
        <f>'تقرير المصروفات حسب الشهر'!R869</f>
        <v>1387.5</v>
      </c>
      <c r="J1750" s="31">
        <f>'تقرير المصروفات حسب الشهر'!R996</f>
        <v>1387.5</v>
      </c>
      <c r="K1750" s="31">
        <f>'تقرير المصروفات حسب الشهر'!R1123</f>
        <v>1387.5</v>
      </c>
      <c r="L1750" s="292">
        <f>IFERROR(VLOOKUP(B1750,'تقرير المصروفات حسب الشهر'!$C$1143:$AD$1254,16,FALSE),0)</f>
        <v>0</v>
      </c>
      <c r="M1750" s="292">
        <f>IFERROR(VLOOKUP(B1750,'تقرير المصروفات حسب الشهر'!$C$1270:$AD$1381,16,FALSE),0)</f>
        <v>0</v>
      </c>
      <c r="N1750" s="31" t="e">
        <f>#REF!</f>
        <v>#REF!</v>
      </c>
      <c r="O1750" s="37" t="e">
        <f t="shared" si="43"/>
        <v>#REF!</v>
      </c>
    </row>
    <row r="1751" spans="2:15" ht="17.399999999999999">
      <c r="B1751" s="42" t="s">
        <v>207</v>
      </c>
      <c r="C1751" s="39">
        <f>'تقرير المصروفات حسب الشهر'!R117</f>
        <v>1387.5</v>
      </c>
      <c r="D1751" s="31" t="e">
        <f>#REF!</f>
        <v>#REF!</v>
      </c>
      <c r="E1751" s="31" t="e">
        <f>#REF!</f>
        <v>#REF!</v>
      </c>
      <c r="F1751" s="31" t="e">
        <f>#REF!</f>
        <v>#REF!</v>
      </c>
      <c r="G1751" s="31" t="e">
        <f>#REF!</f>
        <v>#REF!</v>
      </c>
      <c r="H1751" s="31" t="e">
        <f>#REF!</f>
        <v>#REF!</v>
      </c>
      <c r="I1751" s="31">
        <f>'تقرير المصروفات حسب الشهر'!R870</f>
        <v>0</v>
      </c>
      <c r="J1751" s="31">
        <f>'تقرير المصروفات حسب الشهر'!R997</f>
        <v>0</v>
      </c>
      <c r="K1751" s="31">
        <f>'تقرير المصروفات حسب الشهر'!R1124</f>
        <v>0</v>
      </c>
      <c r="L1751" s="292">
        <f>IFERROR(VLOOKUP(B1751,'تقرير المصروفات حسب الشهر'!$C$1143:$AD$1254,16,FALSE),0)</f>
        <v>1387.5</v>
      </c>
      <c r="M1751" s="292">
        <f>IFERROR(VLOOKUP(B1751,'تقرير المصروفات حسب الشهر'!$C$1270:$AD$1381,16,FALSE),0)</f>
        <v>1387.5</v>
      </c>
      <c r="N1751" s="31" t="e">
        <f>#REF!</f>
        <v>#REF!</v>
      </c>
      <c r="O1751" s="37" t="e">
        <f t="shared" si="43"/>
        <v>#REF!</v>
      </c>
    </row>
    <row r="1752" spans="2:15" ht="17.399999999999999">
      <c r="B1752" s="43" t="s">
        <v>208</v>
      </c>
      <c r="C1752" s="39">
        <f>'تقرير المصروفات حسب الشهر'!R118</f>
        <v>0</v>
      </c>
      <c r="D1752" s="31" t="e">
        <f>#REF!</f>
        <v>#REF!</v>
      </c>
      <c r="E1752" s="31" t="e">
        <f>#REF!</f>
        <v>#REF!</v>
      </c>
      <c r="F1752" s="31" t="e">
        <f>#REF!</f>
        <v>#REF!</v>
      </c>
      <c r="G1752" s="31" t="e">
        <f>#REF!</f>
        <v>#REF!</v>
      </c>
      <c r="H1752" s="31">
        <v>0</v>
      </c>
      <c r="I1752" s="31">
        <f>'تقرير المصروفات حسب الشهر'!R871</f>
        <v>0</v>
      </c>
      <c r="J1752" s="31">
        <f>'تقرير المصروفات حسب الشهر'!R998</f>
        <v>0</v>
      </c>
      <c r="K1752" s="31">
        <f>'تقرير المصروفات حسب الشهر'!R1125</f>
        <v>0</v>
      </c>
      <c r="L1752" s="292">
        <f>IFERROR(VLOOKUP(B1752,'تقرير المصروفات حسب الشهر'!$C$1143:$AD$1254,16,FALSE),0)</f>
        <v>0</v>
      </c>
      <c r="M1752" s="292">
        <f>IFERROR(VLOOKUP(B1752,'تقرير المصروفات حسب الشهر'!$C$1270:$AD$1381,16,FALSE),0)</f>
        <v>0</v>
      </c>
      <c r="N1752" s="31" t="e">
        <f>#REF!</f>
        <v>#REF!</v>
      </c>
      <c r="O1752" s="37" t="e">
        <f t="shared" si="43"/>
        <v>#REF!</v>
      </c>
    </row>
    <row r="1753" spans="2:15" ht="17.399999999999999">
      <c r="B1753" s="437" t="s">
        <v>236</v>
      </c>
      <c r="C1753" s="39">
        <f>'تقرير المصروفات حسب الشهر'!R119</f>
        <v>0</v>
      </c>
      <c r="D1753" s="438"/>
      <c r="E1753" s="438"/>
      <c r="F1753" s="438"/>
      <c r="G1753" s="438"/>
      <c r="H1753" s="438"/>
      <c r="I1753" s="438"/>
      <c r="J1753" s="438"/>
      <c r="K1753" s="438"/>
      <c r="L1753" s="439"/>
      <c r="M1753" s="439"/>
      <c r="N1753" s="438"/>
      <c r="O1753" s="440"/>
    </row>
    <row r="1754" spans="2:15" ht="17.399999999999999">
      <c r="B1754" s="437" t="s">
        <v>209</v>
      </c>
      <c r="C1754" s="39">
        <f>'تقرير المصروفات حسب الشهر'!R120</f>
        <v>0</v>
      </c>
      <c r="D1754" s="438"/>
      <c r="E1754" s="438"/>
      <c r="F1754" s="438"/>
      <c r="G1754" s="438"/>
      <c r="H1754" s="438"/>
      <c r="I1754" s="438"/>
      <c r="J1754" s="438"/>
      <c r="K1754" s="438"/>
      <c r="L1754" s="439"/>
      <c r="M1754" s="439"/>
      <c r="N1754" s="438"/>
      <c r="O1754" s="440"/>
    </row>
    <row r="1755" spans="2:15" ht="18" thickBot="1">
      <c r="B1755" s="437" t="s">
        <v>360</v>
      </c>
      <c r="C1755" s="39">
        <f>'تقرير المصروفات حسب الشهر'!R121</f>
        <v>3.6</v>
      </c>
      <c r="D1755" s="438"/>
      <c r="E1755" s="438"/>
      <c r="F1755" s="438"/>
      <c r="G1755" s="438"/>
      <c r="H1755" s="438"/>
      <c r="I1755" s="438"/>
      <c r="J1755" s="438"/>
      <c r="K1755" s="438"/>
      <c r="L1755" s="439"/>
      <c r="M1755" s="439"/>
      <c r="N1755" s="438"/>
      <c r="O1755" s="440"/>
    </row>
    <row r="1756" spans="2:15" ht="21.6" thickBot="1">
      <c r="B1756" s="29" t="s">
        <v>18</v>
      </c>
      <c r="C1756" s="41">
        <f>SUM(C1644:C1755)</f>
        <v>90131.67</v>
      </c>
      <c r="D1756" s="41" t="e">
        <f t="shared" ref="D1756:O1756" si="44">SUM(D1644:D1752)</f>
        <v>#REF!</v>
      </c>
      <c r="E1756" s="41" t="e">
        <f t="shared" si="44"/>
        <v>#REF!</v>
      </c>
      <c r="F1756" s="41" t="e">
        <f t="shared" si="44"/>
        <v>#REF!</v>
      </c>
      <c r="G1756" s="41" t="e">
        <f t="shared" si="44"/>
        <v>#REF!</v>
      </c>
      <c r="H1756" s="41" t="e">
        <f t="shared" si="44"/>
        <v>#REF!</v>
      </c>
      <c r="I1756" s="41">
        <f t="shared" si="44"/>
        <v>82805.660000000018</v>
      </c>
      <c r="J1756" s="41">
        <f t="shared" si="44"/>
        <v>114119.47</v>
      </c>
      <c r="K1756" s="41">
        <f t="shared" si="44"/>
        <v>101161.71</v>
      </c>
      <c r="L1756" s="41">
        <f t="shared" si="44"/>
        <v>104672.95999999999</v>
      </c>
      <c r="M1756" s="41">
        <f t="shared" si="44"/>
        <v>99823.480000000025</v>
      </c>
      <c r="N1756" s="41" t="e">
        <f t="shared" si="44"/>
        <v>#REF!</v>
      </c>
      <c r="O1756" s="41" t="e">
        <f t="shared" si="44"/>
        <v>#REF!</v>
      </c>
    </row>
    <row r="1758" spans="2:15" ht="13.8" thickBot="1"/>
    <row r="1759" spans="2:15" ht="31.2" thickTop="1" thickBot="1">
      <c r="B1759" s="643" t="s">
        <v>224</v>
      </c>
      <c r="C1759" s="644"/>
      <c r="D1759" s="644"/>
      <c r="E1759" s="644"/>
      <c r="F1759" s="644"/>
      <c r="G1759" s="644"/>
      <c r="H1759" s="644"/>
      <c r="I1759" s="644"/>
      <c r="J1759" s="644"/>
      <c r="K1759" s="644"/>
      <c r="L1759" s="644"/>
      <c r="M1759" s="644"/>
      <c r="N1759" s="644"/>
      <c r="O1759" s="645"/>
    </row>
    <row r="1760" spans="2:15" ht="17.399999999999999">
      <c r="B1760" s="30" t="s">
        <v>23</v>
      </c>
      <c r="C1760" s="33" t="s">
        <v>0</v>
      </c>
      <c r="D1760" s="33" t="s">
        <v>1</v>
      </c>
      <c r="E1760" s="34" t="s">
        <v>2</v>
      </c>
      <c r="F1760" s="34" t="s">
        <v>3</v>
      </c>
      <c r="G1760" s="34" t="s">
        <v>4</v>
      </c>
      <c r="H1760" s="34" t="s">
        <v>5</v>
      </c>
      <c r="I1760" s="34" t="s">
        <v>6</v>
      </c>
      <c r="J1760" s="34" t="s">
        <v>7</v>
      </c>
      <c r="K1760" s="34" t="s">
        <v>8</v>
      </c>
      <c r="L1760" s="34" t="s">
        <v>9</v>
      </c>
      <c r="M1760" s="34" t="s">
        <v>10</v>
      </c>
      <c r="N1760" s="35" t="s">
        <v>11</v>
      </c>
      <c r="O1760" s="36" t="s">
        <v>18</v>
      </c>
    </row>
    <row r="1761" spans="2:15" ht="17.399999999999999">
      <c r="B1761" s="42" t="s">
        <v>40</v>
      </c>
      <c r="C1761" s="39">
        <f>'تقرير المصروفات حسب الشهر'!S10</f>
        <v>0</v>
      </c>
      <c r="D1761" s="31" t="e">
        <f>#REF!</f>
        <v>#REF!</v>
      </c>
      <c r="E1761" s="31" t="e">
        <f>#REF!</f>
        <v>#REF!</v>
      </c>
      <c r="F1761" s="31" t="e">
        <f>#REF!</f>
        <v>#REF!</v>
      </c>
      <c r="G1761" s="31" t="e">
        <f>#REF!</f>
        <v>#REF!</v>
      </c>
      <c r="H1761" s="31" t="e">
        <f>#REF!</f>
        <v>#REF!</v>
      </c>
      <c r="I1761" s="31">
        <f>'تقرير المصروفات حسب الشهر'!S763</f>
        <v>0</v>
      </c>
      <c r="J1761" s="31">
        <f>'تقرير المصروفات حسب الشهر'!S890</f>
        <v>0</v>
      </c>
      <c r="K1761" s="31">
        <f>'تقرير المصروفات حسب الشهر'!S1017</f>
        <v>0</v>
      </c>
      <c r="L1761" s="292">
        <f>IFERROR(VLOOKUP(B1761,'تقرير المصروفات حسب الشهر'!$C$1143:$AD$1254,17,FALSE),0)</f>
        <v>0</v>
      </c>
      <c r="M1761" s="292">
        <f>IFERROR(VLOOKUP(B1761,'تقرير المصروفات حسب الشهر'!$C$1270:$AD$1381,17,FALSE),0)</f>
        <v>0</v>
      </c>
      <c r="N1761" s="31" t="e">
        <f>#REF!</f>
        <v>#REF!</v>
      </c>
      <c r="O1761" s="37" t="e">
        <f>SUM(C1761:N1761)</f>
        <v>#REF!</v>
      </c>
    </row>
    <row r="1762" spans="2:15" ht="17.399999999999999">
      <c r="B1762" s="42" t="s">
        <v>41</v>
      </c>
      <c r="C1762" s="39">
        <f>'تقرير المصروفات حسب الشهر'!S11</f>
        <v>143039.19</v>
      </c>
      <c r="D1762" s="31" t="e">
        <f>#REF!</f>
        <v>#REF!</v>
      </c>
      <c r="E1762" s="31" t="e">
        <f>#REF!</f>
        <v>#REF!</v>
      </c>
      <c r="F1762" s="31" t="e">
        <f>#REF!</f>
        <v>#REF!</v>
      </c>
      <c r="G1762" s="31" t="e">
        <f>#REF!</f>
        <v>#REF!</v>
      </c>
      <c r="H1762" s="31" t="e">
        <f>#REF!</f>
        <v>#REF!</v>
      </c>
      <c r="I1762" s="31">
        <f>'تقرير المصروفات حسب الشهر'!S764</f>
        <v>183960.06</v>
      </c>
      <c r="J1762" s="31">
        <f>'تقرير المصروفات حسب الشهر'!S891</f>
        <v>181585.56</v>
      </c>
      <c r="K1762" s="31">
        <f>'تقرير المصروفات حسب الشهر'!S1018</f>
        <v>187903.08999999997</v>
      </c>
      <c r="L1762" s="292">
        <f>IFERROR(VLOOKUP(B1762,'تقرير المصروفات حسب الشهر'!$C$1143:$AD$1254,17,FALSE),0)</f>
        <v>213754.41000000003</v>
      </c>
      <c r="M1762" s="292">
        <f>IFERROR(VLOOKUP(B1762,'تقرير المصروفات حسب الشهر'!$C$1270:$AD$1381,17,FALSE),0)</f>
        <v>237152.18</v>
      </c>
      <c r="N1762" s="31" t="e">
        <f>#REF!</f>
        <v>#REF!</v>
      </c>
      <c r="O1762" s="37" t="e">
        <f t="shared" ref="O1762:O1825" si="45">SUM(C1762:N1762)</f>
        <v>#REF!</v>
      </c>
    </row>
    <row r="1763" spans="2:15" ht="17.399999999999999">
      <c r="B1763" s="42" t="s">
        <v>26</v>
      </c>
      <c r="C1763" s="39">
        <f>'تقرير المصروفات حسب الشهر'!S12</f>
        <v>3393</v>
      </c>
      <c r="D1763" s="31" t="e">
        <f>#REF!</f>
        <v>#REF!</v>
      </c>
      <c r="E1763" s="31" t="e">
        <f>#REF!</f>
        <v>#REF!</v>
      </c>
      <c r="F1763" s="31" t="e">
        <f>#REF!</f>
        <v>#REF!</v>
      </c>
      <c r="G1763" s="31" t="e">
        <f>#REF!</f>
        <v>#REF!</v>
      </c>
      <c r="H1763" s="31" t="e">
        <f>#REF!</f>
        <v>#REF!</v>
      </c>
      <c r="I1763" s="31">
        <f>'تقرير المصروفات حسب الشهر'!S765</f>
        <v>5237</v>
      </c>
      <c r="J1763" s="31">
        <f>'تقرير المصروفات حسب الشهر'!S892</f>
        <v>5480</v>
      </c>
      <c r="K1763" s="31">
        <f>'تقرير المصروفات حسب الشهر'!S1019</f>
        <v>5925</v>
      </c>
      <c r="L1763" s="292">
        <f>IFERROR(VLOOKUP(B1763,'تقرير المصروفات حسب الشهر'!$C$1143:$AD$1254,17,FALSE),0)</f>
        <v>6800</v>
      </c>
      <c r="M1763" s="292">
        <f>IFERROR(VLOOKUP(B1763,'تقرير المصروفات حسب الشهر'!$C$1270:$AD$1381,17,FALSE),0)</f>
        <v>7011</v>
      </c>
      <c r="N1763" s="31" t="e">
        <f>#REF!</f>
        <v>#REF!</v>
      </c>
      <c r="O1763" s="37" t="e">
        <f t="shared" si="45"/>
        <v>#REF!</v>
      </c>
    </row>
    <row r="1764" spans="2:15" ht="17.399999999999999">
      <c r="B1764" s="42" t="s">
        <v>27</v>
      </c>
      <c r="C1764" s="39">
        <f>'تقرير المصروفات حسب الشهر'!S13</f>
        <v>0</v>
      </c>
      <c r="D1764" s="31" t="e">
        <f>#REF!</f>
        <v>#REF!</v>
      </c>
      <c r="E1764" s="31" t="e">
        <f>#REF!</f>
        <v>#REF!</v>
      </c>
      <c r="F1764" s="31" t="e">
        <f>#REF!</f>
        <v>#REF!</v>
      </c>
      <c r="G1764" s="31" t="e">
        <f>#REF!</f>
        <v>#REF!</v>
      </c>
      <c r="H1764" s="31" t="e">
        <f>#REF!</f>
        <v>#REF!</v>
      </c>
      <c r="I1764" s="31">
        <f>'تقرير المصروفات حسب الشهر'!S766</f>
        <v>0</v>
      </c>
      <c r="J1764" s="31">
        <f>'تقرير المصروفات حسب الشهر'!S893</f>
        <v>0</v>
      </c>
      <c r="K1764" s="31">
        <f>'تقرير المصروفات حسب الشهر'!S1020</f>
        <v>0</v>
      </c>
      <c r="L1764" s="292">
        <f>IFERROR(VLOOKUP(B1764,'تقرير المصروفات حسب الشهر'!$C$1143:$AD$1254,17,FALSE),0)</f>
        <v>0</v>
      </c>
      <c r="M1764" s="292">
        <f>IFERROR(VLOOKUP(B1764,'تقرير المصروفات حسب الشهر'!$C$1270:$AD$1381,17,FALSE),0)</f>
        <v>0</v>
      </c>
      <c r="N1764" s="31" t="e">
        <f>#REF!</f>
        <v>#REF!</v>
      </c>
      <c r="O1764" s="37" t="e">
        <f t="shared" si="45"/>
        <v>#REF!</v>
      </c>
    </row>
    <row r="1765" spans="2:15" ht="17.399999999999999">
      <c r="B1765" s="42" t="s">
        <v>42</v>
      </c>
      <c r="C1765" s="39">
        <f>'تقرير المصروفات حسب الشهر'!S14</f>
        <v>200</v>
      </c>
      <c r="D1765" s="31" t="e">
        <f>#REF!</f>
        <v>#REF!</v>
      </c>
      <c r="E1765" s="31" t="e">
        <f>#REF!</f>
        <v>#REF!</v>
      </c>
      <c r="F1765" s="31" t="e">
        <f>#REF!</f>
        <v>#REF!</v>
      </c>
      <c r="G1765" s="31" t="e">
        <f>#REF!</f>
        <v>#REF!</v>
      </c>
      <c r="H1765" s="31" t="e">
        <f>#REF!</f>
        <v>#REF!</v>
      </c>
      <c r="I1765" s="31">
        <f>'تقرير المصروفات حسب الشهر'!S767</f>
        <v>0</v>
      </c>
      <c r="J1765" s="31">
        <f>'تقرير المصروفات حسب الشهر'!S894</f>
        <v>0</v>
      </c>
      <c r="K1765" s="31">
        <f>'تقرير المصروفات حسب الشهر'!S1021</f>
        <v>0</v>
      </c>
      <c r="L1765" s="292">
        <f>IFERROR(VLOOKUP(B1765,'تقرير المصروفات حسب الشهر'!$C$1143:$AD$1254,17,FALSE),0)</f>
        <v>0</v>
      </c>
      <c r="M1765" s="292">
        <f>IFERROR(VLOOKUP(B1765,'تقرير المصروفات حسب الشهر'!$C$1270:$AD$1381,17,FALSE),0)</f>
        <v>400</v>
      </c>
      <c r="N1765" s="31" t="e">
        <f>#REF!</f>
        <v>#REF!</v>
      </c>
      <c r="O1765" s="37" t="e">
        <f t="shared" si="45"/>
        <v>#REF!</v>
      </c>
    </row>
    <row r="1766" spans="2:15" ht="17.399999999999999">
      <c r="B1766" s="42" t="s">
        <v>43</v>
      </c>
      <c r="C1766" s="39">
        <f>'تقرير المصروفات حسب الشهر'!S15</f>
        <v>0</v>
      </c>
      <c r="D1766" s="31" t="e">
        <f>#REF!</f>
        <v>#REF!</v>
      </c>
      <c r="E1766" s="31" t="e">
        <f>#REF!</f>
        <v>#REF!</v>
      </c>
      <c r="F1766" s="31" t="e">
        <f>#REF!</f>
        <v>#REF!</v>
      </c>
      <c r="G1766" s="31" t="e">
        <f>#REF!</f>
        <v>#REF!</v>
      </c>
      <c r="H1766" s="31" t="e">
        <f>#REF!</f>
        <v>#REF!</v>
      </c>
      <c r="I1766" s="31">
        <f>'تقرير المصروفات حسب الشهر'!S768</f>
        <v>0</v>
      </c>
      <c r="J1766" s="31">
        <f>'تقرير المصروفات حسب الشهر'!S895</f>
        <v>0</v>
      </c>
      <c r="K1766" s="31">
        <f>'تقرير المصروفات حسب الشهر'!S1022</f>
        <v>0</v>
      </c>
      <c r="L1766" s="292">
        <f>IFERROR(VLOOKUP(B1766,'تقرير المصروفات حسب الشهر'!$C$1143:$AD$1254,17,FALSE),0)</f>
        <v>0</v>
      </c>
      <c r="M1766" s="292">
        <f>IFERROR(VLOOKUP(B1766,'تقرير المصروفات حسب الشهر'!$C$1270:$AD$1381,17,FALSE),0)</f>
        <v>0</v>
      </c>
      <c r="N1766" s="31" t="e">
        <f>#REF!</f>
        <v>#REF!</v>
      </c>
      <c r="O1766" s="37" t="e">
        <f t="shared" si="45"/>
        <v>#REF!</v>
      </c>
    </row>
    <row r="1767" spans="2:15" ht="17.399999999999999">
      <c r="B1767" s="42" t="s">
        <v>44</v>
      </c>
      <c r="C1767" s="39">
        <f>'تقرير المصروفات حسب الشهر'!S16</f>
        <v>0</v>
      </c>
      <c r="D1767" s="31" t="e">
        <f>#REF!</f>
        <v>#REF!</v>
      </c>
      <c r="E1767" s="31" t="e">
        <f>#REF!</f>
        <v>#REF!</v>
      </c>
      <c r="F1767" s="31" t="e">
        <f>#REF!</f>
        <v>#REF!</v>
      </c>
      <c r="G1767" s="31" t="e">
        <f>#REF!</f>
        <v>#REF!</v>
      </c>
      <c r="H1767" s="31" t="e">
        <f>#REF!</f>
        <v>#REF!</v>
      </c>
      <c r="I1767" s="31">
        <f>'تقرير المصروفات حسب الشهر'!S769</f>
        <v>0</v>
      </c>
      <c r="J1767" s="31">
        <f>'تقرير المصروفات حسب الشهر'!S896</f>
        <v>0</v>
      </c>
      <c r="K1767" s="31">
        <f>'تقرير المصروفات حسب الشهر'!S1023</f>
        <v>0</v>
      </c>
      <c r="L1767" s="292">
        <f>IFERROR(VLOOKUP(B1767,'تقرير المصروفات حسب الشهر'!$C$1143:$AD$1254,17,FALSE),0)</f>
        <v>0</v>
      </c>
      <c r="M1767" s="292">
        <f>IFERROR(VLOOKUP(B1767,'تقرير المصروفات حسب الشهر'!$C$1270:$AD$1381,17,FALSE),0)</f>
        <v>0</v>
      </c>
      <c r="N1767" s="31" t="e">
        <f>#REF!</f>
        <v>#REF!</v>
      </c>
      <c r="O1767" s="37" t="e">
        <f t="shared" si="45"/>
        <v>#REF!</v>
      </c>
    </row>
    <row r="1768" spans="2:15" ht="17.399999999999999">
      <c r="B1768" s="42" t="s">
        <v>45</v>
      </c>
      <c r="C1768" s="39">
        <f>'تقرير المصروفات حسب الشهر'!S17</f>
        <v>50625</v>
      </c>
      <c r="D1768" s="31" t="e">
        <f>#REF!</f>
        <v>#REF!</v>
      </c>
      <c r="E1768" s="31" t="e">
        <f>#REF!</f>
        <v>#REF!</v>
      </c>
      <c r="F1768" s="31" t="e">
        <f>#REF!</f>
        <v>#REF!</v>
      </c>
      <c r="G1768" s="31" t="e">
        <f>#REF!</f>
        <v>#REF!</v>
      </c>
      <c r="H1768" s="31" t="e">
        <f>#REF!</f>
        <v>#REF!</v>
      </c>
      <c r="I1768" s="31">
        <f>'تقرير المصروفات حسب الشهر'!S770</f>
        <v>50625</v>
      </c>
      <c r="J1768" s="31">
        <f>'تقرير المصروفات حسب الشهر'!S897</f>
        <v>50620</v>
      </c>
      <c r="K1768" s="31">
        <f>'تقرير المصروفات حسب الشهر'!S1024</f>
        <v>50620</v>
      </c>
      <c r="L1768" s="292">
        <f>IFERROR(VLOOKUP(B1768,'تقرير المصروفات حسب الشهر'!$C$1143:$AD$1254,17,FALSE),0)</f>
        <v>50620</v>
      </c>
      <c r="M1768" s="292">
        <f>IFERROR(VLOOKUP(B1768,'تقرير المصروفات حسب الشهر'!$C$1270:$AD$1381,17,FALSE),0)</f>
        <v>56950</v>
      </c>
      <c r="N1768" s="31" t="e">
        <f>#REF!</f>
        <v>#REF!</v>
      </c>
      <c r="O1768" s="37" t="e">
        <f t="shared" si="45"/>
        <v>#REF!</v>
      </c>
    </row>
    <row r="1769" spans="2:15" ht="17.399999999999999">
      <c r="B1769" s="42" t="s">
        <v>156</v>
      </c>
      <c r="C1769" s="39">
        <f>'تقرير المصروفات حسب الشهر'!S18</f>
        <v>50</v>
      </c>
      <c r="D1769" s="31" t="e">
        <f>#REF!</f>
        <v>#REF!</v>
      </c>
      <c r="E1769" s="31" t="e">
        <f>#REF!</f>
        <v>#REF!</v>
      </c>
      <c r="F1769" s="31" t="e">
        <f>#REF!</f>
        <v>#REF!</v>
      </c>
      <c r="G1769" s="31" t="e">
        <f>#REF!</f>
        <v>#REF!</v>
      </c>
      <c r="H1769" s="31" t="e">
        <f>#REF!</f>
        <v>#REF!</v>
      </c>
      <c r="I1769" s="31">
        <f>'تقرير المصروفات حسب الشهر'!S771</f>
        <v>0</v>
      </c>
      <c r="J1769" s="31">
        <f>'تقرير المصروفات حسب الشهر'!S898</f>
        <v>0</v>
      </c>
      <c r="K1769" s="31">
        <f>'تقرير المصروفات حسب الشهر'!S1025</f>
        <v>0</v>
      </c>
      <c r="L1769" s="292">
        <f>IFERROR(VLOOKUP(B1769,'تقرير المصروفات حسب الشهر'!$C$1143:$AD$1254,17,FALSE),0)</f>
        <v>515.5</v>
      </c>
      <c r="M1769" s="292">
        <f>IFERROR(VLOOKUP(B1769,'تقرير المصروفات حسب الشهر'!$C$1270:$AD$1381,17,FALSE),0)</f>
        <v>0</v>
      </c>
      <c r="N1769" s="31" t="e">
        <f>#REF!</f>
        <v>#REF!</v>
      </c>
      <c r="O1769" s="37" t="e">
        <f t="shared" si="45"/>
        <v>#REF!</v>
      </c>
    </row>
    <row r="1770" spans="2:15" ht="17.399999999999999">
      <c r="B1770" s="42" t="s">
        <v>46</v>
      </c>
      <c r="C1770" s="39">
        <f>'تقرير المصروفات حسب الشهر'!S19</f>
        <v>586.1</v>
      </c>
      <c r="D1770" s="31" t="e">
        <f>#REF!</f>
        <v>#REF!</v>
      </c>
      <c r="E1770" s="31" t="e">
        <f>#REF!</f>
        <v>#REF!</v>
      </c>
      <c r="F1770" s="31" t="e">
        <f>#REF!</f>
        <v>#REF!</v>
      </c>
      <c r="G1770" s="31" t="e">
        <f>#REF!</f>
        <v>#REF!</v>
      </c>
      <c r="H1770" s="31" t="e">
        <f>#REF!</f>
        <v>#REF!</v>
      </c>
      <c r="I1770" s="31">
        <f>'تقرير المصروفات حسب الشهر'!S772</f>
        <v>861.1</v>
      </c>
      <c r="J1770" s="31">
        <f>'تقرير المصروفات حسب الشهر'!S899</f>
        <v>686.1</v>
      </c>
      <c r="K1770" s="31">
        <f>'تقرير المصروفات حسب الشهر'!S1026</f>
        <v>711.1</v>
      </c>
      <c r="L1770" s="292">
        <f>IFERROR(VLOOKUP(B1770,'تقرير المصروفات حسب الشهر'!$C$1143:$AD$1254,17,FALSE),0)</f>
        <v>551.1</v>
      </c>
      <c r="M1770" s="292">
        <f>IFERROR(VLOOKUP(B1770,'تقرير المصروفات حسب الشهر'!$C$1270:$AD$1381,17,FALSE),0)</f>
        <v>616.1</v>
      </c>
      <c r="N1770" s="31" t="e">
        <f>#REF!</f>
        <v>#REF!</v>
      </c>
      <c r="O1770" s="37" t="e">
        <f t="shared" si="45"/>
        <v>#REF!</v>
      </c>
    </row>
    <row r="1771" spans="2:15" ht="17.399999999999999">
      <c r="B1771" s="42" t="s">
        <v>47</v>
      </c>
      <c r="C1771" s="39">
        <f>'تقرير المصروفات حسب الشهر'!S20</f>
        <v>0</v>
      </c>
      <c r="D1771" s="31" t="e">
        <f>#REF!</f>
        <v>#REF!</v>
      </c>
      <c r="E1771" s="31" t="e">
        <f>#REF!</f>
        <v>#REF!</v>
      </c>
      <c r="F1771" s="31" t="e">
        <f>#REF!</f>
        <v>#REF!</v>
      </c>
      <c r="G1771" s="31" t="e">
        <f>#REF!</f>
        <v>#REF!</v>
      </c>
      <c r="H1771" s="31" t="e">
        <f>#REF!</f>
        <v>#REF!</v>
      </c>
      <c r="I1771" s="31">
        <f>'تقرير المصروفات حسب الشهر'!S773</f>
        <v>0</v>
      </c>
      <c r="J1771" s="31">
        <f>'تقرير المصروفات حسب الشهر'!S900</f>
        <v>0</v>
      </c>
      <c r="K1771" s="31">
        <f>'تقرير المصروفات حسب الشهر'!S1027</f>
        <v>0</v>
      </c>
      <c r="L1771" s="292">
        <f>IFERROR(VLOOKUP(B1771,'تقرير المصروفات حسب الشهر'!$C$1143:$AD$1254,17,FALSE),0)</f>
        <v>0</v>
      </c>
      <c r="M1771" s="292">
        <f>IFERROR(VLOOKUP(B1771,'تقرير المصروفات حسب الشهر'!$C$1270:$AD$1381,17,FALSE),0)</f>
        <v>0</v>
      </c>
      <c r="N1771" s="31" t="e">
        <f>#REF!</f>
        <v>#REF!</v>
      </c>
      <c r="O1771" s="37" t="e">
        <f t="shared" si="45"/>
        <v>#REF!</v>
      </c>
    </row>
    <row r="1772" spans="2:15" ht="17.399999999999999">
      <c r="B1772" s="42" t="s">
        <v>48</v>
      </c>
      <c r="C1772" s="39">
        <f>'تقرير المصروفات حسب الشهر'!S21</f>
        <v>750</v>
      </c>
      <c r="D1772" s="31" t="e">
        <f>#REF!</f>
        <v>#REF!</v>
      </c>
      <c r="E1772" s="31" t="e">
        <f>#REF!</f>
        <v>#REF!</v>
      </c>
      <c r="F1772" s="31" t="e">
        <f>#REF!</f>
        <v>#REF!</v>
      </c>
      <c r="G1772" s="31" t="e">
        <f>#REF!</f>
        <v>#REF!</v>
      </c>
      <c r="H1772" s="31" t="e">
        <f>#REF!</f>
        <v>#REF!</v>
      </c>
      <c r="I1772" s="31">
        <f>'تقرير المصروفات حسب الشهر'!S774</f>
        <v>0</v>
      </c>
      <c r="J1772" s="31">
        <f>'تقرير المصروفات حسب الشهر'!S901</f>
        <v>500</v>
      </c>
      <c r="K1772" s="31">
        <f>'تقرير المصروفات حسب الشهر'!S1028</f>
        <v>500</v>
      </c>
      <c r="L1772" s="292">
        <f>IFERROR(VLOOKUP(B1772,'تقرير المصروفات حسب الشهر'!$C$1143:$AD$1254,17,FALSE),0)</f>
        <v>0</v>
      </c>
      <c r="M1772" s="292">
        <f>IFERROR(VLOOKUP(B1772,'تقرير المصروفات حسب الشهر'!$C$1270:$AD$1381,17,FALSE),0)</f>
        <v>0</v>
      </c>
      <c r="N1772" s="31" t="e">
        <f>#REF!</f>
        <v>#REF!</v>
      </c>
      <c r="O1772" s="37" t="e">
        <f t="shared" si="45"/>
        <v>#REF!</v>
      </c>
    </row>
    <row r="1773" spans="2:15" ht="17.399999999999999">
      <c r="B1773" s="42" t="s">
        <v>49</v>
      </c>
      <c r="C1773" s="39">
        <f>'تقرير المصروفات حسب الشهر'!S22</f>
        <v>0</v>
      </c>
      <c r="D1773" s="31" t="e">
        <f>#REF!</f>
        <v>#REF!</v>
      </c>
      <c r="E1773" s="31" t="e">
        <f>#REF!</f>
        <v>#REF!</v>
      </c>
      <c r="F1773" s="31" t="e">
        <f>#REF!</f>
        <v>#REF!</v>
      </c>
      <c r="G1773" s="31" t="e">
        <f>#REF!</f>
        <v>#REF!</v>
      </c>
      <c r="H1773" s="31" t="e">
        <f>#REF!</f>
        <v>#REF!</v>
      </c>
      <c r="I1773" s="31">
        <f>'تقرير المصروفات حسب الشهر'!S775</f>
        <v>0</v>
      </c>
      <c r="J1773" s="31">
        <f>'تقرير المصروفات حسب الشهر'!S902</f>
        <v>0</v>
      </c>
      <c r="K1773" s="31">
        <f>'تقرير المصروفات حسب الشهر'!S1029</f>
        <v>0</v>
      </c>
      <c r="L1773" s="292">
        <f>IFERROR(VLOOKUP(B1773,'تقرير المصروفات حسب الشهر'!$C$1143:$AD$1254,17,FALSE),0)</f>
        <v>0</v>
      </c>
      <c r="M1773" s="292">
        <f>IFERROR(VLOOKUP(B1773,'تقرير المصروفات حسب الشهر'!$C$1270:$AD$1381,17,FALSE),0)</f>
        <v>0</v>
      </c>
      <c r="N1773" s="31" t="e">
        <f>#REF!</f>
        <v>#REF!</v>
      </c>
      <c r="O1773" s="37" t="e">
        <f t="shared" si="45"/>
        <v>#REF!</v>
      </c>
    </row>
    <row r="1774" spans="2:15" ht="17.399999999999999">
      <c r="B1774" s="42" t="s">
        <v>158</v>
      </c>
      <c r="C1774" s="39">
        <f>'تقرير المصروفات حسب الشهر'!S23</f>
        <v>0</v>
      </c>
      <c r="D1774" s="31" t="e">
        <f>#REF!</f>
        <v>#REF!</v>
      </c>
      <c r="E1774" s="31" t="e">
        <f>#REF!</f>
        <v>#REF!</v>
      </c>
      <c r="F1774" s="31" t="e">
        <f>#REF!</f>
        <v>#REF!</v>
      </c>
      <c r="G1774" s="31" t="e">
        <f>#REF!</f>
        <v>#REF!</v>
      </c>
      <c r="H1774" s="31" t="e">
        <f>#REF!</f>
        <v>#REF!</v>
      </c>
      <c r="I1774" s="31">
        <f>'تقرير المصروفات حسب الشهر'!S776</f>
        <v>6000</v>
      </c>
      <c r="J1774" s="31">
        <f>'تقرير المصروفات حسب الشهر'!S903</f>
        <v>0</v>
      </c>
      <c r="K1774" s="31">
        <f>'تقرير المصروفات حسب الشهر'!S1030</f>
        <v>0</v>
      </c>
      <c r="L1774" s="292">
        <f>IFERROR(VLOOKUP(B1774,'تقرير المصروفات حسب الشهر'!$C$1143:$AD$1254,17,FALSE),0)</f>
        <v>0</v>
      </c>
      <c r="M1774" s="292">
        <f>IFERROR(VLOOKUP(B1774,'تقرير المصروفات حسب الشهر'!$C$1270:$AD$1381,17,FALSE),0)</f>
        <v>4910</v>
      </c>
      <c r="N1774" s="31" t="e">
        <f>#REF!</f>
        <v>#REF!</v>
      </c>
      <c r="O1774" s="37" t="e">
        <f t="shared" si="45"/>
        <v>#REF!</v>
      </c>
    </row>
    <row r="1775" spans="2:15" ht="17.399999999999999">
      <c r="B1775" s="42" t="s">
        <v>50</v>
      </c>
      <c r="C1775" s="39">
        <f>'تقرير المصروفات حسب الشهر'!S24</f>
        <v>750</v>
      </c>
      <c r="D1775" s="31" t="e">
        <f>#REF!</f>
        <v>#REF!</v>
      </c>
      <c r="E1775" s="31" t="e">
        <f>#REF!</f>
        <v>#REF!</v>
      </c>
      <c r="F1775" s="31" t="e">
        <f>#REF!</f>
        <v>#REF!</v>
      </c>
      <c r="G1775" s="31" t="e">
        <f>#REF!</f>
        <v>#REF!</v>
      </c>
      <c r="H1775" s="31" t="e">
        <f>#REF!</f>
        <v>#REF!</v>
      </c>
      <c r="I1775" s="31">
        <f>'تقرير المصروفات حسب الشهر'!S777</f>
        <v>0</v>
      </c>
      <c r="J1775" s="31">
        <f>'تقرير المصروفات حسب الشهر'!S904</f>
        <v>1540</v>
      </c>
      <c r="K1775" s="31">
        <f>'تقرير المصروفات حسب الشهر'!S1031</f>
        <v>0</v>
      </c>
      <c r="L1775" s="292">
        <f>IFERROR(VLOOKUP(B1775,'تقرير المصروفات حسب الشهر'!$C$1143:$AD$1254,17,FALSE),0)</f>
        <v>770</v>
      </c>
      <c r="M1775" s="292">
        <f>IFERROR(VLOOKUP(B1775,'تقرير المصروفات حسب الشهر'!$C$1270:$AD$1381,17,FALSE),0)</f>
        <v>0</v>
      </c>
      <c r="N1775" s="31" t="e">
        <f>#REF!</f>
        <v>#REF!</v>
      </c>
      <c r="O1775" s="37" t="e">
        <f t="shared" si="45"/>
        <v>#REF!</v>
      </c>
    </row>
    <row r="1776" spans="2:15" ht="17.399999999999999">
      <c r="B1776" s="42" t="s">
        <v>51</v>
      </c>
      <c r="C1776" s="39">
        <f>'تقرير المصروفات حسب الشهر'!S25</f>
        <v>2250</v>
      </c>
      <c r="D1776" s="31" t="e">
        <f>#REF!</f>
        <v>#REF!</v>
      </c>
      <c r="E1776" s="31" t="e">
        <f>#REF!</f>
        <v>#REF!</v>
      </c>
      <c r="F1776" s="31" t="e">
        <f>#REF!</f>
        <v>#REF!</v>
      </c>
      <c r="G1776" s="31" t="e">
        <f>#REF!</f>
        <v>#REF!</v>
      </c>
      <c r="H1776" s="31" t="e">
        <f>#REF!</f>
        <v>#REF!</v>
      </c>
      <c r="I1776" s="31">
        <f>'تقرير المصروفات حسب الشهر'!S778</f>
        <v>0</v>
      </c>
      <c r="J1776" s="31">
        <f>'تقرير المصروفات حسب الشهر'!S905</f>
        <v>2250</v>
      </c>
      <c r="K1776" s="31">
        <f>'تقرير المصروفات حسب الشهر'!S1032</f>
        <v>0</v>
      </c>
      <c r="L1776" s="292">
        <f>IFERROR(VLOOKUP(B1776,'تقرير المصروفات حسب الشهر'!$C$1143:$AD$1254,17,FALSE),0)</f>
        <v>2250</v>
      </c>
      <c r="M1776" s="292">
        <f>IFERROR(VLOOKUP(B1776,'تقرير المصروفات حسب الشهر'!$C$1270:$AD$1381,17,FALSE),0)</f>
        <v>0</v>
      </c>
      <c r="N1776" s="31" t="e">
        <f>#REF!</f>
        <v>#REF!</v>
      </c>
      <c r="O1776" s="37" t="e">
        <f t="shared" si="45"/>
        <v>#REF!</v>
      </c>
    </row>
    <row r="1777" spans="2:15" ht="17.399999999999999">
      <c r="B1777" s="42" t="s">
        <v>52</v>
      </c>
      <c r="C1777" s="39">
        <f>'تقرير المصروفات حسب الشهر'!S26</f>
        <v>0</v>
      </c>
      <c r="D1777" s="31" t="e">
        <f>#REF!</f>
        <v>#REF!</v>
      </c>
      <c r="E1777" s="31" t="e">
        <f>#REF!</f>
        <v>#REF!</v>
      </c>
      <c r="F1777" s="31" t="e">
        <f>#REF!</f>
        <v>#REF!</v>
      </c>
      <c r="G1777" s="31" t="e">
        <f>#REF!</f>
        <v>#REF!</v>
      </c>
      <c r="H1777" s="31" t="e">
        <f>#REF!</f>
        <v>#REF!</v>
      </c>
      <c r="I1777" s="31">
        <f>'تقرير المصروفات حسب الشهر'!S779</f>
        <v>0</v>
      </c>
      <c r="J1777" s="31">
        <f>'تقرير المصروفات حسب الشهر'!S906</f>
        <v>0</v>
      </c>
      <c r="K1777" s="31">
        <f>'تقرير المصروفات حسب الشهر'!S1033</f>
        <v>0</v>
      </c>
      <c r="L1777" s="292">
        <f>IFERROR(VLOOKUP(B1777,'تقرير المصروفات حسب الشهر'!$C$1143:$AD$1254,17,FALSE),0)</f>
        <v>0</v>
      </c>
      <c r="M1777" s="292">
        <f>IFERROR(VLOOKUP(B1777,'تقرير المصروفات حسب الشهر'!$C$1270:$AD$1381,17,FALSE),0)</f>
        <v>0</v>
      </c>
      <c r="N1777" s="31" t="e">
        <f>#REF!</f>
        <v>#REF!</v>
      </c>
      <c r="O1777" s="37" t="e">
        <f t="shared" si="45"/>
        <v>#REF!</v>
      </c>
    </row>
    <row r="1778" spans="2:15" ht="17.399999999999999">
      <c r="B1778" s="42" t="s">
        <v>174</v>
      </c>
      <c r="C1778" s="39">
        <f>'تقرير المصروفات حسب الشهر'!S27</f>
        <v>4422.5</v>
      </c>
      <c r="D1778" s="31" t="e">
        <f>#REF!</f>
        <v>#REF!</v>
      </c>
      <c r="E1778" s="31" t="e">
        <f>#REF!</f>
        <v>#REF!</v>
      </c>
      <c r="F1778" s="31" t="e">
        <f>#REF!</f>
        <v>#REF!</v>
      </c>
      <c r="G1778" s="31" t="e">
        <f>#REF!</f>
        <v>#REF!</v>
      </c>
      <c r="H1778" s="31" t="e">
        <f>#REF!</f>
        <v>#REF!</v>
      </c>
      <c r="I1778" s="31">
        <f>'تقرير المصروفات حسب الشهر'!S780</f>
        <v>2478</v>
      </c>
      <c r="J1778" s="31">
        <f>'تقرير المصروفات حسب الشهر'!S907</f>
        <v>2070</v>
      </c>
      <c r="K1778" s="31">
        <f>'تقرير المصروفات حسب الشهر'!S1034</f>
        <v>1866</v>
      </c>
      <c r="L1778" s="292">
        <f>IFERROR(VLOOKUP(B1778,'تقرير المصروفات حسب الشهر'!$C$1143:$AD$1254,17,FALSE),0)</f>
        <v>1382</v>
      </c>
      <c r="M1778" s="292">
        <f>IFERROR(VLOOKUP(B1778,'تقرير المصروفات حسب الشهر'!$C$1270:$AD$1381,17,FALSE),0)</f>
        <v>2906</v>
      </c>
      <c r="N1778" s="31" t="e">
        <f>#REF!</f>
        <v>#REF!</v>
      </c>
      <c r="O1778" s="37" t="e">
        <f t="shared" si="45"/>
        <v>#REF!</v>
      </c>
    </row>
    <row r="1779" spans="2:15" ht="17.399999999999999">
      <c r="B1779" s="42" t="s">
        <v>53</v>
      </c>
      <c r="C1779" s="39">
        <f>'تقرير المصروفات حسب الشهر'!S28</f>
        <v>1100</v>
      </c>
      <c r="D1779" s="31" t="e">
        <f>#REF!</f>
        <v>#REF!</v>
      </c>
      <c r="E1779" s="31" t="e">
        <f>#REF!</f>
        <v>#REF!</v>
      </c>
      <c r="F1779" s="31" t="e">
        <f>#REF!</f>
        <v>#REF!</v>
      </c>
      <c r="G1779" s="31" t="e">
        <f>#REF!</f>
        <v>#REF!</v>
      </c>
      <c r="H1779" s="31" t="e">
        <f>#REF!</f>
        <v>#REF!</v>
      </c>
      <c r="I1779" s="31">
        <f>'تقرير المصروفات حسب الشهر'!S781</f>
        <v>1506</v>
      </c>
      <c r="J1779" s="31">
        <f>'تقرير المصروفات حسب الشهر'!S908</f>
        <v>2341</v>
      </c>
      <c r="K1779" s="31">
        <f>'تقرير المصروفات حسب الشهر'!S1035</f>
        <v>741.4</v>
      </c>
      <c r="L1779" s="292">
        <f>IFERROR(VLOOKUP(B1779,'تقرير المصروفات حسب الشهر'!$C$1143:$AD$1254,17,FALSE),0)</f>
        <v>10425</v>
      </c>
      <c r="M1779" s="292">
        <f>IFERROR(VLOOKUP(B1779,'تقرير المصروفات حسب الشهر'!$C$1270:$AD$1381,17,FALSE),0)</f>
        <v>8619.7999999999993</v>
      </c>
      <c r="N1779" s="31" t="e">
        <f>#REF!</f>
        <v>#REF!</v>
      </c>
      <c r="O1779" s="37" t="e">
        <f t="shared" si="45"/>
        <v>#REF!</v>
      </c>
    </row>
    <row r="1780" spans="2:15" ht="17.399999999999999">
      <c r="B1780" s="42" t="s">
        <v>191</v>
      </c>
      <c r="C1780" s="39">
        <f>'تقرير المصروفات حسب الشهر'!S29</f>
        <v>0</v>
      </c>
      <c r="D1780" s="31" t="e">
        <f>#REF!</f>
        <v>#REF!</v>
      </c>
      <c r="E1780" s="31" t="e">
        <f>#REF!</f>
        <v>#REF!</v>
      </c>
      <c r="F1780" s="31" t="e">
        <f>#REF!</f>
        <v>#REF!</v>
      </c>
      <c r="G1780" s="31" t="e">
        <f>#REF!</f>
        <v>#REF!</v>
      </c>
      <c r="H1780" s="31" t="e">
        <f>#REF!</f>
        <v>#REF!</v>
      </c>
      <c r="I1780" s="31">
        <f>'تقرير المصروفات حسب الشهر'!S782</f>
        <v>0</v>
      </c>
      <c r="J1780" s="31">
        <f>'تقرير المصروفات حسب الشهر'!S909</f>
        <v>0</v>
      </c>
      <c r="K1780" s="31">
        <f>'تقرير المصروفات حسب الشهر'!S1036</f>
        <v>0</v>
      </c>
      <c r="L1780" s="292">
        <f>IFERROR(VLOOKUP(B1780,'تقرير المصروفات حسب الشهر'!$C$1143:$AD$1254,17,FALSE),0)</f>
        <v>0</v>
      </c>
      <c r="M1780" s="292">
        <f>IFERROR(VLOOKUP(B1780,'تقرير المصروفات حسب الشهر'!$C$1270:$AD$1381,17,FALSE),0)</f>
        <v>0</v>
      </c>
      <c r="N1780" s="31" t="e">
        <f>#REF!</f>
        <v>#REF!</v>
      </c>
      <c r="O1780" s="37" t="e">
        <f t="shared" si="45"/>
        <v>#REF!</v>
      </c>
    </row>
    <row r="1781" spans="2:15" ht="17.399999999999999">
      <c r="B1781" s="42" t="s">
        <v>29</v>
      </c>
      <c r="C1781" s="39">
        <f>'تقرير المصروفات حسب الشهر'!S30</f>
        <v>0</v>
      </c>
      <c r="D1781" s="31" t="e">
        <f>#REF!</f>
        <v>#REF!</v>
      </c>
      <c r="E1781" s="31" t="e">
        <f>#REF!</f>
        <v>#REF!</v>
      </c>
      <c r="F1781" s="31" t="e">
        <f>#REF!</f>
        <v>#REF!</v>
      </c>
      <c r="G1781" s="31" t="e">
        <f>#REF!</f>
        <v>#REF!</v>
      </c>
      <c r="H1781" s="31" t="e">
        <f>#REF!</f>
        <v>#REF!</v>
      </c>
      <c r="I1781" s="31">
        <f>'تقرير المصروفات حسب الشهر'!S783</f>
        <v>0</v>
      </c>
      <c r="J1781" s="31">
        <f>'تقرير المصروفات حسب الشهر'!S910</f>
        <v>0</v>
      </c>
      <c r="K1781" s="31">
        <f>'تقرير المصروفات حسب الشهر'!S1037</f>
        <v>0</v>
      </c>
      <c r="L1781" s="292">
        <f>IFERROR(VLOOKUP(B1781,'تقرير المصروفات حسب الشهر'!$C$1143:$AD$1254,17,FALSE),0)</f>
        <v>0</v>
      </c>
      <c r="M1781" s="292">
        <f>IFERROR(VLOOKUP(B1781,'تقرير المصروفات حسب الشهر'!$C$1270:$AD$1381,17,FALSE),0)</f>
        <v>100</v>
      </c>
      <c r="N1781" s="31" t="e">
        <f>#REF!</f>
        <v>#REF!</v>
      </c>
      <c r="O1781" s="37" t="e">
        <f t="shared" si="45"/>
        <v>#REF!</v>
      </c>
    </row>
    <row r="1782" spans="2:15" ht="17.399999999999999">
      <c r="B1782" s="42" t="s">
        <v>54</v>
      </c>
      <c r="C1782" s="39">
        <f>'تقرير المصروفات حسب الشهر'!S31</f>
        <v>0</v>
      </c>
      <c r="D1782" s="31" t="e">
        <f>#REF!</f>
        <v>#REF!</v>
      </c>
      <c r="E1782" s="31" t="e">
        <f>#REF!</f>
        <v>#REF!</v>
      </c>
      <c r="F1782" s="31" t="e">
        <f>#REF!</f>
        <v>#REF!</v>
      </c>
      <c r="G1782" s="31" t="e">
        <f>#REF!</f>
        <v>#REF!</v>
      </c>
      <c r="H1782" s="31" t="e">
        <f>#REF!</f>
        <v>#REF!</v>
      </c>
      <c r="I1782" s="31">
        <f>'تقرير المصروفات حسب الشهر'!S784</f>
        <v>0</v>
      </c>
      <c r="J1782" s="31">
        <f>'تقرير المصروفات حسب الشهر'!S911</f>
        <v>0</v>
      </c>
      <c r="K1782" s="31">
        <f>'تقرير المصروفات حسب الشهر'!S1038</f>
        <v>0</v>
      </c>
      <c r="L1782" s="292">
        <f>IFERROR(VLOOKUP(B1782,'تقرير المصروفات حسب الشهر'!$C$1143:$AD$1254,17,FALSE),0)</f>
        <v>0</v>
      </c>
      <c r="M1782" s="292">
        <f>IFERROR(VLOOKUP(B1782,'تقرير المصروفات حسب الشهر'!$C$1270:$AD$1381,17,FALSE),0)</f>
        <v>0</v>
      </c>
      <c r="N1782" s="31" t="e">
        <f>#REF!</f>
        <v>#REF!</v>
      </c>
      <c r="O1782" s="37" t="e">
        <f t="shared" si="45"/>
        <v>#REF!</v>
      </c>
    </row>
    <row r="1783" spans="2:15" ht="17.399999999999999">
      <c r="B1783" s="42" t="s">
        <v>31</v>
      </c>
      <c r="C1783" s="39">
        <f>'تقرير المصروفات حسب الشهر'!S32</f>
        <v>150</v>
      </c>
      <c r="D1783" s="31" t="e">
        <f>#REF!</f>
        <v>#REF!</v>
      </c>
      <c r="E1783" s="31" t="e">
        <f>#REF!</f>
        <v>#REF!</v>
      </c>
      <c r="F1783" s="31" t="e">
        <f>#REF!</f>
        <v>#REF!</v>
      </c>
      <c r="G1783" s="31" t="e">
        <f>#REF!</f>
        <v>#REF!</v>
      </c>
      <c r="H1783" s="31" t="e">
        <f>#REF!</f>
        <v>#REF!</v>
      </c>
      <c r="I1783" s="31">
        <f>'تقرير المصروفات حسب الشهر'!S785</f>
        <v>230</v>
      </c>
      <c r="J1783" s="31">
        <f>'تقرير المصروفات حسب الشهر'!S912</f>
        <v>225</v>
      </c>
      <c r="K1783" s="31">
        <f>'تقرير المصروفات حسب الشهر'!S1039</f>
        <v>0</v>
      </c>
      <c r="L1783" s="292">
        <f>IFERROR(VLOOKUP(B1783,'تقرير المصروفات حسب الشهر'!$C$1143:$AD$1254,17,FALSE),0)</f>
        <v>135</v>
      </c>
      <c r="M1783" s="292">
        <f>IFERROR(VLOOKUP(B1783,'تقرير المصروفات حسب الشهر'!$C$1270:$AD$1381,17,FALSE),0)</f>
        <v>118</v>
      </c>
      <c r="N1783" s="31" t="e">
        <f>#REF!</f>
        <v>#REF!</v>
      </c>
      <c r="O1783" s="37" t="e">
        <f t="shared" si="45"/>
        <v>#REF!</v>
      </c>
    </row>
    <row r="1784" spans="2:15" ht="17.399999999999999">
      <c r="B1784" s="42" t="s">
        <v>55</v>
      </c>
      <c r="C1784" s="39">
        <f>'تقرير المصروفات حسب الشهر'!S33</f>
        <v>0</v>
      </c>
      <c r="D1784" s="31" t="e">
        <f>#REF!</f>
        <v>#REF!</v>
      </c>
      <c r="E1784" s="31" t="e">
        <f>#REF!</f>
        <v>#REF!</v>
      </c>
      <c r="F1784" s="31" t="e">
        <f>#REF!</f>
        <v>#REF!</v>
      </c>
      <c r="G1784" s="31" t="e">
        <f>#REF!</f>
        <v>#REF!</v>
      </c>
      <c r="H1784" s="31" t="e">
        <f>#REF!</f>
        <v>#REF!</v>
      </c>
      <c r="I1784" s="31">
        <f>'تقرير المصروفات حسب الشهر'!S786</f>
        <v>0</v>
      </c>
      <c r="J1784" s="31">
        <f>'تقرير المصروفات حسب الشهر'!S913</f>
        <v>0</v>
      </c>
      <c r="K1784" s="31">
        <f>'تقرير المصروفات حسب الشهر'!S1040</f>
        <v>0</v>
      </c>
      <c r="L1784" s="292">
        <f>IFERROR(VLOOKUP(B1784,'تقرير المصروفات حسب الشهر'!$C$1143:$AD$1254,17,FALSE),0)</f>
        <v>0</v>
      </c>
      <c r="M1784" s="292">
        <f>IFERROR(VLOOKUP(B1784,'تقرير المصروفات حسب الشهر'!$C$1270:$AD$1381,17,FALSE),0)</f>
        <v>0</v>
      </c>
      <c r="N1784" s="31" t="e">
        <f>#REF!</f>
        <v>#REF!</v>
      </c>
      <c r="O1784" s="37" t="e">
        <f t="shared" si="45"/>
        <v>#REF!</v>
      </c>
    </row>
    <row r="1785" spans="2:15" ht="17.399999999999999">
      <c r="B1785" s="42" t="s">
        <v>56</v>
      </c>
      <c r="C1785" s="39">
        <f>'تقرير المصروفات حسب الشهر'!S34</f>
        <v>0</v>
      </c>
      <c r="D1785" s="31" t="e">
        <f>#REF!</f>
        <v>#REF!</v>
      </c>
      <c r="E1785" s="31" t="e">
        <f>#REF!</f>
        <v>#REF!</v>
      </c>
      <c r="F1785" s="31" t="e">
        <f>#REF!</f>
        <v>#REF!</v>
      </c>
      <c r="G1785" s="31" t="e">
        <f>#REF!</f>
        <v>#REF!</v>
      </c>
      <c r="H1785" s="31" t="e">
        <f>#REF!</f>
        <v>#REF!</v>
      </c>
      <c r="I1785" s="31">
        <f>'تقرير المصروفات حسب الشهر'!S787</f>
        <v>0</v>
      </c>
      <c r="J1785" s="31">
        <f>'تقرير المصروفات حسب الشهر'!S914</f>
        <v>0</v>
      </c>
      <c r="K1785" s="31">
        <f>'تقرير المصروفات حسب الشهر'!S1041</f>
        <v>0</v>
      </c>
      <c r="L1785" s="292">
        <f>IFERROR(VLOOKUP(B1785,'تقرير المصروفات حسب الشهر'!$C$1143:$AD$1254,17,FALSE),0)</f>
        <v>0</v>
      </c>
      <c r="M1785" s="292">
        <f>IFERROR(VLOOKUP(B1785,'تقرير المصروفات حسب الشهر'!$C$1270:$AD$1381,17,FALSE),0)</f>
        <v>0</v>
      </c>
      <c r="N1785" s="31" t="e">
        <f>#REF!</f>
        <v>#REF!</v>
      </c>
      <c r="O1785" s="37" t="e">
        <f t="shared" si="45"/>
        <v>#REF!</v>
      </c>
    </row>
    <row r="1786" spans="2:15" ht="17.399999999999999">
      <c r="B1786" s="42" t="s">
        <v>57</v>
      </c>
      <c r="C1786" s="39">
        <f>'تقرير المصروفات حسب الشهر'!S35</f>
        <v>3375</v>
      </c>
      <c r="D1786" s="31" t="e">
        <f>#REF!</f>
        <v>#REF!</v>
      </c>
      <c r="E1786" s="31" t="e">
        <f>#REF!</f>
        <v>#REF!</v>
      </c>
      <c r="F1786" s="31" t="e">
        <f>#REF!</f>
        <v>#REF!</v>
      </c>
      <c r="G1786" s="31" t="e">
        <f>#REF!</f>
        <v>#REF!</v>
      </c>
      <c r="H1786" s="31" t="e">
        <f>#REF!</f>
        <v>#REF!</v>
      </c>
      <c r="I1786" s="31">
        <f>'تقرير المصروفات حسب الشهر'!S788</f>
        <v>150</v>
      </c>
      <c r="J1786" s="31">
        <f>'تقرير المصروفات حسب الشهر'!S915</f>
        <v>150</v>
      </c>
      <c r="K1786" s="31">
        <f>'تقرير المصروفات حسب الشهر'!S1042</f>
        <v>0</v>
      </c>
      <c r="L1786" s="292">
        <f>IFERROR(VLOOKUP(B1786,'تقرير المصروفات حسب الشهر'!$C$1143:$AD$1254,17,FALSE),0)</f>
        <v>2250</v>
      </c>
      <c r="M1786" s="292">
        <f>IFERROR(VLOOKUP(B1786,'تقرير المصروفات حسب الشهر'!$C$1270:$AD$1381,17,FALSE),0)</f>
        <v>150</v>
      </c>
      <c r="N1786" s="31" t="e">
        <f>#REF!</f>
        <v>#REF!</v>
      </c>
      <c r="O1786" s="37" t="e">
        <f t="shared" si="45"/>
        <v>#REF!</v>
      </c>
    </row>
    <row r="1787" spans="2:15" ht="17.399999999999999">
      <c r="B1787" s="42" t="s">
        <v>58</v>
      </c>
      <c r="C1787" s="39">
        <f>'تقرير المصروفات حسب الشهر'!S36</f>
        <v>22345</v>
      </c>
      <c r="D1787" s="31" t="e">
        <f>#REF!</f>
        <v>#REF!</v>
      </c>
      <c r="E1787" s="31" t="e">
        <f>#REF!</f>
        <v>#REF!</v>
      </c>
      <c r="F1787" s="31" t="e">
        <f>#REF!</f>
        <v>#REF!</v>
      </c>
      <c r="G1787" s="31" t="e">
        <f>#REF!</f>
        <v>#REF!</v>
      </c>
      <c r="H1787" s="31" t="e">
        <f>#REF!</f>
        <v>#REF!</v>
      </c>
      <c r="I1787" s="31">
        <f>'تقرير المصروفات حسب الشهر'!S789</f>
        <v>0</v>
      </c>
      <c r="J1787" s="31">
        <f>'تقرير المصروفات حسب الشهر'!S916</f>
        <v>0</v>
      </c>
      <c r="K1787" s="31">
        <f>'تقرير المصروفات حسب الشهر'!S1043</f>
        <v>730</v>
      </c>
      <c r="L1787" s="292">
        <f>IFERROR(VLOOKUP(B1787,'تقرير المصروفات حسب الشهر'!$C$1143:$AD$1254,17,FALSE),0)</f>
        <v>0</v>
      </c>
      <c r="M1787" s="292">
        <f>IFERROR(VLOOKUP(B1787,'تقرير المصروفات حسب الشهر'!$C$1270:$AD$1381,17,FALSE),0)</f>
        <v>0</v>
      </c>
      <c r="N1787" s="31" t="e">
        <f>#REF!</f>
        <v>#REF!</v>
      </c>
      <c r="O1787" s="37" t="e">
        <f t="shared" si="45"/>
        <v>#REF!</v>
      </c>
    </row>
    <row r="1788" spans="2:15" ht="17.399999999999999">
      <c r="B1788" s="42" t="s">
        <v>59</v>
      </c>
      <c r="C1788" s="39">
        <f>'تقرير المصروفات حسب الشهر'!S37</f>
        <v>235</v>
      </c>
      <c r="D1788" s="31" t="e">
        <f>#REF!</f>
        <v>#REF!</v>
      </c>
      <c r="E1788" s="31" t="e">
        <f>#REF!</f>
        <v>#REF!</v>
      </c>
      <c r="F1788" s="31" t="e">
        <f>#REF!</f>
        <v>#REF!</v>
      </c>
      <c r="G1788" s="31" t="e">
        <f>#REF!</f>
        <v>#REF!</v>
      </c>
      <c r="H1788" s="31" t="e">
        <f>#REF!</f>
        <v>#REF!</v>
      </c>
      <c r="I1788" s="31">
        <f>'تقرير المصروفات حسب الشهر'!S790</f>
        <v>0</v>
      </c>
      <c r="J1788" s="31">
        <f>'تقرير المصروفات حسب الشهر'!S917</f>
        <v>0</v>
      </c>
      <c r="K1788" s="31">
        <f>'تقرير المصروفات حسب الشهر'!S1044</f>
        <v>130</v>
      </c>
      <c r="L1788" s="292">
        <f>IFERROR(VLOOKUP(B1788,'تقرير المصروفات حسب الشهر'!$C$1143:$AD$1254,17,FALSE),0)</f>
        <v>0</v>
      </c>
      <c r="M1788" s="292">
        <f>IFERROR(VLOOKUP(B1788,'تقرير المصروفات حسب الشهر'!$C$1270:$AD$1381,17,FALSE),0)</f>
        <v>0</v>
      </c>
      <c r="N1788" s="31" t="e">
        <f>#REF!</f>
        <v>#REF!</v>
      </c>
      <c r="O1788" s="37" t="e">
        <f t="shared" si="45"/>
        <v>#REF!</v>
      </c>
    </row>
    <row r="1789" spans="2:15" ht="17.399999999999999">
      <c r="B1789" s="42" t="s">
        <v>60</v>
      </c>
      <c r="C1789" s="39">
        <f>'تقرير المصروفات حسب الشهر'!S38</f>
        <v>0</v>
      </c>
      <c r="D1789" s="31" t="e">
        <f>#REF!</f>
        <v>#REF!</v>
      </c>
      <c r="E1789" s="31" t="e">
        <f>#REF!</f>
        <v>#REF!</v>
      </c>
      <c r="F1789" s="31" t="e">
        <f>#REF!</f>
        <v>#REF!</v>
      </c>
      <c r="G1789" s="31" t="e">
        <f>#REF!</f>
        <v>#REF!</v>
      </c>
      <c r="H1789" s="31" t="e">
        <f>#REF!</f>
        <v>#REF!</v>
      </c>
      <c r="I1789" s="31">
        <f>'تقرير المصروفات حسب الشهر'!S791</f>
        <v>0</v>
      </c>
      <c r="J1789" s="31">
        <f>'تقرير المصروفات حسب الشهر'!S918</f>
        <v>0</v>
      </c>
      <c r="K1789" s="31">
        <f>'تقرير المصروفات حسب الشهر'!S1045</f>
        <v>0</v>
      </c>
      <c r="L1789" s="292">
        <f>IFERROR(VLOOKUP(B1789,'تقرير المصروفات حسب الشهر'!$C$1143:$AD$1254,17,FALSE),0)</f>
        <v>0</v>
      </c>
      <c r="M1789" s="292">
        <f>IFERROR(VLOOKUP(B1789,'تقرير المصروفات حسب الشهر'!$C$1270:$AD$1381,17,FALSE),0)</f>
        <v>0</v>
      </c>
      <c r="N1789" s="31" t="e">
        <f>#REF!</f>
        <v>#REF!</v>
      </c>
      <c r="O1789" s="37" t="e">
        <f t="shared" si="45"/>
        <v>#REF!</v>
      </c>
    </row>
    <row r="1790" spans="2:15" ht="17.399999999999999">
      <c r="B1790" s="42" t="s">
        <v>61</v>
      </c>
      <c r="C1790" s="39">
        <f>'تقرير المصروفات حسب الشهر'!S39</f>
        <v>300</v>
      </c>
      <c r="D1790" s="31" t="e">
        <f>#REF!</f>
        <v>#REF!</v>
      </c>
      <c r="E1790" s="31" t="e">
        <f>#REF!</f>
        <v>#REF!</v>
      </c>
      <c r="F1790" s="31" t="e">
        <f>#REF!</f>
        <v>#REF!</v>
      </c>
      <c r="G1790" s="31" t="e">
        <f>#REF!</f>
        <v>#REF!</v>
      </c>
      <c r="H1790" s="31" t="e">
        <f>#REF!</f>
        <v>#REF!</v>
      </c>
      <c r="I1790" s="31">
        <f>'تقرير المصروفات حسب الشهر'!S792</f>
        <v>450</v>
      </c>
      <c r="J1790" s="31">
        <f>'تقرير المصروفات حسب الشهر'!S919</f>
        <v>760</v>
      </c>
      <c r="K1790" s="31">
        <f>'تقرير المصروفات حسب الشهر'!S1046</f>
        <v>760</v>
      </c>
      <c r="L1790" s="292">
        <f>IFERROR(VLOOKUP(B1790,'تقرير المصروفات حسب الشهر'!$C$1143:$AD$1254,17,FALSE),0)</f>
        <v>0</v>
      </c>
      <c r="M1790" s="292">
        <f>IFERROR(VLOOKUP(B1790,'تقرير المصروفات حسب الشهر'!$C$1270:$AD$1381,17,FALSE),0)</f>
        <v>0</v>
      </c>
      <c r="N1790" s="31" t="e">
        <f>#REF!</f>
        <v>#REF!</v>
      </c>
      <c r="O1790" s="37" t="e">
        <f t="shared" si="45"/>
        <v>#REF!</v>
      </c>
    </row>
    <row r="1791" spans="2:15" ht="17.399999999999999">
      <c r="B1791" s="42" t="s">
        <v>62</v>
      </c>
      <c r="C1791" s="39">
        <f>'تقرير المصروفات حسب الشهر'!S40</f>
        <v>160</v>
      </c>
      <c r="D1791" s="31" t="e">
        <f>#REF!</f>
        <v>#REF!</v>
      </c>
      <c r="E1791" s="31" t="e">
        <f>#REF!</f>
        <v>#REF!</v>
      </c>
      <c r="F1791" s="31" t="e">
        <f>#REF!</f>
        <v>#REF!</v>
      </c>
      <c r="G1791" s="31" t="e">
        <f>#REF!</f>
        <v>#REF!</v>
      </c>
      <c r="H1791" s="31" t="e">
        <f>#REF!</f>
        <v>#REF!</v>
      </c>
      <c r="I1791" s="31">
        <f>'تقرير المصروفات حسب الشهر'!S793</f>
        <v>280</v>
      </c>
      <c r="J1791" s="31">
        <f>'تقرير المصروفات حسب الشهر'!S920</f>
        <v>0</v>
      </c>
      <c r="K1791" s="31">
        <f>'تقرير المصروفات حسب الشهر'!S1047</f>
        <v>280</v>
      </c>
      <c r="L1791" s="292">
        <f>IFERROR(VLOOKUP(B1791,'تقرير المصروفات حسب الشهر'!$C$1143:$AD$1254,17,FALSE),0)</f>
        <v>0</v>
      </c>
      <c r="M1791" s="292">
        <f>IFERROR(VLOOKUP(B1791,'تقرير المصروفات حسب الشهر'!$C$1270:$AD$1381,17,FALSE),0)</f>
        <v>0</v>
      </c>
      <c r="N1791" s="31" t="e">
        <f>#REF!</f>
        <v>#REF!</v>
      </c>
      <c r="O1791" s="37" t="e">
        <f t="shared" si="45"/>
        <v>#REF!</v>
      </c>
    </row>
    <row r="1792" spans="2:15" ht="17.399999999999999">
      <c r="B1792" s="42" t="s">
        <v>63</v>
      </c>
      <c r="C1792" s="39">
        <f>'تقرير المصروفات حسب الشهر'!S41</f>
        <v>0</v>
      </c>
      <c r="D1792" s="31" t="e">
        <f>#REF!</f>
        <v>#REF!</v>
      </c>
      <c r="E1792" s="31" t="e">
        <f>#REF!</f>
        <v>#REF!</v>
      </c>
      <c r="F1792" s="31" t="e">
        <f>#REF!</f>
        <v>#REF!</v>
      </c>
      <c r="G1792" s="31" t="e">
        <f>#REF!</f>
        <v>#REF!</v>
      </c>
      <c r="H1792" s="31" t="e">
        <f>#REF!</f>
        <v>#REF!</v>
      </c>
      <c r="I1792" s="31">
        <f>'تقرير المصروفات حسب الشهر'!S794</f>
        <v>0</v>
      </c>
      <c r="J1792" s="31">
        <f>'تقرير المصروفات حسب الشهر'!S921</f>
        <v>0</v>
      </c>
      <c r="K1792" s="31">
        <f>'تقرير المصروفات حسب الشهر'!S1048</f>
        <v>0</v>
      </c>
      <c r="L1792" s="292">
        <f>IFERROR(VLOOKUP(B1792,'تقرير المصروفات حسب الشهر'!$C$1143:$AD$1254,17,FALSE),0)</f>
        <v>0</v>
      </c>
      <c r="M1792" s="292">
        <f>IFERROR(VLOOKUP(B1792,'تقرير المصروفات حسب الشهر'!$C$1270:$AD$1381,17,FALSE),0)</f>
        <v>0</v>
      </c>
      <c r="N1792" s="31" t="e">
        <f>#REF!</f>
        <v>#REF!</v>
      </c>
      <c r="O1792" s="37" t="e">
        <f t="shared" si="45"/>
        <v>#REF!</v>
      </c>
    </row>
    <row r="1793" spans="2:15" ht="17.399999999999999">
      <c r="B1793" s="42" t="s">
        <v>64</v>
      </c>
      <c r="C1793" s="39">
        <f>'تقرير المصروفات حسب الشهر'!S42</f>
        <v>4400</v>
      </c>
      <c r="D1793" s="31" t="e">
        <f>#REF!</f>
        <v>#REF!</v>
      </c>
      <c r="E1793" s="31" t="e">
        <f>#REF!</f>
        <v>#REF!</v>
      </c>
      <c r="F1793" s="31" t="e">
        <f>#REF!</f>
        <v>#REF!</v>
      </c>
      <c r="G1793" s="31" t="e">
        <f>#REF!</f>
        <v>#REF!</v>
      </c>
      <c r="H1793" s="31" t="e">
        <f>#REF!</f>
        <v>#REF!</v>
      </c>
      <c r="I1793" s="31">
        <f>'تقرير المصروفات حسب الشهر'!S795</f>
        <v>0</v>
      </c>
      <c r="J1793" s="31">
        <f>'تقرير المصروفات حسب الشهر'!S922</f>
        <v>0</v>
      </c>
      <c r="K1793" s="31">
        <f>'تقرير المصروفات حسب الشهر'!S1049</f>
        <v>8300</v>
      </c>
      <c r="L1793" s="292">
        <f>IFERROR(VLOOKUP(B1793,'تقرير المصروفات حسب الشهر'!$C$1143:$AD$1254,17,FALSE),0)</f>
        <v>10650</v>
      </c>
      <c r="M1793" s="292">
        <f>IFERROR(VLOOKUP(B1793,'تقرير المصروفات حسب الشهر'!$C$1270:$AD$1381,17,FALSE),0)</f>
        <v>0</v>
      </c>
      <c r="N1793" s="31" t="e">
        <f>#REF!</f>
        <v>#REF!</v>
      </c>
      <c r="O1793" s="37" t="e">
        <f t="shared" si="45"/>
        <v>#REF!</v>
      </c>
    </row>
    <row r="1794" spans="2:15" ht="17.399999999999999">
      <c r="B1794" s="42" t="s">
        <v>28</v>
      </c>
      <c r="C1794" s="39">
        <f>'تقرير المصروفات حسب الشهر'!S43</f>
        <v>0</v>
      </c>
      <c r="D1794" s="31" t="e">
        <f>#REF!</f>
        <v>#REF!</v>
      </c>
      <c r="E1794" s="31" t="e">
        <f>#REF!</f>
        <v>#REF!</v>
      </c>
      <c r="F1794" s="31" t="e">
        <f>#REF!</f>
        <v>#REF!</v>
      </c>
      <c r="G1794" s="31" t="e">
        <f>#REF!</f>
        <v>#REF!</v>
      </c>
      <c r="H1794" s="31" t="e">
        <f>#REF!</f>
        <v>#REF!</v>
      </c>
      <c r="I1794" s="31">
        <f>'تقرير المصروفات حسب الشهر'!S796</f>
        <v>0</v>
      </c>
      <c r="J1794" s="31">
        <f>'تقرير المصروفات حسب الشهر'!S923</f>
        <v>0</v>
      </c>
      <c r="K1794" s="31">
        <f>'تقرير المصروفات حسب الشهر'!S1050</f>
        <v>0</v>
      </c>
      <c r="L1794" s="292">
        <f>IFERROR(VLOOKUP(B1794,'تقرير المصروفات حسب الشهر'!$C$1143:$AD$1254,17,FALSE),0)</f>
        <v>0</v>
      </c>
      <c r="M1794" s="292">
        <f>IFERROR(VLOOKUP(B1794,'تقرير المصروفات حسب الشهر'!$C$1270:$AD$1381,17,FALSE),0)</f>
        <v>0</v>
      </c>
      <c r="N1794" s="31" t="e">
        <f>#REF!</f>
        <v>#REF!</v>
      </c>
      <c r="O1794" s="37" t="e">
        <f t="shared" si="45"/>
        <v>#REF!</v>
      </c>
    </row>
    <row r="1795" spans="2:15" ht="17.399999999999999">
      <c r="B1795" s="42" t="s">
        <v>157</v>
      </c>
      <c r="C1795" s="39">
        <f>'تقرير المصروفات حسب الشهر'!S44</f>
        <v>0</v>
      </c>
      <c r="D1795" s="31" t="e">
        <f>#REF!</f>
        <v>#REF!</v>
      </c>
      <c r="E1795" s="31" t="e">
        <f>#REF!</f>
        <v>#REF!</v>
      </c>
      <c r="F1795" s="31" t="e">
        <f>#REF!</f>
        <v>#REF!</v>
      </c>
      <c r="G1795" s="31" t="e">
        <f>#REF!</f>
        <v>#REF!</v>
      </c>
      <c r="H1795" s="31" t="e">
        <f>#REF!</f>
        <v>#REF!</v>
      </c>
      <c r="I1795" s="31">
        <f>'تقرير المصروفات حسب الشهر'!S797</f>
        <v>0</v>
      </c>
      <c r="J1795" s="31">
        <f>'تقرير المصروفات حسب الشهر'!S924</f>
        <v>0</v>
      </c>
      <c r="K1795" s="31">
        <f>'تقرير المصروفات حسب الشهر'!S1051</f>
        <v>0</v>
      </c>
      <c r="L1795" s="292">
        <f>IFERROR(VLOOKUP(B1795,'تقرير المصروفات حسب الشهر'!$C$1143:$AD$1254,17,FALSE),0)</f>
        <v>0</v>
      </c>
      <c r="M1795" s="292">
        <f>IFERROR(VLOOKUP(B1795,'تقرير المصروفات حسب الشهر'!$C$1270:$AD$1381,17,FALSE),0)</f>
        <v>0</v>
      </c>
      <c r="N1795" s="31" t="e">
        <f>#REF!</f>
        <v>#REF!</v>
      </c>
      <c r="O1795" s="37" t="e">
        <f t="shared" si="45"/>
        <v>#REF!</v>
      </c>
    </row>
    <row r="1796" spans="2:15" ht="17.399999999999999">
      <c r="B1796" s="42" t="s">
        <v>65</v>
      </c>
      <c r="C1796" s="39">
        <f>'تقرير المصروفات حسب الشهر'!S45</f>
        <v>0</v>
      </c>
      <c r="D1796" s="31" t="e">
        <f>#REF!</f>
        <v>#REF!</v>
      </c>
      <c r="E1796" s="31" t="e">
        <f>#REF!</f>
        <v>#REF!</v>
      </c>
      <c r="F1796" s="31" t="e">
        <f>#REF!</f>
        <v>#REF!</v>
      </c>
      <c r="G1796" s="31" t="e">
        <f>#REF!</f>
        <v>#REF!</v>
      </c>
      <c r="H1796" s="31" t="e">
        <f>#REF!</f>
        <v>#REF!</v>
      </c>
      <c r="I1796" s="31">
        <f>'تقرير المصروفات حسب الشهر'!S798</f>
        <v>0</v>
      </c>
      <c r="J1796" s="31">
        <f>'تقرير المصروفات حسب الشهر'!S925</f>
        <v>0</v>
      </c>
      <c r="K1796" s="31">
        <f>'تقرير المصروفات حسب الشهر'!S1052</f>
        <v>0</v>
      </c>
      <c r="L1796" s="292">
        <f>IFERROR(VLOOKUP(B1796,'تقرير المصروفات حسب الشهر'!$C$1143:$AD$1254,17,FALSE),0)</f>
        <v>0</v>
      </c>
      <c r="M1796" s="292">
        <f>IFERROR(VLOOKUP(B1796,'تقرير المصروفات حسب الشهر'!$C$1270:$AD$1381,17,FALSE),0)</f>
        <v>0</v>
      </c>
      <c r="N1796" s="31" t="e">
        <f>#REF!</f>
        <v>#REF!</v>
      </c>
      <c r="O1796" s="37" t="e">
        <f t="shared" si="45"/>
        <v>#REF!</v>
      </c>
    </row>
    <row r="1797" spans="2:15" ht="17.399999999999999">
      <c r="B1797" s="42" t="s">
        <v>66</v>
      </c>
      <c r="C1797" s="39">
        <f>'تقرير المصروفات حسب الشهر'!S46</f>
        <v>0</v>
      </c>
      <c r="D1797" s="31" t="e">
        <f>#REF!</f>
        <v>#REF!</v>
      </c>
      <c r="E1797" s="31" t="e">
        <f>#REF!</f>
        <v>#REF!</v>
      </c>
      <c r="F1797" s="31" t="e">
        <f>#REF!</f>
        <v>#REF!</v>
      </c>
      <c r="G1797" s="31" t="e">
        <f>#REF!</f>
        <v>#REF!</v>
      </c>
      <c r="H1797" s="31" t="e">
        <f>#REF!</f>
        <v>#REF!</v>
      </c>
      <c r="I1797" s="31">
        <f>'تقرير المصروفات حسب الشهر'!S799</f>
        <v>0</v>
      </c>
      <c r="J1797" s="31">
        <f>'تقرير المصروفات حسب الشهر'!S926</f>
        <v>0</v>
      </c>
      <c r="K1797" s="31">
        <f>'تقرير المصروفات حسب الشهر'!S1053</f>
        <v>0</v>
      </c>
      <c r="L1797" s="292">
        <f>IFERROR(VLOOKUP(B1797,'تقرير المصروفات حسب الشهر'!$C$1143:$AD$1254,17,FALSE),0)</f>
        <v>0</v>
      </c>
      <c r="M1797" s="292">
        <f>IFERROR(VLOOKUP(B1797,'تقرير المصروفات حسب الشهر'!$C$1270:$AD$1381,17,FALSE),0)</f>
        <v>0</v>
      </c>
      <c r="N1797" s="31" t="e">
        <f>#REF!</f>
        <v>#REF!</v>
      </c>
      <c r="O1797" s="37" t="e">
        <f t="shared" si="45"/>
        <v>#REF!</v>
      </c>
    </row>
    <row r="1798" spans="2:15" ht="17.399999999999999">
      <c r="B1798" s="42" t="s">
        <v>30</v>
      </c>
      <c r="C1798" s="39">
        <f>'تقرير المصروفات حسب الشهر'!S47</f>
        <v>0</v>
      </c>
      <c r="D1798" s="31" t="e">
        <f>#REF!</f>
        <v>#REF!</v>
      </c>
      <c r="E1798" s="31" t="e">
        <f>#REF!</f>
        <v>#REF!</v>
      </c>
      <c r="F1798" s="31" t="e">
        <f>#REF!</f>
        <v>#REF!</v>
      </c>
      <c r="G1798" s="31" t="e">
        <f>#REF!</f>
        <v>#REF!</v>
      </c>
      <c r="H1798" s="31" t="e">
        <f>#REF!</f>
        <v>#REF!</v>
      </c>
      <c r="I1798" s="31">
        <f>'تقرير المصروفات حسب الشهر'!S800</f>
        <v>3225.25</v>
      </c>
      <c r="J1798" s="31">
        <f>'تقرير المصروفات حسب الشهر'!S927</f>
        <v>0</v>
      </c>
      <c r="K1798" s="31">
        <f>'تقرير المصروفات حسب الشهر'!S1054</f>
        <v>6900.25</v>
      </c>
      <c r="L1798" s="292">
        <f>IFERROR(VLOOKUP(B1798,'تقرير المصروفات حسب الشهر'!$C$1143:$AD$1254,17,FALSE),0)</f>
        <v>3222.25</v>
      </c>
      <c r="M1798" s="292">
        <f>IFERROR(VLOOKUP(B1798,'تقرير المصروفات حسب الشهر'!$C$1270:$AD$1381,17,FALSE),0)</f>
        <v>4500.25</v>
      </c>
      <c r="N1798" s="31" t="e">
        <f>#REF!</f>
        <v>#REF!</v>
      </c>
      <c r="O1798" s="37" t="e">
        <f t="shared" si="45"/>
        <v>#REF!</v>
      </c>
    </row>
    <row r="1799" spans="2:15" ht="17.399999999999999">
      <c r="B1799" s="42" t="s">
        <v>67</v>
      </c>
      <c r="C1799" s="39">
        <f>'تقرير المصروفات حسب الشهر'!S48</f>
        <v>2600</v>
      </c>
      <c r="D1799" s="31" t="e">
        <f>#REF!</f>
        <v>#REF!</v>
      </c>
      <c r="E1799" s="31" t="e">
        <f>#REF!</f>
        <v>#REF!</v>
      </c>
      <c r="F1799" s="31" t="e">
        <f>#REF!</f>
        <v>#REF!</v>
      </c>
      <c r="G1799" s="31" t="e">
        <f>#REF!</f>
        <v>#REF!</v>
      </c>
      <c r="H1799" s="31" t="e">
        <f>#REF!</f>
        <v>#REF!</v>
      </c>
      <c r="I1799" s="31">
        <f>'تقرير المصروفات حسب الشهر'!S801</f>
        <v>140</v>
      </c>
      <c r="J1799" s="31">
        <f>'تقرير المصروفات حسب الشهر'!S928</f>
        <v>6600</v>
      </c>
      <c r="K1799" s="31">
        <f>'تقرير المصروفات حسب الشهر'!S1055</f>
        <v>0</v>
      </c>
      <c r="L1799" s="292">
        <f>IFERROR(VLOOKUP(B1799,'تقرير المصروفات حسب الشهر'!$C$1143:$AD$1254,17,FALSE),0)</f>
        <v>10560</v>
      </c>
      <c r="M1799" s="292">
        <f>IFERROR(VLOOKUP(B1799,'تقرير المصروفات حسب الشهر'!$C$1270:$AD$1381,17,FALSE),0)</f>
        <v>0</v>
      </c>
      <c r="N1799" s="31" t="e">
        <f>#REF!</f>
        <v>#REF!</v>
      </c>
      <c r="O1799" s="37" t="e">
        <f t="shared" si="45"/>
        <v>#REF!</v>
      </c>
    </row>
    <row r="1800" spans="2:15" ht="17.399999999999999">
      <c r="B1800" s="42" t="s">
        <v>111</v>
      </c>
      <c r="C1800" s="39">
        <f>'تقرير المصروفات حسب الشهر'!S49</f>
        <v>0</v>
      </c>
      <c r="D1800" s="31" t="e">
        <f>#REF!</f>
        <v>#REF!</v>
      </c>
      <c r="E1800" s="31" t="e">
        <f>#REF!</f>
        <v>#REF!</v>
      </c>
      <c r="F1800" s="31" t="e">
        <f>#REF!</f>
        <v>#REF!</v>
      </c>
      <c r="G1800" s="31" t="e">
        <f>#REF!</f>
        <v>#REF!</v>
      </c>
      <c r="H1800" s="31" t="e">
        <f>#REF!</f>
        <v>#REF!</v>
      </c>
      <c r="I1800" s="31">
        <f>'تقرير المصروفات حسب الشهر'!S802</f>
        <v>0</v>
      </c>
      <c r="J1800" s="31">
        <f>'تقرير المصروفات حسب الشهر'!S929</f>
        <v>200</v>
      </c>
      <c r="K1800" s="31">
        <f>'تقرير المصروفات حسب الشهر'!S1056</f>
        <v>350</v>
      </c>
      <c r="L1800" s="292">
        <f>IFERROR(VLOOKUP(B1800,'تقرير المصروفات حسب الشهر'!$C$1143:$AD$1254,17,FALSE),0)</f>
        <v>300</v>
      </c>
      <c r="M1800" s="292">
        <f>IFERROR(VLOOKUP(B1800,'تقرير المصروفات حسب الشهر'!$C$1270:$AD$1381,17,FALSE),0)</f>
        <v>0</v>
      </c>
      <c r="N1800" s="31" t="e">
        <f>#REF!</f>
        <v>#REF!</v>
      </c>
      <c r="O1800" s="37" t="e">
        <f t="shared" si="45"/>
        <v>#REF!</v>
      </c>
    </row>
    <row r="1801" spans="2:15" ht="17.399999999999999">
      <c r="B1801" s="42" t="s">
        <v>68</v>
      </c>
      <c r="C1801" s="39">
        <f>'تقرير المصروفات حسب الشهر'!S50</f>
        <v>0</v>
      </c>
      <c r="D1801" s="31" t="e">
        <f>#REF!</f>
        <v>#REF!</v>
      </c>
      <c r="E1801" s="31" t="e">
        <f>#REF!</f>
        <v>#REF!</v>
      </c>
      <c r="F1801" s="31" t="e">
        <f>#REF!</f>
        <v>#REF!</v>
      </c>
      <c r="G1801" s="31" t="e">
        <f>#REF!</f>
        <v>#REF!</v>
      </c>
      <c r="H1801" s="31" t="e">
        <f>#REF!</f>
        <v>#REF!</v>
      </c>
      <c r="I1801" s="31">
        <f>'تقرير المصروفات حسب الشهر'!S803</f>
        <v>0</v>
      </c>
      <c r="J1801" s="31">
        <f>'تقرير المصروفات حسب الشهر'!S930</f>
        <v>0</v>
      </c>
      <c r="K1801" s="31">
        <f>'تقرير المصروفات حسب الشهر'!S1057</f>
        <v>3608</v>
      </c>
      <c r="L1801" s="292">
        <f>IFERROR(VLOOKUP(B1801,'تقرير المصروفات حسب الشهر'!$C$1143:$AD$1254,17,FALSE),0)</f>
        <v>0</v>
      </c>
      <c r="M1801" s="292">
        <f>IFERROR(VLOOKUP(B1801,'تقرير المصروفات حسب الشهر'!$C$1270:$AD$1381,17,FALSE),0)</f>
        <v>0</v>
      </c>
      <c r="N1801" s="31" t="e">
        <f>#REF!</f>
        <v>#REF!</v>
      </c>
      <c r="O1801" s="37" t="e">
        <f t="shared" si="45"/>
        <v>#REF!</v>
      </c>
    </row>
    <row r="1802" spans="2:15" ht="17.399999999999999">
      <c r="B1802" s="42" t="s">
        <v>69</v>
      </c>
      <c r="C1802" s="39">
        <f>'تقرير المصروفات حسب الشهر'!S51</f>
        <v>2000</v>
      </c>
      <c r="D1802" s="31" t="e">
        <f>#REF!</f>
        <v>#REF!</v>
      </c>
      <c r="E1802" s="31" t="e">
        <f>#REF!</f>
        <v>#REF!</v>
      </c>
      <c r="F1802" s="31" t="e">
        <f>#REF!</f>
        <v>#REF!</v>
      </c>
      <c r="G1802" s="31" t="e">
        <f>#REF!</f>
        <v>#REF!</v>
      </c>
      <c r="H1802" s="31" t="e">
        <f>#REF!</f>
        <v>#REF!</v>
      </c>
      <c r="I1802" s="31">
        <f>'تقرير المصروفات حسب الشهر'!S804</f>
        <v>400</v>
      </c>
      <c r="J1802" s="31">
        <f>'تقرير المصروفات حسب الشهر'!S931</f>
        <v>0</v>
      </c>
      <c r="K1802" s="31">
        <f>'تقرير المصروفات حسب الشهر'!S1058</f>
        <v>0</v>
      </c>
      <c r="L1802" s="292">
        <f>IFERROR(VLOOKUP(B1802,'تقرير المصروفات حسب الشهر'!$C$1143:$AD$1254,17,FALSE),0)</f>
        <v>0</v>
      </c>
      <c r="M1802" s="292">
        <f>IFERROR(VLOOKUP(B1802,'تقرير المصروفات حسب الشهر'!$C$1270:$AD$1381,17,FALSE),0)</f>
        <v>0</v>
      </c>
      <c r="N1802" s="31" t="e">
        <f>#REF!</f>
        <v>#REF!</v>
      </c>
      <c r="O1802" s="37" t="e">
        <f t="shared" si="45"/>
        <v>#REF!</v>
      </c>
    </row>
    <row r="1803" spans="2:15" ht="17.399999999999999">
      <c r="B1803" s="42" t="s">
        <v>70</v>
      </c>
      <c r="C1803" s="39">
        <f>'تقرير المصروفات حسب الشهر'!S52</f>
        <v>0</v>
      </c>
      <c r="D1803" s="31" t="e">
        <f>#REF!</f>
        <v>#REF!</v>
      </c>
      <c r="E1803" s="31" t="e">
        <f>#REF!</f>
        <v>#REF!</v>
      </c>
      <c r="F1803" s="31" t="e">
        <f>#REF!</f>
        <v>#REF!</v>
      </c>
      <c r="G1803" s="31" t="e">
        <f>#REF!</f>
        <v>#REF!</v>
      </c>
      <c r="H1803" s="31" t="e">
        <f>#REF!</f>
        <v>#REF!</v>
      </c>
      <c r="I1803" s="31">
        <f>'تقرير المصروفات حسب الشهر'!S805</f>
        <v>0</v>
      </c>
      <c r="J1803" s="31">
        <f>'تقرير المصروفات حسب الشهر'!S932</f>
        <v>0</v>
      </c>
      <c r="K1803" s="31">
        <f>'تقرير المصروفات حسب الشهر'!S1059</f>
        <v>0</v>
      </c>
      <c r="L1803" s="292">
        <f>IFERROR(VLOOKUP(B1803,'تقرير المصروفات حسب الشهر'!$C$1143:$AD$1254,17,FALSE),0)</f>
        <v>0</v>
      </c>
      <c r="M1803" s="292">
        <f>IFERROR(VLOOKUP(B1803,'تقرير المصروفات حسب الشهر'!$C$1270:$AD$1381,17,FALSE),0)</f>
        <v>0</v>
      </c>
      <c r="N1803" s="31" t="e">
        <f>#REF!</f>
        <v>#REF!</v>
      </c>
      <c r="O1803" s="37" t="e">
        <f t="shared" si="45"/>
        <v>#REF!</v>
      </c>
    </row>
    <row r="1804" spans="2:15" ht="17.399999999999999">
      <c r="B1804" s="42" t="s">
        <v>71</v>
      </c>
      <c r="C1804" s="39">
        <f>'تقرير المصروفات حسب الشهر'!S53</f>
        <v>0</v>
      </c>
      <c r="D1804" s="31" t="e">
        <f>#REF!</f>
        <v>#REF!</v>
      </c>
      <c r="E1804" s="31" t="e">
        <f>#REF!</f>
        <v>#REF!</v>
      </c>
      <c r="F1804" s="31" t="e">
        <f>#REF!</f>
        <v>#REF!</v>
      </c>
      <c r="G1804" s="31" t="e">
        <f>#REF!</f>
        <v>#REF!</v>
      </c>
      <c r="H1804" s="31" t="e">
        <f>#REF!</f>
        <v>#REF!</v>
      </c>
      <c r="I1804" s="31">
        <f>'تقرير المصروفات حسب الشهر'!S806</f>
        <v>0</v>
      </c>
      <c r="J1804" s="31">
        <f>'تقرير المصروفات حسب الشهر'!S933</f>
        <v>0</v>
      </c>
      <c r="K1804" s="31">
        <f>'تقرير المصروفات حسب الشهر'!S1060</f>
        <v>0</v>
      </c>
      <c r="L1804" s="292">
        <f>IFERROR(VLOOKUP(B1804,'تقرير المصروفات حسب الشهر'!$C$1143:$AD$1254,17,FALSE),0)</f>
        <v>0</v>
      </c>
      <c r="M1804" s="292">
        <f>IFERROR(VLOOKUP(B1804,'تقرير المصروفات حسب الشهر'!$C$1270:$AD$1381,17,FALSE),0)</f>
        <v>0</v>
      </c>
      <c r="N1804" s="31" t="e">
        <f>#REF!</f>
        <v>#REF!</v>
      </c>
      <c r="O1804" s="37" t="e">
        <f t="shared" si="45"/>
        <v>#REF!</v>
      </c>
    </row>
    <row r="1805" spans="2:15" ht="17.399999999999999">
      <c r="B1805" s="42" t="s">
        <v>159</v>
      </c>
      <c r="C1805" s="39">
        <f>'تقرير المصروفات حسب الشهر'!S54</f>
        <v>0</v>
      </c>
      <c r="D1805" s="31" t="e">
        <f>#REF!</f>
        <v>#REF!</v>
      </c>
      <c r="E1805" s="31" t="e">
        <f>#REF!</f>
        <v>#REF!</v>
      </c>
      <c r="F1805" s="31" t="e">
        <f>#REF!</f>
        <v>#REF!</v>
      </c>
      <c r="G1805" s="31" t="e">
        <f>#REF!</f>
        <v>#REF!</v>
      </c>
      <c r="H1805" s="31" t="e">
        <f>#REF!</f>
        <v>#REF!</v>
      </c>
      <c r="I1805" s="31">
        <f>'تقرير المصروفات حسب الشهر'!S807</f>
        <v>0</v>
      </c>
      <c r="J1805" s="31">
        <f>'تقرير المصروفات حسب الشهر'!S934</f>
        <v>0</v>
      </c>
      <c r="K1805" s="31">
        <f>'تقرير المصروفات حسب الشهر'!S1061</f>
        <v>0</v>
      </c>
      <c r="L1805" s="292">
        <f>IFERROR(VLOOKUP(B1805,'تقرير المصروفات حسب الشهر'!$C$1143:$AD$1254,17,FALSE),0)</f>
        <v>0</v>
      </c>
      <c r="M1805" s="292">
        <f>IFERROR(VLOOKUP(B1805,'تقرير المصروفات حسب الشهر'!$C$1270:$AD$1381,17,FALSE),0)</f>
        <v>0</v>
      </c>
      <c r="N1805" s="31" t="e">
        <f>#REF!</f>
        <v>#REF!</v>
      </c>
      <c r="O1805" s="37" t="e">
        <f t="shared" si="45"/>
        <v>#REF!</v>
      </c>
    </row>
    <row r="1806" spans="2:15" ht="17.399999999999999">
      <c r="B1806" s="42" t="s">
        <v>72</v>
      </c>
      <c r="C1806" s="39">
        <f>'تقرير المصروفات حسب الشهر'!S55</f>
        <v>0</v>
      </c>
      <c r="D1806" s="31" t="e">
        <f>#REF!</f>
        <v>#REF!</v>
      </c>
      <c r="E1806" s="31" t="e">
        <f>#REF!</f>
        <v>#REF!</v>
      </c>
      <c r="F1806" s="31" t="e">
        <f>#REF!</f>
        <v>#REF!</v>
      </c>
      <c r="G1806" s="31" t="e">
        <f>#REF!</f>
        <v>#REF!</v>
      </c>
      <c r="H1806" s="31" t="e">
        <f>#REF!</f>
        <v>#REF!</v>
      </c>
      <c r="I1806" s="31">
        <f>'تقرير المصروفات حسب الشهر'!S808</f>
        <v>0</v>
      </c>
      <c r="J1806" s="31">
        <f>'تقرير المصروفات حسب الشهر'!S935</f>
        <v>0</v>
      </c>
      <c r="K1806" s="31">
        <f>'تقرير المصروفات حسب الشهر'!S1062</f>
        <v>0</v>
      </c>
      <c r="L1806" s="292">
        <f>IFERROR(VLOOKUP(B1806,'تقرير المصروفات حسب الشهر'!$C$1143:$AD$1254,17,FALSE),0)</f>
        <v>0</v>
      </c>
      <c r="M1806" s="292">
        <f>IFERROR(VLOOKUP(B1806,'تقرير المصروفات حسب الشهر'!$C$1270:$AD$1381,17,FALSE),0)</f>
        <v>0</v>
      </c>
      <c r="N1806" s="31" t="e">
        <f>#REF!</f>
        <v>#REF!</v>
      </c>
      <c r="O1806" s="37" t="e">
        <f t="shared" si="45"/>
        <v>#REF!</v>
      </c>
    </row>
    <row r="1807" spans="2:15" ht="17.399999999999999">
      <c r="B1807" s="42" t="s">
        <v>73</v>
      </c>
      <c r="C1807" s="39">
        <f>'تقرير المصروفات حسب الشهر'!S56</f>
        <v>0</v>
      </c>
      <c r="D1807" s="31" t="e">
        <f>#REF!</f>
        <v>#REF!</v>
      </c>
      <c r="E1807" s="31" t="e">
        <f>#REF!</f>
        <v>#REF!</v>
      </c>
      <c r="F1807" s="31" t="e">
        <f>#REF!</f>
        <v>#REF!</v>
      </c>
      <c r="G1807" s="31" t="e">
        <f>#REF!</f>
        <v>#REF!</v>
      </c>
      <c r="H1807" s="31" t="e">
        <f>#REF!</f>
        <v>#REF!</v>
      </c>
      <c r="I1807" s="31">
        <f>'تقرير المصروفات حسب الشهر'!S809</f>
        <v>0</v>
      </c>
      <c r="J1807" s="31">
        <f>'تقرير المصروفات حسب الشهر'!S936</f>
        <v>0</v>
      </c>
      <c r="K1807" s="31">
        <f>'تقرير المصروفات حسب الشهر'!S1063</f>
        <v>0</v>
      </c>
      <c r="L1807" s="292">
        <f>IFERROR(VLOOKUP(B1807,'تقرير المصروفات حسب الشهر'!$C$1143:$AD$1254,17,FALSE),0)</f>
        <v>0</v>
      </c>
      <c r="M1807" s="292">
        <f>IFERROR(VLOOKUP(B1807,'تقرير المصروفات حسب الشهر'!$C$1270:$AD$1381,17,FALSE),0)</f>
        <v>0</v>
      </c>
      <c r="N1807" s="31" t="e">
        <f>#REF!</f>
        <v>#REF!</v>
      </c>
      <c r="O1807" s="37" t="e">
        <f t="shared" si="45"/>
        <v>#REF!</v>
      </c>
    </row>
    <row r="1808" spans="2:15" ht="17.399999999999999">
      <c r="B1808" s="42" t="s">
        <v>74</v>
      </c>
      <c r="C1808" s="39">
        <f>'تقرير المصروفات حسب الشهر'!S57</f>
        <v>0</v>
      </c>
      <c r="D1808" s="31" t="e">
        <f>#REF!</f>
        <v>#REF!</v>
      </c>
      <c r="E1808" s="31" t="e">
        <f>#REF!</f>
        <v>#REF!</v>
      </c>
      <c r="F1808" s="31" t="e">
        <f>#REF!</f>
        <v>#REF!</v>
      </c>
      <c r="G1808" s="31" t="e">
        <f>#REF!</f>
        <v>#REF!</v>
      </c>
      <c r="H1808" s="31" t="e">
        <f>#REF!</f>
        <v>#REF!</v>
      </c>
      <c r="I1808" s="31">
        <f>'تقرير المصروفات حسب الشهر'!S810</f>
        <v>0</v>
      </c>
      <c r="J1808" s="31">
        <f>'تقرير المصروفات حسب الشهر'!S937</f>
        <v>0</v>
      </c>
      <c r="K1808" s="31">
        <f>'تقرير المصروفات حسب الشهر'!S1064</f>
        <v>0</v>
      </c>
      <c r="L1808" s="292">
        <f>IFERROR(VLOOKUP(B1808,'تقرير المصروفات حسب الشهر'!$C$1143:$AD$1254,17,FALSE),0)</f>
        <v>0</v>
      </c>
      <c r="M1808" s="292">
        <f>IFERROR(VLOOKUP(B1808,'تقرير المصروفات حسب الشهر'!$C$1270:$AD$1381,17,FALSE),0)</f>
        <v>0</v>
      </c>
      <c r="N1808" s="31" t="e">
        <f>#REF!</f>
        <v>#REF!</v>
      </c>
      <c r="O1808" s="37" t="e">
        <f t="shared" si="45"/>
        <v>#REF!</v>
      </c>
    </row>
    <row r="1809" spans="2:15" ht="17.399999999999999">
      <c r="B1809" s="42" t="s">
        <v>246</v>
      </c>
      <c r="C1809" s="39">
        <f>'تقرير المصروفات حسب الشهر'!S58</f>
        <v>0</v>
      </c>
      <c r="D1809" s="31" t="e">
        <f>#REF!</f>
        <v>#REF!</v>
      </c>
      <c r="E1809" s="31" t="e">
        <f>#REF!</f>
        <v>#REF!</v>
      </c>
      <c r="F1809" s="31" t="e">
        <f>#REF!</f>
        <v>#REF!</v>
      </c>
      <c r="G1809" s="31" t="e">
        <f>#REF!</f>
        <v>#REF!</v>
      </c>
      <c r="H1809" s="31" t="e">
        <f>#REF!</f>
        <v>#REF!</v>
      </c>
      <c r="I1809" s="31">
        <f>'تقرير المصروفات حسب الشهر'!S811</f>
        <v>0</v>
      </c>
      <c r="J1809" s="31">
        <f>'تقرير المصروفات حسب الشهر'!S938</f>
        <v>0</v>
      </c>
      <c r="K1809" s="31">
        <f>'تقرير المصروفات حسب الشهر'!S1065</f>
        <v>0</v>
      </c>
      <c r="L1809" s="292">
        <f>IFERROR(VLOOKUP(B1809,'تقرير المصروفات حسب الشهر'!$C$1143:$AD$1254,17,FALSE),0)</f>
        <v>0</v>
      </c>
      <c r="M1809" s="292">
        <f>IFERROR(VLOOKUP(B1809,'تقرير المصروفات حسب الشهر'!$C$1270:$AD$1381,17,FALSE),0)</f>
        <v>0</v>
      </c>
      <c r="N1809" s="31" t="e">
        <f>#REF!</f>
        <v>#REF!</v>
      </c>
      <c r="O1809" s="37" t="e">
        <f t="shared" si="45"/>
        <v>#REF!</v>
      </c>
    </row>
    <row r="1810" spans="2:15" ht="17.399999999999999">
      <c r="B1810" s="42" t="s">
        <v>75</v>
      </c>
      <c r="C1810" s="39">
        <f>'تقرير المصروفات حسب الشهر'!S59</f>
        <v>0</v>
      </c>
      <c r="D1810" s="31" t="e">
        <f>#REF!</f>
        <v>#REF!</v>
      </c>
      <c r="E1810" s="31" t="e">
        <f>#REF!</f>
        <v>#REF!</v>
      </c>
      <c r="F1810" s="31" t="e">
        <f>#REF!</f>
        <v>#REF!</v>
      </c>
      <c r="G1810" s="31" t="e">
        <f>#REF!</f>
        <v>#REF!</v>
      </c>
      <c r="H1810" s="31" t="e">
        <f>#REF!</f>
        <v>#REF!</v>
      </c>
      <c r="I1810" s="31">
        <f>'تقرير المصروفات حسب الشهر'!S812</f>
        <v>0</v>
      </c>
      <c r="J1810" s="31">
        <f>'تقرير المصروفات حسب الشهر'!S939</f>
        <v>0</v>
      </c>
      <c r="K1810" s="31">
        <f>'تقرير المصروفات حسب الشهر'!S1066</f>
        <v>0</v>
      </c>
      <c r="L1810" s="292">
        <f>IFERROR(VLOOKUP(B1810,'تقرير المصروفات حسب الشهر'!$C$1143:$AD$1254,17,FALSE),0)</f>
        <v>0</v>
      </c>
      <c r="M1810" s="292">
        <f>IFERROR(VLOOKUP(B1810,'تقرير المصروفات حسب الشهر'!$C$1270:$AD$1381,17,FALSE),0)</f>
        <v>0</v>
      </c>
      <c r="N1810" s="31" t="e">
        <f>#REF!</f>
        <v>#REF!</v>
      </c>
      <c r="O1810" s="37" t="e">
        <f t="shared" si="45"/>
        <v>#REF!</v>
      </c>
    </row>
    <row r="1811" spans="2:15" ht="17.399999999999999">
      <c r="B1811" s="42" t="s">
        <v>76</v>
      </c>
      <c r="C1811" s="39">
        <f>'تقرير المصروفات حسب الشهر'!S60</f>
        <v>0</v>
      </c>
      <c r="D1811" s="31" t="e">
        <f>#REF!</f>
        <v>#REF!</v>
      </c>
      <c r="E1811" s="31" t="e">
        <f>#REF!</f>
        <v>#REF!</v>
      </c>
      <c r="F1811" s="31" t="e">
        <f>#REF!</f>
        <v>#REF!</v>
      </c>
      <c r="G1811" s="31" t="e">
        <f>#REF!</f>
        <v>#REF!</v>
      </c>
      <c r="H1811" s="31" t="e">
        <f>#REF!</f>
        <v>#REF!</v>
      </c>
      <c r="I1811" s="31">
        <f>'تقرير المصروفات حسب الشهر'!S813</f>
        <v>0</v>
      </c>
      <c r="J1811" s="31">
        <f>'تقرير المصروفات حسب الشهر'!S940</f>
        <v>0</v>
      </c>
      <c r="K1811" s="31">
        <f>'تقرير المصروفات حسب الشهر'!S1067</f>
        <v>0</v>
      </c>
      <c r="L1811" s="292">
        <f>IFERROR(VLOOKUP(B1811,'تقرير المصروفات حسب الشهر'!$C$1143:$AD$1254,17,FALSE),0)</f>
        <v>0</v>
      </c>
      <c r="M1811" s="292">
        <f>IFERROR(VLOOKUP(B1811,'تقرير المصروفات حسب الشهر'!$C$1270:$AD$1381,17,FALSE),0)</f>
        <v>0</v>
      </c>
      <c r="N1811" s="31" t="e">
        <f>#REF!</f>
        <v>#REF!</v>
      </c>
      <c r="O1811" s="37" t="e">
        <f t="shared" si="45"/>
        <v>#REF!</v>
      </c>
    </row>
    <row r="1812" spans="2:15" ht="17.399999999999999">
      <c r="B1812" s="42" t="s">
        <v>77</v>
      </c>
      <c r="C1812" s="39">
        <f>'تقرير المصروفات حسب الشهر'!S61</f>
        <v>0</v>
      </c>
      <c r="D1812" s="31" t="e">
        <f>#REF!</f>
        <v>#REF!</v>
      </c>
      <c r="E1812" s="31" t="e">
        <f>#REF!</f>
        <v>#REF!</v>
      </c>
      <c r="F1812" s="31" t="e">
        <f>#REF!</f>
        <v>#REF!</v>
      </c>
      <c r="G1812" s="31" t="e">
        <f>#REF!</f>
        <v>#REF!</v>
      </c>
      <c r="H1812" s="31" t="e">
        <f>#REF!</f>
        <v>#REF!</v>
      </c>
      <c r="I1812" s="31">
        <f>'تقرير المصروفات حسب الشهر'!S814</f>
        <v>0</v>
      </c>
      <c r="J1812" s="31">
        <f>'تقرير المصروفات حسب الشهر'!S941</f>
        <v>0</v>
      </c>
      <c r="K1812" s="31">
        <f>'تقرير المصروفات حسب الشهر'!S1068</f>
        <v>0</v>
      </c>
      <c r="L1812" s="292">
        <f>IFERROR(VLOOKUP(B1812,'تقرير المصروفات حسب الشهر'!$C$1143:$AD$1254,17,FALSE),0)</f>
        <v>0</v>
      </c>
      <c r="M1812" s="292">
        <f>IFERROR(VLOOKUP(B1812,'تقرير المصروفات حسب الشهر'!$C$1270:$AD$1381,17,FALSE),0)</f>
        <v>0</v>
      </c>
      <c r="N1812" s="31" t="e">
        <f>#REF!</f>
        <v>#REF!</v>
      </c>
      <c r="O1812" s="37" t="e">
        <f t="shared" si="45"/>
        <v>#REF!</v>
      </c>
    </row>
    <row r="1813" spans="2:15" ht="17.399999999999999">
      <c r="B1813" s="42" t="s">
        <v>78</v>
      </c>
      <c r="C1813" s="39">
        <f>'تقرير المصروفات حسب الشهر'!S62</f>
        <v>0</v>
      </c>
      <c r="D1813" s="31" t="e">
        <f>#REF!</f>
        <v>#REF!</v>
      </c>
      <c r="E1813" s="31" t="e">
        <f>#REF!</f>
        <v>#REF!</v>
      </c>
      <c r="F1813" s="31" t="e">
        <f>#REF!</f>
        <v>#REF!</v>
      </c>
      <c r="G1813" s="31" t="e">
        <f>#REF!</f>
        <v>#REF!</v>
      </c>
      <c r="H1813" s="31" t="e">
        <f>#REF!</f>
        <v>#REF!</v>
      </c>
      <c r="I1813" s="31">
        <f>'تقرير المصروفات حسب الشهر'!S815</f>
        <v>0</v>
      </c>
      <c r="J1813" s="31">
        <f>'تقرير المصروفات حسب الشهر'!S942</f>
        <v>0</v>
      </c>
      <c r="K1813" s="31">
        <f>'تقرير المصروفات حسب الشهر'!S1069</f>
        <v>0</v>
      </c>
      <c r="L1813" s="292">
        <f>IFERROR(VLOOKUP(B1813,'تقرير المصروفات حسب الشهر'!$C$1143:$AD$1254,17,FALSE),0)</f>
        <v>0</v>
      </c>
      <c r="M1813" s="292">
        <f>IFERROR(VLOOKUP(B1813,'تقرير المصروفات حسب الشهر'!$C$1270:$AD$1381,17,FALSE),0)</f>
        <v>0</v>
      </c>
      <c r="N1813" s="31" t="e">
        <f>#REF!</f>
        <v>#REF!</v>
      </c>
      <c r="O1813" s="37" t="e">
        <f t="shared" si="45"/>
        <v>#REF!</v>
      </c>
    </row>
    <row r="1814" spans="2:15" ht="17.399999999999999">
      <c r="B1814" s="42" t="s">
        <v>79</v>
      </c>
      <c r="C1814" s="39">
        <f>'تقرير المصروفات حسب الشهر'!S63</f>
        <v>0</v>
      </c>
      <c r="D1814" s="31" t="e">
        <f>#REF!</f>
        <v>#REF!</v>
      </c>
      <c r="E1814" s="31" t="e">
        <f>#REF!</f>
        <v>#REF!</v>
      </c>
      <c r="F1814" s="31" t="e">
        <f>#REF!</f>
        <v>#REF!</v>
      </c>
      <c r="G1814" s="31" t="e">
        <f>#REF!</f>
        <v>#REF!</v>
      </c>
      <c r="H1814" s="31" t="e">
        <f>#REF!</f>
        <v>#REF!</v>
      </c>
      <c r="I1814" s="31">
        <f>'تقرير المصروفات حسب الشهر'!S816</f>
        <v>0</v>
      </c>
      <c r="J1814" s="31">
        <f>'تقرير المصروفات حسب الشهر'!S943</f>
        <v>0</v>
      </c>
      <c r="K1814" s="31">
        <f>'تقرير المصروفات حسب الشهر'!S1070</f>
        <v>0</v>
      </c>
      <c r="L1814" s="292">
        <f>IFERROR(VLOOKUP(B1814,'تقرير المصروفات حسب الشهر'!$C$1143:$AD$1254,17,FALSE),0)</f>
        <v>0</v>
      </c>
      <c r="M1814" s="292">
        <f>IFERROR(VLOOKUP(B1814,'تقرير المصروفات حسب الشهر'!$C$1270:$AD$1381,17,FALSE),0)</f>
        <v>0</v>
      </c>
      <c r="N1814" s="31" t="e">
        <f>#REF!</f>
        <v>#REF!</v>
      </c>
      <c r="O1814" s="37" t="e">
        <f t="shared" si="45"/>
        <v>#REF!</v>
      </c>
    </row>
    <row r="1815" spans="2:15" ht="17.399999999999999">
      <c r="B1815" s="42" t="s">
        <v>80</v>
      </c>
      <c r="C1815" s="39">
        <f>'تقرير المصروفات حسب الشهر'!S64</f>
        <v>0</v>
      </c>
      <c r="D1815" s="31" t="e">
        <f>#REF!</f>
        <v>#REF!</v>
      </c>
      <c r="E1815" s="31" t="e">
        <f>#REF!</f>
        <v>#REF!</v>
      </c>
      <c r="F1815" s="31" t="e">
        <f>#REF!</f>
        <v>#REF!</v>
      </c>
      <c r="G1815" s="31" t="e">
        <f>#REF!</f>
        <v>#REF!</v>
      </c>
      <c r="H1815" s="31" t="e">
        <f>#REF!</f>
        <v>#REF!</v>
      </c>
      <c r="I1815" s="31">
        <f>'تقرير المصروفات حسب الشهر'!S817</f>
        <v>0</v>
      </c>
      <c r="J1815" s="31">
        <f>'تقرير المصروفات حسب الشهر'!S944</f>
        <v>0</v>
      </c>
      <c r="K1815" s="31">
        <f>'تقرير المصروفات حسب الشهر'!S1071</f>
        <v>0</v>
      </c>
      <c r="L1815" s="292">
        <f>IFERROR(VLOOKUP(B1815,'تقرير المصروفات حسب الشهر'!$C$1143:$AD$1254,17,FALSE),0)</f>
        <v>0</v>
      </c>
      <c r="M1815" s="292">
        <f>IFERROR(VLOOKUP(B1815,'تقرير المصروفات حسب الشهر'!$C$1270:$AD$1381,17,FALSE),0)</f>
        <v>0</v>
      </c>
      <c r="N1815" s="31" t="e">
        <f>#REF!</f>
        <v>#REF!</v>
      </c>
      <c r="O1815" s="37" t="e">
        <f t="shared" si="45"/>
        <v>#REF!</v>
      </c>
    </row>
    <row r="1816" spans="2:15" ht="17.399999999999999">
      <c r="B1816" s="42" t="s">
        <v>81</v>
      </c>
      <c r="C1816" s="39">
        <f>'تقرير المصروفات حسب الشهر'!S65</f>
        <v>0</v>
      </c>
      <c r="D1816" s="31" t="e">
        <f>#REF!</f>
        <v>#REF!</v>
      </c>
      <c r="E1816" s="31" t="e">
        <f>#REF!</f>
        <v>#REF!</v>
      </c>
      <c r="F1816" s="31" t="e">
        <f>#REF!</f>
        <v>#REF!</v>
      </c>
      <c r="G1816" s="31" t="e">
        <f>#REF!</f>
        <v>#REF!</v>
      </c>
      <c r="H1816" s="31" t="e">
        <f>#REF!</f>
        <v>#REF!</v>
      </c>
      <c r="I1816" s="31">
        <f>'تقرير المصروفات حسب الشهر'!S818</f>
        <v>0</v>
      </c>
      <c r="J1816" s="31">
        <f>'تقرير المصروفات حسب الشهر'!S945</f>
        <v>0</v>
      </c>
      <c r="K1816" s="31">
        <f>'تقرير المصروفات حسب الشهر'!S1072</f>
        <v>0</v>
      </c>
      <c r="L1816" s="292">
        <f>IFERROR(VLOOKUP(B1816,'تقرير المصروفات حسب الشهر'!$C$1143:$AD$1254,17,FALSE),0)</f>
        <v>0</v>
      </c>
      <c r="M1816" s="292">
        <f>IFERROR(VLOOKUP(B1816,'تقرير المصروفات حسب الشهر'!$C$1270:$AD$1381,17,FALSE),0)</f>
        <v>0</v>
      </c>
      <c r="N1816" s="31" t="e">
        <f>#REF!</f>
        <v>#REF!</v>
      </c>
      <c r="O1816" s="37" t="e">
        <f t="shared" si="45"/>
        <v>#REF!</v>
      </c>
    </row>
    <row r="1817" spans="2:15" ht="17.399999999999999">
      <c r="B1817" s="42" t="s">
        <v>82</v>
      </c>
      <c r="C1817" s="39">
        <f>'تقرير المصروفات حسب الشهر'!S66</f>
        <v>0</v>
      </c>
      <c r="D1817" s="31" t="e">
        <f>#REF!</f>
        <v>#REF!</v>
      </c>
      <c r="E1817" s="31" t="e">
        <f>#REF!</f>
        <v>#REF!</v>
      </c>
      <c r="F1817" s="31" t="e">
        <f>#REF!</f>
        <v>#REF!</v>
      </c>
      <c r="G1817" s="31" t="e">
        <f>#REF!</f>
        <v>#REF!</v>
      </c>
      <c r="H1817" s="31" t="e">
        <f>#REF!</f>
        <v>#REF!</v>
      </c>
      <c r="I1817" s="31">
        <f>'تقرير المصروفات حسب الشهر'!S819</f>
        <v>0</v>
      </c>
      <c r="J1817" s="31">
        <f>'تقرير المصروفات حسب الشهر'!S946</f>
        <v>0</v>
      </c>
      <c r="K1817" s="31">
        <f>'تقرير المصروفات حسب الشهر'!S1073</f>
        <v>0</v>
      </c>
      <c r="L1817" s="292">
        <f>IFERROR(VLOOKUP(B1817,'تقرير المصروفات حسب الشهر'!$C$1143:$AD$1254,17,FALSE),0)</f>
        <v>0</v>
      </c>
      <c r="M1817" s="292">
        <f>IFERROR(VLOOKUP(B1817,'تقرير المصروفات حسب الشهر'!$C$1270:$AD$1381,17,FALSE),0)</f>
        <v>0</v>
      </c>
      <c r="N1817" s="31" t="e">
        <f>#REF!</f>
        <v>#REF!</v>
      </c>
      <c r="O1817" s="37" t="e">
        <f t="shared" si="45"/>
        <v>#REF!</v>
      </c>
    </row>
    <row r="1818" spans="2:15" ht="17.399999999999999">
      <c r="B1818" s="42" t="s">
        <v>83</v>
      </c>
      <c r="C1818" s="39">
        <f>'تقرير المصروفات حسب الشهر'!S67</f>
        <v>0</v>
      </c>
      <c r="D1818" s="31" t="e">
        <f>#REF!</f>
        <v>#REF!</v>
      </c>
      <c r="E1818" s="31" t="e">
        <f>#REF!</f>
        <v>#REF!</v>
      </c>
      <c r="F1818" s="31" t="e">
        <f>#REF!</f>
        <v>#REF!</v>
      </c>
      <c r="G1818" s="31" t="e">
        <f>#REF!</f>
        <v>#REF!</v>
      </c>
      <c r="H1818" s="31" t="e">
        <f>#REF!</f>
        <v>#REF!</v>
      </c>
      <c r="I1818" s="31">
        <f>'تقرير المصروفات حسب الشهر'!S820</f>
        <v>0</v>
      </c>
      <c r="J1818" s="31">
        <f>'تقرير المصروفات حسب الشهر'!S947</f>
        <v>0</v>
      </c>
      <c r="K1818" s="31">
        <f>'تقرير المصروفات حسب الشهر'!S1074</f>
        <v>0</v>
      </c>
      <c r="L1818" s="292">
        <f>IFERROR(VLOOKUP(B1818,'تقرير المصروفات حسب الشهر'!$C$1143:$AD$1254,17,FALSE),0)</f>
        <v>0</v>
      </c>
      <c r="M1818" s="292">
        <f>IFERROR(VLOOKUP(B1818,'تقرير المصروفات حسب الشهر'!$C$1270:$AD$1381,17,FALSE),0)</f>
        <v>0</v>
      </c>
      <c r="N1818" s="31" t="e">
        <f>#REF!</f>
        <v>#REF!</v>
      </c>
      <c r="O1818" s="37" t="e">
        <f t="shared" si="45"/>
        <v>#REF!</v>
      </c>
    </row>
    <row r="1819" spans="2:15" ht="17.399999999999999">
      <c r="B1819" s="42" t="s">
        <v>84</v>
      </c>
      <c r="C1819" s="39">
        <f>'تقرير المصروفات حسب الشهر'!S68</f>
        <v>0</v>
      </c>
      <c r="D1819" s="31" t="e">
        <f>#REF!</f>
        <v>#REF!</v>
      </c>
      <c r="E1819" s="31" t="e">
        <f>#REF!</f>
        <v>#REF!</v>
      </c>
      <c r="F1819" s="31" t="e">
        <f>#REF!</f>
        <v>#REF!</v>
      </c>
      <c r="G1819" s="31" t="e">
        <f>#REF!</f>
        <v>#REF!</v>
      </c>
      <c r="H1819" s="31" t="e">
        <f>#REF!</f>
        <v>#REF!</v>
      </c>
      <c r="I1819" s="31">
        <f>'تقرير المصروفات حسب الشهر'!S821</f>
        <v>0</v>
      </c>
      <c r="J1819" s="31">
        <f>'تقرير المصروفات حسب الشهر'!S948</f>
        <v>300</v>
      </c>
      <c r="K1819" s="31">
        <f>'تقرير المصروفات حسب الشهر'!S1075</f>
        <v>0</v>
      </c>
      <c r="L1819" s="292">
        <f>IFERROR(VLOOKUP(B1819,'تقرير المصروفات حسب الشهر'!$C$1143:$AD$1254,17,FALSE),0)</f>
        <v>0</v>
      </c>
      <c r="M1819" s="292">
        <f>IFERROR(VLOOKUP(B1819,'تقرير المصروفات حسب الشهر'!$C$1270:$AD$1381,17,FALSE),0)</f>
        <v>0</v>
      </c>
      <c r="N1819" s="31" t="e">
        <f>#REF!</f>
        <v>#REF!</v>
      </c>
      <c r="O1819" s="37" t="e">
        <f t="shared" si="45"/>
        <v>#REF!</v>
      </c>
    </row>
    <row r="1820" spans="2:15" ht="17.399999999999999">
      <c r="B1820" s="42" t="s">
        <v>85</v>
      </c>
      <c r="C1820" s="39">
        <f>'تقرير المصروفات حسب الشهر'!S69</f>
        <v>216</v>
      </c>
      <c r="D1820" s="31" t="e">
        <f>#REF!</f>
        <v>#REF!</v>
      </c>
      <c r="E1820" s="31" t="e">
        <f>#REF!</f>
        <v>#REF!</v>
      </c>
      <c r="F1820" s="31" t="e">
        <f>#REF!</f>
        <v>#REF!</v>
      </c>
      <c r="G1820" s="31" t="e">
        <f>#REF!</f>
        <v>#REF!</v>
      </c>
      <c r="H1820" s="31" t="e">
        <f>#REF!</f>
        <v>#REF!</v>
      </c>
      <c r="I1820" s="31">
        <f>'تقرير المصروفات حسب الشهر'!S822</f>
        <v>0</v>
      </c>
      <c r="J1820" s="31">
        <f>'تقرير المصروفات حسب الشهر'!S949</f>
        <v>0</v>
      </c>
      <c r="K1820" s="31">
        <f>'تقرير المصروفات حسب الشهر'!S1076</f>
        <v>0</v>
      </c>
      <c r="L1820" s="292">
        <f>IFERROR(VLOOKUP(B1820,'تقرير المصروفات حسب الشهر'!$C$1143:$AD$1254,17,FALSE),0)</f>
        <v>200</v>
      </c>
      <c r="M1820" s="292">
        <f>IFERROR(VLOOKUP(B1820,'تقرير المصروفات حسب الشهر'!$C$1270:$AD$1381,17,FALSE),0)</f>
        <v>7061</v>
      </c>
      <c r="N1820" s="31" t="e">
        <f>#REF!</f>
        <v>#REF!</v>
      </c>
      <c r="O1820" s="37" t="e">
        <f t="shared" si="45"/>
        <v>#REF!</v>
      </c>
    </row>
    <row r="1821" spans="2:15" ht="17.399999999999999">
      <c r="B1821" s="42" t="s">
        <v>86</v>
      </c>
      <c r="C1821" s="39">
        <f>'تقرير المصروفات حسب الشهر'!S70</f>
        <v>0</v>
      </c>
      <c r="D1821" s="31" t="e">
        <f>#REF!</f>
        <v>#REF!</v>
      </c>
      <c r="E1821" s="31" t="e">
        <f>#REF!</f>
        <v>#REF!</v>
      </c>
      <c r="F1821" s="31" t="e">
        <f>#REF!</f>
        <v>#REF!</v>
      </c>
      <c r="G1821" s="31" t="e">
        <f>#REF!</f>
        <v>#REF!</v>
      </c>
      <c r="H1821" s="31" t="e">
        <f>#REF!</f>
        <v>#REF!</v>
      </c>
      <c r="I1821" s="31">
        <f>'تقرير المصروفات حسب الشهر'!S823</f>
        <v>0</v>
      </c>
      <c r="J1821" s="31">
        <f>'تقرير المصروفات حسب الشهر'!S950</f>
        <v>0</v>
      </c>
      <c r="K1821" s="31">
        <f>'تقرير المصروفات حسب الشهر'!S1077</f>
        <v>0</v>
      </c>
      <c r="L1821" s="292">
        <f>IFERROR(VLOOKUP(B1821,'تقرير المصروفات حسب الشهر'!$C$1143:$AD$1254,17,FALSE),0)</f>
        <v>0</v>
      </c>
      <c r="M1821" s="292">
        <f>IFERROR(VLOOKUP(B1821,'تقرير المصروفات حسب الشهر'!$C$1270:$AD$1381,17,FALSE),0)</f>
        <v>0</v>
      </c>
      <c r="N1821" s="31" t="e">
        <f>#REF!</f>
        <v>#REF!</v>
      </c>
      <c r="O1821" s="37" t="e">
        <f t="shared" si="45"/>
        <v>#REF!</v>
      </c>
    </row>
    <row r="1822" spans="2:15" ht="17.399999999999999">
      <c r="B1822" s="42" t="s">
        <v>87</v>
      </c>
      <c r="C1822" s="39">
        <f>'تقرير المصروفات حسب الشهر'!S71</f>
        <v>0</v>
      </c>
      <c r="D1822" s="31" t="e">
        <f>#REF!</f>
        <v>#REF!</v>
      </c>
      <c r="E1822" s="31" t="e">
        <f>#REF!</f>
        <v>#REF!</v>
      </c>
      <c r="F1822" s="31" t="e">
        <f>#REF!</f>
        <v>#REF!</v>
      </c>
      <c r="G1822" s="31" t="e">
        <f>#REF!</f>
        <v>#REF!</v>
      </c>
      <c r="H1822" s="31" t="e">
        <f>#REF!</f>
        <v>#REF!</v>
      </c>
      <c r="I1822" s="31">
        <f>'تقرير المصروفات حسب الشهر'!S824</f>
        <v>0</v>
      </c>
      <c r="J1822" s="31">
        <f>'تقرير المصروفات حسب الشهر'!S951</f>
        <v>0</v>
      </c>
      <c r="K1822" s="31">
        <f>'تقرير المصروفات حسب الشهر'!S1078</f>
        <v>0</v>
      </c>
      <c r="L1822" s="292">
        <f>IFERROR(VLOOKUP(B1822,'تقرير المصروفات حسب الشهر'!$C$1143:$AD$1254,17,FALSE),0)</f>
        <v>0</v>
      </c>
      <c r="M1822" s="292">
        <f>IFERROR(VLOOKUP(B1822,'تقرير المصروفات حسب الشهر'!$C$1270:$AD$1381,17,FALSE),0)</f>
        <v>1050</v>
      </c>
      <c r="N1822" s="31" t="e">
        <f>#REF!</f>
        <v>#REF!</v>
      </c>
      <c r="O1822" s="37" t="e">
        <f t="shared" si="45"/>
        <v>#REF!</v>
      </c>
    </row>
    <row r="1823" spans="2:15" ht="17.399999999999999">
      <c r="B1823" s="42" t="s">
        <v>88</v>
      </c>
      <c r="C1823" s="39">
        <f>'تقرير المصروفات حسب الشهر'!S72</f>
        <v>0</v>
      </c>
      <c r="D1823" s="31" t="e">
        <f>#REF!</f>
        <v>#REF!</v>
      </c>
      <c r="E1823" s="31" t="e">
        <f>#REF!</f>
        <v>#REF!</v>
      </c>
      <c r="F1823" s="31" t="e">
        <f>#REF!</f>
        <v>#REF!</v>
      </c>
      <c r="G1823" s="31" t="e">
        <f>#REF!</f>
        <v>#REF!</v>
      </c>
      <c r="H1823" s="31" t="e">
        <f>#REF!</f>
        <v>#REF!</v>
      </c>
      <c r="I1823" s="31">
        <f>'تقرير المصروفات حسب الشهر'!S825</f>
        <v>0</v>
      </c>
      <c r="J1823" s="31">
        <f>'تقرير المصروفات حسب الشهر'!S952</f>
        <v>0</v>
      </c>
      <c r="K1823" s="31">
        <f>'تقرير المصروفات حسب الشهر'!S1079</f>
        <v>0</v>
      </c>
      <c r="L1823" s="292">
        <f>IFERROR(VLOOKUP(B1823,'تقرير المصروفات حسب الشهر'!$C$1143:$AD$1254,17,FALSE),0)</f>
        <v>0</v>
      </c>
      <c r="M1823" s="292">
        <f>IFERROR(VLOOKUP(B1823,'تقرير المصروفات حسب الشهر'!$C$1270:$AD$1381,17,FALSE),0)</f>
        <v>0</v>
      </c>
      <c r="N1823" s="31" t="e">
        <f>#REF!</f>
        <v>#REF!</v>
      </c>
      <c r="O1823" s="37" t="e">
        <f t="shared" si="45"/>
        <v>#REF!</v>
      </c>
    </row>
    <row r="1824" spans="2:15" ht="17.399999999999999">
      <c r="B1824" s="42" t="s">
        <v>89</v>
      </c>
      <c r="C1824" s="39">
        <f>'تقرير المصروفات حسب الشهر'!S73</f>
        <v>0</v>
      </c>
      <c r="D1824" s="31" t="e">
        <f>#REF!</f>
        <v>#REF!</v>
      </c>
      <c r="E1824" s="31" t="e">
        <f>#REF!</f>
        <v>#REF!</v>
      </c>
      <c r="F1824" s="31" t="e">
        <f>#REF!</f>
        <v>#REF!</v>
      </c>
      <c r="G1824" s="31" t="e">
        <f>#REF!</f>
        <v>#REF!</v>
      </c>
      <c r="H1824" s="31" t="e">
        <f>#REF!</f>
        <v>#REF!</v>
      </c>
      <c r="I1824" s="31">
        <f>'تقرير المصروفات حسب الشهر'!S826</f>
        <v>979</v>
      </c>
      <c r="J1824" s="31">
        <f>'تقرير المصروفات حسب الشهر'!S953</f>
        <v>0</v>
      </c>
      <c r="K1824" s="31">
        <f>'تقرير المصروفات حسب الشهر'!S1080</f>
        <v>0</v>
      </c>
      <c r="L1824" s="292">
        <f>IFERROR(VLOOKUP(B1824,'تقرير المصروفات حسب الشهر'!$C$1143:$AD$1254,17,FALSE),0)</f>
        <v>0</v>
      </c>
      <c r="M1824" s="292">
        <f>IFERROR(VLOOKUP(B1824,'تقرير المصروفات حسب الشهر'!$C$1270:$AD$1381,17,FALSE),0)</f>
        <v>0</v>
      </c>
      <c r="N1824" s="31" t="e">
        <f>#REF!</f>
        <v>#REF!</v>
      </c>
      <c r="O1824" s="37" t="e">
        <f t="shared" si="45"/>
        <v>#REF!</v>
      </c>
    </row>
    <row r="1825" spans="2:15" ht="17.399999999999999">
      <c r="B1825" s="42" t="s">
        <v>33</v>
      </c>
      <c r="C1825" s="39">
        <f>'تقرير المصروفات حسب الشهر'!S74</f>
        <v>0</v>
      </c>
      <c r="D1825" s="31" t="e">
        <f>#REF!</f>
        <v>#REF!</v>
      </c>
      <c r="E1825" s="31" t="e">
        <f>#REF!</f>
        <v>#REF!</v>
      </c>
      <c r="F1825" s="31" t="e">
        <f>#REF!</f>
        <v>#REF!</v>
      </c>
      <c r="G1825" s="31" t="e">
        <f>#REF!</f>
        <v>#REF!</v>
      </c>
      <c r="H1825" s="31" t="e">
        <f>#REF!</f>
        <v>#REF!</v>
      </c>
      <c r="I1825" s="31">
        <f>'تقرير المصروفات حسب الشهر'!S827</f>
        <v>0</v>
      </c>
      <c r="J1825" s="31">
        <f>'تقرير المصروفات حسب الشهر'!S954</f>
        <v>0</v>
      </c>
      <c r="K1825" s="31">
        <f>'تقرير المصروفات حسب الشهر'!S1081</f>
        <v>0</v>
      </c>
      <c r="L1825" s="292">
        <f>IFERROR(VLOOKUP(B1825,'تقرير المصروفات حسب الشهر'!$C$1143:$AD$1254,17,FALSE),0)</f>
        <v>1335.76</v>
      </c>
      <c r="M1825" s="292">
        <f>IFERROR(VLOOKUP(B1825,'تقرير المصروفات حسب الشهر'!$C$1270:$AD$1381,17,FALSE),0)</f>
        <v>1105.82</v>
      </c>
      <c r="N1825" s="31" t="e">
        <f>#REF!</f>
        <v>#REF!</v>
      </c>
      <c r="O1825" s="37" t="e">
        <f t="shared" si="45"/>
        <v>#REF!</v>
      </c>
    </row>
    <row r="1826" spans="2:15" ht="17.399999999999999">
      <c r="B1826" s="42" t="s">
        <v>90</v>
      </c>
      <c r="C1826" s="39">
        <f>'تقرير المصروفات حسب الشهر'!S75</f>
        <v>0</v>
      </c>
      <c r="D1826" s="31" t="e">
        <f>#REF!</f>
        <v>#REF!</v>
      </c>
      <c r="E1826" s="31" t="e">
        <f>#REF!</f>
        <v>#REF!</v>
      </c>
      <c r="F1826" s="31" t="e">
        <f>#REF!</f>
        <v>#REF!</v>
      </c>
      <c r="G1826" s="31" t="e">
        <f>#REF!</f>
        <v>#REF!</v>
      </c>
      <c r="H1826" s="31" t="e">
        <f>#REF!</f>
        <v>#REF!</v>
      </c>
      <c r="I1826" s="31">
        <f>'تقرير المصروفات حسب الشهر'!S828</f>
        <v>0</v>
      </c>
      <c r="J1826" s="31">
        <f>'تقرير المصروفات حسب الشهر'!S955</f>
        <v>0</v>
      </c>
      <c r="K1826" s="31">
        <f>'تقرير المصروفات حسب الشهر'!S1082</f>
        <v>0</v>
      </c>
      <c r="L1826" s="292">
        <f>IFERROR(VLOOKUP(B1826,'تقرير المصروفات حسب الشهر'!$C$1143:$AD$1254,17,FALSE),0)</f>
        <v>0</v>
      </c>
      <c r="M1826" s="292">
        <f>IFERROR(VLOOKUP(B1826,'تقرير المصروفات حسب الشهر'!$C$1270:$AD$1381,17,FALSE),0)</f>
        <v>0</v>
      </c>
      <c r="N1826" s="31" t="e">
        <f>#REF!</f>
        <v>#REF!</v>
      </c>
      <c r="O1826" s="37" t="e">
        <f t="shared" ref="O1826:O1869" si="46">SUM(C1826:N1826)</f>
        <v>#REF!</v>
      </c>
    </row>
    <row r="1827" spans="2:15" ht="17.399999999999999">
      <c r="B1827" s="42" t="s">
        <v>91</v>
      </c>
      <c r="C1827" s="39">
        <f>'تقرير المصروفات حسب الشهر'!S76</f>
        <v>0</v>
      </c>
      <c r="D1827" s="31" t="e">
        <f>#REF!</f>
        <v>#REF!</v>
      </c>
      <c r="E1827" s="31" t="e">
        <f>#REF!</f>
        <v>#REF!</v>
      </c>
      <c r="F1827" s="31" t="e">
        <f>#REF!</f>
        <v>#REF!</v>
      </c>
      <c r="G1827" s="31" t="e">
        <f>#REF!</f>
        <v>#REF!</v>
      </c>
      <c r="H1827" s="31" t="e">
        <f>#REF!</f>
        <v>#REF!</v>
      </c>
      <c r="I1827" s="31">
        <f>'تقرير المصروفات حسب الشهر'!S829</f>
        <v>0</v>
      </c>
      <c r="J1827" s="31">
        <f>'تقرير المصروفات حسب الشهر'!S956</f>
        <v>0</v>
      </c>
      <c r="K1827" s="31">
        <f>'تقرير المصروفات حسب الشهر'!S1083</f>
        <v>0</v>
      </c>
      <c r="L1827" s="292">
        <f>IFERROR(VLOOKUP(B1827,'تقرير المصروفات حسب الشهر'!$C$1143:$AD$1254,17,FALSE),0)</f>
        <v>0</v>
      </c>
      <c r="M1827" s="292">
        <f>IFERROR(VLOOKUP(B1827,'تقرير المصروفات حسب الشهر'!$C$1270:$AD$1381,17,FALSE),0)</f>
        <v>0</v>
      </c>
      <c r="N1827" s="31" t="e">
        <f>#REF!</f>
        <v>#REF!</v>
      </c>
      <c r="O1827" s="37" t="e">
        <f t="shared" si="46"/>
        <v>#REF!</v>
      </c>
    </row>
    <row r="1828" spans="2:15" ht="17.399999999999999">
      <c r="B1828" s="42" t="s">
        <v>92</v>
      </c>
      <c r="C1828" s="39">
        <f>'تقرير المصروفات حسب الشهر'!S77</f>
        <v>0</v>
      </c>
      <c r="D1828" s="31" t="e">
        <f>#REF!</f>
        <v>#REF!</v>
      </c>
      <c r="E1828" s="31" t="e">
        <f>#REF!</f>
        <v>#REF!</v>
      </c>
      <c r="F1828" s="31" t="e">
        <f>#REF!</f>
        <v>#REF!</v>
      </c>
      <c r="G1828" s="31" t="e">
        <f>#REF!</f>
        <v>#REF!</v>
      </c>
      <c r="H1828" s="31" t="e">
        <f>#REF!</f>
        <v>#REF!</v>
      </c>
      <c r="I1828" s="31">
        <f>'تقرير المصروفات حسب الشهر'!S830</f>
        <v>0</v>
      </c>
      <c r="J1828" s="31">
        <f>'تقرير المصروفات حسب الشهر'!S957</f>
        <v>0</v>
      </c>
      <c r="K1828" s="31">
        <f>'تقرير المصروفات حسب الشهر'!S1084</f>
        <v>0</v>
      </c>
      <c r="L1828" s="292">
        <f>IFERROR(VLOOKUP(B1828,'تقرير المصروفات حسب الشهر'!$C$1143:$AD$1254,17,FALSE),0)</f>
        <v>0</v>
      </c>
      <c r="M1828" s="292">
        <f>IFERROR(VLOOKUP(B1828,'تقرير المصروفات حسب الشهر'!$C$1270:$AD$1381,17,FALSE),0)</f>
        <v>0</v>
      </c>
      <c r="N1828" s="31" t="e">
        <f>#REF!</f>
        <v>#REF!</v>
      </c>
      <c r="O1828" s="37" t="e">
        <f t="shared" si="46"/>
        <v>#REF!</v>
      </c>
    </row>
    <row r="1829" spans="2:15" ht="17.399999999999999">
      <c r="B1829" s="42" t="s">
        <v>93</v>
      </c>
      <c r="C1829" s="39">
        <f>'تقرير المصروفات حسب الشهر'!S78</f>
        <v>0</v>
      </c>
      <c r="D1829" s="31" t="e">
        <f>#REF!</f>
        <v>#REF!</v>
      </c>
      <c r="E1829" s="31" t="e">
        <f>#REF!</f>
        <v>#REF!</v>
      </c>
      <c r="F1829" s="31" t="e">
        <f>#REF!</f>
        <v>#REF!</v>
      </c>
      <c r="G1829" s="31" t="e">
        <f>#REF!</f>
        <v>#REF!</v>
      </c>
      <c r="H1829" s="31" t="e">
        <f>#REF!</f>
        <v>#REF!</v>
      </c>
      <c r="I1829" s="31">
        <f>'تقرير المصروفات حسب الشهر'!S831</f>
        <v>0</v>
      </c>
      <c r="J1829" s="31">
        <f>'تقرير المصروفات حسب الشهر'!S958</f>
        <v>950</v>
      </c>
      <c r="K1829" s="31">
        <f>'تقرير المصروفات حسب الشهر'!S1085</f>
        <v>520</v>
      </c>
      <c r="L1829" s="292">
        <f>IFERROR(VLOOKUP(B1829,'تقرير المصروفات حسب الشهر'!$C$1143:$AD$1254,17,FALSE),0)</f>
        <v>0</v>
      </c>
      <c r="M1829" s="292">
        <f>IFERROR(VLOOKUP(B1829,'تقرير المصروفات حسب الشهر'!$C$1270:$AD$1381,17,FALSE),0)</f>
        <v>0</v>
      </c>
      <c r="N1829" s="31" t="e">
        <f>#REF!</f>
        <v>#REF!</v>
      </c>
      <c r="O1829" s="37" t="e">
        <f t="shared" si="46"/>
        <v>#REF!</v>
      </c>
    </row>
    <row r="1830" spans="2:15" ht="17.399999999999999">
      <c r="B1830" s="42" t="s">
        <v>94</v>
      </c>
      <c r="C1830" s="39">
        <f>'تقرير المصروفات حسب الشهر'!S79</f>
        <v>39950</v>
      </c>
      <c r="D1830" s="31" t="e">
        <f>#REF!</f>
        <v>#REF!</v>
      </c>
      <c r="E1830" s="31" t="e">
        <f>#REF!</f>
        <v>#REF!</v>
      </c>
      <c r="F1830" s="31" t="e">
        <f>#REF!</f>
        <v>#REF!</v>
      </c>
      <c r="G1830" s="31" t="e">
        <f>#REF!</f>
        <v>#REF!</v>
      </c>
      <c r="H1830" s="31" t="e">
        <f>#REF!</f>
        <v>#REF!</v>
      </c>
      <c r="I1830" s="31">
        <f>'تقرير المصروفات حسب الشهر'!S832</f>
        <v>2793</v>
      </c>
      <c r="J1830" s="31">
        <f>'تقرير المصروفات حسب الشهر'!S959</f>
        <v>0</v>
      </c>
      <c r="K1830" s="31">
        <f>'تقرير المصروفات حسب الشهر'!S1086</f>
        <v>2650</v>
      </c>
      <c r="L1830" s="292">
        <f>IFERROR(VLOOKUP(B1830,'تقرير المصروفات حسب الشهر'!$C$1143:$AD$1254,17,FALSE),0)</f>
        <v>883</v>
      </c>
      <c r="M1830" s="292">
        <f>IFERROR(VLOOKUP(B1830,'تقرير المصروفات حسب الشهر'!$C$1270:$AD$1381,17,FALSE),0)</f>
        <v>100</v>
      </c>
      <c r="N1830" s="31" t="e">
        <f>#REF!</f>
        <v>#REF!</v>
      </c>
      <c r="O1830" s="37" t="e">
        <f t="shared" si="46"/>
        <v>#REF!</v>
      </c>
    </row>
    <row r="1831" spans="2:15" ht="17.399999999999999">
      <c r="B1831" s="42" t="s">
        <v>95</v>
      </c>
      <c r="C1831" s="39">
        <f>'تقرير المصروفات حسب الشهر'!S80</f>
        <v>0</v>
      </c>
      <c r="D1831" s="31" t="e">
        <f>#REF!</f>
        <v>#REF!</v>
      </c>
      <c r="E1831" s="31" t="e">
        <f>#REF!</f>
        <v>#REF!</v>
      </c>
      <c r="F1831" s="31" t="e">
        <f>#REF!</f>
        <v>#REF!</v>
      </c>
      <c r="G1831" s="31" t="e">
        <f>#REF!</f>
        <v>#REF!</v>
      </c>
      <c r="H1831" s="31" t="e">
        <f>#REF!</f>
        <v>#REF!</v>
      </c>
      <c r="I1831" s="31">
        <f>'تقرير المصروفات حسب الشهر'!S833</f>
        <v>668</v>
      </c>
      <c r="J1831" s="31">
        <f>'تقرير المصروفات حسب الشهر'!S960</f>
        <v>0</v>
      </c>
      <c r="K1831" s="31">
        <f>'تقرير المصروفات حسب الشهر'!S1087</f>
        <v>0</v>
      </c>
      <c r="L1831" s="292">
        <f>IFERROR(VLOOKUP(B1831,'تقرير المصروفات حسب الشهر'!$C$1143:$AD$1254,17,FALSE),0)</f>
        <v>0</v>
      </c>
      <c r="M1831" s="292">
        <f>IFERROR(VLOOKUP(B1831,'تقرير المصروفات حسب الشهر'!$C$1270:$AD$1381,17,FALSE),0)</f>
        <v>0</v>
      </c>
      <c r="N1831" s="31" t="e">
        <f>#REF!</f>
        <v>#REF!</v>
      </c>
      <c r="O1831" s="37" t="e">
        <f t="shared" si="46"/>
        <v>#REF!</v>
      </c>
    </row>
    <row r="1832" spans="2:15" ht="17.399999999999999">
      <c r="B1832" s="42" t="s">
        <v>96</v>
      </c>
      <c r="C1832" s="39">
        <f>'تقرير المصروفات حسب الشهر'!S81</f>
        <v>0</v>
      </c>
      <c r="D1832" s="31" t="e">
        <f>#REF!</f>
        <v>#REF!</v>
      </c>
      <c r="E1832" s="31" t="e">
        <f>#REF!</f>
        <v>#REF!</v>
      </c>
      <c r="F1832" s="31" t="e">
        <f>#REF!</f>
        <v>#REF!</v>
      </c>
      <c r="G1832" s="31" t="e">
        <f>#REF!</f>
        <v>#REF!</v>
      </c>
      <c r="H1832" s="31" t="e">
        <f>#REF!</f>
        <v>#REF!</v>
      </c>
      <c r="I1832" s="31">
        <f>'تقرير المصروفات حسب الشهر'!S834</f>
        <v>823.96</v>
      </c>
      <c r="J1832" s="31">
        <f>'تقرير المصروفات حسب الشهر'!S961</f>
        <v>1033.96</v>
      </c>
      <c r="K1832" s="31">
        <f>'تقرير المصروفات حسب الشهر'!S1088</f>
        <v>823.96</v>
      </c>
      <c r="L1832" s="292">
        <f>IFERROR(VLOOKUP(B1832,'تقرير المصروفات حسب الشهر'!$C$1143:$AD$1254,17,FALSE),0)</f>
        <v>0</v>
      </c>
      <c r="M1832" s="292">
        <f>IFERROR(VLOOKUP(B1832,'تقرير المصروفات حسب الشهر'!$C$1270:$AD$1381,17,FALSE),0)</f>
        <v>0</v>
      </c>
      <c r="N1832" s="31" t="e">
        <f>#REF!</f>
        <v>#REF!</v>
      </c>
      <c r="O1832" s="37" t="e">
        <f t="shared" si="46"/>
        <v>#REF!</v>
      </c>
    </row>
    <row r="1833" spans="2:15" ht="17.399999999999999">
      <c r="B1833" s="42" t="s">
        <v>97</v>
      </c>
      <c r="C1833" s="39">
        <f>'تقرير المصروفات حسب الشهر'!S82</f>
        <v>719.31</v>
      </c>
      <c r="D1833" s="31" t="e">
        <f>#REF!</f>
        <v>#REF!</v>
      </c>
      <c r="E1833" s="31" t="e">
        <f>#REF!</f>
        <v>#REF!</v>
      </c>
      <c r="F1833" s="31" t="e">
        <f>#REF!</f>
        <v>#REF!</v>
      </c>
      <c r="G1833" s="31" t="e">
        <f>#REF!</f>
        <v>#REF!</v>
      </c>
      <c r="H1833" s="31" t="e">
        <f>#REF!</f>
        <v>#REF!</v>
      </c>
      <c r="I1833" s="31">
        <f>'تقرير المصروفات حسب الشهر'!S835</f>
        <v>0</v>
      </c>
      <c r="J1833" s="31">
        <f>'تقرير المصروفات حسب الشهر'!S962</f>
        <v>0</v>
      </c>
      <c r="K1833" s="31">
        <f>'تقرير المصروفات حسب الشهر'!S1089</f>
        <v>2130</v>
      </c>
      <c r="L1833" s="292">
        <f>IFERROR(VLOOKUP(B1833,'تقرير المصروفات حسب الشهر'!$C$1143:$AD$1254,17,FALSE),0)</f>
        <v>1209.96</v>
      </c>
      <c r="M1833" s="292">
        <f>IFERROR(VLOOKUP(B1833,'تقرير المصروفات حسب الشهر'!$C$1270:$AD$1381,17,FALSE),0)</f>
        <v>823.96</v>
      </c>
      <c r="N1833" s="31" t="e">
        <f>#REF!</f>
        <v>#REF!</v>
      </c>
      <c r="O1833" s="37" t="e">
        <f t="shared" si="46"/>
        <v>#REF!</v>
      </c>
    </row>
    <row r="1834" spans="2:15" ht="17.399999999999999">
      <c r="B1834" s="42" t="s">
        <v>192</v>
      </c>
      <c r="C1834" s="39">
        <f>'تقرير المصروفات حسب الشهر'!S83</f>
        <v>0</v>
      </c>
      <c r="D1834" s="31" t="e">
        <f>#REF!</f>
        <v>#REF!</v>
      </c>
      <c r="E1834" s="31" t="e">
        <f>#REF!</f>
        <v>#REF!</v>
      </c>
      <c r="F1834" s="31" t="e">
        <f>#REF!</f>
        <v>#REF!</v>
      </c>
      <c r="G1834" s="31" t="e">
        <f>#REF!</f>
        <v>#REF!</v>
      </c>
      <c r="H1834" s="31" t="e">
        <f>#REF!</f>
        <v>#REF!</v>
      </c>
      <c r="I1834" s="31">
        <f>'تقرير المصروفات حسب الشهر'!S836</f>
        <v>0</v>
      </c>
      <c r="J1834" s="31">
        <f>'تقرير المصروفات حسب الشهر'!S963</f>
        <v>0</v>
      </c>
      <c r="K1834" s="31">
        <f>'تقرير المصروفات حسب الشهر'!S1090</f>
        <v>0</v>
      </c>
      <c r="L1834" s="292">
        <f>IFERROR(VLOOKUP(B1834,'تقرير المصروفات حسب الشهر'!$C$1143:$AD$1254,17,FALSE),0)</f>
        <v>1065</v>
      </c>
      <c r="M1834" s="292">
        <f>IFERROR(VLOOKUP(B1834,'تقرير المصروفات حسب الشهر'!$C$1270:$AD$1381,17,FALSE),0)</f>
        <v>1065</v>
      </c>
      <c r="N1834" s="31" t="e">
        <f>#REF!</f>
        <v>#REF!</v>
      </c>
      <c r="O1834" s="37" t="e">
        <f t="shared" si="46"/>
        <v>#REF!</v>
      </c>
    </row>
    <row r="1835" spans="2:15" ht="17.399999999999999">
      <c r="B1835" s="42" t="s">
        <v>98</v>
      </c>
      <c r="C1835" s="39">
        <f>'تقرير المصروفات حسب الشهر'!S84</f>
        <v>0</v>
      </c>
      <c r="D1835" s="31" t="e">
        <f>#REF!</f>
        <v>#REF!</v>
      </c>
      <c r="E1835" s="31" t="e">
        <f>#REF!</f>
        <v>#REF!</v>
      </c>
      <c r="F1835" s="31" t="e">
        <f>#REF!</f>
        <v>#REF!</v>
      </c>
      <c r="G1835" s="31" t="e">
        <f>#REF!</f>
        <v>#REF!</v>
      </c>
      <c r="H1835" s="31" t="e">
        <f>#REF!</f>
        <v>#REF!</v>
      </c>
      <c r="I1835" s="31">
        <f>'تقرير المصروفات حسب الشهر'!S837</f>
        <v>0</v>
      </c>
      <c r="J1835" s="31">
        <f>'تقرير المصروفات حسب الشهر'!S964</f>
        <v>0</v>
      </c>
      <c r="K1835" s="31">
        <f>'تقرير المصروفات حسب الشهر'!S1091</f>
        <v>0</v>
      </c>
      <c r="L1835" s="292">
        <f>IFERROR(VLOOKUP(B1835,'تقرير المصروفات حسب الشهر'!$C$1143:$AD$1254,17,FALSE),0)</f>
        <v>0</v>
      </c>
      <c r="M1835" s="292">
        <f>IFERROR(VLOOKUP(B1835,'تقرير المصروفات حسب الشهر'!$C$1270:$AD$1381,17,FALSE),0)</f>
        <v>0</v>
      </c>
      <c r="N1835" s="31" t="e">
        <f>#REF!</f>
        <v>#REF!</v>
      </c>
      <c r="O1835" s="37" t="e">
        <f t="shared" si="46"/>
        <v>#REF!</v>
      </c>
    </row>
    <row r="1836" spans="2:15" ht="17.399999999999999">
      <c r="B1836" s="42" t="s">
        <v>99</v>
      </c>
      <c r="C1836" s="39">
        <f>'تقرير المصروفات حسب الشهر'!S85</f>
        <v>0</v>
      </c>
      <c r="D1836" s="31" t="e">
        <f>#REF!</f>
        <v>#REF!</v>
      </c>
      <c r="E1836" s="31" t="e">
        <f>#REF!</f>
        <v>#REF!</v>
      </c>
      <c r="F1836" s="31" t="e">
        <f>#REF!</f>
        <v>#REF!</v>
      </c>
      <c r="G1836" s="31" t="e">
        <f>#REF!</f>
        <v>#REF!</v>
      </c>
      <c r="H1836" s="31" t="e">
        <f>#REF!</f>
        <v>#REF!</v>
      </c>
      <c r="I1836" s="31">
        <f>'تقرير المصروفات حسب الشهر'!S838</f>
        <v>0</v>
      </c>
      <c r="J1836" s="31">
        <f>'تقرير المصروفات حسب الشهر'!S965</f>
        <v>0</v>
      </c>
      <c r="K1836" s="31">
        <f>'تقرير المصروفات حسب الشهر'!S1092</f>
        <v>0</v>
      </c>
      <c r="L1836" s="292">
        <f>IFERROR(VLOOKUP(B1836,'تقرير المصروفات حسب الشهر'!$C$1143:$AD$1254,17,FALSE),0)</f>
        <v>0</v>
      </c>
      <c r="M1836" s="292">
        <f>IFERROR(VLOOKUP(B1836,'تقرير المصروفات حسب الشهر'!$C$1270:$AD$1381,17,FALSE),0)</f>
        <v>0</v>
      </c>
      <c r="N1836" s="31" t="e">
        <f>#REF!</f>
        <v>#REF!</v>
      </c>
      <c r="O1836" s="37" t="e">
        <f t="shared" si="46"/>
        <v>#REF!</v>
      </c>
    </row>
    <row r="1837" spans="2:15" ht="17.399999999999999">
      <c r="B1837" s="42" t="s">
        <v>100</v>
      </c>
      <c r="C1837" s="39">
        <f>'تقرير المصروفات حسب الشهر'!S86</f>
        <v>0</v>
      </c>
      <c r="D1837" s="31" t="e">
        <f>#REF!</f>
        <v>#REF!</v>
      </c>
      <c r="E1837" s="31" t="e">
        <f>#REF!</f>
        <v>#REF!</v>
      </c>
      <c r="F1837" s="31" t="e">
        <f>#REF!</f>
        <v>#REF!</v>
      </c>
      <c r="G1837" s="31" t="e">
        <f>#REF!</f>
        <v>#REF!</v>
      </c>
      <c r="H1837" s="31" t="e">
        <f>#REF!</f>
        <v>#REF!</v>
      </c>
      <c r="I1837" s="31">
        <f>'تقرير المصروفات حسب الشهر'!S839</f>
        <v>0</v>
      </c>
      <c r="J1837" s="31">
        <f>'تقرير المصروفات حسب الشهر'!S966</f>
        <v>0</v>
      </c>
      <c r="K1837" s="31">
        <f>'تقرير المصروفات حسب الشهر'!S1093</f>
        <v>0</v>
      </c>
      <c r="L1837" s="292">
        <f>IFERROR(VLOOKUP(B1837,'تقرير المصروفات حسب الشهر'!$C$1143:$AD$1254,17,FALSE),0)</f>
        <v>0</v>
      </c>
      <c r="M1837" s="292">
        <f>IFERROR(VLOOKUP(B1837,'تقرير المصروفات حسب الشهر'!$C$1270:$AD$1381,17,FALSE),0)</f>
        <v>0</v>
      </c>
      <c r="N1837" s="31" t="e">
        <f>#REF!</f>
        <v>#REF!</v>
      </c>
      <c r="O1837" s="37" t="e">
        <f t="shared" si="46"/>
        <v>#REF!</v>
      </c>
    </row>
    <row r="1838" spans="2:15" ht="17.399999999999999">
      <c r="B1838" s="42" t="s">
        <v>101</v>
      </c>
      <c r="C1838" s="39">
        <f>'تقرير المصروفات حسب الشهر'!S87</f>
        <v>0</v>
      </c>
      <c r="D1838" s="31" t="e">
        <f>#REF!</f>
        <v>#REF!</v>
      </c>
      <c r="E1838" s="31" t="e">
        <f>#REF!</f>
        <v>#REF!</v>
      </c>
      <c r="F1838" s="31" t="e">
        <f>#REF!</f>
        <v>#REF!</v>
      </c>
      <c r="G1838" s="31" t="e">
        <f>#REF!</f>
        <v>#REF!</v>
      </c>
      <c r="H1838" s="31" t="e">
        <f>#REF!</f>
        <v>#REF!</v>
      </c>
      <c r="I1838" s="31">
        <f>'تقرير المصروفات حسب الشهر'!S840</f>
        <v>473.18</v>
      </c>
      <c r="J1838" s="31">
        <f>'تقرير المصروفات حسب الشهر'!S967</f>
        <v>473.18</v>
      </c>
      <c r="K1838" s="31">
        <f>'تقرير المصروفات حسب الشهر'!S1094</f>
        <v>478.72</v>
      </c>
      <c r="L1838" s="292">
        <f>IFERROR(VLOOKUP(B1838,'تقرير المصروفات حسب الشهر'!$C$1143:$AD$1254,17,FALSE),0)</f>
        <v>0</v>
      </c>
      <c r="M1838" s="292">
        <f>IFERROR(VLOOKUP(B1838,'تقرير المصروفات حسب الشهر'!$C$1270:$AD$1381,17,FALSE),0)</f>
        <v>0</v>
      </c>
      <c r="N1838" s="31" t="e">
        <f>#REF!</f>
        <v>#REF!</v>
      </c>
      <c r="O1838" s="37" t="e">
        <f t="shared" si="46"/>
        <v>#REF!</v>
      </c>
    </row>
    <row r="1839" spans="2:15" ht="17.399999999999999">
      <c r="B1839" s="42" t="s">
        <v>102</v>
      </c>
      <c r="C1839" s="39">
        <f>'تقرير المصروفات حسب الشهر'!S88</f>
        <v>391.2</v>
      </c>
      <c r="D1839" s="31" t="e">
        <f>#REF!</f>
        <v>#REF!</v>
      </c>
      <c r="E1839" s="31" t="e">
        <f>#REF!</f>
        <v>#REF!</v>
      </c>
      <c r="F1839" s="31" t="e">
        <f>#REF!</f>
        <v>#REF!</v>
      </c>
      <c r="G1839" s="31" t="e">
        <f>#REF!</f>
        <v>#REF!</v>
      </c>
      <c r="H1839" s="31" t="e">
        <f>#REF!</f>
        <v>#REF!</v>
      </c>
      <c r="I1839" s="31">
        <f>'تقرير المصروفات حسب الشهر'!S841</f>
        <v>98.57</v>
      </c>
      <c r="J1839" s="31">
        <f>'تقرير المصروفات حسب الشهر'!S968</f>
        <v>83.3</v>
      </c>
      <c r="K1839" s="31">
        <f>'تقرير المصروفات حسب الشهر'!S1095</f>
        <v>45.13</v>
      </c>
      <c r="L1839" s="292">
        <f>IFERROR(VLOOKUP(B1839,'تقرير المصروفات حسب الشهر'!$C$1143:$AD$1254,17,FALSE),0)</f>
        <v>528.5</v>
      </c>
      <c r="M1839" s="292">
        <f>IFERROR(VLOOKUP(B1839,'تقرير المصروفات حسب الشهر'!$C$1270:$AD$1381,17,FALSE),0)</f>
        <v>542.63</v>
      </c>
      <c r="N1839" s="31" t="e">
        <f>#REF!</f>
        <v>#REF!</v>
      </c>
      <c r="O1839" s="37" t="e">
        <f t="shared" si="46"/>
        <v>#REF!</v>
      </c>
    </row>
    <row r="1840" spans="2:15" ht="17.399999999999999">
      <c r="B1840" s="42" t="s">
        <v>103</v>
      </c>
      <c r="C1840" s="39">
        <f>'تقرير المصروفات حسب الشهر'!S89</f>
        <v>53.44</v>
      </c>
      <c r="D1840" s="31" t="e">
        <f>#REF!</f>
        <v>#REF!</v>
      </c>
      <c r="E1840" s="31" t="e">
        <f>#REF!</f>
        <v>#REF!</v>
      </c>
      <c r="F1840" s="31" t="e">
        <f>#REF!</f>
        <v>#REF!</v>
      </c>
      <c r="G1840" s="31" t="e">
        <f>#REF!</f>
        <v>#REF!</v>
      </c>
      <c r="H1840" s="31" t="e">
        <f>#REF!</f>
        <v>#REF!</v>
      </c>
      <c r="I1840" s="31">
        <f>'تقرير المصروفات حسب الشهر'!S842</f>
        <v>121.51</v>
      </c>
      <c r="J1840" s="31">
        <f>'تقرير المصروفات حسب الشهر'!S969</f>
        <v>121.51</v>
      </c>
      <c r="K1840" s="31">
        <f>'تقرير المصروفات حسب الشهر'!S1096</f>
        <v>121.51</v>
      </c>
      <c r="L1840" s="292">
        <f>IFERROR(VLOOKUP(B1840,'تقرير المصروفات حسب الشهر'!$C$1143:$AD$1254,17,FALSE),0)</f>
        <v>45.13</v>
      </c>
      <c r="M1840" s="292">
        <f>IFERROR(VLOOKUP(B1840,'تقرير المصروفات حسب الشهر'!$C$1270:$AD$1381,17,FALSE),0)</f>
        <v>45.13</v>
      </c>
      <c r="N1840" s="31" t="e">
        <f>#REF!</f>
        <v>#REF!</v>
      </c>
      <c r="O1840" s="37" t="e">
        <f t="shared" si="46"/>
        <v>#REF!</v>
      </c>
    </row>
    <row r="1841" spans="2:15" ht="17.399999999999999">
      <c r="B1841" s="42" t="s">
        <v>104</v>
      </c>
      <c r="C1841" s="39">
        <f>'تقرير المصروفات حسب الشهر'!S90</f>
        <v>128.79</v>
      </c>
      <c r="D1841" s="31" t="e">
        <f>#REF!</f>
        <v>#REF!</v>
      </c>
      <c r="E1841" s="31" t="e">
        <f>#REF!</f>
        <v>#REF!</v>
      </c>
      <c r="F1841" s="31" t="e">
        <f>#REF!</f>
        <v>#REF!</v>
      </c>
      <c r="G1841" s="31" t="e">
        <f>#REF!</f>
        <v>#REF!</v>
      </c>
      <c r="H1841" s="31" t="e">
        <f>#REF!</f>
        <v>#REF!</v>
      </c>
      <c r="I1841" s="31">
        <f>'تقرير المصروفات حسب الشهر'!S843</f>
        <v>1004.92</v>
      </c>
      <c r="J1841" s="31">
        <f>'تقرير المصروفات حسب الشهر'!S970</f>
        <v>1004.92</v>
      </c>
      <c r="K1841" s="31">
        <f>'تقرير المصروفات حسب الشهر'!S1097</f>
        <v>1004.92</v>
      </c>
      <c r="L1841" s="292">
        <f>IFERROR(VLOOKUP(B1841,'تقرير المصروفات حسب الشهر'!$C$1143:$AD$1254,17,FALSE),0)</f>
        <v>121.51</v>
      </c>
      <c r="M1841" s="292">
        <f>IFERROR(VLOOKUP(B1841,'تقرير المصروفات حسب الشهر'!$C$1270:$AD$1381,17,FALSE),0)</f>
        <v>121.47</v>
      </c>
      <c r="N1841" s="31" t="e">
        <f>#REF!</f>
        <v>#REF!</v>
      </c>
      <c r="O1841" s="37" t="e">
        <f t="shared" si="46"/>
        <v>#REF!</v>
      </c>
    </row>
    <row r="1842" spans="2:15" ht="17.399999999999999">
      <c r="B1842" s="42" t="s">
        <v>105</v>
      </c>
      <c r="C1842" s="39">
        <f>'تقرير المصروفات حسب الشهر'!S91</f>
        <v>1004.92</v>
      </c>
      <c r="D1842" s="31" t="e">
        <f>#REF!</f>
        <v>#REF!</v>
      </c>
      <c r="E1842" s="31" t="e">
        <f>#REF!</f>
        <v>#REF!</v>
      </c>
      <c r="F1842" s="31" t="e">
        <f>#REF!</f>
        <v>#REF!</v>
      </c>
      <c r="G1842" s="31" t="e">
        <f>#REF!</f>
        <v>#REF!</v>
      </c>
      <c r="H1842" s="31" t="e">
        <f>#REF!</f>
        <v>#REF!</v>
      </c>
      <c r="I1842" s="31">
        <f>'تقرير المصروفات حسب الشهر'!S844</f>
        <v>0</v>
      </c>
      <c r="J1842" s="31">
        <f>'تقرير المصروفات حسب الشهر'!S971</f>
        <v>0</v>
      </c>
      <c r="K1842" s="31">
        <f>'تقرير المصروفات حسب الشهر'!S1098</f>
        <v>0</v>
      </c>
      <c r="L1842" s="292">
        <f>IFERROR(VLOOKUP(B1842,'تقرير المصروفات حسب الشهر'!$C$1143:$AD$1254,17,FALSE),0)</f>
        <v>1004.92</v>
      </c>
      <c r="M1842" s="292">
        <f>IFERROR(VLOOKUP(B1842,'تقرير المصروفات حسب الشهر'!$C$1270:$AD$1381,17,FALSE),0)</f>
        <v>1004.88</v>
      </c>
      <c r="N1842" s="31" t="e">
        <f>#REF!</f>
        <v>#REF!</v>
      </c>
      <c r="O1842" s="37" t="e">
        <f t="shared" si="46"/>
        <v>#REF!</v>
      </c>
    </row>
    <row r="1843" spans="2:15" ht="17.399999999999999">
      <c r="B1843" s="42" t="s">
        <v>106</v>
      </c>
      <c r="C1843" s="39">
        <f>'تقرير المصروفات حسب الشهر'!S92</f>
        <v>0</v>
      </c>
      <c r="D1843" s="31" t="e">
        <f>#REF!</f>
        <v>#REF!</v>
      </c>
      <c r="E1843" s="31" t="e">
        <f>#REF!</f>
        <v>#REF!</v>
      </c>
      <c r="F1843" s="31" t="e">
        <f>#REF!</f>
        <v>#REF!</v>
      </c>
      <c r="G1843" s="31" t="e">
        <f>#REF!</f>
        <v>#REF!</v>
      </c>
      <c r="H1843" s="31" t="e">
        <f>#REF!</f>
        <v>#REF!</v>
      </c>
      <c r="I1843" s="31">
        <f>'تقرير المصروفات حسب الشهر'!S845</f>
        <v>0</v>
      </c>
      <c r="J1843" s="31">
        <f>'تقرير المصروفات حسب الشهر'!S972</f>
        <v>0</v>
      </c>
      <c r="K1843" s="31">
        <f>'تقرير المصروفات حسب الشهر'!S1099</f>
        <v>0</v>
      </c>
      <c r="L1843" s="292">
        <f>IFERROR(VLOOKUP(B1843,'تقرير المصروفات حسب الشهر'!$C$1143:$AD$1254,17,FALSE),0)</f>
        <v>0</v>
      </c>
      <c r="M1843" s="292">
        <f>IFERROR(VLOOKUP(B1843,'تقرير المصروفات حسب الشهر'!$C$1270:$AD$1381,17,FALSE),0)</f>
        <v>0</v>
      </c>
      <c r="N1843" s="31" t="e">
        <f>#REF!</f>
        <v>#REF!</v>
      </c>
      <c r="O1843" s="37" t="e">
        <f t="shared" si="46"/>
        <v>#REF!</v>
      </c>
    </row>
    <row r="1844" spans="2:15" ht="17.399999999999999">
      <c r="B1844" s="42" t="s">
        <v>107</v>
      </c>
      <c r="C1844" s="39">
        <f>'تقرير المصروفات حسب الشهر'!S93</f>
        <v>0</v>
      </c>
      <c r="D1844" s="31" t="e">
        <f>#REF!</f>
        <v>#REF!</v>
      </c>
      <c r="E1844" s="31" t="e">
        <f>#REF!</f>
        <v>#REF!</v>
      </c>
      <c r="F1844" s="31" t="e">
        <f>#REF!</f>
        <v>#REF!</v>
      </c>
      <c r="G1844" s="31" t="e">
        <f>#REF!</f>
        <v>#REF!</v>
      </c>
      <c r="H1844" s="31" t="e">
        <f>#REF!</f>
        <v>#REF!</v>
      </c>
      <c r="I1844" s="31">
        <f>'تقرير المصروفات حسب الشهر'!S846</f>
        <v>2046</v>
      </c>
      <c r="J1844" s="31">
        <f>'تقرير المصروفات حسب الشهر'!S973</f>
        <v>1979</v>
      </c>
      <c r="K1844" s="31">
        <f>'تقرير المصروفات حسب الشهر'!S1100</f>
        <v>10640.97</v>
      </c>
      <c r="L1844" s="292">
        <f>IFERROR(VLOOKUP(B1844,'تقرير المصروفات حسب الشهر'!$C$1143:$AD$1254,17,FALSE),0)</f>
        <v>0</v>
      </c>
      <c r="M1844" s="292">
        <f>IFERROR(VLOOKUP(B1844,'تقرير المصروفات حسب الشهر'!$C$1270:$AD$1381,17,FALSE),0)</f>
        <v>0</v>
      </c>
      <c r="N1844" s="31" t="e">
        <f>#REF!</f>
        <v>#REF!</v>
      </c>
      <c r="O1844" s="37" t="e">
        <f t="shared" si="46"/>
        <v>#REF!</v>
      </c>
    </row>
    <row r="1845" spans="2:15" ht="17.399999999999999">
      <c r="B1845" s="42" t="s">
        <v>108</v>
      </c>
      <c r="C1845" s="39">
        <f>'تقرير المصروفات حسب الشهر'!S94</f>
        <v>3022.6</v>
      </c>
      <c r="D1845" s="31" t="e">
        <f>#REF!</f>
        <v>#REF!</v>
      </c>
      <c r="E1845" s="31" t="e">
        <f>#REF!</f>
        <v>#REF!</v>
      </c>
      <c r="F1845" s="31" t="e">
        <f>#REF!</f>
        <v>#REF!</v>
      </c>
      <c r="G1845" s="31" t="e">
        <f>#REF!</f>
        <v>#REF!</v>
      </c>
      <c r="H1845" s="31" t="e">
        <f>#REF!</f>
        <v>#REF!</v>
      </c>
      <c r="I1845" s="31">
        <f>'تقرير المصروفات حسب الشهر'!S847</f>
        <v>0</v>
      </c>
      <c r="J1845" s="31">
        <f>'تقرير المصروفات حسب الشهر'!S974</f>
        <v>0</v>
      </c>
      <c r="K1845" s="31">
        <f>'تقرير المصروفات حسب الشهر'!S1101</f>
        <v>0</v>
      </c>
      <c r="L1845" s="292">
        <f>IFERROR(VLOOKUP(B1845,'تقرير المصروفات حسب الشهر'!$C$1143:$AD$1254,17,FALSE),0)</f>
        <v>3215</v>
      </c>
      <c r="M1845" s="292">
        <f>IFERROR(VLOOKUP(B1845,'تقرير المصروفات حسب الشهر'!$C$1270:$AD$1381,17,FALSE),0)</f>
        <v>1704.4</v>
      </c>
      <c r="N1845" s="31" t="e">
        <f>#REF!</f>
        <v>#REF!</v>
      </c>
      <c r="O1845" s="37" t="e">
        <f t="shared" si="46"/>
        <v>#REF!</v>
      </c>
    </row>
    <row r="1846" spans="2:15" ht="17.399999999999999">
      <c r="B1846" s="42" t="s">
        <v>109</v>
      </c>
      <c r="C1846" s="39">
        <f>'تقرير المصروفات حسب الشهر'!S95</f>
        <v>0</v>
      </c>
      <c r="D1846" s="31" t="e">
        <f>#REF!</f>
        <v>#REF!</v>
      </c>
      <c r="E1846" s="31" t="e">
        <f>#REF!</f>
        <v>#REF!</v>
      </c>
      <c r="F1846" s="31" t="e">
        <f>#REF!</f>
        <v>#REF!</v>
      </c>
      <c r="G1846" s="31" t="e">
        <f>#REF!</f>
        <v>#REF!</v>
      </c>
      <c r="H1846" s="31" t="e">
        <f>#REF!</f>
        <v>#REF!</v>
      </c>
      <c r="I1846" s="31">
        <f>'تقرير المصروفات حسب الشهر'!S848</f>
        <v>0</v>
      </c>
      <c r="J1846" s="31">
        <f>'تقرير المصروفات حسب الشهر'!S975</f>
        <v>0</v>
      </c>
      <c r="K1846" s="31">
        <f>'تقرير المصروفات حسب الشهر'!S1102</f>
        <v>0</v>
      </c>
      <c r="L1846" s="292">
        <f>IFERROR(VLOOKUP(B1846,'تقرير المصروفات حسب الشهر'!$C$1143:$AD$1254,17,FALSE),0)</f>
        <v>0</v>
      </c>
      <c r="M1846" s="292">
        <f>IFERROR(VLOOKUP(B1846,'تقرير المصروفات حسب الشهر'!$C$1270:$AD$1381,17,FALSE),0)</f>
        <v>0</v>
      </c>
      <c r="N1846" s="31" t="e">
        <f>#REF!</f>
        <v>#REF!</v>
      </c>
      <c r="O1846" s="37" t="e">
        <f t="shared" si="46"/>
        <v>#REF!</v>
      </c>
    </row>
    <row r="1847" spans="2:15" ht="17.399999999999999">
      <c r="B1847" s="42" t="s">
        <v>110</v>
      </c>
      <c r="C1847" s="39">
        <f>'تقرير المصروفات حسب الشهر'!S96</f>
        <v>0</v>
      </c>
      <c r="D1847" s="31" t="e">
        <f>#REF!</f>
        <v>#REF!</v>
      </c>
      <c r="E1847" s="31" t="e">
        <f>#REF!</f>
        <v>#REF!</v>
      </c>
      <c r="F1847" s="31" t="e">
        <f>#REF!</f>
        <v>#REF!</v>
      </c>
      <c r="G1847" s="31" t="e">
        <f>#REF!</f>
        <v>#REF!</v>
      </c>
      <c r="H1847" s="31" t="e">
        <f>#REF!</f>
        <v>#REF!</v>
      </c>
      <c r="I1847" s="31">
        <f>'تقرير المصروفات حسب الشهر'!S849</f>
        <v>0</v>
      </c>
      <c r="J1847" s="31">
        <f>'تقرير المصروفات حسب الشهر'!S976</f>
        <v>0</v>
      </c>
      <c r="K1847" s="31">
        <f>'تقرير المصروفات حسب الشهر'!S1103</f>
        <v>0</v>
      </c>
      <c r="L1847" s="292">
        <f>IFERROR(VLOOKUP(B1847,'تقرير المصروفات حسب الشهر'!$C$1143:$AD$1254,17,FALSE),0)</f>
        <v>0</v>
      </c>
      <c r="M1847" s="292">
        <f>IFERROR(VLOOKUP(B1847,'تقرير المصروفات حسب الشهر'!$C$1270:$AD$1381,17,FALSE),0)</f>
        <v>0</v>
      </c>
      <c r="N1847" s="31" t="e">
        <f>#REF!</f>
        <v>#REF!</v>
      </c>
      <c r="O1847" s="37" t="e">
        <f t="shared" si="46"/>
        <v>#REF!</v>
      </c>
    </row>
    <row r="1848" spans="2:15" ht="17.399999999999999">
      <c r="B1848" s="42" t="s">
        <v>112</v>
      </c>
      <c r="C1848" s="39">
        <f>'تقرير المصروفات حسب الشهر'!S97</f>
        <v>0</v>
      </c>
      <c r="D1848" s="31" t="e">
        <f>#REF!</f>
        <v>#REF!</v>
      </c>
      <c r="E1848" s="31" t="e">
        <f>#REF!</f>
        <v>#REF!</v>
      </c>
      <c r="F1848" s="31" t="e">
        <f>#REF!</f>
        <v>#REF!</v>
      </c>
      <c r="G1848" s="31" t="e">
        <f>#REF!</f>
        <v>#REF!</v>
      </c>
      <c r="H1848" s="31" t="e">
        <f>#REF!</f>
        <v>#REF!</v>
      </c>
      <c r="I1848" s="31">
        <f>'تقرير المصروفات حسب الشهر'!S850</f>
        <v>0</v>
      </c>
      <c r="J1848" s="31">
        <f>'تقرير المصروفات حسب الشهر'!S977</f>
        <v>1.83</v>
      </c>
      <c r="K1848" s="31">
        <f>'تقرير المصروفات حسب الشهر'!S1104</f>
        <v>0</v>
      </c>
      <c r="L1848" s="292">
        <f>IFERROR(VLOOKUP(B1848,'تقرير المصروفات حسب الشهر'!$C$1143:$AD$1254,17,FALSE),0)</f>
        <v>0</v>
      </c>
      <c r="M1848" s="292">
        <f>IFERROR(VLOOKUP(B1848,'تقرير المصروفات حسب الشهر'!$C$1270:$AD$1381,17,FALSE),0)</f>
        <v>0</v>
      </c>
      <c r="N1848" s="31" t="e">
        <f>#REF!</f>
        <v>#REF!</v>
      </c>
      <c r="O1848" s="37" t="e">
        <f t="shared" si="46"/>
        <v>#REF!</v>
      </c>
    </row>
    <row r="1849" spans="2:15" ht="17.399999999999999">
      <c r="B1849" s="42" t="s">
        <v>113</v>
      </c>
      <c r="C1849" s="39">
        <f>'تقرير المصروفات حسب الشهر'!S98</f>
        <v>8.23</v>
      </c>
      <c r="D1849" s="31" t="e">
        <f>#REF!</f>
        <v>#REF!</v>
      </c>
      <c r="E1849" s="31" t="e">
        <f>#REF!</f>
        <v>#REF!</v>
      </c>
      <c r="F1849" s="31" t="e">
        <f>#REF!</f>
        <v>#REF!</v>
      </c>
      <c r="G1849" s="31" t="e">
        <f>#REF!</f>
        <v>#REF!</v>
      </c>
      <c r="H1849" s="31" t="e">
        <f>#REF!</f>
        <v>#REF!</v>
      </c>
      <c r="I1849" s="31">
        <f>'تقرير المصروفات حسب الشهر'!S851</f>
        <v>0</v>
      </c>
      <c r="J1849" s="31">
        <f>'تقرير المصروفات حسب الشهر'!S978</f>
        <v>0</v>
      </c>
      <c r="K1849" s="31">
        <f>'تقرير المصروفات حسب الشهر'!S1105</f>
        <v>0</v>
      </c>
      <c r="L1849" s="292">
        <f>IFERROR(VLOOKUP(B1849,'تقرير المصروفات حسب الشهر'!$C$1143:$AD$1254,17,FALSE),0)</f>
        <v>2428.29</v>
      </c>
      <c r="M1849" s="292">
        <f>IFERROR(VLOOKUP(B1849,'تقرير المصروفات حسب الشهر'!$C$1270:$AD$1381,17,FALSE),0)</f>
        <v>4949.88</v>
      </c>
      <c r="N1849" s="31" t="e">
        <f>#REF!</f>
        <v>#REF!</v>
      </c>
      <c r="O1849" s="37" t="e">
        <f t="shared" si="46"/>
        <v>#REF!</v>
      </c>
    </row>
    <row r="1850" spans="2:15" ht="17.399999999999999">
      <c r="B1850" s="42" t="s">
        <v>137</v>
      </c>
      <c r="C1850" s="39">
        <f>'تقرير المصروفات حسب الشهر'!S99</f>
        <v>0</v>
      </c>
      <c r="D1850" s="31" t="e">
        <f>#REF!</f>
        <v>#REF!</v>
      </c>
      <c r="E1850" s="31" t="e">
        <f>#REF!</f>
        <v>#REF!</v>
      </c>
      <c r="F1850" s="31" t="e">
        <f>#REF!</f>
        <v>#REF!</v>
      </c>
      <c r="G1850" s="31" t="e">
        <f>#REF!</f>
        <v>#REF!</v>
      </c>
      <c r="H1850" s="31" t="e">
        <f>#REF!</f>
        <v>#REF!</v>
      </c>
      <c r="I1850" s="31">
        <f>'تقرير المصروفات حسب الشهر'!S852</f>
        <v>0</v>
      </c>
      <c r="J1850" s="31">
        <f>'تقرير المصروفات حسب الشهر'!S979</f>
        <v>0</v>
      </c>
      <c r="K1850" s="31">
        <f>'تقرير المصروفات حسب الشهر'!S1106</f>
        <v>109</v>
      </c>
      <c r="L1850" s="292">
        <f>IFERROR(VLOOKUP(B1850,'تقرير المصروفات حسب الشهر'!$C$1143:$AD$1254,17,FALSE),0)</f>
        <v>0</v>
      </c>
      <c r="M1850" s="292">
        <f>IFERROR(VLOOKUP(B1850,'تقرير المصروفات حسب الشهر'!$C$1270:$AD$1381,17,FALSE),0)</f>
        <v>0</v>
      </c>
      <c r="N1850" s="31" t="e">
        <f>#REF!</f>
        <v>#REF!</v>
      </c>
      <c r="O1850" s="37" t="e">
        <f t="shared" si="46"/>
        <v>#REF!</v>
      </c>
    </row>
    <row r="1851" spans="2:15" ht="17.399999999999999">
      <c r="B1851" s="42" t="s">
        <v>140</v>
      </c>
      <c r="C1851" s="39">
        <f>'تقرير المصروفات حسب الشهر'!S100</f>
        <v>116</v>
      </c>
      <c r="D1851" s="31" t="e">
        <f>#REF!</f>
        <v>#REF!</v>
      </c>
      <c r="E1851" s="31" t="e">
        <f>#REF!</f>
        <v>#REF!</v>
      </c>
      <c r="F1851" s="31" t="e">
        <f>#REF!</f>
        <v>#REF!</v>
      </c>
      <c r="G1851" s="31" t="e">
        <f>#REF!</f>
        <v>#REF!</v>
      </c>
      <c r="H1851" s="31" t="e">
        <f>#REF!</f>
        <v>#REF!</v>
      </c>
      <c r="I1851" s="31">
        <f>'تقرير المصروفات حسب الشهر'!S853</f>
        <v>0</v>
      </c>
      <c r="J1851" s="31">
        <f>'تقرير المصروفات حسب الشهر'!S980</f>
        <v>0</v>
      </c>
      <c r="K1851" s="31">
        <f>'تقرير المصروفات حسب الشهر'!S1107</f>
        <v>0</v>
      </c>
      <c r="L1851" s="292">
        <f>IFERROR(VLOOKUP(B1851,'تقرير المصروفات حسب الشهر'!$C$1143:$AD$1254,17,FALSE),0)</f>
        <v>250</v>
      </c>
      <c r="M1851" s="292">
        <f>IFERROR(VLOOKUP(B1851,'تقرير المصروفات حسب الشهر'!$C$1270:$AD$1381,17,FALSE),0)</f>
        <v>0</v>
      </c>
      <c r="N1851" s="31" t="e">
        <f>#REF!</f>
        <v>#REF!</v>
      </c>
      <c r="O1851" s="37" t="e">
        <f t="shared" si="46"/>
        <v>#REF!</v>
      </c>
    </row>
    <row r="1852" spans="2:15" ht="17.399999999999999">
      <c r="B1852" s="42" t="s">
        <v>141</v>
      </c>
      <c r="C1852" s="39">
        <f>'تقرير المصروفات حسب الشهر'!S101</f>
        <v>0</v>
      </c>
      <c r="D1852" s="31" t="e">
        <f>#REF!</f>
        <v>#REF!</v>
      </c>
      <c r="E1852" s="31" t="e">
        <f>#REF!</f>
        <v>#REF!</v>
      </c>
      <c r="F1852" s="31" t="e">
        <f>#REF!</f>
        <v>#REF!</v>
      </c>
      <c r="G1852" s="31" t="e">
        <f>#REF!</f>
        <v>#REF!</v>
      </c>
      <c r="H1852" s="31" t="e">
        <f>#REF!</f>
        <v>#REF!</v>
      </c>
      <c r="I1852" s="31">
        <f>'تقرير المصروفات حسب الشهر'!S854</f>
        <v>0</v>
      </c>
      <c r="J1852" s="31">
        <f>'تقرير المصروفات حسب الشهر'!S981</f>
        <v>0</v>
      </c>
      <c r="K1852" s="31">
        <f>'تقرير المصروفات حسب الشهر'!S1108</f>
        <v>0</v>
      </c>
      <c r="L1852" s="292">
        <f>IFERROR(VLOOKUP(B1852,'تقرير المصروفات حسب الشهر'!$C$1143:$AD$1254,17,FALSE),0)</f>
        <v>0</v>
      </c>
      <c r="M1852" s="292">
        <f>IFERROR(VLOOKUP(B1852,'تقرير المصروفات حسب الشهر'!$C$1270:$AD$1381,17,FALSE),0)</f>
        <v>0</v>
      </c>
      <c r="N1852" s="31" t="e">
        <f>#REF!</f>
        <v>#REF!</v>
      </c>
      <c r="O1852" s="37" t="e">
        <f t="shared" si="46"/>
        <v>#REF!</v>
      </c>
    </row>
    <row r="1853" spans="2:15" ht="17.399999999999999">
      <c r="B1853" s="42" t="s">
        <v>193</v>
      </c>
      <c r="C1853" s="39">
        <f>'تقرير المصروفات حسب الشهر'!S102</f>
        <v>0</v>
      </c>
      <c r="D1853" s="31" t="e">
        <f>#REF!</f>
        <v>#REF!</v>
      </c>
      <c r="E1853" s="31" t="e">
        <f>#REF!</f>
        <v>#REF!</v>
      </c>
      <c r="F1853" s="31" t="e">
        <f>#REF!</f>
        <v>#REF!</v>
      </c>
      <c r="G1853" s="31" t="e">
        <f>#REF!</f>
        <v>#REF!</v>
      </c>
      <c r="H1853" s="31" t="e">
        <f>#REF!</f>
        <v>#REF!</v>
      </c>
      <c r="I1853" s="31">
        <f>'تقرير المصروفات حسب الشهر'!S855</f>
        <v>0</v>
      </c>
      <c r="J1853" s="31">
        <f>'تقرير المصروفات حسب الشهر'!S982</f>
        <v>0</v>
      </c>
      <c r="K1853" s="31">
        <f>'تقرير المصروفات حسب الشهر'!S1109</f>
        <v>0</v>
      </c>
      <c r="L1853" s="292">
        <f>IFERROR(VLOOKUP(B1853,'تقرير المصروفات حسب الشهر'!$C$1143:$AD$1254,17,FALSE),0)</f>
        <v>0</v>
      </c>
      <c r="M1853" s="292">
        <f>IFERROR(VLOOKUP(B1853,'تقرير المصروفات حسب الشهر'!$C$1270:$AD$1381,17,FALSE),0)</f>
        <v>0</v>
      </c>
      <c r="N1853" s="31" t="e">
        <f>#REF!</f>
        <v>#REF!</v>
      </c>
      <c r="O1853" s="37" t="e">
        <f t="shared" si="46"/>
        <v>#REF!</v>
      </c>
    </row>
    <row r="1854" spans="2:15" ht="17.399999999999999">
      <c r="B1854" s="42" t="s">
        <v>148</v>
      </c>
      <c r="C1854" s="39">
        <f>'تقرير المصروفات حسب الشهر'!S103</f>
        <v>0</v>
      </c>
      <c r="D1854" s="31" t="e">
        <f>#REF!</f>
        <v>#REF!</v>
      </c>
      <c r="E1854" s="31" t="e">
        <f>#REF!</f>
        <v>#REF!</v>
      </c>
      <c r="F1854" s="31" t="e">
        <f>#REF!</f>
        <v>#REF!</v>
      </c>
      <c r="G1854" s="31" t="e">
        <f>#REF!</f>
        <v>#REF!</v>
      </c>
      <c r="H1854" s="31" t="e">
        <f>#REF!</f>
        <v>#REF!</v>
      </c>
      <c r="I1854" s="31">
        <f>'تقرير المصروفات حسب الشهر'!S856</f>
        <v>0</v>
      </c>
      <c r="J1854" s="31">
        <f>'تقرير المصروفات حسب الشهر'!S983</f>
        <v>0</v>
      </c>
      <c r="K1854" s="31">
        <f>'تقرير المصروفات حسب الشهر'!S1110</f>
        <v>0</v>
      </c>
      <c r="L1854" s="292">
        <f>IFERROR(VLOOKUP(B1854,'تقرير المصروفات حسب الشهر'!$C$1143:$AD$1254,17,FALSE),0)</f>
        <v>0</v>
      </c>
      <c r="M1854" s="292">
        <f>IFERROR(VLOOKUP(B1854,'تقرير المصروفات حسب الشهر'!$C$1270:$AD$1381,17,FALSE),0)</f>
        <v>0</v>
      </c>
      <c r="N1854" s="31" t="e">
        <f>#REF!</f>
        <v>#REF!</v>
      </c>
      <c r="O1854" s="37" t="e">
        <f t="shared" si="46"/>
        <v>#REF!</v>
      </c>
    </row>
    <row r="1855" spans="2:15" ht="17.399999999999999">
      <c r="B1855" s="42" t="s">
        <v>186</v>
      </c>
      <c r="C1855" s="39">
        <f>'تقرير المصروفات حسب الشهر'!S104</f>
        <v>0</v>
      </c>
      <c r="D1855" s="31" t="e">
        <f>#REF!</f>
        <v>#REF!</v>
      </c>
      <c r="E1855" s="31" t="e">
        <f>#REF!</f>
        <v>#REF!</v>
      </c>
      <c r="F1855" s="31" t="e">
        <f>#REF!</f>
        <v>#REF!</v>
      </c>
      <c r="G1855" s="31" t="e">
        <f>#REF!</f>
        <v>#REF!</v>
      </c>
      <c r="H1855" s="31" t="e">
        <f>#REF!</f>
        <v>#REF!</v>
      </c>
      <c r="I1855" s="31">
        <f>'تقرير المصروفات حسب الشهر'!S857</f>
        <v>0</v>
      </c>
      <c r="J1855" s="31">
        <f>'تقرير المصروفات حسب الشهر'!S984</f>
        <v>0</v>
      </c>
      <c r="K1855" s="31">
        <f>'تقرير المصروفات حسب الشهر'!S1111</f>
        <v>0</v>
      </c>
      <c r="L1855" s="292">
        <f>IFERROR(VLOOKUP(B1855,'تقرير المصروفات حسب الشهر'!$C$1143:$AD$1254,17,FALSE),0)</f>
        <v>0</v>
      </c>
      <c r="M1855" s="292">
        <f>IFERROR(VLOOKUP(B1855,'تقرير المصروفات حسب الشهر'!$C$1270:$AD$1381,17,FALSE),0)</f>
        <v>0</v>
      </c>
      <c r="N1855" s="31" t="e">
        <f>#REF!</f>
        <v>#REF!</v>
      </c>
      <c r="O1855" s="37" t="e">
        <f t="shared" si="46"/>
        <v>#REF!</v>
      </c>
    </row>
    <row r="1856" spans="2:15" ht="17.399999999999999">
      <c r="B1856" s="42" t="s">
        <v>171</v>
      </c>
      <c r="C1856" s="39">
        <f>'تقرير المصروفات حسب الشهر'!S105</f>
        <v>0</v>
      </c>
      <c r="D1856" s="31" t="e">
        <f>#REF!</f>
        <v>#REF!</v>
      </c>
      <c r="E1856" s="31" t="e">
        <f>#REF!</f>
        <v>#REF!</v>
      </c>
      <c r="F1856" s="31" t="e">
        <f>#REF!</f>
        <v>#REF!</v>
      </c>
      <c r="G1856" s="31" t="e">
        <f>#REF!</f>
        <v>#REF!</v>
      </c>
      <c r="H1856" s="31" t="e">
        <f>#REF!</f>
        <v>#REF!</v>
      </c>
      <c r="I1856" s="31">
        <f>'تقرير المصروفات حسب الشهر'!S858</f>
        <v>0</v>
      </c>
      <c r="J1856" s="31">
        <f>'تقرير المصروفات حسب الشهر'!S985</f>
        <v>0</v>
      </c>
      <c r="K1856" s="31">
        <f>'تقرير المصروفات حسب الشهر'!S1112</f>
        <v>0</v>
      </c>
      <c r="L1856" s="292">
        <f>IFERROR(VLOOKUP(B1856,'تقرير المصروفات حسب الشهر'!$C$1143:$AD$1254,17,FALSE),0)</f>
        <v>0</v>
      </c>
      <c r="M1856" s="292">
        <f>IFERROR(VLOOKUP(B1856,'تقرير المصروفات حسب الشهر'!$C$1270:$AD$1381,17,FALSE),0)</f>
        <v>0</v>
      </c>
      <c r="N1856" s="31" t="e">
        <f>#REF!</f>
        <v>#REF!</v>
      </c>
      <c r="O1856" s="37" t="e">
        <f t="shared" si="46"/>
        <v>#REF!</v>
      </c>
    </row>
    <row r="1857" spans="2:15" ht="17.399999999999999">
      <c r="B1857" s="42" t="s">
        <v>180</v>
      </c>
      <c r="C1857" s="39">
        <f>'تقرير المصروفات حسب الشهر'!S106</f>
        <v>0</v>
      </c>
      <c r="D1857" s="31" t="e">
        <f>#REF!</f>
        <v>#REF!</v>
      </c>
      <c r="E1857" s="31" t="e">
        <f>#REF!</f>
        <v>#REF!</v>
      </c>
      <c r="F1857" s="31" t="e">
        <f>#REF!</f>
        <v>#REF!</v>
      </c>
      <c r="G1857" s="31" t="e">
        <f>#REF!</f>
        <v>#REF!</v>
      </c>
      <c r="H1857" s="31" t="e">
        <f>#REF!</f>
        <v>#REF!</v>
      </c>
      <c r="I1857" s="31">
        <f>'تقرير المصروفات حسب الشهر'!S859</f>
        <v>206</v>
      </c>
      <c r="J1857" s="31">
        <f>'تقرير المصروفات حسب الشهر'!S986</f>
        <v>0</v>
      </c>
      <c r="K1857" s="31">
        <f>'تقرير المصروفات حسب الشهر'!S1113</f>
        <v>0</v>
      </c>
      <c r="L1857" s="292">
        <f>IFERROR(VLOOKUP(B1857,'تقرير المصروفات حسب الشهر'!$C$1143:$AD$1254,17,FALSE),0)</f>
        <v>0</v>
      </c>
      <c r="M1857" s="292">
        <f>IFERROR(VLOOKUP(B1857,'تقرير المصروفات حسب الشهر'!$C$1270:$AD$1381,17,FALSE),0)</f>
        <v>0</v>
      </c>
      <c r="N1857" s="31" t="e">
        <f>#REF!</f>
        <v>#REF!</v>
      </c>
      <c r="O1857" s="37" t="e">
        <f t="shared" si="46"/>
        <v>#REF!</v>
      </c>
    </row>
    <row r="1858" spans="2:15" ht="17.399999999999999">
      <c r="B1858" s="42" t="s">
        <v>183</v>
      </c>
      <c r="C1858" s="39">
        <f>'تقرير المصروفات حسب الشهر'!S107</f>
        <v>0</v>
      </c>
      <c r="D1858" s="31" t="e">
        <f>#REF!</f>
        <v>#REF!</v>
      </c>
      <c r="E1858" s="31" t="e">
        <f>#REF!</f>
        <v>#REF!</v>
      </c>
      <c r="F1858" s="31" t="e">
        <f>#REF!</f>
        <v>#REF!</v>
      </c>
      <c r="G1858" s="31" t="e">
        <f>#REF!</f>
        <v>#REF!</v>
      </c>
      <c r="H1858" s="31" t="e">
        <f>#REF!</f>
        <v>#REF!</v>
      </c>
      <c r="I1858" s="31">
        <f>'تقرير المصروفات حسب الشهر'!S860</f>
        <v>0</v>
      </c>
      <c r="J1858" s="31">
        <f>'تقرير المصروفات حسب الشهر'!S987</f>
        <v>0</v>
      </c>
      <c r="K1858" s="31">
        <f>'تقرير المصروفات حسب الشهر'!S1114</f>
        <v>0</v>
      </c>
      <c r="L1858" s="292">
        <f>IFERROR(VLOOKUP(B1858,'تقرير المصروفات حسب الشهر'!$C$1143:$AD$1254,17,FALSE),0)</f>
        <v>0</v>
      </c>
      <c r="M1858" s="292">
        <f>IFERROR(VLOOKUP(B1858,'تقرير المصروفات حسب الشهر'!$C$1270:$AD$1381,17,FALSE),0)</f>
        <v>0</v>
      </c>
      <c r="N1858" s="31" t="e">
        <f>#REF!</f>
        <v>#REF!</v>
      </c>
      <c r="O1858" s="37" t="e">
        <f t="shared" si="46"/>
        <v>#REF!</v>
      </c>
    </row>
    <row r="1859" spans="2:15" ht="17.399999999999999">
      <c r="B1859" s="42" t="s">
        <v>195</v>
      </c>
      <c r="C1859" s="39">
        <f>'تقرير المصروفات حسب الشهر'!S108</f>
        <v>0</v>
      </c>
      <c r="D1859" s="31" t="e">
        <f>#REF!</f>
        <v>#REF!</v>
      </c>
      <c r="E1859" s="31" t="e">
        <f>#REF!</f>
        <v>#REF!</v>
      </c>
      <c r="F1859" s="31" t="e">
        <f>#REF!</f>
        <v>#REF!</v>
      </c>
      <c r="G1859" s="31" t="e">
        <f>#REF!</f>
        <v>#REF!</v>
      </c>
      <c r="H1859" s="31" t="e">
        <f>#REF!</f>
        <v>#REF!</v>
      </c>
      <c r="I1859" s="31">
        <f>'تقرير المصروفات حسب الشهر'!S861</f>
        <v>0</v>
      </c>
      <c r="J1859" s="31">
        <f>'تقرير المصروفات حسب الشهر'!S988</f>
        <v>0</v>
      </c>
      <c r="K1859" s="31">
        <f>'تقرير المصروفات حسب الشهر'!S1115</f>
        <v>0</v>
      </c>
      <c r="L1859" s="292">
        <f>IFERROR(VLOOKUP(B1859,'تقرير المصروفات حسب الشهر'!$C$1143:$AD$1254,17,FALSE),0)</f>
        <v>0</v>
      </c>
      <c r="M1859" s="292">
        <f>IFERROR(VLOOKUP(B1859,'تقرير المصروفات حسب الشهر'!$C$1270:$AD$1381,17,FALSE),0)</f>
        <v>0</v>
      </c>
      <c r="N1859" s="31" t="e">
        <f>#REF!</f>
        <v>#REF!</v>
      </c>
      <c r="O1859" s="37" t="e">
        <f t="shared" si="46"/>
        <v>#REF!</v>
      </c>
    </row>
    <row r="1860" spans="2:15" ht="17.399999999999999">
      <c r="B1860" s="42" t="s">
        <v>189</v>
      </c>
      <c r="C1860" s="39">
        <f>'تقرير المصروفات حسب الشهر'!S109</f>
        <v>0</v>
      </c>
      <c r="D1860" s="31" t="e">
        <f>#REF!</f>
        <v>#REF!</v>
      </c>
      <c r="E1860" s="31" t="e">
        <f>#REF!</f>
        <v>#REF!</v>
      </c>
      <c r="F1860" s="31" t="e">
        <f>#REF!</f>
        <v>#REF!</v>
      </c>
      <c r="G1860" s="31" t="e">
        <f>#REF!</f>
        <v>#REF!</v>
      </c>
      <c r="H1860" s="31" t="e">
        <f>#REF!</f>
        <v>#REF!</v>
      </c>
      <c r="I1860" s="31">
        <f>'تقرير المصروفات حسب الشهر'!S862</f>
        <v>0</v>
      </c>
      <c r="J1860" s="31">
        <f>'تقرير المصروفات حسب الشهر'!S989</f>
        <v>0</v>
      </c>
      <c r="K1860" s="31">
        <f>'تقرير المصروفات حسب الشهر'!S1116</f>
        <v>0</v>
      </c>
      <c r="L1860" s="292">
        <f>IFERROR(VLOOKUP(B1860,'تقرير المصروفات حسب الشهر'!$C$1143:$AD$1254,17,FALSE),0)</f>
        <v>0</v>
      </c>
      <c r="M1860" s="292">
        <f>IFERROR(VLOOKUP(B1860,'تقرير المصروفات حسب الشهر'!$C$1270:$AD$1381,17,FALSE),0)</f>
        <v>0</v>
      </c>
      <c r="N1860" s="31" t="e">
        <f>#REF!</f>
        <v>#REF!</v>
      </c>
      <c r="O1860" s="37" t="e">
        <f t="shared" si="46"/>
        <v>#REF!</v>
      </c>
    </row>
    <row r="1861" spans="2:15" ht="17.399999999999999">
      <c r="B1861" s="42" t="s">
        <v>188</v>
      </c>
      <c r="C1861" s="39">
        <f>'تقرير المصروفات حسب الشهر'!S110</f>
        <v>0</v>
      </c>
      <c r="D1861" s="31" t="e">
        <f>#REF!</f>
        <v>#REF!</v>
      </c>
      <c r="E1861" s="31" t="e">
        <f>#REF!</f>
        <v>#REF!</v>
      </c>
      <c r="F1861" s="31" t="e">
        <f>#REF!</f>
        <v>#REF!</v>
      </c>
      <c r="G1861" s="31" t="e">
        <f>#REF!</f>
        <v>#REF!</v>
      </c>
      <c r="H1861" s="31" t="e">
        <f>#REF!</f>
        <v>#REF!</v>
      </c>
      <c r="I1861" s="31">
        <f>'تقرير المصروفات حسب الشهر'!S863</f>
        <v>0</v>
      </c>
      <c r="J1861" s="31">
        <f>'تقرير المصروفات حسب الشهر'!S990</f>
        <v>0</v>
      </c>
      <c r="K1861" s="31">
        <f>'تقرير المصروفات حسب الشهر'!S1117</f>
        <v>0</v>
      </c>
      <c r="L1861" s="292">
        <f>IFERROR(VLOOKUP(B1861,'تقرير المصروفات حسب الشهر'!$C$1143:$AD$1254,17,FALSE),0)</f>
        <v>0</v>
      </c>
      <c r="M1861" s="292">
        <f>IFERROR(VLOOKUP(B1861,'تقرير المصروفات حسب الشهر'!$C$1270:$AD$1381,17,FALSE),0)</f>
        <v>0</v>
      </c>
      <c r="N1861" s="31" t="e">
        <f>#REF!</f>
        <v>#REF!</v>
      </c>
      <c r="O1861" s="37" t="e">
        <f t="shared" si="46"/>
        <v>#REF!</v>
      </c>
    </row>
    <row r="1862" spans="2:15" ht="17.399999999999999">
      <c r="B1862" s="42" t="s">
        <v>196</v>
      </c>
      <c r="C1862" s="39">
        <f>'تقرير المصروفات حسب الشهر'!S111</f>
        <v>0</v>
      </c>
      <c r="D1862" s="31" t="e">
        <f>#REF!</f>
        <v>#REF!</v>
      </c>
      <c r="E1862" s="31" t="e">
        <f>#REF!</f>
        <v>#REF!</v>
      </c>
      <c r="F1862" s="31" t="e">
        <f>#REF!</f>
        <v>#REF!</v>
      </c>
      <c r="G1862" s="31" t="e">
        <f>#REF!</f>
        <v>#REF!</v>
      </c>
      <c r="H1862" s="31" t="e">
        <f>#REF!</f>
        <v>#REF!</v>
      </c>
      <c r="I1862" s="31">
        <f>'تقرير المصروفات حسب الشهر'!S864</f>
        <v>0</v>
      </c>
      <c r="J1862" s="31">
        <f>'تقرير المصروفات حسب الشهر'!S991</f>
        <v>0</v>
      </c>
      <c r="K1862" s="31">
        <f>'تقرير المصروفات حسب الشهر'!S1118</f>
        <v>0</v>
      </c>
      <c r="L1862" s="292">
        <f>IFERROR(VLOOKUP(B1862,'تقرير المصروفات حسب الشهر'!$C$1143:$AD$1254,17,FALSE),0)</f>
        <v>0</v>
      </c>
      <c r="M1862" s="292">
        <f>IFERROR(VLOOKUP(B1862,'تقرير المصروفات حسب الشهر'!$C$1270:$AD$1381,17,FALSE),0)</f>
        <v>0</v>
      </c>
      <c r="N1862" s="31" t="e">
        <f>#REF!</f>
        <v>#REF!</v>
      </c>
      <c r="O1862" s="37" t="e">
        <f t="shared" si="46"/>
        <v>#REF!</v>
      </c>
    </row>
    <row r="1863" spans="2:15" ht="17.399999999999999">
      <c r="B1863" s="42" t="s">
        <v>197</v>
      </c>
      <c r="C1863" s="39">
        <f>'تقرير المصروفات حسب الشهر'!S112</f>
        <v>0</v>
      </c>
      <c r="D1863" s="31" t="e">
        <f>#REF!</f>
        <v>#REF!</v>
      </c>
      <c r="E1863" s="31" t="e">
        <f>#REF!</f>
        <v>#REF!</v>
      </c>
      <c r="F1863" s="31" t="e">
        <f>#REF!</f>
        <v>#REF!</v>
      </c>
      <c r="G1863" s="31" t="e">
        <f>#REF!</f>
        <v>#REF!</v>
      </c>
      <c r="H1863" s="31" t="e">
        <f>#REF!</f>
        <v>#REF!</v>
      </c>
      <c r="I1863" s="31">
        <f>'تقرير المصروفات حسب الشهر'!S865</f>
        <v>0</v>
      </c>
      <c r="J1863" s="31">
        <f>'تقرير المصروفات حسب الشهر'!S992</f>
        <v>0</v>
      </c>
      <c r="K1863" s="31">
        <f>'تقرير المصروفات حسب الشهر'!S1119</f>
        <v>0</v>
      </c>
      <c r="L1863" s="292">
        <f>IFERROR(VLOOKUP(B1863,'تقرير المصروفات حسب الشهر'!$C$1143:$AD$1254,17,FALSE),0)</f>
        <v>0</v>
      </c>
      <c r="M1863" s="292">
        <f>IFERROR(VLOOKUP(B1863,'تقرير المصروفات حسب الشهر'!$C$1270:$AD$1381,17,FALSE),0)</f>
        <v>0</v>
      </c>
      <c r="N1863" s="31" t="e">
        <f>#REF!</f>
        <v>#REF!</v>
      </c>
      <c r="O1863" s="37" t="e">
        <f t="shared" si="46"/>
        <v>#REF!</v>
      </c>
    </row>
    <row r="1864" spans="2:15" ht="17.399999999999999">
      <c r="B1864" s="42" t="s">
        <v>198</v>
      </c>
      <c r="C1864" s="39">
        <f>'تقرير المصروفات حسب الشهر'!S113</f>
        <v>0</v>
      </c>
      <c r="D1864" s="31" t="e">
        <f>#REF!</f>
        <v>#REF!</v>
      </c>
      <c r="E1864" s="31" t="e">
        <f>#REF!</f>
        <v>#REF!</v>
      </c>
      <c r="F1864" s="31" t="e">
        <f>#REF!</f>
        <v>#REF!</v>
      </c>
      <c r="G1864" s="31" t="e">
        <f>#REF!</f>
        <v>#REF!</v>
      </c>
      <c r="H1864" s="31" t="e">
        <f>#REF!</f>
        <v>#REF!</v>
      </c>
      <c r="I1864" s="31">
        <f>'تقرير المصروفات حسب الشهر'!S866</f>
        <v>0</v>
      </c>
      <c r="J1864" s="31">
        <f>'تقرير المصروفات حسب الشهر'!S993</f>
        <v>0</v>
      </c>
      <c r="K1864" s="31">
        <f>'تقرير المصروفات حسب الشهر'!S1120</f>
        <v>0</v>
      </c>
      <c r="L1864" s="292">
        <f>IFERROR(VLOOKUP(B1864,'تقرير المصروفات حسب الشهر'!$C$1143:$AD$1254,17,FALSE),0)</f>
        <v>0</v>
      </c>
      <c r="M1864" s="292">
        <f>IFERROR(VLOOKUP(B1864,'تقرير المصروفات حسب الشهر'!$C$1270:$AD$1381,17,FALSE),0)</f>
        <v>0</v>
      </c>
      <c r="N1864" s="31" t="e">
        <f>#REF!</f>
        <v>#REF!</v>
      </c>
      <c r="O1864" s="37" t="e">
        <f t="shared" si="46"/>
        <v>#REF!</v>
      </c>
    </row>
    <row r="1865" spans="2:15" ht="17.399999999999999">
      <c r="B1865" s="42" t="s">
        <v>201</v>
      </c>
      <c r="C1865" s="39">
        <f>'تقرير المصروفات حسب الشهر'!S114</f>
        <v>0</v>
      </c>
      <c r="D1865" s="31" t="e">
        <f>#REF!</f>
        <v>#REF!</v>
      </c>
      <c r="E1865" s="31" t="e">
        <f>#REF!</f>
        <v>#REF!</v>
      </c>
      <c r="F1865" s="31" t="e">
        <f>#REF!</f>
        <v>#REF!</v>
      </c>
      <c r="G1865" s="31" t="e">
        <f>#REF!</f>
        <v>#REF!</v>
      </c>
      <c r="H1865" s="31" t="e">
        <f>#REF!</f>
        <v>#REF!</v>
      </c>
      <c r="I1865" s="31">
        <f>'تقرير المصروفات حسب الشهر'!S867</f>
        <v>0</v>
      </c>
      <c r="J1865" s="31">
        <f>'تقرير المصروفات حسب الشهر'!S994</f>
        <v>0</v>
      </c>
      <c r="K1865" s="31">
        <f>'تقرير المصروفات حسب الشهر'!S1121</f>
        <v>0</v>
      </c>
      <c r="L1865" s="292">
        <f>IFERROR(VLOOKUP(B1865,'تقرير المصروفات حسب الشهر'!$C$1143:$AD$1254,17,FALSE),0)</f>
        <v>0</v>
      </c>
      <c r="M1865" s="292">
        <f>IFERROR(VLOOKUP(B1865,'تقرير المصروفات حسب الشهر'!$C$1270:$AD$1381,17,FALSE),0)</f>
        <v>0</v>
      </c>
      <c r="N1865" s="31" t="e">
        <f>#REF!</f>
        <v>#REF!</v>
      </c>
      <c r="O1865" s="37" t="e">
        <f t="shared" si="46"/>
        <v>#REF!</v>
      </c>
    </row>
    <row r="1866" spans="2:15" ht="17.399999999999999">
      <c r="B1866" s="42" t="s">
        <v>202</v>
      </c>
      <c r="C1866" s="39">
        <f>'تقرير المصروفات حسب الشهر'!S115</f>
        <v>0</v>
      </c>
      <c r="D1866" s="31" t="e">
        <f>#REF!</f>
        <v>#REF!</v>
      </c>
      <c r="E1866" s="31" t="e">
        <f>#REF!</f>
        <v>#REF!</v>
      </c>
      <c r="F1866" s="31" t="e">
        <f>#REF!</f>
        <v>#REF!</v>
      </c>
      <c r="G1866" s="31" t="e">
        <f>#REF!</f>
        <v>#REF!</v>
      </c>
      <c r="H1866" s="31" t="e">
        <f>#REF!</f>
        <v>#REF!</v>
      </c>
      <c r="I1866" s="31">
        <f>'تقرير المصروفات حسب الشهر'!S868</f>
        <v>0</v>
      </c>
      <c r="J1866" s="31">
        <f>'تقرير المصروفات حسب الشهر'!S995</f>
        <v>0</v>
      </c>
      <c r="K1866" s="31">
        <f>'تقرير المصروفات حسب الشهر'!S1122</f>
        <v>0</v>
      </c>
      <c r="L1866" s="292">
        <f>IFERROR(VLOOKUP(B1866,'تقرير المصروفات حسب الشهر'!$C$1143:$AD$1254,17,FALSE),0)</f>
        <v>0</v>
      </c>
      <c r="M1866" s="292">
        <f>IFERROR(VLOOKUP(B1866,'تقرير المصروفات حسب الشهر'!$C$1270:$AD$1381,17,FALSE),0)</f>
        <v>0</v>
      </c>
      <c r="N1866" s="31" t="e">
        <f>#REF!</f>
        <v>#REF!</v>
      </c>
      <c r="O1866" s="37" t="e">
        <f t="shared" si="46"/>
        <v>#REF!</v>
      </c>
    </row>
    <row r="1867" spans="2:15" ht="17.399999999999999">
      <c r="B1867" s="42" t="s">
        <v>206</v>
      </c>
      <c r="C1867" s="39">
        <f>'تقرير المصروفات حسب الشهر'!S116</f>
        <v>0</v>
      </c>
      <c r="D1867" s="31" t="e">
        <f>#REF!</f>
        <v>#REF!</v>
      </c>
      <c r="E1867" s="31" t="e">
        <f>#REF!</f>
        <v>#REF!</v>
      </c>
      <c r="F1867" s="31" t="e">
        <f>#REF!</f>
        <v>#REF!</v>
      </c>
      <c r="G1867" s="31" t="e">
        <f>#REF!</f>
        <v>#REF!</v>
      </c>
      <c r="H1867" s="31" t="e">
        <f>#REF!</f>
        <v>#REF!</v>
      </c>
      <c r="I1867" s="31">
        <f>'تقرير المصروفات حسب الشهر'!S869</f>
        <v>862.5</v>
      </c>
      <c r="J1867" s="31">
        <f>'تقرير المصروفات حسب الشهر'!S996</f>
        <v>862.5</v>
      </c>
      <c r="K1867" s="31">
        <f>'تقرير المصروفات حسب الشهر'!S1123</f>
        <v>862.5</v>
      </c>
      <c r="L1867" s="292">
        <f>IFERROR(VLOOKUP(B1867,'تقرير المصروفات حسب الشهر'!$C$1143:$AD$1254,17,FALSE),0)</f>
        <v>0</v>
      </c>
      <c r="M1867" s="292">
        <f>IFERROR(VLOOKUP(B1867,'تقرير المصروفات حسب الشهر'!$C$1270:$AD$1381,17,FALSE),0)</f>
        <v>0</v>
      </c>
      <c r="N1867" s="31" t="e">
        <f>#REF!</f>
        <v>#REF!</v>
      </c>
      <c r="O1867" s="37" t="e">
        <f t="shared" si="46"/>
        <v>#REF!</v>
      </c>
    </row>
    <row r="1868" spans="2:15" ht="17.399999999999999">
      <c r="B1868" s="42" t="s">
        <v>207</v>
      </c>
      <c r="C1868" s="39">
        <f>'تقرير المصروفات حسب الشهر'!S117</f>
        <v>862.5</v>
      </c>
      <c r="D1868" s="31" t="e">
        <f>#REF!</f>
        <v>#REF!</v>
      </c>
      <c r="E1868" s="31" t="e">
        <f>#REF!</f>
        <v>#REF!</v>
      </c>
      <c r="F1868" s="31" t="e">
        <f>#REF!</f>
        <v>#REF!</v>
      </c>
      <c r="G1868" s="31" t="e">
        <f>#REF!</f>
        <v>#REF!</v>
      </c>
      <c r="H1868" s="31" t="e">
        <f>#REF!</f>
        <v>#REF!</v>
      </c>
      <c r="I1868" s="31">
        <f>'تقرير المصروفات حسب الشهر'!S870</f>
        <v>0</v>
      </c>
      <c r="J1868" s="31">
        <f>'تقرير المصروفات حسب الشهر'!S997</f>
        <v>0</v>
      </c>
      <c r="K1868" s="31">
        <f>'تقرير المصروفات حسب الشهر'!S1124</f>
        <v>0</v>
      </c>
      <c r="L1868" s="292">
        <f>IFERROR(VLOOKUP(B1868,'تقرير المصروفات حسب الشهر'!$C$1143:$AD$1254,17,FALSE),0)</f>
        <v>1293.75</v>
      </c>
      <c r="M1868" s="292">
        <f>IFERROR(VLOOKUP(B1868,'تقرير المصروفات حسب الشهر'!$C$1270:$AD$1381,17,FALSE),0)</f>
        <v>1293.75</v>
      </c>
      <c r="N1868" s="31" t="e">
        <f>#REF!</f>
        <v>#REF!</v>
      </c>
      <c r="O1868" s="37" t="e">
        <f t="shared" si="46"/>
        <v>#REF!</v>
      </c>
    </row>
    <row r="1869" spans="2:15" ht="17.399999999999999">
      <c r="B1869" s="43" t="s">
        <v>208</v>
      </c>
      <c r="C1869" s="39">
        <f>'تقرير المصروفات حسب الشهر'!S118</f>
        <v>0</v>
      </c>
      <c r="D1869" s="31" t="e">
        <f>#REF!</f>
        <v>#REF!</v>
      </c>
      <c r="E1869" s="31" t="e">
        <f>#REF!</f>
        <v>#REF!</v>
      </c>
      <c r="F1869" s="31" t="e">
        <f>#REF!</f>
        <v>#REF!</v>
      </c>
      <c r="G1869" s="31" t="e">
        <f>#REF!</f>
        <v>#REF!</v>
      </c>
      <c r="H1869" s="31">
        <v>0</v>
      </c>
      <c r="I1869" s="31">
        <f>'تقرير المصروفات حسب الشهر'!S871</f>
        <v>0</v>
      </c>
      <c r="J1869" s="31">
        <f>'تقرير المصروفات حسب الشهر'!S998</f>
        <v>0</v>
      </c>
      <c r="K1869" s="31">
        <f>'تقرير المصروفات حسب الشهر'!S1125</f>
        <v>0</v>
      </c>
      <c r="L1869" s="292">
        <f>IFERROR(VLOOKUP(B1869,'تقرير المصروفات حسب الشهر'!$C$1143:$AD$1254,17,FALSE),0)</f>
        <v>0</v>
      </c>
      <c r="M1869" s="292">
        <f>IFERROR(VLOOKUP(B1869,'تقرير المصروفات حسب الشهر'!$C$1270:$AD$1381,17,FALSE),0)</f>
        <v>0</v>
      </c>
      <c r="N1869" s="31" t="e">
        <f>#REF!</f>
        <v>#REF!</v>
      </c>
      <c r="O1869" s="37" t="e">
        <f t="shared" si="46"/>
        <v>#REF!</v>
      </c>
    </row>
    <row r="1870" spans="2:15" ht="17.399999999999999">
      <c r="B1870" s="437" t="s">
        <v>236</v>
      </c>
      <c r="C1870" s="39">
        <f>'تقرير المصروفات حسب الشهر'!S119</f>
        <v>0</v>
      </c>
      <c r="D1870" s="438"/>
      <c r="E1870" s="438"/>
      <c r="F1870" s="438"/>
      <c r="G1870" s="438"/>
      <c r="H1870" s="438"/>
      <c r="I1870" s="438"/>
      <c r="J1870" s="438"/>
      <c r="K1870" s="438"/>
      <c r="L1870" s="439"/>
      <c r="M1870" s="439"/>
      <c r="N1870" s="438"/>
      <c r="O1870" s="440"/>
    </row>
    <row r="1871" spans="2:15" ht="17.399999999999999">
      <c r="B1871" s="437" t="s">
        <v>209</v>
      </c>
      <c r="C1871" s="39">
        <f>'تقرير المصروفات حسب الشهر'!S120</f>
        <v>0</v>
      </c>
      <c r="D1871" s="438"/>
      <c r="E1871" s="438"/>
      <c r="F1871" s="438"/>
      <c r="G1871" s="438"/>
      <c r="H1871" s="438"/>
      <c r="I1871" s="438"/>
      <c r="J1871" s="438"/>
      <c r="K1871" s="438"/>
      <c r="L1871" s="439"/>
      <c r="M1871" s="439"/>
      <c r="N1871" s="438"/>
      <c r="O1871" s="440"/>
    </row>
    <row r="1872" spans="2:15" ht="18" thickBot="1">
      <c r="B1872" s="437" t="s">
        <v>360</v>
      </c>
      <c r="C1872" s="39">
        <f>'تقرير المصروفات حسب الشهر'!S121</f>
        <v>60731.69</v>
      </c>
      <c r="D1872" s="438"/>
      <c r="E1872" s="438"/>
      <c r="F1872" s="438"/>
      <c r="G1872" s="438"/>
      <c r="H1872" s="438"/>
      <c r="I1872" s="438"/>
      <c r="J1872" s="438"/>
      <c r="K1872" s="438"/>
      <c r="L1872" s="439"/>
      <c r="M1872" s="439"/>
      <c r="N1872" s="438"/>
      <c r="O1872" s="440"/>
    </row>
    <row r="1873" spans="2:15" ht="21.6" thickBot="1">
      <c r="B1873" s="29" t="s">
        <v>18</v>
      </c>
      <c r="C1873" s="41">
        <f>SUM(C1761:C1872)</f>
        <v>349935.47</v>
      </c>
      <c r="D1873" s="41" t="e">
        <f t="shared" ref="D1873:O1873" si="47">SUM(D1761:D1869)</f>
        <v>#REF!</v>
      </c>
      <c r="E1873" s="41" t="e">
        <f t="shared" si="47"/>
        <v>#REF!</v>
      </c>
      <c r="F1873" s="41" t="e">
        <f t="shared" si="47"/>
        <v>#REF!</v>
      </c>
      <c r="G1873" s="41" t="e">
        <f t="shared" si="47"/>
        <v>#REF!</v>
      </c>
      <c r="H1873" s="41" t="e">
        <f t="shared" si="47"/>
        <v>#REF!</v>
      </c>
      <c r="I1873" s="41">
        <f t="shared" si="47"/>
        <v>265619.05</v>
      </c>
      <c r="J1873" s="41">
        <f t="shared" si="47"/>
        <v>261817.86</v>
      </c>
      <c r="K1873" s="41">
        <f t="shared" si="47"/>
        <v>288711.54999999993</v>
      </c>
      <c r="L1873" s="41">
        <f t="shared" si="47"/>
        <v>327766.08</v>
      </c>
      <c r="M1873" s="41">
        <f t="shared" si="47"/>
        <v>344301.25</v>
      </c>
      <c r="N1873" s="41" t="e">
        <f t="shared" si="47"/>
        <v>#REF!</v>
      </c>
      <c r="O1873" s="41" t="e">
        <f t="shared" si="47"/>
        <v>#REF!</v>
      </c>
    </row>
    <row r="1875" spans="2:15" ht="13.8" thickBot="1"/>
    <row r="1876" spans="2:15" ht="31.2" thickTop="1" thickBot="1">
      <c r="B1876" s="643" t="s">
        <v>225</v>
      </c>
      <c r="C1876" s="644"/>
      <c r="D1876" s="644"/>
      <c r="E1876" s="644"/>
      <c r="F1876" s="644"/>
      <c r="G1876" s="644"/>
      <c r="H1876" s="644"/>
      <c r="I1876" s="644"/>
      <c r="J1876" s="644"/>
      <c r="K1876" s="644"/>
      <c r="L1876" s="644"/>
      <c r="M1876" s="644"/>
      <c r="N1876" s="644"/>
      <c r="O1876" s="645"/>
    </row>
    <row r="1877" spans="2:15" ht="17.399999999999999">
      <c r="B1877" s="30" t="s">
        <v>23</v>
      </c>
      <c r="C1877" s="33" t="s">
        <v>0</v>
      </c>
      <c r="D1877" s="33" t="s">
        <v>1</v>
      </c>
      <c r="E1877" s="34" t="s">
        <v>2</v>
      </c>
      <c r="F1877" s="34" t="s">
        <v>3</v>
      </c>
      <c r="G1877" s="34" t="s">
        <v>4</v>
      </c>
      <c r="H1877" s="34" t="s">
        <v>5</v>
      </c>
      <c r="I1877" s="34" t="s">
        <v>6</v>
      </c>
      <c r="J1877" s="34" t="s">
        <v>7</v>
      </c>
      <c r="K1877" s="34" t="s">
        <v>8</v>
      </c>
      <c r="L1877" s="34" t="s">
        <v>9</v>
      </c>
      <c r="M1877" s="34" t="s">
        <v>10</v>
      </c>
      <c r="N1877" s="35" t="s">
        <v>11</v>
      </c>
      <c r="O1877" s="36" t="s">
        <v>18</v>
      </c>
    </row>
    <row r="1878" spans="2:15" ht="17.399999999999999">
      <c r="B1878" s="42" t="s">
        <v>40</v>
      </c>
      <c r="C1878" s="39">
        <f>'تقرير المصروفات حسب الشهر'!T10</f>
        <v>0</v>
      </c>
      <c r="D1878" s="31" t="e">
        <f>#REF!</f>
        <v>#REF!</v>
      </c>
      <c r="E1878" s="31" t="e">
        <f>#REF!</f>
        <v>#REF!</v>
      </c>
      <c r="F1878" s="31" t="e">
        <f>#REF!</f>
        <v>#REF!</v>
      </c>
      <c r="G1878" s="31" t="e">
        <f>#REF!</f>
        <v>#REF!</v>
      </c>
      <c r="H1878" s="31" t="e">
        <f>#REF!</f>
        <v>#REF!</v>
      </c>
      <c r="I1878" s="31">
        <f>'تقرير المصروفات حسب الشهر'!T763</f>
        <v>0</v>
      </c>
      <c r="J1878" s="31">
        <f>'تقرير المصروفات حسب الشهر'!T890</f>
        <v>0</v>
      </c>
      <c r="K1878" s="31">
        <f>'تقرير المصروفات حسب الشهر'!T1017</f>
        <v>0</v>
      </c>
      <c r="L1878" s="292">
        <f>IFERROR(VLOOKUP(B1878,'تقرير المصروفات حسب الشهر'!$C$1143:$AD$1254,18,FALSE),0)</f>
        <v>0</v>
      </c>
      <c r="M1878" s="292">
        <f>IFERROR(VLOOKUP(B1878,'تقرير المصروفات حسب الشهر'!$C$1270:$AD$1381,18,FALSE),0)</f>
        <v>0</v>
      </c>
      <c r="N1878" s="31" t="e">
        <f>#REF!</f>
        <v>#REF!</v>
      </c>
      <c r="O1878" s="37" t="e">
        <f>SUM(C1878:N1878)</f>
        <v>#REF!</v>
      </c>
    </row>
    <row r="1879" spans="2:15" ht="17.399999999999999">
      <c r="B1879" s="42" t="s">
        <v>41</v>
      </c>
      <c r="C1879" s="39">
        <f>'تقرير المصروفات حسب الشهر'!T11</f>
        <v>9514.7999999999993</v>
      </c>
      <c r="D1879" s="31" t="e">
        <f>#REF!</f>
        <v>#REF!</v>
      </c>
      <c r="E1879" s="31" t="e">
        <f>#REF!</f>
        <v>#REF!</v>
      </c>
      <c r="F1879" s="31" t="e">
        <f>#REF!</f>
        <v>#REF!</v>
      </c>
      <c r="G1879" s="31" t="e">
        <f>#REF!</f>
        <v>#REF!</v>
      </c>
      <c r="H1879" s="31" t="e">
        <f>#REF!</f>
        <v>#REF!</v>
      </c>
      <c r="I1879" s="31">
        <f>'تقرير المصروفات حسب الشهر'!T764</f>
        <v>12712.8</v>
      </c>
      <c r="J1879" s="31">
        <f>'تقرير المصروفات حسب الشهر'!T891</f>
        <v>22950.399999999998</v>
      </c>
      <c r="K1879" s="31">
        <f>'تقرير المصروفات حسب الشهر'!T1018</f>
        <v>23414.34</v>
      </c>
      <c r="L1879" s="292">
        <f>IFERROR(VLOOKUP(B1879,'تقرير المصروفات حسب الشهر'!$C$1143:$AD$1254,18,FALSE),0)</f>
        <v>23174.34</v>
      </c>
      <c r="M1879" s="292">
        <f>IFERROR(VLOOKUP(B1879,'تقرير المصروفات حسب الشهر'!$C$1270:$AD$1381,18,FALSE),0)</f>
        <v>24511.03</v>
      </c>
      <c r="N1879" s="31" t="e">
        <f>#REF!</f>
        <v>#REF!</v>
      </c>
      <c r="O1879" s="37" t="e">
        <f t="shared" ref="O1879:O1942" si="48">SUM(C1879:N1879)</f>
        <v>#REF!</v>
      </c>
    </row>
    <row r="1880" spans="2:15" ht="17.399999999999999">
      <c r="B1880" s="42" t="s">
        <v>26</v>
      </c>
      <c r="C1880" s="39">
        <f>'تقرير المصروفات حسب الشهر'!T12</f>
        <v>0</v>
      </c>
      <c r="D1880" s="31" t="e">
        <f>#REF!</f>
        <v>#REF!</v>
      </c>
      <c r="E1880" s="31" t="e">
        <f>#REF!</f>
        <v>#REF!</v>
      </c>
      <c r="F1880" s="31" t="e">
        <f>#REF!</f>
        <v>#REF!</v>
      </c>
      <c r="G1880" s="31" t="e">
        <f>#REF!</f>
        <v>#REF!</v>
      </c>
      <c r="H1880" s="31" t="e">
        <f>#REF!</f>
        <v>#REF!</v>
      </c>
      <c r="I1880" s="31">
        <f>'تقرير المصروفات حسب الشهر'!T765</f>
        <v>0</v>
      </c>
      <c r="J1880" s="31">
        <f>'تقرير المصروفات حسب الشهر'!T892</f>
        <v>0</v>
      </c>
      <c r="K1880" s="31">
        <f>'تقرير المصروفات حسب الشهر'!T1019</f>
        <v>0</v>
      </c>
      <c r="L1880" s="292">
        <f>IFERROR(VLOOKUP(B1880,'تقرير المصروفات حسب الشهر'!$C$1143:$AD$1254,18,FALSE),0)</f>
        <v>0</v>
      </c>
      <c r="M1880" s="292">
        <f>IFERROR(VLOOKUP(B1880,'تقرير المصروفات حسب الشهر'!$C$1270:$AD$1381,18,FALSE),0)</f>
        <v>0</v>
      </c>
      <c r="N1880" s="31" t="e">
        <f>#REF!</f>
        <v>#REF!</v>
      </c>
      <c r="O1880" s="37" t="e">
        <f t="shared" si="48"/>
        <v>#REF!</v>
      </c>
    </row>
    <row r="1881" spans="2:15" ht="17.399999999999999">
      <c r="B1881" s="42" t="s">
        <v>27</v>
      </c>
      <c r="C1881" s="39">
        <f>'تقرير المصروفات حسب الشهر'!T13</f>
        <v>0</v>
      </c>
      <c r="D1881" s="31" t="e">
        <f>#REF!</f>
        <v>#REF!</v>
      </c>
      <c r="E1881" s="31" t="e">
        <f>#REF!</f>
        <v>#REF!</v>
      </c>
      <c r="F1881" s="31" t="e">
        <f>#REF!</f>
        <v>#REF!</v>
      </c>
      <c r="G1881" s="31" t="e">
        <f>#REF!</f>
        <v>#REF!</v>
      </c>
      <c r="H1881" s="31" t="e">
        <f>#REF!</f>
        <v>#REF!</v>
      </c>
      <c r="I1881" s="31">
        <f>'تقرير المصروفات حسب الشهر'!T766</f>
        <v>0</v>
      </c>
      <c r="J1881" s="31">
        <f>'تقرير المصروفات حسب الشهر'!T893</f>
        <v>0</v>
      </c>
      <c r="K1881" s="31">
        <f>'تقرير المصروفات حسب الشهر'!T1020</f>
        <v>0</v>
      </c>
      <c r="L1881" s="292">
        <f>IFERROR(VLOOKUP(B1881,'تقرير المصروفات حسب الشهر'!$C$1143:$AD$1254,18,FALSE),0)</f>
        <v>0</v>
      </c>
      <c r="M1881" s="292">
        <f>IFERROR(VLOOKUP(B1881,'تقرير المصروفات حسب الشهر'!$C$1270:$AD$1381,18,FALSE),0)</f>
        <v>0</v>
      </c>
      <c r="N1881" s="31" t="e">
        <f>#REF!</f>
        <v>#REF!</v>
      </c>
      <c r="O1881" s="37" t="e">
        <f t="shared" si="48"/>
        <v>#REF!</v>
      </c>
    </row>
    <row r="1882" spans="2:15" ht="17.399999999999999">
      <c r="B1882" s="42" t="s">
        <v>42</v>
      </c>
      <c r="C1882" s="39">
        <f>'تقرير المصروفات حسب الشهر'!T14</f>
        <v>0</v>
      </c>
      <c r="D1882" s="31" t="e">
        <f>#REF!</f>
        <v>#REF!</v>
      </c>
      <c r="E1882" s="31" t="e">
        <f>#REF!</f>
        <v>#REF!</v>
      </c>
      <c r="F1882" s="31" t="e">
        <f>#REF!</f>
        <v>#REF!</v>
      </c>
      <c r="G1882" s="31" t="e">
        <f>#REF!</f>
        <v>#REF!</v>
      </c>
      <c r="H1882" s="31" t="e">
        <f>#REF!</f>
        <v>#REF!</v>
      </c>
      <c r="I1882" s="31">
        <f>'تقرير المصروفات حسب الشهر'!T767</f>
        <v>0</v>
      </c>
      <c r="J1882" s="31">
        <f>'تقرير المصروفات حسب الشهر'!T894</f>
        <v>0</v>
      </c>
      <c r="K1882" s="31">
        <f>'تقرير المصروفات حسب الشهر'!T1021</f>
        <v>0</v>
      </c>
      <c r="L1882" s="292">
        <f>IFERROR(VLOOKUP(B1882,'تقرير المصروفات حسب الشهر'!$C$1143:$AD$1254,18,FALSE),0)</f>
        <v>0</v>
      </c>
      <c r="M1882" s="292">
        <f>IFERROR(VLOOKUP(B1882,'تقرير المصروفات حسب الشهر'!$C$1270:$AD$1381,18,FALSE),0)</f>
        <v>0</v>
      </c>
      <c r="N1882" s="31" t="e">
        <f>#REF!</f>
        <v>#REF!</v>
      </c>
      <c r="O1882" s="37" t="e">
        <f t="shared" si="48"/>
        <v>#REF!</v>
      </c>
    </row>
    <row r="1883" spans="2:15" ht="17.399999999999999">
      <c r="B1883" s="42" t="s">
        <v>43</v>
      </c>
      <c r="C1883" s="39">
        <f>'تقرير المصروفات حسب الشهر'!T15</f>
        <v>0</v>
      </c>
      <c r="D1883" s="31" t="e">
        <f>#REF!</f>
        <v>#REF!</v>
      </c>
      <c r="E1883" s="31" t="e">
        <f>#REF!</f>
        <v>#REF!</v>
      </c>
      <c r="F1883" s="31" t="e">
        <f>#REF!</f>
        <v>#REF!</v>
      </c>
      <c r="G1883" s="31" t="e">
        <f>#REF!</f>
        <v>#REF!</v>
      </c>
      <c r="H1883" s="31" t="e">
        <f>#REF!</f>
        <v>#REF!</v>
      </c>
      <c r="I1883" s="31">
        <f>'تقرير المصروفات حسب الشهر'!T768</f>
        <v>0</v>
      </c>
      <c r="J1883" s="31">
        <f>'تقرير المصروفات حسب الشهر'!T895</f>
        <v>0</v>
      </c>
      <c r="K1883" s="31">
        <f>'تقرير المصروفات حسب الشهر'!T1022</f>
        <v>0</v>
      </c>
      <c r="L1883" s="292">
        <f>IFERROR(VLOOKUP(B1883,'تقرير المصروفات حسب الشهر'!$C$1143:$AD$1254,18,FALSE),0)</f>
        <v>0</v>
      </c>
      <c r="M1883" s="292">
        <f>IFERROR(VLOOKUP(B1883,'تقرير المصروفات حسب الشهر'!$C$1270:$AD$1381,18,FALSE),0)</f>
        <v>0</v>
      </c>
      <c r="N1883" s="31" t="e">
        <f>#REF!</f>
        <v>#REF!</v>
      </c>
      <c r="O1883" s="37" t="e">
        <f t="shared" si="48"/>
        <v>#REF!</v>
      </c>
    </row>
    <row r="1884" spans="2:15" ht="17.399999999999999">
      <c r="B1884" s="42" t="s">
        <v>44</v>
      </c>
      <c r="C1884" s="39">
        <f>'تقرير المصروفات حسب الشهر'!T16</f>
        <v>0</v>
      </c>
      <c r="D1884" s="31" t="e">
        <f>#REF!</f>
        <v>#REF!</v>
      </c>
      <c r="E1884" s="31" t="e">
        <f>#REF!</f>
        <v>#REF!</v>
      </c>
      <c r="F1884" s="31" t="e">
        <f>#REF!</f>
        <v>#REF!</v>
      </c>
      <c r="G1884" s="31" t="e">
        <f>#REF!</f>
        <v>#REF!</v>
      </c>
      <c r="H1884" s="31" t="e">
        <f>#REF!</f>
        <v>#REF!</v>
      </c>
      <c r="I1884" s="31">
        <f>'تقرير المصروفات حسب الشهر'!T769</f>
        <v>0</v>
      </c>
      <c r="J1884" s="31">
        <f>'تقرير المصروفات حسب الشهر'!T896</f>
        <v>0</v>
      </c>
      <c r="K1884" s="31">
        <f>'تقرير المصروفات حسب الشهر'!T1023</f>
        <v>0</v>
      </c>
      <c r="L1884" s="292">
        <f>IFERROR(VLOOKUP(B1884,'تقرير المصروفات حسب الشهر'!$C$1143:$AD$1254,18,FALSE),0)</f>
        <v>0</v>
      </c>
      <c r="M1884" s="292">
        <f>IFERROR(VLOOKUP(B1884,'تقرير المصروفات حسب الشهر'!$C$1270:$AD$1381,18,FALSE),0)</f>
        <v>0</v>
      </c>
      <c r="N1884" s="31" t="e">
        <f>#REF!</f>
        <v>#REF!</v>
      </c>
      <c r="O1884" s="37" t="e">
        <f t="shared" si="48"/>
        <v>#REF!</v>
      </c>
    </row>
    <row r="1885" spans="2:15" ht="17.399999999999999">
      <c r="B1885" s="42" t="s">
        <v>45</v>
      </c>
      <c r="C1885" s="39">
        <f>'تقرير المصروفات حسب الشهر'!T17</f>
        <v>0</v>
      </c>
      <c r="D1885" s="31" t="e">
        <f>#REF!</f>
        <v>#REF!</v>
      </c>
      <c r="E1885" s="31" t="e">
        <f>#REF!</f>
        <v>#REF!</v>
      </c>
      <c r="F1885" s="31" t="e">
        <f>#REF!</f>
        <v>#REF!</v>
      </c>
      <c r="G1885" s="31" t="e">
        <f>#REF!</f>
        <v>#REF!</v>
      </c>
      <c r="H1885" s="31" t="e">
        <f>#REF!</f>
        <v>#REF!</v>
      </c>
      <c r="I1885" s="31">
        <f>'تقرير المصروفات حسب الشهر'!T770</f>
        <v>0</v>
      </c>
      <c r="J1885" s="31">
        <f>'تقرير المصروفات حسب الشهر'!T897</f>
        <v>0</v>
      </c>
      <c r="K1885" s="31">
        <f>'تقرير المصروفات حسب الشهر'!T1024</f>
        <v>0</v>
      </c>
      <c r="L1885" s="292">
        <f>IFERROR(VLOOKUP(B1885,'تقرير المصروفات حسب الشهر'!$C$1143:$AD$1254,18,FALSE),0)</f>
        <v>0</v>
      </c>
      <c r="M1885" s="292">
        <f>IFERROR(VLOOKUP(B1885,'تقرير المصروفات حسب الشهر'!$C$1270:$AD$1381,18,FALSE),0)</f>
        <v>0</v>
      </c>
      <c r="N1885" s="31" t="e">
        <f>#REF!</f>
        <v>#REF!</v>
      </c>
      <c r="O1885" s="37" t="e">
        <f t="shared" si="48"/>
        <v>#REF!</v>
      </c>
    </row>
    <row r="1886" spans="2:15" ht="17.399999999999999">
      <c r="B1886" s="42" t="s">
        <v>156</v>
      </c>
      <c r="C1886" s="39">
        <f>'تقرير المصروفات حسب الشهر'!T18</f>
        <v>0</v>
      </c>
      <c r="D1886" s="31" t="e">
        <f>#REF!</f>
        <v>#REF!</v>
      </c>
      <c r="E1886" s="31" t="e">
        <f>#REF!</f>
        <v>#REF!</v>
      </c>
      <c r="F1886" s="31" t="e">
        <f>#REF!</f>
        <v>#REF!</v>
      </c>
      <c r="G1886" s="31" t="e">
        <f>#REF!</f>
        <v>#REF!</v>
      </c>
      <c r="H1886" s="31" t="e">
        <f>#REF!</f>
        <v>#REF!</v>
      </c>
      <c r="I1886" s="31">
        <f>'تقرير المصروفات حسب الشهر'!T771</f>
        <v>0</v>
      </c>
      <c r="J1886" s="31">
        <f>'تقرير المصروفات حسب الشهر'!T898</f>
        <v>0</v>
      </c>
      <c r="K1886" s="31">
        <f>'تقرير المصروفات حسب الشهر'!T1025</f>
        <v>0</v>
      </c>
      <c r="L1886" s="292">
        <f>IFERROR(VLOOKUP(B1886,'تقرير المصروفات حسب الشهر'!$C$1143:$AD$1254,18,FALSE),0)</f>
        <v>0</v>
      </c>
      <c r="M1886" s="292">
        <f>IFERROR(VLOOKUP(B1886,'تقرير المصروفات حسب الشهر'!$C$1270:$AD$1381,18,FALSE),0)</f>
        <v>0</v>
      </c>
      <c r="N1886" s="31" t="e">
        <f>#REF!</f>
        <v>#REF!</v>
      </c>
      <c r="O1886" s="37" t="e">
        <f t="shared" si="48"/>
        <v>#REF!</v>
      </c>
    </row>
    <row r="1887" spans="2:15" ht="17.399999999999999">
      <c r="B1887" s="42" t="s">
        <v>46</v>
      </c>
      <c r="C1887" s="39">
        <f>'تقرير المصروفات حسب الشهر'!T19</f>
        <v>0</v>
      </c>
      <c r="D1887" s="31" t="e">
        <f>#REF!</f>
        <v>#REF!</v>
      </c>
      <c r="E1887" s="31" t="e">
        <f>#REF!</f>
        <v>#REF!</v>
      </c>
      <c r="F1887" s="31" t="e">
        <f>#REF!</f>
        <v>#REF!</v>
      </c>
      <c r="G1887" s="31" t="e">
        <f>#REF!</f>
        <v>#REF!</v>
      </c>
      <c r="H1887" s="31" t="e">
        <f>#REF!</f>
        <v>#REF!</v>
      </c>
      <c r="I1887" s="31">
        <f>'تقرير المصروفات حسب الشهر'!T772</f>
        <v>0</v>
      </c>
      <c r="J1887" s="31">
        <f>'تقرير المصروفات حسب الشهر'!T899</f>
        <v>0</v>
      </c>
      <c r="K1887" s="31">
        <f>'تقرير المصروفات حسب الشهر'!T1026</f>
        <v>0</v>
      </c>
      <c r="L1887" s="292">
        <f>IFERROR(VLOOKUP(B1887,'تقرير المصروفات حسب الشهر'!$C$1143:$AD$1254,18,FALSE),0)</f>
        <v>0</v>
      </c>
      <c r="M1887" s="292">
        <f>IFERROR(VLOOKUP(B1887,'تقرير المصروفات حسب الشهر'!$C$1270:$AD$1381,18,FALSE),0)</f>
        <v>0</v>
      </c>
      <c r="N1887" s="31" t="e">
        <f>#REF!</f>
        <v>#REF!</v>
      </c>
      <c r="O1887" s="37" t="e">
        <f t="shared" si="48"/>
        <v>#REF!</v>
      </c>
    </row>
    <row r="1888" spans="2:15" ht="17.399999999999999">
      <c r="B1888" s="42" t="s">
        <v>47</v>
      </c>
      <c r="C1888" s="39">
        <f>'تقرير المصروفات حسب الشهر'!T20</f>
        <v>0</v>
      </c>
      <c r="D1888" s="31" t="e">
        <f>#REF!</f>
        <v>#REF!</v>
      </c>
      <c r="E1888" s="31" t="e">
        <f>#REF!</f>
        <v>#REF!</v>
      </c>
      <c r="F1888" s="31" t="e">
        <f>#REF!</f>
        <v>#REF!</v>
      </c>
      <c r="G1888" s="31" t="e">
        <f>#REF!</f>
        <v>#REF!</v>
      </c>
      <c r="H1888" s="31" t="e">
        <f>#REF!</f>
        <v>#REF!</v>
      </c>
      <c r="I1888" s="31">
        <f>'تقرير المصروفات حسب الشهر'!T773</f>
        <v>0</v>
      </c>
      <c r="J1888" s="31">
        <f>'تقرير المصروفات حسب الشهر'!T900</f>
        <v>0</v>
      </c>
      <c r="K1888" s="31">
        <f>'تقرير المصروفات حسب الشهر'!T1027</f>
        <v>0</v>
      </c>
      <c r="L1888" s="292">
        <f>IFERROR(VLOOKUP(B1888,'تقرير المصروفات حسب الشهر'!$C$1143:$AD$1254,18,FALSE),0)</f>
        <v>0</v>
      </c>
      <c r="M1888" s="292">
        <f>IFERROR(VLOOKUP(B1888,'تقرير المصروفات حسب الشهر'!$C$1270:$AD$1381,18,FALSE),0)</f>
        <v>0</v>
      </c>
      <c r="N1888" s="31" t="e">
        <f>#REF!</f>
        <v>#REF!</v>
      </c>
      <c r="O1888" s="37" t="e">
        <f t="shared" si="48"/>
        <v>#REF!</v>
      </c>
    </row>
    <row r="1889" spans="2:15" ht="17.399999999999999">
      <c r="B1889" s="42" t="s">
        <v>48</v>
      </c>
      <c r="C1889" s="39">
        <f>'تقرير المصروفات حسب الشهر'!T21</f>
        <v>0</v>
      </c>
      <c r="D1889" s="31" t="e">
        <f>#REF!</f>
        <v>#REF!</v>
      </c>
      <c r="E1889" s="31" t="e">
        <f>#REF!</f>
        <v>#REF!</v>
      </c>
      <c r="F1889" s="31" t="e">
        <f>#REF!</f>
        <v>#REF!</v>
      </c>
      <c r="G1889" s="31" t="e">
        <f>#REF!</f>
        <v>#REF!</v>
      </c>
      <c r="H1889" s="31" t="e">
        <f>#REF!</f>
        <v>#REF!</v>
      </c>
      <c r="I1889" s="31">
        <f>'تقرير المصروفات حسب الشهر'!T774</f>
        <v>0</v>
      </c>
      <c r="J1889" s="31">
        <f>'تقرير المصروفات حسب الشهر'!T901</f>
        <v>0</v>
      </c>
      <c r="K1889" s="31">
        <f>'تقرير المصروفات حسب الشهر'!T1028</f>
        <v>0</v>
      </c>
      <c r="L1889" s="292">
        <f>IFERROR(VLOOKUP(B1889,'تقرير المصروفات حسب الشهر'!$C$1143:$AD$1254,18,FALSE),0)</f>
        <v>0</v>
      </c>
      <c r="M1889" s="292">
        <f>IFERROR(VLOOKUP(B1889,'تقرير المصروفات حسب الشهر'!$C$1270:$AD$1381,18,FALSE),0)</f>
        <v>0</v>
      </c>
      <c r="N1889" s="31" t="e">
        <f>#REF!</f>
        <v>#REF!</v>
      </c>
      <c r="O1889" s="37" t="e">
        <f t="shared" si="48"/>
        <v>#REF!</v>
      </c>
    </row>
    <row r="1890" spans="2:15" ht="17.399999999999999">
      <c r="B1890" s="42" t="s">
        <v>49</v>
      </c>
      <c r="C1890" s="39">
        <f>'تقرير المصروفات حسب الشهر'!T22</f>
        <v>0</v>
      </c>
      <c r="D1890" s="31" t="e">
        <f>#REF!</f>
        <v>#REF!</v>
      </c>
      <c r="E1890" s="31" t="e">
        <f>#REF!</f>
        <v>#REF!</v>
      </c>
      <c r="F1890" s="31" t="e">
        <f>#REF!</f>
        <v>#REF!</v>
      </c>
      <c r="G1890" s="31" t="e">
        <f>#REF!</f>
        <v>#REF!</v>
      </c>
      <c r="H1890" s="31" t="e">
        <f>#REF!</f>
        <v>#REF!</v>
      </c>
      <c r="I1890" s="31">
        <f>'تقرير المصروفات حسب الشهر'!T775</f>
        <v>0</v>
      </c>
      <c r="J1890" s="31">
        <f>'تقرير المصروفات حسب الشهر'!T902</f>
        <v>0</v>
      </c>
      <c r="K1890" s="31">
        <f>'تقرير المصروفات حسب الشهر'!T1029</f>
        <v>0</v>
      </c>
      <c r="L1890" s="292">
        <f>IFERROR(VLOOKUP(B1890,'تقرير المصروفات حسب الشهر'!$C$1143:$AD$1254,18,FALSE),0)</f>
        <v>0</v>
      </c>
      <c r="M1890" s="292">
        <f>IFERROR(VLOOKUP(B1890,'تقرير المصروفات حسب الشهر'!$C$1270:$AD$1381,18,FALSE),0)</f>
        <v>0</v>
      </c>
      <c r="N1890" s="31" t="e">
        <f>#REF!</f>
        <v>#REF!</v>
      </c>
      <c r="O1890" s="37" t="e">
        <f t="shared" si="48"/>
        <v>#REF!</v>
      </c>
    </row>
    <row r="1891" spans="2:15" ht="17.399999999999999">
      <c r="B1891" s="42" t="s">
        <v>158</v>
      </c>
      <c r="C1891" s="39">
        <f>'تقرير المصروفات حسب الشهر'!T23</f>
        <v>0</v>
      </c>
      <c r="D1891" s="31" t="e">
        <f>#REF!</f>
        <v>#REF!</v>
      </c>
      <c r="E1891" s="31" t="e">
        <f>#REF!</f>
        <v>#REF!</v>
      </c>
      <c r="F1891" s="31" t="e">
        <f>#REF!</f>
        <v>#REF!</v>
      </c>
      <c r="G1891" s="31" t="e">
        <f>#REF!</f>
        <v>#REF!</v>
      </c>
      <c r="H1891" s="31" t="e">
        <f>#REF!</f>
        <v>#REF!</v>
      </c>
      <c r="I1891" s="31">
        <f>'تقرير المصروفات حسب الشهر'!T776</f>
        <v>0</v>
      </c>
      <c r="J1891" s="31">
        <f>'تقرير المصروفات حسب الشهر'!T903</f>
        <v>0</v>
      </c>
      <c r="K1891" s="31">
        <f>'تقرير المصروفات حسب الشهر'!T1030</f>
        <v>0</v>
      </c>
      <c r="L1891" s="292">
        <f>IFERROR(VLOOKUP(B1891,'تقرير المصروفات حسب الشهر'!$C$1143:$AD$1254,18,FALSE),0)</f>
        <v>0</v>
      </c>
      <c r="M1891" s="292">
        <f>IFERROR(VLOOKUP(B1891,'تقرير المصروفات حسب الشهر'!$C$1270:$AD$1381,18,FALSE),0)</f>
        <v>0</v>
      </c>
      <c r="N1891" s="31" t="e">
        <f>#REF!</f>
        <v>#REF!</v>
      </c>
      <c r="O1891" s="37" t="e">
        <f t="shared" si="48"/>
        <v>#REF!</v>
      </c>
    </row>
    <row r="1892" spans="2:15" ht="17.399999999999999">
      <c r="B1892" s="42" t="s">
        <v>50</v>
      </c>
      <c r="C1892" s="39">
        <f>'تقرير المصروفات حسب الشهر'!T24</f>
        <v>0</v>
      </c>
      <c r="D1892" s="31" t="e">
        <f>#REF!</f>
        <v>#REF!</v>
      </c>
      <c r="E1892" s="31" t="e">
        <f>#REF!</f>
        <v>#REF!</v>
      </c>
      <c r="F1892" s="31" t="e">
        <f>#REF!</f>
        <v>#REF!</v>
      </c>
      <c r="G1892" s="31" t="e">
        <f>#REF!</f>
        <v>#REF!</v>
      </c>
      <c r="H1892" s="31" t="e">
        <f>#REF!</f>
        <v>#REF!</v>
      </c>
      <c r="I1892" s="31">
        <f>'تقرير المصروفات حسب الشهر'!T777</f>
        <v>0</v>
      </c>
      <c r="J1892" s="31">
        <f>'تقرير المصروفات حسب الشهر'!T904</f>
        <v>1540</v>
      </c>
      <c r="K1892" s="31">
        <f>'تقرير المصروفات حسب الشهر'!T1031</f>
        <v>0</v>
      </c>
      <c r="L1892" s="292">
        <f>IFERROR(VLOOKUP(B1892,'تقرير المصروفات حسب الشهر'!$C$1143:$AD$1254,18,FALSE),0)</f>
        <v>0</v>
      </c>
      <c r="M1892" s="292">
        <f>IFERROR(VLOOKUP(B1892,'تقرير المصروفات حسب الشهر'!$C$1270:$AD$1381,18,FALSE),0)</f>
        <v>0</v>
      </c>
      <c r="N1892" s="31" t="e">
        <f>#REF!</f>
        <v>#REF!</v>
      </c>
      <c r="O1892" s="37" t="e">
        <f t="shared" si="48"/>
        <v>#REF!</v>
      </c>
    </row>
    <row r="1893" spans="2:15" ht="17.399999999999999">
      <c r="B1893" s="42" t="s">
        <v>51</v>
      </c>
      <c r="C1893" s="39">
        <f>'تقرير المصروفات حسب الشهر'!T25</f>
        <v>0</v>
      </c>
      <c r="D1893" s="31" t="e">
        <f>#REF!</f>
        <v>#REF!</v>
      </c>
      <c r="E1893" s="31" t="e">
        <f>#REF!</f>
        <v>#REF!</v>
      </c>
      <c r="F1893" s="31" t="e">
        <f>#REF!</f>
        <v>#REF!</v>
      </c>
      <c r="G1893" s="31" t="e">
        <f>#REF!</f>
        <v>#REF!</v>
      </c>
      <c r="H1893" s="31" t="e">
        <f>#REF!</f>
        <v>#REF!</v>
      </c>
      <c r="I1893" s="31">
        <f>'تقرير المصروفات حسب الشهر'!T778</f>
        <v>0</v>
      </c>
      <c r="J1893" s="31">
        <f>'تقرير المصروفات حسب الشهر'!T905</f>
        <v>0</v>
      </c>
      <c r="K1893" s="31">
        <f>'تقرير المصروفات حسب الشهر'!T1032</f>
        <v>0</v>
      </c>
      <c r="L1893" s="292">
        <f>IFERROR(VLOOKUP(B1893,'تقرير المصروفات حسب الشهر'!$C$1143:$AD$1254,18,FALSE),0)</f>
        <v>0</v>
      </c>
      <c r="M1893" s="292">
        <f>IFERROR(VLOOKUP(B1893,'تقرير المصروفات حسب الشهر'!$C$1270:$AD$1381,18,FALSE),0)</f>
        <v>0</v>
      </c>
      <c r="N1893" s="31" t="e">
        <f>#REF!</f>
        <v>#REF!</v>
      </c>
      <c r="O1893" s="37" t="e">
        <f t="shared" si="48"/>
        <v>#REF!</v>
      </c>
    </row>
    <row r="1894" spans="2:15" ht="17.399999999999999">
      <c r="B1894" s="42" t="s">
        <v>52</v>
      </c>
      <c r="C1894" s="39">
        <f>'تقرير المصروفات حسب الشهر'!T26</f>
        <v>0</v>
      </c>
      <c r="D1894" s="31" t="e">
        <f>#REF!</f>
        <v>#REF!</v>
      </c>
      <c r="E1894" s="31" t="e">
        <f>#REF!</f>
        <v>#REF!</v>
      </c>
      <c r="F1894" s="31" t="e">
        <f>#REF!</f>
        <v>#REF!</v>
      </c>
      <c r="G1894" s="31" t="e">
        <f>#REF!</f>
        <v>#REF!</v>
      </c>
      <c r="H1894" s="31" t="e">
        <f>#REF!</f>
        <v>#REF!</v>
      </c>
      <c r="I1894" s="31">
        <f>'تقرير المصروفات حسب الشهر'!T779</f>
        <v>0</v>
      </c>
      <c r="J1894" s="31">
        <f>'تقرير المصروفات حسب الشهر'!T906</f>
        <v>0</v>
      </c>
      <c r="K1894" s="31">
        <f>'تقرير المصروفات حسب الشهر'!T1033</f>
        <v>0</v>
      </c>
      <c r="L1894" s="292">
        <f>IFERROR(VLOOKUP(B1894,'تقرير المصروفات حسب الشهر'!$C$1143:$AD$1254,18,FALSE),0)</f>
        <v>0</v>
      </c>
      <c r="M1894" s="292">
        <f>IFERROR(VLOOKUP(B1894,'تقرير المصروفات حسب الشهر'!$C$1270:$AD$1381,18,FALSE),0)</f>
        <v>0</v>
      </c>
      <c r="N1894" s="31" t="e">
        <f>#REF!</f>
        <v>#REF!</v>
      </c>
      <c r="O1894" s="37" t="e">
        <f t="shared" si="48"/>
        <v>#REF!</v>
      </c>
    </row>
    <row r="1895" spans="2:15" ht="17.399999999999999">
      <c r="B1895" s="42" t="s">
        <v>174</v>
      </c>
      <c r="C1895" s="39">
        <f>'تقرير المصروفات حسب الشهر'!T27</f>
        <v>0</v>
      </c>
      <c r="D1895" s="31" t="e">
        <f>#REF!</f>
        <v>#REF!</v>
      </c>
      <c r="E1895" s="31" t="e">
        <f>#REF!</f>
        <v>#REF!</v>
      </c>
      <c r="F1895" s="31" t="e">
        <f>#REF!</f>
        <v>#REF!</v>
      </c>
      <c r="G1895" s="31" t="e">
        <f>#REF!</f>
        <v>#REF!</v>
      </c>
      <c r="H1895" s="31" t="e">
        <f>#REF!</f>
        <v>#REF!</v>
      </c>
      <c r="I1895" s="31">
        <f>'تقرير المصروفات حسب الشهر'!T780</f>
        <v>0</v>
      </c>
      <c r="J1895" s="31">
        <f>'تقرير المصروفات حسب الشهر'!T907</f>
        <v>0</v>
      </c>
      <c r="K1895" s="31">
        <f>'تقرير المصروفات حسب الشهر'!T1034</f>
        <v>0</v>
      </c>
      <c r="L1895" s="292">
        <f>IFERROR(VLOOKUP(B1895,'تقرير المصروفات حسب الشهر'!$C$1143:$AD$1254,18,FALSE),0)</f>
        <v>80</v>
      </c>
      <c r="M1895" s="292">
        <f>IFERROR(VLOOKUP(B1895,'تقرير المصروفات حسب الشهر'!$C$1270:$AD$1381,18,FALSE),0)</f>
        <v>0</v>
      </c>
      <c r="N1895" s="31" t="e">
        <f>#REF!</f>
        <v>#REF!</v>
      </c>
      <c r="O1895" s="37" t="e">
        <f t="shared" si="48"/>
        <v>#REF!</v>
      </c>
    </row>
    <row r="1896" spans="2:15" ht="17.399999999999999">
      <c r="B1896" s="42" t="s">
        <v>53</v>
      </c>
      <c r="C1896" s="39">
        <f>'تقرير المصروفات حسب الشهر'!T28</f>
        <v>0</v>
      </c>
      <c r="D1896" s="31" t="e">
        <f>#REF!</f>
        <v>#REF!</v>
      </c>
      <c r="E1896" s="31" t="e">
        <f>#REF!</f>
        <v>#REF!</v>
      </c>
      <c r="F1896" s="31" t="e">
        <f>#REF!</f>
        <v>#REF!</v>
      </c>
      <c r="G1896" s="31" t="e">
        <f>#REF!</f>
        <v>#REF!</v>
      </c>
      <c r="H1896" s="31" t="e">
        <f>#REF!</f>
        <v>#REF!</v>
      </c>
      <c r="I1896" s="31">
        <f>'تقرير المصروفات حسب الشهر'!T781</f>
        <v>0</v>
      </c>
      <c r="J1896" s="31">
        <f>'تقرير المصروفات حسب الشهر'!T908</f>
        <v>0</v>
      </c>
      <c r="K1896" s="31">
        <f>'تقرير المصروفات حسب الشهر'!T1035</f>
        <v>0</v>
      </c>
      <c r="L1896" s="292">
        <f>IFERROR(VLOOKUP(B1896,'تقرير المصروفات حسب الشهر'!$C$1143:$AD$1254,18,FALSE),0)</f>
        <v>0</v>
      </c>
      <c r="M1896" s="292">
        <f>IFERROR(VLOOKUP(B1896,'تقرير المصروفات حسب الشهر'!$C$1270:$AD$1381,18,FALSE),0)</f>
        <v>0</v>
      </c>
      <c r="N1896" s="31" t="e">
        <f>#REF!</f>
        <v>#REF!</v>
      </c>
      <c r="O1896" s="37" t="e">
        <f t="shared" si="48"/>
        <v>#REF!</v>
      </c>
    </row>
    <row r="1897" spans="2:15" ht="17.399999999999999">
      <c r="B1897" s="42" t="s">
        <v>191</v>
      </c>
      <c r="C1897" s="39">
        <f>'تقرير المصروفات حسب الشهر'!T29</f>
        <v>0</v>
      </c>
      <c r="D1897" s="31" t="e">
        <f>#REF!</f>
        <v>#REF!</v>
      </c>
      <c r="E1897" s="31" t="e">
        <f>#REF!</f>
        <v>#REF!</v>
      </c>
      <c r="F1897" s="31" t="e">
        <f>#REF!</f>
        <v>#REF!</v>
      </c>
      <c r="G1897" s="31" t="e">
        <f>#REF!</f>
        <v>#REF!</v>
      </c>
      <c r="H1897" s="31" t="e">
        <f>#REF!</f>
        <v>#REF!</v>
      </c>
      <c r="I1897" s="31">
        <f>'تقرير المصروفات حسب الشهر'!T782</f>
        <v>0</v>
      </c>
      <c r="J1897" s="31">
        <f>'تقرير المصروفات حسب الشهر'!T909</f>
        <v>0</v>
      </c>
      <c r="K1897" s="31">
        <f>'تقرير المصروفات حسب الشهر'!T1036</f>
        <v>0</v>
      </c>
      <c r="L1897" s="292">
        <f>IFERROR(VLOOKUP(B1897,'تقرير المصروفات حسب الشهر'!$C$1143:$AD$1254,18,FALSE),0)</f>
        <v>0</v>
      </c>
      <c r="M1897" s="292">
        <f>IFERROR(VLOOKUP(B1897,'تقرير المصروفات حسب الشهر'!$C$1270:$AD$1381,18,FALSE),0)</f>
        <v>0</v>
      </c>
      <c r="N1897" s="31" t="e">
        <f>#REF!</f>
        <v>#REF!</v>
      </c>
      <c r="O1897" s="37" t="e">
        <f t="shared" si="48"/>
        <v>#REF!</v>
      </c>
    </row>
    <row r="1898" spans="2:15" ht="17.399999999999999">
      <c r="B1898" s="42" t="s">
        <v>29</v>
      </c>
      <c r="C1898" s="39">
        <f>'تقرير المصروفات حسب الشهر'!T30</f>
        <v>0</v>
      </c>
      <c r="D1898" s="31" t="e">
        <f>#REF!</f>
        <v>#REF!</v>
      </c>
      <c r="E1898" s="31" t="e">
        <f>#REF!</f>
        <v>#REF!</v>
      </c>
      <c r="F1898" s="31" t="e">
        <f>#REF!</f>
        <v>#REF!</v>
      </c>
      <c r="G1898" s="31" t="e">
        <f>#REF!</f>
        <v>#REF!</v>
      </c>
      <c r="H1898" s="31" t="e">
        <f>#REF!</f>
        <v>#REF!</v>
      </c>
      <c r="I1898" s="31">
        <f>'تقرير المصروفات حسب الشهر'!T783</f>
        <v>0</v>
      </c>
      <c r="J1898" s="31">
        <f>'تقرير المصروفات حسب الشهر'!T910</f>
        <v>0</v>
      </c>
      <c r="K1898" s="31">
        <f>'تقرير المصروفات حسب الشهر'!T1037</f>
        <v>0</v>
      </c>
      <c r="L1898" s="292">
        <f>IFERROR(VLOOKUP(B1898,'تقرير المصروفات حسب الشهر'!$C$1143:$AD$1254,18,FALSE),0)</f>
        <v>0</v>
      </c>
      <c r="M1898" s="292">
        <f>IFERROR(VLOOKUP(B1898,'تقرير المصروفات حسب الشهر'!$C$1270:$AD$1381,18,FALSE),0)</f>
        <v>0</v>
      </c>
      <c r="N1898" s="31" t="e">
        <f>#REF!</f>
        <v>#REF!</v>
      </c>
      <c r="O1898" s="37" t="e">
        <f t="shared" si="48"/>
        <v>#REF!</v>
      </c>
    </row>
    <row r="1899" spans="2:15" ht="17.399999999999999">
      <c r="B1899" s="42" t="s">
        <v>54</v>
      </c>
      <c r="C1899" s="39">
        <f>'تقرير المصروفات حسب الشهر'!T31</f>
        <v>0</v>
      </c>
      <c r="D1899" s="31" t="e">
        <f>#REF!</f>
        <v>#REF!</v>
      </c>
      <c r="E1899" s="31" t="e">
        <f>#REF!</f>
        <v>#REF!</v>
      </c>
      <c r="F1899" s="31" t="e">
        <f>#REF!</f>
        <v>#REF!</v>
      </c>
      <c r="G1899" s="31" t="e">
        <f>#REF!</f>
        <v>#REF!</v>
      </c>
      <c r="H1899" s="31" t="e">
        <f>#REF!</f>
        <v>#REF!</v>
      </c>
      <c r="I1899" s="31">
        <f>'تقرير المصروفات حسب الشهر'!T784</f>
        <v>0</v>
      </c>
      <c r="J1899" s="31">
        <f>'تقرير المصروفات حسب الشهر'!T911</f>
        <v>0</v>
      </c>
      <c r="K1899" s="31">
        <f>'تقرير المصروفات حسب الشهر'!T1038</f>
        <v>0</v>
      </c>
      <c r="L1899" s="292">
        <f>IFERROR(VLOOKUP(B1899,'تقرير المصروفات حسب الشهر'!$C$1143:$AD$1254,18,FALSE),0)</f>
        <v>0</v>
      </c>
      <c r="M1899" s="292">
        <f>IFERROR(VLOOKUP(B1899,'تقرير المصروفات حسب الشهر'!$C$1270:$AD$1381,18,FALSE),0)</f>
        <v>0</v>
      </c>
      <c r="N1899" s="31" t="e">
        <f>#REF!</f>
        <v>#REF!</v>
      </c>
      <c r="O1899" s="37" t="e">
        <f t="shared" si="48"/>
        <v>#REF!</v>
      </c>
    </row>
    <row r="1900" spans="2:15" ht="17.399999999999999">
      <c r="B1900" s="42" t="s">
        <v>31</v>
      </c>
      <c r="C1900" s="39">
        <f>'تقرير المصروفات حسب الشهر'!T32</f>
        <v>0</v>
      </c>
      <c r="D1900" s="31" t="e">
        <f>#REF!</f>
        <v>#REF!</v>
      </c>
      <c r="E1900" s="31" t="e">
        <f>#REF!</f>
        <v>#REF!</v>
      </c>
      <c r="F1900" s="31" t="e">
        <f>#REF!</f>
        <v>#REF!</v>
      </c>
      <c r="G1900" s="31" t="e">
        <f>#REF!</f>
        <v>#REF!</v>
      </c>
      <c r="H1900" s="31" t="e">
        <f>#REF!</f>
        <v>#REF!</v>
      </c>
      <c r="I1900" s="31">
        <f>'تقرير المصروفات حسب الشهر'!T785</f>
        <v>0</v>
      </c>
      <c r="J1900" s="31">
        <f>'تقرير المصروفات حسب الشهر'!T912</f>
        <v>0</v>
      </c>
      <c r="K1900" s="31">
        <f>'تقرير المصروفات حسب الشهر'!T1039</f>
        <v>0</v>
      </c>
      <c r="L1900" s="292">
        <f>IFERROR(VLOOKUP(B1900,'تقرير المصروفات حسب الشهر'!$C$1143:$AD$1254,18,FALSE),0)</f>
        <v>0</v>
      </c>
      <c r="M1900" s="292">
        <f>IFERROR(VLOOKUP(B1900,'تقرير المصروفات حسب الشهر'!$C$1270:$AD$1381,18,FALSE),0)</f>
        <v>0</v>
      </c>
      <c r="N1900" s="31" t="e">
        <f>#REF!</f>
        <v>#REF!</v>
      </c>
      <c r="O1900" s="37" t="e">
        <f t="shared" si="48"/>
        <v>#REF!</v>
      </c>
    </row>
    <row r="1901" spans="2:15" ht="17.399999999999999">
      <c r="B1901" s="42" t="s">
        <v>55</v>
      </c>
      <c r="C1901" s="39">
        <f>'تقرير المصروفات حسب الشهر'!T33</f>
        <v>0</v>
      </c>
      <c r="D1901" s="31" t="e">
        <f>#REF!</f>
        <v>#REF!</v>
      </c>
      <c r="E1901" s="31" t="e">
        <f>#REF!</f>
        <v>#REF!</v>
      </c>
      <c r="F1901" s="31" t="e">
        <f>#REF!</f>
        <v>#REF!</v>
      </c>
      <c r="G1901" s="31" t="e">
        <f>#REF!</f>
        <v>#REF!</v>
      </c>
      <c r="H1901" s="31" t="e">
        <f>#REF!</f>
        <v>#REF!</v>
      </c>
      <c r="I1901" s="31">
        <f>'تقرير المصروفات حسب الشهر'!T786</f>
        <v>0</v>
      </c>
      <c r="J1901" s="31">
        <f>'تقرير المصروفات حسب الشهر'!T913</f>
        <v>0</v>
      </c>
      <c r="K1901" s="31">
        <f>'تقرير المصروفات حسب الشهر'!T1040</f>
        <v>0</v>
      </c>
      <c r="L1901" s="292">
        <f>IFERROR(VLOOKUP(B1901,'تقرير المصروفات حسب الشهر'!$C$1143:$AD$1254,18,FALSE),0)</f>
        <v>0</v>
      </c>
      <c r="M1901" s="292">
        <f>IFERROR(VLOOKUP(B1901,'تقرير المصروفات حسب الشهر'!$C$1270:$AD$1381,18,FALSE),0)</f>
        <v>0</v>
      </c>
      <c r="N1901" s="31" t="e">
        <f>#REF!</f>
        <v>#REF!</v>
      </c>
      <c r="O1901" s="37" t="e">
        <f t="shared" si="48"/>
        <v>#REF!</v>
      </c>
    </row>
    <row r="1902" spans="2:15" ht="17.399999999999999">
      <c r="B1902" s="42" t="s">
        <v>56</v>
      </c>
      <c r="C1902" s="39">
        <f>'تقرير المصروفات حسب الشهر'!T34</f>
        <v>0</v>
      </c>
      <c r="D1902" s="31" t="e">
        <f>#REF!</f>
        <v>#REF!</v>
      </c>
      <c r="E1902" s="31" t="e">
        <f>#REF!</f>
        <v>#REF!</v>
      </c>
      <c r="F1902" s="31" t="e">
        <f>#REF!</f>
        <v>#REF!</v>
      </c>
      <c r="G1902" s="31" t="e">
        <f>#REF!</f>
        <v>#REF!</v>
      </c>
      <c r="H1902" s="31" t="e">
        <f>#REF!</f>
        <v>#REF!</v>
      </c>
      <c r="I1902" s="31">
        <f>'تقرير المصروفات حسب الشهر'!T787</f>
        <v>0</v>
      </c>
      <c r="J1902" s="31">
        <f>'تقرير المصروفات حسب الشهر'!T914</f>
        <v>0</v>
      </c>
      <c r="K1902" s="31">
        <f>'تقرير المصروفات حسب الشهر'!T1041</f>
        <v>0</v>
      </c>
      <c r="L1902" s="292">
        <f>IFERROR(VLOOKUP(B1902,'تقرير المصروفات حسب الشهر'!$C$1143:$AD$1254,18,FALSE),0)</f>
        <v>0</v>
      </c>
      <c r="M1902" s="292">
        <f>IFERROR(VLOOKUP(B1902,'تقرير المصروفات حسب الشهر'!$C$1270:$AD$1381,18,FALSE),0)</f>
        <v>0</v>
      </c>
      <c r="N1902" s="31" t="e">
        <f>#REF!</f>
        <v>#REF!</v>
      </c>
      <c r="O1902" s="37" t="e">
        <f t="shared" si="48"/>
        <v>#REF!</v>
      </c>
    </row>
    <row r="1903" spans="2:15" ht="17.399999999999999">
      <c r="B1903" s="42" t="s">
        <v>57</v>
      </c>
      <c r="C1903" s="39">
        <f>'تقرير المصروفات حسب الشهر'!T35</f>
        <v>0</v>
      </c>
      <c r="D1903" s="31" t="e">
        <f>#REF!</f>
        <v>#REF!</v>
      </c>
      <c r="E1903" s="31" t="e">
        <f>#REF!</f>
        <v>#REF!</v>
      </c>
      <c r="F1903" s="31" t="e">
        <f>#REF!</f>
        <v>#REF!</v>
      </c>
      <c r="G1903" s="31" t="e">
        <f>#REF!</f>
        <v>#REF!</v>
      </c>
      <c r="H1903" s="31" t="e">
        <f>#REF!</f>
        <v>#REF!</v>
      </c>
      <c r="I1903" s="31">
        <f>'تقرير المصروفات حسب الشهر'!T788</f>
        <v>0</v>
      </c>
      <c r="J1903" s="31">
        <f>'تقرير المصروفات حسب الشهر'!T915</f>
        <v>0</v>
      </c>
      <c r="K1903" s="31">
        <f>'تقرير المصروفات حسب الشهر'!T1042</f>
        <v>0</v>
      </c>
      <c r="L1903" s="292">
        <f>IFERROR(VLOOKUP(B1903,'تقرير المصروفات حسب الشهر'!$C$1143:$AD$1254,18,FALSE),0)</f>
        <v>0</v>
      </c>
      <c r="M1903" s="292">
        <f>IFERROR(VLOOKUP(B1903,'تقرير المصروفات حسب الشهر'!$C$1270:$AD$1381,18,FALSE),0)</f>
        <v>0</v>
      </c>
      <c r="N1903" s="31" t="e">
        <f>#REF!</f>
        <v>#REF!</v>
      </c>
      <c r="O1903" s="37" t="e">
        <f t="shared" si="48"/>
        <v>#REF!</v>
      </c>
    </row>
    <row r="1904" spans="2:15" ht="17.399999999999999">
      <c r="B1904" s="42" t="s">
        <v>58</v>
      </c>
      <c r="C1904" s="39">
        <f>'تقرير المصروفات حسب الشهر'!T36</f>
        <v>0</v>
      </c>
      <c r="D1904" s="31" t="e">
        <f>#REF!</f>
        <v>#REF!</v>
      </c>
      <c r="E1904" s="31" t="e">
        <f>#REF!</f>
        <v>#REF!</v>
      </c>
      <c r="F1904" s="31" t="e">
        <f>#REF!</f>
        <v>#REF!</v>
      </c>
      <c r="G1904" s="31" t="e">
        <f>#REF!</f>
        <v>#REF!</v>
      </c>
      <c r="H1904" s="31" t="e">
        <f>#REF!</f>
        <v>#REF!</v>
      </c>
      <c r="I1904" s="31">
        <f>'تقرير المصروفات حسب الشهر'!T789</f>
        <v>0</v>
      </c>
      <c r="J1904" s="31">
        <f>'تقرير المصروفات حسب الشهر'!T916</f>
        <v>0</v>
      </c>
      <c r="K1904" s="31">
        <f>'تقرير المصروفات حسب الشهر'!T1043</f>
        <v>0</v>
      </c>
      <c r="L1904" s="292">
        <f>IFERROR(VLOOKUP(B1904,'تقرير المصروفات حسب الشهر'!$C$1143:$AD$1254,18,FALSE),0)</f>
        <v>0</v>
      </c>
      <c r="M1904" s="292">
        <f>IFERROR(VLOOKUP(B1904,'تقرير المصروفات حسب الشهر'!$C$1270:$AD$1381,18,FALSE),0)</f>
        <v>0</v>
      </c>
      <c r="N1904" s="31" t="e">
        <f>#REF!</f>
        <v>#REF!</v>
      </c>
      <c r="O1904" s="37" t="e">
        <f t="shared" si="48"/>
        <v>#REF!</v>
      </c>
    </row>
    <row r="1905" spans="2:15" ht="17.399999999999999">
      <c r="B1905" s="42" t="s">
        <v>59</v>
      </c>
      <c r="C1905" s="39">
        <f>'تقرير المصروفات حسب الشهر'!T37</f>
        <v>0</v>
      </c>
      <c r="D1905" s="31" t="e">
        <f>#REF!</f>
        <v>#REF!</v>
      </c>
      <c r="E1905" s="31" t="e">
        <f>#REF!</f>
        <v>#REF!</v>
      </c>
      <c r="F1905" s="31" t="e">
        <f>#REF!</f>
        <v>#REF!</v>
      </c>
      <c r="G1905" s="31" t="e">
        <f>#REF!</f>
        <v>#REF!</v>
      </c>
      <c r="H1905" s="31" t="e">
        <f>#REF!</f>
        <v>#REF!</v>
      </c>
      <c r="I1905" s="31">
        <f>'تقرير المصروفات حسب الشهر'!T790</f>
        <v>0</v>
      </c>
      <c r="J1905" s="31">
        <f>'تقرير المصروفات حسب الشهر'!T917</f>
        <v>0</v>
      </c>
      <c r="K1905" s="31">
        <f>'تقرير المصروفات حسب الشهر'!T1044</f>
        <v>0</v>
      </c>
      <c r="L1905" s="292">
        <f>IFERROR(VLOOKUP(B1905,'تقرير المصروفات حسب الشهر'!$C$1143:$AD$1254,18,FALSE),0)</f>
        <v>0</v>
      </c>
      <c r="M1905" s="292">
        <f>IFERROR(VLOOKUP(B1905,'تقرير المصروفات حسب الشهر'!$C$1270:$AD$1381,18,FALSE),0)</f>
        <v>0</v>
      </c>
      <c r="N1905" s="31" t="e">
        <f>#REF!</f>
        <v>#REF!</v>
      </c>
      <c r="O1905" s="37" t="e">
        <f t="shared" si="48"/>
        <v>#REF!</v>
      </c>
    </row>
    <row r="1906" spans="2:15" ht="17.399999999999999">
      <c r="B1906" s="42" t="s">
        <v>60</v>
      </c>
      <c r="C1906" s="39">
        <f>'تقرير المصروفات حسب الشهر'!T38</f>
        <v>0</v>
      </c>
      <c r="D1906" s="31" t="e">
        <f>#REF!</f>
        <v>#REF!</v>
      </c>
      <c r="E1906" s="31" t="e">
        <f>#REF!</f>
        <v>#REF!</v>
      </c>
      <c r="F1906" s="31" t="e">
        <f>#REF!</f>
        <v>#REF!</v>
      </c>
      <c r="G1906" s="31" t="e">
        <f>#REF!</f>
        <v>#REF!</v>
      </c>
      <c r="H1906" s="31" t="e">
        <f>#REF!</f>
        <v>#REF!</v>
      </c>
      <c r="I1906" s="31">
        <f>'تقرير المصروفات حسب الشهر'!T791</f>
        <v>0</v>
      </c>
      <c r="J1906" s="31">
        <f>'تقرير المصروفات حسب الشهر'!T918</f>
        <v>0</v>
      </c>
      <c r="K1906" s="31">
        <f>'تقرير المصروفات حسب الشهر'!T1045</f>
        <v>0</v>
      </c>
      <c r="L1906" s="292">
        <f>IFERROR(VLOOKUP(B1906,'تقرير المصروفات حسب الشهر'!$C$1143:$AD$1254,18,FALSE),0)</f>
        <v>0</v>
      </c>
      <c r="M1906" s="292">
        <f>IFERROR(VLOOKUP(B1906,'تقرير المصروفات حسب الشهر'!$C$1270:$AD$1381,18,FALSE),0)</f>
        <v>0</v>
      </c>
      <c r="N1906" s="31" t="e">
        <f>#REF!</f>
        <v>#REF!</v>
      </c>
      <c r="O1906" s="37" t="e">
        <f t="shared" si="48"/>
        <v>#REF!</v>
      </c>
    </row>
    <row r="1907" spans="2:15" ht="17.399999999999999">
      <c r="B1907" s="42" t="s">
        <v>61</v>
      </c>
      <c r="C1907" s="39">
        <f>'تقرير المصروفات حسب الشهر'!T39</f>
        <v>0</v>
      </c>
      <c r="D1907" s="31" t="e">
        <f>#REF!</f>
        <v>#REF!</v>
      </c>
      <c r="E1907" s="31" t="e">
        <f>#REF!</f>
        <v>#REF!</v>
      </c>
      <c r="F1907" s="31" t="e">
        <f>#REF!</f>
        <v>#REF!</v>
      </c>
      <c r="G1907" s="31" t="e">
        <f>#REF!</f>
        <v>#REF!</v>
      </c>
      <c r="H1907" s="31" t="e">
        <f>#REF!</f>
        <v>#REF!</v>
      </c>
      <c r="I1907" s="31">
        <f>'تقرير المصروفات حسب الشهر'!T792</f>
        <v>0</v>
      </c>
      <c r="J1907" s="31">
        <f>'تقرير المصروفات حسب الشهر'!T919</f>
        <v>0</v>
      </c>
      <c r="K1907" s="31">
        <f>'تقرير المصروفات حسب الشهر'!T1046</f>
        <v>0</v>
      </c>
      <c r="L1907" s="292">
        <f>IFERROR(VLOOKUP(B1907,'تقرير المصروفات حسب الشهر'!$C$1143:$AD$1254,18,FALSE),0)</f>
        <v>0</v>
      </c>
      <c r="M1907" s="292">
        <f>IFERROR(VLOOKUP(B1907,'تقرير المصروفات حسب الشهر'!$C$1270:$AD$1381,18,FALSE),0)</f>
        <v>0</v>
      </c>
      <c r="N1907" s="31" t="e">
        <f>#REF!</f>
        <v>#REF!</v>
      </c>
      <c r="O1907" s="37" t="e">
        <f t="shared" si="48"/>
        <v>#REF!</v>
      </c>
    </row>
    <row r="1908" spans="2:15" ht="17.399999999999999">
      <c r="B1908" s="42" t="s">
        <v>62</v>
      </c>
      <c r="C1908" s="39">
        <f>'تقرير المصروفات حسب الشهر'!T40</f>
        <v>0</v>
      </c>
      <c r="D1908" s="31" t="e">
        <f>#REF!</f>
        <v>#REF!</v>
      </c>
      <c r="E1908" s="31" t="e">
        <f>#REF!</f>
        <v>#REF!</v>
      </c>
      <c r="F1908" s="31" t="e">
        <f>#REF!</f>
        <v>#REF!</v>
      </c>
      <c r="G1908" s="31" t="e">
        <f>#REF!</f>
        <v>#REF!</v>
      </c>
      <c r="H1908" s="31" t="e">
        <f>#REF!</f>
        <v>#REF!</v>
      </c>
      <c r="I1908" s="31">
        <f>'تقرير المصروفات حسب الشهر'!T793</f>
        <v>0</v>
      </c>
      <c r="J1908" s="31">
        <f>'تقرير المصروفات حسب الشهر'!T920</f>
        <v>0</v>
      </c>
      <c r="K1908" s="31">
        <f>'تقرير المصروفات حسب الشهر'!T1047</f>
        <v>0</v>
      </c>
      <c r="L1908" s="292">
        <f>IFERROR(VLOOKUP(B1908,'تقرير المصروفات حسب الشهر'!$C$1143:$AD$1254,18,FALSE),0)</f>
        <v>0</v>
      </c>
      <c r="M1908" s="292">
        <f>IFERROR(VLOOKUP(B1908,'تقرير المصروفات حسب الشهر'!$C$1270:$AD$1381,18,FALSE),0)</f>
        <v>0</v>
      </c>
      <c r="N1908" s="31" t="e">
        <f>#REF!</f>
        <v>#REF!</v>
      </c>
      <c r="O1908" s="37" t="e">
        <f t="shared" si="48"/>
        <v>#REF!</v>
      </c>
    </row>
    <row r="1909" spans="2:15" ht="17.399999999999999">
      <c r="B1909" s="42" t="s">
        <v>63</v>
      </c>
      <c r="C1909" s="39">
        <f>'تقرير المصروفات حسب الشهر'!T41</f>
        <v>0</v>
      </c>
      <c r="D1909" s="31" t="e">
        <f>#REF!</f>
        <v>#REF!</v>
      </c>
      <c r="E1909" s="31" t="e">
        <f>#REF!</f>
        <v>#REF!</v>
      </c>
      <c r="F1909" s="31" t="e">
        <f>#REF!</f>
        <v>#REF!</v>
      </c>
      <c r="G1909" s="31" t="e">
        <f>#REF!</f>
        <v>#REF!</v>
      </c>
      <c r="H1909" s="31" t="e">
        <f>#REF!</f>
        <v>#REF!</v>
      </c>
      <c r="I1909" s="31">
        <f>'تقرير المصروفات حسب الشهر'!T794</f>
        <v>0</v>
      </c>
      <c r="J1909" s="31">
        <f>'تقرير المصروفات حسب الشهر'!T921</f>
        <v>0</v>
      </c>
      <c r="K1909" s="31">
        <f>'تقرير المصروفات حسب الشهر'!T1048</f>
        <v>0</v>
      </c>
      <c r="L1909" s="292">
        <f>IFERROR(VLOOKUP(B1909,'تقرير المصروفات حسب الشهر'!$C$1143:$AD$1254,18,FALSE),0)</f>
        <v>0</v>
      </c>
      <c r="M1909" s="292">
        <f>IFERROR(VLOOKUP(B1909,'تقرير المصروفات حسب الشهر'!$C$1270:$AD$1381,18,FALSE),0)</f>
        <v>0</v>
      </c>
      <c r="N1909" s="31" t="e">
        <f>#REF!</f>
        <v>#REF!</v>
      </c>
      <c r="O1909" s="37" t="e">
        <f t="shared" si="48"/>
        <v>#REF!</v>
      </c>
    </row>
    <row r="1910" spans="2:15" ht="17.399999999999999">
      <c r="B1910" s="42" t="s">
        <v>64</v>
      </c>
      <c r="C1910" s="39">
        <f>'تقرير المصروفات حسب الشهر'!T42</f>
        <v>0</v>
      </c>
      <c r="D1910" s="31" t="e">
        <f>#REF!</f>
        <v>#REF!</v>
      </c>
      <c r="E1910" s="31" t="e">
        <f>#REF!</f>
        <v>#REF!</v>
      </c>
      <c r="F1910" s="31" t="e">
        <f>#REF!</f>
        <v>#REF!</v>
      </c>
      <c r="G1910" s="31" t="e">
        <f>#REF!</f>
        <v>#REF!</v>
      </c>
      <c r="H1910" s="31" t="e">
        <f>#REF!</f>
        <v>#REF!</v>
      </c>
      <c r="I1910" s="31">
        <f>'تقرير المصروفات حسب الشهر'!T795</f>
        <v>0</v>
      </c>
      <c r="J1910" s="31">
        <f>'تقرير المصروفات حسب الشهر'!T922</f>
        <v>0</v>
      </c>
      <c r="K1910" s="31">
        <f>'تقرير المصروفات حسب الشهر'!T1049</f>
        <v>5000</v>
      </c>
      <c r="L1910" s="292">
        <f>IFERROR(VLOOKUP(B1910,'تقرير المصروفات حسب الشهر'!$C$1143:$AD$1254,18,FALSE),0)</f>
        <v>0</v>
      </c>
      <c r="M1910" s="292">
        <f>IFERROR(VLOOKUP(B1910,'تقرير المصروفات حسب الشهر'!$C$1270:$AD$1381,18,FALSE),0)</f>
        <v>4500</v>
      </c>
      <c r="N1910" s="31" t="e">
        <f>#REF!</f>
        <v>#REF!</v>
      </c>
      <c r="O1910" s="37" t="e">
        <f t="shared" si="48"/>
        <v>#REF!</v>
      </c>
    </row>
    <row r="1911" spans="2:15" ht="17.399999999999999">
      <c r="B1911" s="42" t="s">
        <v>28</v>
      </c>
      <c r="C1911" s="39">
        <f>'تقرير المصروفات حسب الشهر'!T43</f>
        <v>0</v>
      </c>
      <c r="D1911" s="31" t="e">
        <f>#REF!</f>
        <v>#REF!</v>
      </c>
      <c r="E1911" s="31" t="e">
        <f>#REF!</f>
        <v>#REF!</v>
      </c>
      <c r="F1911" s="31" t="e">
        <f>#REF!</f>
        <v>#REF!</v>
      </c>
      <c r="G1911" s="31" t="e">
        <f>#REF!</f>
        <v>#REF!</v>
      </c>
      <c r="H1911" s="31" t="e">
        <f>#REF!</f>
        <v>#REF!</v>
      </c>
      <c r="I1911" s="31">
        <f>'تقرير المصروفات حسب الشهر'!T796</f>
        <v>0</v>
      </c>
      <c r="J1911" s="31">
        <f>'تقرير المصروفات حسب الشهر'!T923</f>
        <v>0</v>
      </c>
      <c r="K1911" s="31">
        <f>'تقرير المصروفات حسب الشهر'!T1050</f>
        <v>0</v>
      </c>
      <c r="L1911" s="292">
        <f>IFERROR(VLOOKUP(B1911,'تقرير المصروفات حسب الشهر'!$C$1143:$AD$1254,18,FALSE),0)</f>
        <v>0</v>
      </c>
      <c r="M1911" s="292">
        <f>IFERROR(VLOOKUP(B1911,'تقرير المصروفات حسب الشهر'!$C$1270:$AD$1381,18,FALSE),0)</f>
        <v>0</v>
      </c>
      <c r="N1911" s="31" t="e">
        <f>#REF!</f>
        <v>#REF!</v>
      </c>
      <c r="O1911" s="37" t="e">
        <f t="shared" si="48"/>
        <v>#REF!</v>
      </c>
    </row>
    <row r="1912" spans="2:15" ht="17.399999999999999">
      <c r="B1912" s="42" t="s">
        <v>157</v>
      </c>
      <c r="C1912" s="39">
        <f>'تقرير المصروفات حسب الشهر'!T44</f>
        <v>0</v>
      </c>
      <c r="D1912" s="31" t="e">
        <f>#REF!</f>
        <v>#REF!</v>
      </c>
      <c r="E1912" s="31" t="e">
        <f>#REF!</f>
        <v>#REF!</v>
      </c>
      <c r="F1912" s="31" t="e">
        <f>#REF!</f>
        <v>#REF!</v>
      </c>
      <c r="G1912" s="31" t="e">
        <f>#REF!</f>
        <v>#REF!</v>
      </c>
      <c r="H1912" s="31" t="e">
        <f>#REF!</f>
        <v>#REF!</v>
      </c>
      <c r="I1912" s="31">
        <f>'تقرير المصروفات حسب الشهر'!T797</f>
        <v>0</v>
      </c>
      <c r="J1912" s="31">
        <f>'تقرير المصروفات حسب الشهر'!T924</f>
        <v>0</v>
      </c>
      <c r="K1912" s="31">
        <f>'تقرير المصروفات حسب الشهر'!T1051</f>
        <v>0</v>
      </c>
      <c r="L1912" s="292">
        <f>IFERROR(VLOOKUP(B1912,'تقرير المصروفات حسب الشهر'!$C$1143:$AD$1254,18,FALSE),0)</f>
        <v>0</v>
      </c>
      <c r="M1912" s="292">
        <f>IFERROR(VLOOKUP(B1912,'تقرير المصروفات حسب الشهر'!$C$1270:$AD$1381,18,FALSE),0)</f>
        <v>0</v>
      </c>
      <c r="N1912" s="31" t="e">
        <f>#REF!</f>
        <v>#REF!</v>
      </c>
      <c r="O1912" s="37" t="e">
        <f t="shared" si="48"/>
        <v>#REF!</v>
      </c>
    </row>
    <row r="1913" spans="2:15" ht="17.399999999999999">
      <c r="B1913" s="42" t="s">
        <v>65</v>
      </c>
      <c r="C1913" s="39">
        <f>'تقرير المصروفات حسب الشهر'!T45</f>
        <v>0</v>
      </c>
      <c r="D1913" s="31" t="e">
        <f>#REF!</f>
        <v>#REF!</v>
      </c>
      <c r="E1913" s="31" t="e">
        <f>#REF!</f>
        <v>#REF!</v>
      </c>
      <c r="F1913" s="31" t="e">
        <f>#REF!</f>
        <v>#REF!</v>
      </c>
      <c r="G1913" s="31" t="e">
        <f>#REF!</f>
        <v>#REF!</v>
      </c>
      <c r="H1913" s="31" t="e">
        <f>#REF!</f>
        <v>#REF!</v>
      </c>
      <c r="I1913" s="31">
        <f>'تقرير المصروفات حسب الشهر'!T798</f>
        <v>0</v>
      </c>
      <c r="J1913" s="31">
        <f>'تقرير المصروفات حسب الشهر'!T925</f>
        <v>0</v>
      </c>
      <c r="K1913" s="31">
        <f>'تقرير المصروفات حسب الشهر'!T1052</f>
        <v>0</v>
      </c>
      <c r="L1913" s="292">
        <f>IFERROR(VLOOKUP(B1913,'تقرير المصروفات حسب الشهر'!$C$1143:$AD$1254,18,FALSE),0)</f>
        <v>0</v>
      </c>
      <c r="M1913" s="292">
        <f>IFERROR(VLOOKUP(B1913,'تقرير المصروفات حسب الشهر'!$C$1270:$AD$1381,18,FALSE),0)</f>
        <v>0</v>
      </c>
      <c r="N1913" s="31" t="e">
        <f>#REF!</f>
        <v>#REF!</v>
      </c>
      <c r="O1913" s="37" t="e">
        <f t="shared" si="48"/>
        <v>#REF!</v>
      </c>
    </row>
    <row r="1914" spans="2:15" ht="17.399999999999999">
      <c r="B1914" s="42" t="s">
        <v>66</v>
      </c>
      <c r="C1914" s="39">
        <f>'تقرير المصروفات حسب الشهر'!T46</f>
        <v>0</v>
      </c>
      <c r="D1914" s="31" t="e">
        <f>#REF!</f>
        <v>#REF!</v>
      </c>
      <c r="E1914" s="31" t="e">
        <f>#REF!</f>
        <v>#REF!</v>
      </c>
      <c r="F1914" s="31" t="e">
        <f>#REF!</f>
        <v>#REF!</v>
      </c>
      <c r="G1914" s="31" t="e">
        <f>#REF!</f>
        <v>#REF!</v>
      </c>
      <c r="H1914" s="31" t="e">
        <f>#REF!</f>
        <v>#REF!</v>
      </c>
      <c r="I1914" s="31">
        <f>'تقرير المصروفات حسب الشهر'!T799</f>
        <v>0</v>
      </c>
      <c r="J1914" s="31">
        <f>'تقرير المصروفات حسب الشهر'!T926</f>
        <v>0</v>
      </c>
      <c r="K1914" s="31">
        <f>'تقرير المصروفات حسب الشهر'!T1053</f>
        <v>0</v>
      </c>
      <c r="L1914" s="292">
        <f>IFERROR(VLOOKUP(B1914,'تقرير المصروفات حسب الشهر'!$C$1143:$AD$1254,18,FALSE),0)</f>
        <v>0</v>
      </c>
      <c r="M1914" s="292">
        <f>IFERROR(VLOOKUP(B1914,'تقرير المصروفات حسب الشهر'!$C$1270:$AD$1381,18,FALSE),0)</f>
        <v>0</v>
      </c>
      <c r="N1914" s="31" t="e">
        <f>#REF!</f>
        <v>#REF!</v>
      </c>
      <c r="O1914" s="37" t="e">
        <f t="shared" si="48"/>
        <v>#REF!</v>
      </c>
    </row>
    <row r="1915" spans="2:15" ht="17.399999999999999">
      <c r="B1915" s="42" t="s">
        <v>30</v>
      </c>
      <c r="C1915" s="39">
        <f>'تقرير المصروفات حسب الشهر'!T47</f>
        <v>0</v>
      </c>
      <c r="D1915" s="31" t="e">
        <f>#REF!</f>
        <v>#REF!</v>
      </c>
      <c r="E1915" s="31" t="e">
        <f>#REF!</f>
        <v>#REF!</v>
      </c>
      <c r="F1915" s="31" t="e">
        <f>#REF!</f>
        <v>#REF!</v>
      </c>
      <c r="G1915" s="31" t="e">
        <f>#REF!</f>
        <v>#REF!</v>
      </c>
      <c r="H1915" s="31" t="e">
        <f>#REF!</f>
        <v>#REF!</v>
      </c>
      <c r="I1915" s="31">
        <f>'تقرير المصروفات حسب الشهر'!T800</f>
        <v>0</v>
      </c>
      <c r="J1915" s="31">
        <f>'تقرير المصروفات حسب الشهر'!T927</f>
        <v>0</v>
      </c>
      <c r="K1915" s="31">
        <f>'تقرير المصروفات حسب الشهر'!T1054</f>
        <v>0</v>
      </c>
      <c r="L1915" s="292">
        <f>IFERROR(VLOOKUP(B1915,'تقرير المصروفات حسب الشهر'!$C$1143:$AD$1254,18,FALSE),0)</f>
        <v>0</v>
      </c>
      <c r="M1915" s="292">
        <f>IFERROR(VLOOKUP(B1915,'تقرير المصروفات حسب الشهر'!$C$1270:$AD$1381,18,FALSE),0)</f>
        <v>0</v>
      </c>
      <c r="N1915" s="31" t="e">
        <f>#REF!</f>
        <v>#REF!</v>
      </c>
      <c r="O1915" s="37" t="e">
        <f t="shared" si="48"/>
        <v>#REF!</v>
      </c>
    </row>
    <row r="1916" spans="2:15" ht="17.399999999999999">
      <c r="B1916" s="42" t="s">
        <v>67</v>
      </c>
      <c r="C1916" s="39">
        <f>'تقرير المصروفات حسب الشهر'!T48</f>
        <v>0</v>
      </c>
      <c r="D1916" s="31" t="e">
        <f>#REF!</f>
        <v>#REF!</v>
      </c>
      <c r="E1916" s="31" t="e">
        <f>#REF!</f>
        <v>#REF!</v>
      </c>
      <c r="F1916" s="31" t="e">
        <f>#REF!</f>
        <v>#REF!</v>
      </c>
      <c r="G1916" s="31" t="e">
        <f>#REF!</f>
        <v>#REF!</v>
      </c>
      <c r="H1916" s="31" t="e">
        <f>#REF!</f>
        <v>#REF!</v>
      </c>
      <c r="I1916" s="31">
        <f>'تقرير المصروفات حسب الشهر'!T801</f>
        <v>0</v>
      </c>
      <c r="J1916" s="31">
        <f>'تقرير المصروفات حسب الشهر'!T928</f>
        <v>0</v>
      </c>
      <c r="K1916" s="31">
        <f>'تقرير المصروفات حسب الشهر'!T1055</f>
        <v>0</v>
      </c>
      <c r="L1916" s="292">
        <f>IFERROR(VLOOKUP(B1916,'تقرير المصروفات حسب الشهر'!$C$1143:$AD$1254,18,FALSE),0)</f>
        <v>0</v>
      </c>
      <c r="M1916" s="292">
        <f>IFERROR(VLOOKUP(B1916,'تقرير المصروفات حسب الشهر'!$C$1270:$AD$1381,18,FALSE),0)</f>
        <v>0</v>
      </c>
      <c r="N1916" s="31" t="e">
        <f>#REF!</f>
        <v>#REF!</v>
      </c>
      <c r="O1916" s="37" t="e">
        <f t="shared" si="48"/>
        <v>#REF!</v>
      </c>
    </row>
    <row r="1917" spans="2:15" ht="17.399999999999999">
      <c r="B1917" s="42" t="s">
        <v>111</v>
      </c>
      <c r="C1917" s="39">
        <f>'تقرير المصروفات حسب الشهر'!T49</f>
        <v>0</v>
      </c>
      <c r="D1917" s="31" t="e">
        <f>#REF!</f>
        <v>#REF!</v>
      </c>
      <c r="E1917" s="31" t="e">
        <f>#REF!</f>
        <v>#REF!</v>
      </c>
      <c r="F1917" s="31" t="e">
        <f>#REF!</f>
        <v>#REF!</v>
      </c>
      <c r="G1917" s="31" t="e">
        <f>#REF!</f>
        <v>#REF!</v>
      </c>
      <c r="H1917" s="31" t="e">
        <f>#REF!</f>
        <v>#REF!</v>
      </c>
      <c r="I1917" s="31">
        <f>'تقرير المصروفات حسب الشهر'!T802</f>
        <v>0</v>
      </c>
      <c r="J1917" s="31">
        <f>'تقرير المصروفات حسب الشهر'!T929</f>
        <v>0</v>
      </c>
      <c r="K1917" s="31">
        <f>'تقرير المصروفات حسب الشهر'!T1056</f>
        <v>0</v>
      </c>
      <c r="L1917" s="292">
        <f>IFERROR(VLOOKUP(B1917,'تقرير المصروفات حسب الشهر'!$C$1143:$AD$1254,18,FALSE),0)</f>
        <v>0</v>
      </c>
      <c r="M1917" s="292">
        <f>IFERROR(VLOOKUP(B1917,'تقرير المصروفات حسب الشهر'!$C$1270:$AD$1381,18,FALSE),0)</f>
        <v>0</v>
      </c>
      <c r="N1917" s="31" t="e">
        <f>#REF!</f>
        <v>#REF!</v>
      </c>
      <c r="O1917" s="37" t="e">
        <f t="shared" si="48"/>
        <v>#REF!</v>
      </c>
    </row>
    <row r="1918" spans="2:15" ht="17.399999999999999">
      <c r="B1918" s="42" t="s">
        <v>68</v>
      </c>
      <c r="C1918" s="39">
        <f>'تقرير المصروفات حسب الشهر'!T50</f>
        <v>0</v>
      </c>
      <c r="D1918" s="31" t="e">
        <f>#REF!</f>
        <v>#REF!</v>
      </c>
      <c r="E1918" s="31" t="e">
        <f>#REF!</f>
        <v>#REF!</v>
      </c>
      <c r="F1918" s="31" t="e">
        <f>#REF!</f>
        <v>#REF!</v>
      </c>
      <c r="G1918" s="31" t="e">
        <f>#REF!</f>
        <v>#REF!</v>
      </c>
      <c r="H1918" s="31" t="e">
        <f>#REF!</f>
        <v>#REF!</v>
      </c>
      <c r="I1918" s="31">
        <f>'تقرير المصروفات حسب الشهر'!T803</f>
        <v>0</v>
      </c>
      <c r="J1918" s="31">
        <f>'تقرير المصروفات حسب الشهر'!T930</f>
        <v>0</v>
      </c>
      <c r="K1918" s="31">
        <f>'تقرير المصروفات حسب الشهر'!T1057</f>
        <v>0</v>
      </c>
      <c r="L1918" s="292">
        <f>IFERROR(VLOOKUP(B1918,'تقرير المصروفات حسب الشهر'!$C$1143:$AD$1254,18,FALSE),0)</f>
        <v>0</v>
      </c>
      <c r="M1918" s="292">
        <f>IFERROR(VLOOKUP(B1918,'تقرير المصروفات حسب الشهر'!$C$1270:$AD$1381,18,FALSE),0)</f>
        <v>0</v>
      </c>
      <c r="N1918" s="31" t="e">
        <f>#REF!</f>
        <v>#REF!</v>
      </c>
      <c r="O1918" s="37" t="e">
        <f t="shared" si="48"/>
        <v>#REF!</v>
      </c>
    </row>
    <row r="1919" spans="2:15" ht="17.399999999999999">
      <c r="B1919" s="42" t="s">
        <v>69</v>
      </c>
      <c r="C1919" s="39">
        <f>'تقرير المصروفات حسب الشهر'!T51</f>
        <v>0</v>
      </c>
      <c r="D1919" s="31" t="e">
        <f>#REF!</f>
        <v>#REF!</v>
      </c>
      <c r="E1919" s="31" t="e">
        <f>#REF!</f>
        <v>#REF!</v>
      </c>
      <c r="F1919" s="31" t="e">
        <f>#REF!</f>
        <v>#REF!</v>
      </c>
      <c r="G1919" s="31" t="e">
        <f>#REF!</f>
        <v>#REF!</v>
      </c>
      <c r="H1919" s="31" t="e">
        <f>#REF!</f>
        <v>#REF!</v>
      </c>
      <c r="I1919" s="31">
        <f>'تقرير المصروفات حسب الشهر'!T804</f>
        <v>0</v>
      </c>
      <c r="J1919" s="31">
        <f>'تقرير المصروفات حسب الشهر'!T931</f>
        <v>0</v>
      </c>
      <c r="K1919" s="31">
        <f>'تقرير المصروفات حسب الشهر'!T1058</f>
        <v>0</v>
      </c>
      <c r="L1919" s="292">
        <f>IFERROR(VLOOKUP(B1919,'تقرير المصروفات حسب الشهر'!$C$1143:$AD$1254,18,FALSE),0)</f>
        <v>0</v>
      </c>
      <c r="M1919" s="292">
        <f>IFERROR(VLOOKUP(B1919,'تقرير المصروفات حسب الشهر'!$C$1270:$AD$1381,18,FALSE),0)</f>
        <v>0</v>
      </c>
      <c r="N1919" s="31" t="e">
        <f>#REF!</f>
        <v>#REF!</v>
      </c>
      <c r="O1919" s="37" t="e">
        <f t="shared" si="48"/>
        <v>#REF!</v>
      </c>
    </row>
    <row r="1920" spans="2:15" ht="17.399999999999999">
      <c r="B1920" s="42" t="s">
        <v>70</v>
      </c>
      <c r="C1920" s="39">
        <f>'تقرير المصروفات حسب الشهر'!T52</f>
        <v>0</v>
      </c>
      <c r="D1920" s="31" t="e">
        <f>#REF!</f>
        <v>#REF!</v>
      </c>
      <c r="E1920" s="31" t="e">
        <f>#REF!</f>
        <v>#REF!</v>
      </c>
      <c r="F1920" s="31" t="e">
        <f>#REF!</f>
        <v>#REF!</v>
      </c>
      <c r="G1920" s="31" t="e">
        <f>#REF!</f>
        <v>#REF!</v>
      </c>
      <c r="H1920" s="31" t="e">
        <f>#REF!</f>
        <v>#REF!</v>
      </c>
      <c r="I1920" s="31">
        <f>'تقرير المصروفات حسب الشهر'!T805</f>
        <v>0</v>
      </c>
      <c r="J1920" s="31">
        <f>'تقرير المصروفات حسب الشهر'!T932</f>
        <v>0</v>
      </c>
      <c r="K1920" s="31">
        <f>'تقرير المصروفات حسب الشهر'!T1059</f>
        <v>0</v>
      </c>
      <c r="L1920" s="292">
        <f>IFERROR(VLOOKUP(B1920,'تقرير المصروفات حسب الشهر'!$C$1143:$AD$1254,18,FALSE),0)</f>
        <v>0</v>
      </c>
      <c r="M1920" s="292">
        <f>IFERROR(VLOOKUP(B1920,'تقرير المصروفات حسب الشهر'!$C$1270:$AD$1381,18,FALSE),0)</f>
        <v>0</v>
      </c>
      <c r="N1920" s="31" t="e">
        <f>#REF!</f>
        <v>#REF!</v>
      </c>
      <c r="O1920" s="37" t="e">
        <f t="shared" si="48"/>
        <v>#REF!</v>
      </c>
    </row>
    <row r="1921" spans="2:15" ht="17.399999999999999">
      <c r="B1921" s="42" t="s">
        <v>71</v>
      </c>
      <c r="C1921" s="39">
        <f>'تقرير المصروفات حسب الشهر'!T53</f>
        <v>0</v>
      </c>
      <c r="D1921" s="31" t="e">
        <f>#REF!</f>
        <v>#REF!</v>
      </c>
      <c r="E1921" s="31" t="e">
        <f>#REF!</f>
        <v>#REF!</v>
      </c>
      <c r="F1921" s="31" t="e">
        <f>#REF!</f>
        <v>#REF!</v>
      </c>
      <c r="G1921" s="31" t="e">
        <f>#REF!</f>
        <v>#REF!</v>
      </c>
      <c r="H1921" s="31" t="e">
        <f>#REF!</f>
        <v>#REF!</v>
      </c>
      <c r="I1921" s="31">
        <f>'تقرير المصروفات حسب الشهر'!T806</f>
        <v>0</v>
      </c>
      <c r="J1921" s="31">
        <f>'تقرير المصروفات حسب الشهر'!T933</f>
        <v>0</v>
      </c>
      <c r="K1921" s="31">
        <f>'تقرير المصروفات حسب الشهر'!T1060</f>
        <v>0</v>
      </c>
      <c r="L1921" s="292">
        <f>IFERROR(VLOOKUP(B1921,'تقرير المصروفات حسب الشهر'!$C$1143:$AD$1254,18,FALSE),0)</f>
        <v>0</v>
      </c>
      <c r="M1921" s="292">
        <f>IFERROR(VLOOKUP(B1921,'تقرير المصروفات حسب الشهر'!$C$1270:$AD$1381,18,FALSE),0)</f>
        <v>0</v>
      </c>
      <c r="N1921" s="31" t="e">
        <f>#REF!</f>
        <v>#REF!</v>
      </c>
      <c r="O1921" s="37" t="e">
        <f t="shared" si="48"/>
        <v>#REF!</v>
      </c>
    </row>
    <row r="1922" spans="2:15" ht="17.399999999999999">
      <c r="B1922" s="42" t="s">
        <v>159</v>
      </c>
      <c r="C1922" s="39">
        <f>'تقرير المصروفات حسب الشهر'!T54</f>
        <v>0</v>
      </c>
      <c r="D1922" s="31" t="e">
        <f>#REF!</f>
        <v>#REF!</v>
      </c>
      <c r="E1922" s="31" t="e">
        <f>#REF!</f>
        <v>#REF!</v>
      </c>
      <c r="F1922" s="31" t="e">
        <f>#REF!</f>
        <v>#REF!</v>
      </c>
      <c r="G1922" s="31" t="e">
        <f>#REF!</f>
        <v>#REF!</v>
      </c>
      <c r="H1922" s="31" t="e">
        <f>#REF!</f>
        <v>#REF!</v>
      </c>
      <c r="I1922" s="31">
        <f>'تقرير المصروفات حسب الشهر'!T807</f>
        <v>0</v>
      </c>
      <c r="J1922" s="31">
        <f>'تقرير المصروفات حسب الشهر'!T934</f>
        <v>0</v>
      </c>
      <c r="K1922" s="31">
        <f>'تقرير المصروفات حسب الشهر'!T1061</f>
        <v>0</v>
      </c>
      <c r="L1922" s="292">
        <f>IFERROR(VLOOKUP(B1922,'تقرير المصروفات حسب الشهر'!$C$1143:$AD$1254,18,FALSE),0)</f>
        <v>0</v>
      </c>
      <c r="M1922" s="292">
        <f>IFERROR(VLOOKUP(B1922,'تقرير المصروفات حسب الشهر'!$C$1270:$AD$1381,18,FALSE),0)</f>
        <v>0</v>
      </c>
      <c r="N1922" s="31" t="e">
        <f>#REF!</f>
        <v>#REF!</v>
      </c>
      <c r="O1922" s="37" t="e">
        <f t="shared" si="48"/>
        <v>#REF!</v>
      </c>
    </row>
    <row r="1923" spans="2:15" ht="17.399999999999999">
      <c r="B1923" s="42" t="s">
        <v>72</v>
      </c>
      <c r="C1923" s="39">
        <f>'تقرير المصروفات حسب الشهر'!T55</f>
        <v>0</v>
      </c>
      <c r="D1923" s="31" t="e">
        <f>#REF!</f>
        <v>#REF!</v>
      </c>
      <c r="E1923" s="31" t="e">
        <f>#REF!</f>
        <v>#REF!</v>
      </c>
      <c r="F1923" s="31" t="e">
        <f>#REF!</f>
        <v>#REF!</v>
      </c>
      <c r="G1923" s="31" t="e">
        <f>#REF!</f>
        <v>#REF!</v>
      </c>
      <c r="H1923" s="31" t="e">
        <f>#REF!</f>
        <v>#REF!</v>
      </c>
      <c r="I1923" s="31">
        <f>'تقرير المصروفات حسب الشهر'!T808</f>
        <v>0</v>
      </c>
      <c r="J1923" s="31">
        <f>'تقرير المصروفات حسب الشهر'!T935</f>
        <v>0</v>
      </c>
      <c r="K1923" s="31">
        <f>'تقرير المصروفات حسب الشهر'!T1062</f>
        <v>0</v>
      </c>
      <c r="L1923" s="292">
        <f>IFERROR(VLOOKUP(B1923,'تقرير المصروفات حسب الشهر'!$C$1143:$AD$1254,18,FALSE),0)</f>
        <v>0</v>
      </c>
      <c r="M1923" s="292">
        <f>IFERROR(VLOOKUP(B1923,'تقرير المصروفات حسب الشهر'!$C$1270:$AD$1381,18,FALSE),0)</f>
        <v>0</v>
      </c>
      <c r="N1923" s="31" t="e">
        <f>#REF!</f>
        <v>#REF!</v>
      </c>
      <c r="O1923" s="37" t="e">
        <f t="shared" si="48"/>
        <v>#REF!</v>
      </c>
    </row>
    <row r="1924" spans="2:15" ht="17.399999999999999">
      <c r="B1924" s="42" t="s">
        <v>73</v>
      </c>
      <c r="C1924" s="39">
        <f>'تقرير المصروفات حسب الشهر'!T56</f>
        <v>0</v>
      </c>
      <c r="D1924" s="31" t="e">
        <f>#REF!</f>
        <v>#REF!</v>
      </c>
      <c r="E1924" s="31" t="e">
        <f>#REF!</f>
        <v>#REF!</v>
      </c>
      <c r="F1924" s="31" t="e">
        <f>#REF!</f>
        <v>#REF!</v>
      </c>
      <c r="G1924" s="31" t="e">
        <f>#REF!</f>
        <v>#REF!</v>
      </c>
      <c r="H1924" s="31" t="e">
        <f>#REF!</f>
        <v>#REF!</v>
      </c>
      <c r="I1924" s="31">
        <f>'تقرير المصروفات حسب الشهر'!T809</f>
        <v>0</v>
      </c>
      <c r="J1924" s="31">
        <f>'تقرير المصروفات حسب الشهر'!T936</f>
        <v>0</v>
      </c>
      <c r="K1924" s="31">
        <f>'تقرير المصروفات حسب الشهر'!T1063</f>
        <v>0</v>
      </c>
      <c r="L1924" s="292">
        <f>IFERROR(VLOOKUP(B1924,'تقرير المصروفات حسب الشهر'!$C$1143:$AD$1254,18,FALSE),0)</f>
        <v>0</v>
      </c>
      <c r="M1924" s="292">
        <f>IFERROR(VLOOKUP(B1924,'تقرير المصروفات حسب الشهر'!$C$1270:$AD$1381,18,FALSE),0)</f>
        <v>0</v>
      </c>
      <c r="N1924" s="31" t="e">
        <f>#REF!</f>
        <v>#REF!</v>
      </c>
      <c r="O1924" s="37" t="e">
        <f t="shared" si="48"/>
        <v>#REF!</v>
      </c>
    </row>
    <row r="1925" spans="2:15" ht="17.399999999999999">
      <c r="B1925" s="42" t="s">
        <v>74</v>
      </c>
      <c r="C1925" s="39">
        <f>'تقرير المصروفات حسب الشهر'!T57</f>
        <v>0</v>
      </c>
      <c r="D1925" s="31" t="e">
        <f>#REF!</f>
        <v>#REF!</v>
      </c>
      <c r="E1925" s="31" t="e">
        <f>#REF!</f>
        <v>#REF!</v>
      </c>
      <c r="F1925" s="31" t="e">
        <f>#REF!</f>
        <v>#REF!</v>
      </c>
      <c r="G1925" s="31" t="e">
        <f>#REF!</f>
        <v>#REF!</v>
      </c>
      <c r="H1925" s="31" t="e">
        <f>#REF!</f>
        <v>#REF!</v>
      </c>
      <c r="I1925" s="31">
        <f>'تقرير المصروفات حسب الشهر'!T810</f>
        <v>0</v>
      </c>
      <c r="J1925" s="31">
        <f>'تقرير المصروفات حسب الشهر'!T937</f>
        <v>0</v>
      </c>
      <c r="K1925" s="31">
        <f>'تقرير المصروفات حسب الشهر'!T1064</f>
        <v>0</v>
      </c>
      <c r="L1925" s="292">
        <f>IFERROR(VLOOKUP(B1925,'تقرير المصروفات حسب الشهر'!$C$1143:$AD$1254,18,FALSE),0)</f>
        <v>0</v>
      </c>
      <c r="M1925" s="292">
        <f>IFERROR(VLOOKUP(B1925,'تقرير المصروفات حسب الشهر'!$C$1270:$AD$1381,18,FALSE),0)</f>
        <v>0</v>
      </c>
      <c r="N1925" s="31" t="e">
        <f>#REF!</f>
        <v>#REF!</v>
      </c>
      <c r="O1925" s="37" t="e">
        <f t="shared" si="48"/>
        <v>#REF!</v>
      </c>
    </row>
    <row r="1926" spans="2:15" ht="17.399999999999999">
      <c r="B1926" s="42" t="s">
        <v>246</v>
      </c>
      <c r="C1926" s="39">
        <f>'تقرير المصروفات حسب الشهر'!T58</f>
        <v>0</v>
      </c>
      <c r="D1926" s="31" t="e">
        <f>#REF!</f>
        <v>#REF!</v>
      </c>
      <c r="E1926" s="31" t="e">
        <f>#REF!</f>
        <v>#REF!</v>
      </c>
      <c r="F1926" s="31" t="e">
        <f>#REF!</f>
        <v>#REF!</v>
      </c>
      <c r="G1926" s="31" t="e">
        <f>#REF!</f>
        <v>#REF!</v>
      </c>
      <c r="H1926" s="31" t="e">
        <f>#REF!</f>
        <v>#REF!</v>
      </c>
      <c r="I1926" s="31">
        <f>'تقرير المصروفات حسب الشهر'!T811</f>
        <v>0</v>
      </c>
      <c r="J1926" s="31">
        <f>'تقرير المصروفات حسب الشهر'!T938</f>
        <v>0</v>
      </c>
      <c r="K1926" s="31">
        <f>'تقرير المصروفات حسب الشهر'!T1065</f>
        <v>0</v>
      </c>
      <c r="L1926" s="292">
        <f>IFERROR(VLOOKUP(B1926,'تقرير المصروفات حسب الشهر'!$C$1143:$AD$1254,18,FALSE),0)</f>
        <v>0</v>
      </c>
      <c r="M1926" s="292">
        <f>IFERROR(VLOOKUP(B1926,'تقرير المصروفات حسب الشهر'!$C$1270:$AD$1381,18,FALSE),0)</f>
        <v>0</v>
      </c>
      <c r="N1926" s="31" t="e">
        <f>#REF!</f>
        <v>#REF!</v>
      </c>
      <c r="O1926" s="37" t="e">
        <f t="shared" si="48"/>
        <v>#REF!</v>
      </c>
    </row>
    <row r="1927" spans="2:15" ht="17.399999999999999">
      <c r="B1927" s="42" t="s">
        <v>75</v>
      </c>
      <c r="C1927" s="39">
        <f>'تقرير المصروفات حسب الشهر'!T59</f>
        <v>0</v>
      </c>
      <c r="D1927" s="31" t="e">
        <f>#REF!</f>
        <v>#REF!</v>
      </c>
      <c r="E1927" s="31" t="e">
        <f>#REF!</f>
        <v>#REF!</v>
      </c>
      <c r="F1927" s="31" t="e">
        <f>#REF!</f>
        <v>#REF!</v>
      </c>
      <c r="G1927" s="31" t="e">
        <f>#REF!</f>
        <v>#REF!</v>
      </c>
      <c r="H1927" s="31" t="e">
        <f>#REF!</f>
        <v>#REF!</v>
      </c>
      <c r="I1927" s="31">
        <f>'تقرير المصروفات حسب الشهر'!T812</f>
        <v>0</v>
      </c>
      <c r="J1927" s="31">
        <f>'تقرير المصروفات حسب الشهر'!T939</f>
        <v>0</v>
      </c>
      <c r="K1927" s="31">
        <f>'تقرير المصروفات حسب الشهر'!T1066</f>
        <v>0</v>
      </c>
      <c r="L1927" s="292">
        <f>IFERROR(VLOOKUP(B1927,'تقرير المصروفات حسب الشهر'!$C$1143:$AD$1254,18,FALSE),0)</f>
        <v>0</v>
      </c>
      <c r="M1927" s="292">
        <f>IFERROR(VLOOKUP(B1927,'تقرير المصروفات حسب الشهر'!$C$1270:$AD$1381,18,FALSE),0)</f>
        <v>0</v>
      </c>
      <c r="N1927" s="31" t="e">
        <f>#REF!</f>
        <v>#REF!</v>
      </c>
      <c r="O1927" s="37" t="e">
        <f t="shared" si="48"/>
        <v>#REF!</v>
      </c>
    </row>
    <row r="1928" spans="2:15" ht="17.399999999999999">
      <c r="B1928" s="42" t="s">
        <v>76</v>
      </c>
      <c r="C1928" s="39">
        <f>'تقرير المصروفات حسب الشهر'!T60</f>
        <v>0</v>
      </c>
      <c r="D1928" s="31" t="e">
        <f>#REF!</f>
        <v>#REF!</v>
      </c>
      <c r="E1928" s="31" t="e">
        <f>#REF!</f>
        <v>#REF!</v>
      </c>
      <c r="F1928" s="31" t="e">
        <f>#REF!</f>
        <v>#REF!</v>
      </c>
      <c r="G1928" s="31" t="e">
        <f>#REF!</f>
        <v>#REF!</v>
      </c>
      <c r="H1928" s="31" t="e">
        <f>#REF!</f>
        <v>#REF!</v>
      </c>
      <c r="I1928" s="31">
        <f>'تقرير المصروفات حسب الشهر'!T813</f>
        <v>0</v>
      </c>
      <c r="J1928" s="31">
        <f>'تقرير المصروفات حسب الشهر'!T940</f>
        <v>0</v>
      </c>
      <c r="K1928" s="31">
        <f>'تقرير المصروفات حسب الشهر'!T1067</f>
        <v>0</v>
      </c>
      <c r="L1928" s="292">
        <f>IFERROR(VLOOKUP(B1928,'تقرير المصروفات حسب الشهر'!$C$1143:$AD$1254,18,FALSE),0)</f>
        <v>0</v>
      </c>
      <c r="M1928" s="292">
        <f>IFERROR(VLOOKUP(B1928,'تقرير المصروفات حسب الشهر'!$C$1270:$AD$1381,18,FALSE),0)</f>
        <v>0</v>
      </c>
      <c r="N1928" s="31" t="e">
        <f>#REF!</f>
        <v>#REF!</v>
      </c>
      <c r="O1928" s="37" t="e">
        <f t="shared" si="48"/>
        <v>#REF!</v>
      </c>
    </row>
    <row r="1929" spans="2:15" ht="17.399999999999999">
      <c r="B1929" s="42" t="s">
        <v>77</v>
      </c>
      <c r="C1929" s="39">
        <f>'تقرير المصروفات حسب الشهر'!T61</f>
        <v>0</v>
      </c>
      <c r="D1929" s="31" t="e">
        <f>#REF!</f>
        <v>#REF!</v>
      </c>
      <c r="E1929" s="31" t="e">
        <f>#REF!</f>
        <v>#REF!</v>
      </c>
      <c r="F1929" s="31" t="e">
        <f>#REF!</f>
        <v>#REF!</v>
      </c>
      <c r="G1929" s="31" t="e">
        <f>#REF!</f>
        <v>#REF!</v>
      </c>
      <c r="H1929" s="31" t="e">
        <f>#REF!</f>
        <v>#REF!</v>
      </c>
      <c r="I1929" s="31">
        <f>'تقرير المصروفات حسب الشهر'!T814</f>
        <v>0</v>
      </c>
      <c r="J1929" s="31">
        <f>'تقرير المصروفات حسب الشهر'!T941</f>
        <v>0</v>
      </c>
      <c r="K1929" s="31">
        <f>'تقرير المصروفات حسب الشهر'!T1068</f>
        <v>0</v>
      </c>
      <c r="L1929" s="292">
        <f>IFERROR(VLOOKUP(B1929,'تقرير المصروفات حسب الشهر'!$C$1143:$AD$1254,18,FALSE),0)</f>
        <v>0</v>
      </c>
      <c r="M1929" s="292">
        <f>IFERROR(VLOOKUP(B1929,'تقرير المصروفات حسب الشهر'!$C$1270:$AD$1381,18,FALSE),0)</f>
        <v>0</v>
      </c>
      <c r="N1929" s="31" t="e">
        <f>#REF!</f>
        <v>#REF!</v>
      </c>
      <c r="O1929" s="37" t="e">
        <f t="shared" si="48"/>
        <v>#REF!</v>
      </c>
    </row>
    <row r="1930" spans="2:15" ht="17.399999999999999">
      <c r="B1930" s="42" t="s">
        <v>78</v>
      </c>
      <c r="C1930" s="39">
        <f>'تقرير المصروفات حسب الشهر'!T62</f>
        <v>0</v>
      </c>
      <c r="D1930" s="31" t="e">
        <f>#REF!</f>
        <v>#REF!</v>
      </c>
      <c r="E1930" s="31" t="e">
        <f>#REF!</f>
        <v>#REF!</v>
      </c>
      <c r="F1930" s="31" t="e">
        <f>#REF!</f>
        <v>#REF!</v>
      </c>
      <c r="G1930" s="31" t="e">
        <f>#REF!</f>
        <v>#REF!</v>
      </c>
      <c r="H1930" s="31" t="e">
        <f>#REF!</f>
        <v>#REF!</v>
      </c>
      <c r="I1930" s="31">
        <f>'تقرير المصروفات حسب الشهر'!T815</f>
        <v>0</v>
      </c>
      <c r="J1930" s="31">
        <f>'تقرير المصروفات حسب الشهر'!T942</f>
        <v>0</v>
      </c>
      <c r="K1930" s="31">
        <f>'تقرير المصروفات حسب الشهر'!T1069</f>
        <v>0</v>
      </c>
      <c r="L1930" s="292">
        <f>IFERROR(VLOOKUP(B1930,'تقرير المصروفات حسب الشهر'!$C$1143:$AD$1254,18,FALSE),0)</f>
        <v>0</v>
      </c>
      <c r="M1930" s="292">
        <f>IFERROR(VLOOKUP(B1930,'تقرير المصروفات حسب الشهر'!$C$1270:$AD$1381,18,FALSE),0)</f>
        <v>0</v>
      </c>
      <c r="N1930" s="31" t="e">
        <f>#REF!</f>
        <v>#REF!</v>
      </c>
      <c r="O1930" s="37" t="e">
        <f t="shared" si="48"/>
        <v>#REF!</v>
      </c>
    </row>
    <row r="1931" spans="2:15" ht="17.399999999999999">
      <c r="B1931" s="42" t="s">
        <v>79</v>
      </c>
      <c r="C1931" s="39">
        <f>'تقرير المصروفات حسب الشهر'!T63</f>
        <v>0</v>
      </c>
      <c r="D1931" s="31" t="e">
        <f>#REF!</f>
        <v>#REF!</v>
      </c>
      <c r="E1931" s="31" t="e">
        <f>#REF!</f>
        <v>#REF!</v>
      </c>
      <c r="F1931" s="31" t="e">
        <f>#REF!</f>
        <v>#REF!</v>
      </c>
      <c r="G1931" s="31" t="e">
        <f>#REF!</f>
        <v>#REF!</v>
      </c>
      <c r="H1931" s="31" t="e">
        <f>#REF!</f>
        <v>#REF!</v>
      </c>
      <c r="I1931" s="31">
        <f>'تقرير المصروفات حسب الشهر'!T816</f>
        <v>0</v>
      </c>
      <c r="J1931" s="31">
        <f>'تقرير المصروفات حسب الشهر'!T943</f>
        <v>0</v>
      </c>
      <c r="K1931" s="31">
        <f>'تقرير المصروفات حسب الشهر'!T1070</f>
        <v>0</v>
      </c>
      <c r="L1931" s="292">
        <f>IFERROR(VLOOKUP(B1931,'تقرير المصروفات حسب الشهر'!$C$1143:$AD$1254,18,FALSE),0)</f>
        <v>0</v>
      </c>
      <c r="M1931" s="292">
        <f>IFERROR(VLOOKUP(B1931,'تقرير المصروفات حسب الشهر'!$C$1270:$AD$1381,18,FALSE),0)</f>
        <v>0</v>
      </c>
      <c r="N1931" s="31" t="e">
        <f>#REF!</f>
        <v>#REF!</v>
      </c>
      <c r="O1931" s="37" t="e">
        <f t="shared" si="48"/>
        <v>#REF!</v>
      </c>
    </row>
    <row r="1932" spans="2:15" ht="17.399999999999999">
      <c r="B1932" s="42" t="s">
        <v>80</v>
      </c>
      <c r="C1932" s="39">
        <f>'تقرير المصروفات حسب الشهر'!T64</f>
        <v>0</v>
      </c>
      <c r="D1932" s="31" t="e">
        <f>#REF!</f>
        <v>#REF!</v>
      </c>
      <c r="E1932" s="31" t="e">
        <f>#REF!</f>
        <v>#REF!</v>
      </c>
      <c r="F1932" s="31" t="e">
        <f>#REF!</f>
        <v>#REF!</v>
      </c>
      <c r="G1932" s="31" t="e">
        <f>#REF!</f>
        <v>#REF!</v>
      </c>
      <c r="H1932" s="31" t="e">
        <f>#REF!</f>
        <v>#REF!</v>
      </c>
      <c r="I1932" s="31">
        <f>'تقرير المصروفات حسب الشهر'!T817</f>
        <v>0</v>
      </c>
      <c r="J1932" s="31">
        <f>'تقرير المصروفات حسب الشهر'!T944</f>
        <v>0</v>
      </c>
      <c r="K1932" s="31">
        <f>'تقرير المصروفات حسب الشهر'!T1071</f>
        <v>0</v>
      </c>
      <c r="L1932" s="292">
        <f>IFERROR(VLOOKUP(B1932,'تقرير المصروفات حسب الشهر'!$C$1143:$AD$1254,18,FALSE),0)</f>
        <v>0</v>
      </c>
      <c r="M1932" s="292">
        <f>IFERROR(VLOOKUP(B1932,'تقرير المصروفات حسب الشهر'!$C$1270:$AD$1381,18,FALSE),0)</f>
        <v>0</v>
      </c>
      <c r="N1932" s="31" t="e">
        <f>#REF!</f>
        <v>#REF!</v>
      </c>
      <c r="O1932" s="37" t="e">
        <f t="shared" si="48"/>
        <v>#REF!</v>
      </c>
    </row>
    <row r="1933" spans="2:15" ht="17.399999999999999">
      <c r="B1933" s="42" t="s">
        <v>81</v>
      </c>
      <c r="C1933" s="39">
        <f>'تقرير المصروفات حسب الشهر'!T65</f>
        <v>0</v>
      </c>
      <c r="D1933" s="31" t="e">
        <f>#REF!</f>
        <v>#REF!</v>
      </c>
      <c r="E1933" s="31" t="e">
        <f>#REF!</f>
        <v>#REF!</v>
      </c>
      <c r="F1933" s="31" t="e">
        <f>#REF!</f>
        <v>#REF!</v>
      </c>
      <c r="G1933" s="31" t="e">
        <f>#REF!</f>
        <v>#REF!</v>
      </c>
      <c r="H1933" s="31" t="e">
        <f>#REF!</f>
        <v>#REF!</v>
      </c>
      <c r="I1933" s="31">
        <f>'تقرير المصروفات حسب الشهر'!T818</f>
        <v>0</v>
      </c>
      <c r="J1933" s="31">
        <f>'تقرير المصروفات حسب الشهر'!T945</f>
        <v>0</v>
      </c>
      <c r="K1933" s="31">
        <f>'تقرير المصروفات حسب الشهر'!T1072</f>
        <v>0</v>
      </c>
      <c r="L1933" s="292">
        <f>IFERROR(VLOOKUP(B1933,'تقرير المصروفات حسب الشهر'!$C$1143:$AD$1254,18,FALSE),0)</f>
        <v>0</v>
      </c>
      <c r="M1933" s="292">
        <f>IFERROR(VLOOKUP(B1933,'تقرير المصروفات حسب الشهر'!$C$1270:$AD$1381,18,FALSE),0)</f>
        <v>0</v>
      </c>
      <c r="N1933" s="31" t="e">
        <f>#REF!</f>
        <v>#REF!</v>
      </c>
      <c r="O1933" s="37" t="e">
        <f t="shared" si="48"/>
        <v>#REF!</v>
      </c>
    </row>
    <row r="1934" spans="2:15" ht="17.399999999999999">
      <c r="B1934" s="42" t="s">
        <v>82</v>
      </c>
      <c r="C1934" s="39">
        <f>'تقرير المصروفات حسب الشهر'!T66</f>
        <v>0</v>
      </c>
      <c r="D1934" s="31" t="e">
        <f>#REF!</f>
        <v>#REF!</v>
      </c>
      <c r="E1934" s="31" t="e">
        <f>#REF!</f>
        <v>#REF!</v>
      </c>
      <c r="F1934" s="31" t="e">
        <f>#REF!</f>
        <v>#REF!</v>
      </c>
      <c r="G1934" s="31" t="e">
        <f>#REF!</f>
        <v>#REF!</v>
      </c>
      <c r="H1934" s="31" t="e">
        <f>#REF!</f>
        <v>#REF!</v>
      </c>
      <c r="I1934" s="31">
        <f>'تقرير المصروفات حسب الشهر'!T819</f>
        <v>0</v>
      </c>
      <c r="J1934" s="31">
        <f>'تقرير المصروفات حسب الشهر'!T946</f>
        <v>0</v>
      </c>
      <c r="K1934" s="31">
        <f>'تقرير المصروفات حسب الشهر'!T1073</f>
        <v>0</v>
      </c>
      <c r="L1934" s="292">
        <f>IFERROR(VLOOKUP(B1934,'تقرير المصروفات حسب الشهر'!$C$1143:$AD$1254,18,FALSE),0)</f>
        <v>0</v>
      </c>
      <c r="M1934" s="292">
        <f>IFERROR(VLOOKUP(B1934,'تقرير المصروفات حسب الشهر'!$C$1270:$AD$1381,18,FALSE),0)</f>
        <v>0</v>
      </c>
      <c r="N1934" s="31" t="e">
        <f>#REF!</f>
        <v>#REF!</v>
      </c>
      <c r="O1934" s="37" t="e">
        <f t="shared" si="48"/>
        <v>#REF!</v>
      </c>
    </row>
    <row r="1935" spans="2:15" ht="17.399999999999999">
      <c r="B1935" s="42" t="s">
        <v>83</v>
      </c>
      <c r="C1935" s="39">
        <f>'تقرير المصروفات حسب الشهر'!T67</f>
        <v>0</v>
      </c>
      <c r="D1935" s="31" t="e">
        <f>#REF!</f>
        <v>#REF!</v>
      </c>
      <c r="E1935" s="31" t="e">
        <f>#REF!</f>
        <v>#REF!</v>
      </c>
      <c r="F1935" s="31" t="e">
        <f>#REF!</f>
        <v>#REF!</v>
      </c>
      <c r="G1935" s="31" t="e">
        <f>#REF!</f>
        <v>#REF!</v>
      </c>
      <c r="H1935" s="31" t="e">
        <f>#REF!</f>
        <v>#REF!</v>
      </c>
      <c r="I1935" s="31">
        <f>'تقرير المصروفات حسب الشهر'!T820</f>
        <v>0</v>
      </c>
      <c r="J1935" s="31">
        <f>'تقرير المصروفات حسب الشهر'!T947</f>
        <v>0</v>
      </c>
      <c r="K1935" s="31">
        <f>'تقرير المصروفات حسب الشهر'!T1074</f>
        <v>0</v>
      </c>
      <c r="L1935" s="292">
        <f>IFERROR(VLOOKUP(B1935,'تقرير المصروفات حسب الشهر'!$C$1143:$AD$1254,18,FALSE),0)</f>
        <v>0</v>
      </c>
      <c r="M1935" s="292">
        <f>IFERROR(VLOOKUP(B1935,'تقرير المصروفات حسب الشهر'!$C$1270:$AD$1381,18,FALSE),0)</f>
        <v>0</v>
      </c>
      <c r="N1935" s="31" t="e">
        <f>#REF!</f>
        <v>#REF!</v>
      </c>
      <c r="O1935" s="37" t="e">
        <f t="shared" si="48"/>
        <v>#REF!</v>
      </c>
    </row>
    <row r="1936" spans="2:15" ht="17.399999999999999">
      <c r="B1936" s="42" t="s">
        <v>84</v>
      </c>
      <c r="C1936" s="39">
        <f>'تقرير المصروفات حسب الشهر'!T68</f>
        <v>0</v>
      </c>
      <c r="D1936" s="31" t="e">
        <f>#REF!</f>
        <v>#REF!</v>
      </c>
      <c r="E1936" s="31" t="e">
        <f>#REF!</f>
        <v>#REF!</v>
      </c>
      <c r="F1936" s="31" t="e">
        <f>#REF!</f>
        <v>#REF!</v>
      </c>
      <c r="G1936" s="31" t="e">
        <f>#REF!</f>
        <v>#REF!</v>
      </c>
      <c r="H1936" s="31" t="e">
        <f>#REF!</f>
        <v>#REF!</v>
      </c>
      <c r="I1936" s="31">
        <f>'تقرير المصروفات حسب الشهر'!T821</f>
        <v>0</v>
      </c>
      <c r="J1936" s="31">
        <f>'تقرير المصروفات حسب الشهر'!T948</f>
        <v>300</v>
      </c>
      <c r="K1936" s="31">
        <f>'تقرير المصروفات حسب الشهر'!T1075</f>
        <v>0</v>
      </c>
      <c r="L1936" s="292">
        <f>IFERROR(VLOOKUP(B1936,'تقرير المصروفات حسب الشهر'!$C$1143:$AD$1254,18,FALSE),0)</f>
        <v>0</v>
      </c>
      <c r="M1936" s="292">
        <f>IFERROR(VLOOKUP(B1936,'تقرير المصروفات حسب الشهر'!$C$1270:$AD$1381,18,FALSE),0)</f>
        <v>0</v>
      </c>
      <c r="N1936" s="31" t="e">
        <f>#REF!</f>
        <v>#REF!</v>
      </c>
      <c r="O1936" s="37" t="e">
        <f t="shared" si="48"/>
        <v>#REF!</v>
      </c>
    </row>
    <row r="1937" spans="2:15" ht="17.399999999999999">
      <c r="B1937" s="42" t="s">
        <v>85</v>
      </c>
      <c r="C1937" s="39">
        <f>'تقرير المصروفات حسب الشهر'!T69</f>
        <v>0</v>
      </c>
      <c r="D1937" s="31" t="e">
        <f>#REF!</f>
        <v>#REF!</v>
      </c>
      <c r="E1937" s="31" t="e">
        <f>#REF!</f>
        <v>#REF!</v>
      </c>
      <c r="F1937" s="31" t="e">
        <f>#REF!</f>
        <v>#REF!</v>
      </c>
      <c r="G1937" s="31" t="e">
        <f>#REF!</f>
        <v>#REF!</v>
      </c>
      <c r="H1937" s="31" t="e">
        <f>#REF!</f>
        <v>#REF!</v>
      </c>
      <c r="I1937" s="31">
        <f>'تقرير المصروفات حسب الشهر'!T822</f>
        <v>0</v>
      </c>
      <c r="J1937" s="31">
        <f>'تقرير المصروفات حسب الشهر'!T949</f>
        <v>0</v>
      </c>
      <c r="K1937" s="31">
        <f>'تقرير المصروفات حسب الشهر'!T1076</f>
        <v>0</v>
      </c>
      <c r="L1937" s="292">
        <f>IFERROR(VLOOKUP(B1937,'تقرير المصروفات حسب الشهر'!$C$1143:$AD$1254,18,FALSE),0)</f>
        <v>0</v>
      </c>
      <c r="M1937" s="292">
        <f>IFERROR(VLOOKUP(B1937,'تقرير المصروفات حسب الشهر'!$C$1270:$AD$1381,18,FALSE),0)</f>
        <v>0</v>
      </c>
      <c r="N1937" s="31" t="e">
        <f>#REF!</f>
        <v>#REF!</v>
      </c>
      <c r="O1937" s="37" t="e">
        <f t="shared" si="48"/>
        <v>#REF!</v>
      </c>
    </row>
    <row r="1938" spans="2:15" ht="17.399999999999999">
      <c r="B1938" s="42" t="s">
        <v>86</v>
      </c>
      <c r="C1938" s="39">
        <f>'تقرير المصروفات حسب الشهر'!T70</f>
        <v>0</v>
      </c>
      <c r="D1938" s="31" t="e">
        <f>#REF!</f>
        <v>#REF!</v>
      </c>
      <c r="E1938" s="31" t="e">
        <f>#REF!</f>
        <v>#REF!</v>
      </c>
      <c r="F1938" s="31" t="e">
        <f>#REF!</f>
        <v>#REF!</v>
      </c>
      <c r="G1938" s="31" t="e">
        <f>#REF!</f>
        <v>#REF!</v>
      </c>
      <c r="H1938" s="31" t="e">
        <f>#REF!</f>
        <v>#REF!</v>
      </c>
      <c r="I1938" s="31">
        <f>'تقرير المصروفات حسب الشهر'!T823</f>
        <v>0</v>
      </c>
      <c r="J1938" s="31">
        <f>'تقرير المصروفات حسب الشهر'!T950</f>
        <v>0</v>
      </c>
      <c r="K1938" s="31">
        <f>'تقرير المصروفات حسب الشهر'!T1077</f>
        <v>0</v>
      </c>
      <c r="L1938" s="292">
        <f>IFERROR(VLOOKUP(B1938,'تقرير المصروفات حسب الشهر'!$C$1143:$AD$1254,18,FALSE),0)</f>
        <v>0</v>
      </c>
      <c r="M1938" s="292">
        <f>IFERROR(VLOOKUP(B1938,'تقرير المصروفات حسب الشهر'!$C$1270:$AD$1381,18,FALSE),0)</f>
        <v>0</v>
      </c>
      <c r="N1938" s="31" t="e">
        <f>#REF!</f>
        <v>#REF!</v>
      </c>
      <c r="O1938" s="37" t="e">
        <f t="shared" si="48"/>
        <v>#REF!</v>
      </c>
    </row>
    <row r="1939" spans="2:15" ht="17.399999999999999">
      <c r="B1939" s="42" t="s">
        <v>87</v>
      </c>
      <c r="C1939" s="39">
        <f>'تقرير المصروفات حسب الشهر'!T71</f>
        <v>0</v>
      </c>
      <c r="D1939" s="31" t="e">
        <f>#REF!</f>
        <v>#REF!</v>
      </c>
      <c r="E1939" s="31" t="e">
        <f>#REF!</f>
        <v>#REF!</v>
      </c>
      <c r="F1939" s="31" t="e">
        <f>#REF!</f>
        <v>#REF!</v>
      </c>
      <c r="G1939" s="31" t="e">
        <f>#REF!</f>
        <v>#REF!</v>
      </c>
      <c r="H1939" s="31" t="e">
        <f>#REF!</f>
        <v>#REF!</v>
      </c>
      <c r="I1939" s="31">
        <f>'تقرير المصروفات حسب الشهر'!T824</f>
        <v>0</v>
      </c>
      <c r="J1939" s="31">
        <f>'تقرير المصروفات حسب الشهر'!T951</f>
        <v>0</v>
      </c>
      <c r="K1939" s="31">
        <f>'تقرير المصروفات حسب الشهر'!T1078</f>
        <v>0</v>
      </c>
      <c r="L1939" s="292">
        <f>IFERROR(VLOOKUP(B1939,'تقرير المصروفات حسب الشهر'!$C$1143:$AD$1254,18,FALSE),0)</f>
        <v>0</v>
      </c>
      <c r="M1939" s="292">
        <f>IFERROR(VLOOKUP(B1939,'تقرير المصروفات حسب الشهر'!$C$1270:$AD$1381,18,FALSE),0)</f>
        <v>0</v>
      </c>
      <c r="N1939" s="31" t="e">
        <f>#REF!</f>
        <v>#REF!</v>
      </c>
      <c r="O1939" s="37" t="e">
        <f t="shared" si="48"/>
        <v>#REF!</v>
      </c>
    </row>
    <row r="1940" spans="2:15" ht="17.399999999999999">
      <c r="B1940" s="42" t="s">
        <v>88</v>
      </c>
      <c r="C1940" s="39">
        <f>'تقرير المصروفات حسب الشهر'!T72</f>
        <v>0</v>
      </c>
      <c r="D1940" s="31" t="e">
        <f>#REF!</f>
        <v>#REF!</v>
      </c>
      <c r="E1940" s="31" t="e">
        <f>#REF!</f>
        <v>#REF!</v>
      </c>
      <c r="F1940" s="31" t="e">
        <f>#REF!</f>
        <v>#REF!</v>
      </c>
      <c r="G1940" s="31" t="e">
        <f>#REF!</f>
        <v>#REF!</v>
      </c>
      <c r="H1940" s="31" t="e">
        <f>#REF!</f>
        <v>#REF!</v>
      </c>
      <c r="I1940" s="31">
        <f>'تقرير المصروفات حسب الشهر'!T825</f>
        <v>0</v>
      </c>
      <c r="J1940" s="31">
        <f>'تقرير المصروفات حسب الشهر'!T952</f>
        <v>0</v>
      </c>
      <c r="K1940" s="31">
        <f>'تقرير المصروفات حسب الشهر'!T1079</f>
        <v>0</v>
      </c>
      <c r="L1940" s="292">
        <f>IFERROR(VLOOKUP(B1940,'تقرير المصروفات حسب الشهر'!$C$1143:$AD$1254,18,FALSE),0)</f>
        <v>0</v>
      </c>
      <c r="M1940" s="292">
        <f>IFERROR(VLOOKUP(B1940,'تقرير المصروفات حسب الشهر'!$C$1270:$AD$1381,18,FALSE),0)</f>
        <v>0</v>
      </c>
      <c r="N1940" s="31" t="e">
        <f>#REF!</f>
        <v>#REF!</v>
      </c>
      <c r="O1940" s="37" t="e">
        <f t="shared" si="48"/>
        <v>#REF!</v>
      </c>
    </row>
    <row r="1941" spans="2:15" ht="17.399999999999999">
      <c r="B1941" s="42" t="s">
        <v>89</v>
      </c>
      <c r="C1941" s="39">
        <f>'تقرير المصروفات حسب الشهر'!T73</f>
        <v>0</v>
      </c>
      <c r="D1941" s="31" t="e">
        <f>#REF!</f>
        <v>#REF!</v>
      </c>
      <c r="E1941" s="31" t="e">
        <f>#REF!</f>
        <v>#REF!</v>
      </c>
      <c r="F1941" s="31" t="e">
        <f>#REF!</f>
        <v>#REF!</v>
      </c>
      <c r="G1941" s="31" t="e">
        <f>#REF!</f>
        <v>#REF!</v>
      </c>
      <c r="H1941" s="31" t="e">
        <f>#REF!</f>
        <v>#REF!</v>
      </c>
      <c r="I1941" s="31">
        <f>'تقرير المصروفات حسب الشهر'!T826</f>
        <v>979</v>
      </c>
      <c r="J1941" s="31">
        <f>'تقرير المصروفات حسب الشهر'!T953</f>
        <v>0</v>
      </c>
      <c r="K1941" s="31">
        <f>'تقرير المصروفات حسب الشهر'!T1080</f>
        <v>0</v>
      </c>
      <c r="L1941" s="292">
        <f>IFERROR(VLOOKUP(B1941,'تقرير المصروفات حسب الشهر'!$C$1143:$AD$1254,18,FALSE),0)</f>
        <v>0</v>
      </c>
      <c r="M1941" s="292">
        <f>IFERROR(VLOOKUP(B1941,'تقرير المصروفات حسب الشهر'!$C$1270:$AD$1381,18,FALSE),0)</f>
        <v>0</v>
      </c>
      <c r="N1941" s="31" t="e">
        <f>#REF!</f>
        <v>#REF!</v>
      </c>
      <c r="O1941" s="37" t="e">
        <f t="shared" si="48"/>
        <v>#REF!</v>
      </c>
    </row>
    <row r="1942" spans="2:15" ht="17.399999999999999">
      <c r="B1942" s="42" t="s">
        <v>33</v>
      </c>
      <c r="C1942" s="39">
        <f>'تقرير المصروفات حسب الشهر'!T74</f>
        <v>0</v>
      </c>
      <c r="D1942" s="31" t="e">
        <f>#REF!</f>
        <v>#REF!</v>
      </c>
      <c r="E1942" s="31" t="e">
        <f>#REF!</f>
        <v>#REF!</v>
      </c>
      <c r="F1942" s="31" t="e">
        <f>#REF!</f>
        <v>#REF!</v>
      </c>
      <c r="G1942" s="31" t="e">
        <f>#REF!</f>
        <v>#REF!</v>
      </c>
      <c r="H1942" s="31" t="e">
        <f>#REF!</f>
        <v>#REF!</v>
      </c>
      <c r="I1942" s="31">
        <f>'تقرير المصروفات حسب الشهر'!T827</f>
        <v>0</v>
      </c>
      <c r="J1942" s="31">
        <f>'تقرير المصروفات حسب الشهر'!T954</f>
        <v>0</v>
      </c>
      <c r="K1942" s="31">
        <f>'تقرير المصروفات حسب الشهر'!T1081</f>
        <v>0</v>
      </c>
      <c r="L1942" s="292">
        <f>IFERROR(VLOOKUP(B1942,'تقرير المصروفات حسب الشهر'!$C$1143:$AD$1254,18,FALSE),0)</f>
        <v>0</v>
      </c>
      <c r="M1942" s="292">
        <f>IFERROR(VLOOKUP(B1942,'تقرير المصروفات حسب الشهر'!$C$1270:$AD$1381,18,FALSE),0)</f>
        <v>367.25</v>
      </c>
      <c r="N1942" s="31" t="e">
        <f>#REF!</f>
        <v>#REF!</v>
      </c>
      <c r="O1942" s="37" t="e">
        <f t="shared" si="48"/>
        <v>#REF!</v>
      </c>
    </row>
    <row r="1943" spans="2:15" ht="17.399999999999999">
      <c r="B1943" s="42" t="s">
        <v>90</v>
      </c>
      <c r="C1943" s="39">
        <f>'تقرير المصروفات حسب الشهر'!T75</f>
        <v>0</v>
      </c>
      <c r="D1943" s="31" t="e">
        <f>#REF!</f>
        <v>#REF!</v>
      </c>
      <c r="E1943" s="31" t="e">
        <f>#REF!</f>
        <v>#REF!</v>
      </c>
      <c r="F1943" s="31" t="e">
        <f>#REF!</f>
        <v>#REF!</v>
      </c>
      <c r="G1943" s="31" t="e">
        <f>#REF!</f>
        <v>#REF!</v>
      </c>
      <c r="H1943" s="31" t="e">
        <f>#REF!</f>
        <v>#REF!</v>
      </c>
      <c r="I1943" s="31">
        <f>'تقرير المصروفات حسب الشهر'!T828</f>
        <v>0</v>
      </c>
      <c r="J1943" s="31">
        <f>'تقرير المصروفات حسب الشهر'!T955</f>
        <v>0</v>
      </c>
      <c r="K1943" s="31">
        <f>'تقرير المصروفات حسب الشهر'!T1082</f>
        <v>0</v>
      </c>
      <c r="L1943" s="292">
        <f>IFERROR(VLOOKUP(B1943,'تقرير المصروفات حسب الشهر'!$C$1143:$AD$1254,18,FALSE),0)</f>
        <v>0</v>
      </c>
      <c r="M1943" s="292">
        <f>IFERROR(VLOOKUP(B1943,'تقرير المصروفات حسب الشهر'!$C$1270:$AD$1381,18,FALSE),0)</f>
        <v>0</v>
      </c>
      <c r="N1943" s="31" t="e">
        <f>#REF!</f>
        <v>#REF!</v>
      </c>
      <c r="O1943" s="37" t="e">
        <f t="shared" ref="O1943:O1986" si="49">SUM(C1943:N1943)</f>
        <v>#REF!</v>
      </c>
    </row>
    <row r="1944" spans="2:15" ht="17.399999999999999">
      <c r="B1944" s="42" t="s">
        <v>91</v>
      </c>
      <c r="C1944" s="39">
        <f>'تقرير المصروفات حسب الشهر'!T76</f>
        <v>0</v>
      </c>
      <c r="D1944" s="31" t="e">
        <f>#REF!</f>
        <v>#REF!</v>
      </c>
      <c r="E1944" s="31" t="e">
        <f>#REF!</f>
        <v>#REF!</v>
      </c>
      <c r="F1944" s="31" t="e">
        <f>#REF!</f>
        <v>#REF!</v>
      </c>
      <c r="G1944" s="31" t="e">
        <f>#REF!</f>
        <v>#REF!</v>
      </c>
      <c r="H1944" s="31" t="e">
        <f>#REF!</f>
        <v>#REF!</v>
      </c>
      <c r="I1944" s="31">
        <f>'تقرير المصروفات حسب الشهر'!T829</f>
        <v>0</v>
      </c>
      <c r="J1944" s="31">
        <f>'تقرير المصروفات حسب الشهر'!T956</f>
        <v>0</v>
      </c>
      <c r="K1944" s="31">
        <f>'تقرير المصروفات حسب الشهر'!T1083</f>
        <v>0</v>
      </c>
      <c r="L1944" s="292">
        <f>IFERROR(VLOOKUP(B1944,'تقرير المصروفات حسب الشهر'!$C$1143:$AD$1254,18,FALSE),0)</f>
        <v>0</v>
      </c>
      <c r="M1944" s="292">
        <f>IFERROR(VLOOKUP(B1944,'تقرير المصروفات حسب الشهر'!$C$1270:$AD$1381,18,FALSE),0)</f>
        <v>0</v>
      </c>
      <c r="N1944" s="31" t="e">
        <f>#REF!</f>
        <v>#REF!</v>
      </c>
      <c r="O1944" s="37" t="e">
        <f t="shared" si="49"/>
        <v>#REF!</v>
      </c>
    </row>
    <row r="1945" spans="2:15" ht="17.399999999999999">
      <c r="B1945" s="42" t="s">
        <v>92</v>
      </c>
      <c r="C1945" s="39">
        <f>'تقرير المصروفات حسب الشهر'!T77</f>
        <v>0</v>
      </c>
      <c r="D1945" s="31" t="e">
        <f>#REF!</f>
        <v>#REF!</v>
      </c>
      <c r="E1945" s="31" t="e">
        <f>#REF!</f>
        <v>#REF!</v>
      </c>
      <c r="F1945" s="31" t="e">
        <f>#REF!</f>
        <v>#REF!</v>
      </c>
      <c r="G1945" s="31" t="e">
        <f>#REF!</f>
        <v>#REF!</v>
      </c>
      <c r="H1945" s="31" t="e">
        <f>#REF!</f>
        <v>#REF!</v>
      </c>
      <c r="I1945" s="31">
        <f>'تقرير المصروفات حسب الشهر'!T830</f>
        <v>0</v>
      </c>
      <c r="J1945" s="31">
        <f>'تقرير المصروفات حسب الشهر'!T957</f>
        <v>0</v>
      </c>
      <c r="K1945" s="31">
        <f>'تقرير المصروفات حسب الشهر'!T1084</f>
        <v>0</v>
      </c>
      <c r="L1945" s="292">
        <f>IFERROR(VLOOKUP(B1945,'تقرير المصروفات حسب الشهر'!$C$1143:$AD$1254,18,FALSE),0)</f>
        <v>0</v>
      </c>
      <c r="M1945" s="292">
        <f>IFERROR(VLOOKUP(B1945,'تقرير المصروفات حسب الشهر'!$C$1270:$AD$1381,18,FALSE),0)</f>
        <v>0</v>
      </c>
      <c r="N1945" s="31" t="e">
        <f>#REF!</f>
        <v>#REF!</v>
      </c>
      <c r="O1945" s="37" t="e">
        <f t="shared" si="49"/>
        <v>#REF!</v>
      </c>
    </row>
    <row r="1946" spans="2:15" ht="17.399999999999999">
      <c r="B1946" s="42" t="s">
        <v>93</v>
      </c>
      <c r="C1946" s="39">
        <f>'تقرير المصروفات حسب الشهر'!T78</f>
        <v>0</v>
      </c>
      <c r="D1946" s="31" t="e">
        <f>#REF!</f>
        <v>#REF!</v>
      </c>
      <c r="E1946" s="31" t="e">
        <f>#REF!</f>
        <v>#REF!</v>
      </c>
      <c r="F1946" s="31" t="e">
        <f>#REF!</f>
        <v>#REF!</v>
      </c>
      <c r="G1946" s="31" t="e">
        <f>#REF!</f>
        <v>#REF!</v>
      </c>
      <c r="H1946" s="31" t="e">
        <f>#REF!</f>
        <v>#REF!</v>
      </c>
      <c r="I1946" s="31">
        <f>'تقرير المصروفات حسب الشهر'!T831</f>
        <v>0</v>
      </c>
      <c r="J1946" s="31">
        <f>'تقرير المصروفات حسب الشهر'!T958</f>
        <v>0</v>
      </c>
      <c r="K1946" s="31">
        <f>'تقرير المصروفات حسب الشهر'!T1085</f>
        <v>0</v>
      </c>
      <c r="L1946" s="292">
        <f>IFERROR(VLOOKUP(B1946,'تقرير المصروفات حسب الشهر'!$C$1143:$AD$1254,18,FALSE),0)</f>
        <v>0</v>
      </c>
      <c r="M1946" s="292">
        <f>IFERROR(VLOOKUP(B1946,'تقرير المصروفات حسب الشهر'!$C$1270:$AD$1381,18,FALSE),0)</f>
        <v>0</v>
      </c>
      <c r="N1946" s="31" t="e">
        <f>#REF!</f>
        <v>#REF!</v>
      </c>
      <c r="O1946" s="37" t="e">
        <f t="shared" si="49"/>
        <v>#REF!</v>
      </c>
    </row>
    <row r="1947" spans="2:15" ht="17.399999999999999">
      <c r="B1947" s="42" t="s">
        <v>94</v>
      </c>
      <c r="C1947" s="39">
        <f>'تقرير المصروفات حسب الشهر'!T79</f>
        <v>0</v>
      </c>
      <c r="D1947" s="31" t="e">
        <f>#REF!</f>
        <v>#REF!</v>
      </c>
      <c r="E1947" s="31" t="e">
        <f>#REF!</f>
        <v>#REF!</v>
      </c>
      <c r="F1947" s="31" t="e">
        <f>#REF!</f>
        <v>#REF!</v>
      </c>
      <c r="G1947" s="31" t="e">
        <f>#REF!</f>
        <v>#REF!</v>
      </c>
      <c r="H1947" s="31" t="e">
        <f>#REF!</f>
        <v>#REF!</v>
      </c>
      <c r="I1947" s="31">
        <f>'تقرير المصروفات حسب الشهر'!T832</f>
        <v>1000</v>
      </c>
      <c r="J1947" s="31">
        <f>'تقرير المصروفات حسب الشهر'!T959</f>
        <v>0</v>
      </c>
      <c r="K1947" s="31">
        <f>'تقرير المصروفات حسب الشهر'!T1086</f>
        <v>0</v>
      </c>
      <c r="L1947" s="292">
        <f>IFERROR(VLOOKUP(B1947,'تقرير المصروفات حسب الشهر'!$C$1143:$AD$1254,18,FALSE),0)</f>
        <v>0</v>
      </c>
      <c r="M1947" s="292">
        <f>IFERROR(VLOOKUP(B1947,'تقرير المصروفات حسب الشهر'!$C$1270:$AD$1381,18,FALSE),0)</f>
        <v>0</v>
      </c>
      <c r="N1947" s="31" t="e">
        <f>#REF!</f>
        <v>#REF!</v>
      </c>
      <c r="O1947" s="37" t="e">
        <f t="shared" si="49"/>
        <v>#REF!</v>
      </c>
    </row>
    <row r="1948" spans="2:15" ht="17.399999999999999">
      <c r="B1948" s="42" t="s">
        <v>95</v>
      </c>
      <c r="C1948" s="39">
        <f>'تقرير المصروفات حسب الشهر'!T80</f>
        <v>0</v>
      </c>
      <c r="D1948" s="31" t="e">
        <f>#REF!</f>
        <v>#REF!</v>
      </c>
      <c r="E1948" s="31" t="e">
        <f>#REF!</f>
        <v>#REF!</v>
      </c>
      <c r="F1948" s="31" t="e">
        <f>#REF!</f>
        <v>#REF!</v>
      </c>
      <c r="G1948" s="31" t="e">
        <f>#REF!</f>
        <v>#REF!</v>
      </c>
      <c r="H1948" s="31" t="e">
        <f>#REF!</f>
        <v>#REF!</v>
      </c>
      <c r="I1948" s="31">
        <f>'تقرير المصروفات حسب الشهر'!T833</f>
        <v>668</v>
      </c>
      <c r="J1948" s="31">
        <f>'تقرير المصروفات حسب الشهر'!T960</f>
        <v>0</v>
      </c>
      <c r="K1948" s="31">
        <f>'تقرير المصروفات حسب الشهر'!T1087</f>
        <v>0</v>
      </c>
      <c r="L1948" s="292">
        <f>IFERROR(VLOOKUP(B1948,'تقرير المصروفات حسب الشهر'!$C$1143:$AD$1254,18,FALSE),0)</f>
        <v>0</v>
      </c>
      <c r="M1948" s="292">
        <f>IFERROR(VLOOKUP(B1948,'تقرير المصروفات حسب الشهر'!$C$1270:$AD$1381,18,FALSE),0)</f>
        <v>0</v>
      </c>
      <c r="N1948" s="31" t="e">
        <f>#REF!</f>
        <v>#REF!</v>
      </c>
      <c r="O1948" s="37" t="e">
        <f t="shared" si="49"/>
        <v>#REF!</v>
      </c>
    </row>
    <row r="1949" spans="2:15" ht="17.399999999999999">
      <c r="B1949" s="42" t="s">
        <v>96</v>
      </c>
      <c r="C1949" s="39">
        <f>'تقرير المصروفات حسب الشهر'!T81</f>
        <v>0</v>
      </c>
      <c r="D1949" s="31" t="e">
        <f>#REF!</f>
        <v>#REF!</v>
      </c>
      <c r="E1949" s="31" t="e">
        <f>#REF!</f>
        <v>#REF!</v>
      </c>
      <c r="F1949" s="31" t="e">
        <f>#REF!</f>
        <v>#REF!</v>
      </c>
      <c r="G1949" s="31" t="e">
        <f>#REF!</f>
        <v>#REF!</v>
      </c>
      <c r="H1949" s="31" t="e">
        <f>#REF!</f>
        <v>#REF!</v>
      </c>
      <c r="I1949" s="31">
        <f>'تقرير المصروفات حسب الشهر'!T834</f>
        <v>0</v>
      </c>
      <c r="J1949" s="31">
        <f>'تقرير المصروفات حسب الشهر'!T961</f>
        <v>0</v>
      </c>
      <c r="K1949" s="31">
        <f>'تقرير المصروفات حسب الشهر'!T1088</f>
        <v>0</v>
      </c>
      <c r="L1949" s="292">
        <f>IFERROR(VLOOKUP(B1949,'تقرير المصروفات حسب الشهر'!$C$1143:$AD$1254,18,FALSE),0)</f>
        <v>0</v>
      </c>
      <c r="M1949" s="292">
        <f>IFERROR(VLOOKUP(B1949,'تقرير المصروفات حسب الشهر'!$C$1270:$AD$1381,18,FALSE),0)</f>
        <v>0</v>
      </c>
      <c r="N1949" s="31" t="e">
        <f>#REF!</f>
        <v>#REF!</v>
      </c>
      <c r="O1949" s="37" t="e">
        <f t="shared" si="49"/>
        <v>#REF!</v>
      </c>
    </row>
    <row r="1950" spans="2:15" ht="17.399999999999999">
      <c r="B1950" s="42" t="s">
        <v>97</v>
      </c>
      <c r="C1950" s="39">
        <f>'تقرير المصروفات حسب الشهر'!T82</f>
        <v>0</v>
      </c>
      <c r="D1950" s="31" t="e">
        <f>#REF!</f>
        <v>#REF!</v>
      </c>
      <c r="E1950" s="31" t="e">
        <f>#REF!</f>
        <v>#REF!</v>
      </c>
      <c r="F1950" s="31" t="e">
        <f>#REF!</f>
        <v>#REF!</v>
      </c>
      <c r="G1950" s="31" t="e">
        <f>#REF!</f>
        <v>#REF!</v>
      </c>
      <c r="H1950" s="31" t="e">
        <f>#REF!</f>
        <v>#REF!</v>
      </c>
      <c r="I1950" s="31">
        <f>'تقرير المصروفات حسب الشهر'!T835</f>
        <v>0</v>
      </c>
      <c r="J1950" s="31">
        <f>'تقرير المصروفات حسب الشهر'!T962</f>
        <v>0</v>
      </c>
      <c r="K1950" s="31">
        <f>'تقرير المصروفات حسب الشهر'!T1089</f>
        <v>2130</v>
      </c>
      <c r="L1950" s="292">
        <f>IFERROR(VLOOKUP(B1950,'تقرير المصروفات حسب الشهر'!$C$1143:$AD$1254,18,FALSE),0)</f>
        <v>0</v>
      </c>
      <c r="M1950" s="292">
        <f>IFERROR(VLOOKUP(B1950,'تقرير المصروفات حسب الشهر'!$C$1270:$AD$1381,18,FALSE),0)</f>
        <v>0</v>
      </c>
      <c r="N1950" s="31" t="e">
        <f>#REF!</f>
        <v>#REF!</v>
      </c>
      <c r="O1950" s="37" t="e">
        <f t="shared" si="49"/>
        <v>#REF!</v>
      </c>
    </row>
    <row r="1951" spans="2:15" ht="17.399999999999999">
      <c r="B1951" s="42" t="s">
        <v>192</v>
      </c>
      <c r="C1951" s="39">
        <f>'تقرير المصروفات حسب الشهر'!T83</f>
        <v>0</v>
      </c>
      <c r="D1951" s="31" t="e">
        <f>#REF!</f>
        <v>#REF!</v>
      </c>
      <c r="E1951" s="31" t="e">
        <f>#REF!</f>
        <v>#REF!</v>
      </c>
      <c r="F1951" s="31" t="e">
        <f>#REF!</f>
        <v>#REF!</v>
      </c>
      <c r="G1951" s="31" t="e">
        <f>#REF!</f>
        <v>#REF!</v>
      </c>
      <c r="H1951" s="31" t="e">
        <f>#REF!</f>
        <v>#REF!</v>
      </c>
      <c r="I1951" s="31">
        <f>'تقرير المصروفات حسب الشهر'!T836</f>
        <v>0</v>
      </c>
      <c r="J1951" s="31">
        <f>'تقرير المصروفات حسب الشهر'!T963</f>
        <v>0</v>
      </c>
      <c r="K1951" s="31">
        <f>'تقرير المصروفات حسب الشهر'!T1090</f>
        <v>0</v>
      </c>
      <c r="L1951" s="292">
        <f>IFERROR(VLOOKUP(B1951,'تقرير المصروفات حسب الشهر'!$C$1143:$AD$1254,18,FALSE),0)</f>
        <v>1065</v>
      </c>
      <c r="M1951" s="292">
        <f>IFERROR(VLOOKUP(B1951,'تقرير المصروفات حسب الشهر'!$C$1270:$AD$1381,18,FALSE),0)</f>
        <v>1065</v>
      </c>
      <c r="N1951" s="31" t="e">
        <f>#REF!</f>
        <v>#REF!</v>
      </c>
      <c r="O1951" s="37" t="e">
        <f t="shared" si="49"/>
        <v>#REF!</v>
      </c>
    </row>
    <row r="1952" spans="2:15" ht="17.399999999999999">
      <c r="B1952" s="42" t="s">
        <v>98</v>
      </c>
      <c r="C1952" s="39">
        <f>'تقرير المصروفات حسب الشهر'!T84</f>
        <v>0</v>
      </c>
      <c r="D1952" s="31" t="e">
        <f>#REF!</f>
        <v>#REF!</v>
      </c>
      <c r="E1952" s="31" t="e">
        <f>#REF!</f>
        <v>#REF!</v>
      </c>
      <c r="F1952" s="31" t="e">
        <f>#REF!</f>
        <v>#REF!</v>
      </c>
      <c r="G1952" s="31" t="e">
        <f>#REF!</f>
        <v>#REF!</v>
      </c>
      <c r="H1952" s="31" t="e">
        <f>#REF!</f>
        <v>#REF!</v>
      </c>
      <c r="I1952" s="31">
        <f>'تقرير المصروفات حسب الشهر'!T837</f>
        <v>0</v>
      </c>
      <c r="J1952" s="31">
        <f>'تقرير المصروفات حسب الشهر'!T964</f>
        <v>0</v>
      </c>
      <c r="K1952" s="31">
        <f>'تقرير المصروفات حسب الشهر'!T1091</f>
        <v>0</v>
      </c>
      <c r="L1952" s="292">
        <f>IFERROR(VLOOKUP(B1952,'تقرير المصروفات حسب الشهر'!$C$1143:$AD$1254,18,FALSE),0)</f>
        <v>0</v>
      </c>
      <c r="M1952" s="292">
        <f>IFERROR(VLOOKUP(B1952,'تقرير المصروفات حسب الشهر'!$C$1270:$AD$1381,18,FALSE),0)</f>
        <v>0</v>
      </c>
      <c r="N1952" s="31" t="e">
        <f>#REF!</f>
        <v>#REF!</v>
      </c>
      <c r="O1952" s="37" t="e">
        <f t="shared" si="49"/>
        <v>#REF!</v>
      </c>
    </row>
    <row r="1953" spans="2:15" ht="17.399999999999999">
      <c r="B1953" s="42" t="s">
        <v>99</v>
      </c>
      <c r="C1953" s="39">
        <f>'تقرير المصروفات حسب الشهر'!T85</f>
        <v>0</v>
      </c>
      <c r="D1953" s="31" t="e">
        <f>#REF!</f>
        <v>#REF!</v>
      </c>
      <c r="E1953" s="31" t="e">
        <f>#REF!</f>
        <v>#REF!</v>
      </c>
      <c r="F1953" s="31" t="e">
        <f>#REF!</f>
        <v>#REF!</v>
      </c>
      <c r="G1953" s="31" t="e">
        <f>#REF!</f>
        <v>#REF!</v>
      </c>
      <c r="H1953" s="31" t="e">
        <f>#REF!</f>
        <v>#REF!</v>
      </c>
      <c r="I1953" s="31">
        <f>'تقرير المصروفات حسب الشهر'!T838</f>
        <v>43.17</v>
      </c>
      <c r="J1953" s="31">
        <f>'تقرير المصروفات حسب الشهر'!T965</f>
        <v>43.17</v>
      </c>
      <c r="K1953" s="31">
        <f>'تقرير المصروفات حسب الشهر'!T1092</f>
        <v>43.17</v>
      </c>
      <c r="L1953" s="292">
        <f>IFERROR(VLOOKUP(B1953,'تقرير المصروفات حسب الشهر'!$C$1143:$AD$1254,18,FALSE),0)</f>
        <v>0</v>
      </c>
      <c r="M1953" s="292">
        <f>IFERROR(VLOOKUP(B1953,'تقرير المصروفات حسب الشهر'!$C$1270:$AD$1381,18,FALSE),0)</f>
        <v>0</v>
      </c>
      <c r="N1953" s="31" t="e">
        <f>#REF!</f>
        <v>#REF!</v>
      </c>
      <c r="O1953" s="37" t="e">
        <f t="shared" si="49"/>
        <v>#REF!</v>
      </c>
    </row>
    <row r="1954" spans="2:15" ht="17.399999999999999">
      <c r="B1954" s="42" t="s">
        <v>100</v>
      </c>
      <c r="C1954" s="39">
        <f>'تقرير المصروفات حسب الشهر'!T86</f>
        <v>43.17</v>
      </c>
      <c r="D1954" s="31" t="e">
        <f>#REF!</f>
        <v>#REF!</v>
      </c>
      <c r="E1954" s="31" t="e">
        <f>#REF!</f>
        <v>#REF!</v>
      </c>
      <c r="F1954" s="31" t="e">
        <f>#REF!</f>
        <v>#REF!</v>
      </c>
      <c r="G1954" s="31" t="e">
        <f>#REF!</f>
        <v>#REF!</v>
      </c>
      <c r="H1954" s="31" t="e">
        <f>#REF!</f>
        <v>#REF!</v>
      </c>
      <c r="I1954" s="31">
        <f>'تقرير المصروفات حسب الشهر'!T839</f>
        <v>0</v>
      </c>
      <c r="J1954" s="31">
        <f>'تقرير المصروفات حسب الشهر'!T966</f>
        <v>589.95000000000005</v>
      </c>
      <c r="K1954" s="31">
        <f>'تقرير المصروفات حسب الشهر'!T1093</f>
        <v>731.5</v>
      </c>
      <c r="L1954" s="292">
        <f>IFERROR(VLOOKUP(B1954,'تقرير المصروفات حسب الشهر'!$C$1143:$AD$1254,18,FALSE),0)</f>
        <v>43.17</v>
      </c>
      <c r="M1954" s="292">
        <f>IFERROR(VLOOKUP(B1954,'تقرير المصروفات حسب الشهر'!$C$1270:$AD$1381,18,FALSE),0)</f>
        <v>8.7100000000000009</v>
      </c>
      <c r="N1954" s="31" t="e">
        <f>#REF!</f>
        <v>#REF!</v>
      </c>
      <c r="O1954" s="37" t="e">
        <f t="shared" si="49"/>
        <v>#REF!</v>
      </c>
    </row>
    <row r="1955" spans="2:15" ht="17.399999999999999">
      <c r="B1955" s="42" t="s">
        <v>101</v>
      </c>
      <c r="C1955" s="39">
        <f>'تقرير المصروفات حسب الشهر'!T87</f>
        <v>0</v>
      </c>
      <c r="D1955" s="31" t="e">
        <f>#REF!</f>
        <v>#REF!</v>
      </c>
      <c r="E1955" s="31" t="e">
        <f>#REF!</f>
        <v>#REF!</v>
      </c>
      <c r="F1955" s="31" t="e">
        <f>#REF!</f>
        <v>#REF!</v>
      </c>
      <c r="G1955" s="31" t="e">
        <f>#REF!</f>
        <v>#REF!</v>
      </c>
      <c r="H1955" s="31" t="e">
        <f>#REF!</f>
        <v>#REF!</v>
      </c>
      <c r="I1955" s="31">
        <f>'تقرير المصروفات حسب الشهر'!T840</f>
        <v>75.33</v>
      </c>
      <c r="J1955" s="31">
        <f>'تقرير المصروفات حسب الشهر'!T967</f>
        <v>75.33</v>
      </c>
      <c r="K1955" s="31">
        <f>'تقرير المصروفات حسب الشهر'!T1094</f>
        <v>75.33</v>
      </c>
      <c r="L1955" s="292">
        <f>IFERROR(VLOOKUP(B1955,'تقرير المصروفات حسب الشهر'!$C$1143:$AD$1254,18,FALSE),0)</f>
        <v>731.5</v>
      </c>
      <c r="M1955" s="292">
        <f>IFERROR(VLOOKUP(B1955,'تقرير المصروفات حسب الشهر'!$C$1270:$AD$1381,18,FALSE),0)</f>
        <v>731.5</v>
      </c>
      <c r="N1955" s="31" t="e">
        <f>#REF!</f>
        <v>#REF!</v>
      </c>
      <c r="O1955" s="37" t="e">
        <f t="shared" si="49"/>
        <v>#REF!</v>
      </c>
    </row>
    <row r="1956" spans="2:15" ht="17.399999999999999">
      <c r="B1956" s="42" t="s">
        <v>102</v>
      </c>
      <c r="C1956" s="39">
        <f>'تقرير المصروفات حسب الشهر'!T88</f>
        <v>0</v>
      </c>
      <c r="D1956" s="31" t="e">
        <f>#REF!</f>
        <v>#REF!</v>
      </c>
      <c r="E1956" s="31" t="e">
        <f>#REF!</f>
        <v>#REF!</v>
      </c>
      <c r="F1956" s="31" t="e">
        <f>#REF!</f>
        <v>#REF!</v>
      </c>
      <c r="G1956" s="31" t="e">
        <f>#REF!</f>
        <v>#REF!</v>
      </c>
      <c r="H1956" s="31" t="e">
        <f>#REF!</f>
        <v>#REF!</v>
      </c>
      <c r="I1956" s="31">
        <f>'تقرير المصروفات حسب الشهر'!T841</f>
        <v>53.44</v>
      </c>
      <c r="J1956" s="31">
        <f>'تقرير المصروفات حسب الشهر'!T968</f>
        <v>38.17</v>
      </c>
      <c r="K1956" s="31">
        <f>'تقرير المصروفات حسب الشهر'!T1095</f>
        <v>0</v>
      </c>
      <c r="L1956" s="292">
        <f>IFERROR(VLOOKUP(B1956,'تقرير المصروفات حسب الشهر'!$C$1143:$AD$1254,18,FALSE),0)</f>
        <v>75.33</v>
      </c>
      <c r="M1956" s="292">
        <f>IFERROR(VLOOKUP(B1956,'تقرير المصروفات حسب الشهر'!$C$1270:$AD$1381,18,FALSE),0)</f>
        <v>75.33</v>
      </c>
      <c r="N1956" s="31" t="e">
        <f>#REF!</f>
        <v>#REF!</v>
      </c>
      <c r="O1956" s="37" t="e">
        <f t="shared" si="49"/>
        <v>#REF!</v>
      </c>
    </row>
    <row r="1957" spans="2:15" ht="17.399999999999999">
      <c r="B1957" s="42" t="s">
        <v>103</v>
      </c>
      <c r="C1957" s="39">
        <f>'تقرير المصروفات حسب الشهر'!T89</f>
        <v>53.44</v>
      </c>
      <c r="D1957" s="31" t="e">
        <f>#REF!</f>
        <v>#REF!</v>
      </c>
      <c r="E1957" s="31" t="e">
        <f>#REF!</f>
        <v>#REF!</v>
      </c>
      <c r="F1957" s="31" t="e">
        <f>#REF!</f>
        <v>#REF!</v>
      </c>
      <c r="G1957" s="31" t="e">
        <f>#REF!</f>
        <v>#REF!</v>
      </c>
      <c r="H1957" s="31" t="e">
        <f>#REF!</f>
        <v>#REF!</v>
      </c>
      <c r="I1957" s="31">
        <f>'تقرير المصروفات حسب الشهر'!T842</f>
        <v>227.5</v>
      </c>
      <c r="J1957" s="31">
        <f>'تقرير المصروفات حسب الشهر'!T969</f>
        <v>227.5</v>
      </c>
      <c r="K1957" s="31">
        <f>'تقرير المصروفات حسب الشهر'!T1096</f>
        <v>227.5</v>
      </c>
      <c r="L1957" s="292">
        <f>IFERROR(VLOOKUP(B1957,'تقرير المصروفات حسب الشهر'!$C$1143:$AD$1254,18,FALSE),0)</f>
        <v>0</v>
      </c>
      <c r="M1957" s="292">
        <f>IFERROR(VLOOKUP(B1957,'تقرير المصروفات حسب الشهر'!$C$1270:$AD$1381,18,FALSE),0)</f>
        <v>0</v>
      </c>
      <c r="N1957" s="31" t="e">
        <f>#REF!</f>
        <v>#REF!</v>
      </c>
      <c r="O1957" s="37" t="e">
        <f t="shared" si="49"/>
        <v>#REF!</v>
      </c>
    </row>
    <row r="1958" spans="2:15" ht="17.399999999999999">
      <c r="B1958" s="42" t="s">
        <v>104</v>
      </c>
      <c r="C1958" s="39">
        <f>'تقرير المصروفات حسب الشهر'!T90</f>
        <v>227.5</v>
      </c>
      <c r="D1958" s="31" t="e">
        <f>#REF!</f>
        <v>#REF!</v>
      </c>
      <c r="E1958" s="31" t="e">
        <f>#REF!</f>
        <v>#REF!</v>
      </c>
      <c r="F1958" s="31" t="e">
        <f>#REF!</f>
        <v>#REF!</v>
      </c>
      <c r="G1958" s="31" t="e">
        <f>#REF!</f>
        <v>#REF!</v>
      </c>
      <c r="H1958" s="31" t="e">
        <f>#REF!</f>
        <v>#REF!</v>
      </c>
      <c r="I1958" s="31">
        <f>'تقرير المصروفات حسب الشهر'!T843</f>
        <v>0</v>
      </c>
      <c r="J1958" s="31">
        <f>'تقرير المصروفات حسب الشهر'!T970</f>
        <v>0</v>
      </c>
      <c r="K1958" s="31">
        <f>'تقرير المصروفات حسب الشهر'!T1097</f>
        <v>0</v>
      </c>
      <c r="L1958" s="292">
        <f>IFERROR(VLOOKUP(B1958,'تقرير المصروفات حسب الشهر'!$C$1143:$AD$1254,18,FALSE),0)</f>
        <v>227.5</v>
      </c>
      <c r="M1958" s="292">
        <f>IFERROR(VLOOKUP(B1958,'تقرير المصروفات حسب الشهر'!$C$1270:$AD$1381,18,FALSE),0)</f>
        <v>227.5</v>
      </c>
      <c r="N1958" s="31" t="e">
        <f>#REF!</f>
        <v>#REF!</v>
      </c>
      <c r="O1958" s="37" t="e">
        <f t="shared" si="49"/>
        <v>#REF!</v>
      </c>
    </row>
    <row r="1959" spans="2:15" ht="17.399999999999999">
      <c r="B1959" s="42" t="s">
        <v>105</v>
      </c>
      <c r="C1959" s="39">
        <f>'تقرير المصروفات حسب الشهر'!T91</f>
        <v>0</v>
      </c>
      <c r="D1959" s="31" t="e">
        <f>#REF!</f>
        <v>#REF!</v>
      </c>
      <c r="E1959" s="31" t="e">
        <f>#REF!</f>
        <v>#REF!</v>
      </c>
      <c r="F1959" s="31" t="e">
        <f>#REF!</f>
        <v>#REF!</v>
      </c>
      <c r="G1959" s="31" t="e">
        <f>#REF!</f>
        <v>#REF!</v>
      </c>
      <c r="H1959" s="31" t="e">
        <f>#REF!</f>
        <v>#REF!</v>
      </c>
      <c r="I1959" s="31">
        <f>'تقرير المصروفات حسب الشهر'!T844</f>
        <v>0</v>
      </c>
      <c r="J1959" s="31">
        <f>'تقرير المصروفات حسب الشهر'!T971</f>
        <v>0</v>
      </c>
      <c r="K1959" s="31">
        <f>'تقرير المصروفات حسب الشهر'!T1098</f>
        <v>0</v>
      </c>
      <c r="L1959" s="292">
        <f>IFERROR(VLOOKUP(B1959,'تقرير المصروفات حسب الشهر'!$C$1143:$AD$1254,18,FALSE),0)</f>
        <v>0</v>
      </c>
      <c r="M1959" s="292">
        <f>IFERROR(VLOOKUP(B1959,'تقرير المصروفات حسب الشهر'!$C$1270:$AD$1381,18,FALSE),0)</f>
        <v>0</v>
      </c>
      <c r="N1959" s="31" t="e">
        <f>#REF!</f>
        <v>#REF!</v>
      </c>
      <c r="O1959" s="37" t="e">
        <f t="shared" si="49"/>
        <v>#REF!</v>
      </c>
    </row>
    <row r="1960" spans="2:15" ht="17.399999999999999">
      <c r="B1960" s="42" t="s">
        <v>106</v>
      </c>
      <c r="C1960" s="39">
        <f>'تقرير المصروفات حسب الشهر'!T92</f>
        <v>0</v>
      </c>
      <c r="D1960" s="31" t="e">
        <f>#REF!</f>
        <v>#REF!</v>
      </c>
      <c r="E1960" s="31" t="e">
        <f>#REF!</f>
        <v>#REF!</v>
      </c>
      <c r="F1960" s="31" t="e">
        <f>#REF!</f>
        <v>#REF!</v>
      </c>
      <c r="G1960" s="31" t="e">
        <f>#REF!</f>
        <v>#REF!</v>
      </c>
      <c r="H1960" s="31" t="e">
        <f>#REF!</f>
        <v>#REF!</v>
      </c>
      <c r="I1960" s="31">
        <f>'تقرير المصروفات حسب الشهر'!T845</f>
        <v>0</v>
      </c>
      <c r="J1960" s="31">
        <f>'تقرير المصروفات حسب الشهر'!T972</f>
        <v>0</v>
      </c>
      <c r="K1960" s="31">
        <f>'تقرير المصروفات حسب الشهر'!T1099</f>
        <v>0</v>
      </c>
      <c r="L1960" s="292">
        <f>IFERROR(VLOOKUP(B1960,'تقرير المصروفات حسب الشهر'!$C$1143:$AD$1254,18,FALSE),0)</f>
        <v>0</v>
      </c>
      <c r="M1960" s="292">
        <f>IFERROR(VLOOKUP(B1960,'تقرير المصروفات حسب الشهر'!$C$1270:$AD$1381,18,FALSE),0)</f>
        <v>0</v>
      </c>
      <c r="N1960" s="31" t="e">
        <f>#REF!</f>
        <v>#REF!</v>
      </c>
      <c r="O1960" s="37" t="e">
        <f t="shared" si="49"/>
        <v>#REF!</v>
      </c>
    </row>
    <row r="1961" spans="2:15" ht="17.399999999999999">
      <c r="B1961" s="42" t="s">
        <v>107</v>
      </c>
      <c r="C1961" s="39">
        <f>'تقرير المصروفات حسب الشهر'!T93</f>
        <v>0</v>
      </c>
      <c r="D1961" s="31" t="e">
        <f>#REF!</f>
        <v>#REF!</v>
      </c>
      <c r="E1961" s="31" t="e">
        <f>#REF!</f>
        <v>#REF!</v>
      </c>
      <c r="F1961" s="31" t="e">
        <f>#REF!</f>
        <v>#REF!</v>
      </c>
      <c r="G1961" s="31" t="e">
        <f>#REF!</f>
        <v>#REF!</v>
      </c>
      <c r="H1961" s="31" t="e">
        <f>#REF!</f>
        <v>#REF!</v>
      </c>
      <c r="I1961" s="31">
        <f>'تقرير المصروفات حسب الشهر'!T846</f>
        <v>0</v>
      </c>
      <c r="J1961" s="31">
        <f>'تقرير المصروفات حسب الشهر'!T973</f>
        <v>0</v>
      </c>
      <c r="K1961" s="31">
        <f>'تقرير المصروفات حسب الشهر'!T1100</f>
        <v>0</v>
      </c>
      <c r="L1961" s="292">
        <f>IFERROR(VLOOKUP(B1961,'تقرير المصروفات حسب الشهر'!$C$1143:$AD$1254,18,FALSE),0)</f>
        <v>0</v>
      </c>
      <c r="M1961" s="292">
        <f>IFERROR(VLOOKUP(B1961,'تقرير المصروفات حسب الشهر'!$C$1270:$AD$1381,18,FALSE),0)</f>
        <v>0</v>
      </c>
      <c r="N1961" s="31" t="e">
        <f>#REF!</f>
        <v>#REF!</v>
      </c>
      <c r="O1961" s="37" t="e">
        <f t="shared" si="49"/>
        <v>#REF!</v>
      </c>
    </row>
    <row r="1962" spans="2:15" ht="17.399999999999999">
      <c r="B1962" s="42" t="s">
        <v>108</v>
      </c>
      <c r="C1962" s="39">
        <f>'تقرير المصروفات حسب الشهر'!T94</f>
        <v>0</v>
      </c>
      <c r="D1962" s="31" t="e">
        <f>#REF!</f>
        <v>#REF!</v>
      </c>
      <c r="E1962" s="31" t="e">
        <f>#REF!</f>
        <v>#REF!</v>
      </c>
      <c r="F1962" s="31" t="e">
        <f>#REF!</f>
        <v>#REF!</v>
      </c>
      <c r="G1962" s="31" t="e">
        <f>#REF!</f>
        <v>#REF!</v>
      </c>
      <c r="H1962" s="31" t="e">
        <f>#REF!</f>
        <v>#REF!</v>
      </c>
      <c r="I1962" s="31">
        <f>'تقرير المصروفات حسب الشهر'!T847</f>
        <v>0</v>
      </c>
      <c r="J1962" s="31">
        <f>'تقرير المصروفات حسب الشهر'!T974</f>
        <v>0</v>
      </c>
      <c r="K1962" s="31">
        <f>'تقرير المصروفات حسب الشهر'!T1101</f>
        <v>0</v>
      </c>
      <c r="L1962" s="292">
        <f>IFERROR(VLOOKUP(B1962,'تقرير المصروفات حسب الشهر'!$C$1143:$AD$1254,18,FALSE),0)</f>
        <v>0</v>
      </c>
      <c r="M1962" s="292">
        <f>IFERROR(VLOOKUP(B1962,'تقرير المصروفات حسب الشهر'!$C$1270:$AD$1381,18,FALSE),0)</f>
        <v>0</v>
      </c>
      <c r="N1962" s="31" t="e">
        <f>#REF!</f>
        <v>#REF!</v>
      </c>
      <c r="O1962" s="37" t="e">
        <f t="shared" si="49"/>
        <v>#REF!</v>
      </c>
    </row>
    <row r="1963" spans="2:15" ht="17.399999999999999">
      <c r="B1963" s="42" t="s">
        <v>109</v>
      </c>
      <c r="C1963" s="39">
        <f>'تقرير المصروفات حسب الشهر'!T95</f>
        <v>0</v>
      </c>
      <c r="D1963" s="31" t="e">
        <f>#REF!</f>
        <v>#REF!</v>
      </c>
      <c r="E1963" s="31" t="e">
        <f>#REF!</f>
        <v>#REF!</v>
      </c>
      <c r="F1963" s="31" t="e">
        <f>#REF!</f>
        <v>#REF!</v>
      </c>
      <c r="G1963" s="31" t="e">
        <f>#REF!</f>
        <v>#REF!</v>
      </c>
      <c r="H1963" s="31" t="e">
        <f>#REF!</f>
        <v>#REF!</v>
      </c>
      <c r="I1963" s="31">
        <f>'تقرير المصروفات حسب الشهر'!T848</f>
        <v>0</v>
      </c>
      <c r="J1963" s="31">
        <f>'تقرير المصروفات حسب الشهر'!T975</f>
        <v>0</v>
      </c>
      <c r="K1963" s="31">
        <f>'تقرير المصروفات حسب الشهر'!T1102</f>
        <v>0</v>
      </c>
      <c r="L1963" s="292">
        <f>IFERROR(VLOOKUP(B1963,'تقرير المصروفات حسب الشهر'!$C$1143:$AD$1254,18,FALSE),0)</f>
        <v>0</v>
      </c>
      <c r="M1963" s="292">
        <f>IFERROR(VLOOKUP(B1963,'تقرير المصروفات حسب الشهر'!$C$1270:$AD$1381,18,FALSE),0)</f>
        <v>0</v>
      </c>
      <c r="N1963" s="31" t="e">
        <f>#REF!</f>
        <v>#REF!</v>
      </c>
      <c r="O1963" s="37" t="e">
        <f t="shared" si="49"/>
        <v>#REF!</v>
      </c>
    </row>
    <row r="1964" spans="2:15" ht="17.399999999999999">
      <c r="B1964" s="42" t="s">
        <v>110</v>
      </c>
      <c r="C1964" s="39">
        <f>'تقرير المصروفات حسب الشهر'!T96</f>
        <v>0</v>
      </c>
      <c r="D1964" s="31" t="e">
        <f>#REF!</f>
        <v>#REF!</v>
      </c>
      <c r="E1964" s="31" t="e">
        <f>#REF!</f>
        <v>#REF!</v>
      </c>
      <c r="F1964" s="31" t="e">
        <f>#REF!</f>
        <v>#REF!</v>
      </c>
      <c r="G1964" s="31" t="e">
        <f>#REF!</f>
        <v>#REF!</v>
      </c>
      <c r="H1964" s="31" t="e">
        <f>#REF!</f>
        <v>#REF!</v>
      </c>
      <c r="I1964" s="31">
        <f>'تقرير المصروفات حسب الشهر'!T849</f>
        <v>0</v>
      </c>
      <c r="J1964" s="31">
        <f>'تقرير المصروفات حسب الشهر'!T976</f>
        <v>0</v>
      </c>
      <c r="K1964" s="31">
        <f>'تقرير المصروفات حسب الشهر'!T1103</f>
        <v>0</v>
      </c>
      <c r="L1964" s="292">
        <f>IFERROR(VLOOKUP(B1964,'تقرير المصروفات حسب الشهر'!$C$1143:$AD$1254,18,FALSE),0)</f>
        <v>0</v>
      </c>
      <c r="M1964" s="292">
        <f>IFERROR(VLOOKUP(B1964,'تقرير المصروفات حسب الشهر'!$C$1270:$AD$1381,18,FALSE),0)</f>
        <v>0</v>
      </c>
      <c r="N1964" s="31" t="e">
        <f>#REF!</f>
        <v>#REF!</v>
      </c>
      <c r="O1964" s="37" t="e">
        <f t="shared" si="49"/>
        <v>#REF!</v>
      </c>
    </row>
    <row r="1965" spans="2:15" ht="17.399999999999999">
      <c r="B1965" s="42" t="s">
        <v>112</v>
      </c>
      <c r="C1965" s="39">
        <f>'تقرير المصروفات حسب الشهر'!T97</f>
        <v>0</v>
      </c>
      <c r="D1965" s="31" t="e">
        <f>#REF!</f>
        <v>#REF!</v>
      </c>
      <c r="E1965" s="31" t="e">
        <f>#REF!</f>
        <v>#REF!</v>
      </c>
      <c r="F1965" s="31" t="e">
        <f>#REF!</f>
        <v>#REF!</v>
      </c>
      <c r="G1965" s="31" t="e">
        <f>#REF!</f>
        <v>#REF!</v>
      </c>
      <c r="H1965" s="31" t="e">
        <f>#REF!</f>
        <v>#REF!</v>
      </c>
      <c r="I1965" s="31">
        <f>'تقرير المصروفات حسب الشهر'!T850</f>
        <v>0</v>
      </c>
      <c r="J1965" s="31">
        <f>'تقرير المصروفات حسب الشهر'!T977</f>
        <v>0</v>
      </c>
      <c r="K1965" s="31">
        <f>'تقرير المصروفات حسب الشهر'!T1104</f>
        <v>0</v>
      </c>
      <c r="L1965" s="292">
        <f>IFERROR(VLOOKUP(B1965,'تقرير المصروفات حسب الشهر'!$C$1143:$AD$1254,18,FALSE),0)</f>
        <v>0</v>
      </c>
      <c r="M1965" s="292">
        <f>IFERROR(VLOOKUP(B1965,'تقرير المصروفات حسب الشهر'!$C$1270:$AD$1381,18,FALSE),0)</f>
        <v>0</v>
      </c>
      <c r="N1965" s="31" t="e">
        <f>#REF!</f>
        <v>#REF!</v>
      </c>
      <c r="O1965" s="37" t="e">
        <f t="shared" si="49"/>
        <v>#REF!</v>
      </c>
    </row>
    <row r="1966" spans="2:15" ht="17.399999999999999">
      <c r="B1966" s="42" t="s">
        <v>113</v>
      </c>
      <c r="C1966" s="39">
        <f>'تقرير المصروفات حسب الشهر'!T98</f>
        <v>0</v>
      </c>
      <c r="D1966" s="31" t="e">
        <f>#REF!</f>
        <v>#REF!</v>
      </c>
      <c r="E1966" s="31" t="e">
        <f>#REF!</f>
        <v>#REF!</v>
      </c>
      <c r="F1966" s="31" t="e">
        <f>#REF!</f>
        <v>#REF!</v>
      </c>
      <c r="G1966" s="31" t="e">
        <f>#REF!</f>
        <v>#REF!</v>
      </c>
      <c r="H1966" s="31" t="e">
        <f>#REF!</f>
        <v>#REF!</v>
      </c>
      <c r="I1966" s="31">
        <f>'تقرير المصروفات حسب الشهر'!T851</f>
        <v>0</v>
      </c>
      <c r="J1966" s="31">
        <f>'تقرير المصروفات حسب الشهر'!T978</f>
        <v>0</v>
      </c>
      <c r="K1966" s="31">
        <f>'تقرير المصروفات حسب الشهر'!T1105</f>
        <v>0</v>
      </c>
      <c r="L1966" s="292">
        <f>IFERROR(VLOOKUP(B1966,'تقرير المصروفات حسب الشهر'!$C$1143:$AD$1254,18,FALSE),0)</f>
        <v>0</v>
      </c>
      <c r="M1966" s="292">
        <f>IFERROR(VLOOKUP(B1966,'تقرير المصروفات حسب الشهر'!$C$1270:$AD$1381,18,FALSE),0)</f>
        <v>0</v>
      </c>
      <c r="N1966" s="31" t="e">
        <f>#REF!</f>
        <v>#REF!</v>
      </c>
      <c r="O1966" s="37" t="e">
        <f t="shared" si="49"/>
        <v>#REF!</v>
      </c>
    </row>
    <row r="1967" spans="2:15" ht="17.399999999999999">
      <c r="B1967" s="42" t="s">
        <v>137</v>
      </c>
      <c r="C1967" s="39">
        <f>'تقرير المصروفات حسب الشهر'!T99</f>
        <v>0</v>
      </c>
      <c r="D1967" s="31" t="e">
        <f>#REF!</f>
        <v>#REF!</v>
      </c>
      <c r="E1967" s="31" t="e">
        <f>#REF!</f>
        <v>#REF!</v>
      </c>
      <c r="F1967" s="31" t="e">
        <f>#REF!</f>
        <v>#REF!</v>
      </c>
      <c r="G1967" s="31" t="e">
        <f>#REF!</f>
        <v>#REF!</v>
      </c>
      <c r="H1967" s="31" t="e">
        <f>#REF!</f>
        <v>#REF!</v>
      </c>
      <c r="I1967" s="31">
        <f>'تقرير المصروفات حسب الشهر'!T852</f>
        <v>0</v>
      </c>
      <c r="J1967" s="31">
        <f>'تقرير المصروفات حسب الشهر'!T979</f>
        <v>0</v>
      </c>
      <c r="K1967" s="31">
        <f>'تقرير المصروفات حسب الشهر'!T1106</f>
        <v>0</v>
      </c>
      <c r="L1967" s="292">
        <f>IFERROR(VLOOKUP(B1967,'تقرير المصروفات حسب الشهر'!$C$1143:$AD$1254,18,FALSE),0)</f>
        <v>0</v>
      </c>
      <c r="M1967" s="292">
        <f>IFERROR(VLOOKUP(B1967,'تقرير المصروفات حسب الشهر'!$C$1270:$AD$1381,18,FALSE),0)</f>
        <v>0</v>
      </c>
      <c r="N1967" s="31" t="e">
        <f>#REF!</f>
        <v>#REF!</v>
      </c>
      <c r="O1967" s="37" t="e">
        <f t="shared" si="49"/>
        <v>#REF!</v>
      </c>
    </row>
    <row r="1968" spans="2:15" ht="17.399999999999999">
      <c r="B1968" s="42" t="s">
        <v>140</v>
      </c>
      <c r="C1968" s="39">
        <f>'تقرير المصروفات حسب الشهر'!T100</f>
        <v>0</v>
      </c>
      <c r="D1968" s="31" t="e">
        <f>#REF!</f>
        <v>#REF!</v>
      </c>
      <c r="E1968" s="31" t="e">
        <f>#REF!</f>
        <v>#REF!</v>
      </c>
      <c r="F1968" s="31" t="e">
        <f>#REF!</f>
        <v>#REF!</v>
      </c>
      <c r="G1968" s="31" t="e">
        <f>#REF!</f>
        <v>#REF!</v>
      </c>
      <c r="H1968" s="31" t="e">
        <f>#REF!</f>
        <v>#REF!</v>
      </c>
      <c r="I1968" s="31">
        <f>'تقرير المصروفات حسب الشهر'!T853</f>
        <v>0</v>
      </c>
      <c r="J1968" s="31">
        <f>'تقرير المصروفات حسب الشهر'!T980</f>
        <v>0</v>
      </c>
      <c r="K1968" s="31">
        <f>'تقرير المصروفات حسب الشهر'!T1107</f>
        <v>0</v>
      </c>
      <c r="L1968" s="292">
        <f>IFERROR(VLOOKUP(B1968,'تقرير المصروفات حسب الشهر'!$C$1143:$AD$1254,18,FALSE),0)</f>
        <v>0</v>
      </c>
      <c r="M1968" s="292">
        <f>IFERROR(VLOOKUP(B1968,'تقرير المصروفات حسب الشهر'!$C$1270:$AD$1381,18,FALSE),0)</f>
        <v>0</v>
      </c>
      <c r="N1968" s="31" t="e">
        <f>#REF!</f>
        <v>#REF!</v>
      </c>
      <c r="O1968" s="37" t="e">
        <f t="shared" si="49"/>
        <v>#REF!</v>
      </c>
    </row>
    <row r="1969" spans="2:15" ht="17.399999999999999">
      <c r="B1969" s="42" t="s">
        <v>141</v>
      </c>
      <c r="C1969" s="39">
        <f>'تقرير المصروفات حسب الشهر'!T101</f>
        <v>0</v>
      </c>
      <c r="D1969" s="31" t="e">
        <f>#REF!</f>
        <v>#REF!</v>
      </c>
      <c r="E1969" s="31" t="e">
        <f>#REF!</f>
        <v>#REF!</v>
      </c>
      <c r="F1969" s="31" t="e">
        <f>#REF!</f>
        <v>#REF!</v>
      </c>
      <c r="G1969" s="31" t="e">
        <f>#REF!</f>
        <v>#REF!</v>
      </c>
      <c r="H1969" s="31" t="e">
        <f>#REF!</f>
        <v>#REF!</v>
      </c>
      <c r="I1969" s="31">
        <f>'تقرير المصروفات حسب الشهر'!T854</f>
        <v>0</v>
      </c>
      <c r="J1969" s="31">
        <f>'تقرير المصروفات حسب الشهر'!T981</f>
        <v>0</v>
      </c>
      <c r="K1969" s="31">
        <f>'تقرير المصروفات حسب الشهر'!T1108</f>
        <v>0</v>
      </c>
      <c r="L1969" s="292">
        <f>IFERROR(VLOOKUP(B1969,'تقرير المصروفات حسب الشهر'!$C$1143:$AD$1254,18,FALSE),0)</f>
        <v>0</v>
      </c>
      <c r="M1969" s="292">
        <f>IFERROR(VLOOKUP(B1969,'تقرير المصروفات حسب الشهر'!$C$1270:$AD$1381,18,FALSE),0)</f>
        <v>0</v>
      </c>
      <c r="N1969" s="31" t="e">
        <f>#REF!</f>
        <v>#REF!</v>
      </c>
      <c r="O1969" s="37" t="e">
        <f t="shared" si="49"/>
        <v>#REF!</v>
      </c>
    </row>
    <row r="1970" spans="2:15" ht="17.399999999999999">
      <c r="B1970" s="42" t="s">
        <v>193</v>
      </c>
      <c r="C1970" s="39">
        <f>'تقرير المصروفات حسب الشهر'!T102</f>
        <v>0</v>
      </c>
      <c r="D1970" s="31" t="e">
        <f>#REF!</f>
        <v>#REF!</v>
      </c>
      <c r="E1970" s="31" t="e">
        <f>#REF!</f>
        <v>#REF!</v>
      </c>
      <c r="F1970" s="31" t="e">
        <f>#REF!</f>
        <v>#REF!</v>
      </c>
      <c r="G1970" s="31" t="e">
        <f>#REF!</f>
        <v>#REF!</v>
      </c>
      <c r="H1970" s="31" t="e">
        <f>#REF!</f>
        <v>#REF!</v>
      </c>
      <c r="I1970" s="31">
        <f>'تقرير المصروفات حسب الشهر'!T855</f>
        <v>2215</v>
      </c>
      <c r="J1970" s="31">
        <f>'تقرير المصروفات حسب الشهر'!T982</f>
        <v>5880</v>
      </c>
      <c r="K1970" s="31">
        <f>'تقرير المصروفات حسب الشهر'!T1109</f>
        <v>5350</v>
      </c>
      <c r="L1970" s="292">
        <f>IFERROR(VLOOKUP(B1970,'تقرير المصروفات حسب الشهر'!$C$1143:$AD$1254,18,FALSE),0)</f>
        <v>0</v>
      </c>
      <c r="M1970" s="292">
        <f>IFERROR(VLOOKUP(B1970,'تقرير المصروفات حسب الشهر'!$C$1270:$AD$1381,18,FALSE),0)</f>
        <v>0</v>
      </c>
      <c r="N1970" s="31" t="e">
        <f>#REF!</f>
        <v>#REF!</v>
      </c>
      <c r="O1970" s="37" t="e">
        <f t="shared" si="49"/>
        <v>#REF!</v>
      </c>
    </row>
    <row r="1971" spans="2:15" ht="17.399999999999999">
      <c r="B1971" s="42" t="s">
        <v>148</v>
      </c>
      <c r="C1971" s="39">
        <f>'تقرير المصروفات حسب الشهر'!T103</f>
        <v>790</v>
      </c>
      <c r="D1971" s="31" t="e">
        <f>#REF!</f>
        <v>#REF!</v>
      </c>
      <c r="E1971" s="31" t="e">
        <f>#REF!</f>
        <v>#REF!</v>
      </c>
      <c r="F1971" s="31" t="e">
        <f>#REF!</f>
        <v>#REF!</v>
      </c>
      <c r="G1971" s="31" t="e">
        <f>#REF!</f>
        <v>#REF!</v>
      </c>
      <c r="H1971" s="31" t="e">
        <f>#REF!</f>
        <v>#REF!</v>
      </c>
      <c r="I1971" s="31">
        <f>'تقرير المصروفات حسب الشهر'!T856</f>
        <v>0</v>
      </c>
      <c r="J1971" s="31">
        <f>'تقرير المصروفات حسب الشهر'!T983</f>
        <v>0</v>
      </c>
      <c r="K1971" s="31">
        <f>'تقرير المصروفات حسب الشهر'!T1110</f>
        <v>0</v>
      </c>
      <c r="L1971" s="292">
        <f>IFERROR(VLOOKUP(B1971,'تقرير المصروفات حسب الشهر'!$C$1143:$AD$1254,18,FALSE),0)</f>
        <v>6710</v>
      </c>
      <c r="M1971" s="292">
        <f>IFERROR(VLOOKUP(B1971,'تقرير المصروفات حسب الشهر'!$C$1270:$AD$1381,18,FALSE),0)</f>
        <v>4510</v>
      </c>
      <c r="N1971" s="31" t="e">
        <f>#REF!</f>
        <v>#REF!</v>
      </c>
      <c r="O1971" s="37" t="e">
        <f t="shared" si="49"/>
        <v>#REF!</v>
      </c>
    </row>
    <row r="1972" spans="2:15" ht="17.399999999999999">
      <c r="B1972" s="42" t="s">
        <v>186</v>
      </c>
      <c r="C1972" s="39">
        <f>'تقرير المصروفات حسب الشهر'!T104</f>
        <v>0</v>
      </c>
      <c r="D1972" s="31" t="e">
        <f>#REF!</f>
        <v>#REF!</v>
      </c>
      <c r="E1972" s="31" t="e">
        <f>#REF!</f>
        <v>#REF!</v>
      </c>
      <c r="F1972" s="31" t="e">
        <f>#REF!</f>
        <v>#REF!</v>
      </c>
      <c r="G1972" s="31" t="e">
        <f>#REF!</f>
        <v>#REF!</v>
      </c>
      <c r="H1972" s="31" t="e">
        <f>#REF!</f>
        <v>#REF!</v>
      </c>
      <c r="I1972" s="31">
        <f>'تقرير المصروفات حسب الشهر'!T857</f>
        <v>0</v>
      </c>
      <c r="J1972" s="31">
        <f>'تقرير المصروفات حسب الشهر'!T984</f>
        <v>0</v>
      </c>
      <c r="K1972" s="31">
        <f>'تقرير المصروفات حسب الشهر'!T1111</f>
        <v>0</v>
      </c>
      <c r="L1972" s="292">
        <f>IFERROR(VLOOKUP(B1972,'تقرير المصروفات حسب الشهر'!$C$1143:$AD$1254,18,FALSE),0)</f>
        <v>0</v>
      </c>
      <c r="M1972" s="292">
        <f>IFERROR(VLOOKUP(B1972,'تقرير المصروفات حسب الشهر'!$C$1270:$AD$1381,18,FALSE),0)</f>
        <v>0</v>
      </c>
      <c r="N1972" s="31" t="e">
        <f>#REF!</f>
        <v>#REF!</v>
      </c>
      <c r="O1972" s="37" t="e">
        <f t="shared" si="49"/>
        <v>#REF!</v>
      </c>
    </row>
    <row r="1973" spans="2:15" ht="17.399999999999999">
      <c r="B1973" s="42" t="s">
        <v>171</v>
      </c>
      <c r="C1973" s="39">
        <f>'تقرير المصروفات حسب الشهر'!T105</f>
        <v>0</v>
      </c>
      <c r="D1973" s="31" t="e">
        <f>#REF!</f>
        <v>#REF!</v>
      </c>
      <c r="E1973" s="31" t="e">
        <f>#REF!</f>
        <v>#REF!</v>
      </c>
      <c r="F1973" s="31" t="e">
        <f>#REF!</f>
        <v>#REF!</v>
      </c>
      <c r="G1973" s="31" t="e">
        <f>#REF!</f>
        <v>#REF!</v>
      </c>
      <c r="H1973" s="31" t="e">
        <f>#REF!</f>
        <v>#REF!</v>
      </c>
      <c r="I1973" s="31">
        <f>'تقرير المصروفات حسب الشهر'!T858</f>
        <v>0</v>
      </c>
      <c r="J1973" s="31">
        <f>'تقرير المصروفات حسب الشهر'!T985</f>
        <v>0</v>
      </c>
      <c r="K1973" s="31">
        <f>'تقرير المصروفات حسب الشهر'!T1112</f>
        <v>0</v>
      </c>
      <c r="L1973" s="292">
        <f>IFERROR(VLOOKUP(B1973,'تقرير المصروفات حسب الشهر'!$C$1143:$AD$1254,18,FALSE),0)</f>
        <v>0</v>
      </c>
      <c r="M1973" s="292">
        <f>IFERROR(VLOOKUP(B1973,'تقرير المصروفات حسب الشهر'!$C$1270:$AD$1381,18,FALSE),0)</f>
        <v>0</v>
      </c>
      <c r="N1973" s="31" t="e">
        <f>#REF!</f>
        <v>#REF!</v>
      </c>
      <c r="O1973" s="37" t="e">
        <f t="shared" si="49"/>
        <v>#REF!</v>
      </c>
    </row>
    <row r="1974" spans="2:15" ht="17.399999999999999">
      <c r="B1974" s="42" t="s">
        <v>180</v>
      </c>
      <c r="C1974" s="39">
        <f>'تقرير المصروفات حسب الشهر'!T106</f>
        <v>0</v>
      </c>
      <c r="D1974" s="31" t="e">
        <f>#REF!</f>
        <v>#REF!</v>
      </c>
      <c r="E1974" s="31" t="e">
        <f>#REF!</f>
        <v>#REF!</v>
      </c>
      <c r="F1974" s="31" t="e">
        <f>#REF!</f>
        <v>#REF!</v>
      </c>
      <c r="G1974" s="31" t="e">
        <f>#REF!</f>
        <v>#REF!</v>
      </c>
      <c r="H1974" s="31" t="e">
        <f>#REF!</f>
        <v>#REF!</v>
      </c>
      <c r="I1974" s="31">
        <f>'تقرير المصروفات حسب الشهر'!T859</f>
        <v>0</v>
      </c>
      <c r="J1974" s="31">
        <f>'تقرير المصروفات حسب الشهر'!T986</f>
        <v>0</v>
      </c>
      <c r="K1974" s="31">
        <f>'تقرير المصروفات حسب الشهر'!T1113</f>
        <v>0</v>
      </c>
      <c r="L1974" s="292">
        <f>IFERROR(VLOOKUP(B1974,'تقرير المصروفات حسب الشهر'!$C$1143:$AD$1254,18,FALSE),0)</f>
        <v>0</v>
      </c>
      <c r="M1974" s="292">
        <f>IFERROR(VLOOKUP(B1974,'تقرير المصروفات حسب الشهر'!$C$1270:$AD$1381,18,FALSE),0)</f>
        <v>0</v>
      </c>
      <c r="N1974" s="31" t="e">
        <f>#REF!</f>
        <v>#REF!</v>
      </c>
      <c r="O1974" s="37" t="e">
        <f t="shared" si="49"/>
        <v>#REF!</v>
      </c>
    </row>
    <row r="1975" spans="2:15" ht="17.399999999999999">
      <c r="B1975" s="42" t="s">
        <v>183</v>
      </c>
      <c r="C1975" s="39">
        <f>'تقرير المصروفات حسب الشهر'!T107</f>
        <v>0</v>
      </c>
      <c r="D1975" s="31" t="e">
        <f>#REF!</f>
        <v>#REF!</v>
      </c>
      <c r="E1975" s="31" t="e">
        <f>#REF!</f>
        <v>#REF!</v>
      </c>
      <c r="F1975" s="31" t="e">
        <f>#REF!</f>
        <v>#REF!</v>
      </c>
      <c r="G1975" s="31" t="e">
        <f>#REF!</f>
        <v>#REF!</v>
      </c>
      <c r="H1975" s="31" t="e">
        <f>#REF!</f>
        <v>#REF!</v>
      </c>
      <c r="I1975" s="31">
        <f>'تقرير المصروفات حسب الشهر'!T860</f>
        <v>0</v>
      </c>
      <c r="J1975" s="31">
        <f>'تقرير المصروفات حسب الشهر'!T987</f>
        <v>0</v>
      </c>
      <c r="K1975" s="31">
        <f>'تقرير المصروفات حسب الشهر'!T1114</f>
        <v>0</v>
      </c>
      <c r="L1975" s="292">
        <f>IFERROR(VLOOKUP(B1975,'تقرير المصروفات حسب الشهر'!$C$1143:$AD$1254,18,FALSE),0)</f>
        <v>0</v>
      </c>
      <c r="M1975" s="292">
        <f>IFERROR(VLOOKUP(B1975,'تقرير المصروفات حسب الشهر'!$C$1270:$AD$1381,18,FALSE),0)</f>
        <v>0</v>
      </c>
      <c r="N1975" s="31" t="e">
        <f>#REF!</f>
        <v>#REF!</v>
      </c>
      <c r="O1975" s="37" t="e">
        <f t="shared" si="49"/>
        <v>#REF!</v>
      </c>
    </row>
    <row r="1976" spans="2:15" ht="17.399999999999999">
      <c r="B1976" s="42" t="s">
        <v>195</v>
      </c>
      <c r="C1976" s="39">
        <f>'تقرير المصروفات حسب الشهر'!T108</f>
        <v>0</v>
      </c>
      <c r="D1976" s="31" t="e">
        <f>#REF!</f>
        <v>#REF!</v>
      </c>
      <c r="E1976" s="31" t="e">
        <f>#REF!</f>
        <v>#REF!</v>
      </c>
      <c r="F1976" s="31" t="e">
        <f>#REF!</f>
        <v>#REF!</v>
      </c>
      <c r="G1976" s="31" t="e">
        <f>#REF!</f>
        <v>#REF!</v>
      </c>
      <c r="H1976" s="31" t="e">
        <f>#REF!</f>
        <v>#REF!</v>
      </c>
      <c r="I1976" s="31">
        <f>'تقرير المصروفات حسب الشهر'!T861</f>
        <v>0</v>
      </c>
      <c r="J1976" s="31">
        <f>'تقرير المصروفات حسب الشهر'!T988</f>
        <v>0</v>
      </c>
      <c r="K1976" s="31">
        <f>'تقرير المصروفات حسب الشهر'!T1115</f>
        <v>0</v>
      </c>
      <c r="L1976" s="292">
        <f>IFERROR(VLOOKUP(B1976,'تقرير المصروفات حسب الشهر'!$C$1143:$AD$1254,18,FALSE),0)</f>
        <v>0</v>
      </c>
      <c r="M1976" s="292">
        <f>IFERROR(VLOOKUP(B1976,'تقرير المصروفات حسب الشهر'!$C$1270:$AD$1381,18,FALSE),0)</f>
        <v>0</v>
      </c>
      <c r="N1976" s="31" t="e">
        <f>#REF!</f>
        <v>#REF!</v>
      </c>
      <c r="O1976" s="37" t="e">
        <f t="shared" si="49"/>
        <v>#REF!</v>
      </c>
    </row>
    <row r="1977" spans="2:15" ht="17.399999999999999">
      <c r="B1977" s="42" t="s">
        <v>189</v>
      </c>
      <c r="C1977" s="39">
        <f>'تقرير المصروفات حسب الشهر'!T109</f>
        <v>0</v>
      </c>
      <c r="D1977" s="31" t="e">
        <f>#REF!</f>
        <v>#REF!</v>
      </c>
      <c r="E1977" s="31" t="e">
        <f>#REF!</f>
        <v>#REF!</v>
      </c>
      <c r="F1977" s="31" t="e">
        <f>#REF!</f>
        <v>#REF!</v>
      </c>
      <c r="G1977" s="31" t="e">
        <f>#REF!</f>
        <v>#REF!</v>
      </c>
      <c r="H1977" s="31" t="e">
        <f>#REF!</f>
        <v>#REF!</v>
      </c>
      <c r="I1977" s="31">
        <f>'تقرير المصروفات حسب الشهر'!T862</f>
        <v>0</v>
      </c>
      <c r="J1977" s="31">
        <f>'تقرير المصروفات حسب الشهر'!T989</f>
        <v>0</v>
      </c>
      <c r="K1977" s="31">
        <f>'تقرير المصروفات حسب الشهر'!T1116</f>
        <v>0</v>
      </c>
      <c r="L1977" s="292">
        <f>IFERROR(VLOOKUP(B1977,'تقرير المصروفات حسب الشهر'!$C$1143:$AD$1254,18,FALSE),0)</f>
        <v>0</v>
      </c>
      <c r="M1977" s="292">
        <f>IFERROR(VLOOKUP(B1977,'تقرير المصروفات حسب الشهر'!$C$1270:$AD$1381,18,FALSE),0)</f>
        <v>0</v>
      </c>
      <c r="N1977" s="31" t="e">
        <f>#REF!</f>
        <v>#REF!</v>
      </c>
      <c r="O1977" s="37" t="e">
        <f t="shared" si="49"/>
        <v>#REF!</v>
      </c>
    </row>
    <row r="1978" spans="2:15" ht="17.399999999999999">
      <c r="B1978" s="42" t="s">
        <v>188</v>
      </c>
      <c r="C1978" s="39">
        <f>'تقرير المصروفات حسب الشهر'!T110</f>
        <v>0</v>
      </c>
      <c r="D1978" s="31" t="e">
        <f>#REF!</f>
        <v>#REF!</v>
      </c>
      <c r="E1978" s="31" t="e">
        <f>#REF!</f>
        <v>#REF!</v>
      </c>
      <c r="F1978" s="31" t="e">
        <f>#REF!</f>
        <v>#REF!</v>
      </c>
      <c r="G1978" s="31" t="e">
        <f>#REF!</f>
        <v>#REF!</v>
      </c>
      <c r="H1978" s="31" t="e">
        <f>#REF!</f>
        <v>#REF!</v>
      </c>
      <c r="I1978" s="31">
        <f>'تقرير المصروفات حسب الشهر'!T863</f>
        <v>0</v>
      </c>
      <c r="J1978" s="31">
        <f>'تقرير المصروفات حسب الشهر'!T990</f>
        <v>0</v>
      </c>
      <c r="K1978" s="31">
        <f>'تقرير المصروفات حسب الشهر'!T1117</f>
        <v>0</v>
      </c>
      <c r="L1978" s="292">
        <f>IFERROR(VLOOKUP(B1978,'تقرير المصروفات حسب الشهر'!$C$1143:$AD$1254,18,FALSE),0)</f>
        <v>0</v>
      </c>
      <c r="M1978" s="292">
        <f>IFERROR(VLOOKUP(B1978,'تقرير المصروفات حسب الشهر'!$C$1270:$AD$1381,18,FALSE),0)</f>
        <v>0</v>
      </c>
      <c r="N1978" s="31" t="e">
        <f>#REF!</f>
        <v>#REF!</v>
      </c>
      <c r="O1978" s="37" t="e">
        <f t="shared" si="49"/>
        <v>#REF!</v>
      </c>
    </row>
    <row r="1979" spans="2:15" ht="17.399999999999999">
      <c r="B1979" s="42" t="s">
        <v>196</v>
      </c>
      <c r="C1979" s="39">
        <f>'تقرير المصروفات حسب الشهر'!T111</f>
        <v>0</v>
      </c>
      <c r="D1979" s="31" t="e">
        <f>#REF!</f>
        <v>#REF!</v>
      </c>
      <c r="E1979" s="31" t="e">
        <f>#REF!</f>
        <v>#REF!</v>
      </c>
      <c r="F1979" s="31" t="e">
        <f>#REF!</f>
        <v>#REF!</v>
      </c>
      <c r="G1979" s="31" t="e">
        <f>#REF!</f>
        <v>#REF!</v>
      </c>
      <c r="H1979" s="31" t="e">
        <f>#REF!</f>
        <v>#REF!</v>
      </c>
      <c r="I1979" s="31">
        <f>'تقرير المصروفات حسب الشهر'!T864</f>
        <v>0</v>
      </c>
      <c r="J1979" s="31">
        <f>'تقرير المصروفات حسب الشهر'!T991</f>
        <v>0</v>
      </c>
      <c r="K1979" s="31">
        <f>'تقرير المصروفات حسب الشهر'!T1118</f>
        <v>0</v>
      </c>
      <c r="L1979" s="292">
        <f>IFERROR(VLOOKUP(B1979,'تقرير المصروفات حسب الشهر'!$C$1143:$AD$1254,18,FALSE),0)</f>
        <v>0</v>
      </c>
      <c r="M1979" s="292">
        <f>IFERROR(VLOOKUP(B1979,'تقرير المصروفات حسب الشهر'!$C$1270:$AD$1381,18,FALSE),0)</f>
        <v>0</v>
      </c>
      <c r="N1979" s="31" t="e">
        <f>#REF!</f>
        <v>#REF!</v>
      </c>
      <c r="O1979" s="37" t="e">
        <f t="shared" si="49"/>
        <v>#REF!</v>
      </c>
    </row>
    <row r="1980" spans="2:15" ht="17.399999999999999">
      <c r="B1980" s="42" t="s">
        <v>197</v>
      </c>
      <c r="C1980" s="39">
        <f>'تقرير المصروفات حسب الشهر'!T112</f>
        <v>0</v>
      </c>
      <c r="D1980" s="31" t="e">
        <f>#REF!</f>
        <v>#REF!</v>
      </c>
      <c r="E1980" s="31" t="e">
        <f>#REF!</f>
        <v>#REF!</v>
      </c>
      <c r="F1980" s="31" t="e">
        <f>#REF!</f>
        <v>#REF!</v>
      </c>
      <c r="G1980" s="31" t="e">
        <f>#REF!</f>
        <v>#REF!</v>
      </c>
      <c r="H1980" s="31" t="e">
        <f>#REF!</f>
        <v>#REF!</v>
      </c>
      <c r="I1980" s="31">
        <f>'تقرير المصروفات حسب الشهر'!T865</f>
        <v>0</v>
      </c>
      <c r="J1980" s="31">
        <f>'تقرير المصروفات حسب الشهر'!T992</f>
        <v>0</v>
      </c>
      <c r="K1980" s="31">
        <f>'تقرير المصروفات حسب الشهر'!T1119</f>
        <v>0</v>
      </c>
      <c r="L1980" s="292">
        <f>IFERROR(VLOOKUP(B1980,'تقرير المصروفات حسب الشهر'!$C$1143:$AD$1254,18,FALSE),0)</f>
        <v>0</v>
      </c>
      <c r="M1980" s="292">
        <f>IFERROR(VLOOKUP(B1980,'تقرير المصروفات حسب الشهر'!$C$1270:$AD$1381,18,FALSE),0)</f>
        <v>0</v>
      </c>
      <c r="N1980" s="31" t="e">
        <f>#REF!</f>
        <v>#REF!</v>
      </c>
      <c r="O1980" s="37" t="e">
        <f t="shared" si="49"/>
        <v>#REF!</v>
      </c>
    </row>
    <row r="1981" spans="2:15" ht="17.399999999999999">
      <c r="B1981" s="42" t="s">
        <v>198</v>
      </c>
      <c r="C1981" s="39">
        <f>'تقرير المصروفات حسب الشهر'!T113</f>
        <v>0</v>
      </c>
      <c r="D1981" s="31" t="e">
        <f>#REF!</f>
        <v>#REF!</v>
      </c>
      <c r="E1981" s="31" t="e">
        <f>#REF!</f>
        <v>#REF!</v>
      </c>
      <c r="F1981" s="31" t="e">
        <f>#REF!</f>
        <v>#REF!</v>
      </c>
      <c r="G1981" s="31" t="e">
        <f>#REF!</f>
        <v>#REF!</v>
      </c>
      <c r="H1981" s="31" t="e">
        <f>#REF!</f>
        <v>#REF!</v>
      </c>
      <c r="I1981" s="31">
        <f>'تقرير المصروفات حسب الشهر'!T866</f>
        <v>0</v>
      </c>
      <c r="J1981" s="31">
        <f>'تقرير المصروفات حسب الشهر'!T993</f>
        <v>0</v>
      </c>
      <c r="K1981" s="31">
        <f>'تقرير المصروفات حسب الشهر'!T1120</f>
        <v>0</v>
      </c>
      <c r="L1981" s="292">
        <f>IFERROR(VLOOKUP(B1981,'تقرير المصروفات حسب الشهر'!$C$1143:$AD$1254,18,FALSE),0)</f>
        <v>0</v>
      </c>
      <c r="M1981" s="292">
        <f>IFERROR(VLOOKUP(B1981,'تقرير المصروفات حسب الشهر'!$C$1270:$AD$1381,18,FALSE),0)</f>
        <v>0</v>
      </c>
      <c r="N1981" s="31" t="e">
        <f>#REF!</f>
        <v>#REF!</v>
      </c>
      <c r="O1981" s="37" t="e">
        <f t="shared" si="49"/>
        <v>#REF!</v>
      </c>
    </row>
    <row r="1982" spans="2:15" ht="17.399999999999999">
      <c r="B1982" s="42" t="s">
        <v>201</v>
      </c>
      <c r="C1982" s="39">
        <f>'تقرير المصروفات حسب الشهر'!T114</f>
        <v>0</v>
      </c>
      <c r="D1982" s="31" t="e">
        <f>#REF!</f>
        <v>#REF!</v>
      </c>
      <c r="E1982" s="31" t="e">
        <f>#REF!</f>
        <v>#REF!</v>
      </c>
      <c r="F1982" s="31" t="e">
        <f>#REF!</f>
        <v>#REF!</v>
      </c>
      <c r="G1982" s="31" t="e">
        <f>#REF!</f>
        <v>#REF!</v>
      </c>
      <c r="H1982" s="31" t="e">
        <f>#REF!</f>
        <v>#REF!</v>
      </c>
      <c r="I1982" s="31">
        <f>'تقرير المصروفات حسب الشهر'!T867</f>
        <v>0</v>
      </c>
      <c r="J1982" s="31">
        <f>'تقرير المصروفات حسب الشهر'!T994</f>
        <v>0</v>
      </c>
      <c r="K1982" s="31">
        <f>'تقرير المصروفات حسب الشهر'!T1121</f>
        <v>0</v>
      </c>
      <c r="L1982" s="292">
        <f>IFERROR(VLOOKUP(B1982,'تقرير المصروفات حسب الشهر'!$C$1143:$AD$1254,18,FALSE),0)</f>
        <v>0</v>
      </c>
      <c r="M1982" s="292">
        <f>IFERROR(VLOOKUP(B1982,'تقرير المصروفات حسب الشهر'!$C$1270:$AD$1381,18,FALSE),0)</f>
        <v>0</v>
      </c>
      <c r="N1982" s="31" t="e">
        <f>#REF!</f>
        <v>#REF!</v>
      </c>
      <c r="O1982" s="37" t="e">
        <f t="shared" si="49"/>
        <v>#REF!</v>
      </c>
    </row>
    <row r="1983" spans="2:15" ht="17.399999999999999">
      <c r="B1983" s="42" t="s">
        <v>202</v>
      </c>
      <c r="C1983" s="39">
        <f>'تقرير المصروفات حسب الشهر'!T115</f>
        <v>0</v>
      </c>
      <c r="D1983" s="31" t="e">
        <f>#REF!</f>
        <v>#REF!</v>
      </c>
      <c r="E1983" s="31" t="e">
        <f>#REF!</f>
        <v>#REF!</v>
      </c>
      <c r="F1983" s="31" t="e">
        <f>#REF!</f>
        <v>#REF!</v>
      </c>
      <c r="G1983" s="31" t="e">
        <f>#REF!</f>
        <v>#REF!</v>
      </c>
      <c r="H1983" s="31" t="e">
        <f>#REF!</f>
        <v>#REF!</v>
      </c>
      <c r="I1983" s="31">
        <f>'تقرير المصروفات حسب الشهر'!T868</f>
        <v>0</v>
      </c>
      <c r="J1983" s="31">
        <f>'تقرير المصروفات حسب الشهر'!T995</f>
        <v>0</v>
      </c>
      <c r="K1983" s="31">
        <f>'تقرير المصروفات حسب الشهر'!T1122</f>
        <v>0</v>
      </c>
      <c r="L1983" s="292">
        <f>IFERROR(VLOOKUP(B1983,'تقرير المصروفات حسب الشهر'!$C$1143:$AD$1254,18,FALSE),0)</f>
        <v>0</v>
      </c>
      <c r="M1983" s="292">
        <f>IFERROR(VLOOKUP(B1983,'تقرير المصروفات حسب الشهر'!$C$1270:$AD$1381,18,FALSE),0)</f>
        <v>0</v>
      </c>
      <c r="N1983" s="31" t="e">
        <f>#REF!</f>
        <v>#REF!</v>
      </c>
      <c r="O1983" s="37" t="e">
        <f t="shared" si="49"/>
        <v>#REF!</v>
      </c>
    </row>
    <row r="1984" spans="2:15" ht="17.399999999999999">
      <c r="B1984" s="42" t="s">
        <v>206</v>
      </c>
      <c r="C1984" s="39">
        <f>'تقرير المصروفات حسب الشهر'!T116</f>
        <v>0</v>
      </c>
      <c r="D1984" s="31" t="e">
        <f>#REF!</f>
        <v>#REF!</v>
      </c>
      <c r="E1984" s="31" t="e">
        <f>#REF!</f>
        <v>#REF!</v>
      </c>
      <c r="F1984" s="31" t="e">
        <f>#REF!</f>
        <v>#REF!</v>
      </c>
      <c r="G1984" s="31" t="e">
        <f>#REF!</f>
        <v>#REF!</v>
      </c>
      <c r="H1984" s="31" t="e">
        <f>#REF!</f>
        <v>#REF!</v>
      </c>
      <c r="I1984" s="31">
        <f>'تقرير المصروفات حسب الشهر'!T869</f>
        <v>0</v>
      </c>
      <c r="J1984" s="31">
        <f>'تقرير المصروفات حسب الشهر'!T996</f>
        <v>0</v>
      </c>
      <c r="K1984" s="31">
        <f>'تقرير المصروفات حسب الشهر'!T1123</f>
        <v>0</v>
      </c>
      <c r="L1984" s="292">
        <f>IFERROR(VLOOKUP(B1984,'تقرير المصروفات حسب الشهر'!$C$1143:$AD$1254,18,FALSE),0)</f>
        <v>0</v>
      </c>
      <c r="M1984" s="292">
        <f>IFERROR(VLOOKUP(B1984,'تقرير المصروفات حسب الشهر'!$C$1270:$AD$1381,18,FALSE),0)</f>
        <v>0</v>
      </c>
      <c r="N1984" s="31" t="e">
        <f>#REF!</f>
        <v>#REF!</v>
      </c>
      <c r="O1984" s="37" t="e">
        <f t="shared" si="49"/>
        <v>#REF!</v>
      </c>
    </row>
    <row r="1985" spans="2:15" ht="17.399999999999999">
      <c r="B1985" s="42" t="s">
        <v>207</v>
      </c>
      <c r="C1985" s="39">
        <f>'تقرير المصروفات حسب الشهر'!T117</f>
        <v>0</v>
      </c>
      <c r="D1985" s="31" t="e">
        <f>#REF!</f>
        <v>#REF!</v>
      </c>
      <c r="E1985" s="31" t="e">
        <f>#REF!</f>
        <v>#REF!</v>
      </c>
      <c r="F1985" s="31" t="e">
        <f>#REF!</f>
        <v>#REF!</v>
      </c>
      <c r="G1985" s="31" t="e">
        <f>#REF!</f>
        <v>#REF!</v>
      </c>
      <c r="H1985" s="31" t="e">
        <f>#REF!</f>
        <v>#REF!</v>
      </c>
      <c r="I1985" s="31">
        <f>'تقرير المصروفات حسب الشهر'!T870</f>
        <v>0</v>
      </c>
      <c r="J1985" s="31">
        <f>'تقرير المصروفات حسب الشهر'!T997</f>
        <v>0</v>
      </c>
      <c r="K1985" s="31">
        <f>'تقرير المصروفات حسب الشهر'!T1124</f>
        <v>0</v>
      </c>
      <c r="L1985" s="292">
        <f>IFERROR(VLOOKUP(B1985,'تقرير المصروفات حسب الشهر'!$C$1143:$AD$1254,18,FALSE),0)</f>
        <v>0</v>
      </c>
      <c r="M1985" s="292">
        <f>IFERROR(VLOOKUP(B1985,'تقرير المصروفات حسب الشهر'!$C$1270:$AD$1381,18,FALSE),0)</f>
        <v>0</v>
      </c>
      <c r="N1985" s="31" t="e">
        <f>#REF!</f>
        <v>#REF!</v>
      </c>
      <c r="O1985" s="37" t="e">
        <f t="shared" si="49"/>
        <v>#REF!</v>
      </c>
    </row>
    <row r="1986" spans="2:15" ht="17.399999999999999">
      <c r="B1986" s="43" t="s">
        <v>208</v>
      </c>
      <c r="C1986" s="39">
        <f>'تقرير المصروفات حسب الشهر'!T118</f>
        <v>0</v>
      </c>
      <c r="D1986" s="31" t="e">
        <f>#REF!</f>
        <v>#REF!</v>
      </c>
      <c r="E1986" s="31" t="e">
        <f>#REF!</f>
        <v>#REF!</v>
      </c>
      <c r="F1986" s="31" t="e">
        <f>#REF!</f>
        <v>#REF!</v>
      </c>
      <c r="G1986" s="31" t="e">
        <f>#REF!</f>
        <v>#REF!</v>
      </c>
      <c r="H1986" s="31">
        <v>0</v>
      </c>
      <c r="I1986" s="31">
        <f>'تقرير المصروفات حسب الشهر'!T871</f>
        <v>0</v>
      </c>
      <c r="J1986" s="31">
        <f>'تقرير المصروفات حسب الشهر'!T998</f>
        <v>0</v>
      </c>
      <c r="K1986" s="31">
        <f>'تقرير المصروفات حسب الشهر'!T1125</f>
        <v>0</v>
      </c>
      <c r="L1986" s="292">
        <f>IFERROR(VLOOKUP(B1986,'تقرير المصروفات حسب الشهر'!$C$1143:$AD$1254,18,FALSE),0)</f>
        <v>0</v>
      </c>
      <c r="M1986" s="292">
        <f>IFERROR(VLOOKUP(B1986,'تقرير المصروفات حسب الشهر'!$C$1270:$AD$1381,18,FALSE),0)</f>
        <v>0</v>
      </c>
      <c r="N1986" s="31" t="e">
        <f>#REF!</f>
        <v>#REF!</v>
      </c>
      <c r="O1986" s="37" t="e">
        <f t="shared" si="49"/>
        <v>#REF!</v>
      </c>
    </row>
    <row r="1987" spans="2:15" ht="17.399999999999999">
      <c r="B1987" s="437" t="s">
        <v>236</v>
      </c>
      <c r="C1987" s="39">
        <f>'تقرير المصروفات حسب الشهر'!T119</f>
        <v>0</v>
      </c>
      <c r="D1987" s="438"/>
      <c r="E1987" s="438"/>
      <c r="F1987" s="438"/>
      <c r="G1987" s="438"/>
      <c r="H1987" s="438"/>
      <c r="I1987" s="438"/>
      <c r="J1987" s="438"/>
      <c r="K1987" s="438"/>
      <c r="L1987" s="439"/>
      <c r="M1987" s="439"/>
      <c r="N1987" s="438"/>
      <c r="O1987" s="440"/>
    </row>
    <row r="1988" spans="2:15" ht="17.399999999999999">
      <c r="B1988" s="437" t="s">
        <v>209</v>
      </c>
      <c r="C1988" s="39">
        <f>'تقرير المصروفات حسب الشهر'!T120</f>
        <v>0</v>
      </c>
      <c r="D1988" s="438"/>
      <c r="E1988" s="438"/>
      <c r="F1988" s="438"/>
      <c r="G1988" s="438"/>
      <c r="H1988" s="438"/>
      <c r="I1988" s="438"/>
      <c r="J1988" s="438"/>
      <c r="K1988" s="438"/>
      <c r="L1988" s="439"/>
      <c r="M1988" s="439"/>
      <c r="N1988" s="438"/>
      <c r="O1988" s="440"/>
    </row>
    <row r="1989" spans="2:15" ht="18" thickBot="1">
      <c r="B1989" s="437" t="s">
        <v>360</v>
      </c>
      <c r="C1989" s="39">
        <f>'تقرير المصروفات حسب الشهر'!T121</f>
        <v>0</v>
      </c>
      <c r="D1989" s="438"/>
      <c r="E1989" s="438"/>
      <c r="F1989" s="438"/>
      <c r="G1989" s="438"/>
      <c r="H1989" s="438"/>
      <c r="I1989" s="438"/>
      <c r="J1989" s="438"/>
      <c r="K1989" s="438"/>
      <c r="L1989" s="439"/>
      <c r="M1989" s="439"/>
      <c r="N1989" s="438"/>
      <c r="O1989" s="440"/>
    </row>
    <row r="1990" spans="2:15" ht="21.6" thickBot="1">
      <c r="B1990" s="29" t="s">
        <v>18</v>
      </c>
      <c r="C1990" s="41">
        <f>SUM(C1878:C1989)</f>
        <v>10628.91</v>
      </c>
      <c r="D1990" s="41" t="e">
        <f t="shared" ref="D1990:O1990" si="50">SUM(D1878:D1986)</f>
        <v>#REF!</v>
      </c>
      <c r="E1990" s="41" t="e">
        <f t="shared" si="50"/>
        <v>#REF!</v>
      </c>
      <c r="F1990" s="41" t="e">
        <f t="shared" si="50"/>
        <v>#REF!</v>
      </c>
      <c r="G1990" s="41" t="e">
        <f t="shared" si="50"/>
        <v>#REF!</v>
      </c>
      <c r="H1990" s="41" t="e">
        <f t="shared" si="50"/>
        <v>#REF!</v>
      </c>
      <c r="I1990" s="41">
        <f t="shared" si="50"/>
        <v>17974.239999999998</v>
      </c>
      <c r="J1990" s="41">
        <f t="shared" si="50"/>
        <v>31644.519999999997</v>
      </c>
      <c r="K1990" s="41">
        <f t="shared" si="50"/>
        <v>36971.839999999997</v>
      </c>
      <c r="L1990" s="41">
        <f t="shared" si="50"/>
        <v>32106.84</v>
      </c>
      <c r="M1990" s="41">
        <f t="shared" si="50"/>
        <v>35996.32</v>
      </c>
      <c r="N1990" s="41" t="e">
        <f t="shared" si="50"/>
        <v>#REF!</v>
      </c>
      <c r="O1990" s="41" t="e">
        <f t="shared" si="50"/>
        <v>#REF!</v>
      </c>
    </row>
    <row r="1992" spans="2:15" ht="13.8" thickBot="1"/>
    <row r="1993" spans="2:15" ht="31.2" thickTop="1" thickBot="1">
      <c r="B1993" s="643" t="s">
        <v>226</v>
      </c>
      <c r="C1993" s="644"/>
      <c r="D1993" s="644"/>
      <c r="E1993" s="644"/>
      <c r="F1993" s="644"/>
      <c r="G1993" s="644"/>
      <c r="H1993" s="644"/>
      <c r="I1993" s="644"/>
      <c r="J1993" s="644"/>
      <c r="K1993" s="644"/>
      <c r="L1993" s="644"/>
      <c r="M1993" s="644"/>
      <c r="N1993" s="644"/>
      <c r="O1993" s="645"/>
    </row>
    <row r="1994" spans="2:15" ht="17.399999999999999">
      <c r="B1994" s="30" t="s">
        <v>23</v>
      </c>
      <c r="C1994" s="33" t="s">
        <v>0</v>
      </c>
      <c r="D1994" s="33" t="s">
        <v>1</v>
      </c>
      <c r="E1994" s="34" t="s">
        <v>2</v>
      </c>
      <c r="F1994" s="34" t="s">
        <v>3</v>
      </c>
      <c r="G1994" s="34" t="s">
        <v>4</v>
      </c>
      <c r="H1994" s="34" t="s">
        <v>5</v>
      </c>
      <c r="I1994" s="34" t="s">
        <v>6</v>
      </c>
      <c r="J1994" s="34" t="s">
        <v>7</v>
      </c>
      <c r="K1994" s="34" t="s">
        <v>8</v>
      </c>
      <c r="L1994" s="34" t="s">
        <v>9</v>
      </c>
      <c r="M1994" s="34" t="s">
        <v>10</v>
      </c>
      <c r="N1994" s="35" t="s">
        <v>11</v>
      </c>
      <c r="O1994" s="36" t="s">
        <v>18</v>
      </c>
    </row>
    <row r="1995" spans="2:15" ht="17.399999999999999">
      <c r="B1995" s="42" t="s">
        <v>40</v>
      </c>
      <c r="C1995" s="39" t="e">
        <f>#REF!</f>
        <v>#REF!</v>
      </c>
      <c r="D1995" s="31" t="e">
        <f>#REF!</f>
        <v>#REF!</v>
      </c>
      <c r="E1995" s="31" t="e">
        <f>#REF!</f>
        <v>#REF!</v>
      </c>
      <c r="F1995" s="31" t="e">
        <f>#REF!</f>
        <v>#REF!</v>
      </c>
      <c r="G1995" s="31" t="e">
        <f>#REF!</f>
        <v>#REF!</v>
      </c>
      <c r="H1995" s="31" t="e">
        <f>#REF!</f>
        <v>#REF!</v>
      </c>
      <c r="I1995" s="31">
        <f>'تقرير المصروفات حسب الشهر'!U763</f>
        <v>0</v>
      </c>
      <c r="J1995" s="31">
        <f>'تقرير المصروفات حسب الشهر'!U890</f>
        <v>0</v>
      </c>
      <c r="K1995" s="31">
        <f>'تقرير المصروفات حسب الشهر'!U1017</f>
        <v>0</v>
      </c>
      <c r="L1995" s="292">
        <f>IFERROR(VLOOKUP(B1995,'تقرير المصروفات حسب الشهر'!$C$1143:$AD$1254,19,FALSE),0)</f>
        <v>0</v>
      </c>
      <c r="M1995" s="292">
        <f>IFERROR(VLOOKUP(B1995,'تقرير المصروفات حسب الشهر'!$C$1270:$AD$1381,19,FALSE),0)</f>
        <v>0</v>
      </c>
      <c r="N1995" s="31" t="e">
        <f>#REF!</f>
        <v>#REF!</v>
      </c>
      <c r="O1995" s="37" t="e">
        <f>SUM(C1995:N1995)</f>
        <v>#REF!</v>
      </c>
    </row>
    <row r="1996" spans="2:15" ht="17.399999999999999">
      <c r="B1996" s="42" t="s">
        <v>41</v>
      </c>
      <c r="C1996" s="39" t="e">
        <f>#REF!</f>
        <v>#REF!</v>
      </c>
      <c r="D1996" s="31" t="e">
        <f>#REF!</f>
        <v>#REF!</v>
      </c>
      <c r="E1996" s="31" t="e">
        <f>#REF!</f>
        <v>#REF!</v>
      </c>
      <c r="F1996" s="31" t="e">
        <f>#REF!</f>
        <v>#REF!</v>
      </c>
      <c r="G1996" s="31" t="e">
        <f>#REF!</f>
        <v>#REF!</v>
      </c>
      <c r="H1996" s="31" t="e">
        <f>#REF!</f>
        <v>#REF!</v>
      </c>
      <c r="I1996" s="31">
        <f>'تقرير المصروفات حسب الشهر'!U764</f>
        <v>23163.050000000003</v>
      </c>
      <c r="J1996" s="31">
        <f>'تقرير المصروفات حسب الشهر'!U891</f>
        <v>22061.1</v>
      </c>
      <c r="K1996" s="31">
        <f>'تقرير المصروفات حسب الشهر'!U1018</f>
        <v>18809.699999999997</v>
      </c>
      <c r="L1996" s="292">
        <f>IFERROR(VLOOKUP(B1996,'تقرير المصروفات حسب الشهر'!$C$1143:$AD$1254,19,FALSE),0)</f>
        <v>23519.41</v>
      </c>
      <c r="M1996" s="292">
        <f>IFERROR(VLOOKUP(B1996,'تقرير المصروفات حسب الشهر'!$C$1270:$AD$1381,19,FALSE),0)</f>
        <v>23346.2</v>
      </c>
      <c r="N1996" s="31" t="e">
        <f>#REF!</f>
        <v>#REF!</v>
      </c>
      <c r="O1996" s="37" t="e">
        <f t="shared" ref="O1996:O2059" si="51">SUM(C1996:N1996)</f>
        <v>#REF!</v>
      </c>
    </row>
    <row r="1997" spans="2:15" ht="17.399999999999999">
      <c r="B1997" s="42" t="s">
        <v>26</v>
      </c>
      <c r="C1997" s="39" t="e">
        <f>#REF!</f>
        <v>#REF!</v>
      </c>
      <c r="D1997" s="31" t="e">
        <f>#REF!</f>
        <v>#REF!</v>
      </c>
      <c r="E1997" s="31" t="e">
        <f>#REF!</f>
        <v>#REF!</v>
      </c>
      <c r="F1997" s="31" t="e">
        <f>#REF!</f>
        <v>#REF!</v>
      </c>
      <c r="G1997" s="31" t="e">
        <f>#REF!</f>
        <v>#REF!</v>
      </c>
      <c r="H1997" s="31" t="e">
        <f>#REF!</f>
        <v>#REF!</v>
      </c>
      <c r="I1997" s="31">
        <f>'تقرير المصروفات حسب الشهر'!U765</f>
        <v>0</v>
      </c>
      <c r="J1997" s="31">
        <f>'تقرير المصروفات حسب الشهر'!U892</f>
        <v>0</v>
      </c>
      <c r="K1997" s="31">
        <f>'تقرير المصروفات حسب الشهر'!U1019</f>
        <v>0</v>
      </c>
      <c r="L1997" s="292">
        <f>IFERROR(VLOOKUP(B1997,'تقرير المصروفات حسب الشهر'!$C$1143:$AD$1254,19,FALSE),0)</f>
        <v>0</v>
      </c>
      <c r="M1997" s="292">
        <f>IFERROR(VLOOKUP(B1997,'تقرير المصروفات حسب الشهر'!$C$1270:$AD$1381,19,FALSE),0)</f>
        <v>0</v>
      </c>
      <c r="N1997" s="31" t="e">
        <f>#REF!</f>
        <v>#REF!</v>
      </c>
      <c r="O1997" s="37" t="e">
        <f t="shared" si="51"/>
        <v>#REF!</v>
      </c>
    </row>
    <row r="1998" spans="2:15" ht="17.399999999999999">
      <c r="B1998" s="42" t="s">
        <v>27</v>
      </c>
      <c r="C1998" s="39" t="e">
        <f>#REF!</f>
        <v>#REF!</v>
      </c>
      <c r="D1998" s="31" t="e">
        <f>#REF!</f>
        <v>#REF!</v>
      </c>
      <c r="E1998" s="31" t="e">
        <f>#REF!</f>
        <v>#REF!</v>
      </c>
      <c r="F1998" s="31" t="e">
        <f>#REF!</f>
        <v>#REF!</v>
      </c>
      <c r="G1998" s="31" t="e">
        <f>#REF!</f>
        <v>#REF!</v>
      </c>
      <c r="H1998" s="31" t="e">
        <f>#REF!</f>
        <v>#REF!</v>
      </c>
      <c r="I1998" s="31">
        <f>'تقرير المصروفات حسب الشهر'!U766</f>
        <v>0</v>
      </c>
      <c r="J1998" s="31">
        <f>'تقرير المصروفات حسب الشهر'!U893</f>
        <v>0</v>
      </c>
      <c r="K1998" s="31">
        <f>'تقرير المصروفات حسب الشهر'!U1020</f>
        <v>0</v>
      </c>
      <c r="L1998" s="292">
        <f>IFERROR(VLOOKUP(B1998,'تقرير المصروفات حسب الشهر'!$C$1143:$AD$1254,19,FALSE),0)</f>
        <v>0</v>
      </c>
      <c r="M1998" s="292">
        <f>IFERROR(VLOOKUP(B1998,'تقرير المصروفات حسب الشهر'!$C$1270:$AD$1381,19,FALSE),0)</f>
        <v>0</v>
      </c>
      <c r="N1998" s="31" t="e">
        <f>#REF!</f>
        <v>#REF!</v>
      </c>
      <c r="O1998" s="37" t="e">
        <f t="shared" si="51"/>
        <v>#REF!</v>
      </c>
    </row>
    <row r="1999" spans="2:15" ht="17.399999999999999">
      <c r="B1999" s="42" t="s">
        <v>42</v>
      </c>
      <c r="C1999" s="39" t="e">
        <f>#REF!</f>
        <v>#REF!</v>
      </c>
      <c r="D1999" s="31" t="e">
        <f>#REF!</f>
        <v>#REF!</v>
      </c>
      <c r="E1999" s="31" t="e">
        <f>#REF!</f>
        <v>#REF!</v>
      </c>
      <c r="F1999" s="31" t="e">
        <f>#REF!</f>
        <v>#REF!</v>
      </c>
      <c r="G1999" s="31" t="e">
        <f>#REF!</f>
        <v>#REF!</v>
      </c>
      <c r="H1999" s="31" t="e">
        <f>#REF!</f>
        <v>#REF!</v>
      </c>
      <c r="I1999" s="31">
        <f>'تقرير المصروفات حسب الشهر'!U767</f>
        <v>0</v>
      </c>
      <c r="J1999" s="31">
        <f>'تقرير المصروفات حسب الشهر'!U894</f>
        <v>0</v>
      </c>
      <c r="K1999" s="31">
        <f>'تقرير المصروفات حسب الشهر'!U1021</f>
        <v>0</v>
      </c>
      <c r="L1999" s="292">
        <f>IFERROR(VLOOKUP(B1999,'تقرير المصروفات حسب الشهر'!$C$1143:$AD$1254,19,FALSE),0)</f>
        <v>0</v>
      </c>
      <c r="M1999" s="292">
        <f>IFERROR(VLOOKUP(B1999,'تقرير المصروفات حسب الشهر'!$C$1270:$AD$1381,19,FALSE),0)</f>
        <v>0</v>
      </c>
      <c r="N1999" s="31" t="e">
        <f>#REF!</f>
        <v>#REF!</v>
      </c>
      <c r="O1999" s="37" t="e">
        <f t="shared" si="51"/>
        <v>#REF!</v>
      </c>
    </row>
    <row r="2000" spans="2:15" ht="17.399999999999999">
      <c r="B2000" s="42" t="s">
        <v>43</v>
      </c>
      <c r="C2000" s="39" t="e">
        <f>#REF!</f>
        <v>#REF!</v>
      </c>
      <c r="D2000" s="31" t="e">
        <f>#REF!</f>
        <v>#REF!</v>
      </c>
      <c r="E2000" s="31" t="e">
        <f>#REF!</f>
        <v>#REF!</v>
      </c>
      <c r="F2000" s="31" t="e">
        <f>#REF!</f>
        <v>#REF!</v>
      </c>
      <c r="G2000" s="31" t="e">
        <f>#REF!</f>
        <v>#REF!</v>
      </c>
      <c r="H2000" s="31" t="e">
        <f>#REF!</f>
        <v>#REF!</v>
      </c>
      <c r="I2000" s="31">
        <f>'تقرير المصروفات حسب الشهر'!U768</f>
        <v>0</v>
      </c>
      <c r="J2000" s="31">
        <f>'تقرير المصروفات حسب الشهر'!U895</f>
        <v>0</v>
      </c>
      <c r="K2000" s="31">
        <f>'تقرير المصروفات حسب الشهر'!U1022</f>
        <v>0</v>
      </c>
      <c r="L2000" s="292">
        <f>IFERROR(VLOOKUP(B2000,'تقرير المصروفات حسب الشهر'!$C$1143:$AD$1254,19,FALSE),0)</f>
        <v>0</v>
      </c>
      <c r="M2000" s="292">
        <f>IFERROR(VLOOKUP(B2000,'تقرير المصروفات حسب الشهر'!$C$1270:$AD$1381,19,FALSE),0)</f>
        <v>0</v>
      </c>
      <c r="N2000" s="31" t="e">
        <f>#REF!</f>
        <v>#REF!</v>
      </c>
      <c r="O2000" s="37" t="e">
        <f t="shared" si="51"/>
        <v>#REF!</v>
      </c>
    </row>
    <row r="2001" spans="2:15" ht="17.399999999999999">
      <c r="B2001" s="42" t="s">
        <v>44</v>
      </c>
      <c r="C2001" s="39" t="e">
        <f>#REF!</f>
        <v>#REF!</v>
      </c>
      <c r="D2001" s="31" t="e">
        <f>#REF!</f>
        <v>#REF!</v>
      </c>
      <c r="E2001" s="31" t="e">
        <f>#REF!</f>
        <v>#REF!</v>
      </c>
      <c r="F2001" s="31" t="e">
        <f>#REF!</f>
        <v>#REF!</v>
      </c>
      <c r="G2001" s="31" t="e">
        <f>#REF!</f>
        <v>#REF!</v>
      </c>
      <c r="H2001" s="31" t="e">
        <f>#REF!</f>
        <v>#REF!</v>
      </c>
      <c r="I2001" s="31">
        <f>'تقرير المصروفات حسب الشهر'!U769</f>
        <v>0</v>
      </c>
      <c r="J2001" s="31">
        <f>'تقرير المصروفات حسب الشهر'!U896</f>
        <v>0</v>
      </c>
      <c r="K2001" s="31">
        <f>'تقرير المصروفات حسب الشهر'!U1023</f>
        <v>0</v>
      </c>
      <c r="L2001" s="292">
        <f>IFERROR(VLOOKUP(B2001,'تقرير المصروفات حسب الشهر'!$C$1143:$AD$1254,19,FALSE),0)</f>
        <v>0</v>
      </c>
      <c r="M2001" s="292">
        <f>IFERROR(VLOOKUP(B2001,'تقرير المصروفات حسب الشهر'!$C$1270:$AD$1381,19,FALSE),0)</f>
        <v>0</v>
      </c>
      <c r="N2001" s="31" t="e">
        <f>#REF!</f>
        <v>#REF!</v>
      </c>
      <c r="O2001" s="37" t="e">
        <f t="shared" si="51"/>
        <v>#REF!</v>
      </c>
    </row>
    <row r="2002" spans="2:15" ht="17.399999999999999">
      <c r="B2002" s="42" t="s">
        <v>45</v>
      </c>
      <c r="C2002" s="39" t="e">
        <f>#REF!</f>
        <v>#REF!</v>
      </c>
      <c r="D2002" s="31" t="e">
        <f>#REF!</f>
        <v>#REF!</v>
      </c>
      <c r="E2002" s="31" t="e">
        <f>#REF!</f>
        <v>#REF!</v>
      </c>
      <c r="F2002" s="31" t="e">
        <f>#REF!</f>
        <v>#REF!</v>
      </c>
      <c r="G2002" s="31" t="e">
        <f>#REF!</f>
        <v>#REF!</v>
      </c>
      <c r="H2002" s="31" t="e">
        <f>#REF!</f>
        <v>#REF!</v>
      </c>
      <c r="I2002" s="31">
        <f>'تقرير المصروفات حسب الشهر'!U770</f>
        <v>0</v>
      </c>
      <c r="J2002" s="31">
        <f>'تقرير المصروفات حسب الشهر'!U897</f>
        <v>0</v>
      </c>
      <c r="K2002" s="31">
        <f>'تقرير المصروفات حسب الشهر'!U1024</f>
        <v>0</v>
      </c>
      <c r="L2002" s="292">
        <f>IFERROR(VLOOKUP(B2002,'تقرير المصروفات حسب الشهر'!$C$1143:$AD$1254,19,FALSE),0)</f>
        <v>0</v>
      </c>
      <c r="M2002" s="292">
        <f>IFERROR(VLOOKUP(B2002,'تقرير المصروفات حسب الشهر'!$C$1270:$AD$1381,19,FALSE),0)</f>
        <v>0</v>
      </c>
      <c r="N2002" s="31" t="e">
        <f>#REF!</f>
        <v>#REF!</v>
      </c>
      <c r="O2002" s="37" t="e">
        <f t="shared" si="51"/>
        <v>#REF!</v>
      </c>
    </row>
    <row r="2003" spans="2:15" ht="17.399999999999999">
      <c r="B2003" s="42" t="s">
        <v>156</v>
      </c>
      <c r="C2003" s="39" t="e">
        <f>#REF!</f>
        <v>#REF!</v>
      </c>
      <c r="D2003" s="31" t="e">
        <f>#REF!</f>
        <v>#REF!</v>
      </c>
      <c r="E2003" s="31" t="e">
        <f>#REF!</f>
        <v>#REF!</v>
      </c>
      <c r="F2003" s="31" t="e">
        <f>#REF!</f>
        <v>#REF!</v>
      </c>
      <c r="G2003" s="31" t="e">
        <f>#REF!</f>
        <v>#REF!</v>
      </c>
      <c r="H2003" s="31" t="e">
        <f>#REF!</f>
        <v>#REF!</v>
      </c>
      <c r="I2003" s="31">
        <f>'تقرير المصروفات حسب الشهر'!U771</f>
        <v>0</v>
      </c>
      <c r="J2003" s="31">
        <f>'تقرير المصروفات حسب الشهر'!U898</f>
        <v>0</v>
      </c>
      <c r="K2003" s="31">
        <f>'تقرير المصروفات حسب الشهر'!U1025</f>
        <v>0</v>
      </c>
      <c r="L2003" s="292">
        <f>IFERROR(VLOOKUP(B2003,'تقرير المصروفات حسب الشهر'!$C$1143:$AD$1254,19,FALSE),0)</f>
        <v>0</v>
      </c>
      <c r="M2003" s="292">
        <f>IFERROR(VLOOKUP(B2003,'تقرير المصروفات حسب الشهر'!$C$1270:$AD$1381,19,FALSE),0)</f>
        <v>0</v>
      </c>
      <c r="N2003" s="31" t="e">
        <f>#REF!</f>
        <v>#REF!</v>
      </c>
      <c r="O2003" s="37" t="e">
        <f t="shared" si="51"/>
        <v>#REF!</v>
      </c>
    </row>
    <row r="2004" spans="2:15" ht="17.399999999999999">
      <c r="B2004" s="42" t="s">
        <v>46</v>
      </c>
      <c r="C2004" s="39" t="e">
        <f>#REF!</f>
        <v>#REF!</v>
      </c>
      <c r="D2004" s="31" t="e">
        <f>#REF!</f>
        <v>#REF!</v>
      </c>
      <c r="E2004" s="31" t="e">
        <f>#REF!</f>
        <v>#REF!</v>
      </c>
      <c r="F2004" s="31" t="e">
        <f>#REF!</f>
        <v>#REF!</v>
      </c>
      <c r="G2004" s="31" t="e">
        <f>#REF!</f>
        <v>#REF!</v>
      </c>
      <c r="H2004" s="31" t="e">
        <f>#REF!</f>
        <v>#REF!</v>
      </c>
      <c r="I2004" s="31">
        <f>'تقرير المصروفات حسب الشهر'!U772</f>
        <v>168.67</v>
      </c>
      <c r="J2004" s="31">
        <f>'تقرير المصروفات حسب الشهر'!U899</f>
        <v>168.67</v>
      </c>
      <c r="K2004" s="31">
        <f>'تقرير المصروفات حسب الشهر'!U1026</f>
        <v>168.67</v>
      </c>
      <c r="L2004" s="292">
        <f>IFERROR(VLOOKUP(B2004,'تقرير المصروفات حسب الشهر'!$C$1143:$AD$1254,19,FALSE),0)</f>
        <v>168.67</v>
      </c>
      <c r="M2004" s="292">
        <f>IFERROR(VLOOKUP(B2004,'تقرير المصروفات حسب الشهر'!$C$1270:$AD$1381,19,FALSE),0)</f>
        <v>168.67</v>
      </c>
      <c r="N2004" s="31" t="e">
        <f>#REF!</f>
        <v>#REF!</v>
      </c>
      <c r="O2004" s="37" t="e">
        <f t="shared" si="51"/>
        <v>#REF!</v>
      </c>
    </row>
    <row r="2005" spans="2:15" ht="17.399999999999999">
      <c r="B2005" s="42" t="s">
        <v>47</v>
      </c>
      <c r="C2005" s="39" t="e">
        <f>#REF!</f>
        <v>#REF!</v>
      </c>
      <c r="D2005" s="31" t="e">
        <f>#REF!</f>
        <v>#REF!</v>
      </c>
      <c r="E2005" s="31" t="e">
        <f>#REF!</f>
        <v>#REF!</v>
      </c>
      <c r="F2005" s="31" t="e">
        <f>#REF!</f>
        <v>#REF!</v>
      </c>
      <c r="G2005" s="31" t="e">
        <f>#REF!</f>
        <v>#REF!</v>
      </c>
      <c r="H2005" s="31" t="e">
        <f>#REF!</f>
        <v>#REF!</v>
      </c>
      <c r="I2005" s="31">
        <f>'تقرير المصروفات حسب الشهر'!U773</f>
        <v>0</v>
      </c>
      <c r="J2005" s="31">
        <f>'تقرير المصروفات حسب الشهر'!U900</f>
        <v>0</v>
      </c>
      <c r="K2005" s="31">
        <f>'تقرير المصروفات حسب الشهر'!U1027</f>
        <v>0</v>
      </c>
      <c r="L2005" s="292">
        <f>IFERROR(VLOOKUP(B2005,'تقرير المصروفات حسب الشهر'!$C$1143:$AD$1254,19,FALSE),0)</f>
        <v>0</v>
      </c>
      <c r="M2005" s="292">
        <f>IFERROR(VLOOKUP(B2005,'تقرير المصروفات حسب الشهر'!$C$1270:$AD$1381,19,FALSE),0)</f>
        <v>0</v>
      </c>
      <c r="N2005" s="31" t="e">
        <f>#REF!</f>
        <v>#REF!</v>
      </c>
      <c r="O2005" s="37" t="e">
        <f t="shared" si="51"/>
        <v>#REF!</v>
      </c>
    </row>
    <row r="2006" spans="2:15" ht="17.399999999999999">
      <c r="B2006" s="42" t="s">
        <v>48</v>
      </c>
      <c r="C2006" s="39" t="e">
        <f>#REF!</f>
        <v>#REF!</v>
      </c>
      <c r="D2006" s="31" t="e">
        <f>#REF!</f>
        <v>#REF!</v>
      </c>
      <c r="E2006" s="31" t="e">
        <f>#REF!</f>
        <v>#REF!</v>
      </c>
      <c r="F2006" s="31" t="e">
        <f>#REF!</f>
        <v>#REF!</v>
      </c>
      <c r="G2006" s="31" t="e">
        <f>#REF!</f>
        <v>#REF!</v>
      </c>
      <c r="H2006" s="31" t="e">
        <f>#REF!</f>
        <v>#REF!</v>
      </c>
      <c r="I2006" s="31">
        <f>'تقرير المصروفات حسب الشهر'!U774</f>
        <v>0</v>
      </c>
      <c r="J2006" s="31">
        <f>'تقرير المصروفات حسب الشهر'!U901</f>
        <v>0</v>
      </c>
      <c r="K2006" s="31">
        <f>'تقرير المصروفات حسب الشهر'!U1028</f>
        <v>0</v>
      </c>
      <c r="L2006" s="292">
        <f>IFERROR(VLOOKUP(B2006,'تقرير المصروفات حسب الشهر'!$C$1143:$AD$1254,19,FALSE),0)</f>
        <v>0</v>
      </c>
      <c r="M2006" s="292">
        <f>IFERROR(VLOOKUP(B2006,'تقرير المصروفات حسب الشهر'!$C$1270:$AD$1381,19,FALSE),0)</f>
        <v>0</v>
      </c>
      <c r="N2006" s="31" t="e">
        <f>#REF!</f>
        <v>#REF!</v>
      </c>
      <c r="O2006" s="37" t="e">
        <f t="shared" si="51"/>
        <v>#REF!</v>
      </c>
    </row>
    <row r="2007" spans="2:15" ht="17.399999999999999">
      <c r="B2007" s="42" t="s">
        <v>49</v>
      </c>
      <c r="C2007" s="39" t="e">
        <f>#REF!</f>
        <v>#REF!</v>
      </c>
      <c r="D2007" s="31" t="e">
        <f>#REF!</f>
        <v>#REF!</v>
      </c>
      <c r="E2007" s="31" t="e">
        <f>#REF!</f>
        <v>#REF!</v>
      </c>
      <c r="F2007" s="31" t="e">
        <f>#REF!</f>
        <v>#REF!</v>
      </c>
      <c r="G2007" s="31" t="e">
        <f>#REF!</f>
        <v>#REF!</v>
      </c>
      <c r="H2007" s="31" t="e">
        <f>#REF!</f>
        <v>#REF!</v>
      </c>
      <c r="I2007" s="31">
        <f>'تقرير المصروفات حسب الشهر'!U775</f>
        <v>0</v>
      </c>
      <c r="J2007" s="31">
        <f>'تقرير المصروفات حسب الشهر'!U902</f>
        <v>0</v>
      </c>
      <c r="K2007" s="31">
        <f>'تقرير المصروفات حسب الشهر'!U1029</f>
        <v>0</v>
      </c>
      <c r="L2007" s="292">
        <f>IFERROR(VLOOKUP(B2007,'تقرير المصروفات حسب الشهر'!$C$1143:$AD$1254,19,FALSE),0)</f>
        <v>0</v>
      </c>
      <c r="M2007" s="292">
        <f>IFERROR(VLOOKUP(B2007,'تقرير المصروفات حسب الشهر'!$C$1270:$AD$1381,19,FALSE),0)</f>
        <v>0</v>
      </c>
      <c r="N2007" s="31" t="e">
        <f>#REF!</f>
        <v>#REF!</v>
      </c>
      <c r="O2007" s="37" t="e">
        <f t="shared" si="51"/>
        <v>#REF!</v>
      </c>
    </row>
    <row r="2008" spans="2:15" ht="17.399999999999999">
      <c r="B2008" s="42" t="s">
        <v>158</v>
      </c>
      <c r="C2008" s="39" t="e">
        <f>#REF!</f>
        <v>#REF!</v>
      </c>
      <c r="D2008" s="31" t="e">
        <f>#REF!</f>
        <v>#REF!</v>
      </c>
      <c r="E2008" s="31" t="e">
        <f>#REF!</f>
        <v>#REF!</v>
      </c>
      <c r="F2008" s="31" t="e">
        <f>#REF!</f>
        <v>#REF!</v>
      </c>
      <c r="G2008" s="31" t="e">
        <f>#REF!</f>
        <v>#REF!</v>
      </c>
      <c r="H2008" s="31" t="e">
        <f>#REF!</f>
        <v>#REF!</v>
      </c>
      <c r="I2008" s="31">
        <f>'تقرير المصروفات حسب الشهر'!U776</f>
        <v>0</v>
      </c>
      <c r="J2008" s="31">
        <f>'تقرير المصروفات حسب الشهر'!U903</f>
        <v>0</v>
      </c>
      <c r="K2008" s="31">
        <f>'تقرير المصروفات حسب الشهر'!U1030</f>
        <v>0</v>
      </c>
      <c r="L2008" s="292">
        <f>IFERROR(VLOOKUP(B2008,'تقرير المصروفات حسب الشهر'!$C$1143:$AD$1254,19,FALSE),0)</f>
        <v>0</v>
      </c>
      <c r="M2008" s="292">
        <f>IFERROR(VLOOKUP(B2008,'تقرير المصروفات حسب الشهر'!$C$1270:$AD$1381,19,FALSE),0)</f>
        <v>0</v>
      </c>
      <c r="N2008" s="31" t="e">
        <f>#REF!</f>
        <v>#REF!</v>
      </c>
      <c r="O2008" s="37" t="e">
        <f t="shared" si="51"/>
        <v>#REF!</v>
      </c>
    </row>
    <row r="2009" spans="2:15" ht="17.399999999999999">
      <c r="B2009" s="42" t="s">
        <v>50</v>
      </c>
      <c r="C2009" s="39" t="e">
        <f>#REF!</f>
        <v>#REF!</v>
      </c>
      <c r="D2009" s="31" t="e">
        <f>#REF!</f>
        <v>#REF!</v>
      </c>
      <c r="E2009" s="31" t="e">
        <f>#REF!</f>
        <v>#REF!</v>
      </c>
      <c r="F2009" s="31" t="e">
        <f>#REF!</f>
        <v>#REF!</v>
      </c>
      <c r="G2009" s="31" t="e">
        <f>#REF!</f>
        <v>#REF!</v>
      </c>
      <c r="H2009" s="31" t="e">
        <f>#REF!</f>
        <v>#REF!</v>
      </c>
      <c r="I2009" s="31">
        <f>'تقرير المصروفات حسب الشهر'!U777</f>
        <v>0</v>
      </c>
      <c r="J2009" s="31">
        <f>'تقرير المصروفات حسب الشهر'!U904</f>
        <v>0</v>
      </c>
      <c r="K2009" s="31">
        <f>'تقرير المصروفات حسب الشهر'!U1031</f>
        <v>0</v>
      </c>
      <c r="L2009" s="292">
        <f>IFERROR(VLOOKUP(B2009,'تقرير المصروفات حسب الشهر'!$C$1143:$AD$1254,19,FALSE),0)</f>
        <v>770</v>
      </c>
      <c r="M2009" s="292">
        <f>IFERROR(VLOOKUP(B2009,'تقرير المصروفات حسب الشهر'!$C$1270:$AD$1381,19,FALSE),0)</f>
        <v>0</v>
      </c>
      <c r="N2009" s="31" t="e">
        <f>#REF!</f>
        <v>#REF!</v>
      </c>
      <c r="O2009" s="37" t="e">
        <f t="shared" si="51"/>
        <v>#REF!</v>
      </c>
    </row>
    <row r="2010" spans="2:15" ht="17.399999999999999">
      <c r="B2010" s="42" t="s">
        <v>51</v>
      </c>
      <c r="C2010" s="39" t="e">
        <f>#REF!</f>
        <v>#REF!</v>
      </c>
      <c r="D2010" s="31" t="e">
        <f>#REF!</f>
        <v>#REF!</v>
      </c>
      <c r="E2010" s="31" t="e">
        <f>#REF!</f>
        <v>#REF!</v>
      </c>
      <c r="F2010" s="31" t="e">
        <f>#REF!</f>
        <v>#REF!</v>
      </c>
      <c r="G2010" s="31" t="e">
        <f>#REF!</f>
        <v>#REF!</v>
      </c>
      <c r="H2010" s="31" t="e">
        <f>#REF!</f>
        <v>#REF!</v>
      </c>
      <c r="I2010" s="31">
        <f>'تقرير المصروفات حسب الشهر'!U778</f>
        <v>0</v>
      </c>
      <c r="J2010" s="31">
        <f>'تقرير المصروفات حسب الشهر'!U905</f>
        <v>0</v>
      </c>
      <c r="K2010" s="31">
        <f>'تقرير المصروفات حسب الشهر'!U1032</f>
        <v>0</v>
      </c>
      <c r="L2010" s="292">
        <f>IFERROR(VLOOKUP(B2010,'تقرير المصروفات حسب الشهر'!$C$1143:$AD$1254,19,FALSE),0)</f>
        <v>0</v>
      </c>
      <c r="M2010" s="292">
        <f>IFERROR(VLOOKUP(B2010,'تقرير المصروفات حسب الشهر'!$C$1270:$AD$1381,19,FALSE),0)</f>
        <v>0</v>
      </c>
      <c r="N2010" s="31" t="e">
        <f>#REF!</f>
        <v>#REF!</v>
      </c>
      <c r="O2010" s="37" t="e">
        <f t="shared" si="51"/>
        <v>#REF!</v>
      </c>
    </row>
    <row r="2011" spans="2:15" ht="17.399999999999999">
      <c r="B2011" s="42" t="s">
        <v>52</v>
      </c>
      <c r="C2011" s="39" t="e">
        <f>#REF!</f>
        <v>#REF!</v>
      </c>
      <c r="D2011" s="31" t="e">
        <f>#REF!</f>
        <v>#REF!</v>
      </c>
      <c r="E2011" s="31" t="e">
        <f>#REF!</f>
        <v>#REF!</v>
      </c>
      <c r="F2011" s="31" t="e">
        <f>#REF!</f>
        <v>#REF!</v>
      </c>
      <c r="G2011" s="31" t="e">
        <f>#REF!</f>
        <v>#REF!</v>
      </c>
      <c r="H2011" s="31" t="e">
        <f>#REF!</f>
        <v>#REF!</v>
      </c>
      <c r="I2011" s="31">
        <f>'تقرير المصروفات حسب الشهر'!U779</f>
        <v>0</v>
      </c>
      <c r="J2011" s="31">
        <f>'تقرير المصروفات حسب الشهر'!U906</f>
        <v>0</v>
      </c>
      <c r="K2011" s="31">
        <f>'تقرير المصروفات حسب الشهر'!U1033</f>
        <v>0</v>
      </c>
      <c r="L2011" s="292">
        <f>IFERROR(VLOOKUP(B2011,'تقرير المصروفات حسب الشهر'!$C$1143:$AD$1254,19,FALSE),0)</f>
        <v>0</v>
      </c>
      <c r="M2011" s="292">
        <f>IFERROR(VLOOKUP(B2011,'تقرير المصروفات حسب الشهر'!$C$1270:$AD$1381,19,FALSE),0)</f>
        <v>0</v>
      </c>
      <c r="N2011" s="31" t="e">
        <f>#REF!</f>
        <v>#REF!</v>
      </c>
      <c r="O2011" s="37" t="e">
        <f t="shared" si="51"/>
        <v>#REF!</v>
      </c>
    </row>
    <row r="2012" spans="2:15" ht="17.399999999999999">
      <c r="B2012" s="42" t="s">
        <v>174</v>
      </c>
      <c r="C2012" s="39" t="e">
        <f>#REF!</f>
        <v>#REF!</v>
      </c>
      <c r="D2012" s="31" t="e">
        <f>#REF!</f>
        <v>#REF!</v>
      </c>
      <c r="E2012" s="31" t="e">
        <f>#REF!</f>
        <v>#REF!</v>
      </c>
      <c r="F2012" s="31" t="e">
        <f>#REF!</f>
        <v>#REF!</v>
      </c>
      <c r="G2012" s="31" t="e">
        <f>#REF!</f>
        <v>#REF!</v>
      </c>
      <c r="H2012" s="31" t="e">
        <f>#REF!</f>
        <v>#REF!</v>
      </c>
      <c r="I2012" s="31">
        <f>'تقرير المصروفات حسب الشهر'!U780</f>
        <v>0</v>
      </c>
      <c r="J2012" s="31">
        <f>'تقرير المصروفات حسب الشهر'!U907</f>
        <v>0</v>
      </c>
      <c r="K2012" s="31">
        <f>'تقرير المصروفات حسب الشهر'!U1034</f>
        <v>0</v>
      </c>
      <c r="L2012" s="292">
        <f>IFERROR(VLOOKUP(B2012,'تقرير المصروفات حسب الشهر'!$C$1143:$AD$1254,19,FALSE),0)</f>
        <v>0</v>
      </c>
      <c r="M2012" s="292">
        <f>IFERROR(VLOOKUP(B2012,'تقرير المصروفات حسب الشهر'!$C$1270:$AD$1381,19,FALSE),0)</f>
        <v>506</v>
      </c>
      <c r="N2012" s="31" t="e">
        <f>#REF!</f>
        <v>#REF!</v>
      </c>
      <c r="O2012" s="37" t="e">
        <f t="shared" si="51"/>
        <v>#REF!</v>
      </c>
    </row>
    <row r="2013" spans="2:15" ht="17.399999999999999">
      <c r="B2013" s="42" t="s">
        <v>53</v>
      </c>
      <c r="C2013" s="39" t="e">
        <f>#REF!</f>
        <v>#REF!</v>
      </c>
      <c r="D2013" s="31" t="e">
        <f>#REF!</f>
        <v>#REF!</v>
      </c>
      <c r="E2013" s="31" t="e">
        <f>#REF!</f>
        <v>#REF!</v>
      </c>
      <c r="F2013" s="31" t="e">
        <f>#REF!</f>
        <v>#REF!</v>
      </c>
      <c r="G2013" s="31" t="e">
        <f>#REF!</f>
        <v>#REF!</v>
      </c>
      <c r="H2013" s="31" t="e">
        <f>#REF!</f>
        <v>#REF!</v>
      </c>
      <c r="I2013" s="31">
        <f>'تقرير المصروفات حسب الشهر'!U781</f>
        <v>0</v>
      </c>
      <c r="J2013" s="31">
        <f>'تقرير المصروفات حسب الشهر'!U908</f>
        <v>0</v>
      </c>
      <c r="K2013" s="31">
        <f>'تقرير المصروفات حسب الشهر'!U1035</f>
        <v>0</v>
      </c>
      <c r="L2013" s="292">
        <f>IFERROR(VLOOKUP(B2013,'تقرير المصروفات حسب الشهر'!$C$1143:$AD$1254,19,FALSE),0)</f>
        <v>0</v>
      </c>
      <c r="M2013" s="292">
        <f>IFERROR(VLOOKUP(B2013,'تقرير المصروفات حسب الشهر'!$C$1270:$AD$1381,19,FALSE),0)</f>
        <v>0</v>
      </c>
      <c r="N2013" s="31" t="e">
        <f>#REF!</f>
        <v>#REF!</v>
      </c>
      <c r="O2013" s="37" t="e">
        <f t="shared" si="51"/>
        <v>#REF!</v>
      </c>
    </row>
    <row r="2014" spans="2:15" ht="17.399999999999999">
      <c r="B2014" s="42" t="s">
        <v>191</v>
      </c>
      <c r="C2014" s="39" t="e">
        <f>#REF!</f>
        <v>#REF!</v>
      </c>
      <c r="D2014" s="31" t="e">
        <f>#REF!</f>
        <v>#REF!</v>
      </c>
      <c r="E2014" s="31" t="e">
        <f>#REF!</f>
        <v>#REF!</v>
      </c>
      <c r="F2014" s="31" t="e">
        <f>#REF!</f>
        <v>#REF!</v>
      </c>
      <c r="G2014" s="31" t="e">
        <f>#REF!</f>
        <v>#REF!</v>
      </c>
      <c r="H2014" s="31" t="e">
        <f>#REF!</f>
        <v>#REF!</v>
      </c>
      <c r="I2014" s="31">
        <f>'تقرير المصروفات حسب الشهر'!U782</f>
        <v>0</v>
      </c>
      <c r="J2014" s="31">
        <f>'تقرير المصروفات حسب الشهر'!U909</f>
        <v>0</v>
      </c>
      <c r="K2014" s="31">
        <f>'تقرير المصروفات حسب الشهر'!U1036</f>
        <v>0</v>
      </c>
      <c r="L2014" s="292">
        <f>IFERROR(VLOOKUP(B2014,'تقرير المصروفات حسب الشهر'!$C$1143:$AD$1254,19,FALSE),0)</f>
        <v>0</v>
      </c>
      <c r="M2014" s="292">
        <f>IFERROR(VLOOKUP(B2014,'تقرير المصروفات حسب الشهر'!$C$1270:$AD$1381,19,FALSE),0)</f>
        <v>0</v>
      </c>
      <c r="N2014" s="31" t="e">
        <f>#REF!</f>
        <v>#REF!</v>
      </c>
      <c r="O2014" s="37" t="e">
        <f t="shared" si="51"/>
        <v>#REF!</v>
      </c>
    </row>
    <row r="2015" spans="2:15" ht="17.399999999999999">
      <c r="B2015" s="42" t="s">
        <v>29</v>
      </c>
      <c r="C2015" s="39" t="e">
        <f>#REF!</f>
        <v>#REF!</v>
      </c>
      <c r="D2015" s="31" t="e">
        <f>#REF!</f>
        <v>#REF!</v>
      </c>
      <c r="E2015" s="31" t="e">
        <f>#REF!</f>
        <v>#REF!</v>
      </c>
      <c r="F2015" s="31" t="e">
        <f>#REF!</f>
        <v>#REF!</v>
      </c>
      <c r="G2015" s="31" t="e">
        <f>#REF!</f>
        <v>#REF!</v>
      </c>
      <c r="H2015" s="31" t="e">
        <f>#REF!</f>
        <v>#REF!</v>
      </c>
      <c r="I2015" s="31">
        <f>'تقرير المصروفات حسب الشهر'!U783</f>
        <v>0</v>
      </c>
      <c r="J2015" s="31">
        <f>'تقرير المصروفات حسب الشهر'!U910</f>
        <v>0</v>
      </c>
      <c r="K2015" s="31">
        <f>'تقرير المصروفات حسب الشهر'!U1037</f>
        <v>0</v>
      </c>
      <c r="L2015" s="292">
        <f>IFERROR(VLOOKUP(B2015,'تقرير المصروفات حسب الشهر'!$C$1143:$AD$1254,19,FALSE),0)</f>
        <v>0</v>
      </c>
      <c r="M2015" s="292">
        <f>IFERROR(VLOOKUP(B2015,'تقرير المصروفات حسب الشهر'!$C$1270:$AD$1381,19,FALSE),0)</f>
        <v>0</v>
      </c>
      <c r="N2015" s="31" t="e">
        <f>#REF!</f>
        <v>#REF!</v>
      </c>
      <c r="O2015" s="37" t="e">
        <f t="shared" si="51"/>
        <v>#REF!</v>
      </c>
    </row>
    <row r="2016" spans="2:15" ht="17.399999999999999">
      <c r="B2016" s="42" t="s">
        <v>54</v>
      </c>
      <c r="C2016" s="39" t="e">
        <f>#REF!</f>
        <v>#REF!</v>
      </c>
      <c r="D2016" s="31" t="e">
        <f>#REF!</f>
        <v>#REF!</v>
      </c>
      <c r="E2016" s="31" t="e">
        <f>#REF!</f>
        <v>#REF!</v>
      </c>
      <c r="F2016" s="31" t="e">
        <f>#REF!</f>
        <v>#REF!</v>
      </c>
      <c r="G2016" s="31" t="e">
        <f>#REF!</f>
        <v>#REF!</v>
      </c>
      <c r="H2016" s="31" t="e">
        <f>#REF!</f>
        <v>#REF!</v>
      </c>
      <c r="I2016" s="31">
        <f>'تقرير المصروفات حسب الشهر'!U784</f>
        <v>0</v>
      </c>
      <c r="J2016" s="31">
        <f>'تقرير المصروفات حسب الشهر'!U911</f>
        <v>0</v>
      </c>
      <c r="K2016" s="31">
        <f>'تقرير المصروفات حسب الشهر'!U1038</f>
        <v>0</v>
      </c>
      <c r="L2016" s="292">
        <f>IFERROR(VLOOKUP(B2016,'تقرير المصروفات حسب الشهر'!$C$1143:$AD$1254,19,FALSE),0)</f>
        <v>0</v>
      </c>
      <c r="M2016" s="292">
        <f>IFERROR(VLOOKUP(B2016,'تقرير المصروفات حسب الشهر'!$C$1270:$AD$1381,19,FALSE),0)</f>
        <v>0</v>
      </c>
      <c r="N2016" s="31" t="e">
        <f>#REF!</f>
        <v>#REF!</v>
      </c>
      <c r="O2016" s="37" t="e">
        <f t="shared" si="51"/>
        <v>#REF!</v>
      </c>
    </row>
    <row r="2017" spans="2:15" ht="17.399999999999999">
      <c r="B2017" s="42" t="s">
        <v>31</v>
      </c>
      <c r="C2017" s="39" t="e">
        <f>#REF!</f>
        <v>#REF!</v>
      </c>
      <c r="D2017" s="31" t="e">
        <f>#REF!</f>
        <v>#REF!</v>
      </c>
      <c r="E2017" s="31" t="e">
        <f>#REF!</f>
        <v>#REF!</v>
      </c>
      <c r="F2017" s="31" t="e">
        <f>#REF!</f>
        <v>#REF!</v>
      </c>
      <c r="G2017" s="31" t="e">
        <f>#REF!</f>
        <v>#REF!</v>
      </c>
      <c r="H2017" s="31" t="e">
        <f>#REF!</f>
        <v>#REF!</v>
      </c>
      <c r="I2017" s="31">
        <f>'تقرير المصروفات حسب الشهر'!U785</f>
        <v>0</v>
      </c>
      <c r="J2017" s="31">
        <f>'تقرير المصروفات حسب الشهر'!U912</f>
        <v>0</v>
      </c>
      <c r="K2017" s="31">
        <f>'تقرير المصروفات حسب الشهر'!U1039</f>
        <v>0</v>
      </c>
      <c r="L2017" s="292">
        <f>IFERROR(VLOOKUP(B2017,'تقرير المصروفات حسب الشهر'!$C$1143:$AD$1254,19,FALSE),0)</f>
        <v>0</v>
      </c>
      <c r="M2017" s="292">
        <f>IFERROR(VLOOKUP(B2017,'تقرير المصروفات حسب الشهر'!$C$1270:$AD$1381,19,FALSE),0)</f>
        <v>0</v>
      </c>
      <c r="N2017" s="31" t="e">
        <f>#REF!</f>
        <v>#REF!</v>
      </c>
      <c r="O2017" s="37" t="e">
        <f t="shared" si="51"/>
        <v>#REF!</v>
      </c>
    </row>
    <row r="2018" spans="2:15" ht="17.399999999999999">
      <c r="B2018" s="42" t="s">
        <v>55</v>
      </c>
      <c r="C2018" s="39" t="e">
        <f>#REF!</f>
        <v>#REF!</v>
      </c>
      <c r="D2018" s="31" t="e">
        <f>#REF!</f>
        <v>#REF!</v>
      </c>
      <c r="E2018" s="31" t="e">
        <f>#REF!</f>
        <v>#REF!</v>
      </c>
      <c r="F2018" s="31" t="e">
        <f>#REF!</f>
        <v>#REF!</v>
      </c>
      <c r="G2018" s="31" t="e">
        <f>#REF!</f>
        <v>#REF!</v>
      </c>
      <c r="H2018" s="31" t="e">
        <f>#REF!</f>
        <v>#REF!</v>
      </c>
      <c r="I2018" s="31">
        <f>'تقرير المصروفات حسب الشهر'!U786</f>
        <v>0</v>
      </c>
      <c r="J2018" s="31">
        <f>'تقرير المصروفات حسب الشهر'!U913</f>
        <v>0</v>
      </c>
      <c r="K2018" s="31">
        <f>'تقرير المصروفات حسب الشهر'!U1040</f>
        <v>0</v>
      </c>
      <c r="L2018" s="292">
        <f>IFERROR(VLOOKUP(B2018,'تقرير المصروفات حسب الشهر'!$C$1143:$AD$1254,19,FALSE),0)</f>
        <v>0</v>
      </c>
      <c r="M2018" s="292">
        <f>IFERROR(VLOOKUP(B2018,'تقرير المصروفات حسب الشهر'!$C$1270:$AD$1381,19,FALSE),0)</f>
        <v>0</v>
      </c>
      <c r="N2018" s="31" t="e">
        <f>#REF!</f>
        <v>#REF!</v>
      </c>
      <c r="O2018" s="37" t="e">
        <f t="shared" si="51"/>
        <v>#REF!</v>
      </c>
    </row>
    <row r="2019" spans="2:15" ht="17.399999999999999">
      <c r="B2019" s="42" t="s">
        <v>56</v>
      </c>
      <c r="C2019" s="39" t="e">
        <f>#REF!</f>
        <v>#REF!</v>
      </c>
      <c r="D2019" s="31" t="e">
        <f>#REF!</f>
        <v>#REF!</v>
      </c>
      <c r="E2019" s="31" t="e">
        <f>#REF!</f>
        <v>#REF!</v>
      </c>
      <c r="F2019" s="31" t="e">
        <f>#REF!</f>
        <v>#REF!</v>
      </c>
      <c r="G2019" s="31" t="e">
        <f>#REF!</f>
        <v>#REF!</v>
      </c>
      <c r="H2019" s="31" t="e">
        <f>#REF!</f>
        <v>#REF!</v>
      </c>
      <c r="I2019" s="31">
        <f>'تقرير المصروفات حسب الشهر'!U787</f>
        <v>0</v>
      </c>
      <c r="J2019" s="31">
        <f>'تقرير المصروفات حسب الشهر'!U914</f>
        <v>0</v>
      </c>
      <c r="K2019" s="31">
        <f>'تقرير المصروفات حسب الشهر'!U1041</f>
        <v>0</v>
      </c>
      <c r="L2019" s="292">
        <f>IFERROR(VLOOKUP(B2019,'تقرير المصروفات حسب الشهر'!$C$1143:$AD$1254,19,FALSE),0)</f>
        <v>0</v>
      </c>
      <c r="M2019" s="292">
        <f>IFERROR(VLOOKUP(B2019,'تقرير المصروفات حسب الشهر'!$C$1270:$AD$1381,19,FALSE),0)</f>
        <v>0</v>
      </c>
      <c r="N2019" s="31" t="e">
        <f>#REF!</f>
        <v>#REF!</v>
      </c>
      <c r="O2019" s="37" t="e">
        <f t="shared" si="51"/>
        <v>#REF!</v>
      </c>
    </row>
    <row r="2020" spans="2:15" ht="17.399999999999999">
      <c r="B2020" s="42" t="s">
        <v>57</v>
      </c>
      <c r="C2020" s="39" t="e">
        <f>#REF!</f>
        <v>#REF!</v>
      </c>
      <c r="D2020" s="31" t="e">
        <f>#REF!</f>
        <v>#REF!</v>
      </c>
      <c r="E2020" s="31" t="e">
        <f>#REF!</f>
        <v>#REF!</v>
      </c>
      <c r="F2020" s="31" t="e">
        <f>#REF!</f>
        <v>#REF!</v>
      </c>
      <c r="G2020" s="31" t="e">
        <f>#REF!</f>
        <v>#REF!</v>
      </c>
      <c r="H2020" s="31" t="e">
        <f>#REF!</f>
        <v>#REF!</v>
      </c>
      <c r="I2020" s="31">
        <f>'تقرير المصروفات حسب الشهر'!U788</f>
        <v>0</v>
      </c>
      <c r="J2020" s="31">
        <f>'تقرير المصروفات حسب الشهر'!U915</f>
        <v>0</v>
      </c>
      <c r="K2020" s="31">
        <f>'تقرير المصروفات حسب الشهر'!U1042</f>
        <v>0</v>
      </c>
      <c r="L2020" s="292">
        <f>IFERROR(VLOOKUP(B2020,'تقرير المصروفات حسب الشهر'!$C$1143:$AD$1254,19,FALSE),0)</f>
        <v>0</v>
      </c>
      <c r="M2020" s="292">
        <f>IFERROR(VLOOKUP(B2020,'تقرير المصروفات حسب الشهر'!$C$1270:$AD$1381,19,FALSE),0)</f>
        <v>0</v>
      </c>
      <c r="N2020" s="31" t="e">
        <f>#REF!</f>
        <v>#REF!</v>
      </c>
      <c r="O2020" s="37" t="e">
        <f t="shared" si="51"/>
        <v>#REF!</v>
      </c>
    </row>
    <row r="2021" spans="2:15" ht="17.399999999999999">
      <c r="B2021" s="42" t="s">
        <v>58</v>
      </c>
      <c r="C2021" s="39" t="e">
        <f>#REF!</f>
        <v>#REF!</v>
      </c>
      <c r="D2021" s="31" t="e">
        <f>#REF!</f>
        <v>#REF!</v>
      </c>
      <c r="E2021" s="31" t="e">
        <f>#REF!</f>
        <v>#REF!</v>
      </c>
      <c r="F2021" s="31" t="e">
        <f>#REF!</f>
        <v>#REF!</v>
      </c>
      <c r="G2021" s="31" t="e">
        <f>#REF!</f>
        <v>#REF!</v>
      </c>
      <c r="H2021" s="31" t="e">
        <f>#REF!</f>
        <v>#REF!</v>
      </c>
      <c r="I2021" s="31">
        <f>'تقرير المصروفات حسب الشهر'!U789</f>
        <v>0</v>
      </c>
      <c r="J2021" s="31">
        <f>'تقرير المصروفات حسب الشهر'!U916</f>
        <v>0</v>
      </c>
      <c r="K2021" s="31">
        <f>'تقرير المصروفات حسب الشهر'!U1043</f>
        <v>0</v>
      </c>
      <c r="L2021" s="292">
        <f>IFERROR(VLOOKUP(B2021,'تقرير المصروفات حسب الشهر'!$C$1143:$AD$1254,19,FALSE),0)</f>
        <v>0</v>
      </c>
      <c r="M2021" s="292">
        <f>IFERROR(VLOOKUP(B2021,'تقرير المصروفات حسب الشهر'!$C$1270:$AD$1381,19,FALSE),0)</f>
        <v>0</v>
      </c>
      <c r="N2021" s="31" t="e">
        <f>#REF!</f>
        <v>#REF!</v>
      </c>
      <c r="O2021" s="37" t="e">
        <f t="shared" si="51"/>
        <v>#REF!</v>
      </c>
    </row>
    <row r="2022" spans="2:15" ht="17.399999999999999">
      <c r="B2022" s="42" t="s">
        <v>59</v>
      </c>
      <c r="C2022" s="39" t="e">
        <f>#REF!</f>
        <v>#REF!</v>
      </c>
      <c r="D2022" s="31" t="e">
        <f>#REF!</f>
        <v>#REF!</v>
      </c>
      <c r="E2022" s="31" t="e">
        <f>#REF!</f>
        <v>#REF!</v>
      </c>
      <c r="F2022" s="31" t="e">
        <f>#REF!</f>
        <v>#REF!</v>
      </c>
      <c r="G2022" s="31" t="e">
        <f>#REF!</f>
        <v>#REF!</v>
      </c>
      <c r="H2022" s="31" t="e">
        <f>#REF!</f>
        <v>#REF!</v>
      </c>
      <c r="I2022" s="31">
        <f>'تقرير المصروفات حسب الشهر'!U790</f>
        <v>0</v>
      </c>
      <c r="J2022" s="31">
        <f>'تقرير المصروفات حسب الشهر'!U917</f>
        <v>0</v>
      </c>
      <c r="K2022" s="31">
        <f>'تقرير المصروفات حسب الشهر'!U1044</f>
        <v>0</v>
      </c>
      <c r="L2022" s="292">
        <f>IFERROR(VLOOKUP(B2022,'تقرير المصروفات حسب الشهر'!$C$1143:$AD$1254,19,FALSE),0)</f>
        <v>0</v>
      </c>
      <c r="M2022" s="292">
        <f>IFERROR(VLOOKUP(B2022,'تقرير المصروفات حسب الشهر'!$C$1270:$AD$1381,19,FALSE),0)</f>
        <v>0</v>
      </c>
      <c r="N2022" s="31" t="e">
        <f>#REF!</f>
        <v>#REF!</v>
      </c>
      <c r="O2022" s="37" t="e">
        <f t="shared" si="51"/>
        <v>#REF!</v>
      </c>
    </row>
    <row r="2023" spans="2:15" ht="17.399999999999999">
      <c r="B2023" s="42" t="s">
        <v>60</v>
      </c>
      <c r="C2023" s="39" t="e">
        <f>#REF!</f>
        <v>#REF!</v>
      </c>
      <c r="D2023" s="31" t="e">
        <f>#REF!</f>
        <v>#REF!</v>
      </c>
      <c r="E2023" s="31" t="e">
        <f>#REF!</f>
        <v>#REF!</v>
      </c>
      <c r="F2023" s="31" t="e">
        <f>#REF!</f>
        <v>#REF!</v>
      </c>
      <c r="G2023" s="31" t="e">
        <f>#REF!</f>
        <v>#REF!</v>
      </c>
      <c r="H2023" s="31" t="e">
        <f>#REF!</f>
        <v>#REF!</v>
      </c>
      <c r="I2023" s="31">
        <f>'تقرير المصروفات حسب الشهر'!U791</f>
        <v>0</v>
      </c>
      <c r="J2023" s="31">
        <f>'تقرير المصروفات حسب الشهر'!U918</f>
        <v>0</v>
      </c>
      <c r="K2023" s="31">
        <f>'تقرير المصروفات حسب الشهر'!U1045</f>
        <v>0</v>
      </c>
      <c r="L2023" s="292">
        <f>IFERROR(VLOOKUP(B2023,'تقرير المصروفات حسب الشهر'!$C$1143:$AD$1254,19,FALSE),0)</f>
        <v>0</v>
      </c>
      <c r="M2023" s="292">
        <f>IFERROR(VLOOKUP(B2023,'تقرير المصروفات حسب الشهر'!$C$1270:$AD$1381,19,FALSE),0)</f>
        <v>0</v>
      </c>
      <c r="N2023" s="31" t="e">
        <f>#REF!</f>
        <v>#REF!</v>
      </c>
      <c r="O2023" s="37" t="e">
        <f t="shared" si="51"/>
        <v>#REF!</v>
      </c>
    </row>
    <row r="2024" spans="2:15" ht="17.399999999999999">
      <c r="B2024" s="42" t="s">
        <v>61</v>
      </c>
      <c r="C2024" s="39" t="e">
        <f>#REF!</f>
        <v>#REF!</v>
      </c>
      <c r="D2024" s="31" t="e">
        <f>#REF!</f>
        <v>#REF!</v>
      </c>
      <c r="E2024" s="31" t="e">
        <f>#REF!</f>
        <v>#REF!</v>
      </c>
      <c r="F2024" s="31" t="e">
        <f>#REF!</f>
        <v>#REF!</v>
      </c>
      <c r="G2024" s="31" t="e">
        <f>#REF!</f>
        <v>#REF!</v>
      </c>
      <c r="H2024" s="31" t="e">
        <f>#REF!</f>
        <v>#REF!</v>
      </c>
      <c r="I2024" s="31">
        <f>'تقرير المصروفات حسب الشهر'!U792</f>
        <v>0</v>
      </c>
      <c r="J2024" s="31">
        <f>'تقرير المصروفات حسب الشهر'!U919</f>
        <v>0</v>
      </c>
      <c r="K2024" s="31">
        <f>'تقرير المصروفات حسب الشهر'!U1046</f>
        <v>0</v>
      </c>
      <c r="L2024" s="292">
        <f>IFERROR(VLOOKUP(B2024,'تقرير المصروفات حسب الشهر'!$C$1143:$AD$1254,19,FALSE),0)</f>
        <v>0</v>
      </c>
      <c r="M2024" s="292">
        <f>IFERROR(VLOOKUP(B2024,'تقرير المصروفات حسب الشهر'!$C$1270:$AD$1381,19,FALSE),0)</f>
        <v>0</v>
      </c>
      <c r="N2024" s="31" t="e">
        <f>#REF!</f>
        <v>#REF!</v>
      </c>
      <c r="O2024" s="37" t="e">
        <f t="shared" si="51"/>
        <v>#REF!</v>
      </c>
    </row>
    <row r="2025" spans="2:15" ht="17.399999999999999">
      <c r="B2025" s="42" t="s">
        <v>62</v>
      </c>
      <c r="C2025" s="39" t="e">
        <f>#REF!</f>
        <v>#REF!</v>
      </c>
      <c r="D2025" s="31" t="e">
        <f>#REF!</f>
        <v>#REF!</v>
      </c>
      <c r="E2025" s="31" t="e">
        <f>#REF!</f>
        <v>#REF!</v>
      </c>
      <c r="F2025" s="31" t="e">
        <f>#REF!</f>
        <v>#REF!</v>
      </c>
      <c r="G2025" s="31" t="e">
        <f>#REF!</f>
        <v>#REF!</v>
      </c>
      <c r="H2025" s="31" t="e">
        <f>#REF!</f>
        <v>#REF!</v>
      </c>
      <c r="I2025" s="31">
        <f>'تقرير المصروفات حسب الشهر'!U793</f>
        <v>0</v>
      </c>
      <c r="J2025" s="31">
        <f>'تقرير المصروفات حسب الشهر'!U920</f>
        <v>0</v>
      </c>
      <c r="K2025" s="31">
        <f>'تقرير المصروفات حسب الشهر'!U1047</f>
        <v>0</v>
      </c>
      <c r="L2025" s="292">
        <f>IFERROR(VLOOKUP(B2025,'تقرير المصروفات حسب الشهر'!$C$1143:$AD$1254,19,FALSE),0)</f>
        <v>0</v>
      </c>
      <c r="M2025" s="292">
        <f>IFERROR(VLOOKUP(B2025,'تقرير المصروفات حسب الشهر'!$C$1270:$AD$1381,19,FALSE),0)</f>
        <v>0</v>
      </c>
      <c r="N2025" s="31" t="e">
        <f>#REF!</f>
        <v>#REF!</v>
      </c>
      <c r="O2025" s="37" t="e">
        <f t="shared" si="51"/>
        <v>#REF!</v>
      </c>
    </row>
    <row r="2026" spans="2:15" ht="17.399999999999999">
      <c r="B2026" s="42" t="s">
        <v>63</v>
      </c>
      <c r="C2026" s="39" t="e">
        <f>#REF!</f>
        <v>#REF!</v>
      </c>
      <c r="D2026" s="31" t="e">
        <f>#REF!</f>
        <v>#REF!</v>
      </c>
      <c r="E2026" s="31" t="e">
        <f>#REF!</f>
        <v>#REF!</v>
      </c>
      <c r="F2026" s="31" t="e">
        <f>#REF!</f>
        <v>#REF!</v>
      </c>
      <c r="G2026" s="31" t="e">
        <f>#REF!</f>
        <v>#REF!</v>
      </c>
      <c r="H2026" s="31" t="e">
        <f>#REF!</f>
        <v>#REF!</v>
      </c>
      <c r="I2026" s="31">
        <f>'تقرير المصروفات حسب الشهر'!U794</f>
        <v>0</v>
      </c>
      <c r="J2026" s="31">
        <f>'تقرير المصروفات حسب الشهر'!U921</f>
        <v>0</v>
      </c>
      <c r="K2026" s="31">
        <f>'تقرير المصروفات حسب الشهر'!U1048</f>
        <v>0</v>
      </c>
      <c r="L2026" s="292">
        <f>IFERROR(VLOOKUP(B2026,'تقرير المصروفات حسب الشهر'!$C$1143:$AD$1254,19,FALSE),0)</f>
        <v>0</v>
      </c>
      <c r="M2026" s="292">
        <f>IFERROR(VLOOKUP(B2026,'تقرير المصروفات حسب الشهر'!$C$1270:$AD$1381,19,FALSE),0)</f>
        <v>0</v>
      </c>
      <c r="N2026" s="31" t="e">
        <f>#REF!</f>
        <v>#REF!</v>
      </c>
      <c r="O2026" s="37" t="e">
        <f t="shared" si="51"/>
        <v>#REF!</v>
      </c>
    </row>
    <row r="2027" spans="2:15" ht="17.399999999999999">
      <c r="B2027" s="42" t="s">
        <v>64</v>
      </c>
      <c r="C2027" s="39" t="e">
        <f>#REF!</f>
        <v>#REF!</v>
      </c>
      <c r="D2027" s="31" t="e">
        <f>#REF!</f>
        <v>#REF!</v>
      </c>
      <c r="E2027" s="31" t="e">
        <f>#REF!</f>
        <v>#REF!</v>
      </c>
      <c r="F2027" s="31" t="e">
        <f>#REF!</f>
        <v>#REF!</v>
      </c>
      <c r="G2027" s="31" t="e">
        <f>#REF!</f>
        <v>#REF!</v>
      </c>
      <c r="H2027" s="31" t="e">
        <f>#REF!</f>
        <v>#REF!</v>
      </c>
      <c r="I2027" s="31">
        <f>'تقرير المصروفات حسب الشهر'!U795</f>
        <v>400</v>
      </c>
      <c r="J2027" s="31">
        <f>'تقرير المصروفات حسب الشهر'!U922</f>
        <v>0</v>
      </c>
      <c r="K2027" s="31">
        <f>'تقرير المصروفات حسب الشهر'!U1049</f>
        <v>0</v>
      </c>
      <c r="L2027" s="292">
        <f>IFERROR(VLOOKUP(B2027,'تقرير المصروفات حسب الشهر'!$C$1143:$AD$1254,19,FALSE),0)</f>
        <v>400</v>
      </c>
      <c r="M2027" s="292">
        <f>IFERROR(VLOOKUP(B2027,'تقرير المصروفات حسب الشهر'!$C$1270:$AD$1381,19,FALSE),0)</f>
        <v>0</v>
      </c>
      <c r="N2027" s="31" t="e">
        <f>#REF!</f>
        <v>#REF!</v>
      </c>
      <c r="O2027" s="37" t="e">
        <f t="shared" si="51"/>
        <v>#REF!</v>
      </c>
    </row>
    <row r="2028" spans="2:15" ht="17.399999999999999">
      <c r="B2028" s="42" t="s">
        <v>28</v>
      </c>
      <c r="C2028" s="39" t="e">
        <f>#REF!</f>
        <v>#REF!</v>
      </c>
      <c r="D2028" s="31" t="e">
        <f>#REF!</f>
        <v>#REF!</v>
      </c>
      <c r="E2028" s="31" t="e">
        <f>#REF!</f>
        <v>#REF!</v>
      </c>
      <c r="F2028" s="31" t="e">
        <f>#REF!</f>
        <v>#REF!</v>
      </c>
      <c r="G2028" s="31" t="e">
        <f>#REF!</f>
        <v>#REF!</v>
      </c>
      <c r="H2028" s="31" t="e">
        <f>#REF!</f>
        <v>#REF!</v>
      </c>
      <c r="I2028" s="31">
        <f>'تقرير المصروفات حسب الشهر'!U796</f>
        <v>0</v>
      </c>
      <c r="J2028" s="31">
        <f>'تقرير المصروفات حسب الشهر'!U923</f>
        <v>0</v>
      </c>
      <c r="K2028" s="31">
        <f>'تقرير المصروفات حسب الشهر'!U1050</f>
        <v>0</v>
      </c>
      <c r="L2028" s="292">
        <f>IFERROR(VLOOKUP(B2028,'تقرير المصروفات حسب الشهر'!$C$1143:$AD$1254,19,FALSE),0)</f>
        <v>0</v>
      </c>
      <c r="M2028" s="292">
        <f>IFERROR(VLOOKUP(B2028,'تقرير المصروفات حسب الشهر'!$C$1270:$AD$1381,19,FALSE),0)</f>
        <v>0</v>
      </c>
      <c r="N2028" s="31" t="e">
        <f>#REF!</f>
        <v>#REF!</v>
      </c>
      <c r="O2028" s="37" t="e">
        <f t="shared" si="51"/>
        <v>#REF!</v>
      </c>
    </row>
    <row r="2029" spans="2:15" ht="17.399999999999999">
      <c r="B2029" s="42" t="s">
        <v>157</v>
      </c>
      <c r="C2029" s="39" t="e">
        <f>#REF!</f>
        <v>#REF!</v>
      </c>
      <c r="D2029" s="31" t="e">
        <f>#REF!</f>
        <v>#REF!</v>
      </c>
      <c r="E2029" s="31" t="e">
        <f>#REF!</f>
        <v>#REF!</v>
      </c>
      <c r="F2029" s="31" t="e">
        <f>#REF!</f>
        <v>#REF!</v>
      </c>
      <c r="G2029" s="31" t="e">
        <f>#REF!</f>
        <v>#REF!</v>
      </c>
      <c r="H2029" s="31" t="e">
        <f>#REF!</f>
        <v>#REF!</v>
      </c>
      <c r="I2029" s="31">
        <f>'تقرير المصروفات حسب الشهر'!U797</f>
        <v>0</v>
      </c>
      <c r="J2029" s="31">
        <f>'تقرير المصروفات حسب الشهر'!U924</f>
        <v>0</v>
      </c>
      <c r="K2029" s="31">
        <f>'تقرير المصروفات حسب الشهر'!U1051</f>
        <v>0</v>
      </c>
      <c r="L2029" s="292">
        <f>IFERROR(VLOOKUP(B2029,'تقرير المصروفات حسب الشهر'!$C$1143:$AD$1254,19,FALSE),0)</f>
        <v>0</v>
      </c>
      <c r="M2029" s="292">
        <f>IFERROR(VLOOKUP(B2029,'تقرير المصروفات حسب الشهر'!$C$1270:$AD$1381,19,FALSE),0)</f>
        <v>0</v>
      </c>
      <c r="N2029" s="31" t="e">
        <f>#REF!</f>
        <v>#REF!</v>
      </c>
      <c r="O2029" s="37" t="e">
        <f t="shared" si="51"/>
        <v>#REF!</v>
      </c>
    </row>
    <row r="2030" spans="2:15" ht="17.399999999999999">
      <c r="B2030" s="42" t="s">
        <v>65</v>
      </c>
      <c r="C2030" s="39" t="e">
        <f>#REF!</f>
        <v>#REF!</v>
      </c>
      <c r="D2030" s="31" t="e">
        <f>#REF!</f>
        <v>#REF!</v>
      </c>
      <c r="E2030" s="31" t="e">
        <f>#REF!</f>
        <v>#REF!</v>
      </c>
      <c r="F2030" s="31" t="e">
        <f>#REF!</f>
        <v>#REF!</v>
      </c>
      <c r="G2030" s="31" t="e">
        <f>#REF!</f>
        <v>#REF!</v>
      </c>
      <c r="H2030" s="31" t="e">
        <f>#REF!</f>
        <v>#REF!</v>
      </c>
      <c r="I2030" s="31">
        <f>'تقرير المصروفات حسب الشهر'!U798</f>
        <v>0</v>
      </c>
      <c r="J2030" s="31">
        <f>'تقرير المصروفات حسب الشهر'!U925</f>
        <v>0</v>
      </c>
      <c r="K2030" s="31">
        <f>'تقرير المصروفات حسب الشهر'!U1052</f>
        <v>0</v>
      </c>
      <c r="L2030" s="292">
        <f>IFERROR(VLOOKUP(B2030,'تقرير المصروفات حسب الشهر'!$C$1143:$AD$1254,19,FALSE),0)</f>
        <v>0</v>
      </c>
      <c r="M2030" s="292">
        <f>IFERROR(VLOOKUP(B2030,'تقرير المصروفات حسب الشهر'!$C$1270:$AD$1381,19,FALSE),0)</f>
        <v>0</v>
      </c>
      <c r="N2030" s="31" t="e">
        <f>#REF!</f>
        <v>#REF!</v>
      </c>
      <c r="O2030" s="37" t="e">
        <f t="shared" si="51"/>
        <v>#REF!</v>
      </c>
    </row>
    <row r="2031" spans="2:15" ht="17.399999999999999">
      <c r="B2031" s="42" t="s">
        <v>66</v>
      </c>
      <c r="C2031" s="39" t="e">
        <f>#REF!</f>
        <v>#REF!</v>
      </c>
      <c r="D2031" s="31" t="e">
        <f>#REF!</f>
        <v>#REF!</v>
      </c>
      <c r="E2031" s="31" t="e">
        <f>#REF!</f>
        <v>#REF!</v>
      </c>
      <c r="F2031" s="31" t="e">
        <f>#REF!</f>
        <v>#REF!</v>
      </c>
      <c r="G2031" s="31" t="e">
        <f>#REF!</f>
        <v>#REF!</v>
      </c>
      <c r="H2031" s="31" t="e">
        <f>#REF!</f>
        <v>#REF!</v>
      </c>
      <c r="I2031" s="31">
        <f>'تقرير المصروفات حسب الشهر'!U799</f>
        <v>0</v>
      </c>
      <c r="J2031" s="31">
        <f>'تقرير المصروفات حسب الشهر'!U926</f>
        <v>0</v>
      </c>
      <c r="K2031" s="31">
        <f>'تقرير المصروفات حسب الشهر'!U1053</f>
        <v>0</v>
      </c>
      <c r="L2031" s="292">
        <f>IFERROR(VLOOKUP(B2031,'تقرير المصروفات حسب الشهر'!$C$1143:$AD$1254,19,FALSE),0)</f>
        <v>0</v>
      </c>
      <c r="M2031" s="292">
        <f>IFERROR(VLOOKUP(B2031,'تقرير المصروفات حسب الشهر'!$C$1270:$AD$1381,19,FALSE),0)</f>
        <v>0</v>
      </c>
      <c r="N2031" s="31" t="e">
        <f>#REF!</f>
        <v>#REF!</v>
      </c>
      <c r="O2031" s="37" t="e">
        <f t="shared" si="51"/>
        <v>#REF!</v>
      </c>
    </row>
    <row r="2032" spans="2:15" ht="17.399999999999999">
      <c r="B2032" s="42" t="s">
        <v>30</v>
      </c>
      <c r="C2032" s="39" t="e">
        <f>#REF!</f>
        <v>#REF!</v>
      </c>
      <c r="D2032" s="31" t="e">
        <f>#REF!</f>
        <v>#REF!</v>
      </c>
      <c r="E2032" s="31" t="e">
        <f>#REF!</f>
        <v>#REF!</v>
      </c>
      <c r="F2032" s="31" t="e">
        <f>#REF!</f>
        <v>#REF!</v>
      </c>
      <c r="G2032" s="31" t="e">
        <f>#REF!</f>
        <v>#REF!</v>
      </c>
      <c r="H2032" s="31" t="e">
        <f>#REF!</f>
        <v>#REF!</v>
      </c>
      <c r="I2032" s="31">
        <f>'تقرير المصروفات حسب الشهر'!U800</f>
        <v>1400.25</v>
      </c>
      <c r="J2032" s="31">
        <f>'تقرير المصروفات حسب الشهر'!U927</f>
        <v>0</v>
      </c>
      <c r="K2032" s="31">
        <f>'تقرير المصروفات حسب الشهر'!U1054</f>
        <v>3125.25</v>
      </c>
      <c r="L2032" s="292">
        <f>IFERROR(VLOOKUP(B2032,'تقرير المصروفات حسب الشهر'!$C$1143:$AD$1254,19,FALSE),0)</f>
        <v>1300</v>
      </c>
      <c r="M2032" s="292">
        <f>IFERROR(VLOOKUP(B2032,'تقرير المصروفات حسب الشهر'!$C$1270:$AD$1381,19,FALSE),0)</f>
        <v>2600.25</v>
      </c>
      <c r="N2032" s="31" t="e">
        <f>#REF!</f>
        <v>#REF!</v>
      </c>
      <c r="O2032" s="37" t="e">
        <f t="shared" si="51"/>
        <v>#REF!</v>
      </c>
    </row>
    <row r="2033" spans="2:15" ht="17.399999999999999">
      <c r="B2033" s="42" t="s">
        <v>67</v>
      </c>
      <c r="C2033" s="39" t="e">
        <f>#REF!</f>
        <v>#REF!</v>
      </c>
      <c r="D2033" s="31" t="e">
        <f>#REF!</f>
        <v>#REF!</v>
      </c>
      <c r="E2033" s="31" t="e">
        <f>#REF!</f>
        <v>#REF!</v>
      </c>
      <c r="F2033" s="31" t="e">
        <f>#REF!</f>
        <v>#REF!</v>
      </c>
      <c r="G2033" s="31" t="e">
        <f>#REF!</f>
        <v>#REF!</v>
      </c>
      <c r="H2033" s="31" t="e">
        <f>#REF!</f>
        <v>#REF!</v>
      </c>
      <c r="I2033" s="31">
        <f>'تقرير المصروفات حسب الشهر'!U801</f>
        <v>0</v>
      </c>
      <c r="J2033" s="31">
        <f>'تقرير المصروفات حسب الشهر'!U928</f>
        <v>1650</v>
      </c>
      <c r="K2033" s="31">
        <f>'تقرير المصروفات حسب الشهر'!U1055</f>
        <v>0</v>
      </c>
      <c r="L2033" s="292">
        <f>IFERROR(VLOOKUP(B2033,'تقرير المصروفات حسب الشهر'!$C$1143:$AD$1254,19,FALSE),0)</f>
        <v>3300</v>
      </c>
      <c r="M2033" s="292">
        <f>IFERROR(VLOOKUP(B2033,'تقرير المصروفات حسب الشهر'!$C$1270:$AD$1381,19,FALSE),0)</f>
        <v>0</v>
      </c>
      <c r="N2033" s="31" t="e">
        <f>#REF!</f>
        <v>#REF!</v>
      </c>
      <c r="O2033" s="37" t="e">
        <f t="shared" si="51"/>
        <v>#REF!</v>
      </c>
    </row>
    <row r="2034" spans="2:15" ht="17.399999999999999">
      <c r="B2034" s="42" t="s">
        <v>111</v>
      </c>
      <c r="C2034" s="39" t="e">
        <f>#REF!</f>
        <v>#REF!</v>
      </c>
      <c r="D2034" s="31" t="e">
        <f>#REF!</f>
        <v>#REF!</v>
      </c>
      <c r="E2034" s="31" t="e">
        <f>#REF!</f>
        <v>#REF!</v>
      </c>
      <c r="F2034" s="31" t="e">
        <f>#REF!</f>
        <v>#REF!</v>
      </c>
      <c r="G2034" s="31" t="e">
        <f>#REF!</f>
        <v>#REF!</v>
      </c>
      <c r="H2034" s="31" t="e">
        <f>#REF!</f>
        <v>#REF!</v>
      </c>
      <c r="I2034" s="31">
        <f>'تقرير المصروفات حسب الشهر'!U802</f>
        <v>0</v>
      </c>
      <c r="J2034" s="31">
        <f>'تقرير المصروفات حسب الشهر'!U929</f>
        <v>0</v>
      </c>
      <c r="K2034" s="31">
        <f>'تقرير المصروفات حسب الشهر'!U1056</f>
        <v>350</v>
      </c>
      <c r="L2034" s="292">
        <f>IFERROR(VLOOKUP(B2034,'تقرير المصروفات حسب الشهر'!$C$1143:$AD$1254,19,FALSE),0)</f>
        <v>0</v>
      </c>
      <c r="M2034" s="292">
        <f>IFERROR(VLOOKUP(B2034,'تقرير المصروفات حسب الشهر'!$C$1270:$AD$1381,19,FALSE),0)</f>
        <v>0</v>
      </c>
      <c r="N2034" s="31" t="e">
        <f>#REF!</f>
        <v>#REF!</v>
      </c>
      <c r="O2034" s="37" t="e">
        <f t="shared" si="51"/>
        <v>#REF!</v>
      </c>
    </row>
    <row r="2035" spans="2:15" ht="17.399999999999999">
      <c r="B2035" s="42" t="s">
        <v>68</v>
      </c>
      <c r="C2035" s="39" t="e">
        <f>#REF!</f>
        <v>#REF!</v>
      </c>
      <c r="D2035" s="31" t="e">
        <f>#REF!</f>
        <v>#REF!</v>
      </c>
      <c r="E2035" s="31" t="e">
        <f>#REF!</f>
        <v>#REF!</v>
      </c>
      <c r="F2035" s="31" t="e">
        <f>#REF!</f>
        <v>#REF!</v>
      </c>
      <c r="G2035" s="31" t="e">
        <f>#REF!</f>
        <v>#REF!</v>
      </c>
      <c r="H2035" s="31" t="e">
        <f>#REF!</f>
        <v>#REF!</v>
      </c>
      <c r="I2035" s="31">
        <f>'تقرير المصروفات حسب الشهر'!U803</f>
        <v>0</v>
      </c>
      <c r="J2035" s="31">
        <f>'تقرير المصروفات حسب الشهر'!U930</f>
        <v>0</v>
      </c>
      <c r="K2035" s="31">
        <f>'تقرير المصروفات حسب الشهر'!U1057</f>
        <v>0</v>
      </c>
      <c r="L2035" s="292">
        <f>IFERROR(VLOOKUP(B2035,'تقرير المصروفات حسب الشهر'!$C$1143:$AD$1254,19,FALSE),0)</f>
        <v>0</v>
      </c>
      <c r="M2035" s="292">
        <f>IFERROR(VLOOKUP(B2035,'تقرير المصروفات حسب الشهر'!$C$1270:$AD$1381,19,FALSE),0)</f>
        <v>0</v>
      </c>
      <c r="N2035" s="31" t="e">
        <f>#REF!</f>
        <v>#REF!</v>
      </c>
      <c r="O2035" s="37" t="e">
        <f t="shared" si="51"/>
        <v>#REF!</v>
      </c>
    </row>
    <row r="2036" spans="2:15" ht="17.399999999999999">
      <c r="B2036" s="42" t="s">
        <v>69</v>
      </c>
      <c r="C2036" s="39" t="e">
        <f>#REF!</f>
        <v>#REF!</v>
      </c>
      <c r="D2036" s="31" t="e">
        <f>#REF!</f>
        <v>#REF!</v>
      </c>
      <c r="E2036" s="31" t="e">
        <f>#REF!</f>
        <v>#REF!</v>
      </c>
      <c r="F2036" s="31" t="e">
        <f>#REF!</f>
        <v>#REF!</v>
      </c>
      <c r="G2036" s="31" t="e">
        <f>#REF!</f>
        <v>#REF!</v>
      </c>
      <c r="H2036" s="31" t="e">
        <f>#REF!</f>
        <v>#REF!</v>
      </c>
      <c r="I2036" s="31">
        <f>'تقرير المصروفات حسب الشهر'!U804</f>
        <v>0</v>
      </c>
      <c r="J2036" s="31">
        <f>'تقرير المصروفات حسب الشهر'!U931</f>
        <v>0</v>
      </c>
      <c r="K2036" s="31">
        <f>'تقرير المصروفات حسب الشهر'!U1058</f>
        <v>0</v>
      </c>
      <c r="L2036" s="292">
        <f>IFERROR(VLOOKUP(B2036,'تقرير المصروفات حسب الشهر'!$C$1143:$AD$1254,19,FALSE),0)</f>
        <v>0</v>
      </c>
      <c r="M2036" s="292">
        <f>IFERROR(VLOOKUP(B2036,'تقرير المصروفات حسب الشهر'!$C$1270:$AD$1381,19,FALSE),0)</f>
        <v>0</v>
      </c>
      <c r="N2036" s="31" t="e">
        <f>#REF!</f>
        <v>#REF!</v>
      </c>
      <c r="O2036" s="37" t="e">
        <f t="shared" si="51"/>
        <v>#REF!</v>
      </c>
    </row>
    <row r="2037" spans="2:15" ht="17.399999999999999">
      <c r="B2037" s="42" t="s">
        <v>70</v>
      </c>
      <c r="C2037" s="39" t="e">
        <f>#REF!</f>
        <v>#REF!</v>
      </c>
      <c r="D2037" s="31" t="e">
        <f>#REF!</f>
        <v>#REF!</v>
      </c>
      <c r="E2037" s="31" t="e">
        <f>#REF!</f>
        <v>#REF!</v>
      </c>
      <c r="F2037" s="31" t="e">
        <f>#REF!</f>
        <v>#REF!</v>
      </c>
      <c r="G2037" s="31" t="e">
        <f>#REF!</f>
        <v>#REF!</v>
      </c>
      <c r="H2037" s="31" t="e">
        <f>#REF!</f>
        <v>#REF!</v>
      </c>
      <c r="I2037" s="31">
        <f>'تقرير المصروفات حسب الشهر'!U805</f>
        <v>0</v>
      </c>
      <c r="J2037" s="31">
        <f>'تقرير المصروفات حسب الشهر'!U932</f>
        <v>0</v>
      </c>
      <c r="K2037" s="31">
        <f>'تقرير المصروفات حسب الشهر'!U1059</f>
        <v>0</v>
      </c>
      <c r="L2037" s="292">
        <f>IFERROR(VLOOKUP(B2037,'تقرير المصروفات حسب الشهر'!$C$1143:$AD$1254,19,FALSE),0)</f>
        <v>0</v>
      </c>
      <c r="M2037" s="292">
        <f>IFERROR(VLOOKUP(B2037,'تقرير المصروفات حسب الشهر'!$C$1270:$AD$1381,19,FALSE),0)</f>
        <v>0</v>
      </c>
      <c r="N2037" s="31" t="e">
        <f>#REF!</f>
        <v>#REF!</v>
      </c>
      <c r="O2037" s="37" t="e">
        <f t="shared" si="51"/>
        <v>#REF!</v>
      </c>
    </row>
    <row r="2038" spans="2:15" ht="17.399999999999999">
      <c r="B2038" s="42" t="s">
        <v>71</v>
      </c>
      <c r="C2038" s="39" t="e">
        <f>#REF!</f>
        <v>#REF!</v>
      </c>
      <c r="D2038" s="31" t="e">
        <f>#REF!</f>
        <v>#REF!</v>
      </c>
      <c r="E2038" s="31" t="e">
        <f>#REF!</f>
        <v>#REF!</v>
      </c>
      <c r="F2038" s="31" t="e">
        <f>#REF!</f>
        <v>#REF!</v>
      </c>
      <c r="G2038" s="31" t="e">
        <f>#REF!</f>
        <v>#REF!</v>
      </c>
      <c r="H2038" s="31" t="e">
        <f>#REF!</f>
        <v>#REF!</v>
      </c>
      <c r="I2038" s="31">
        <f>'تقرير المصروفات حسب الشهر'!U806</f>
        <v>0</v>
      </c>
      <c r="J2038" s="31">
        <f>'تقرير المصروفات حسب الشهر'!U933</f>
        <v>0</v>
      </c>
      <c r="K2038" s="31">
        <f>'تقرير المصروفات حسب الشهر'!U1060</f>
        <v>0</v>
      </c>
      <c r="L2038" s="292">
        <f>IFERROR(VLOOKUP(B2038,'تقرير المصروفات حسب الشهر'!$C$1143:$AD$1254,19,FALSE),0)</f>
        <v>0</v>
      </c>
      <c r="M2038" s="292">
        <f>IFERROR(VLOOKUP(B2038,'تقرير المصروفات حسب الشهر'!$C$1270:$AD$1381,19,FALSE),0)</f>
        <v>0</v>
      </c>
      <c r="N2038" s="31" t="e">
        <f>#REF!</f>
        <v>#REF!</v>
      </c>
      <c r="O2038" s="37" t="e">
        <f t="shared" si="51"/>
        <v>#REF!</v>
      </c>
    </row>
    <row r="2039" spans="2:15" ht="17.399999999999999">
      <c r="B2039" s="42" t="s">
        <v>159</v>
      </c>
      <c r="C2039" s="39" t="e">
        <f>#REF!</f>
        <v>#REF!</v>
      </c>
      <c r="D2039" s="31" t="e">
        <f>#REF!</f>
        <v>#REF!</v>
      </c>
      <c r="E2039" s="31" t="e">
        <f>#REF!</f>
        <v>#REF!</v>
      </c>
      <c r="F2039" s="31" t="e">
        <f>#REF!</f>
        <v>#REF!</v>
      </c>
      <c r="G2039" s="31" t="e">
        <f>#REF!</f>
        <v>#REF!</v>
      </c>
      <c r="H2039" s="31" t="e">
        <f>#REF!</f>
        <v>#REF!</v>
      </c>
      <c r="I2039" s="31">
        <f>'تقرير المصروفات حسب الشهر'!U807</f>
        <v>0</v>
      </c>
      <c r="J2039" s="31">
        <f>'تقرير المصروفات حسب الشهر'!U934</f>
        <v>0</v>
      </c>
      <c r="K2039" s="31">
        <f>'تقرير المصروفات حسب الشهر'!U1061</f>
        <v>0</v>
      </c>
      <c r="L2039" s="292">
        <f>IFERROR(VLOOKUP(B2039,'تقرير المصروفات حسب الشهر'!$C$1143:$AD$1254,19,FALSE),0)</f>
        <v>0</v>
      </c>
      <c r="M2039" s="292">
        <f>IFERROR(VLOOKUP(B2039,'تقرير المصروفات حسب الشهر'!$C$1270:$AD$1381,19,FALSE),0)</f>
        <v>0</v>
      </c>
      <c r="N2039" s="31" t="e">
        <f>#REF!</f>
        <v>#REF!</v>
      </c>
      <c r="O2039" s="37" t="e">
        <f t="shared" si="51"/>
        <v>#REF!</v>
      </c>
    </row>
    <row r="2040" spans="2:15" ht="17.399999999999999">
      <c r="B2040" s="42" t="s">
        <v>72</v>
      </c>
      <c r="C2040" s="39" t="e">
        <f>#REF!</f>
        <v>#REF!</v>
      </c>
      <c r="D2040" s="31" t="e">
        <f>#REF!</f>
        <v>#REF!</v>
      </c>
      <c r="E2040" s="31" t="e">
        <f>#REF!</f>
        <v>#REF!</v>
      </c>
      <c r="F2040" s="31" t="e">
        <f>#REF!</f>
        <v>#REF!</v>
      </c>
      <c r="G2040" s="31" t="e">
        <f>#REF!</f>
        <v>#REF!</v>
      </c>
      <c r="H2040" s="31" t="e">
        <f>#REF!</f>
        <v>#REF!</v>
      </c>
      <c r="I2040" s="31">
        <f>'تقرير المصروفات حسب الشهر'!U808</f>
        <v>0</v>
      </c>
      <c r="J2040" s="31">
        <f>'تقرير المصروفات حسب الشهر'!U935</f>
        <v>0</v>
      </c>
      <c r="K2040" s="31">
        <f>'تقرير المصروفات حسب الشهر'!U1062</f>
        <v>0</v>
      </c>
      <c r="L2040" s="292">
        <f>IFERROR(VLOOKUP(B2040,'تقرير المصروفات حسب الشهر'!$C$1143:$AD$1254,19,FALSE),0)</f>
        <v>0</v>
      </c>
      <c r="M2040" s="292">
        <f>IFERROR(VLOOKUP(B2040,'تقرير المصروفات حسب الشهر'!$C$1270:$AD$1381,19,FALSE),0)</f>
        <v>0</v>
      </c>
      <c r="N2040" s="31" t="e">
        <f>#REF!</f>
        <v>#REF!</v>
      </c>
      <c r="O2040" s="37" t="e">
        <f t="shared" si="51"/>
        <v>#REF!</v>
      </c>
    </row>
    <row r="2041" spans="2:15" ht="17.399999999999999">
      <c r="B2041" s="42" t="s">
        <v>73</v>
      </c>
      <c r="C2041" s="39" t="e">
        <f>#REF!</f>
        <v>#REF!</v>
      </c>
      <c r="D2041" s="31" t="e">
        <f>#REF!</f>
        <v>#REF!</v>
      </c>
      <c r="E2041" s="31" t="e">
        <f>#REF!</f>
        <v>#REF!</v>
      </c>
      <c r="F2041" s="31" t="e">
        <f>#REF!</f>
        <v>#REF!</v>
      </c>
      <c r="G2041" s="31" t="e">
        <f>#REF!</f>
        <v>#REF!</v>
      </c>
      <c r="H2041" s="31" t="e">
        <f>#REF!</f>
        <v>#REF!</v>
      </c>
      <c r="I2041" s="31">
        <f>'تقرير المصروفات حسب الشهر'!U809</f>
        <v>0</v>
      </c>
      <c r="J2041" s="31">
        <f>'تقرير المصروفات حسب الشهر'!U936</f>
        <v>0</v>
      </c>
      <c r="K2041" s="31">
        <f>'تقرير المصروفات حسب الشهر'!U1063</f>
        <v>0</v>
      </c>
      <c r="L2041" s="292">
        <f>IFERROR(VLOOKUP(B2041,'تقرير المصروفات حسب الشهر'!$C$1143:$AD$1254,19,FALSE),0)</f>
        <v>0</v>
      </c>
      <c r="M2041" s="292">
        <f>IFERROR(VLOOKUP(B2041,'تقرير المصروفات حسب الشهر'!$C$1270:$AD$1381,19,FALSE),0)</f>
        <v>0</v>
      </c>
      <c r="N2041" s="31" t="e">
        <f>#REF!</f>
        <v>#REF!</v>
      </c>
      <c r="O2041" s="37" t="e">
        <f t="shared" si="51"/>
        <v>#REF!</v>
      </c>
    </row>
    <row r="2042" spans="2:15" ht="17.399999999999999">
      <c r="B2042" s="42" t="s">
        <v>74</v>
      </c>
      <c r="C2042" s="39" t="e">
        <f>#REF!</f>
        <v>#REF!</v>
      </c>
      <c r="D2042" s="31" t="e">
        <f>#REF!</f>
        <v>#REF!</v>
      </c>
      <c r="E2042" s="31" t="e">
        <f>#REF!</f>
        <v>#REF!</v>
      </c>
      <c r="F2042" s="31" t="e">
        <f>#REF!</f>
        <v>#REF!</v>
      </c>
      <c r="G2042" s="31" t="e">
        <f>#REF!</f>
        <v>#REF!</v>
      </c>
      <c r="H2042" s="31" t="e">
        <f>#REF!</f>
        <v>#REF!</v>
      </c>
      <c r="I2042" s="31">
        <f>'تقرير المصروفات حسب الشهر'!U810</f>
        <v>0</v>
      </c>
      <c r="J2042" s="31">
        <f>'تقرير المصروفات حسب الشهر'!U937</f>
        <v>0</v>
      </c>
      <c r="K2042" s="31">
        <f>'تقرير المصروفات حسب الشهر'!U1064</f>
        <v>0</v>
      </c>
      <c r="L2042" s="292">
        <f>IFERROR(VLOOKUP(B2042,'تقرير المصروفات حسب الشهر'!$C$1143:$AD$1254,19,FALSE),0)</f>
        <v>0</v>
      </c>
      <c r="M2042" s="292">
        <f>IFERROR(VLOOKUP(B2042,'تقرير المصروفات حسب الشهر'!$C$1270:$AD$1381,19,FALSE),0)</f>
        <v>0</v>
      </c>
      <c r="N2042" s="31" t="e">
        <f>#REF!</f>
        <v>#REF!</v>
      </c>
      <c r="O2042" s="37" t="e">
        <f t="shared" si="51"/>
        <v>#REF!</v>
      </c>
    </row>
    <row r="2043" spans="2:15" ht="17.399999999999999">
      <c r="B2043" s="42" t="s">
        <v>246</v>
      </c>
      <c r="C2043" s="39" t="e">
        <f>#REF!</f>
        <v>#REF!</v>
      </c>
      <c r="D2043" s="31" t="e">
        <f>#REF!</f>
        <v>#REF!</v>
      </c>
      <c r="E2043" s="31" t="e">
        <f>#REF!</f>
        <v>#REF!</v>
      </c>
      <c r="F2043" s="31" t="e">
        <f>#REF!</f>
        <v>#REF!</v>
      </c>
      <c r="G2043" s="31" t="e">
        <f>#REF!</f>
        <v>#REF!</v>
      </c>
      <c r="H2043" s="31" t="e">
        <f>#REF!</f>
        <v>#REF!</v>
      </c>
      <c r="I2043" s="31">
        <f>'تقرير المصروفات حسب الشهر'!U811</f>
        <v>0</v>
      </c>
      <c r="J2043" s="31">
        <f>'تقرير المصروفات حسب الشهر'!U938</f>
        <v>0</v>
      </c>
      <c r="K2043" s="31">
        <f>'تقرير المصروفات حسب الشهر'!U1065</f>
        <v>0</v>
      </c>
      <c r="L2043" s="292">
        <f>IFERROR(VLOOKUP(B2043,'تقرير المصروفات حسب الشهر'!$C$1143:$AD$1254,19,FALSE),0)</f>
        <v>0</v>
      </c>
      <c r="M2043" s="292">
        <f>IFERROR(VLOOKUP(B2043,'تقرير المصروفات حسب الشهر'!$C$1270:$AD$1381,19,FALSE),0)</f>
        <v>0</v>
      </c>
      <c r="N2043" s="31" t="e">
        <f>#REF!</f>
        <v>#REF!</v>
      </c>
      <c r="O2043" s="37" t="e">
        <f t="shared" si="51"/>
        <v>#REF!</v>
      </c>
    </row>
    <row r="2044" spans="2:15" ht="17.399999999999999">
      <c r="B2044" s="42" t="s">
        <v>75</v>
      </c>
      <c r="C2044" s="39" t="e">
        <f>#REF!</f>
        <v>#REF!</v>
      </c>
      <c r="D2044" s="31" t="e">
        <f>#REF!</f>
        <v>#REF!</v>
      </c>
      <c r="E2044" s="31" t="e">
        <f>#REF!</f>
        <v>#REF!</v>
      </c>
      <c r="F2044" s="31" t="e">
        <f>#REF!</f>
        <v>#REF!</v>
      </c>
      <c r="G2044" s="31" t="e">
        <f>#REF!</f>
        <v>#REF!</v>
      </c>
      <c r="H2044" s="31" t="e">
        <f>#REF!</f>
        <v>#REF!</v>
      </c>
      <c r="I2044" s="31">
        <f>'تقرير المصروفات حسب الشهر'!U812</f>
        <v>0</v>
      </c>
      <c r="J2044" s="31">
        <f>'تقرير المصروفات حسب الشهر'!U939</f>
        <v>0</v>
      </c>
      <c r="K2044" s="31">
        <f>'تقرير المصروفات حسب الشهر'!U1066</f>
        <v>0</v>
      </c>
      <c r="L2044" s="292">
        <f>IFERROR(VLOOKUP(B2044,'تقرير المصروفات حسب الشهر'!$C$1143:$AD$1254,19,FALSE),0)</f>
        <v>0</v>
      </c>
      <c r="M2044" s="292">
        <f>IFERROR(VLOOKUP(B2044,'تقرير المصروفات حسب الشهر'!$C$1270:$AD$1381,19,FALSE),0)</f>
        <v>0</v>
      </c>
      <c r="N2044" s="31" t="e">
        <f>#REF!</f>
        <v>#REF!</v>
      </c>
      <c r="O2044" s="37" t="e">
        <f t="shared" si="51"/>
        <v>#REF!</v>
      </c>
    </row>
    <row r="2045" spans="2:15" ht="17.399999999999999">
      <c r="B2045" s="42" t="s">
        <v>76</v>
      </c>
      <c r="C2045" s="39" t="e">
        <f>#REF!</f>
        <v>#REF!</v>
      </c>
      <c r="D2045" s="31" t="e">
        <f>#REF!</f>
        <v>#REF!</v>
      </c>
      <c r="E2045" s="31" t="e">
        <f>#REF!</f>
        <v>#REF!</v>
      </c>
      <c r="F2045" s="31" t="e">
        <f>#REF!</f>
        <v>#REF!</v>
      </c>
      <c r="G2045" s="31" t="e">
        <f>#REF!</f>
        <v>#REF!</v>
      </c>
      <c r="H2045" s="31" t="e">
        <f>#REF!</f>
        <v>#REF!</v>
      </c>
      <c r="I2045" s="31">
        <f>'تقرير المصروفات حسب الشهر'!U813</f>
        <v>0</v>
      </c>
      <c r="J2045" s="31">
        <f>'تقرير المصروفات حسب الشهر'!U940</f>
        <v>0</v>
      </c>
      <c r="K2045" s="31">
        <f>'تقرير المصروفات حسب الشهر'!U1067</f>
        <v>0</v>
      </c>
      <c r="L2045" s="292">
        <f>IFERROR(VLOOKUP(B2045,'تقرير المصروفات حسب الشهر'!$C$1143:$AD$1254,19,FALSE),0)</f>
        <v>0</v>
      </c>
      <c r="M2045" s="292">
        <f>IFERROR(VLOOKUP(B2045,'تقرير المصروفات حسب الشهر'!$C$1270:$AD$1381,19,FALSE),0)</f>
        <v>0</v>
      </c>
      <c r="N2045" s="31" t="e">
        <f>#REF!</f>
        <v>#REF!</v>
      </c>
      <c r="O2045" s="37" t="e">
        <f t="shared" si="51"/>
        <v>#REF!</v>
      </c>
    </row>
    <row r="2046" spans="2:15" ht="17.399999999999999">
      <c r="B2046" s="42" t="s">
        <v>77</v>
      </c>
      <c r="C2046" s="39" t="e">
        <f>#REF!</f>
        <v>#REF!</v>
      </c>
      <c r="D2046" s="31" t="e">
        <f>#REF!</f>
        <v>#REF!</v>
      </c>
      <c r="E2046" s="31" t="e">
        <f>#REF!</f>
        <v>#REF!</v>
      </c>
      <c r="F2046" s="31" t="e">
        <f>#REF!</f>
        <v>#REF!</v>
      </c>
      <c r="G2046" s="31" t="e">
        <f>#REF!</f>
        <v>#REF!</v>
      </c>
      <c r="H2046" s="31" t="e">
        <f>#REF!</f>
        <v>#REF!</v>
      </c>
      <c r="I2046" s="31">
        <f>'تقرير المصروفات حسب الشهر'!U814</f>
        <v>0</v>
      </c>
      <c r="J2046" s="31">
        <f>'تقرير المصروفات حسب الشهر'!U941</f>
        <v>0</v>
      </c>
      <c r="K2046" s="31">
        <f>'تقرير المصروفات حسب الشهر'!U1068</f>
        <v>0</v>
      </c>
      <c r="L2046" s="292">
        <f>IFERROR(VLOOKUP(B2046,'تقرير المصروفات حسب الشهر'!$C$1143:$AD$1254,19,FALSE),0)</f>
        <v>0</v>
      </c>
      <c r="M2046" s="292">
        <f>IFERROR(VLOOKUP(B2046,'تقرير المصروفات حسب الشهر'!$C$1270:$AD$1381,19,FALSE),0)</f>
        <v>0</v>
      </c>
      <c r="N2046" s="31" t="e">
        <f>#REF!</f>
        <v>#REF!</v>
      </c>
      <c r="O2046" s="37" t="e">
        <f t="shared" si="51"/>
        <v>#REF!</v>
      </c>
    </row>
    <row r="2047" spans="2:15" ht="17.399999999999999">
      <c r="B2047" s="42" t="s">
        <v>78</v>
      </c>
      <c r="C2047" s="39" t="e">
        <f>#REF!</f>
        <v>#REF!</v>
      </c>
      <c r="D2047" s="31" t="e">
        <f>#REF!</f>
        <v>#REF!</v>
      </c>
      <c r="E2047" s="31" t="e">
        <f>#REF!</f>
        <v>#REF!</v>
      </c>
      <c r="F2047" s="31" t="e">
        <f>#REF!</f>
        <v>#REF!</v>
      </c>
      <c r="G2047" s="31" t="e">
        <f>#REF!</f>
        <v>#REF!</v>
      </c>
      <c r="H2047" s="31" t="e">
        <f>#REF!</f>
        <v>#REF!</v>
      </c>
      <c r="I2047" s="31">
        <f>'تقرير المصروفات حسب الشهر'!U815</f>
        <v>0</v>
      </c>
      <c r="J2047" s="31">
        <f>'تقرير المصروفات حسب الشهر'!U942</f>
        <v>0</v>
      </c>
      <c r="K2047" s="31">
        <f>'تقرير المصروفات حسب الشهر'!U1069</f>
        <v>0</v>
      </c>
      <c r="L2047" s="292">
        <f>IFERROR(VLOOKUP(B2047,'تقرير المصروفات حسب الشهر'!$C$1143:$AD$1254,19,FALSE),0)</f>
        <v>0</v>
      </c>
      <c r="M2047" s="292">
        <f>IFERROR(VLOOKUP(B2047,'تقرير المصروفات حسب الشهر'!$C$1270:$AD$1381,19,FALSE),0)</f>
        <v>0</v>
      </c>
      <c r="N2047" s="31" t="e">
        <f>#REF!</f>
        <v>#REF!</v>
      </c>
      <c r="O2047" s="37" t="e">
        <f t="shared" si="51"/>
        <v>#REF!</v>
      </c>
    </row>
    <row r="2048" spans="2:15" ht="17.399999999999999">
      <c r="B2048" s="42" t="s">
        <v>79</v>
      </c>
      <c r="C2048" s="39" t="e">
        <f>#REF!</f>
        <v>#REF!</v>
      </c>
      <c r="D2048" s="31" t="e">
        <f>#REF!</f>
        <v>#REF!</v>
      </c>
      <c r="E2048" s="31" t="e">
        <f>#REF!</f>
        <v>#REF!</v>
      </c>
      <c r="F2048" s="31" t="e">
        <f>#REF!</f>
        <v>#REF!</v>
      </c>
      <c r="G2048" s="31" t="e">
        <f>#REF!</f>
        <v>#REF!</v>
      </c>
      <c r="H2048" s="31" t="e">
        <f>#REF!</f>
        <v>#REF!</v>
      </c>
      <c r="I2048" s="31">
        <f>'تقرير المصروفات حسب الشهر'!U816</f>
        <v>0</v>
      </c>
      <c r="J2048" s="31">
        <f>'تقرير المصروفات حسب الشهر'!U943</f>
        <v>0</v>
      </c>
      <c r="K2048" s="31">
        <f>'تقرير المصروفات حسب الشهر'!U1070</f>
        <v>0</v>
      </c>
      <c r="L2048" s="292">
        <f>IFERROR(VLOOKUP(B2048,'تقرير المصروفات حسب الشهر'!$C$1143:$AD$1254,19,FALSE),0)</f>
        <v>0</v>
      </c>
      <c r="M2048" s="292">
        <f>IFERROR(VLOOKUP(B2048,'تقرير المصروفات حسب الشهر'!$C$1270:$AD$1381,19,FALSE),0)</f>
        <v>0</v>
      </c>
      <c r="N2048" s="31" t="e">
        <f>#REF!</f>
        <v>#REF!</v>
      </c>
      <c r="O2048" s="37" t="e">
        <f t="shared" si="51"/>
        <v>#REF!</v>
      </c>
    </row>
    <row r="2049" spans="2:15" ht="17.399999999999999">
      <c r="B2049" s="42" t="s">
        <v>80</v>
      </c>
      <c r="C2049" s="39" t="e">
        <f>#REF!</f>
        <v>#REF!</v>
      </c>
      <c r="D2049" s="31" t="e">
        <f>#REF!</f>
        <v>#REF!</v>
      </c>
      <c r="E2049" s="31" t="e">
        <f>#REF!</f>
        <v>#REF!</v>
      </c>
      <c r="F2049" s="31" t="e">
        <f>#REF!</f>
        <v>#REF!</v>
      </c>
      <c r="G2049" s="31" t="e">
        <f>#REF!</f>
        <v>#REF!</v>
      </c>
      <c r="H2049" s="31" t="e">
        <f>#REF!</f>
        <v>#REF!</v>
      </c>
      <c r="I2049" s="31">
        <f>'تقرير المصروفات حسب الشهر'!U817</f>
        <v>0</v>
      </c>
      <c r="J2049" s="31">
        <f>'تقرير المصروفات حسب الشهر'!U944</f>
        <v>0</v>
      </c>
      <c r="K2049" s="31">
        <f>'تقرير المصروفات حسب الشهر'!U1071</f>
        <v>0</v>
      </c>
      <c r="L2049" s="292">
        <f>IFERROR(VLOOKUP(B2049,'تقرير المصروفات حسب الشهر'!$C$1143:$AD$1254,19,FALSE),0)</f>
        <v>0</v>
      </c>
      <c r="M2049" s="292">
        <f>IFERROR(VLOOKUP(B2049,'تقرير المصروفات حسب الشهر'!$C$1270:$AD$1381,19,FALSE),0)</f>
        <v>0</v>
      </c>
      <c r="N2049" s="31" t="e">
        <f>#REF!</f>
        <v>#REF!</v>
      </c>
      <c r="O2049" s="37" t="e">
        <f t="shared" si="51"/>
        <v>#REF!</v>
      </c>
    </row>
    <row r="2050" spans="2:15" ht="17.399999999999999">
      <c r="B2050" s="42" t="s">
        <v>81</v>
      </c>
      <c r="C2050" s="39" t="e">
        <f>#REF!</f>
        <v>#REF!</v>
      </c>
      <c r="D2050" s="31" t="e">
        <f>#REF!</f>
        <v>#REF!</v>
      </c>
      <c r="E2050" s="31" t="e">
        <f>#REF!</f>
        <v>#REF!</v>
      </c>
      <c r="F2050" s="31" t="e">
        <f>#REF!</f>
        <v>#REF!</v>
      </c>
      <c r="G2050" s="31" t="e">
        <f>#REF!</f>
        <v>#REF!</v>
      </c>
      <c r="H2050" s="31" t="e">
        <f>#REF!</f>
        <v>#REF!</v>
      </c>
      <c r="I2050" s="31">
        <f>'تقرير المصروفات حسب الشهر'!U818</f>
        <v>0</v>
      </c>
      <c r="J2050" s="31">
        <f>'تقرير المصروفات حسب الشهر'!U945</f>
        <v>0</v>
      </c>
      <c r="K2050" s="31">
        <f>'تقرير المصروفات حسب الشهر'!U1072</f>
        <v>0</v>
      </c>
      <c r="L2050" s="292">
        <f>IFERROR(VLOOKUP(B2050,'تقرير المصروفات حسب الشهر'!$C$1143:$AD$1254,19,FALSE),0)</f>
        <v>0</v>
      </c>
      <c r="M2050" s="292">
        <f>IFERROR(VLOOKUP(B2050,'تقرير المصروفات حسب الشهر'!$C$1270:$AD$1381,19,FALSE),0)</f>
        <v>0</v>
      </c>
      <c r="N2050" s="31" t="e">
        <f>#REF!</f>
        <v>#REF!</v>
      </c>
      <c r="O2050" s="37" t="e">
        <f t="shared" si="51"/>
        <v>#REF!</v>
      </c>
    </row>
    <row r="2051" spans="2:15" ht="17.399999999999999">
      <c r="B2051" s="42" t="s">
        <v>82</v>
      </c>
      <c r="C2051" s="39" t="e">
        <f>#REF!</f>
        <v>#REF!</v>
      </c>
      <c r="D2051" s="31" t="e">
        <f>#REF!</f>
        <v>#REF!</v>
      </c>
      <c r="E2051" s="31" t="e">
        <f>#REF!</f>
        <v>#REF!</v>
      </c>
      <c r="F2051" s="31" t="e">
        <f>#REF!</f>
        <v>#REF!</v>
      </c>
      <c r="G2051" s="31" t="e">
        <f>#REF!</f>
        <v>#REF!</v>
      </c>
      <c r="H2051" s="31" t="e">
        <f>#REF!</f>
        <v>#REF!</v>
      </c>
      <c r="I2051" s="31">
        <f>'تقرير المصروفات حسب الشهر'!U819</f>
        <v>0</v>
      </c>
      <c r="J2051" s="31">
        <f>'تقرير المصروفات حسب الشهر'!U946</f>
        <v>0</v>
      </c>
      <c r="K2051" s="31">
        <f>'تقرير المصروفات حسب الشهر'!U1073</f>
        <v>0</v>
      </c>
      <c r="L2051" s="292">
        <f>IFERROR(VLOOKUP(B2051,'تقرير المصروفات حسب الشهر'!$C$1143:$AD$1254,19,FALSE),0)</f>
        <v>0</v>
      </c>
      <c r="M2051" s="292">
        <f>IFERROR(VLOOKUP(B2051,'تقرير المصروفات حسب الشهر'!$C$1270:$AD$1381,19,FALSE),0)</f>
        <v>0</v>
      </c>
      <c r="N2051" s="31" t="e">
        <f>#REF!</f>
        <v>#REF!</v>
      </c>
      <c r="O2051" s="37" t="e">
        <f t="shared" si="51"/>
        <v>#REF!</v>
      </c>
    </row>
    <row r="2052" spans="2:15" ht="17.399999999999999">
      <c r="B2052" s="42" t="s">
        <v>83</v>
      </c>
      <c r="C2052" s="39" t="e">
        <f>#REF!</f>
        <v>#REF!</v>
      </c>
      <c r="D2052" s="31" t="e">
        <f>#REF!</f>
        <v>#REF!</v>
      </c>
      <c r="E2052" s="31" t="e">
        <f>#REF!</f>
        <v>#REF!</v>
      </c>
      <c r="F2052" s="31" t="e">
        <f>#REF!</f>
        <v>#REF!</v>
      </c>
      <c r="G2052" s="31" t="e">
        <f>#REF!</f>
        <v>#REF!</v>
      </c>
      <c r="H2052" s="31" t="e">
        <f>#REF!</f>
        <v>#REF!</v>
      </c>
      <c r="I2052" s="31">
        <f>'تقرير المصروفات حسب الشهر'!U820</f>
        <v>0</v>
      </c>
      <c r="J2052" s="31">
        <f>'تقرير المصروفات حسب الشهر'!U947</f>
        <v>0</v>
      </c>
      <c r="K2052" s="31">
        <f>'تقرير المصروفات حسب الشهر'!U1074</f>
        <v>0</v>
      </c>
      <c r="L2052" s="292">
        <f>IFERROR(VLOOKUP(B2052,'تقرير المصروفات حسب الشهر'!$C$1143:$AD$1254,19,FALSE),0)</f>
        <v>0</v>
      </c>
      <c r="M2052" s="292">
        <f>IFERROR(VLOOKUP(B2052,'تقرير المصروفات حسب الشهر'!$C$1270:$AD$1381,19,FALSE),0)</f>
        <v>0</v>
      </c>
      <c r="N2052" s="31" t="e">
        <f>#REF!</f>
        <v>#REF!</v>
      </c>
      <c r="O2052" s="37" t="e">
        <f t="shared" si="51"/>
        <v>#REF!</v>
      </c>
    </row>
    <row r="2053" spans="2:15" ht="17.399999999999999">
      <c r="B2053" s="42" t="s">
        <v>84</v>
      </c>
      <c r="C2053" s="39" t="e">
        <f>#REF!</f>
        <v>#REF!</v>
      </c>
      <c r="D2053" s="31" t="e">
        <f>#REF!</f>
        <v>#REF!</v>
      </c>
      <c r="E2053" s="31" t="e">
        <f>#REF!</f>
        <v>#REF!</v>
      </c>
      <c r="F2053" s="31" t="e">
        <f>#REF!</f>
        <v>#REF!</v>
      </c>
      <c r="G2053" s="31" t="e">
        <f>#REF!</f>
        <v>#REF!</v>
      </c>
      <c r="H2053" s="31" t="e">
        <f>#REF!</f>
        <v>#REF!</v>
      </c>
      <c r="I2053" s="31">
        <f>'تقرير المصروفات حسب الشهر'!U821</f>
        <v>0</v>
      </c>
      <c r="J2053" s="31">
        <f>'تقرير المصروفات حسب الشهر'!U948</f>
        <v>300</v>
      </c>
      <c r="K2053" s="31">
        <f>'تقرير المصروفات حسب الشهر'!U1075</f>
        <v>200</v>
      </c>
      <c r="L2053" s="292">
        <f>IFERROR(VLOOKUP(B2053,'تقرير المصروفات حسب الشهر'!$C$1143:$AD$1254,19,FALSE),0)</f>
        <v>0</v>
      </c>
      <c r="M2053" s="292">
        <f>IFERROR(VLOOKUP(B2053,'تقرير المصروفات حسب الشهر'!$C$1270:$AD$1381,19,FALSE),0)</f>
        <v>0</v>
      </c>
      <c r="N2053" s="31" t="e">
        <f>#REF!</f>
        <v>#REF!</v>
      </c>
      <c r="O2053" s="37" t="e">
        <f t="shared" si="51"/>
        <v>#REF!</v>
      </c>
    </row>
    <row r="2054" spans="2:15" ht="17.399999999999999">
      <c r="B2054" s="42" t="s">
        <v>85</v>
      </c>
      <c r="C2054" s="39" t="e">
        <f>#REF!</f>
        <v>#REF!</v>
      </c>
      <c r="D2054" s="31" t="e">
        <f>#REF!</f>
        <v>#REF!</v>
      </c>
      <c r="E2054" s="31" t="e">
        <f>#REF!</f>
        <v>#REF!</v>
      </c>
      <c r="F2054" s="31" t="e">
        <f>#REF!</f>
        <v>#REF!</v>
      </c>
      <c r="G2054" s="31" t="e">
        <f>#REF!</f>
        <v>#REF!</v>
      </c>
      <c r="H2054" s="31" t="e">
        <f>#REF!</f>
        <v>#REF!</v>
      </c>
      <c r="I2054" s="31">
        <f>'تقرير المصروفات حسب الشهر'!U822</f>
        <v>0</v>
      </c>
      <c r="J2054" s="31">
        <f>'تقرير المصروفات حسب الشهر'!U949</f>
        <v>0</v>
      </c>
      <c r="K2054" s="31">
        <f>'تقرير المصروفات حسب الشهر'!U1076</f>
        <v>0</v>
      </c>
      <c r="L2054" s="292">
        <f>IFERROR(VLOOKUP(B2054,'تقرير المصروفات حسب الشهر'!$C$1143:$AD$1254,19,FALSE),0)</f>
        <v>200</v>
      </c>
      <c r="M2054" s="292">
        <f>IFERROR(VLOOKUP(B2054,'تقرير المصروفات حسب الشهر'!$C$1270:$AD$1381,19,FALSE),0)</f>
        <v>200</v>
      </c>
      <c r="N2054" s="31" t="e">
        <f>#REF!</f>
        <v>#REF!</v>
      </c>
      <c r="O2054" s="37" t="e">
        <f t="shared" si="51"/>
        <v>#REF!</v>
      </c>
    </row>
    <row r="2055" spans="2:15" ht="17.399999999999999">
      <c r="B2055" s="42" t="s">
        <v>86</v>
      </c>
      <c r="C2055" s="39" t="e">
        <f>#REF!</f>
        <v>#REF!</v>
      </c>
      <c r="D2055" s="31" t="e">
        <f>#REF!</f>
        <v>#REF!</v>
      </c>
      <c r="E2055" s="31" t="e">
        <f>#REF!</f>
        <v>#REF!</v>
      </c>
      <c r="F2055" s="31" t="e">
        <f>#REF!</f>
        <v>#REF!</v>
      </c>
      <c r="G2055" s="31" t="e">
        <f>#REF!</f>
        <v>#REF!</v>
      </c>
      <c r="H2055" s="31" t="e">
        <f>#REF!</f>
        <v>#REF!</v>
      </c>
      <c r="I2055" s="31">
        <f>'تقرير المصروفات حسب الشهر'!U823</f>
        <v>0</v>
      </c>
      <c r="J2055" s="31">
        <f>'تقرير المصروفات حسب الشهر'!U950</f>
        <v>0</v>
      </c>
      <c r="K2055" s="31">
        <f>'تقرير المصروفات حسب الشهر'!U1077</f>
        <v>0</v>
      </c>
      <c r="L2055" s="292">
        <f>IFERROR(VLOOKUP(B2055,'تقرير المصروفات حسب الشهر'!$C$1143:$AD$1254,19,FALSE),0)</f>
        <v>0</v>
      </c>
      <c r="M2055" s="292">
        <f>IFERROR(VLOOKUP(B2055,'تقرير المصروفات حسب الشهر'!$C$1270:$AD$1381,19,FALSE),0)</f>
        <v>0</v>
      </c>
      <c r="N2055" s="31" t="e">
        <f>#REF!</f>
        <v>#REF!</v>
      </c>
      <c r="O2055" s="37" t="e">
        <f t="shared" si="51"/>
        <v>#REF!</v>
      </c>
    </row>
    <row r="2056" spans="2:15" ht="17.399999999999999">
      <c r="B2056" s="42" t="s">
        <v>87</v>
      </c>
      <c r="C2056" s="39" t="e">
        <f>#REF!</f>
        <v>#REF!</v>
      </c>
      <c r="D2056" s="31" t="e">
        <f>#REF!</f>
        <v>#REF!</v>
      </c>
      <c r="E2056" s="31" t="e">
        <f>#REF!</f>
        <v>#REF!</v>
      </c>
      <c r="F2056" s="31" t="e">
        <f>#REF!</f>
        <v>#REF!</v>
      </c>
      <c r="G2056" s="31" t="e">
        <f>#REF!</f>
        <v>#REF!</v>
      </c>
      <c r="H2056" s="31" t="e">
        <f>#REF!</f>
        <v>#REF!</v>
      </c>
      <c r="I2056" s="31">
        <f>'تقرير المصروفات حسب الشهر'!U824</f>
        <v>0</v>
      </c>
      <c r="J2056" s="31">
        <f>'تقرير المصروفات حسب الشهر'!U951</f>
        <v>0</v>
      </c>
      <c r="K2056" s="31">
        <f>'تقرير المصروفات حسب الشهر'!U1078</f>
        <v>0</v>
      </c>
      <c r="L2056" s="292">
        <f>IFERROR(VLOOKUP(B2056,'تقرير المصروفات حسب الشهر'!$C$1143:$AD$1254,19,FALSE),0)</f>
        <v>0</v>
      </c>
      <c r="M2056" s="292">
        <f>IFERROR(VLOOKUP(B2056,'تقرير المصروفات حسب الشهر'!$C$1270:$AD$1381,19,FALSE),0)</f>
        <v>0</v>
      </c>
      <c r="N2056" s="31" t="e">
        <f>#REF!</f>
        <v>#REF!</v>
      </c>
      <c r="O2056" s="37" t="e">
        <f t="shared" si="51"/>
        <v>#REF!</v>
      </c>
    </row>
    <row r="2057" spans="2:15" ht="17.399999999999999">
      <c r="B2057" s="42" t="s">
        <v>88</v>
      </c>
      <c r="C2057" s="39" t="e">
        <f>#REF!</f>
        <v>#REF!</v>
      </c>
      <c r="D2057" s="31" t="e">
        <f>#REF!</f>
        <v>#REF!</v>
      </c>
      <c r="E2057" s="31" t="e">
        <f>#REF!</f>
        <v>#REF!</v>
      </c>
      <c r="F2057" s="31" t="e">
        <f>#REF!</f>
        <v>#REF!</v>
      </c>
      <c r="G2057" s="31" t="e">
        <f>#REF!</f>
        <v>#REF!</v>
      </c>
      <c r="H2057" s="31" t="e">
        <f>#REF!</f>
        <v>#REF!</v>
      </c>
      <c r="I2057" s="31">
        <f>'تقرير المصروفات حسب الشهر'!U825</f>
        <v>0</v>
      </c>
      <c r="J2057" s="31">
        <f>'تقرير المصروفات حسب الشهر'!U952</f>
        <v>0</v>
      </c>
      <c r="K2057" s="31">
        <f>'تقرير المصروفات حسب الشهر'!U1079</f>
        <v>0</v>
      </c>
      <c r="L2057" s="292">
        <f>IFERROR(VLOOKUP(B2057,'تقرير المصروفات حسب الشهر'!$C$1143:$AD$1254,19,FALSE),0)</f>
        <v>0</v>
      </c>
      <c r="M2057" s="292">
        <f>IFERROR(VLOOKUP(B2057,'تقرير المصروفات حسب الشهر'!$C$1270:$AD$1381,19,FALSE),0)</f>
        <v>0</v>
      </c>
      <c r="N2057" s="31" t="e">
        <f>#REF!</f>
        <v>#REF!</v>
      </c>
      <c r="O2057" s="37" t="e">
        <f t="shared" si="51"/>
        <v>#REF!</v>
      </c>
    </row>
    <row r="2058" spans="2:15" ht="17.399999999999999">
      <c r="B2058" s="42" t="s">
        <v>89</v>
      </c>
      <c r="C2058" s="39" t="e">
        <f>#REF!</f>
        <v>#REF!</v>
      </c>
      <c r="D2058" s="31" t="e">
        <f>#REF!</f>
        <v>#REF!</v>
      </c>
      <c r="E2058" s="31" t="e">
        <f>#REF!</f>
        <v>#REF!</v>
      </c>
      <c r="F2058" s="31" t="e">
        <f>#REF!</f>
        <v>#REF!</v>
      </c>
      <c r="G2058" s="31" t="e">
        <f>#REF!</f>
        <v>#REF!</v>
      </c>
      <c r="H2058" s="31" t="e">
        <f>#REF!</f>
        <v>#REF!</v>
      </c>
      <c r="I2058" s="31">
        <f>'تقرير المصروفات حسب الشهر'!U826</f>
        <v>979</v>
      </c>
      <c r="J2058" s="31">
        <f>'تقرير المصروفات حسب الشهر'!U953</f>
        <v>0</v>
      </c>
      <c r="K2058" s="31">
        <f>'تقرير المصروفات حسب الشهر'!U1080</f>
        <v>0</v>
      </c>
      <c r="L2058" s="292">
        <f>IFERROR(VLOOKUP(B2058,'تقرير المصروفات حسب الشهر'!$C$1143:$AD$1254,19,FALSE),0)</f>
        <v>0</v>
      </c>
      <c r="M2058" s="292">
        <f>IFERROR(VLOOKUP(B2058,'تقرير المصروفات حسب الشهر'!$C$1270:$AD$1381,19,FALSE),0)</f>
        <v>0</v>
      </c>
      <c r="N2058" s="31" t="e">
        <f>#REF!</f>
        <v>#REF!</v>
      </c>
      <c r="O2058" s="37" t="e">
        <f t="shared" si="51"/>
        <v>#REF!</v>
      </c>
    </row>
    <row r="2059" spans="2:15" ht="17.399999999999999">
      <c r="B2059" s="42" t="s">
        <v>33</v>
      </c>
      <c r="C2059" s="39" t="e">
        <f>#REF!</f>
        <v>#REF!</v>
      </c>
      <c r="D2059" s="31" t="e">
        <f>#REF!</f>
        <v>#REF!</v>
      </c>
      <c r="E2059" s="31" t="e">
        <f>#REF!</f>
        <v>#REF!</v>
      </c>
      <c r="F2059" s="31" t="e">
        <f>#REF!</f>
        <v>#REF!</v>
      </c>
      <c r="G2059" s="31" t="e">
        <f>#REF!</f>
        <v>#REF!</v>
      </c>
      <c r="H2059" s="31" t="e">
        <f>#REF!</f>
        <v>#REF!</v>
      </c>
      <c r="I2059" s="31">
        <f>'تقرير المصروفات حسب الشهر'!U827</f>
        <v>0</v>
      </c>
      <c r="J2059" s="31">
        <f>'تقرير المصروفات حسب الشهر'!U954</f>
        <v>0</v>
      </c>
      <c r="K2059" s="31">
        <f>'تقرير المصروفات حسب الشهر'!U1081</f>
        <v>0</v>
      </c>
      <c r="L2059" s="292">
        <f>IFERROR(VLOOKUP(B2059,'تقرير المصروفات حسب الشهر'!$C$1143:$AD$1254,19,FALSE),0)</f>
        <v>0</v>
      </c>
      <c r="M2059" s="292">
        <f>IFERROR(VLOOKUP(B2059,'تقرير المصروفات حسب الشهر'!$C$1270:$AD$1381,19,FALSE),0)</f>
        <v>2207.5700000000002</v>
      </c>
      <c r="N2059" s="31" t="e">
        <f>#REF!</f>
        <v>#REF!</v>
      </c>
      <c r="O2059" s="37" t="e">
        <f t="shared" si="51"/>
        <v>#REF!</v>
      </c>
    </row>
    <row r="2060" spans="2:15" ht="17.399999999999999">
      <c r="B2060" s="42" t="s">
        <v>90</v>
      </c>
      <c r="C2060" s="39" t="e">
        <f>#REF!</f>
        <v>#REF!</v>
      </c>
      <c r="D2060" s="31" t="e">
        <f>#REF!</f>
        <v>#REF!</v>
      </c>
      <c r="E2060" s="31" t="e">
        <f>#REF!</f>
        <v>#REF!</v>
      </c>
      <c r="F2060" s="31" t="e">
        <f>#REF!</f>
        <v>#REF!</v>
      </c>
      <c r="G2060" s="31" t="e">
        <f>#REF!</f>
        <v>#REF!</v>
      </c>
      <c r="H2060" s="31" t="e">
        <f>#REF!</f>
        <v>#REF!</v>
      </c>
      <c r="I2060" s="31">
        <f>'تقرير المصروفات حسب الشهر'!U828</f>
        <v>0</v>
      </c>
      <c r="J2060" s="31">
        <f>'تقرير المصروفات حسب الشهر'!U955</f>
        <v>0</v>
      </c>
      <c r="K2060" s="31">
        <f>'تقرير المصروفات حسب الشهر'!U1082</f>
        <v>0</v>
      </c>
      <c r="L2060" s="292">
        <f>IFERROR(VLOOKUP(B2060,'تقرير المصروفات حسب الشهر'!$C$1143:$AD$1254,19,FALSE),0)</f>
        <v>0</v>
      </c>
      <c r="M2060" s="292">
        <f>IFERROR(VLOOKUP(B2060,'تقرير المصروفات حسب الشهر'!$C$1270:$AD$1381,19,FALSE),0)</f>
        <v>0</v>
      </c>
      <c r="N2060" s="31" t="e">
        <f>#REF!</f>
        <v>#REF!</v>
      </c>
      <c r="O2060" s="37" t="e">
        <f t="shared" ref="O2060:O2103" si="52">SUM(C2060:N2060)</f>
        <v>#REF!</v>
      </c>
    </row>
    <row r="2061" spans="2:15" ht="17.399999999999999">
      <c r="B2061" s="42" t="s">
        <v>91</v>
      </c>
      <c r="C2061" s="39" t="e">
        <f>#REF!</f>
        <v>#REF!</v>
      </c>
      <c r="D2061" s="31" t="e">
        <f>#REF!</f>
        <v>#REF!</v>
      </c>
      <c r="E2061" s="31" t="e">
        <f>#REF!</f>
        <v>#REF!</v>
      </c>
      <c r="F2061" s="31" t="e">
        <f>#REF!</f>
        <v>#REF!</v>
      </c>
      <c r="G2061" s="31" t="e">
        <f>#REF!</f>
        <v>#REF!</v>
      </c>
      <c r="H2061" s="31" t="e">
        <f>#REF!</f>
        <v>#REF!</v>
      </c>
      <c r="I2061" s="31">
        <f>'تقرير المصروفات حسب الشهر'!U829</f>
        <v>0</v>
      </c>
      <c r="J2061" s="31">
        <f>'تقرير المصروفات حسب الشهر'!U956</f>
        <v>0</v>
      </c>
      <c r="K2061" s="31">
        <f>'تقرير المصروفات حسب الشهر'!U1083</f>
        <v>0</v>
      </c>
      <c r="L2061" s="292">
        <f>IFERROR(VLOOKUP(B2061,'تقرير المصروفات حسب الشهر'!$C$1143:$AD$1254,19,FALSE),0)</f>
        <v>0</v>
      </c>
      <c r="M2061" s="292">
        <f>IFERROR(VLOOKUP(B2061,'تقرير المصروفات حسب الشهر'!$C$1270:$AD$1381,19,FALSE),0)</f>
        <v>0</v>
      </c>
      <c r="N2061" s="31" t="e">
        <f>#REF!</f>
        <v>#REF!</v>
      </c>
      <c r="O2061" s="37" t="e">
        <f t="shared" si="52"/>
        <v>#REF!</v>
      </c>
    </row>
    <row r="2062" spans="2:15" ht="17.399999999999999">
      <c r="B2062" s="42" t="s">
        <v>92</v>
      </c>
      <c r="C2062" s="39" t="e">
        <f>#REF!</f>
        <v>#REF!</v>
      </c>
      <c r="D2062" s="31" t="e">
        <f>#REF!</f>
        <v>#REF!</v>
      </c>
      <c r="E2062" s="31" t="e">
        <f>#REF!</f>
        <v>#REF!</v>
      </c>
      <c r="F2062" s="31" t="e">
        <f>#REF!</f>
        <v>#REF!</v>
      </c>
      <c r="G2062" s="31" t="e">
        <f>#REF!</f>
        <v>#REF!</v>
      </c>
      <c r="H2062" s="31" t="e">
        <f>#REF!</f>
        <v>#REF!</v>
      </c>
      <c r="I2062" s="31">
        <f>'تقرير المصروفات حسب الشهر'!U830</f>
        <v>0</v>
      </c>
      <c r="J2062" s="31">
        <f>'تقرير المصروفات حسب الشهر'!U957</f>
        <v>0</v>
      </c>
      <c r="K2062" s="31">
        <f>'تقرير المصروفات حسب الشهر'!U1084</f>
        <v>0</v>
      </c>
      <c r="L2062" s="292">
        <f>IFERROR(VLOOKUP(B2062,'تقرير المصروفات حسب الشهر'!$C$1143:$AD$1254,19,FALSE),0)</f>
        <v>0</v>
      </c>
      <c r="M2062" s="292">
        <f>IFERROR(VLOOKUP(B2062,'تقرير المصروفات حسب الشهر'!$C$1270:$AD$1381,19,FALSE),0)</f>
        <v>0</v>
      </c>
      <c r="N2062" s="31" t="e">
        <f>#REF!</f>
        <v>#REF!</v>
      </c>
      <c r="O2062" s="37" t="e">
        <f t="shared" si="52"/>
        <v>#REF!</v>
      </c>
    </row>
    <row r="2063" spans="2:15" ht="17.399999999999999">
      <c r="B2063" s="42" t="s">
        <v>93</v>
      </c>
      <c r="C2063" s="39" t="e">
        <f>#REF!</f>
        <v>#REF!</v>
      </c>
      <c r="D2063" s="31" t="e">
        <f>#REF!</f>
        <v>#REF!</v>
      </c>
      <c r="E2063" s="31" t="e">
        <f>#REF!</f>
        <v>#REF!</v>
      </c>
      <c r="F2063" s="31" t="e">
        <f>#REF!</f>
        <v>#REF!</v>
      </c>
      <c r="G2063" s="31" t="e">
        <f>#REF!</f>
        <v>#REF!</v>
      </c>
      <c r="H2063" s="31" t="e">
        <f>#REF!</f>
        <v>#REF!</v>
      </c>
      <c r="I2063" s="31">
        <f>'تقرير المصروفات حسب الشهر'!U831</f>
        <v>0</v>
      </c>
      <c r="J2063" s="31">
        <f>'تقرير المصروفات حسب الشهر'!U958</f>
        <v>0</v>
      </c>
      <c r="K2063" s="31">
        <f>'تقرير المصروفات حسب الشهر'!U1085</f>
        <v>0</v>
      </c>
      <c r="L2063" s="292">
        <f>IFERROR(VLOOKUP(B2063,'تقرير المصروفات حسب الشهر'!$C$1143:$AD$1254,19,FALSE),0)</f>
        <v>0</v>
      </c>
      <c r="M2063" s="292">
        <f>IFERROR(VLOOKUP(B2063,'تقرير المصروفات حسب الشهر'!$C$1270:$AD$1381,19,FALSE),0)</f>
        <v>0</v>
      </c>
      <c r="N2063" s="31" t="e">
        <f>#REF!</f>
        <v>#REF!</v>
      </c>
      <c r="O2063" s="37" t="e">
        <f t="shared" si="52"/>
        <v>#REF!</v>
      </c>
    </row>
    <row r="2064" spans="2:15" ht="17.399999999999999">
      <c r="B2064" s="42" t="s">
        <v>94</v>
      </c>
      <c r="C2064" s="39" t="e">
        <f>#REF!</f>
        <v>#REF!</v>
      </c>
      <c r="D2064" s="31" t="e">
        <f>#REF!</f>
        <v>#REF!</v>
      </c>
      <c r="E2064" s="31" t="e">
        <f>#REF!</f>
        <v>#REF!</v>
      </c>
      <c r="F2064" s="31" t="e">
        <f>#REF!</f>
        <v>#REF!</v>
      </c>
      <c r="G2064" s="31" t="e">
        <f>#REF!</f>
        <v>#REF!</v>
      </c>
      <c r="H2064" s="31" t="e">
        <f>#REF!</f>
        <v>#REF!</v>
      </c>
      <c r="I2064" s="31">
        <f>'تقرير المصروفات حسب الشهر'!U832</f>
        <v>0</v>
      </c>
      <c r="J2064" s="31">
        <f>'تقرير المصروفات حسب الشهر'!U959</f>
        <v>0</v>
      </c>
      <c r="K2064" s="31">
        <f>'تقرير المصروفات حسب الشهر'!U1086</f>
        <v>0</v>
      </c>
      <c r="L2064" s="292">
        <f>IFERROR(VLOOKUP(B2064,'تقرير المصروفات حسب الشهر'!$C$1143:$AD$1254,19,FALSE),0)</f>
        <v>0</v>
      </c>
      <c r="M2064" s="292">
        <f>IFERROR(VLOOKUP(B2064,'تقرير المصروفات حسب الشهر'!$C$1270:$AD$1381,19,FALSE),0)</f>
        <v>0</v>
      </c>
      <c r="N2064" s="31" t="e">
        <f>#REF!</f>
        <v>#REF!</v>
      </c>
      <c r="O2064" s="37" t="e">
        <f t="shared" si="52"/>
        <v>#REF!</v>
      </c>
    </row>
    <row r="2065" spans="2:15" ht="17.399999999999999">
      <c r="B2065" s="42" t="s">
        <v>95</v>
      </c>
      <c r="C2065" s="39" t="e">
        <f>#REF!</f>
        <v>#REF!</v>
      </c>
      <c r="D2065" s="31" t="e">
        <f>#REF!</f>
        <v>#REF!</v>
      </c>
      <c r="E2065" s="31" t="e">
        <f>#REF!</f>
        <v>#REF!</v>
      </c>
      <c r="F2065" s="31" t="e">
        <f>#REF!</f>
        <v>#REF!</v>
      </c>
      <c r="G2065" s="31" t="e">
        <f>#REF!</f>
        <v>#REF!</v>
      </c>
      <c r="H2065" s="31" t="e">
        <f>#REF!</f>
        <v>#REF!</v>
      </c>
      <c r="I2065" s="31">
        <f>'تقرير المصروفات حسب الشهر'!U833</f>
        <v>668</v>
      </c>
      <c r="J2065" s="31">
        <f>'تقرير المصروفات حسب الشهر'!U960</f>
        <v>0</v>
      </c>
      <c r="K2065" s="31">
        <f>'تقرير المصروفات حسب الشهر'!U1087</f>
        <v>0</v>
      </c>
      <c r="L2065" s="292">
        <f>IFERROR(VLOOKUP(B2065,'تقرير المصروفات حسب الشهر'!$C$1143:$AD$1254,19,FALSE),0)</f>
        <v>0</v>
      </c>
      <c r="M2065" s="292">
        <f>IFERROR(VLOOKUP(B2065,'تقرير المصروفات حسب الشهر'!$C$1270:$AD$1381,19,FALSE),0)</f>
        <v>0</v>
      </c>
      <c r="N2065" s="31" t="e">
        <f>#REF!</f>
        <v>#REF!</v>
      </c>
      <c r="O2065" s="37" t="e">
        <f t="shared" si="52"/>
        <v>#REF!</v>
      </c>
    </row>
    <row r="2066" spans="2:15" ht="17.399999999999999">
      <c r="B2066" s="42" t="s">
        <v>96</v>
      </c>
      <c r="C2066" s="39" t="e">
        <f>#REF!</f>
        <v>#REF!</v>
      </c>
      <c r="D2066" s="31" t="e">
        <f>#REF!</f>
        <v>#REF!</v>
      </c>
      <c r="E2066" s="31" t="e">
        <f>#REF!</f>
        <v>#REF!</v>
      </c>
      <c r="F2066" s="31" t="e">
        <f>#REF!</f>
        <v>#REF!</v>
      </c>
      <c r="G2066" s="31" t="e">
        <f>#REF!</f>
        <v>#REF!</v>
      </c>
      <c r="H2066" s="31" t="e">
        <f>#REF!</f>
        <v>#REF!</v>
      </c>
      <c r="I2066" s="31">
        <f>'تقرير المصروفات حسب الشهر'!U834</f>
        <v>1125.7</v>
      </c>
      <c r="J2066" s="31">
        <f>'تقرير المصروفات حسب الشهر'!U961</f>
        <v>2646.86</v>
      </c>
      <c r="K2066" s="31">
        <f>'تقرير المصروفات حسب الشهر'!U1088</f>
        <v>469.07</v>
      </c>
      <c r="L2066" s="292">
        <f>IFERROR(VLOOKUP(B2066,'تقرير المصروفات حسب الشهر'!$C$1143:$AD$1254,19,FALSE),0)</f>
        <v>0</v>
      </c>
      <c r="M2066" s="292">
        <f>IFERROR(VLOOKUP(B2066,'تقرير المصروفات حسب الشهر'!$C$1270:$AD$1381,19,FALSE),0)</f>
        <v>0</v>
      </c>
      <c r="N2066" s="31" t="e">
        <f>#REF!</f>
        <v>#REF!</v>
      </c>
      <c r="O2066" s="37" t="e">
        <f t="shared" si="52"/>
        <v>#REF!</v>
      </c>
    </row>
    <row r="2067" spans="2:15" ht="17.399999999999999">
      <c r="B2067" s="42" t="s">
        <v>97</v>
      </c>
      <c r="C2067" s="39" t="e">
        <f>#REF!</f>
        <v>#REF!</v>
      </c>
      <c r="D2067" s="31" t="e">
        <f>#REF!</f>
        <v>#REF!</v>
      </c>
      <c r="E2067" s="31" t="e">
        <f>#REF!</f>
        <v>#REF!</v>
      </c>
      <c r="F2067" s="31" t="e">
        <f>#REF!</f>
        <v>#REF!</v>
      </c>
      <c r="G2067" s="31" t="e">
        <f>#REF!</f>
        <v>#REF!</v>
      </c>
      <c r="H2067" s="31" t="e">
        <f>#REF!</f>
        <v>#REF!</v>
      </c>
      <c r="I2067" s="31">
        <f>'تقرير المصروفات حسب الشهر'!U835</f>
        <v>0</v>
      </c>
      <c r="J2067" s="31">
        <f>'تقرير المصروفات حسب الشهر'!U962</f>
        <v>0</v>
      </c>
      <c r="K2067" s="31">
        <f>'تقرير المصروفات حسب الشهر'!U1089</f>
        <v>2130</v>
      </c>
      <c r="L2067" s="292">
        <f>IFERROR(VLOOKUP(B2067,'تقرير المصروفات حسب الشهر'!$C$1143:$AD$1254,19,FALSE),0)</f>
        <v>400.96</v>
      </c>
      <c r="M2067" s="292">
        <f>IFERROR(VLOOKUP(B2067,'تقرير المصروفات حسب الشهر'!$C$1270:$AD$1381,19,FALSE),0)</f>
        <v>407.28</v>
      </c>
      <c r="N2067" s="31" t="e">
        <f>#REF!</f>
        <v>#REF!</v>
      </c>
      <c r="O2067" s="37" t="e">
        <f t="shared" si="52"/>
        <v>#REF!</v>
      </c>
    </row>
    <row r="2068" spans="2:15" ht="17.399999999999999">
      <c r="B2068" s="42" t="s">
        <v>192</v>
      </c>
      <c r="C2068" s="39" t="e">
        <f>#REF!</f>
        <v>#REF!</v>
      </c>
      <c r="D2068" s="31" t="e">
        <f>#REF!</f>
        <v>#REF!</v>
      </c>
      <c r="E2068" s="31" t="e">
        <f>#REF!</f>
        <v>#REF!</v>
      </c>
      <c r="F2068" s="31" t="e">
        <f>#REF!</f>
        <v>#REF!</v>
      </c>
      <c r="G2068" s="31" t="e">
        <f>#REF!</f>
        <v>#REF!</v>
      </c>
      <c r="H2068" s="31" t="e">
        <f>#REF!</f>
        <v>#REF!</v>
      </c>
      <c r="I2068" s="31">
        <f>'تقرير المصروفات حسب الشهر'!U836</f>
        <v>0</v>
      </c>
      <c r="J2068" s="31">
        <f>'تقرير المصروفات حسب الشهر'!U963</f>
        <v>0</v>
      </c>
      <c r="K2068" s="31">
        <f>'تقرير المصروفات حسب الشهر'!U1090</f>
        <v>0</v>
      </c>
      <c r="L2068" s="292">
        <f>IFERROR(VLOOKUP(B2068,'تقرير المصروفات حسب الشهر'!$C$1143:$AD$1254,19,FALSE),0)</f>
        <v>1065</v>
      </c>
      <c r="M2068" s="292">
        <f>IFERROR(VLOOKUP(B2068,'تقرير المصروفات حسب الشهر'!$C$1270:$AD$1381,19,FALSE),0)</f>
        <v>1065</v>
      </c>
      <c r="N2068" s="31" t="e">
        <f>#REF!</f>
        <v>#REF!</v>
      </c>
      <c r="O2068" s="37" t="e">
        <f t="shared" si="52"/>
        <v>#REF!</v>
      </c>
    </row>
    <row r="2069" spans="2:15" ht="17.399999999999999">
      <c r="B2069" s="42" t="s">
        <v>98</v>
      </c>
      <c r="C2069" s="39" t="e">
        <f>#REF!</f>
        <v>#REF!</v>
      </c>
      <c r="D2069" s="31" t="e">
        <f>#REF!</f>
        <v>#REF!</v>
      </c>
      <c r="E2069" s="31" t="e">
        <f>#REF!</f>
        <v>#REF!</v>
      </c>
      <c r="F2069" s="31" t="e">
        <f>#REF!</f>
        <v>#REF!</v>
      </c>
      <c r="G2069" s="31" t="e">
        <f>#REF!</f>
        <v>#REF!</v>
      </c>
      <c r="H2069" s="31" t="e">
        <f>#REF!</f>
        <v>#REF!</v>
      </c>
      <c r="I2069" s="31">
        <f>'تقرير المصروفات حسب الشهر'!U837</f>
        <v>0</v>
      </c>
      <c r="J2069" s="31">
        <f>'تقرير المصروفات حسب الشهر'!U964</f>
        <v>0</v>
      </c>
      <c r="K2069" s="31">
        <f>'تقرير المصروفات حسب الشهر'!U1091</f>
        <v>0</v>
      </c>
      <c r="L2069" s="292">
        <f>IFERROR(VLOOKUP(B2069,'تقرير المصروفات حسب الشهر'!$C$1143:$AD$1254,19,FALSE),0)</f>
        <v>0</v>
      </c>
      <c r="M2069" s="292">
        <f>IFERROR(VLOOKUP(B2069,'تقرير المصروفات حسب الشهر'!$C$1270:$AD$1381,19,FALSE),0)</f>
        <v>0</v>
      </c>
      <c r="N2069" s="31" t="e">
        <f>#REF!</f>
        <v>#REF!</v>
      </c>
      <c r="O2069" s="37" t="e">
        <f t="shared" si="52"/>
        <v>#REF!</v>
      </c>
    </row>
    <row r="2070" spans="2:15" ht="17.399999999999999">
      <c r="B2070" s="42" t="s">
        <v>99</v>
      </c>
      <c r="C2070" s="39" t="e">
        <f>#REF!</f>
        <v>#REF!</v>
      </c>
      <c r="D2070" s="31" t="e">
        <f>#REF!</f>
        <v>#REF!</v>
      </c>
      <c r="E2070" s="31" t="e">
        <f>#REF!</f>
        <v>#REF!</v>
      </c>
      <c r="F2070" s="31" t="e">
        <f>#REF!</f>
        <v>#REF!</v>
      </c>
      <c r="G2070" s="31" t="e">
        <f>#REF!</f>
        <v>#REF!</v>
      </c>
      <c r="H2070" s="31" t="e">
        <f>#REF!</f>
        <v>#REF!</v>
      </c>
      <c r="I2070" s="31">
        <f>'تقرير المصروفات حسب الشهر'!U838</f>
        <v>0</v>
      </c>
      <c r="J2070" s="31">
        <f>'تقرير المصروفات حسب الشهر'!U965</f>
        <v>0</v>
      </c>
      <c r="K2070" s="31">
        <f>'تقرير المصروفات حسب الشهر'!U1092</f>
        <v>0</v>
      </c>
      <c r="L2070" s="292">
        <f>IFERROR(VLOOKUP(B2070,'تقرير المصروفات حسب الشهر'!$C$1143:$AD$1254,19,FALSE),0)</f>
        <v>0</v>
      </c>
      <c r="M2070" s="292">
        <f>IFERROR(VLOOKUP(B2070,'تقرير المصروفات حسب الشهر'!$C$1270:$AD$1381,19,FALSE),0)</f>
        <v>0</v>
      </c>
      <c r="N2070" s="31" t="e">
        <f>#REF!</f>
        <v>#REF!</v>
      </c>
      <c r="O2070" s="37" t="e">
        <f t="shared" si="52"/>
        <v>#REF!</v>
      </c>
    </row>
    <row r="2071" spans="2:15" ht="17.399999999999999">
      <c r="B2071" s="42" t="s">
        <v>100</v>
      </c>
      <c r="C2071" s="39" t="e">
        <f>#REF!</f>
        <v>#REF!</v>
      </c>
      <c r="D2071" s="31" t="e">
        <f>#REF!</f>
        <v>#REF!</v>
      </c>
      <c r="E2071" s="31" t="e">
        <f>#REF!</f>
        <v>#REF!</v>
      </c>
      <c r="F2071" s="31" t="e">
        <f>#REF!</f>
        <v>#REF!</v>
      </c>
      <c r="G2071" s="31" t="e">
        <f>#REF!</f>
        <v>#REF!</v>
      </c>
      <c r="H2071" s="31" t="e">
        <f>#REF!</f>
        <v>#REF!</v>
      </c>
      <c r="I2071" s="31">
        <f>'تقرير المصروفات حسب الشهر'!U839</f>
        <v>0</v>
      </c>
      <c r="J2071" s="31">
        <f>'تقرير المصروفات حسب الشهر'!U966</f>
        <v>0</v>
      </c>
      <c r="K2071" s="31">
        <f>'تقرير المصروفات حسب الشهر'!U1093</f>
        <v>0</v>
      </c>
      <c r="L2071" s="292">
        <f>IFERROR(VLOOKUP(B2071,'تقرير المصروفات حسب الشهر'!$C$1143:$AD$1254,19,FALSE),0)</f>
        <v>0</v>
      </c>
      <c r="M2071" s="292">
        <f>IFERROR(VLOOKUP(B2071,'تقرير المصروفات حسب الشهر'!$C$1270:$AD$1381,19,FALSE),0)</f>
        <v>0</v>
      </c>
      <c r="N2071" s="31" t="e">
        <f>#REF!</f>
        <v>#REF!</v>
      </c>
      <c r="O2071" s="37" t="e">
        <f t="shared" si="52"/>
        <v>#REF!</v>
      </c>
    </row>
    <row r="2072" spans="2:15" ht="17.399999999999999">
      <c r="B2072" s="42" t="s">
        <v>101</v>
      </c>
      <c r="C2072" s="39" t="e">
        <f>#REF!</f>
        <v>#REF!</v>
      </c>
      <c r="D2072" s="31" t="e">
        <f>#REF!</f>
        <v>#REF!</v>
      </c>
      <c r="E2072" s="31" t="e">
        <f>#REF!</f>
        <v>#REF!</v>
      </c>
      <c r="F2072" s="31" t="e">
        <f>#REF!</f>
        <v>#REF!</v>
      </c>
      <c r="G2072" s="31" t="e">
        <f>#REF!</f>
        <v>#REF!</v>
      </c>
      <c r="H2072" s="31" t="e">
        <f>#REF!</f>
        <v>#REF!</v>
      </c>
      <c r="I2072" s="31">
        <f>'تقرير المصروفات حسب الشهر'!U840</f>
        <v>0</v>
      </c>
      <c r="J2072" s="31">
        <f>'تقرير المصروفات حسب الشهر'!U967</f>
        <v>6.73</v>
      </c>
      <c r="K2072" s="31">
        <f>'تقرير المصروفات حسب الشهر'!U1094</f>
        <v>52.07</v>
      </c>
      <c r="L2072" s="292">
        <f>IFERROR(VLOOKUP(B2072,'تقرير المصروفات حسب الشهر'!$C$1143:$AD$1254,19,FALSE),0)</f>
        <v>0</v>
      </c>
      <c r="M2072" s="292">
        <f>IFERROR(VLOOKUP(B2072,'تقرير المصروفات حسب الشهر'!$C$1270:$AD$1381,19,FALSE),0)</f>
        <v>0</v>
      </c>
      <c r="N2072" s="31" t="e">
        <f>#REF!</f>
        <v>#REF!</v>
      </c>
      <c r="O2072" s="37" t="e">
        <f t="shared" si="52"/>
        <v>#REF!</v>
      </c>
    </row>
    <row r="2073" spans="2:15" ht="17.399999999999999">
      <c r="B2073" s="42" t="s">
        <v>102</v>
      </c>
      <c r="C2073" s="39" t="e">
        <f>#REF!</f>
        <v>#REF!</v>
      </c>
      <c r="D2073" s="31" t="e">
        <f>#REF!</f>
        <v>#REF!</v>
      </c>
      <c r="E2073" s="31" t="e">
        <f>#REF!</f>
        <v>#REF!</v>
      </c>
      <c r="F2073" s="31" t="e">
        <f>#REF!</f>
        <v>#REF!</v>
      </c>
      <c r="G2073" s="31" t="e">
        <f>#REF!</f>
        <v>#REF!</v>
      </c>
      <c r="H2073" s="31" t="e">
        <f>#REF!</f>
        <v>#REF!</v>
      </c>
      <c r="I2073" s="31">
        <f>'تقرير المصروفات حسب الشهر'!U841</f>
        <v>53.44</v>
      </c>
      <c r="J2073" s="31">
        <f>'تقرير المصروفات حسب الشهر'!U968</f>
        <v>38.17</v>
      </c>
      <c r="K2073" s="31">
        <f>'تقرير المصروفات حسب الشهر'!U1095</f>
        <v>0</v>
      </c>
      <c r="L2073" s="292">
        <f>IFERROR(VLOOKUP(B2073,'تقرير المصروفات حسب الشهر'!$C$1143:$AD$1254,19,FALSE),0)</f>
        <v>134.47999999999999</v>
      </c>
      <c r="M2073" s="292">
        <f>IFERROR(VLOOKUP(B2073,'تقرير المصروفات حسب الشهر'!$C$1270:$AD$1381,19,FALSE),0)</f>
        <v>134.47999999999999</v>
      </c>
      <c r="N2073" s="31" t="e">
        <f>#REF!</f>
        <v>#REF!</v>
      </c>
      <c r="O2073" s="37" t="e">
        <f t="shared" si="52"/>
        <v>#REF!</v>
      </c>
    </row>
    <row r="2074" spans="2:15" ht="17.399999999999999">
      <c r="B2074" s="42" t="s">
        <v>103</v>
      </c>
      <c r="C2074" s="39" t="e">
        <f>#REF!</f>
        <v>#REF!</v>
      </c>
      <c r="D2074" s="31" t="e">
        <f>#REF!</f>
        <v>#REF!</v>
      </c>
      <c r="E2074" s="31" t="e">
        <f>#REF!</f>
        <v>#REF!</v>
      </c>
      <c r="F2074" s="31" t="e">
        <f>#REF!</f>
        <v>#REF!</v>
      </c>
      <c r="G2074" s="31" t="e">
        <f>#REF!</f>
        <v>#REF!</v>
      </c>
      <c r="H2074" s="31" t="e">
        <f>#REF!</f>
        <v>#REF!</v>
      </c>
      <c r="I2074" s="31">
        <f>'تقرير المصروفات حسب الشهر'!U842</f>
        <v>275.83</v>
      </c>
      <c r="J2074" s="31">
        <f>'تقرير المصروفات حسب الشهر'!U969</f>
        <v>275.83</v>
      </c>
      <c r="K2074" s="31">
        <f>'تقرير المصروفات حسب الشهر'!U1096</f>
        <v>275.83</v>
      </c>
      <c r="L2074" s="292">
        <f>IFERROR(VLOOKUP(B2074,'تقرير المصروفات حسب الشهر'!$C$1143:$AD$1254,19,FALSE),0)</f>
        <v>0</v>
      </c>
      <c r="M2074" s="292">
        <f>IFERROR(VLOOKUP(B2074,'تقرير المصروفات حسب الشهر'!$C$1270:$AD$1381,19,FALSE),0)</f>
        <v>0</v>
      </c>
      <c r="N2074" s="31" t="e">
        <f>#REF!</f>
        <v>#REF!</v>
      </c>
      <c r="O2074" s="37" t="e">
        <f t="shared" si="52"/>
        <v>#REF!</v>
      </c>
    </row>
    <row r="2075" spans="2:15" ht="17.399999999999999">
      <c r="B2075" s="42" t="s">
        <v>104</v>
      </c>
      <c r="C2075" s="39" t="e">
        <f>#REF!</f>
        <v>#REF!</v>
      </c>
      <c r="D2075" s="31" t="e">
        <f>#REF!</f>
        <v>#REF!</v>
      </c>
      <c r="E2075" s="31" t="e">
        <f>#REF!</f>
        <v>#REF!</v>
      </c>
      <c r="F2075" s="31" t="e">
        <f>#REF!</f>
        <v>#REF!</v>
      </c>
      <c r="G2075" s="31" t="e">
        <f>#REF!</f>
        <v>#REF!</v>
      </c>
      <c r="H2075" s="31" t="e">
        <f>#REF!</f>
        <v>#REF!</v>
      </c>
      <c r="I2075" s="31">
        <f>'تقرير المصروفات حسب الشهر'!U843</f>
        <v>570.41999999999996</v>
      </c>
      <c r="J2075" s="31">
        <f>'تقرير المصروفات حسب الشهر'!U970</f>
        <v>570.41999999999996</v>
      </c>
      <c r="K2075" s="31">
        <f>'تقرير المصروفات حسب الشهر'!U1097</f>
        <v>570.41999999999996</v>
      </c>
      <c r="L2075" s="292">
        <f>IFERROR(VLOOKUP(B2075,'تقرير المصروفات حسب الشهر'!$C$1143:$AD$1254,19,FALSE),0)</f>
        <v>275.83</v>
      </c>
      <c r="M2075" s="292">
        <f>IFERROR(VLOOKUP(B2075,'تقرير المصروفات حسب الشهر'!$C$1270:$AD$1381,19,FALSE),0)</f>
        <v>275.83</v>
      </c>
      <c r="N2075" s="31" t="e">
        <f>#REF!</f>
        <v>#REF!</v>
      </c>
      <c r="O2075" s="37" t="e">
        <f t="shared" si="52"/>
        <v>#REF!</v>
      </c>
    </row>
    <row r="2076" spans="2:15" ht="17.399999999999999">
      <c r="B2076" s="42" t="s">
        <v>105</v>
      </c>
      <c r="C2076" s="39" t="e">
        <f>#REF!</f>
        <v>#REF!</v>
      </c>
      <c r="D2076" s="31" t="e">
        <f>#REF!</f>
        <v>#REF!</v>
      </c>
      <c r="E2076" s="31" t="e">
        <f>#REF!</f>
        <v>#REF!</v>
      </c>
      <c r="F2076" s="31" t="e">
        <f>#REF!</f>
        <v>#REF!</v>
      </c>
      <c r="G2076" s="31" t="e">
        <f>#REF!</f>
        <v>#REF!</v>
      </c>
      <c r="H2076" s="31" t="e">
        <f>#REF!</f>
        <v>#REF!</v>
      </c>
      <c r="I2076" s="31">
        <f>'تقرير المصروفات حسب الشهر'!U844</f>
        <v>0</v>
      </c>
      <c r="J2076" s="31">
        <f>'تقرير المصروفات حسب الشهر'!U971</f>
        <v>0</v>
      </c>
      <c r="K2076" s="31">
        <f>'تقرير المصروفات حسب الشهر'!U1098</f>
        <v>0</v>
      </c>
      <c r="L2076" s="292">
        <f>IFERROR(VLOOKUP(B2076,'تقرير المصروفات حسب الشهر'!$C$1143:$AD$1254,19,FALSE),0)</f>
        <v>570.41999999999996</v>
      </c>
      <c r="M2076" s="292">
        <f>IFERROR(VLOOKUP(B2076,'تقرير المصروفات حسب الشهر'!$C$1270:$AD$1381,19,FALSE),0)</f>
        <v>570.34</v>
      </c>
      <c r="N2076" s="31" t="e">
        <f>#REF!</f>
        <v>#REF!</v>
      </c>
      <c r="O2076" s="37" t="e">
        <f t="shared" si="52"/>
        <v>#REF!</v>
      </c>
    </row>
    <row r="2077" spans="2:15" ht="17.399999999999999">
      <c r="B2077" s="42" t="s">
        <v>106</v>
      </c>
      <c r="C2077" s="39" t="e">
        <f>#REF!</f>
        <v>#REF!</v>
      </c>
      <c r="D2077" s="31" t="e">
        <f>#REF!</f>
        <v>#REF!</v>
      </c>
      <c r="E2077" s="31" t="e">
        <f>#REF!</f>
        <v>#REF!</v>
      </c>
      <c r="F2077" s="31" t="e">
        <f>#REF!</f>
        <v>#REF!</v>
      </c>
      <c r="G2077" s="31" t="e">
        <f>#REF!</f>
        <v>#REF!</v>
      </c>
      <c r="H2077" s="31" t="e">
        <f>#REF!</f>
        <v>#REF!</v>
      </c>
      <c r="I2077" s="31">
        <f>'تقرير المصروفات حسب الشهر'!U845</f>
        <v>0</v>
      </c>
      <c r="J2077" s="31">
        <f>'تقرير المصروفات حسب الشهر'!U972</f>
        <v>0</v>
      </c>
      <c r="K2077" s="31">
        <f>'تقرير المصروفات حسب الشهر'!U1099</f>
        <v>0</v>
      </c>
      <c r="L2077" s="292">
        <f>IFERROR(VLOOKUP(B2077,'تقرير المصروفات حسب الشهر'!$C$1143:$AD$1254,19,FALSE),0)</f>
        <v>0</v>
      </c>
      <c r="M2077" s="292">
        <f>IFERROR(VLOOKUP(B2077,'تقرير المصروفات حسب الشهر'!$C$1270:$AD$1381,19,FALSE),0)</f>
        <v>0</v>
      </c>
      <c r="N2077" s="31" t="e">
        <f>#REF!</f>
        <v>#REF!</v>
      </c>
      <c r="O2077" s="37" t="e">
        <f t="shared" si="52"/>
        <v>#REF!</v>
      </c>
    </row>
    <row r="2078" spans="2:15" ht="17.399999999999999">
      <c r="B2078" s="42" t="s">
        <v>107</v>
      </c>
      <c r="C2078" s="39" t="e">
        <f>#REF!</f>
        <v>#REF!</v>
      </c>
      <c r="D2078" s="31" t="e">
        <f>#REF!</f>
        <v>#REF!</v>
      </c>
      <c r="E2078" s="31" t="e">
        <f>#REF!</f>
        <v>#REF!</v>
      </c>
      <c r="F2078" s="31" t="e">
        <f>#REF!</f>
        <v>#REF!</v>
      </c>
      <c r="G2078" s="31" t="e">
        <f>#REF!</f>
        <v>#REF!</v>
      </c>
      <c r="H2078" s="31" t="e">
        <f>#REF!</f>
        <v>#REF!</v>
      </c>
      <c r="I2078" s="31">
        <f>'تقرير المصروفات حسب الشهر'!U846</f>
        <v>0</v>
      </c>
      <c r="J2078" s="31">
        <f>'تقرير المصروفات حسب الشهر'!U973</f>
        <v>0</v>
      </c>
      <c r="K2078" s="31">
        <f>'تقرير المصروفات حسب الشهر'!U1100</f>
        <v>0</v>
      </c>
      <c r="L2078" s="292">
        <f>IFERROR(VLOOKUP(B2078,'تقرير المصروفات حسب الشهر'!$C$1143:$AD$1254,19,FALSE),0)</f>
        <v>0</v>
      </c>
      <c r="M2078" s="292">
        <f>IFERROR(VLOOKUP(B2078,'تقرير المصروفات حسب الشهر'!$C$1270:$AD$1381,19,FALSE),0)</f>
        <v>0</v>
      </c>
      <c r="N2078" s="31" t="e">
        <f>#REF!</f>
        <v>#REF!</v>
      </c>
      <c r="O2078" s="37" t="e">
        <f t="shared" si="52"/>
        <v>#REF!</v>
      </c>
    </row>
    <row r="2079" spans="2:15" ht="17.399999999999999">
      <c r="B2079" s="42" t="s">
        <v>108</v>
      </c>
      <c r="C2079" s="39" t="e">
        <f>#REF!</f>
        <v>#REF!</v>
      </c>
      <c r="D2079" s="31" t="e">
        <f>#REF!</f>
        <v>#REF!</v>
      </c>
      <c r="E2079" s="31" t="e">
        <f>#REF!</f>
        <v>#REF!</v>
      </c>
      <c r="F2079" s="31" t="e">
        <f>#REF!</f>
        <v>#REF!</v>
      </c>
      <c r="G2079" s="31" t="e">
        <f>#REF!</f>
        <v>#REF!</v>
      </c>
      <c r="H2079" s="31" t="e">
        <f>#REF!</f>
        <v>#REF!</v>
      </c>
      <c r="I2079" s="31">
        <f>'تقرير المصروفات حسب الشهر'!U847</f>
        <v>0</v>
      </c>
      <c r="J2079" s="31">
        <f>'تقرير المصروفات حسب الشهر'!U974</f>
        <v>0</v>
      </c>
      <c r="K2079" s="31">
        <f>'تقرير المصروفات حسب الشهر'!U1101</f>
        <v>0</v>
      </c>
      <c r="L2079" s="292">
        <f>IFERROR(VLOOKUP(B2079,'تقرير المصروفات حسب الشهر'!$C$1143:$AD$1254,19,FALSE),0)</f>
        <v>0</v>
      </c>
      <c r="M2079" s="292">
        <f>IFERROR(VLOOKUP(B2079,'تقرير المصروفات حسب الشهر'!$C$1270:$AD$1381,19,FALSE),0)</f>
        <v>0</v>
      </c>
      <c r="N2079" s="31" t="e">
        <f>#REF!</f>
        <v>#REF!</v>
      </c>
      <c r="O2079" s="37" t="e">
        <f t="shared" si="52"/>
        <v>#REF!</v>
      </c>
    </row>
    <row r="2080" spans="2:15" ht="17.399999999999999">
      <c r="B2080" s="42" t="s">
        <v>109</v>
      </c>
      <c r="C2080" s="39" t="e">
        <f>#REF!</f>
        <v>#REF!</v>
      </c>
      <c r="D2080" s="31" t="e">
        <f>#REF!</f>
        <v>#REF!</v>
      </c>
      <c r="E2080" s="31" t="e">
        <f>#REF!</f>
        <v>#REF!</v>
      </c>
      <c r="F2080" s="31" t="e">
        <f>#REF!</f>
        <v>#REF!</v>
      </c>
      <c r="G2080" s="31" t="e">
        <f>#REF!</f>
        <v>#REF!</v>
      </c>
      <c r="H2080" s="31" t="e">
        <f>#REF!</f>
        <v>#REF!</v>
      </c>
      <c r="I2080" s="31">
        <f>'تقرير المصروفات حسب الشهر'!U848</f>
        <v>0</v>
      </c>
      <c r="J2080" s="31">
        <f>'تقرير المصروفات حسب الشهر'!U975</f>
        <v>0</v>
      </c>
      <c r="K2080" s="31">
        <f>'تقرير المصروفات حسب الشهر'!U1102</f>
        <v>0</v>
      </c>
      <c r="L2080" s="292">
        <f>IFERROR(VLOOKUP(B2080,'تقرير المصروفات حسب الشهر'!$C$1143:$AD$1254,19,FALSE),0)</f>
        <v>0</v>
      </c>
      <c r="M2080" s="292">
        <f>IFERROR(VLOOKUP(B2080,'تقرير المصروفات حسب الشهر'!$C$1270:$AD$1381,19,FALSE),0)</f>
        <v>0</v>
      </c>
      <c r="N2080" s="31" t="e">
        <f>#REF!</f>
        <v>#REF!</v>
      </c>
      <c r="O2080" s="37" t="e">
        <f t="shared" si="52"/>
        <v>#REF!</v>
      </c>
    </row>
    <row r="2081" spans="2:15" ht="17.399999999999999">
      <c r="B2081" s="42" t="s">
        <v>110</v>
      </c>
      <c r="C2081" s="39" t="e">
        <f>#REF!</f>
        <v>#REF!</v>
      </c>
      <c r="D2081" s="31" t="e">
        <f>#REF!</f>
        <v>#REF!</v>
      </c>
      <c r="E2081" s="31" t="e">
        <f>#REF!</f>
        <v>#REF!</v>
      </c>
      <c r="F2081" s="31" t="e">
        <f>#REF!</f>
        <v>#REF!</v>
      </c>
      <c r="G2081" s="31" t="e">
        <f>#REF!</f>
        <v>#REF!</v>
      </c>
      <c r="H2081" s="31" t="e">
        <f>#REF!</f>
        <v>#REF!</v>
      </c>
      <c r="I2081" s="31">
        <f>'تقرير المصروفات حسب الشهر'!U849</f>
        <v>0</v>
      </c>
      <c r="J2081" s="31">
        <f>'تقرير المصروفات حسب الشهر'!U976</f>
        <v>0</v>
      </c>
      <c r="K2081" s="31">
        <f>'تقرير المصروفات حسب الشهر'!U1103</f>
        <v>0</v>
      </c>
      <c r="L2081" s="292">
        <f>IFERROR(VLOOKUP(B2081,'تقرير المصروفات حسب الشهر'!$C$1143:$AD$1254,19,FALSE),0)</f>
        <v>0</v>
      </c>
      <c r="M2081" s="292">
        <f>IFERROR(VLOOKUP(B2081,'تقرير المصروفات حسب الشهر'!$C$1270:$AD$1381,19,FALSE),0)</f>
        <v>0</v>
      </c>
      <c r="N2081" s="31" t="e">
        <f>#REF!</f>
        <v>#REF!</v>
      </c>
      <c r="O2081" s="37" t="e">
        <f t="shared" si="52"/>
        <v>#REF!</v>
      </c>
    </row>
    <row r="2082" spans="2:15" ht="17.399999999999999">
      <c r="B2082" s="42" t="s">
        <v>112</v>
      </c>
      <c r="C2082" s="39" t="e">
        <f>#REF!</f>
        <v>#REF!</v>
      </c>
      <c r="D2082" s="31" t="e">
        <f>#REF!</f>
        <v>#REF!</v>
      </c>
      <c r="E2082" s="31" t="e">
        <f>#REF!</f>
        <v>#REF!</v>
      </c>
      <c r="F2082" s="31" t="e">
        <f>#REF!</f>
        <v>#REF!</v>
      </c>
      <c r="G2082" s="31" t="e">
        <f>#REF!</f>
        <v>#REF!</v>
      </c>
      <c r="H2082" s="31" t="e">
        <f>#REF!</f>
        <v>#REF!</v>
      </c>
      <c r="I2082" s="31">
        <f>'تقرير المصروفات حسب الشهر'!U850</f>
        <v>0</v>
      </c>
      <c r="J2082" s="31">
        <f>'تقرير المصروفات حسب الشهر'!U977</f>
        <v>0</v>
      </c>
      <c r="K2082" s="31">
        <f>'تقرير المصروفات حسب الشهر'!U1104</f>
        <v>0</v>
      </c>
      <c r="L2082" s="292">
        <f>IFERROR(VLOOKUP(B2082,'تقرير المصروفات حسب الشهر'!$C$1143:$AD$1254,19,FALSE),0)</f>
        <v>0</v>
      </c>
      <c r="M2082" s="292">
        <f>IFERROR(VLOOKUP(B2082,'تقرير المصروفات حسب الشهر'!$C$1270:$AD$1381,19,FALSE),0)</f>
        <v>0</v>
      </c>
      <c r="N2082" s="31" t="e">
        <f>#REF!</f>
        <v>#REF!</v>
      </c>
      <c r="O2082" s="37" t="e">
        <f t="shared" si="52"/>
        <v>#REF!</v>
      </c>
    </row>
    <row r="2083" spans="2:15" ht="17.399999999999999">
      <c r="B2083" s="42" t="s">
        <v>113</v>
      </c>
      <c r="C2083" s="39" t="e">
        <f>#REF!</f>
        <v>#REF!</v>
      </c>
      <c r="D2083" s="31" t="e">
        <f>#REF!</f>
        <v>#REF!</v>
      </c>
      <c r="E2083" s="31" t="e">
        <f>#REF!</f>
        <v>#REF!</v>
      </c>
      <c r="F2083" s="31" t="e">
        <f>#REF!</f>
        <v>#REF!</v>
      </c>
      <c r="G2083" s="31" t="e">
        <f>#REF!</f>
        <v>#REF!</v>
      </c>
      <c r="H2083" s="31" t="e">
        <f>#REF!</f>
        <v>#REF!</v>
      </c>
      <c r="I2083" s="31">
        <f>'تقرير المصروفات حسب الشهر'!U851</f>
        <v>0</v>
      </c>
      <c r="J2083" s="31">
        <f>'تقرير المصروفات حسب الشهر'!U978</f>
        <v>0</v>
      </c>
      <c r="K2083" s="31">
        <f>'تقرير المصروفات حسب الشهر'!U1105</f>
        <v>0</v>
      </c>
      <c r="L2083" s="292">
        <f>IFERROR(VLOOKUP(B2083,'تقرير المصروفات حسب الشهر'!$C$1143:$AD$1254,19,FALSE),0)</f>
        <v>0</v>
      </c>
      <c r="M2083" s="292">
        <f>IFERROR(VLOOKUP(B2083,'تقرير المصروفات حسب الشهر'!$C$1270:$AD$1381,19,FALSE),0)</f>
        <v>0</v>
      </c>
      <c r="N2083" s="31" t="e">
        <f>#REF!</f>
        <v>#REF!</v>
      </c>
      <c r="O2083" s="37" t="e">
        <f t="shared" si="52"/>
        <v>#REF!</v>
      </c>
    </row>
    <row r="2084" spans="2:15" ht="17.399999999999999">
      <c r="B2084" s="42" t="s">
        <v>137</v>
      </c>
      <c r="C2084" s="39" t="e">
        <f>#REF!</f>
        <v>#REF!</v>
      </c>
      <c r="D2084" s="31" t="e">
        <f>#REF!</f>
        <v>#REF!</v>
      </c>
      <c r="E2084" s="31" t="e">
        <f>#REF!</f>
        <v>#REF!</v>
      </c>
      <c r="F2084" s="31" t="e">
        <f>#REF!</f>
        <v>#REF!</v>
      </c>
      <c r="G2084" s="31" t="e">
        <f>#REF!</f>
        <v>#REF!</v>
      </c>
      <c r="H2084" s="31" t="e">
        <f>#REF!</f>
        <v>#REF!</v>
      </c>
      <c r="I2084" s="31">
        <f>'تقرير المصروفات حسب الشهر'!U852</f>
        <v>0</v>
      </c>
      <c r="J2084" s="31">
        <f>'تقرير المصروفات حسب الشهر'!U979</f>
        <v>0</v>
      </c>
      <c r="K2084" s="31">
        <f>'تقرير المصروفات حسب الشهر'!U1106</f>
        <v>0</v>
      </c>
      <c r="L2084" s="292">
        <f>IFERROR(VLOOKUP(B2084,'تقرير المصروفات حسب الشهر'!$C$1143:$AD$1254,19,FALSE),0)</f>
        <v>0</v>
      </c>
      <c r="M2084" s="292">
        <f>IFERROR(VLOOKUP(B2084,'تقرير المصروفات حسب الشهر'!$C$1270:$AD$1381,19,FALSE),0)</f>
        <v>0</v>
      </c>
      <c r="N2084" s="31" t="e">
        <f>#REF!</f>
        <v>#REF!</v>
      </c>
      <c r="O2084" s="37" t="e">
        <f t="shared" si="52"/>
        <v>#REF!</v>
      </c>
    </row>
    <row r="2085" spans="2:15" ht="17.399999999999999">
      <c r="B2085" s="42" t="s">
        <v>140</v>
      </c>
      <c r="C2085" s="39" t="e">
        <f>#REF!</f>
        <v>#REF!</v>
      </c>
      <c r="D2085" s="31" t="e">
        <f>#REF!</f>
        <v>#REF!</v>
      </c>
      <c r="E2085" s="31" t="e">
        <f>#REF!</f>
        <v>#REF!</v>
      </c>
      <c r="F2085" s="31" t="e">
        <f>#REF!</f>
        <v>#REF!</v>
      </c>
      <c r="G2085" s="31" t="e">
        <f>#REF!</f>
        <v>#REF!</v>
      </c>
      <c r="H2085" s="31" t="e">
        <f>#REF!</f>
        <v>#REF!</v>
      </c>
      <c r="I2085" s="31">
        <f>'تقرير المصروفات حسب الشهر'!U853</f>
        <v>0</v>
      </c>
      <c r="J2085" s="31">
        <f>'تقرير المصروفات حسب الشهر'!U980</f>
        <v>0</v>
      </c>
      <c r="K2085" s="31">
        <f>'تقرير المصروفات حسب الشهر'!U1107</f>
        <v>0</v>
      </c>
      <c r="L2085" s="292">
        <f>IFERROR(VLOOKUP(B2085,'تقرير المصروفات حسب الشهر'!$C$1143:$AD$1254,19,FALSE),0)</f>
        <v>0</v>
      </c>
      <c r="M2085" s="292">
        <f>IFERROR(VLOOKUP(B2085,'تقرير المصروفات حسب الشهر'!$C$1270:$AD$1381,19,FALSE),0)</f>
        <v>0</v>
      </c>
      <c r="N2085" s="31" t="e">
        <f>#REF!</f>
        <v>#REF!</v>
      </c>
      <c r="O2085" s="37" t="e">
        <f t="shared" si="52"/>
        <v>#REF!</v>
      </c>
    </row>
    <row r="2086" spans="2:15" ht="17.399999999999999">
      <c r="B2086" s="42" t="s">
        <v>141</v>
      </c>
      <c r="C2086" s="39" t="e">
        <f>#REF!</f>
        <v>#REF!</v>
      </c>
      <c r="D2086" s="31" t="e">
        <f>#REF!</f>
        <v>#REF!</v>
      </c>
      <c r="E2086" s="31" t="e">
        <f>#REF!</f>
        <v>#REF!</v>
      </c>
      <c r="F2086" s="31" t="e">
        <f>#REF!</f>
        <v>#REF!</v>
      </c>
      <c r="G2086" s="31" t="e">
        <f>#REF!</f>
        <v>#REF!</v>
      </c>
      <c r="H2086" s="31" t="e">
        <f>#REF!</f>
        <v>#REF!</v>
      </c>
      <c r="I2086" s="31">
        <f>'تقرير المصروفات حسب الشهر'!U854</f>
        <v>0</v>
      </c>
      <c r="J2086" s="31">
        <f>'تقرير المصروفات حسب الشهر'!U981</f>
        <v>0</v>
      </c>
      <c r="K2086" s="31">
        <f>'تقرير المصروفات حسب الشهر'!U1108</f>
        <v>0</v>
      </c>
      <c r="L2086" s="292">
        <f>IFERROR(VLOOKUP(B2086,'تقرير المصروفات حسب الشهر'!$C$1143:$AD$1254,19,FALSE),0)</f>
        <v>0</v>
      </c>
      <c r="M2086" s="292">
        <f>IFERROR(VLOOKUP(B2086,'تقرير المصروفات حسب الشهر'!$C$1270:$AD$1381,19,FALSE),0)</f>
        <v>0</v>
      </c>
      <c r="N2086" s="31" t="e">
        <f>#REF!</f>
        <v>#REF!</v>
      </c>
      <c r="O2086" s="37" t="e">
        <f t="shared" si="52"/>
        <v>#REF!</v>
      </c>
    </row>
    <row r="2087" spans="2:15" ht="17.399999999999999">
      <c r="B2087" s="42" t="s">
        <v>193</v>
      </c>
      <c r="C2087" s="39" t="e">
        <f>#REF!</f>
        <v>#REF!</v>
      </c>
      <c r="D2087" s="31" t="e">
        <f>#REF!</f>
        <v>#REF!</v>
      </c>
      <c r="E2087" s="31" t="e">
        <f>#REF!</f>
        <v>#REF!</v>
      </c>
      <c r="F2087" s="31" t="e">
        <f>#REF!</f>
        <v>#REF!</v>
      </c>
      <c r="G2087" s="31" t="e">
        <f>#REF!</f>
        <v>#REF!</v>
      </c>
      <c r="H2087" s="31" t="e">
        <f>#REF!</f>
        <v>#REF!</v>
      </c>
      <c r="I2087" s="31">
        <f>'تقرير المصروفات حسب الشهر'!U855</f>
        <v>0</v>
      </c>
      <c r="J2087" s="31">
        <f>'تقرير المصروفات حسب الشهر'!U982</f>
        <v>0</v>
      </c>
      <c r="K2087" s="31">
        <f>'تقرير المصروفات حسب الشهر'!U1109</f>
        <v>0</v>
      </c>
      <c r="L2087" s="292">
        <f>IFERROR(VLOOKUP(B2087,'تقرير المصروفات حسب الشهر'!$C$1143:$AD$1254,19,FALSE),0)</f>
        <v>0</v>
      </c>
      <c r="M2087" s="292">
        <f>IFERROR(VLOOKUP(B2087,'تقرير المصروفات حسب الشهر'!$C$1270:$AD$1381,19,FALSE),0)</f>
        <v>0</v>
      </c>
      <c r="N2087" s="31" t="e">
        <f>#REF!</f>
        <v>#REF!</v>
      </c>
      <c r="O2087" s="37" t="e">
        <f t="shared" si="52"/>
        <v>#REF!</v>
      </c>
    </row>
    <row r="2088" spans="2:15" ht="17.399999999999999">
      <c r="B2088" s="42" t="s">
        <v>148</v>
      </c>
      <c r="C2088" s="39" t="e">
        <f>#REF!</f>
        <v>#REF!</v>
      </c>
      <c r="D2088" s="31" t="e">
        <f>#REF!</f>
        <v>#REF!</v>
      </c>
      <c r="E2088" s="31" t="e">
        <f>#REF!</f>
        <v>#REF!</v>
      </c>
      <c r="F2088" s="31" t="e">
        <f>#REF!</f>
        <v>#REF!</v>
      </c>
      <c r="G2088" s="31" t="e">
        <f>#REF!</f>
        <v>#REF!</v>
      </c>
      <c r="H2088" s="31" t="e">
        <f>#REF!</f>
        <v>#REF!</v>
      </c>
      <c r="I2088" s="31">
        <f>'تقرير المصروفات حسب الشهر'!U856</f>
        <v>0</v>
      </c>
      <c r="J2088" s="31">
        <f>'تقرير المصروفات حسب الشهر'!U983</f>
        <v>0</v>
      </c>
      <c r="K2088" s="31">
        <f>'تقرير المصروفات حسب الشهر'!U1110</f>
        <v>0</v>
      </c>
      <c r="L2088" s="292">
        <f>IFERROR(VLOOKUP(B2088,'تقرير المصروفات حسب الشهر'!$C$1143:$AD$1254,19,FALSE),0)</f>
        <v>0</v>
      </c>
      <c r="M2088" s="292">
        <f>IFERROR(VLOOKUP(B2088,'تقرير المصروفات حسب الشهر'!$C$1270:$AD$1381,19,FALSE),0)</f>
        <v>0</v>
      </c>
      <c r="N2088" s="31" t="e">
        <f>#REF!</f>
        <v>#REF!</v>
      </c>
      <c r="O2088" s="37" t="e">
        <f t="shared" si="52"/>
        <v>#REF!</v>
      </c>
    </row>
    <row r="2089" spans="2:15" ht="17.399999999999999">
      <c r="B2089" s="42" t="s">
        <v>186</v>
      </c>
      <c r="C2089" s="39" t="e">
        <f>#REF!</f>
        <v>#REF!</v>
      </c>
      <c r="D2089" s="31" t="e">
        <f>#REF!</f>
        <v>#REF!</v>
      </c>
      <c r="E2089" s="31" t="e">
        <f>#REF!</f>
        <v>#REF!</v>
      </c>
      <c r="F2089" s="31" t="e">
        <f>#REF!</f>
        <v>#REF!</v>
      </c>
      <c r="G2089" s="31" t="e">
        <f>#REF!</f>
        <v>#REF!</v>
      </c>
      <c r="H2089" s="31" t="e">
        <f>#REF!</f>
        <v>#REF!</v>
      </c>
      <c r="I2089" s="31">
        <f>'تقرير المصروفات حسب الشهر'!U857</f>
        <v>0</v>
      </c>
      <c r="J2089" s="31">
        <f>'تقرير المصروفات حسب الشهر'!U984</f>
        <v>0</v>
      </c>
      <c r="K2089" s="31">
        <f>'تقرير المصروفات حسب الشهر'!U1111</f>
        <v>0</v>
      </c>
      <c r="L2089" s="292">
        <f>IFERROR(VLOOKUP(B2089,'تقرير المصروفات حسب الشهر'!$C$1143:$AD$1254,19,FALSE),0)</f>
        <v>0</v>
      </c>
      <c r="M2089" s="292">
        <f>IFERROR(VLOOKUP(B2089,'تقرير المصروفات حسب الشهر'!$C$1270:$AD$1381,19,FALSE),0)</f>
        <v>0</v>
      </c>
      <c r="N2089" s="31" t="e">
        <f>#REF!</f>
        <v>#REF!</v>
      </c>
      <c r="O2089" s="37" t="e">
        <f t="shared" si="52"/>
        <v>#REF!</v>
      </c>
    </row>
    <row r="2090" spans="2:15" ht="17.399999999999999">
      <c r="B2090" s="42" t="s">
        <v>171</v>
      </c>
      <c r="C2090" s="39" t="e">
        <f>#REF!</f>
        <v>#REF!</v>
      </c>
      <c r="D2090" s="31" t="e">
        <f>#REF!</f>
        <v>#REF!</v>
      </c>
      <c r="E2090" s="31" t="e">
        <f>#REF!</f>
        <v>#REF!</v>
      </c>
      <c r="F2090" s="31" t="e">
        <f>#REF!</f>
        <v>#REF!</v>
      </c>
      <c r="G2090" s="31" t="e">
        <f>#REF!</f>
        <v>#REF!</v>
      </c>
      <c r="H2090" s="31" t="e">
        <f>#REF!</f>
        <v>#REF!</v>
      </c>
      <c r="I2090" s="31">
        <f>'تقرير المصروفات حسب الشهر'!U858</f>
        <v>0</v>
      </c>
      <c r="J2090" s="31">
        <f>'تقرير المصروفات حسب الشهر'!U985</f>
        <v>0</v>
      </c>
      <c r="K2090" s="31">
        <f>'تقرير المصروفات حسب الشهر'!U1112</f>
        <v>0</v>
      </c>
      <c r="L2090" s="292">
        <f>IFERROR(VLOOKUP(B2090,'تقرير المصروفات حسب الشهر'!$C$1143:$AD$1254,19,FALSE),0)</f>
        <v>0</v>
      </c>
      <c r="M2090" s="292">
        <f>IFERROR(VLOOKUP(B2090,'تقرير المصروفات حسب الشهر'!$C$1270:$AD$1381,19,FALSE),0)</f>
        <v>0</v>
      </c>
      <c r="N2090" s="31" t="e">
        <f>#REF!</f>
        <v>#REF!</v>
      </c>
      <c r="O2090" s="37" t="e">
        <f t="shared" si="52"/>
        <v>#REF!</v>
      </c>
    </row>
    <row r="2091" spans="2:15" ht="17.399999999999999">
      <c r="B2091" s="42" t="s">
        <v>180</v>
      </c>
      <c r="C2091" s="39" t="e">
        <f>#REF!</f>
        <v>#REF!</v>
      </c>
      <c r="D2091" s="31" t="e">
        <f>#REF!</f>
        <v>#REF!</v>
      </c>
      <c r="E2091" s="31" t="e">
        <f>#REF!</f>
        <v>#REF!</v>
      </c>
      <c r="F2091" s="31" t="e">
        <f>#REF!</f>
        <v>#REF!</v>
      </c>
      <c r="G2091" s="31" t="e">
        <f>#REF!</f>
        <v>#REF!</v>
      </c>
      <c r="H2091" s="31" t="e">
        <f>#REF!</f>
        <v>#REF!</v>
      </c>
      <c r="I2091" s="31">
        <f>'تقرير المصروفات حسب الشهر'!U859</f>
        <v>0</v>
      </c>
      <c r="J2091" s="31">
        <f>'تقرير المصروفات حسب الشهر'!U986</f>
        <v>0</v>
      </c>
      <c r="K2091" s="31">
        <f>'تقرير المصروفات حسب الشهر'!U1113</f>
        <v>0</v>
      </c>
      <c r="L2091" s="292">
        <f>IFERROR(VLOOKUP(B2091,'تقرير المصروفات حسب الشهر'!$C$1143:$AD$1254,19,FALSE),0)</f>
        <v>0</v>
      </c>
      <c r="M2091" s="292">
        <f>IFERROR(VLOOKUP(B2091,'تقرير المصروفات حسب الشهر'!$C$1270:$AD$1381,19,FALSE),0)</f>
        <v>0</v>
      </c>
      <c r="N2091" s="31" t="e">
        <f>#REF!</f>
        <v>#REF!</v>
      </c>
      <c r="O2091" s="37" t="e">
        <f t="shared" si="52"/>
        <v>#REF!</v>
      </c>
    </row>
    <row r="2092" spans="2:15" ht="17.399999999999999">
      <c r="B2092" s="42" t="s">
        <v>183</v>
      </c>
      <c r="C2092" s="39" t="e">
        <f>#REF!</f>
        <v>#REF!</v>
      </c>
      <c r="D2092" s="31" t="e">
        <f>#REF!</f>
        <v>#REF!</v>
      </c>
      <c r="E2092" s="31" t="e">
        <f>#REF!</f>
        <v>#REF!</v>
      </c>
      <c r="F2092" s="31" t="e">
        <f>#REF!</f>
        <v>#REF!</v>
      </c>
      <c r="G2092" s="31" t="e">
        <f>#REF!</f>
        <v>#REF!</v>
      </c>
      <c r="H2092" s="31" t="e">
        <f>#REF!</f>
        <v>#REF!</v>
      </c>
      <c r="I2092" s="31">
        <f>'تقرير المصروفات حسب الشهر'!U860</f>
        <v>0</v>
      </c>
      <c r="J2092" s="31">
        <f>'تقرير المصروفات حسب الشهر'!U987</f>
        <v>0</v>
      </c>
      <c r="K2092" s="31">
        <f>'تقرير المصروفات حسب الشهر'!U1114</f>
        <v>0</v>
      </c>
      <c r="L2092" s="292">
        <f>IFERROR(VLOOKUP(B2092,'تقرير المصروفات حسب الشهر'!$C$1143:$AD$1254,19,FALSE),0)</f>
        <v>0</v>
      </c>
      <c r="M2092" s="292">
        <f>IFERROR(VLOOKUP(B2092,'تقرير المصروفات حسب الشهر'!$C$1270:$AD$1381,19,FALSE),0)</f>
        <v>0</v>
      </c>
      <c r="N2092" s="31" t="e">
        <f>#REF!</f>
        <v>#REF!</v>
      </c>
      <c r="O2092" s="37" t="e">
        <f t="shared" si="52"/>
        <v>#REF!</v>
      </c>
    </row>
    <row r="2093" spans="2:15" ht="17.399999999999999">
      <c r="B2093" s="42" t="s">
        <v>195</v>
      </c>
      <c r="C2093" s="39" t="e">
        <f>#REF!</f>
        <v>#REF!</v>
      </c>
      <c r="D2093" s="31" t="e">
        <f>#REF!</f>
        <v>#REF!</v>
      </c>
      <c r="E2093" s="31" t="e">
        <f>#REF!</f>
        <v>#REF!</v>
      </c>
      <c r="F2093" s="31" t="e">
        <f>#REF!</f>
        <v>#REF!</v>
      </c>
      <c r="G2093" s="31" t="e">
        <f>#REF!</f>
        <v>#REF!</v>
      </c>
      <c r="H2093" s="31" t="e">
        <f>#REF!</f>
        <v>#REF!</v>
      </c>
      <c r="I2093" s="31">
        <f>'تقرير المصروفات حسب الشهر'!U861</f>
        <v>0</v>
      </c>
      <c r="J2093" s="31">
        <f>'تقرير المصروفات حسب الشهر'!U988</f>
        <v>0</v>
      </c>
      <c r="K2093" s="31">
        <f>'تقرير المصروفات حسب الشهر'!U1115</f>
        <v>0</v>
      </c>
      <c r="L2093" s="292">
        <f>IFERROR(VLOOKUP(B2093,'تقرير المصروفات حسب الشهر'!$C$1143:$AD$1254,19,FALSE),0)</f>
        <v>0</v>
      </c>
      <c r="M2093" s="292">
        <f>IFERROR(VLOOKUP(B2093,'تقرير المصروفات حسب الشهر'!$C$1270:$AD$1381,19,FALSE),0)</f>
        <v>0</v>
      </c>
      <c r="N2093" s="31" t="e">
        <f>#REF!</f>
        <v>#REF!</v>
      </c>
      <c r="O2093" s="37" t="e">
        <f t="shared" si="52"/>
        <v>#REF!</v>
      </c>
    </row>
    <row r="2094" spans="2:15" ht="17.399999999999999">
      <c r="B2094" s="42" t="s">
        <v>189</v>
      </c>
      <c r="C2094" s="39" t="e">
        <f>#REF!</f>
        <v>#REF!</v>
      </c>
      <c r="D2094" s="31" t="e">
        <f>#REF!</f>
        <v>#REF!</v>
      </c>
      <c r="E2094" s="31" t="e">
        <f>#REF!</f>
        <v>#REF!</v>
      </c>
      <c r="F2094" s="31" t="e">
        <f>#REF!</f>
        <v>#REF!</v>
      </c>
      <c r="G2094" s="31" t="e">
        <f>#REF!</f>
        <v>#REF!</v>
      </c>
      <c r="H2094" s="31" t="e">
        <f>#REF!</f>
        <v>#REF!</v>
      </c>
      <c r="I2094" s="31">
        <f>'تقرير المصروفات حسب الشهر'!U862</f>
        <v>0</v>
      </c>
      <c r="J2094" s="31">
        <f>'تقرير المصروفات حسب الشهر'!U989</f>
        <v>0</v>
      </c>
      <c r="K2094" s="31">
        <f>'تقرير المصروفات حسب الشهر'!U1116</f>
        <v>0</v>
      </c>
      <c r="L2094" s="292">
        <f>IFERROR(VLOOKUP(B2094,'تقرير المصروفات حسب الشهر'!$C$1143:$AD$1254,19,FALSE),0)</f>
        <v>0</v>
      </c>
      <c r="M2094" s="292">
        <f>IFERROR(VLOOKUP(B2094,'تقرير المصروفات حسب الشهر'!$C$1270:$AD$1381,19,FALSE),0)</f>
        <v>0</v>
      </c>
      <c r="N2094" s="31" t="e">
        <f>#REF!</f>
        <v>#REF!</v>
      </c>
      <c r="O2094" s="37" t="e">
        <f t="shared" si="52"/>
        <v>#REF!</v>
      </c>
    </row>
    <row r="2095" spans="2:15" ht="17.399999999999999">
      <c r="B2095" s="42" t="s">
        <v>188</v>
      </c>
      <c r="C2095" s="39" t="e">
        <f>#REF!</f>
        <v>#REF!</v>
      </c>
      <c r="D2095" s="31" t="e">
        <f>#REF!</f>
        <v>#REF!</v>
      </c>
      <c r="E2095" s="31" t="e">
        <f>#REF!</f>
        <v>#REF!</v>
      </c>
      <c r="F2095" s="31" t="e">
        <f>#REF!</f>
        <v>#REF!</v>
      </c>
      <c r="G2095" s="31" t="e">
        <f>#REF!</f>
        <v>#REF!</v>
      </c>
      <c r="H2095" s="31" t="e">
        <f>#REF!</f>
        <v>#REF!</v>
      </c>
      <c r="I2095" s="31">
        <f>'تقرير المصروفات حسب الشهر'!U863</f>
        <v>0</v>
      </c>
      <c r="J2095" s="31">
        <f>'تقرير المصروفات حسب الشهر'!U990</f>
        <v>0</v>
      </c>
      <c r="K2095" s="31">
        <f>'تقرير المصروفات حسب الشهر'!U1117</f>
        <v>0</v>
      </c>
      <c r="L2095" s="292">
        <f>IFERROR(VLOOKUP(B2095,'تقرير المصروفات حسب الشهر'!$C$1143:$AD$1254,19,FALSE),0)</f>
        <v>0</v>
      </c>
      <c r="M2095" s="292">
        <f>IFERROR(VLOOKUP(B2095,'تقرير المصروفات حسب الشهر'!$C$1270:$AD$1381,19,FALSE),0)</f>
        <v>0</v>
      </c>
      <c r="N2095" s="31" t="e">
        <f>#REF!</f>
        <v>#REF!</v>
      </c>
      <c r="O2095" s="37" t="e">
        <f t="shared" si="52"/>
        <v>#REF!</v>
      </c>
    </row>
    <row r="2096" spans="2:15" ht="17.399999999999999">
      <c r="B2096" s="42" t="s">
        <v>196</v>
      </c>
      <c r="C2096" s="39" t="e">
        <f>#REF!</f>
        <v>#REF!</v>
      </c>
      <c r="D2096" s="31" t="e">
        <f>#REF!</f>
        <v>#REF!</v>
      </c>
      <c r="E2096" s="31" t="e">
        <f>#REF!</f>
        <v>#REF!</v>
      </c>
      <c r="F2096" s="31" t="e">
        <f>#REF!</f>
        <v>#REF!</v>
      </c>
      <c r="G2096" s="31" t="e">
        <f>#REF!</f>
        <v>#REF!</v>
      </c>
      <c r="H2096" s="31" t="e">
        <f>#REF!</f>
        <v>#REF!</v>
      </c>
      <c r="I2096" s="31">
        <f>'تقرير المصروفات حسب الشهر'!U864</f>
        <v>0</v>
      </c>
      <c r="J2096" s="31">
        <f>'تقرير المصروفات حسب الشهر'!U991</f>
        <v>0</v>
      </c>
      <c r="K2096" s="31">
        <f>'تقرير المصروفات حسب الشهر'!U1118</f>
        <v>0</v>
      </c>
      <c r="L2096" s="292">
        <f>IFERROR(VLOOKUP(B2096,'تقرير المصروفات حسب الشهر'!$C$1143:$AD$1254,19,FALSE),0)</f>
        <v>0</v>
      </c>
      <c r="M2096" s="292">
        <f>IFERROR(VLOOKUP(B2096,'تقرير المصروفات حسب الشهر'!$C$1270:$AD$1381,19,FALSE),0)</f>
        <v>0</v>
      </c>
      <c r="N2096" s="31" t="e">
        <f>#REF!</f>
        <v>#REF!</v>
      </c>
      <c r="O2096" s="37" t="e">
        <f t="shared" si="52"/>
        <v>#REF!</v>
      </c>
    </row>
    <row r="2097" spans="2:15" ht="17.399999999999999">
      <c r="B2097" s="42" t="s">
        <v>197</v>
      </c>
      <c r="C2097" s="39" t="e">
        <f>#REF!</f>
        <v>#REF!</v>
      </c>
      <c r="D2097" s="31" t="e">
        <f>#REF!</f>
        <v>#REF!</v>
      </c>
      <c r="E2097" s="31" t="e">
        <f>#REF!</f>
        <v>#REF!</v>
      </c>
      <c r="F2097" s="31" t="e">
        <f>#REF!</f>
        <v>#REF!</v>
      </c>
      <c r="G2097" s="31" t="e">
        <f>#REF!</f>
        <v>#REF!</v>
      </c>
      <c r="H2097" s="31" t="e">
        <f>#REF!</f>
        <v>#REF!</v>
      </c>
      <c r="I2097" s="31">
        <f>'تقرير المصروفات حسب الشهر'!U865</f>
        <v>0</v>
      </c>
      <c r="J2097" s="31">
        <f>'تقرير المصروفات حسب الشهر'!U992</f>
        <v>0</v>
      </c>
      <c r="K2097" s="31">
        <f>'تقرير المصروفات حسب الشهر'!U1119</f>
        <v>0</v>
      </c>
      <c r="L2097" s="292">
        <f>IFERROR(VLOOKUP(B2097,'تقرير المصروفات حسب الشهر'!$C$1143:$AD$1254,19,FALSE),0)</f>
        <v>0</v>
      </c>
      <c r="M2097" s="292">
        <f>IFERROR(VLOOKUP(B2097,'تقرير المصروفات حسب الشهر'!$C$1270:$AD$1381,19,FALSE),0)</f>
        <v>0</v>
      </c>
      <c r="N2097" s="31" t="e">
        <f>#REF!</f>
        <v>#REF!</v>
      </c>
      <c r="O2097" s="37" t="e">
        <f t="shared" si="52"/>
        <v>#REF!</v>
      </c>
    </row>
    <row r="2098" spans="2:15" ht="17.399999999999999">
      <c r="B2098" s="42" t="s">
        <v>198</v>
      </c>
      <c r="C2098" s="39" t="e">
        <f>#REF!</f>
        <v>#REF!</v>
      </c>
      <c r="D2098" s="31" t="e">
        <f>#REF!</f>
        <v>#REF!</v>
      </c>
      <c r="E2098" s="31" t="e">
        <f>#REF!</f>
        <v>#REF!</v>
      </c>
      <c r="F2098" s="31" t="e">
        <f>#REF!</f>
        <v>#REF!</v>
      </c>
      <c r="G2098" s="31" t="e">
        <f>#REF!</f>
        <v>#REF!</v>
      </c>
      <c r="H2098" s="31" t="e">
        <f>#REF!</f>
        <v>#REF!</v>
      </c>
      <c r="I2098" s="31">
        <f>'تقرير المصروفات حسب الشهر'!U866</f>
        <v>0</v>
      </c>
      <c r="J2098" s="31">
        <f>'تقرير المصروفات حسب الشهر'!U993</f>
        <v>0</v>
      </c>
      <c r="K2098" s="31">
        <f>'تقرير المصروفات حسب الشهر'!U1120</f>
        <v>0</v>
      </c>
      <c r="L2098" s="292">
        <f>IFERROR(VLOOKUP(B2098,'تقرير المصروفات حسب الشهر'!$C$1143:$AD$1254,19,FALSE),0)</f>
        <v>0</v>
      </c>
      <c r="M2098" s="292">
        <f>IFERROR(VLOOKUP(B2098,'تقرير المصروفات حسب الشهر'!$C$1270:$AD$1381,19,FALSE),0)</f>
        <v>0</v>
      </c>
      <c r="N2098" s="31" t="e">
        <f>#REF!</f>
        <v>#REF!</v>
      </c>
      <c r="O2098" s="37" t="e">
        <f t="shared" si="52"/>
        <v>#REF!</v>
      </c>
    </row>
    <row r="2099" spans="2:15" ht="17.399999999999999">
      <c r="B2099" s="42" t="s">
        <v>201</v>
      </c>
      <c r="C2099" s="39" t="e">
        <f>#REF!</f>
        <v>#REF!</v>
      </c>
      <c r="D2099" s="31" t="e">
        <f>#REF!</f>
        <v>#REF!</v>
      </c>
      <c r="E2099" s="31" t="e">
        <f>#REF!</f>
        <v>#REF!</v>
      </c>
      <c r="F2099" s="31" t="e">
        <f>#REF!</f>
        <v>#REF!</v>
      </c>
      <c r="G2099" s="31" t="e">
        <f>#REF!</f>
        <v>#REF!</v>
      </c>
      <c r="H2099" s="31" t="e">
        <f>#REF!</f>
        <v>#REF!</v>
      </c>
      <c r="I2099" s="31">
        <f>'تقرير المصروفات حسب الشهر'!U867</f>
        <v>0</v>
      </c>
      <c r="J2099" s="31">
        <f>'تقرير المصروفات حسب الشهر'!U994</f>
        <v>0</v>
      </c>
      <c r="K2099" s="31">
        <f>'تقرير المصروفات حسب الشهر'!U1121</f>
        <v>0</v>
      </c>
      <c r="L2099" s="292">
        <f>IFERROR(VLOOKUP(B2099,'تقرير المصروفات حسب الشهر'!$C$1143:$AD$1254,19,FALSE),0)</f>
        <v>0</v>
      </c>
      <c r="M2099" s="292">
        <f>IFERROR(VLOOKUP(B2099,'تقرير المصروفات حسب الشهر'!$C$1270:$AD$1381,19,FALSE),0)</f>
        <v>0</v>
      </c>
      <c r="N2099" s="31" t="e">
        <f>#REF!</f>
        <v>#REF!</v>
      </c>
      <c r="O2099" s="37" t="e">
        <f t="shared" si="52"/>
        <v>#REF!</v>
      </c>
    </row>
    <row r="2100" spans="2:15" ht="17.399999999999999">
      <c r="B2100" s="42" t="s">
        <v>202</v>
      </c>
      <c r="C2100" s="39" t="e">
        <f>#REF!</f>
        <v>#REF!</v>
      </c>
      <c r="D2100" s="31" t="e">
        <f>#REF!</f>
        <v>#REF!</v>
      </c>
      <c r="E2100" s="31" t="e">
        <f>#REF!</f>
        <v>#REF!</v>
      </c>
      <c r="F2100" s="31" t="e">
        <f>#REF!</f>
        <v>#REF!</v>
      </c>
      <c r="G2100" s="31" t="e">
        <f>#REF!</f>
        <v>#REF!</v>
      </c>
      <c r="H2100" s="31" t="e">
        <f>#REF!</f>
        <v>#REF!</v>
      </c>
      <c r="I2100" s="31">
        <f>'تقرير المصروفات حسب الشهر'!U868</f>
        <v>0</v>
      </c>
      <c r="J2100" s="31">
        <f>'تقرير المصروفات حسب الشهر'!U995</f>
        <v>0</v>
      </c>
      <c r="K2100" s="31">
        <f>'تقرير المصروفات حسب الشهر'!U1122</f>
        <v>0</v>
      </c>
      <c r="L2100" s="292">
        <f>IFERROR(VLOOKUP(B2100,'تقرير المصروفات حسب الشهر'!$C$1143:$AD$1254,19,FALSE),0)</f>
        <v>0</v>
      </c>
      <c r="M2100" s="292">
        <f>IFERROR(VLOOKUP(B2100,'تقرير المصروفات حسب الشهر'!$C$1270:$AD$1381,19,FALSE),0)</f>
        <v>0</v>
      </c>
      <c r="N2100" s="31" t="e">
        <f>#REF!</f>
        <v>#REF!</v>
      </c>
      <c r="O2100" s="37" t="e">
        <f t="shared" si="52"/>
        <v>#REF!</v>
      </c>
    </row>
    <row r="2101" spans="2:15" ht="17.399999999999999">
      <c r="B2101" s="42" t="s">
        <v>206</v>
      </c>
      <c r="C2101" s="39" t="e">
        <f>#REF!</f>
        <v>#REF!</v>
      </c>
      <c r="D2101" s="31" t="e">
        <f>#REF!</f>
        <v>#REF!</v>
      </c>
      <c r="E2101" s="31" t="e">
        <f>#REF!</f>
        <v>#REF!</v>
      </c>
      <c r="F2101" s="31" t="e">
        <f>#REF!</f>
        <v>#REF!</v>
      </c>
      <c r="G2101" s="31" t="e">
        <f>#REF!</f>
        <v>#REF!</v>
      </c>
      <c r="H2101" s="31" t="e">
        <f>#REF!</f>
        <v>#REF!</v>
      </c>
      <c r="I2101" s="31">
        <f>'تقرير المصروفات حسب الشهر'!U869</f>
        <v>0</v>
      </c>
      <c r="J2101" s="31">
        <f>'تقرير المصروفات حسب الشهر'!U996</f>
        <v>0</v>
      </c>
      <c r="K2101" s="31">
        <f>'تقرير المصروفات حسب الشهر'!U1123</f>
        <v>0</v>
      </c>
      <c r="L2101" s="292">
        <f>IFERROR(VLOOKUP(B2101,'تقرير المصروفات حسب الشهر'!$C$1143:$AD$1254,19,FALSE),0)</f>
        <v>0</v>
      </c>
      <c r="M2101" s="292">
        <f>IFERROR(VLOOKUP(B2101,'تقرير المصروفات حسب الشهر'!$C$1270:$AD$1381,19,FALSE),0)</f>
        <v>0</v>
      </c>
      <c r="N2101" s="31" t="e">
        <f>#REF!</f>
        <v>#REF!</v>
      </c>
      <c r="O2101" s="37" t="e">
        <f t="shared" si="52"/>
        <v>#REF!</v>
      </c>
    </row>
    <row r="2102" spans="2:15" ht="17.399999999999999">
      <c r="B2102" s="42" t="s">
        <v>207</v>
      </c>
      <c r="C2102" s="39" t="e">
        <f>#REF!</f>
        <v>#REF!</v>
      </c>
      <c r="D2102" s="31" t="e">
        <f>#REF!</f>
        <v>#REF!</v>
      </c>
      <c r="E2102" s="31" t="e">
        <f>#REF!</f>
        <v>#REF!</v>
      </c>
      <c r="F2102" s="31" t="e">
        <f>#REF!</f>
        <v>#REF!</v>
      </c>
      <c r="G2102" s="31" t="e">
        <f>#REF!</f>
        <v>#REF!</v>
      </c>
      <c r="H2102" s="31" t="e">
        <f>#REF!</f>
        <v>#REF!</v>
      </c>
      <c r="I2102" s="31">
        <f>'تقرير المصروفات حسب الشهر'!U870</f>
        <v>0</v>
      </c>
      <c r="J2102" s="31">
        <f>'تقرير المصروفات حسب الشهر'!U997</f>
        <v>0</v>
      </c>
      <c r="K2102" s="31">
        <f>'تقرير المصروفات حسب الشهر'!U1124</f>
        <v>0</v>
      </c>
      <c r="L2102" s="292">
        <f>IFERROR(VLOOKUP(B2102,'تقرير المصروفات حسب الشهر'!$C$1143:$AD$1254,19,FALSE),0)</f>
        <v>0</v>
      </c>
      <c r="M2102" s="292">
        <f>IFERROR(VLOOKUP(B2102,'تقرير المصروفات حسب الشهر'!$C$1270:$AD$1381,19,FALSE),0)</f>
        <v>0</v>
      </c>
      <c r="N2102" s="31" t="e">
        <f>#REF!</f>
        <v>#REF!</v>
      </c>
      <c r="O2102" s="37" t="e">
        <f t="shared" si="52"/>
        <v>#REF!</v>
      </c>
    </row>
    <row r="2103" spans="2:15" ht="17.399999999999999">
      <c r="B2103" s="43" t="s">
        <v>208</v>
      </c>
      <c r="C2103" s="39" t="e">
        <f>#REF!</f>
        <v>#REF!</v>
      </c>
      <c r="D2103" s="31" t="e">
        <f>#REF!</f>
        <v>#REF!</v>
      </c>
      <c r="E2103" s="31" t="e">
        <f>#REF!</f>
        <v>#REF!</v>
      </c>
      <c r="F2103" s="31" t="e">
        <f>#REF!</f>
        <v>#REF!</v>
      </c>
      <c r="G2103" s="31" t="e">
        <f>#REF!</f>
        <v>#REF!</v>
      </c>
      <c r="H2103" s="31">
        <v>0</v>
      </c>
      <c r="I2103" s="31">
        <f>'تقرير المصروفات حسب الشهر'!U871</f>
        <v>0</v>
      </c>
      <c r="J2103" s="31">
        <f>'تقرير المصروفات حسب الشهر'!U998</f>
        <v>0</v>
      </c>
      <c r="K2103" s="31">
        <f>'تقرير المصروفات حسب الشهر'!U1125</f>
        <v>0</v>
      </c>
      <c r="L2103" s="292">
        <f>IFERROR(VLOOKUP(B2103,'تقرير المصروفات حسب الشهر'!$C$1143:$AD$1254,19,FALSE),0)</f>
        <v>0</v>
      </c>
      <c r="M2103" s="292">
        <f>IFERROR(VLOOKUP(B2103,'تقرير المصروفات حسب الشهر'!$C$1270:$AD$1381,19,FALSE),0)</f>
        <v>0</v>
      </c>
      <c r="N2103" s="31" t="e">
        <f>#REF!</f>
        <v>#REF!</v>
      </c>
      <c r="O2103" s="37" t="e">
        <f t="shared" si="52"/>
        <v>#REF!</v>
      </c>
    </row>
    <row r="2104" spans="2:15" ht="17.399999999999999">
      <c r="B2104" s="437" t="s">
        <v>236</v>
      </c>
      <c r="C2104" s="438"/>
      <c r="D2104" s="438"/>
      <c r="E2104" s="438"/>
      <c r="F2104" s="438"/>
      <c r="G2104" s="438"/>
      <c r="H2104" s="438"/>
      <c r="I2104" s="438"/>
      <c r="J2104" s="438"/>
      <c r="K2104" s="438"/>
      <c r="L2104" s="439"/>
      <c r="M2104" s="439"/>
      <c r="N2104" s="438"/>
      <c r="O2104" s="440"/>
    </row>
    <row r="2105" spans="2:15" ht="17.399999999999999">
      <c r="B2105" s="437" t="s">
        <v>209</v>
      </c>
      <c r="C2105" s="438"/>
      <c r="D2105" s="438"/>
      <c r="E2105" s="438"/>
      <c r="F2105" s="438"/>
      <c r="G2105" s="438"/>
      <c r="H2105" s="438"/>
      <c r="I2105" s="438"/>
      <c r="J2105" s="438"/>
      <c r="K2105" s="438"/>
      <c r="L2105" s="439"/>
      <c r="M2105" s="439"/>
      <c r="N2105" s="438"/>
      <c r="O2105" s="440"/>
    </row>
    <row r="2106" spans="2:15" ht="18" thickBot="1">
      <c r="B2106" s="437" t="s">
        <v>360</v>
      </c>
      <c r="C2106" s="438"/>
      <c r="D2106" s="438"/>
      <c r="E2106" s="438"/>
      <c r="F2106" s="438"/>
      <c r="G2106" s="438"/>
      <c r="H2106" s="438"/>
      <c r="I2106" s="438"/>
      <c r="J2106" s="438"/>
      <c r="K2106" s="438"/>
      <c r="L2106" s="439"/>
      <c r="M2106" s="439"/>
      <c r="N2106" s="438"/>
      <c r="O2106" s="440"/>
    </row>
    <row r="2107" spans="2:15" ht="21.6" thickBot="1">
      <c r="B2107" s="29" t="s">
        <v>18</v>
      </c>
      <c r="C2107" s="41" t="e">
        <f>SUM(C1995:C2103)</f>
        <v>#REF!</v>
      </c>
      <c r="D2107" s="41" t="e">
        <f t="shared" ref="D2107:O2107" si="53">SUM(D1995:D2103)</f>
        <v>#REF!</v>
      </c>
      <c r="E2107" s="41" t="e">
        <f t="shared" si="53"/>
        <v>#REF!</v>
      </c>
      <c r="F2107" s="41" t="e">
        <f t="shared" si="53"/>
        <v>#REF!</v>
      </c>
      <c r="G2107" s="41" t="e">
        <f t="shared" si="53"/>
        <v>#REF!</v>
      </c>
      <c r="H2107" s="41" t="e">
        <f t="shared" si="53"/>
        <v>#REF!</v>
      </c>
      <c r="I2107" s="41">
        <f t="shared" si="53"/>
        <v>28804.36</v>
      </c>
      <c r="J2107" s="41">
        <f t="shared" si="53"/>
        <v>27717.779999999995</v>
      </c>
      <c r="K2107" s="41">
        <f t="shared" si="53"/>
        <v>26151.009999999995</v>
      </c>
      <c r="L2107" s="41">
        <f t="shared" si="53"/>
        <v>32104.769999999997</v>
      </c>
      <c r="M2107" s="41">
        <f t="shared" si="53"/>
        <v>31481.62</v>
      </c>
      <c r="N2107" s="41" t="e">
        <f t="shared" si="53"/>
        <v>#REF!</v>
      </c>
      <c r="O2107" s="41" t="e">
        <f t="shared" si="53"/>
        <v>#REF!</v>
      </c>
    </row>
    <row r="2109" spans="2:15" ht="13.8" thickBot="1"/>
    <row r="2110" spans="2:15" ht="31.2" thickTop="1" thickBot="1">
      <c r="B2110" s="643" t="s">
        <v>227</v>
      </c>
      <c r="C2110" s="644"/>
      <c r="D2110" s="644"/>
      <c r="E2110" s="644"/>
      <c r="F2110" s="644"/>
      <c r="G2110" s="644"/>
      <c r="H2110" s="644"/>
      <c r="I2110" s="644"/>
      <c r="J2110" s="644"/>
      <c r="K2110" s="644"/>
      <c r="L2110" s="644"/>
      <c r="M2110" s="644"/>
      <c r="N2110" s="644"/>
      <c r="O2110" s="645"/>
    </row>
    <row r="2111" spans="2:15" ht="17.399999999999999">
      <c r="B2111" s="30" t="s">
        <v>23</v>
      </c>
      <c r="C2111" s="33" t="s">
        <v>0</v>
      </c>
      <c r="D2111" s="33" t="s">
        <v>1</v>
      </c>
      <c r="E2111" s="34" t="s">
        <v>2</v>
      </c>
      <c r="F2111" s="34" t="s">
        <v>3</v>
      </c>
      <c r="G2111" s="34" t="s">
        <v>4</v>
      </c>
      <c r="H2111" s="34" t="s">
        <v>5</v>
      </c>
      <c r="I2111" s="34" t="s">
        <v>6</v>
      </c>
      <c r="J2111" s="34" t="s">
        <v>7</v>
      </c>
      <c r="K2111" s="34" t="s">
        <v>8</v>
      </c>
      <c r="L2111" s="34" t="s">
        <v>9</v>
      </c>
      <c r="M2111" s="34" t="s">
        <v>10</v>
      </c>
      <c r="N2111" s="35" t="s">
        <v>11</v>
      </c>
      <c r="O2111" s="36" t="s">
        <v>18</v>
      </c>
    </row>
    <row r="2112" spans="2:15" ht="17.399999999999999">
      <c r="B2112" s="42" t="s">
        <v>40</v>
      </c>
      <c r="C2112" s="39" t="e">
        <f>#REF!</f>
        <v>#REF!</v>
      </c>
      <c r="D2112" s="31" t="e">
        <f>#REF!</f>
        <v>#REF!</v>
      </c>
      <c r="E2112" s="31" t="e">
        <f>#REF!</f>
        <v>#REF!</v>
      </c>
      <c r="F2112" s="31" t="e">
        <f>#REF!</f>
        <v>#REF!</v>
      </c>
      <c r="G2112" s="31" t="e">
        <f>#REF!</f>
        <v>#REF!</v>
      </c>
      <c r="H2112" s="31" t="e">
        <f>#REF!</f>
        <v>#REF!</v>
      </c>
      <c r="I2112" s="31">
        <f>'تقرير المصروفات حسب الشهر'!V763</f>
        <v>0</v>
      </c>
      <c r="J2112" s="31">
        <f>'تقرير المصروفات حسب الشهر'!V890</f>
        <v>0</v>
      </c>
      <c r="K2112" s="31">
        <f>'تقرير المصروفات حسب الشهر'!V1017</f>
        <v>0</v>
      </c>
      <c r="L2112" s="292">
        <f>IFERROR(VLOOKUP(B2112,'تقرير المصروفات حسب الشهر'!$C$1143:$AD$1254,20,FALSE),0)</f>
        <v>0</v>
      </c>
      <c r="M2112" s="292">
        <f>IFERROR(VLOOKUP(B2112,'تقرير المصروفات حسب الشهر'!$C$1270:$AD$1381,20,FALSE),0)</f>
        <v>0</v>
      </c>
      <c r="N2112" s="31" t="e">
        <f>#REF!</f>
        <v>#REF!</v>
      </c>
      <c r="O2112" s="37" t="e">
        <f>SUM(C2112:N2112)</f>
        <v>#REF!</v>
      </c>
    </row>
    <row r="2113" spans="2:15" ht="17.399999999999999">
      <c r="B2113" s="42" t="s">
        <v>41</v>
      </c>
      <c r="C2113" s="39" t="e">
        <f>#REF!</f>
        <v>#REF!</v>
      </c>
      <c r="D2113" s="31" t="e">
        <f>#REF!</f>
        <v>#REF!</v>
      </c>
      <c r="E2113" s="31" t="e">
        <f>#REF!</f>
        <v>#REF!</v>
      </c>
      <c r="F2113" s="31" t="e">
        <f>#REF!</f>
        <v>#REF!</v>
      </c>
      <c r="G2113" s="31" t="e">
        <f>#REF!</f>
        <v>#REF!</v>
      </c>
      <c r="H2113" s="31" t="e">
        <f>#REF!</f>
        <v>#REF!</v>
      </c>
      <c r="I2113" s="31">
        <f>'تقرير المصروفات حسب الشهر'!V764</f>
        <v>25370.33</v>
      </c>
      <c r="J2113" s="31">
        <f>'تقرير المصروفات حسب الشهر'!V891</f>
        <v>24582.92</v>
      </c>
      <c r="K2113" s="31">
        <f>'تقرير المصروفات حسب الشهر'!V1018</f>
        <v>23477.5</v>
      </c>
      <c r="L2113" s="292">
        <f>IFERROR(VLOOKUP(B2113,'تقرير المصروفات حسب الشهر'!$C$1143:$AD$1254,20,FALSE),0)</f>
        <v>24857.86</v>
      </c>
      <c r="M2113" s="292">
        <f>IFERROR(VLOOKUP(B2113,'تقرير المصروفات حسب الشهر'!$C$1270:$AD$1381,20,FALSE),0)</f>
        <v>25788.699999999997</v>
      </c>
      <c r="N2113" s="31" t="e">
        <f>#REF!</f>
        <v>#REF!</v>
      </c>
      <c r="O2113" s="37" t="e">
        <f t="shared" ref="O2113:O2176" si="54">SUM(C2113:N2113)</f>
        <v>#REF!</v>
      </c>
    </row>
    <row r="2114" spans="2:15" ht="17.399999999999999">
      <c r="B2114" s="42" t="s">
        <v>26</v>
      </c>
      <c r="C2114" s="39" t="e">
        <f>#REF!</f>
        <v>#REF!</v>
      </c>
      <c r="D2114" s="31" t="e">
        <f>#REF!</f>
        <v>#REF!</v>
      </c>
      <c r="E2114" s="31" t="e">
        <f>#REF!</f>
        <v>#REF!</v>
      </c>
      <c r="F2114" s="31" t="e">
        <f>#REF!</f>
        <v>#REF!</v>
      </c>
      <c r="G2114" s="31" t="e">
        <f>#REF!</f>
        <v>#REF!</v>
      </c>
      <c r="H2114" s="31" t="e">
        <f>#REF!</f>
        <v>#REF!</v>
      </c>
      <c r="I2114" s="31">
        <f>'تقرير المصروفات حسب الشهر'!V765</f>
        <v>0</v>
      </c>
      <c r="J2114" s="31">
        <f>'تقرير المصروفات حسب الشهر'!V892</f>
        <v>0</v>
      </c>
      <c r="K2114" s="31">
        <f>'تقرير المصروفات حسب الشهر'!V1019</f>
        <v>0</v>
      </c>
      <c r="L2114" s="292">
        <f>IFERROR(VLOOKUP(B2114,'تقرير المصروفات حسب الشهر'!$C$1143:$AD$1254,20,FALSE),0)</f>
        <v>0</v>
      </c>
      <c r="M2114" s="292">
        <f>IFERROR(VLOOKUP(B2114,'تقرير المصروفات حسب الشهر'!$C$1270:$AD$1381,20,FALSE),0)</f>
        <v>0</v>
      </c>
      <c r="N2114" s="31" t="e">
        <f>#REF!</f>
        <v>#REF!</v>
      </c>
      <c r="O2114" s="37" t="e">
        <f t="shared" si="54"/>
        <v>#REF!</v>
      </c>
    </row>
    <row r="2115" spans="2:15" ht="17.399999999999999">
      <c r="B2115" s="42" t="s">
        <v>27</v>
      </c>
      <c r="C2115" s="39" t="e">
        <f>#REF!</f>
        <v>#REF!</v>
      </c>
      <c r="D2115" s="31" t="e">
        <f>#REF!</f>
        <v>#REF!</v>
      </c>
      <c r="E2115" s="31" t="e">
        <f>#REF!</f>
        <v>#REF!</v>
      </c>
      <c r="F2115" s="31" t="e">
        <f>#REF!</f>
        <v>#REF!</v>
      </c>
      <c r="G2115" s="31" t="e">
        <f>#REF!</f>
        <v>#REF!</v>
      </c>
      <c r="H2115" s="31" t="e">
        <f>#REF!</f>
        <v>#REF!</v>
      </c>
      <c r="I2115" s="31">
        <f>'تقرير المصروفات حسب الشهر'!V766</f>
        <v>0</v>
      </c>
      <c r="J2115" s="31">
        <f>'تقرير المصروفات حسب الشهر'!V893</f>
        <v>0</v>
      </c>
      <c r="K2115" s="31">
        <f>'تقرير المصروفات حسب الشهر'!V1020</f>
        <v>0</v>
      </c>
      <c r="L2115" s="292">
        <f>IFERROR(VLOOKUP(B2115,'تقرير المصروفات حسب الشهر'!$C$1143:$AD$1254,20,FALSE),0)</f>
        <v>0</v>
      </c>
      <c r="M2115" s="292">
        <f>IFERROR(VLOOKUP(B2115,'تقرير المصروفات حسب الشهر'!$C$1270:$AD$1381,20,FALSE),0)</f>
        <v>0</v>
      </c>
      <c r="N2115" s="31" t="e">
        <f>#REF!</f>
        <v>#REF!</v>
      </c>
      <c r="O2115" s="37" t="e">
        <f t="shared" si="54"/>
        <v>#REF!</v>
      </c>
    </row>
    <row r="2116" spans="2:15" ht="17.399999999999999">
      <c r="B2116" s="42" t="s">
        <v>42</v>
      </c>
      <c r="C2116" s="39" t="e">
        <f>#REF!</f>
        <v>#REF!</v>
      </c>
      <c r="D2116" s="31" t="e">
        <f>#REF!</f>
        <v>#REF!</v>
      </c>
      <c r="E2116" s="31" t="e">
        <f>#REF!</f>
        <v>#REF!</v>
      </c>
      <c r="F2116" s="31" t="e">
        <f>#REF!</f>
        <v>#REF!</v>
      </c>
      <c r="G2116" s="31" t="e">
        <f>#REF!</f>
        <v>#REF!</v>
      </c>
      <c r="H2116" s="31" t="e">
        <f>#REF!</f>
        <v>#REF!</v>
      </c>
      <c r="I2116" s="31">
        <f>'تقرير المصروفات حسب الشهر'!V767</f>
        <v>0</v>
      </c>
      <c r="J2116" s="31">
        <f>'تقرير المصروفات حسب الشهر'!V894</f>
        <v>0</v>
      </c>
      <c r="K2116" s="31">
        <f>'تقرير المصروفات حسب الشهر'!V1021</f>
        <v>0</v>
      </c>
      <c r="L2116" s="292">
        <f>IFERROR(VLOOKUP(B2116,'تقرير المصروفات حسب الشهر'!$C$1143:$AD$1254,20,FALSE),0)</f>
        <v>0</v>
      </c>
      <c r="M2116" s="292">
        <f>IFERROR(VLOOKUP(B2116,'تقرير المصروفات حسب الشهر'!$C$1270:$AD$1381,20,FALSE),0)</f>
        <v>0</v>
      </c>
      <c r="N2116" s="31" t="e">
        <f>#REF!</f>
        <v>#REF!</v>
      </c>
      <c r="O2116" s="37" t="e">
        <f t="shared" si="54"/>
        <v>#REF!</v>
      </c>
    </row>
    <row r="2117" spans="2:15" ht="17.399999999999999">
      <c r="B2117" s="42" t="s">
        <v>43</v>
      </c>
      <c r="C2117" s="39" t="e">
        <f>#REF!</f>
        <v>#REF!</v>
      </c>
      <c r="D2117" s="31" t="e">
        <f>#REF!</f>
        <v>#REF!</v>
      </c>
      <c r="E2117" s="31" t="e">
        <f>#REF!</f>
        <v>#REF!</v>
      </c>
      <c r="F2117" s="31" t="e">
        <f>#REF!</f>
        <v>#REF!</v>
      </c>
      <c r="G2117" s="31" t="e">
        <f>#REF!</f>
        <v>#REF!</v>
      </c>
      <c r="H2117" s="31" t="e">
        <f>#REF!</f>
        <v>#REF!</v>
      </c>
      <c r="I2117" s="31">
        <f>'تقرير المصروفات حسب الشهر'!V768</f>
        <v>0</v>
      </c>
      <c r="J2117" s="31">
        <f>'تقرير المصروفات حسب الشهر'!V895</f>
        <v>0</v>
      </c>
      <c r="K2117" s="31">
        <f>'تقرير المصروفات حسب الشهر'!V1022</f>
        <v>0</v>
      </c>
      <c r="L2117" s="292">
        <f>IFERROR(VLOOKUP(B2117,'تقرير المصروفات حسب الشهر'!$C$1143:$AD$1254,20,FALSE),0)</f>
        <v>0</v>
      </c>
      <c r="M2117" s="292">
        <f>IFERROR(VLOOKUP(B2117,'تقرير المصروفات حسب الشهر'!$C$1270:$AD$1381,20,FALSE),0)</f>
        <v>0</v>
      </c>
      <c r="N2117" s="31" t="e">
        <f>#REF!</f>
        <v>#REF!</v>
      </c>
      <c r="O2117" s="37" t="e">
        <f t="shared" si="54"/>
        <v>#REF!</v>
      </c>
    </row>
    <row r="2118" spans="2:15" ht="17.399999999999999">
      <c r="B2118" s="42" t="s">
        <v>44</v>
      </c>
      <c r="C2118" s="39" t="e">
        <f>#REF!</f>
        <v>#REF!</v>
      </c>
      <c r="D2118" s="31" t="e">
        <f>#REF!</f>
        <v>#REF!</v>
      </c>
      <c r="E2118" s="31" t="e">
        <f>#REF!</f>
        <v>#REF!</v>
      </c>
      <c r="F2118" s="31" t="e">
        <f>#REF!</f>
        <v>#REF!</v>
      </c>
      <c r="G2118" s="31" t="e">
        <f>#REF!</f>
        <v>#REF!</v>
      </c>
      <c r="H2118" s="31" t="e">
        <f>#REF!</f>
        <v>#REF!</v>
      </c>
      <c r="I2118" s="31">
        <f>'تقرير المصروفات حسب الشهر'!V769</f>
        <v>0</v>
      </c>
      <c r="J2118" s="31">
        <f>'تقرير المصروفات حسب الشهر'!V896</f>
        <v>0</v>
      </c>
      <c r="K2118" s="31">
        <f>'تقرير المصروفات حسب الشهر'!V1023</f>
        <v>0</v>
      </c>
      <c r="L2118" s="292">
        <f>IFERROR(VLOOKUP(B2118,'تقرير المصروفات حسب الشهر'!$C$1143:$AD$1254,20,FALSE),0)</f>
        <v>0</v>
      </c>
      <c r="M2118" s="292">
        <f>IFERROR(VLOOKUP(B2118,'تقرير المصروفات حسب الشهر'!$C$1270:$AD$1381,20,FALSE),0)</f>
        <v>0</v>
      </c>
      <c r="N2118" s="31" t="e">
        <f>#REF!</f>
        <v>#REF!</v>
      </c>
      <c r="O2118" s="37" t="e">
        <f t="shared" si="54"/>
        <v>#REF!</v>
      </c>
    </row>
    <row r="2119" spans="2:15" ht="17.399999999999999">
      <c r="B2119" s="42" t="s">
        <v>45</v>
      </c>
      <c r="C2119" s="39" t="e">
        <f>#REF!</f>
        <v>#REF!</v>
      </c>
      <c r="D2119" s="31" t="e">
        <f>#REF!</f>
        <v>#REF!</v>
      </c>
      <c r="E2119" s="31" t="e">
        <f>#REF!</f>
        <v>#REF!</v>
      </c>
      <c r="F2119" s="31" t="e">
        <f>#REF!</f>
        <v>#REF!</v>
      </c>
      <c r="G2119" s="31" t="e">
        <f>#REF!</f>
        <v>#REF!</v>
      </c>
      <c r="H2119" s="31" t="e">
        <f>#REF!</f>
        <v>#REF!</v>
      </c>
      <c r="I2119" s="31">
        <f>'تقرير المصروفات حسب الشهر'!V770</f>
        <v>0</v>
      </c>
      <c r="J2119" s="31">
        <f>'تقرير المصروفات حسب الشهر'!V897</f>
        <v>0</v>
      </c>
      <c r="K2119" s="31">
        <f>'تقرير المصروفات حسب الشهر'!V1024</f>
        <v>0</v>
      </c>
      <c r="L2119" s="292">
        <f>IFERROR(VLOOKUP(B2119,'تقرير المصروفات حسب الشهر'!$C$1143:$AD$1254,20,FALSE),0)</f>
        <v>0</v>
      </c>
      <c r="M2119" s="292">
        <f>IFERROR(VLOOKUP(B2119,'تقرير المصروفات حسب الشهر'!$C$1270:$AD$1381,20,FALSE),0)</f>
        <v>0</v>
      </c>
      <c r="N2119" s="31" t="e">
        <f>#REF!</f>
        <v>#REF!</v>
      </c>
      <c r="O2119" s="37" t="e">
        <f t="shared" si="54"/>
        <v>#REF!</v>
      </c>
    </row>
    <row r="2120" spans="2:15" ht="17.399999999999999">
      <c r="B2120" s="42" t="s">
        <v>156</v>
      </c>
      <c r="C2120" s="39" t="e">
        <f>#REF!</f>
        <v>#REF!</v>
      </c>
      <c r="D2120" s="31" t="e">
        <f>#REF!</f>
        <v>#REF!</v>
      </c>
      <c r="E2120" s="31" t="e">
        <f>#REF!</f>
        <v>#REF!</v>
      </c>
      <c r="F2120" s="31" t="e">
        <f>#REF!</f>
        <v>#REF!</v>
      </c>
      <c r="G2120" s="31" t="e">
        <f>#REF!</f>
        <v>#REF!</v>
      </c>
      <c r="H2120" s="31" t="e">
        <f>#REF!</f>
        <v>#REF!</v>
      </c>
      <c r="I2120" s="31">
        <f>'تقرير المصروفات حسب الشهر'!V771</f>
        <v>0</v>
      </c>
      <c r="J2120" s="31">
        <f>'تقرير المصروفات حسب الشهر'!V898</f>
        <v>0</v>
      </c>
      <c r="K2120" s="31">
        <f>'تقرير المصروفات حسب الشهر'!V1025</f>
        <v>0</v>
      </c>
      <c r="L2120" s="292">
        <f>IFERROR(VLOOKUP(B2120,'تقرير المصروفات حسب الشهر'!$C$1143:$AD$1254,20,FALSE),0)</f>
        <v>0</v>
      </c>
      <c r="M2120" s="292">
        <f>IFERROR(VLOOKUP(B2120,'تقرير المصروفات حسب الشهر'!$C$1270:$AD$1381,20,FALSE),0)</f>
        <v>0</v>
      </c>
      <c r="N2120" s="31" t="e">
        <f>#REF!</f>
        <v>#REF!</v>
      </c>
      <c r="O2120" s="37" t="e">
        <f t="shared" si="54"/>
        <v>#REF!</v>
      </c>
    </row>
    <row r="2121" spans="2:15" ht="17.399999999999999">
      <c r="B2121" s="42" t="s">
        <v>46</v>
      </c>
      <c r="C2121" s="39" t="e">
        <f>#REF!</f>
        <v>#REF!</v>
      </c>
      <c r="D2121" s="31" t="e">
        <f>#REF!</f>
        <v>#REF!</v>
      </c>
      <c r="E2121" s="31" t="e">
        <f>#REF!</f>
        <v>#REF!</v>
      </c>
      <c r="F2121" s="31" t="e">
        <f>#REF!</f>
        <v>#REF!</v>
      </c>
      <c r="G2121" s="31" t="e">
        <f>#REF!</f>
        <v>#REF!</v>
      </c>
      <c r="H2121" s="31" t="e">
        <f>#REF!</f>
        <v>#REF!</v>
      </c>
      <c r="I2121" s="31">
        <f>'تقرير المصروفات حسب الشهر'!V772</f>
        <v>0</v>
      </c>
      <c r="J2121" s="31">
        <f>'تقرير المصروفات حسب الشهر'!V899</f>
        <v>124</v>
      </c>
      <c r="K2121" s="31">
        <f>'تقرير المصروفات حسب الشهر'!V1026</f>
        <v>0</v>
      </c>
      <c r="L2121" s="292">
        <f>IFERROR(VLOOKUP(B2121,'تقرير المصروفات حسب الشهر'!$C$1143:$AD$1254,20,FALSE),0)</f>
        <v>130.78</v>
      </c>
      <c r="M2121" s="292">
        <f>IFERROR(VLOOKUP(B2121,'تقرير المصروفات حسب الشهر'!$C$1270:$AD$1381,20,FALSE),0)</f>
        <v>130.13999999999999</v>
      </c>
      <c r="N2121" s="31" t="e">
        <f>#REF!</f>
        <v>#REF!</v>
      </c>
      <c r="O2121" s="37" t="e">
        <f t="shared" si="54"/>
        <v>#REF!</v>
      </c>
    </row>
    <row r="2122" spans="2:15" ht="17.399999999999999">
      <c r="B2122" s="42" t="s">
        <v>47</v>
      </c>
      <c r="C2122" s="39" t="e">
        <f>#REF!</f>
        <v>#REF!</v>
      </c>
      <c r="D2122" s="31" t="e">
        <f>#REF!</f>
        <v>#REF!</v>
      </c>
      <c r="E2122" s="31" t="e">
        <f>#REF!</f>
        <v>#REF!</v>
      </c>
      <c r="F2122" s="31" t="e">
        <f>#REF!</f>
        <v>#REF!</v>
      </c>
      <c r="G2122" s="31" t="e">
        <f>#REF!</f>
        <v>#REF!</v>
      </c>
      <c r="H2122" s="31" t="e">
        <f>#REF!</f>
        <v>#REF!</v>
      </c>
      <c r="I2122" s="31">
        <f>'تقرير المصروفات حسب الشهر'!V773</f>
        <v>0</v>
      </c>
      <c r="J2122" s="31">
        <f>'تقرير المصروفات حسب الشهر'!V900</f>
        <v>0</v>
      </c>
      <c r="K2122" s="31">
        <f>'تقرير المصروفات حسب الشهر'!V1027</f>
        <v>0</v>
      </c>
      <c r="L2122" s="292">
        <f>IFERROR(VLOOKUP(B2122,'تقرير المصروفات حسب الشهر'!$C$1143:$AD$1254,20,FALSE),0)</f>
        <v>0</v>
      </c>
      <c r="M2122" s="292">
        <f>IFERROR(VLOOKUP(B2122,'تقرير المصروفات حسب الشهر'!$C$1270:$AD$1381,20,FALSE),0)</f>
        <v>0</v>
      </c>
      <c r="N2122" s="31" t="e">
        <f>#REF!</f>
        <v>#REF!</v>
      </c>
      <c r="O2122" s="37" t="e">
        <f t="shared" si="54"/>
        <v>#REF!</v>
      </c>
    </row>
    <row r="2123" spans="2:15" ht="17.399999999999999">
      <c r="B2123" s="42" t="s">
        <v>48</v>
      </c>
      <c r="C2123" s="39" t="e">
        <f>#REF!</f>
        <v>#REF!</v>
      </c>
      <c r="D2123" s="31" t="e">
        <f>#REF!</f>
        <v>#REF!</v>
      </c>
      <c r="E2123" s="31" t="e">
        <f>#REF!</f>
        <v>#REF!</v>
      </c>
      <c r="F2123" s="31" t="e">
        <f>#REF!</f>
        <v>#REF!</v>
      </c>
      <c r="G2123" s="31" t="e">
        <f>#REF!</f>
        <v>#REF!</v>
      </c>
      <c r="H2123" s="31" t="e">
        <f>#REF!</f>
        <v>#REF!</v>
      </c>
      <c r="I2123" s="31">
        <f>'تقرير المصروفات حسب الشهر'!V774</f>
        <v>0</v>
      </c>
      <c r="J2123" s="31">
        <f>'تقرير المصروفات حسب الشهر'!V901</f>
        <v>0</v>
      </c>
      <c r="K2123" s="31">
        <f>'تقرير المصروفات حسب الشهر'!V1028</f>
        <v>0</v>
      </c>
      <c r="L2123" s="292">
        <f>IFERROR(VLOOKUP(B2123,'تقرير المصروفات حسب الشهر'!$C$1143:$AD$1254,20,FALSE),0)</f>
        <v>0</v>
      </c>
      <c r="M2123" s="292">
        <f>IFERROR(VLOOKUP(B2123,'تقرير المصروفات حسب الشهر'!$C$1270:$AD$1381,20,FALSE),0)</f>
        <v>0</v>
      </c>
      <c r="N2123" s="31" t="e">
        <f>#REF!</f>
        <v>#REF!</v>
      </c>
      <c r="O2123" s="37" t="e">
        <f t="shared" si="54"/>
        <v>#REF!</v>
      </c>
    </row>
    <row r="2124" spans="2:15" ht="17.399999999999999">
      <c r="B2124" s="42" t="s">
        <v>49</v>
      </c>
      <c r="C2124" s="39" t="e">
        <f>#REF!</f>
        <v>#REF!</v>
      </c>
      <c r="D2124" s="31" t="e">
        <f>#REF!</f>
        <v>#REF!</v>
      </c>
      <c r="E2124" s="31" t="e">
        <f>#REF!</f>
        <v>#REF!</v>
      </c>
      <c r="F2124" s="31" t="e">
        <f>#REF!</f>
        <v>#REF!</v>
      </c>
      <c r="G2124" s="31" t="e">
        <f>#REF!</f>
        <v>#REF!</v>
      </c>
      <c r="H2124" s="31" t="e">
        <f>#REF!</f>
        <v>#REF!</v>
      </c>
      <c r="I2124" s="31">
        <f>'تقرير المصروفات حسب الشهر'!V775</f>
        <v>0</v>
      </c>
      <c r="J2124" s="31">
        <f>'تقرير المصروفات حسب الشهر'!V902</f>
        <v>0</v>
      </c>
      <c r="K2124" s="31">
        <f>'تقرير المصروفات حسب الشهر'!V1029</f>
        <v>0</v>
      </c>
      <c r="L2124" s="292">
        <f>IFERROR(VLOOKUP(B2124,'تقرير المصروفات حسب الشهر'!$C$1143:$AD$1254,20,FALSE),0)</f>
        <v>0</v>
      </c>
      <c r="M2124" s="292">
        <f>IFERROR(VLOOKUP(B2124,'تقرير المصروفات حسب الشهر'!$C$1270:$AD$1381,20,FALSE),0)</f>
        <v>0</v>
      </c>
      <c r="N2124" s="31" t="e">
        <f>#REF!</f>
        <v>#REF!</v>
      </c>
      <c r="O2124" s="37" t="e">
        <f t="shared" si="54"/>
        <v>#REF!</v>
      </c>
    </row>
    <row r="2125" spans="2:15" ht="17.399999999999999">
      <c r="B2125" s="42" t="s">
        <v>158</v>
      </c>
      <c r="C2125" s="39" t="e">
        <f>#REF!</f>
        <v>#REF!</v>
      </c>
      <c r="D2125" s="31" t="e">
        <f>#REF!</f>
        <v>#REF!</v>
      </c>
      <c r="E2125" s="31" t="e">
        <f>#REF!</f>
        <v>#REF!</v>
      </c>
      <c r="F2125" s="31" t="e">
        <f>#REF!</f>
        <v>#REF!</v>
      </c>
      <c r="G2125" s="31" t="e">
        <f>#REF!</f>
        <v>#REF!</v>
      </c>
      <c r="H2125" s="31" t="e">
        <f>#REF!</f>
        <v>#REF!</v>
      </c>
      <c r="I2125" s="31">
        <f>'تقرير المصروفات حسب الشهر'!V776</f>
        <v>0</v>
      </c>
      <c r="J2125" s="31">
        <f>'تقرير المصروفات حسب الشهر'!V903</f>
        <v>0</v>
      </c>
      <c r="K2125" s="31">
        <f>'تقرير المصروفات حسب الشهر'!V1030</f>
        <v>0</v>
      </c>
      <c r="L2125" s="292">
        <f>IFERROR(VLOOKUP(B2125,'تقرير المصروفات حسب الشهر'!$C$1143:$AD$1254,20,FALSE),0)</f>
        <v>0</v>
      </c>
      <c r="M2125" s="292">
        <f>IFERROR(VLOOKUP(B2125,'تقرير المصروفات حسب الشهر'!$C$1270:$AD$1381,20,FALSE),0)</f>
        <v>0</v>
      </c>
      <c r="N2125" s="31" t="e">
        <f>#REF!</f>
        <v>#REF!</v>
      </c>
      <c r="O2125" s="37" t="e">
        <f t="shared" si="54"/>
        <v>#REF!</v>
      </c>
    </row>
    <row r="2126" spans="2:15" ht="17.399999999999999">
      <c r="B2126" s="42" t="s">
        <v>50</v>
      </c>
      <c r="C2126" s="39" t="e">
        <f>#REF!</f>
        <v>#REF!</v>
      </c>
      <c r="D2126" s="31" t="e">
        <f>#REF!</f>
        <v>#REF!</v>
      </c>
      <c r="E2126" s="31" t="e">
        <f>#REF!</f>
        <v>#REF!</v>
      </c>
      <c r="F2126" s="31" t="e">
        <f>#REF!</f>
        <v>#REF!</v>
      </c>
      <c r="G2126" s="31" t="e">
        <f>#REF!</f>
        <v>#REF!</v>
      </c>
      <c r="H2126" s="31" t="e">
        <f>#REF!</f>
        <v>#REF!</v>
      </c>
      <c r="I2126" s="31">
        <f>'تقرير المصروفات حسب الشهر'!V777</f>
        <v>0</v>
      </c>
      <c r="J2126" s="31">
        <f>'تقرير المصروفات حسب الشهر'!V904</f>
        <v>0</v>
      </c>
      <c r="K2126" s="31">
        <f>'تقرير المصروفات حسب الشهر'!V1031</f>
        <v>0</v>
      </c>
      <c r="L2126" s="292">
        <f>IFERROR(VLOOKUP(B2126,'تقرير المصروفات حسب الشهر'!$C$1143:$AD$1254,20,FALSE),0)</f>
        <v>770</v>
      </c>
      <c r="M2126" s="292">
        <f>IFERROR(VLOOKUP(B2126,'تقرير المصروفات حسب الشهر'!$C$1270:$AD$1381,20,FALSE),0)</f>
        <v>0</v>
      </c>
      <c r="N2126" s="31" t="e">
        <f>#REF!</f>
        <v>#REF!</v>
      </c>
      <c r="O2126" s="37" t="e">
        <f t="shared" si="54"/>
        <v>#REF!</v>
      </c>
    </row>
    <row r="2127" spans="2:15" ht="17.399999999999999">
      <c r="B2127" s="42" t="s">
        <v>51</v>
      </c>
      <c r="C2127" s="39" t="e">
        <f>#REF!</f>
        <v>#REF!</v>
      </c>
      <c r="D2127" s="31" t="e">
        <f>#REF!</f>
        <v>#REF!</v>
      </c>
      <c r="E2127" s="31" t="e">
        <f>#REF!</f>
        <v>#REF!</v>
      </c>
      <c r="F2127" s="31" t="e">
        <f>#REF!</f>
        <v>#REF!</v>
      </c>
      <c r="G2127" s="31" t="e">
        <f>#REF!</f>
        <v>#REF!</v>
      </c>
      <c r="H2127" s="31" t="e">
        <f>#REF!</f>
        <v>#REF!</v>
      </c>
      <c r="I2127" s="31">
        <f>'تقرير المصروفات حسب الشهر'!V778</f>
        <v>0</v>
      </c>
      <c r="J2127" s="31">
        <f>'تقرير المصروفات حسب الشهر'!V905</f>
        <v>2250</v>
      </c>
      <c r="K2127" s="31">
        <f>'تقرير المصروفات حسب الشهر'!V1032</f>
        <v>0</v>
      </c>
      <c r="L2127" s="292">
        <f>IFERROR(VLOOKUP(B2127,'تقرير المصروفات حسب الشهر'!$C$1143:$AD$1254,20,FALSE),0)</f>
        <v>0</v>
      </c>
      <c r="M2127" s="292">
        <f>IFERROR(VLOOKUP(B2127,'تقرير المصروفات حسب الشهر'!$C$1270:$AD$1381,20,FALSE),0)</f>
        <v>0</v>
      </c>
      <c r="N2127" s="31" t="e">
        <f>#REF!</f>
        <v>#REF!</v>
      </c>
      <c r="O2127" s="37" t="e">
        <f t="shared" si="54"/>
        <v>#REF!</v>
      </c>
    </row>
    <row r="2128" spans="2:15" ht="17.399999999999999">
      <c r="B2128" s="42" t="s">
        <v>52</v>
      </c>
      <c r="C2128" s="39" t="e">
        <f>#REF!</f>
        <v>#REF!</v>
      </c>
      <c r="D2128" s="31" t="e">
        <f>#REF!</f>
        <v>#REF!</v>
      </c>
      <c r="E2128" s="31" t="e">
        <f>#REF!</f>
        <v>#REF!</v>
      </c>
      <c r="F2128" s="31" t="e">
        <f>#REF!</f>
        <v>#REF!</v>
      </c>
      <c r="G2128" s="31" t="e">
        <f>#REF!</f>
        <v>#REF!</v>
      </c>
      <c r="H2128" s="31" t="e">
        <f>#REF!</f>
        <v>#REF!</v>
      </c>
      <c r="I2128" s="31">
        <f>'تقرير المصروفات حسب الشهر'!V779</f>
        <v>0</v>
      </c>
      <c r="J2128" s="31">
        <f>'تقرير المصروفات حسب الشهر'!V906</f>
        <v>0</v>
      </c>
      <c r="K2128" s="31">
        <f>'تقرير المصروفات حسب الشهر'!V1033</f>
        <v>0</v>
      </c>
      <c r="L2128" s="292">
        <f>IFERROR(VLOOKUP(B2128,'تقرير المصروفات حسب الشهر'!$C$1143:$AD$1254,20,FALSE),0)</f>
        <v>0</v>
      </c>
      <c r="M2128" s="292">
        <f>IFERROR(VLOOKUP(B2128,'تقرير المصروفات حسب الشهر'!$C$1270:$AD$1381,20,FALSE),0)</f>
        <v>0</v>
      </c>
      <c r="N2128" s="31" t="e">
        <f>#REF!</f>
        <v>#REF!</v>
      </c>
      <c r="O2128" s="37" t="e">
        <f t="shared" si="54"/>
        <v>#REF!</v>
      </c>
    </row>
    <row r="2129" spans="2:15" ht="17.399999999999999">
      <c r="B2129" s="42" t="s">
        <v>174</v>
      </c>
      <c r="C2129" s="39" t="e">
        <f>#REF!</f>
        <v>#REF!</v>
      </c>
      <c r="D2129" s="31" t="e">
        <f>#REF!</f>
        <v>#REF!</v>
      </c>
      <c r="E2129" s="31" t="e">
        <f>#REF!</f>
        <v>#REF!</v>
      </c>
      <c r="F2129" s="31" t="e">
        <f>#REF!</f>
        <v>#REF!</v>
      </c>
      <c r="G2129" s="31" t="e">
        <f>#REF!</f>
        <v>#REF!</v>
      </c>
      <c r="H2129" s="31" t="e">
        <f>#REF!</f>
        <v>#REF!</v>
      </c>
      <c r="I2129" s="31">
        <f>'تقرير المصروفات حسب الشهر'!V780</f>
        <v>0</v>
      </c>
      <c r="J2129" s="31">
        <f>'تقرير المصروفات حسب الشهر'!V907</f>
        <v>0</v>
      </c>
      <c r="K2129" s="31">
        <f>'تقرير المصروفات حسب الشهر'!V1034</f>
        <v>0</v>
      </c>
      <c r="L2129" s="292">
        <f>IFERROR(VLOOKUP(B2129,'تقرير المصروفات حسب الشهر'!$C$1143:$AD$1254,20,FALSE),0)</f>
        <v>0</v>
      </c>
      <c r="M2129" s="292">
        <f>IFERROR(VLOOKUP(B2129,'تقرير المصروفات حسب الشهر'!$C$1270:$AD$1381,20,FALSE),0)</f>
        <v>506</v>
      </c>
      <c r="N2129" s="31" t="e">
        <f>#REF!</f>
        <v>#REF!</v>
      </c>
      <c r="O2129" s="37" t="e">
        <f t="shared" si="54"/>
        <v>#REF!</v>
      </c>
    </row>
    <row r="2130" spans="2:15" ht="17.399999999999999">
      <c r="B2130" s="42" t="s">
        <v>53</v>
      </c>
      <c r="C2130" s="39" t="e">
        <f>#REF!</f>
        <v>#REF!</v>
      </c>
      <c r="D2130" s="31" t="e">
        <f>#REF!</f>
        <v>#REF!</v>
      </c>
      <c r="E2130" s="31" t="e">
        <f>#REF!</f>
        <v>#REF!</v>
      </c>
      <c r="F2130" s="31" t="e">
        <f>#REF!</f>
        <v>#REF!</v>
      </c>
      <c r="G2130" s="31" t="e">
        <f>#REF!</f>
        <v>#REF!</v>
      </c>
      <c r="H2130" s="31" t="e">
        <f>#REF!</f>
        <v>#REF!</v>
      </c>
      <c r="I2130" s="31">
        <f>'تقرير المصروفات حسب الشهر'!V781</f>
        <v>0</v>
      </c>
      <c r="J2130" s="31">
        <f>'تقرير المصروفات حسب الشهر'!V908</f>
        <v>0</v>
      </c>
      <c r="K2130" s="31">
        <f>'تقرير المصروفات حسب الشهر'!V1035</f>
        <v>0</v>
      </c>
      <c r="L2130" s="292">
        <f>IFERROR(VLOOKUP(B2130,'تقرير المصروفات حسب الشهر'!$C$1143:$AD$1254,20,FALSE),0)</f>
        <v>0</v>
      </c>
      <c r="M2130" s="292">
        <f>IFERROR(VLOOKUP(B2130,'تقرير المصروفات حسب الشهر'!$C$1270:$AD$1381,20,FALSE),0)</f>
        <v>0</v>
      </c>
      <c r="N2130" s="31" t="e">
        <f>#REF!</f>
        <v>#REF!</v>
      </c>
      <c r="O2130" s="37" t="e">
        <f t="shared" si="54"/>
        <v>#REF!</v>
      </c>
    </row>
    <row r="2131" spans="2:15" ht="17.399999999999999">
      <c r="B2131" s="42" t="s">
        <v>191</v>
      </c>
      <c r="C2131" s="39" t="e">
        <f>#REF!</f>
        <v>#REF!</v>
      </c>
      <c r="D2131" s="31" t="e">
        <f>#REF!</f>
        <v>#REF!</v>
      </c>
      <c r="E2131" s="31" t="e">
        <f>#REF!</f>
        <v>#REF!</v>
      </c>
      <c r="F2131" s="31" t="e">
        <f>#REF!</f>
        <v>#REF!</v>
      </c>
      <c r="G2131" s="31" t="e">
        <f>#REF!</f>
        <v>#REF!</v>
      </c>
      <c r="H2131" s="31" t="e">
        <f>#REF!</f>
        <v>#REF!</v>
      </c>
      <c r="I2131" s="31">
        <f>'تقرير المصروفات حسب الشهر'!V782</f>
        <v>0</v>
      </c>
      <c r="J2131" s="31">
        <f>'تقرير المصروفات حسب الشهر'!V909</f>
        <v>0</v>
      </c>
      <c r="K2131" s="31">
        <f>'تقرير المصروفات حسب الشهر'!V1036</f>
        <v>0</v>
      </c>
      <c r="L2131" s="292">
        <f>IFERROR(VLOOKUP(B2131,'تقرير المصروفات حسب الشهر'!$C$1143:$AD$1254,20,FALSE),0)</f>
        <v>0</v>
      </c>
      <c r="M2131" s="292">
        <f>IFERROR(VLOOKUP(B2131,'تقرير المصروفات حسب الشهر'!$C$1270:$AD$1381,20,FALSE),0)</f>
        <v>0</v>
      </c>
      <c r="N2131" s="31" t="e">
        <f>#REF!</f>
        <v>#REF!</v>
      </c>
      <c r="O2131" s="37" t="e">
        <f t="shared" si="54"/>
        <v>#REF!</v>
      </c>
    </row>
    <row r="2132" spans="2:15" ht="17.399999999999999">
      <c r="B2132" s="42" t="s">
        <v>29</v>
      </c>
      <c r="C2132" s="39" t="e">
        <f>#REF!</f>
        <v>#REF!</v>
      </c>
      <c r="D2132" s="31" t="e">
        <f>#REF!</f>
        <v>#REF!</v>
      </c>
      <c r="E2132" s="31" t="e">
        <f>#REF!</f>
        <v>#REF!</v>
      </c>
      <c r="F2132" s="31" t="e">
        <f>#REF!</f>
        <v>#REF!</v>
      </c>
      <c r="G2132" s="31" t="e">
        <f>#REF!</f>
        <v>#REF!</v>
      </c>
      <c r="H2132" s="31" t="e">
        <f>#REF!</f>
        <v>#REF!</v>
      </c>
      <c r="I2132" s="31">
        <f>'تقرير المصروفات حسب الشهر'!V783</f>
        <v>0</v>
      </c>
      <c r="J2132" s="31">
        <f>'تقرير المصروفات حسب الشهر'!V910</f>
        <v>0</v>
      </c>
      <c r="K2132" s="31">
        <f>'تقرير المصروفات حسب الشهر'!V1037</f>
        <v>0</v>
      </c>
      <c r="L2132" s="292">
        <f>IFERROR(VLOOKUP(B2132,'تقرير المصروفات حسب الشهر'!$C$1143:$AD$1254,20,FALSE),0)</f>
        <v>0</v>
      </c>
      <c r="M2132" s="292">
        <f>IFERROR(VLOOKUP(B2132,'تقرير المصروفات حسب الشهر'!$C$1270:$AD$1381,20,FALSE),0)</f>
        <v>0</v>
      </c>
      <c r="N2132" s="31" t="e">
        <f>#REF!</f>
        <v>#REF!</v>
      </c>
      <c r="O2132" s="37" t="e">
        <f t="shared" si="54"/>
        <v>#REF!</v>
      </c>
    </row>
    <row r="2133" spans="2:15" ht="17.399999999999999">
      <c r="B2133" s="42" t="s">
        <v>54</v>
      </c>
      <c r="C2133" s="39" t="e">
        <f>#REF!</f>
        <v>#REF!</v>
      </c>
      <c r="D2133" s="31" t="e">
        <f>#REF!</f>
        <v>#REF!</v>
      </c>
      <c r="E2133" s="31" t="e">
        <f>#REF!</f>
        <v>#REF!</v>
      </c>
      <c r="F2133" s="31" t="e">
        <f>#REF!</f>
        <v>#REF!</v>
      </c>
      <c r="G2133" s="31" t="e">
        <f>#REF!</f>
        <v>#REF!</v>
      </c>
      <c r="H2133" s="31" t="e">
        <f>#REF!</f>
        <v>#REF!</v>
      </c>
      <c r="I2133" s="31">
        <f>'تقرير المصروفات حسب الشهر'!V784</f>
        <v>0</v>
      </c>
      <c r="J2133" s="31">
        <f>'تقرير المصروفات حسب الشهر'!V911</f>
        <v>0</v>
      </c>
      <c r="K2133" s="31">
        <f>'تقرير المصروفات حسب الشهر'!V1038</f>
        <v>0</v>
      </c>
      <c r="L2133" s="292">
        <f>IFERROR(VLOOKUP(B2133,'تقرير المصروفات حسب الشهر'!$C$1143:$AD$1254,20,FALSE),0)</f>
        <v>0</v>
      </c>
      <c r="M2133" s="292">
        <f>IFERROR(VLOOKUP(B2133,'تقرير المصروفات حسب الشهر'!$C$1270:$AD$1381,20,FALSE),0)</f>
        <v>0</v>
      </c>
      <c r="N2133" s="31" t="e">
        <f>#REF!</f>
        <v>#REF!</v>
      </c>
      <c r="O2133" s="37" t="e">
        <f t="shared" si="54"/>
        <v>#REF!</v>
      </c>
    </row>
    <row r="2134" spans="2:15" ht="17.399999999999999">
      <c r="B2134" s="42" t="s">
        <v>31</v>
      </c>
      <c r="C2134" s="39" t="e">
        <f>#REF!</f>
        <v>#REF!</v>
      </c>
      <c r="D2134" s="31" t="e">
        <f>#REF!</f>
        <v>#REF!</v>
      </c>
      <c r="E2134" s="31" t="e">
        <f>#REF!</f>
        <v>#REF!</v>
      </c>
      <c r="F2134" s="31" t="e">
        <f>#REF!</f>
        <v>#REF!</v>
      </c>
      <c r="G2134" s="31" t="e">
        <f>#REF!</f>
        <v>#REF!</v>
      </c>
      <c r="H2134" s="31" t="e">
        <f>#REF!</f>
        <v>#REF!</v>
      </c>
      <c r="I2134" s="31">
        <f>'تقرير المصروفات حسب الشهر'!V785</f>
        <v>0</v>
      </c>
      <c r="J2134" s="31">
        <f>'تقرير المصروفات حسب الشهر'!V912</f>
        <v>0</v>
      </c>
      <c r="K2134" s="31">
        <f>'تقرير المصروفات حسب الشهر'!V1039</f>
        <v>0</v>
      </c>
      <c r="L2134" s="292">
        <f>IFERROR(VLOOKUP(B2134,'تقرير المصروفات حسب الشهر'!$C$1143:$AD$1254,20,FALSE),0)</f>
        <v>0</v>
      </c>
      <c r="M2134" s="292">
        <f>IFERROR(VLOOKUP(B2134,'تقرير المصروفات حسب الشهر'!$C$1270:$AD$1381,20,FALSE),0)</f>
        <v>0</v>
      </c>
      <c r="N2134" s="31" t="e">
        <f>#REF!</f>
        <v>#REF!</v>
      </c>
      <c r="O2134" s="37" t="e">
        <f t="shared" si="54"/>
        <v>#REF!</v>
      </c>
    </row>
    <row r="2135" spans="2:15" ht="17.399999999999999">
      <c r="B2135" s="42" t="s">
        <v>55</v>
      </c>
      <c r="C2135" s="39" t="e">
        <f>#REF!</f>
        <v>#REF!</v>
      </c>
      <c r="D2135" s="31" t="e">
        <f>#REF!</f>
        <v>#REF!</v>
      </c>
      <c r="E2135" s="31" t="e">
        <f>#REF!</f>
        <v>#REF!</v>
      </c>
      <c r="F2135" s="31" t="e">
        <f>#REF!</f>
        <v>#REF!</v>
      </c>
      <c r="G2135" s="31" t="e">
        <f>#REF!</f>
        <v>#REF!</v>
      </c>
      <c r="H2135" s="31" t="e">
        <f>#REF!</f>
        <v>#REF!</v>
      </c>
      <c r="I2135" s="31">
        <f>'تقرير المصروفات حسب الشهر'!V786</f>
        <v>0</v>
      </c>
      <c r="J2135" s="31">
        <f>'تقرير المصروفات حسب الشهر'!V913</f>
        <v>0</v>
      </c>
      <c r="K2135" s="31">
        <f>'تقرير المصروفات حسب الشهر'!V1040</f>
        <v>0</v>
      </c>
      <c r="L2135" s="292">
        <f>IFERROR(VLOOKUP(B2135,'تقرير المصروفات حسب الشهر'!$C$1143:$AD$1254,20,FALSE),0)</f>
        <v>0</v>
      </c>
      <c r="M2135" s="292">
        <f>IFERROR(VLOOKUP(B2135,'تقرير المصروفات حسب الشهر'!$C$1270:$AD$1381,20,FALSE),0)</f>
        <v>0</v>
      </c>
      <c r="N2135" s="31" t="e">
        <f>#REF!</f>
        <v>#REF!</v>
      </c>
      <c r="O2135" s="37" t="e">
        <f t="shared" si="54"/>
        <v>#REF!</v>
      </c>
    </row>
    <row r="2136" spans="2:15" ht="17.399999999999999">
      <c r="B2136" s="42" t="s">
        <v>56</v>
      </c>
      <c r="C2136" s="39" t="e">
        <f>#REF!</f>
        <v>#REF!</v>
      </c>
      <c r="D2136" s="31" t="e">
        <f>#REF!</f>
        <v>#REF!</v>
      </c>
      <c r="E2136" s="31" t="e">
        <f>#REF!</f>
        <v>#REF!</v>
      </c>
      <c r="F2136" s="31" t="e">
        <f>#REF!</f>
        <v>#REF!</v>
      </c>
      <c r="G2136" s="31" t="e">
        <f>#REF!</f>
        <v>#REF!</v>
      </c>
      <c r="H2136" s="31" t="e">
        <f>#REF!</f>
        <v>#REF!</v>
      </c>
      <c r="I2136" s="31">
        <f>'تقرير المصروفات حسب الشهر'!V787</f>
        <v>0</v>
      </c>
      <c r="J2136" s="31">
        <f>'تقرير المصروفات حسب الشهر'!V914</f>
        <v>0</v>
      </c>
      <c r="K2136" s="31">
        <f>'تقرير المصروفات حسب الشهر'!V1041</f>
        <v>0</v>
      </c>
      <c r="L2136" s="292">
        <f>IFERROR(VLOOKUP(B2136,'تقرير المصروفات حسب الشهر'!$C$1143:$AD$1254,20,FALSE),0)</f>
        <v>0</v>
      </c>
      <c r="M2136" s="292">
        <f>IFERROR(VLOOKUP(B2136,'تقرير المصروفات حسب الشهر'!$C$1270:$AD$1381,20,FALSE),0)</f>
        <v>0</v>
      </c>
      <c r="N2136" s="31" t="e">
        <f>#REF!</f>
        <v>#REF!</v>
      </c>
      <c r="O2136" s="37" t="e">
        <f t="shared" si="54"/>
        <v>#REF!</v>
      </c>
    </row>
    <row r="2137" spans="2:15" ht="17.399999999999999">
      <c r="B2137" s="42" t="s">
        <v>57</v>
      </c>
      <c r="C2137" s="39" t="e">
        <f>#REF!</f>
        <v>#REF!</v>
      </c>
      <c r="D2137" s="31" t="e">
        <f>#REF!</f>
        <v>#REF!</v>
      </c>
      <c r="E2137" s="31" t="e">
        <f>#REF!</f>
        <v>#REF!</v>
      </c>
      <c r="F2137" s="31" t="e">
        <f>#REF!</f>
        <v>#REF!</v>
      </c>
      <c r="G2137" s="31" t="e">
        <f>#REF!</f>
        <v>#REF!</v>
      </c>
      <c r="H2137" s="31" t="e">
        <f>#REF!</f>
        <v>#REF!</v>
      </c>
      <c r="I2137" s="31">
        <f>'تقرير المصروفات حسب الشهر'!V788</f>
        <v>0</v>
      </c>
      <c r="J2137" s="31">
        <f>'تقرير المصروفات حسب الشهر'!V915</f>
        <v>0</v>
      </c>
      <c r="K2137" s="31">
        <f>'تقرير المصروفات حسب الشهر'!V1042</f>
        <v>0</v>
      </c>
      <c r="L2137" s="292">
        <f>IFERROR(VLOOKUP(B2137,'تقرير المصروفات حسب الشهر'!$C$1143:$AD$1254,20,FALSE),0)</f>
        <v>0</v>
      </c>
      <c r="M2137" s="292">
        <f>IFERROR(VLOOKUP(B2137,'تقرير المصروفات حسب الشهر'!$C$1270:$AD$1381,20,FALSE),0)</f>
        <v>0</v>
      </c>
      <c r="N2137" s="31" t="e">
        <f>#REF!</f>
        <v>#REF!</v>
      </c>
      <c r="O2137" s="37" t="e">
        <f t="shared" si="54"/>
        <v>#REF!</v>
      </c>
    </row>
    <row r="2138" spans="2:15" ht="17.399999999999999">
      <c r="B2138" s="42" t="s">
        <v>58</v>
      </c>
      <c r="C2138" s="39" t="e">
        <f>#REF!</f>
        <v>#REF!</v>
      </c>
      <c r="D2138" s="31" t="e">
        <f>#REF!</f>
        <v>#REF!</v>
      </c>
      <c r="E2138" s="31" t="e">
        <f>#REF!</f>
        <v>#REF!</v>
      </c>
      <c r="F2138" s="31" t="e">
        <f>#REF!</f>
        <v>#REF!</v>
      </c>
      <c r="G2138" s="31" t="e">
        <f>#REF!</f>
        <v>#REF!</v>
      </c>
      <c r="H2138" s="31" t="e">
        <f>#REF!</f>
        <v>#REF!</v>
      </c>
      <c r="I2138" s="31">
        <f>'تقرير المصروفات حسب الشهر'!V789</f>
        <v>0</v>
      </c>
      <c r="J2138" s="31">
        <f>'تقرير المصروفات حسب الشهر'!V916</f>
        <v>0</v>
      </c>
      <c r="K2138" s="31">
        <f>'تقرير المصروفات حسب الشهر'!V1043</f>
        <v>0</v>
      </c>
      <c r="L2138" s="292">
        <f>IFERROR(VLOOKUP(B2138,'تقرير المصروفات حسب الشهر'!$C$1143:$AD$1254,20,FALSE),0)</f>
        <v>0</v>
      </c>
      <c r="M2138" s="292">
        <f>IFERROR(VLOOKUP(B2138,'تقرير المصروفات حسب الشهر'!$C$1270:$AD$1381,20,FALSE),0)</f>
        <v>0</v>
      </c>
      <c r="N2138" s="31" t="e">
        <f>#REF!</f>
        <v>#REF!</v>
      </c>
      <c r="O2138" s="37" t="e">
        <f t="shared" si="54"/>
        <v>#REF!</v>
      </c>
    </row>
    <row r="2139" spans="2:15" ht="17.399999999999999">
      <c r="B2139" s="42" t="s">
        <v>59</v>
      </c>
      <c r="C2139" s="39" t="e">
        <f>#REF!</f>
        <v>#REF!</v>
      </c>
      <c r="D2139" s="31" t="e">
        <f>#REF!</f>
        <v>#REF!</v>
      </c>
      <c r="E2139" s="31" t="e">
        <f>#REF!</f>
        <v>#REF!</v>
      </c>
      <c r="F2139" s="31" t="e">
        <f>#REF!</f>
        <v>#REF!</v>
      </c>
      <c r="G2139" s="31" t="e">
        <f>#REF!</f>
        <v>#REF!</v>
      </c>
      <c r="H2139" s="31" t="e">
        <f>#REF!</f>
        <v>#REF!</v>
      </c>
      <c r="I2139" s="31">
        <f>'تقرير المصروفات حسب الشهر'!V790</f>
        <v>0</v>
      </c>
      <c r="J2139" s="31">
        <f>'تقرير المصروفات حسب الشهر'!V917</f>
        <v>0</v>
      </c>
      <c r="K2139" s="31">
        <f>'تقرير المصروفات حسب الشهر'!V1044</f>
        <v>0</v>
      </c>
      <c r="L2139" s="292">
        <f>IFERROR(VLOOKUP(B2139,'تقرير المصروفات حسب الشهر'!$C$1143:$AD$1254,20,FALSE),0)</f>
        <v>0</v>
      </c>
      <c r="M2139" s="292">
        <f>IFERROR(VLOOKUP(B2139,'تقرير المصروفات حسب الشهر'!$C$1270:$AD$1381,20,FALSE),0)</f>
        <v>0</v>
      </c>
      <c r="N2139" s="31" t="e">
        <f>#REF!</f>
        <v>#REF!</v>
      </c>
      <c r="O2139" s="37" t="e">
        <f t="shared" si="54"/>
        <v>#REF!</v>
      </c>
    </row>
    <row r="2140" spans="2:15" ht="17.399999999999999">
      <c r="B2140" s="42" t="s">
        <v>60</v>
      </c>
      <c r="C2140" s="39" t="e">
        <f>#REF!</f>
        <v>#REF!</v>
      </c>
      <c r="D2140" s="31" t="e">
        <f>#REF!</f>
        <v>#REF!</v>
      </c>
      <c r="E2140" s="31" t="e">
        <f>#REF!</f>
        <v>#REF!</v>
      </c>
      <c r="F2140" s="31" t="e">
        <f>#REF!</f>
        <v>#REF!</v>
      </c>
      <c r="G2140" s="31" t="e">
        <f>#REF!</f>
        <v>#REF!</v>
      </c>
      <c r="H2140" s="31" t="e">
        <f>#REF!</f>
        <v>#REF!</v>
      </c>
      <c r="I2140" s="31">
        <f>'تقرير المصروفات حسب الشهر'!V791</f>
        <v>0</v>
      </c>
      <c r="J2140" s="31">
        <f>'تقرير المصروفات حسب الشهر'!V918</f>
        <v>0</v>
      </c>
      <c r="K2140" s="31">
        <f>'تقرير المصروفات حسب الشهر'!V1045</f>
        <v>0</v>
      </c>
      <c r="L2140" s="292">
        <f>IFERROR(VLOOKUP(B2140,'تقرير المصروفات حسب الشهر'!$C$1143:$AD$1254,20,FALSE),0)</f>
        <v>0</v>
      </c>
      <c r="M2140" s="292">
        <f>IFERROR(VLOOKUP(B2140,'تقرير المصروفات حسب الشهر'!$C$1270:$AD$1381,20,FALSE),0)</f>
        <v>0</v>
      </c>
      <c r="N2140" s="31" t="e">
        <f>#REF!</f>
        <v>#REF!</v>
      </c>
      <c r="O2140" s="37" t="e">
        <f t="shared" si="54"/>
        <v>#REF!</v>
      </c>
    </row>
    <row r="2141" spans="2:15" ht="17.399999999999999">
      <c r="B2141" s="42" t="s">
        <v>61</v>
      </c>
      <c r="C2141" s="39" t="e">
        <f>#REF!</f>
        <v>#REF!</v>
      </c>
      <c r="D2141" s="31" t="e">
        <f>#REF!</f>
        <v>#REF!</v>
      </c>
      <c r="E2141" s="31" t="e">
        <f>#REF!</f>
        <v>#REF!</v>
      </c>
      <c r="F2141" s="31" t="e">
        <f>#REF!</f>
        <v>#REF!</v>
      </c>
      <c r="G2141" s="31" t="e">
        <f>#REF!</f>
        <v>#REF!</v>
      </c>
      <c r="H2141" s="31" t="e">
        <f>#REF!</f>
        <v>#REF!</v>
      </c>
      <c r="I2141" s="31">
        <f>'تقرير المصروفات حسب الشهر'!V792</f>
        <v>0</v>
      </c>
      <c r="J2141" s="31">
        <f>'تقرير المصروفات حسب الشهر'!V919</f>
        <v>0</v>
      </c>
      <c r="K2141" s="31">
        <f>'تقرير المصروفات حسب الشهر'!V1046</f>
        <v>0</v>
      </c>
      <c r="L2141" s="292">
        <f>IFERROR(VLOOKUP(B2141,'تقرير المصروفات حسب الشهر'!$C$1143:$AD$1254,20,FALSE),0)</f>
        <v>0</v>
      </c>
      <c r="M2141" s="292">
        <f>IFERROR(VLOOKUP(B2141,'تقرير المصروفات حسب الشهر'!$C$1270:$AD$1381,20,FALSE),0)</f>
        <v>0</v>
      </c>
      <c r="N2141" s="31" t="e">
        <f>#REF!</f>
        <v>#REF!</v>
      </c>
      <c r="O2141" s="37" t="e">
        <f t="shared" si="54"/>
        <v>#REF!</v>
      </c>
    </row>
    <row r="2142" spans="2:15" ht="17.399999999999999">
      <c r="B2142" s="42" t="s">
        <v>62</v>
      </c>
      <c r="C2142" s="39" t="e">
        <f>#REF!</f>
        <v>#REF!</v>
      </c>
      <c r="D2142" s="31" t="e">
        <f>#REF!</f>
        <v>#REF!</v>
      </c>
      <c r="E2142" s="31" t="e">
        <f>#REF!</f>
        <v>#REF!</v>
      </c>
      <c r="F2142" s="31" t="e">
        <f>#REF!</f>
        <v>#REF!</v>
      </c>
      <c r="G2142" s="31" t="e">
        <f>#REF!</f>
        <v>#REF!</v>
      </c>
      <c r="H2142" s="31" t="e">
        <f>#REF!</f>
        <v>#REF!</v>
      </c>
      <c r="I2142" s="31">
        <f>'تقرير المصروفات حسب الشهر'!V793</f>
        <v>0</v>
      </c>
      <c r="J2142" s="31">
        <f>'تقرير المصروفات حسب الشهر'!V920</f>
        <v>0</v>
      </c>
      <c r="K2142" s="31">
        <f>'تقرير المصروفات حسب الشهر'!V1047</f>
        <v>0</v>
      </c>
      <c r="L2142" s="292">
        <f>IFERROR(VLOOKUP(B2142,'تقرير المصروفات حسب الشهر'!$C$1143:$AD$1254,20,FALSE),0)</f>
        <v>0</v>
      </c>
      <c r="M2142" s="292">
        <f>IFERROR(VLOOKUP(B2142,'تقرير المصروفات حسب الشهر'!$C$1270:$AD$1381,20,FALSE),0)</f>
        <v>0</v>
      </c>
      <c r="N2142" s="31" t="e">
        <f>#REF!</f>
        <v>#REF!</v>
      </c>
      <c r="O2142" s="37" t="e">
        <f t="shared" si="54"/>
        <v>#REF!</v>
      </c>
    </row>
    <row r="2143" spans="2:15" ht="17.399999999999999">
      <c r="B2143" s="42" t="s">
        <v>63</v>
      </c>
      <c r="C2143" s="39" t="e">
        <f>#REF!</f>
        <v>#REF!</v>
      </c>
      <c r="D2143" s="31" t="e">
        <f>#REF!</f>
        <v>#REF!</v>
      </c>
      <c r="E2143" s="31" t="e">
        <f>#REF!</f>
        <v>#REF!</v>
      </c>
      <c r="F2143" s="31" t="e">
        <f>#REF!</f>
        <v>#REF!</v>
      </c>
      <c r="G2143" s="31" t="e">
        <f>#REF!</f>
        <v>#REF!</v>
      </c>
      <c r="H2143" s="31" t="e">
        <f>#REF!</f>
        <v>#REF!</v>
      </c>
      <c r="I2143" s="31">
        <f>'تقرير المصروفات حسب الشهر'!V794</f>
        <v>0</v>
      </c>
      <c r="J2143" s="31">
        <f>'تقرير المصروفات حسب الشهر'!V921</f>
        <v>0</v>
      </c>
      <c r="K2143" s="31">
        <f>'تقرير المصروفات حسب الشهر'!V1048</f>
        <v>0</v>
      </c>
      <c r="L2143" s="292">
        <f>IFERROR(VLOOKUP(B2143,'تقرير المصروفات حسب الشهر'!$C$1143:$AD$1254,20,FALSE),0)</f>
        <v>0</v>
      </c>
      <c r="M2143" s="292">
        <f>IFERROR(VLOOKUP(B2143,'تقرير المصروفات حسب الشهر'!$C$1270:$AD$1381,20,FALSE),0)</f>
        <v>0</v>
      </c>
      <c r="N2143" s="31" t="e">
        <f>#REF!</f>
        <v>#REF!</v>
      </c>
      <c r="O2143" s="37" t="e">
        <f t="shared" si="54"/>
        <v>#REF!</v>
      </c>
    </row>
    <row r="2144" spans="2:15" ht="17.399999999999999">
      <c r="B2144" s="42" t="s">
        <v>64</v>
      </c>
      <c r="C2144" s="39" t="e">
        <f>#REF!</f>
        <v>#REF!</v>
      </c>
      <c r="D2144" s="31" t="e">
        <f>#REF!</f>
        <v>#REF!</v>
      </c>
      <c r="E2144" s="31" t="e">
        <f>#REF!</f>
        <v>#REF!</v>
      </c>
      <c r="F2144" s="31" t="e">
        <f>#REF!</f>
        <v>#REF!</v>
      </c>
      <c r="G2144" s="31" t="e">
        <f>#REF!</f>
        <v>#REF!</v>
      </c>
      <c r="H2144" s="31" t="e">
        <f>#REF!</f>
        <v>#REF!</v>
      </c>
      <c r="I2144" s="31">
        <f>'تقرير المصروفات حسب الشهر'!V795</f>
        <v>400</v>
      </c>
      <c r="J2144" s="31">
        <f>'تقرير المصروفات حسب الشهر'!V922</f>
        <v>0</v>
      </c>
      <c r="K2144" s="31">
        <f>'تقرير المصروفات حسب الشهر'!V1049</f>
        <v>0</v>
      </c>
      <c r="L2144" s="292">
        <f>IFERROR(VLOOKUP(B2144,'تقرير المصروفات حسب الشهر'!$C$1143:$AD$1254,20,FALSE),0)</f>
        <v>200</v>
      </c>
      <c r="M2144" s="292">
        <f>IFERROR(VLOOKUP(B2144,'تقرير المصروفات حسب الشهر'!$C$1270:$AD$1381,20,FALSE),0)</f>
        <v>0</v>
      </c>
      <c r="N2144" s="31" t="e">
        <f>#REF!</f>
        <v>#REF!</v>
      </c>
      <c r="O2144" s="37" t="e">
        <f t="shared" si="54"/>
        <v>#REF!</v>
      </c>
    </row>
    <row r="2145" spans="2:15" ht="17.399999999999999">
      <c r="B2145" s="42" t="s">
        <v>28</v>
      </c>
      <c r="C2145" s="39" t="e">
        <f>#REF!</f>
        <v>#REF!</v>
      </c>
      <c r="D2145" s="31" t="e">
        <f>#REF!</f>
        <v>#REF!</v>
      </c>
      <c r="E2145" s="31" t="e">
        <f>#REF!</f>
        <v>#REF!</v>
      </c>
      <c r="F2145" s="31" t="e">
        <f>#REF!</f>
        <v>#REF!</v>
      </c>
      <c r="G2145" s="31" t="e">
        <f>#REF!</f>
        <v>#REF!</v>
      </c>
      <c r="H2145" s="31" t="e">
        <f>#REF!</f>
        <v>#REF!</v>
      </c>
      <c r="I2145" s="31">
        <f>'تقرير المصروفات حسب الشهر'!V796</f>
        <v>0</v>
      </c>
      <c r="J2145" s="31">
        <f>'تقرير المصروفات حسب الشهر'!V923</f>
        <v>0</v>
      </c>
      <c r="K2145" s="31">
        <f>'تقرير المصروفات حسب الشهر'!V1050</f>
        <v>0</v>
      </c>
      <c r="L2145" s="292">
        <f>IFERROR(VLOOKUP(B2145,'تقرير المصروفات حسب الشهر'!$C$1143:$AD$1254,20,FALSE),0)</f>
        <v>0</v>
      </c>
      <c r="M2145" s="292">
        <f>IFERROR(VLOOKUP(B2145,'تقرير المصروفات حسب الشهر'!$C$1270:$AD$1381,20,FALSE),0)</f>
        <v>0</v>
      </c>
      <c r="N2145" s="31" t="e">
        <f>#REF!</f>
        <v>#REF!</v>
      </c>
      <c r="O2145" s="37" t="e">
        <f t="shared" si="54"/>
        <v>#REF!</v>
      </c>
    </row>
    <row r="2146" spans="2:15" ht="17.399999999999999">
      <c r="B2146" s="42" t="s">
        <v>157</v>
      </c>
      <c r="C2146" s="39" t="e">
        <f>#REF!</f>
        <v>#REF!</v>
      </c>
      <c r="D2146" s="31" t="e">
        <f>#REF!</f>
        <v>#REF!</v>
      </c>
      <c r="E2146" s="31" t="e">
        <f>#REF!</f>
        <v>#REF!</v>
      </c>
      <c r="F2146" s="31" t="e">
        <f>#REF!</f>
        <v>#REF!</v>
      </c>
      <c r="G2146" s="31" t="e">
        <f>#REF!</f>
        <v>#REF!</v>
      </c>
      <c r="H2146" s="31" t="e">
        <f>#REF!</f>
        <v>#REF!</v>
      </c>
      <c r="I2146" s="31">
        <f>'تقرير المصروفات حسب الشهر'!V797</f>
        <v>0</v>
      </c>
      <c r="J2146" s="31">
        <f>'تقرير المصروفات حسب الشهر'!V924</f>
        <v>0</v>
      </c>
      <c r="K2146" s="31">
        <f>'تقرير المصروفات حسب الشهر'!V1051</f>
        <v>0</v>
      </c>
      <c r="L2146" s="292">
        <f>IFERROR(VLOOKUP(B2146,'تقرير المصروفات حسب الشهر'!$C$1143:$AD$1254,20,FALSE),0)</f>
        <v>0</v>
      </c>
      <c r="M2146" s="292">
        <f>IFERROR(VLOOKUP(B2146,'تقرير المصروفات حسب الشهر'!$C$1270:$AD$1381,20,FALSE),0)</f>
        <v>0</v>
      </c>
      <c r="N2146" s="31" t="e">
        <f>#REF!</f>
        <v>#REF!</v>
      </c>
      <c r="O2146" s="37" t="e">
        <f t="shared" si="54"/>
        <v>#REF!</v>
      </c>
    </row>
    <row r="2147" spans="2:15" ht="17.399999999999999">
      <c r="B2147" s="42" t="s">
        <v>65</v>
      </c>
      <c r="C2147" s="39" t="e">
        <f>#REF!</f>
        <v>#REF!</v>
      </c>
      <c r="D2147" s="31" t="e">
        <f>#REF!</f>
        <v>#REF!</v>
      </c>
      <c r="E2147" s="31" t="e">
        <f>#REF!</f>
        <v>#REF!</v>
      </c>
      <c r="F2147" s="31" t="e">
        <f>#REF!</f>
        <v>#REF!</v>
      </c>
      <c r="G2147" s="31" t="e">
        <f>#REF!</f>
        <v>#REF!</v>
      </c>
      <c r="H2147" s="31" t="e">
        <f>#REF!</f>
        <v>#REF!</v>
      </c>
      <c r="I2147" s="31">
        <f>'تقرير المصروفات حسب الشهر'!V798</f>
        <v>0</v>
      </c>
      <c r="J2147" s="31">
        <f>'تقرير المصروفات حسب الشهر'!V925</f>
        <v>0</v>
      </c>
      <c r="K2147" s="31">
        <f>'تقرير المصروفات حسب الشهر'!V1052</f>
        <v>0</v>
      </c>
      <c r="L2147" s="292">
        <f>IFERROR(VLOOKUP(B2147,'تقرير المصروفات حسب الشهر'!$C$1143:$AD$1254,20,FALSE),0)</f>
        <v>0</v>
      </c>
      <c r="M2147" s="292">
        <f>IFERROR(VLOOKUP(B2147,'تقرير المصروفات حسب الشهر'!$C$1270:$AD$1381,20,FALSE),0)</f>
        <v>0</v>
      </c>
      <c r="N2147" s="31" t="e">
        <f>#REF!</f>
        <v>#REF!</v>
      </c>
      <c r="O2147" s="37" t="e">
        <f t="shared" si="54"/>
        <v>#REF!</v>
      </c>
    </row>
    <row r="2148" spans="2:15" ht="17.399999999999999">
      <c r="B2148" s="42" t="s">
        <v>66</v>
      </c>
      <c r="C2148" s="39" t="e">
        <f>#REF!</f>
        <v>#REF!</v>
      </c>
      <c r="D2148" s="31" t="e">
        <f>#REF!</f>
        <v>#REF!</v>
      </c>
      <c r="E2148" s="31" t="e">
        <f>#REF!</f>
        <v>#REF!</v>
      </c>
      <c r="F2148" s="31" t="e">
        <f>#REF!</f>
        <v>#REF!</v>
      </c>
      <c r="G2148" s="31" t="e">
        <f>#REF!</f>
        <v>#REF!</v>
      </c>
      <c r="H2148" s="31" t="e">
        <f>#REF!</f>
        <v>#REF!</v>
      </c>
      <c r="I2148" s="31">
        <f>'تقرير المصروفات حسب الشهر'!V799</f>
        <v>0</v>
      </c>
      <c r="J2148" s="31">
        <f>'تقرير المصروفات حسب الشهر'!V926</f>
        <v>0</v>
      </c>
      <c r="K2148" s="31">
        <f>'تقرير المصروفات حسب الشهر'!V1053</f>
        <v>0</v>
      </c>
      <c r="L2148" s="292">
        <f>IFERROR(VLOOKUP(B2148,'تقرير المصروفات حسب الشهر'!$C$1143:$AD$1254,20,FALSE),0)</f>
        <v>0</v>
      </c>
      <c r="M2148" s="292">
        <f>IFERROR(VLOOKUP(B2148,'تقرير المصروفات حسب الشهر'!$C$1270:$AD$1381,20,FALSE),0)</f>
        <v>0</v>
      </c>
      <c r="N2148" s="31" t="e">
        <f>#REF!</f>
        <v>#REF!</v>
      </c>
      <c r="O2148" s="37" t="e">
        <f t="shared" si="54"/>
        <v>#REF!</v>
      </c>
    </row>
    <row r="2149" spans="2:15" ht="17.399999999999999">
      <c r="B2149" s="42" t="s">
        <v>30</v>
      </c>
      <c r="C2149" s="39" t="e">
        <f>#REF!</f>
        <v>#REF!</v>
      </c>
      <c r="D2149" s="31" t="e">
        <f>#REF!</f>
        <v>#REF!</v>
      </c>
      <c r="E2149" s="31" t="e">
        <f>#REF!</f>
        <v>#REF!</v>
      </c>
      <c r="F2149" s="31" t="e">
        <f>#REF!</f>
        <v>#REF!</v>
      </c>
      <c r="G2149" s="31" t="e">
        <f>#REF!</f>
        <v>#REF!</v>
      </c>
      <c r="H2149" s="31" t="e">
        <f>#REF!</f>
        <v>#REF!</v>
      </c>
      <c r="I2149" s="31">
        <f>'تقرير المصروفات حسب الشهر'!V800</f>
        <v>1300.25</v>
      </c>
      <c r="J2149" s="31">
        <f>'تقرير المصروفات حسب الشهر'!V927</f>
        <v>0</v>
      </c>
      <c r="K2149" s="31">
        <f>'تقرير المصروفات حسب الشهر'!V1054</f>
        <v>2888.25</v>
      </c>
      <c r="L2149" s="292">
        <f>IFERROR(VLOOKUP(B2149,'تقرير المصروفات حسب الشهر'!$C$1143:$AD$1254,20,FALSE),0)</f>
        <v>1600</v>
      </c>
      <c r="M2149" s="292">
        <f>IFERROR(VLOOKUP(B2149,'تقرير المصروفات حسب الشهر'!$C$1270:$AD$1381,20,FALSE),0)</f>
        <v>2200</v>
      </c>
      <c r="N2149" s="31" t="e">
        <f>#REF!</f>
        <v>#REF!</v>
      </c>
      <c r="O2149" s="37" t="e">
        <f t="shared" si="54"/>
        <v>#REF!</v>
      </c>
    </row>
    <row r="2150" spans="2:15" ht="17.399999999999999">
      <c r="B2150" s="42" t="s">
        <v>67</v>
      </c>
      <c r="C2150" s="39" t="e">
        <f>#REF!</f>
        <v>#REF!</v>
      </c>
      <c r="D2150" s="31" t="e">
        <f>#REF!</f>
        <v>#REF!</v>
      </c>
      <c r="E2150" s="31" t="e">
        <f>#REF!</f>
        <v>#REF!</v>
      </c>
      <c r="F2150" s="31" t="e">
        <f>#REF!</f>
        <v>#REF!</v>
      </c>
      <c r="G2150" s="31" t="e">
        <f>#REF!</f>
        <v>#REF!</v>
      </c>
      <c r="H2150" s="31" t="e">
        <f>#REF!</f>
        <v>#REF!</v>
      </c>
      <c r="I2150" s="31">
        <f>'تقرير المصروفات حسب الشهر'!V801</f>
        <v>0</v>
      </c>
      <c r="J2150" s="31">
        <f>'تقرير المصروفات حسب الشهر'!V928</f>
        <v>1650</v>
      </c>
      <c r="K2150" s="31">
        <f>'تقرير المصروفات حسب الشهر'!V1055</f>
        <v>0</v>
      </c>
      <c r="L2150" s="292">
        <f>IFERROR(VLOOKUP(B2150,'تقرير المصروفات حسب الشهر'!$C$1143:$AD$1254,20,FALSE),0)</f>
        <v>0</v>
      </c>
      <c r="M2150" s="292">
        <f>IFERROR(VLOOKUP(B2150,'تقرير المصروفات حسب الشهر'!$C$1270:$AD$1381,20,FALSE),0)</f>
        <v>0</v>
      </c>
      <c r="N2150" s="31" t="e">
        <f>#REF!</f>
        <v>#REF!</v>
      </c>
      <c r="O2150" s="37" t="e">
        <f t="shared" si="54"/>
        <v>#REF!</v>
      </c>
    </row>
    <row r="2151" spans="2:15" ht="17.399999999999999">
      <c r="B2151" s="42" t="s">
        <v>111</v>
      </c>
      <c r="C2151" s="39" t="e">
        <f>#REF!</f>
        <v>#REF!</v>
      </c>
      <c r="D2151" s="31" t="e">
        <f>#REF!</f>
        <v>#REF!</v>
      </c>
      <c r="E2151" s="31" t="e">
        <f>#REF!</f>
        <v>#REF!</v>
      </c>
      <c r="F2151" s="31" t="e">
        <f>#REF!</f>
        <v>#REF!</v>
      </c>
      <c r="G2151" s="31" t="e">
        <f>#REF!</f>
        <v>#REF!</v>
      </c>
      <c r="H2151" s="31" t="e">
        <f>#REF!</f>
        <v>#REF!</v>
      </c>
      <c r="I2151" s="31">
        <f>'تقرير المصروفات حسب الشهر'!V802</f>
        <v>0</v>
      </c>
      <c r="J2151" s="31">
        <f>'تقرير المصروفات حسب الشهر'!V929</f>
        <v>0</v>
      </c>
      <c r="K2151" s="31">
        <f>'تقرير المصروفات حسب الشهر'!V1056</f>
        <v>350</v>
      </c>
      <c r="L2151" s="292">
        <f>IFERROR(VLOOKUP(B2151,'تقرير المصروفات حسب الشهر'!$C$1143:$AD$1254,20,FALSE),0)</f>
        <v>0</v>
      </c>
      <c r="M2151" s="292">
        <f>IFERROR(VLOOKUP(B2151,'تقرير المصروفات حسب الشهر'!$C$1270:$AD$1381,20,FALSE),0)</f>
        <v>0</v>
      </c>
      <c r="N2151" s="31" t="e">
        <f>#REF!</f>
        <v>#REF!</v>
      </c>
      <c r="O2151" s="37" t="e">
        <f t="shared" si="54"/>
        <v>#REF!</v>
      </c>
    </row>
    <row r="2152" spans="2:15" ht="17.399999999999999">
      <c r="B2152" s="42" t="s">
        <v>68</v>
      </c>
      <c r="C2152" s="39" t="e">
        <f>#REF!</f>
        <v>#REF!</v>
      </c>
      <c r="D2152" s="31" t="e">
        <f>#REF!</f>
        <v>#REF!</v>
      </c>
      <c r="E2152" s="31" t="e">
        <f>#REF!</f>
        <v>#REF!</v>
      </c>
      <c r="F2152" s="31" t="e">
        <f>#REF!</f>
        <v>#REF!</v>
      </c>
      <c r="G2152" s="31" t="e">
        <f>#REF!</f>
        <v>#REF!</v>
      </c>
      <c r="H2152" s="31" t="e">
        <f>#REF!</f>
        <v>#REF!</v>
      </c>
      <c r="I2152" s="31">
        <f>'تقرير المصروفات حسب الشهر'!V803</f>
        <v>0</v>
      </c>
      <c r="J2152" s="31">
        <f>'تقرير المصروفات حسب الشهر'!V930</f>
        <v>0</v>
      </c>
      <c r="K2152" s="31">
        <f>'تقرير المصروفات حسب الشهر'!V1057</f>
        <v>0</v>
      </c>
      <c r="L2152" s="292">
        <f>IFERROR(VLOOKUP(B2152,'تقرير المصروفات حسب الشهر'!$C$1143:$AD$1254,20,FALSE),0)</f>
        <v>0</v>
      </c>
      <c r="M2152" s="292">
        <f>IFERROR(VLOOKUP(B2152,'تقرير المصروفات حسب الشهر'!$C$1270:$AD$1381,20,FALSE),0)</f>
        <v>0</v>
      </c>
      <c r="N2152" s="31" t="e">
        <f>#REF!</f>
        <v>#REF!</v>
      </c>
      <c r="O2152" s="37" t="e">
        <f t="shared" si="54"/>
        <v>#REF!</v>
      </c>
    </row>
    <row r="2153" spans="2:15" ht="17.399999999999999">
      <c r="B2153" s="42" t="s">
        <v>69</v>
      </c>
      <c r="C2153" s="39" t="e">
        <f>#REF!</f>
        <v>#REF!</v>
      </c>
      <c r="D2153" s="31" t="e">
        <f>#REF!</f>
        <v>#REF!</v>
      </c>
      <c r="E2153" s="31" t="e">
        <f>#REF!</f>
        <v>#REF!</v>
      </c>
      <c r="F2153" s="31" t="e">
        <f>#REF!</f>
        <v>#REF!</v>
      </c>
      <c r="G2153" s="31" t="e">
        <f>#REF!</f>
        <v>#REF!</v>
      </c>
      <c r="H2153" s="31" t="e">
        <f>#REF!</f>
        <v>#REF!</v>
      </c>
      <c r="I2153" s="31">
        <f>'تقرير المصروفات حسب الشهر'!V804</f>
        <v>0</v>
      </c>
      <c r="J2153" s="31">
        <f>'تقرير المصروفات حسب الشهر'!V931</f>
        <v>0</v>
      </c>
      <c r="K2153" s="31">
        <f>'تقرير المصروفات حسب الشهر'!V1058</f>
        <v>0</v>
      </c>
      <c r="L2153" s="292">
        <f>IFERROR(VLOOKUP(B2153,'تقرير المصروفات حسب الشهر'!$C$1143:$AD$1254,20,FALSE),0)</f>
        <v>0</v>
      </c>
      <c r="M2153" s="292">
        <f>IFERROR(VLOOKUP(B2153,'تقرير المصروفات حسب الشهر'!$C$1270:$AD$1381,20,FALSE),0)</f>
        <v>0</v>
      </c>
      <c r="N2153" s="31" t="e">
        <f>#REF!</f>
        <v>#REF!</v>
      </c>
      <c r="O2153" s="37" t="e">
        <f t="shared" si="54"/>
        <v>#REF!</v>
      </c>
    </row>
    <row r="2154" spans="2:15" ht="17.399999999999999">
      <c r="B2154" s="42" t="s">
        <v>70</v>
      </c>
      <c r="C2154" s="39" t="e">
        <f>#REF!</f>
        <v>#REF!</v>
      </c>
      <c r="D2154" s="31" t="e">
        <f>#REF!</f>
        <v>#REF!</v>
      </c>
      <c r="E2154" s="31" t="e">
        <f>#REF!</f>
        <v>#REF!</v>
      </c>
      <c r="F2154" s="31" t="e">
        <f>#REF!</f>
        <v>#REF!</v>
      </c>
      <c r="G2154" s="31" t="e">
        <f>#REF!</f>
        <v>#REF!</v>
      </c>
      <c r="H2154" s="31" t="e">
        <f>#REF!</f>
        <v>#REF!</v>
      </c>
      <c r="I2154" s="31">
        <f>'تقرير المصروفات حسب الشهر'!V805</f>
        <v>0</v>
      </c>
      <c r="J2154" s="31">
        <f>'تقرير المصروفات حسب الشهر'!V932</f>
        <v>0</v>
      </c>
      <c r="K2154" s="31">
        <f>'تقرير المصروفات حسب الشهر'!V1059</f>
        <v>0</v>
      </c>
      <c r="L2154" s="292">
        <f>IFERROR(VLOOKUP(B2154,'تقرير المصروفات حسب الشهر'!$C$1143:$AD$1254,20,FALSE),0)</f>
        <v>0</v>
      </c>
      <c r="M2154" s="292">
        <f>IFERROR(VLOOKUP(B2154,'تقرير المصروفات حسب الشهر'!$C$1270:$AD$1381,20,FALSE),0)</f>
        <v>0</v>
      </c>
      <c r="N2154" s="31" t="e">
        <f>#REF!</f>
        <v>#REF!</v>
      </c>
      <c r="O2154" s="37" t="e">
        <f t="shared" si="54"/>
        <v>#REF!</v>
      </c>
    </row>
    <row r="2155" spans="2:15" ht="17.399999999999999">
      <c r="B2155" s="42" t="s">
        <v>71</v>
      </c>
      <c r="C2155" s="39" t="e">
        <f>#REF!</f>
        <v>#REF!</v>
      </c>
      <c r="D2155" s="31" t="e">
        <f>#REF!</f>
        <v>#REF!</v>
      </c>
      <c r="E2155" s="31" t="e">
        <f>#REF!</f>
        <v>#REF!</v>
      </c>
      <c r="F2155" s="31" t="e">
        <f>#REF!</f>
        <v>#REF!</v>
      </c>
      <c r="G2155" s="31" t="e">
        <f>#REF!</f>
        <v>#REF!</v>
      </c>
      <c r="H2155" s="31" t="e">
        <f>#REF!</f>
        <v>#REF!</v>
      </c>
      <c r="I2155" s="31">
        <f>'تقرير المصروفات حسب الشهر'!V806</f>
        <v>0</v>
      </c>
      <c r="J2155" s="31">
        <f>'تقرير المصروفات حسب الشهر'!V933</f>
        <v>0</v>
      </c>
      <c r="K2155" s="31">
        <f>'تقرير المصروفات حسب الشهر'!V1060</f>
        <v>0</v>
      </c>
      <c r="L2155" s="292">
        <f>IFERROR(VLOOKUP(B2155,'تقرير المصروفات حسب الشهر'!$C$1143:$AD$1254,20,FALSE),0)</f>
        <v>0</v>
      </c>
      <c r="M2155" s="292">
        <f>IFERROR(VLOOKUP(B2155,'تقرير المصروفات حسب الشهر'!$C$1270:$AD$1381,20,FALSE),0)</f>
        <v>0</v>
      </c>
      <c r="N2155" s="31" t="e">
        <f>#REF!</f>
        <v>#REF!</v>
      </c>
      <c r="O2155" s="37" t="e">
        <f t="shared" si="54"/>
        <v>#REF!</v>
      </c>
    </row>
    <row r="2156" spans="2:15" ht="17.399999999999999">
      <c r="B2156" s="42" t="s">
        <v>159</v>
      </c>
      <c r="C2156" s="39" t="e">
        <f>#REF!</f>
        <v>#REF!</v>
      </c>
      <c r="D2156" s="31" t="e">
        <f>#REF!</f>
        <v>#REF!</v>
      </c>
      <c r="E2156" s="31" t="e">
        <f>#REF!</f>
        <v>#REF!</v>
      </c>
      <c r="F2156" s="31" t="e">
        <f>#REF!</f>
        <v>#REF!</v>
      </c>
      <c r="G2156" s="31" t="e">
        <f>#REF!</f>
        <v>#REF!</v>
      </c>
      <c r="H2156" s="31" t="e">
        <f>#REF!</f>
        <v>#REF!</v>
      </c>
      <c r="I2156" s="31">
        <f>'تقرير المصروفات حسب الشهر'!V807</f>
        <v>0</v>
      </c>
      <c r="J2156" s="31">
        <f>'تقرير المصروفات حسب الشهر'!V934</f>
        <v>0</v>
      </c>
      <c r="K2156" s="31">
        <f>'تقرير المصروفات حسب الشهر'!V1061</f>
        <v>0</v>
      </c>
      <c r="L2156" s="292">
        <f>IFERROR(VLOOKUP(B2156,'تقرير المصروفات حسب الشهر'!$C$1143:$AD$1254,20,FALSE),0)</f>
        <v>0</v>
      </c>
      <c r="M2156" s="292">
        <f>IFERROR(VLOOKUP(B2156,'تقرير المصروفات حسب الشهر'!$C$1270:$AD$1381,20,FALSE),0)</f>
        <v>0</v>
      </c>
      <c r="N2156" s="31" t="e">
        <f>#REF!</f>
        <v>#REF!</v>
      </c>
      <c r="O2156" s="37" t="e">
        <f t="shared" si="54"/>
        <v>#REF!</v>
      </c>
    </row>
    <row r="2157" spans="2:15" ht="17.399999999999999">
      <c r="B2157" s="42" t="s">
        <v>72</v>
      </c>
      <c r="C2157" s="39" t="e">
        <f>#REF!</f>
        <v>#REF!</v>
      </c>
      <c r="D2157" s="31" t="e">
        <f>#REF!</f>
        <v>#REF!</v>
      </c>
      <c r="E2157" s="31" t="e">
        <f>#REF!</f>
        <v>#REF!</v>
      </c>
      <c r="F2157" s="31" t="e">
        <f>#REF!</f>
        <v>#REF!</v>
      </c>
      <c r="G2157" s="31" t="e">
        <f>#REF!</f>
        <v>#REF!</v>
      </c>
      <c r="H2157" s="31" t="e">
        <f>#REF!</f>
        <v>#REF!</v>
      </c>
      <c r="I2157" s="31">
        <f>'تقرير المصروفات حسب الشهر'!V808</f>
        <v>0</v>
      </c>
      <c r="J2157" s="31">
        <f>'تقرير المصروفات حسب الشهر'!V935</f>
        <v>0</v>
      </c>
      <c r="K2157" s="31">
        <f>'تقرير المصروفات حسب الشهر'!V1062</f>
        <v>0</v>
      </c>
      <c r="L2157" s="292">
        <f>IFERROR(VLOOKUP(B2157,'تقرير المصروفات حسب الشهر'!$C$1143:$AD$1254,20,FALSE),0)</f>
        <v>0</v>
      </c>
      <c r="M2157" s="292">
        <f>IFERROR(VLOOKUP(B2157,'تقرير المصروفات حسب الشهر'!$C$1270:$AD$1381,20,FALSE),0)</f>
        <v>0</v>
      </c>
      <c r="N2157" s="31" t="e">
        <f>#REF!</f>
        <v>#REF!</v>
      </c>
      <c r="O2157" s="37" t="e">
        <f t="shared" si="54"/>
        <v>#REF!</v>
      </c>
    </row>
    <row r="2158" spans="2:15" ht="17.399999999999999">
      <c r="B2158" s="42" t="s">
        <v>73</v>
      </c>
      <c r="C2158" s="39" t="e">
        <f>#REF!</f>
        <v>#REF!</v>
      </c>
      <c r="D2158" s="31" t="e">
        <f>#REF!</f>
        <v>#REF!</v>
      </c>
      <c r="E2158" s="31" t="e">
        <f>#REF!</f>
        <v>#REF!</v>
      </c>
      <c r="F2158" s="31" t="e">
        <f>#REF!</f>
        <v>#REF!</v>
      </c>
      <c r="G2158" s="31" t="e">
        <f>#REF!</f>
        <v>#REF!</v>
      </c>
      <c r="H2158" s="31" t="e">
        <f>#REF!</f>
        <v>#REF!</v>
      </c>
      <c r="I2158" s="31">
        <f>'تقرير المصروفات حسب الشهر'!V809</f>
        <v>0</v>
      </c>
      <c r="J2158" s="31">
        <f>'تقرير المصروفات حسب الشهر'!V936</f>
        <v>0</v>
      </c>
      <c r="K2158" s="31">
        <f>'تقرير المصروفات حسب الشهر'!V1063</f>
        <v>0</v>
      </c>
      <c r="L2158" s="292">
        <f>IFERROR(VLOOKUP(B2158,'تقرير المصروفات حسب الشهر'!$C$1143:$AD$1254,20,FALSE),0)</f>
        <v>0</v>
      </c>
      <c r="M2158" s="292">
        <f>IFERROR(VLOOKUP(B2158,'تقرير المصروفات حسب الشهر'!$C$1270:$AD$1381,20,FALSE),0)</f>
        <v>0</v>
      </c>
      <c r="N2158" s="31" t="e">
        <f>#REF!</f>
        <v>#REF!</v>
      </c>
      <c r="O2158" s="37" t="e">
        <f t="shared" si="54"/>
        <v>#REF!</v>
      </c>
    </row>
    <row r="2159" spans="2:15" ht="17.399999999999999">
      <c r="B2159" s="42" t="s">
        <v>74</v>
      </c>
      <c r="C2159" s="39" t="e">
        <f>#REF!</f>
        <v>#REF!</v>
      </c>
      <c r="D2159" s="31" t="e">
        <f>#REF!</f>
        <v>#REF!</v>
      </c>
      <c r="E2159" s="31" t="e">
        <f>#REF!</f>
        <v>#REF!</v>
      </c>
      <c r="F2159" s="31" t="e">
        <f>#REF!</f>
        <v>#REF!</v>
      </c>
      <c r="G2159" s="31" t="e">
        <f>#REF!</f>
        <v>#REF!</v>
      </c>
      <c r="H2159" s="31" t="e">
        <f>#REF!</f>
        <v>#REF!</v>
      </c>
      <c r="I2159" s="31">
        <f>'تقرير المصروفات حسب الشهر'!V810</f>
        <v>0</v>
      </c>
      <c r="J2159" s="31">
        <f>'تقرير المصروفات حسب الشهر'!V937</f>
        <v>0</v>
      </c>
      <c r="K2159" s="31">
        <f>'تقرير المصروفات حسب الشهر'!V1064</f>
        <v>0</v>
      </c>
      <c r="L2159" s="292">
        <f>IFERROR(VLOOKUP(B2159,'تقرير المصروفات حسب الشهر'!$C$1143:$AD$1254,20,FALSE),0)</f>
        <v>0</v>
      </c>
      <c r="M2159" s="292">
        <f>IFERROR(VLOOKUP(B2159,'تقرير المصروفات حسب الشهر'!$C$1270:$AD$1381,20,FALSE),0)</f>
        <v>0</v>
      </c>
      <c r="N2159" s="31" t="e">
        <f>#REF!</f>
        <v>#REF!</v>
      </c>
      <c r="O2159" s="37" t="e">
        <f t="shared" si="54"/>
        <v>#REF!</v>
      </c>
    </row>
    <row r="2160" spans="2:15" ht="17.399999999999999">
      <c r="B2160" s="42" t="s">
        <v>75</v>
      </c>
      <c r="C2160" s="39" t="e">
        <f>#REF!</f>
        <v>#REF!</v>
      </c>
      <c r="D2160" s="31" t="e">
        <f>#REF!</f>
        <v>#REF!</v>
      </c>
      <c r="E2160" s="31" t="e">
        <f>#REF!</f>
        <v>#REF!</v>
      </c>
      <c r="F2160" s="31" t="e">
        <f>#REF!</f>
        <v>#REF!</v>
      </c>
      <c r="G2160" s="31" t="e">
        <f>#REF!</f>
        <v>#REF!</v>
      </c>
      <c r="H2160" s="31" t="e">
        <f>#REF!</f>
        <v>#REF!</v>
      </c>
      <c r="I2160" s="31">
        <f>'تقرير المصروفات حسب الشهر'!V811</f>
        <v>0</v>
      </c>
      <c r="J2160" s="31">
        <f>'تقرير المصروفات حسب الشهر'!V938</f>
        <v>0</v>
      </c>
      <c r="K2160" s="31">
        <f>'تقرير المصروفات حسب الشهر'!V1065</f>
        <v>0</v>
      </c>
      <c r="L2160" s="292">
        <f>IFERROR(VLOOKUP(B2160,'تقرير المصروفات حسب الشهر'!$C$1143:$AD$1254,20,FALSE),0)</f>
        <v>0</v>
      </c>
      <c r="M2160" s="292">
        <f>IFERROR(VLOOKUP(B2160,'تقرير المصروفات حسب الشهر'!$C$1270:$AD$1381,20,FALSE),0)</f>
        <v>0</v>
      </c>
      <c r="N2160" s="31" t="e">
        <f>#REF!</f>
        <v>#REF!</v>
      </c>
      <c r="O2160" s="37" t="e">
        <f t="shared" si="54"/>
        <v>#REF!</v>
      </c>
    </row>
    <row r="2161" spans="2:15" ht="17.399999999999999">
      <c r="B2161" s="42" t="s">
        <v>76</v>
      </c>
      <c r="C2161" s="39" t="e">
        <f>#REF!</f>
        <v>#REF!</v>
      </c>
      <c r="D2161" s="31" t="e">
        <f>#REF!</f>
        <v>#REF!</v>
      </c>
      <c r="E2161" s="31" t="e">
        <f>#REF!</f>
        <v>#REF!</v>
      </c>
      <c r="F2161" s="31" t="e">
        <f>#REF!</f>
        <v>#REF!</v>
      </c>
      <c r="G2161" s="31" t="e">
        <f>#REF!</f>
        <v>#REF!</v>
      </c>
      <c r="H2161" s="31" t="e">
        <f>#REF!</f>
        <v>#REF!</v>
      </c>
      <c r="I2161" s="31">
        <f>'تقرير المصروفات حسب الشهر'!V812</f>
        <v>0</v>
      </c>
      <c r="J2161" s="31">
        <f>'تقرير المصروفات حسب الشهر'!V939</f>
        <v>0</v>
      </c>
      <c r="K2161" s="31">
        <f>'تقرير المصروفات حسب الشهر'!V1066</f>
        <v>0</v>
      </c>
      <c r="L2161" s="292">
        <f>IFERROR(VLOOKUP(B2161,'تقرير المصروفات حسب الشهر'!$C$1143:$AD$1254,20,FALSE),0)</f>
        <v>0</v>
      </c>
      <c r="M2161" s="292">
        <f>IFERROR(VLOOKUP(B2161,'تقرير المصروفات حسب الشهر'!$C$1270:$AD$1381,20,FALSE),0)</f>
        <v>0</v>
      </c>
      <c r="N2161" s="31" t="e">
        <f>#REF!</f>
        <v>#REF!</v>
      </c>
      <c r="O2161" s="37" t="e">
        <f t="shared" si="54"/>
        <v>#REF!</v>
      </c>
    </row>
    <row r="2162" spans="2:15" ht="17.399999999999999">
      <c r="B2162" s="42" t="s">
        <v>77</v>
      </c>
      <c r="C2162" s="39" t="e">
        <f>#REF!</f>
        <v>#REF!</v>
      </c>
      <c r="D2162" s="31" t="e">
        <f>#REF!</f>
        <v>#REF!</v>
      </c>
      <c r="E2162" s="31" t="e">
        <f>#REF!</f>
        <v>#REF!</v>
      </c>
      <c r="F2162" s="31" t="e">
        <f>#REF!</f>
        <v>#REF!</v>
      </c>
      <c r="G2162" s="31" t="e">
        <f>#REF!</f>
        <v>#REF!</v>
      </c>
      <c r="H2162" s="31" t="e">
        <f>#REF!</f>
        <v>#REF!</v>
      </c>
      <c r="I2162" s="31">
        <f>'تقرير المصروفات حسب الشهر'!V813</f>
        <v>0</v>
      </c>
      <c r="J2162" s="31">
        <f>'تقرير المصروفات حسب الشهر'!V940</f>
        <v>0</v>
      </c>
      <c r="K2162" s="31">
        <f>'تقرير المصروفات حسب الشهر'!V1067</f>
        <v>0</v>
      </c>
      <c r="L2162" s="292">
        <f>IFERROR(VLOOKUP(B2162,'تقرير المصروفات حسب الشهر'!$C$1143:$AD$1254,20,FALSE),0)</f>
        <v>0</v>
      </c>
      <c r="M2162" s="292">
        <f>IFERROR(VLOOKUP(B2162,'تقرير المصروفات حسب الشهر'!$C$1270:$AD$1381,20,FALSE),0)</f>
        <v>0</v>
      </c>
      <c r="N2162" s="31" t="e">
        <f>#REF!</f>
        <v>#REF!</v>
      </c>
      <c r="O2162" s="37" t="e">
        <f t="shared" si="54"/>
        <v>#REF!</v>
      </c>
    </row>
    <row r="2163" spans="2:15" ht="17.399999999999999">
      <c r="B2163" s="42" t="s">
        <v>78</v>
      </c>
      <c r="C2163" s="39" t="e">
        <f>#REF!</f>
        <v>#REF!</v>
      </c>
      <c r="D2163" s="31" t="e">
        <f>#REF!</f>
        <v>#REF!</v>
      </c>
      <c r="E2163" s="31" t="e">
        <f>#REF!</f>
        <v>#REF!</v>
      </c>
      <c r="F2163" s="31" t="e">
        <f>#REF!</f>
        <v>#REF!</v>
      </c>
      <c r="G2163" s="31" t="e">
        <f>#REF!</f>
        <v>#REF!</v>
      </c>
      <c r="H2163" s="31" t="e">
        <f>#REF!</f>
        <v>#REF!</v>
      </c>
      <c r="I2163" s="31">
        <f>'تقرير المصروفات حسب الشهر'!V814</f>
        <v>0</v>
      </c>
      <c r="J2163" s="31">
        <f>'تقرير المصروفات حسب الشهر'!V941</f>
        <v>0</v>
      </c>
      <c r="K2163" s="31">
        <f>'تقرير المصروفات حسب الشهر'!V1068</f>
        <v>0</v>
      </c>
      <c r="L2163" s="292">
        <f>IFERROR(VLOOKUP(B2163,'تقرير المصروفات حسب الشهر'!$C$1143:$AD$1254,20,FALSE),0)</f>
        <v>0</v>
      </c>
      <c r="M2163" s="292">
        <f>IFERROR(VLOOKUP(B2163,'تقرير المصروفات حسب الشهر'!$C$1270:$AD$1381,20,FALSE),0)</f>
        <v>0</v>
      </c>
      <c r="N2163" s="31" t="e">
        <f>#REF!</f>
        <v>#REF!</v>
      </c>
      <c r="O2163" s="37" t="e">
        <f t="shared" si="54"/>
        <v>#REF!</v>
      </c>
    </row>
    <row r="2164" spans="2:15" ht="17.399999999999999">
      <c r="B2164" s="42" t="s">
        <v>79</v>
      </c>
      <c r="C2164" s="39" t="e">
        <f>#REF!</f>
        <v>#REF!</v>
      </c>
      <c r="D2164" s="31" t="e">
        <f>#REF!</f>
        <v>#REF!</v>
      </c>
      <c r="E2164" s="31" t="e">
        <f>#REF!</f>
        <v>#REF!</v>
      </c>
      <c r="F2164" s="31" t="e">
        <f>#REF!</f>
        <v>#REF!</v>
      </c>
      <c r="G2164" s="31" t="e">
        <f>#REF!</f>
        <v>#REF!</v>
      </c>
      <c r="H2164" s="31" t="e">
        <f>#REF!</f>
        <v>#REF!</v>
      </c>
      <c r="I2164" s="31">
        <f>'تقرير المصروفات حسب الشهر'!V815</f>
        <v>0</v>
      </c>
      <c r="J2164" s="31">
        <f>'تقرير المصروفات حسب الشهر'!V942</f>
        <v>0</v>
      </c>
      <c r="K2164" s="31">
        <f>'تقرير المصروفات حسب الشهر'!V1069</f>
        <v>0</v>
      </c>
      <c r="L2164" s="292">
        <f>IFERROR(VLOOKUP(B2164,'تقرير المصروفات حسب الشهر'!$C$1143:$AD$1254,20,FALSE),0)</f>
        <v>0</v>
      </c>
      <c r="M2164" s="292">
        <f>IFERROR(VLOOKUP(B2164,'تقرير المصروفات حسب الشهر'!$C$1270:$AD$1381,20,FALSE),0)</f>
        <v>0</v>
      </c>
      <c r="N2164" s="31" t="e">
        <f>#REF!</f>
        <v>#REF!</v>
      </c>
      <c r="O2164" s="37" t="e">
        <f t="shared" si="54"/>
        <v>#REF!</v>
      </c>
    </row>
    <row r="2165" spans="2:15" ht="17.399999999999999">
      <c r="B2165" s="42" t="s">
        <v>80</v>
      </c>
      <c r="C2165" s="39" t="e">
        <f>#REF!</f>
        <v>#REF!</v>
      </c>
      <c r="D2165" s="31" t="e">
        <f>#REF!</f>
        <v>#REF!</v>
      </c>
      <c r="E2165" s="31" t="e">
        <f>#REF!</f>
        <v>#REF!</v>
      </c>
      <c r="F2165" s="31" t="e">
        <f>#REF!</f>
        <v>#REF!</v>
      </c>
      <c r="G2165" s="31" t="e">
        <f>#REF!</f>
        <v>#REF!</v>
      </c>
      <c r="H2165" s="31" t="e">
        <f>#REF!</f>
        <v>#REF!</v>
      </c>
      <c r="I2165" s="31">
        <f>'تقرير المصروفات حسب الشهر'!V816</f>
        <v>0</v>
      </c>
      <c r="J2165" s="31">
        <f>'تقرير المصروفات حسب الشهر'!V943</f>
        <v>0</v>
      </c>
      <c r="K2165" s="31">
        <f>'تقرير المصروفات حسب الشهر'!V1070</f>
        <v>0</v>
      </c>
      <c r="L2165" s="292">
        <f>IFERROR(VLOOKUP(B2165,'تقرير المصروفات حسب الشهر'!$C$1143:$AD$1254,20,FALSE),0)</f>
        <v>0</v>
      </c>
      <c r="M2165" s="292">
        <f>IFERROR(VLOOKUP(B2165,'تقرير المصروفات حسب الشهر'!$C$1270:$AD$1381,20,FALSE),0)</f>
        <v>0</v>
      </c>
      <c r="N2165" s="31" t="e">
        <f>#REF!</f>
        <v>#REF!</v>
      </c>
      <c r="O2165" s="37" t="e">
        <f t="shared" si="54"/>
        <v>#REF!</v>
      </c>
    </row>
    <row r="2166" spans="2:15" ht="17.399999999999999">
      <c r="B2166" s="42" t="s">
        <v>81</v>
      </c>
      <c r="C2166" s="39" t="e">
        <f>#REF!</f>
        <v>#REF!</v>
      </c>
      <c r="D2166" s="31" t="e">
        <f>#REF!</f>
        <v>#REF!</v>
      </c>
      <c r="E2166" s="31" t="e">
        <f>#REF!</f>
        <v>#REF!</v>
      </c>
      <c r="F2166" s="31" t="e">
        <f>#REF!</f>
        <v>#REF!</v>
      </c>
      <c r="G2166" s="31" t="e">
        <f>#REF!</f>
        <v>#REF!</v>
      </c>
      <c r="H2166" s="31" t="e">
        <f>#REF!</f>
        <v>#REF!</v>
      </c>
      <c r="I2166" s="31">
        <f>'تقرير المصروفات حسب الشهر'!V817</f>
        <v>0</v>
      </c>
      <c r="J2166" s="31">
        <f>'تقرير المصروفات حسب الشهر'!V944</f>
        <v>0</v>
      </c>
      <c r="K2166" s="31">
        <f>'تقرير المصروفات حسب الشهر'!V1071</f>
        <v>0</v>
      </c>
      <c r="L2166" s="292">
        <f>IFERROR(VLOOKUP(B2166,'تقرير المصروفات حسب الشهر'!$C$1143:$AD$1254,20,FALSE),0)</f>
        <v>0</v>
      </c>
      <c r="M2166" s="292">
        <f>IFERROR(VLOOKUP(B2166,'تقرير المصروفات حسب الشهر'!$C$1270:$AD$1381,20,FALSE),0)</f>
        <v>0</v>
      </c>
      <c r="N2166" s="31" t="e">
        <f>#REF!</f>
        <v>#REF!</v>
      </c>
      <c r="O2166" s="37" t="e">
        <f t="shared" si="54"/>
        <v>#REF!</v>
      </c>
    </row>
    <row r="2167" spans="2:15" ht="17.399999999999999">
      <c r="B2167" s="42" t="s">
        <v>82</v>
      </c>
      <c r="C2167" s="39" t="e">
        <f>#REF!</f>
        <v>#REF!</v>
      </c>
      <c r="D2167" s="31" t="e">
        <f>#REF!</f>
        <v>#REF!</v>
      </c>
      <c r="E2167" s="31" t="e">
        <f>#REF!</f>
        <v>#REF!</v>
      </c>
      <c r="F2167" s="31" t="e">
        <f>#REF!</f>
        <v>#REF!</v>
      </c>
      <c r="G2167" s="31" t="e">
        <f>#REF!</f>
        <v>#REF!</v>
      </c>
      <c r="H2167" s="31" t="e">
        <f>#REF!</f>
        <v>#REF!</v>
      </c>
      <c r="I2167" s="31">
        <f>'تقرير المصروفات حسب الشهر'!V818</f>
        <v>0</v>
      </c>
      <c r="J2167" s="31">
        <f>'تقرير المصروفات حسب الشهر'!V945</f>
        <v>0</v>
      </c>
      <c r="K2167" s="31">
        <f>'تقرير المصروفات حسب الشهر'!V1072</f>
        <v>0</v>
      </c>
      <c r="L2167" s="292">
        <f>IFERROR(VLOOKUP(B2167,'تقرير المصروفات حسب الشهر'!$C$1143:$AD$1254,20,FALSE),0)</f>
        <v>0</v>
      </c>
      <c r="M2167" s="292">
        <f>IFERROR(VLOOKUP(B2167,'تقرير المصروفات حسب الشهر'!$C$1270:$AD$1381,20,FALSE),0)</f>
        <v>0</v>
      </c>
      <c r="N2167" s="31" t="e">
        <f>#REF!</f>
        <v>#REF!</v>
      </c>
      <c r="O2167" s="37" t="e">
        <f t="shared" si="54"/>
        <v>#REF!</v>
      </c>
    </row>
    <row r="2168" spans="2:15" ht="17.399999999999999">
      <c r="B2168" s="42" t="s">
        <v>83</v>
      </c>
      <c r="C2168" s="39" t="e">
        <f>#REF!</f>
        <v>#REF!</v>
      </c>
      <c r="D2168" s="31" t="e">
        <f>#REF!</f>
        <v>#REF!</v>
      </c>
      <c r="E2168" s="31" t="e">
        <f>#REF!</f>
        <v>#REF!</v>
      </c>
      <c r="F2168" s="31" t="e">
        <f>#REF!</f>
        <v>#REF!</v>
      </c>
      <c r="G2168" s="31" t="e">
        <f>#REF!</f>
        <v>#REF!</v>
      </c>
      <c r="H2168" s="31" t="e">
        <f>#REF!</f>
        <v>#REF!</v>
      </c>
      <c r="I2168" s="31">
        <f>'تقرير المصروفات حسب الشهر'!V819</f>
        <v>0</v>
      </c>
      <c r="J2168" s="31">
        <f>'تقرير المصروفات حسب الشهر'!V946</f>
        <v>0</v>
      </c>
      <c r="K2168" s="31">
        <f>'تقرير المصروفات حسب الشهر'!V1073</f>
        <v>0</v>
      </c>
      <c r="L2168" s="292">
        <f>IFERROR(VLOOKUP(B2168,'تقرير المصروفات حسب الشهر'!$C$1143:$AD$1254,20,FALSE),0)</f>
        <v>0</v>
      </c>
      <c r="M2168" s="292">
        <f>IFERROR(VLOOKUP(B2168,'تقرير المصروفات حسب الشهر'!$C$1270:$AD$1381,20,FALSE),0)</f>
        <v>0</v>
      </c>
      <c r="N2168" s="31" t="e">
        <f>#REF!</f>
        <v>#REF!</v>
      </c>
      <c r="O2168" s="37" t="e">
        <f t="shared" si="54"/>
        <v>#REF!</v>
      </c>
    </row>
    <row r="2169" spans="2:15" ht="17.399999999999999">
      <c r="B2169" s="42" t="s">
        <v>84</v>
      </c>
      <c r="C2169" s="39" t="e">
        <f>#REF!</f>
        <v>#REF!</v>
      </c>
      <c r="D2169" s="31" t="e">
        <f>#REF!</f>
        <v>#REF!</v>
      </c>
      <c r="E2169" s="31" t="e">
        <f>#REF!</f>
        <v>#REF!</v>
      </c>
      <c r="F2169" s="31" t="e">
        <f>#REF!</f>
        <v>#REF!</v>
      </c>
      <c r="G2169" s="31" t="e">
        <f>#REF!</f>
        <v>#REF!</v>
      </c>
      <c r="H2169" s="31" t="e">
        <f>#REF!</f>
        <v>#REF!</v>
      </c>
      <c r="I2169" s="31">
        <f>'تقرير المصروفات حسب الشهر'!V820</f>
        <v>0</v>
      </c>
      <c r="J2169" s="31">
        <f>'تقرير المصروفات حسب الشهر'!V947</f>
        <v>0</v>
      </c>
      <c r="K2169" s="31">
        <f>'تقرير المصروفات حسب الشهر'!V1074</f>
        <v>0</v>
      </c>
      <c r="L2169" s="292">
        <f>IFERROR(VLOOKUP(B2169,'تقرير المصروفات حسب الشهر'!$C$1143:$AD$1254,20,FALSE),0)</f>
        <v>0</v>
      </c>
      <c r="M2169" s="292">
        <f>IFERROR(VLOOKUP(B2169,'تقرير المصروفات حسب الشهر'!$C$1270:$AD$1381,20,FALSE),0)</f>
        <v>0</v>
      </c>
      <c r="N2169" s="31" t="e">
        <f>#REF!</f>
        <v>#REF!</v>
      </c>
      <c r="O2169" s="37" t="e">
        <f t="shared" si="54"/>
        <v>#REF!</v>
      </c>
    </row>
    <row r="2170" spans="2:15" ht="17.399999999999999">
      <c r="B2170" s="42" t="s">
        <v>85</v>
      </c>
      <c r="C2170" s="39" t="e">
        <f>#REF!</f>
        <v>#REF!</v>
      </c>
      <c r="D2170" s="31" t="e">
        <f>#REF!</f>
        <v>#REF!</v>
      </c>
      <c r="E2170" s="31" t="e">
        <f>#REF!</f>
        <v>#REF!</v>
      </c>
      <c r="F2170" s="31" t="e">
        <f>#REF!</f>
        <v>#REF!</v>
      </c>
      <c r="G2170" s="31" t="e">
        <f>#REF!</f>
        <v>#REF!</v>
      </c>
      <c r="H2170" s="31" t="e">
        <f>#REF!</f>
        <v>#REF!</v>
      </c>
      <c r="I2170" s="31">
        <f>'تقرير المصروفات حسب الشهر'!V821</f>
        <v>0</v>
      </c>
      <c r="J2170" s="31">
        <f>'تقرير المصروفات حسب الشهر'!V948</f>
        <v>300</v>
      </c>
      <c r="K2170" s="31">
        <f>'تقرير المصروفات حسب الشهر'!V1075</f>
        <v>200</v>
      </c>
      <c r="L2170" s="292">
        <f>IFERROR(VLOOKUP(B2170,'تقرير المصروفات حسب الشهر'!$C$1143:$AD$1254,20,FALSE),0)</f>
        <v>200</v>
      </c>
      <c r="M2170" s="292">
        <f>IFERROR(VLOOKUP(B2170,'تقرير المصروفات حسب الشهر'!$C$1270:$AD$1381,20,FALSE),0)</f>
        <v>200</v>
      </c>
      <c r="N2170" s="31" t="e">
        <f>#REF!</f>
        <v>#REF!</v>
      </c>
      <c r="O2170" s="37" t="e">
        <f t="shared" si="54"/>
        <v>#REF!</v>
      </c>
    </row>
    <row r="2171" spans="2:15" ht="17.399999999999999">
      <c r="B2171" s="42" t="s">
        <v>86</v>
      </c>
      <c r="C2171" s="39" t="e">
        <f>#REF!</f>
        <v>#REF!</v>
      </c>
      <c r="D2171" s="31" t="e">
        <f>#REF!</f>
        <v>#REF!</v>
      </c>
      <c r="E2171" s="31" t="e">
        <f>#REF!</f>
        <v>#REF!</v>
      </c>
      <c r="F2171" s="31" t="e">
        <f>#REF!</f>
        <v>#REF!</v>
      </c>
      <c r="G2171" s="31" t="e">
        <f>#REF!</f>
        <v>#REF!</v>
      </c>
      <c r="H2171" s="31" t="e">
        <f>#REF!</f>
        <v>#REF!</v>
      </c>
      <c r="I2171" s="31">
        <f>'تقرير المصروفات حسب الشهر'!V822</f>
        <v>0</v>
      </c>
      <c r="J2171" s="31">
        <f>'تقرير المصروفات حسب الشهر'!V949</f>
        <v>0</v>
      </c>
      <c r="K2171" s="31">
        <f>'تقرير المصروفات حسب الشهر'!V1076</f>
        <v>0</v>
      </c>
      <c r="L2171" s="292">
        <f>IFERROR(VLOOKUP(B2171,'تقرير المصروفات حسب الشهر'!$C$1143:$AD$1254,20,FALSE),0)</f>
        <v>0</v>
      </c>
      <c r="M2171" s="292">
        <f>IFERROR(VLOOKUP(B2171,'تقرير المصروفات حسب الشهر'!$C$1270:$AD$1381,20,FALSE),0)</f>
        <v>0</v>
      </c>
      <c r="N2171" s="31" t="e">
        <f>#REF!</f>
        <v>#REF!</v>
      </c>
      <c r="O2171" s="37" t="e">
        <f t="shared" si="54"/>
        <v>#REF!</v>
      </c>
    </row>
    <row r="2172" spans="2:15" ht="17.399999999999999">
      <c r="B2172" s="42" t="s">
        <v>87</v>
      </c>
      <c r="C2172" s="39" t="e">
        <f>#REF!</f>
        <v>#REF!</v>
      </c>
      <c r="D2172" s="31" t="e">
        <f>#REF!</f>
        <v>#REF!</v>
      </c>
      <c r="E2172" s="31" t="e">
        <f>#REF!</f>
        <v>#REF!</v>
      </c>
      <c r="F2172" s="31" t="e">
        <f>#REF!</f>
        <v>#REF!</v>
      </c>
      <c r="G2172" s="31" t="e">
        <f>#REF!</f>
        <v>#REF!</v>
      </c>
      <c r="H2172" s="31" t="e">
        <f>#REF!</f>
        <v>#REF!</v>
      </c>
      <c r="I2172" s="31">
        <f>'تقرير المصروفات حسب الشهر'!V823</f>
        <v>0</v>
      </c>
      <c r="J2172" s="31">
        <f>'تقرير المصروفات حسب الشهر'!V950</f>
        <v>0</v>
      </c>
      <c r="K2172" s="31">
        <f>'تقرير المصروفات حسب الشهر'!V1077</f>
        <v>0</v>
      </c>
      <c r="L2172" s="292">
        <f>IFERROR(VLOOKUP(B2172,'تقرير المصروفات حسب الشهر'!$C$1143:$AD$1254,20,FALSE),0)</f>
        <v>0</v>
      </c>
      <c r="M2172" s="292">
        <f>IFERROR(VLOOKUP(B2172,'تقرير المصروفات حسب الشهر'!$C$1270:$AD$1381,20,FALSE),0)</f>
        <v>0</v>
      </c>
      <c r="N2172" s="31" t="e">
        <f>#REF!</f>
        <v>#REF!</v>
      </c>
      <c r="O2172" s="37" t="e">
        <f t="shared" si="54"/>
        <v>#REF!</v>
      </c>
    </row>
    <row r="2173" spans="2:15" ht="17.399999999999999">
      <c r="B2173" s="42" t="s">
        <v>88</v>
      </c>
      <c r="C2173" s="39" t="e">
        <f>#REF!</f>
        <v>#REF!</v>
      </c>
      <c r="D2173" s="31" t="e">
        <f>#REF!</f>
        <v>#REF!</v>
      </c>
      <c r="E2173" s="31" t="e">
        <f>#REF!</f>
        <v>#REF!</v>
      </c>
      <c r="F2173" s="31" t="e">
        <f>#REF!</f>
        <v>#REF!</v>
      </c>
      <c r="G2173" s="31" t="e">
        <f>#REF!</f>
        <v>#REF!</v>
      </c>
      <c r="H2173" s="31" t="e">
        <f>#REF!</f>
        <v>#REF!</v>
      </c>
      <c r="I2173" s="31">
        <f>'تقرير المصروفات حسب الشهر'!V824</f>
        <v>0</v>
      </c>
      <c r="J2173" s="31">
        <f>'تقرير المصروفات حسب الشهر'!V951</f>
        <v>0</v>
      </c>
      <c r="K2173" s="31">
        <f>'تقرير المصروفات حسب الشهر'!V1078</f>
        <v>0</v>
      </c>
      <c r="L2173" s="292">
        <f>IFERROR(VLOOKUP(B2173,'تقرير المصروفات حسب الشهر'!$C$1143:$AD$1254,20,FALSE),0)</f>
        <v>0</v>
      </c>
      <c r="M2173" s="292">
        <f>IFERROR(VLOOKUP(B2173,'تقرير المصروفات حسب الشهر'!$C$1270:$AD$1381,20,FALSE),0)</f>
        <v>0</v>
      </c>
      <c r="N2173" s="31" t="e">
        <f>#REF!</f>
        <v>#REF!</v>
      </c>
      <c r="O2173" s="37" t="e">
        <f t="shared" si="54"/>
        <v>#REF!</v>
      </c>
    </row>
    <row r="2174" spans="2:15" ht="17.399999999999999">
      <c r="B2174" s="42" t="s">
        <v>89</v>
      </c>
      <c r="C2174" s="39" t="e">
        <f>#REF!</f>
        <v>#REF!</v>
      </c>
      <c r="D2174" s="31" t="e">
        <f>#REF!</f>
        <v>#REF!</v>
      </c>
      <c r="E2174" s="31" t="e">
        <f>#REF!</f>
        <v>#REF!</v>
      </c>
      <c r="F2174" s="31" t="e">
        <f>#REF!</f>
        <v>#REF!</v>
      </c>
      <c r="G2174" s="31" t="e">
        <f>#REF!</f>
        <v>#REF!</v>
      </c>
      <c r="H2174" s="31" t="e">
        <f>#REF!</f>
        <v>#REF!</v>
      </c>
      <c r="I2174" s="31">
        <f>'تقرير المصروفات حسب الشهر'!V825</f>
        <v>0</v>
      </c>
      <c r="J2174" s="31">
        <f>'تقرير المصروفات حسب الشهر'!V952</f>
        <v>0</v>
      </c>
      <c r="K2174" s="31">
        <f>'تقرير المصروفات حسب الشهر'!V1079</f>
        <v>0</v>
      </c>
      <c r="L2174" s="292">
        <f>IFERROR(VLOOKUP(B2174,'تقرير المصروفات حسب الشهر'!$C$1143:$AD$1254,20,FALSE),0)</f>
        <v>0</v>
      </c>
      <c r="M2174" s="292">
        <f>IFERROR(VLOOKUP(B2174,'تقرير المصروفات حسب الشهر'!$C$1270:$AD$1381,20,FALSE),0)</f>
        <v>0</v>
      </c>
      <c r="N2174" s="31" t="e">
        <f>#REF!</f>
        <v>#REF!</v>
      </c>
      <c r="O2174" s="37" t="e">
        <f t="shared" si="54"/>
        <v>#REF!</v>
      </c>
    </row>
    <row r="2175" spans="2:15" ht="17.399999999999999">
      <c r="B2175" s="42" t="s">
        <v>33</v>
      </c>
      <c r="C2175" s="39" t="e">
        <f>#REF!</f>
        <v>#REF!</v>
      </c>
      <c r="D2175" s="31" t="e">
        <f>#REF!</f>
        <v>#REF!</v>
      </c>
      <c r="E2175" s="31" t="e">
        <f>#REF!</f>
        <v>#REF!</v>
      </c>
      <c r="F2175" s="31" t="e">
        <f>#REF!</f>
        <v>#REF!</v>
      </c>
      <c r="G2175" s="31" t="e">
        <f>#REF!</f>
        <v>#REF!</v>
      </c>
      <c r="H2175" s="31" t="e">
        <f>#REF!</f>
        <v>#REF!</v>
      </c>
      <c r="I2175" s="31">
        <f>'تقرير المصروفات حسب الشهر'!V826</f>
        <v>979</v>
      </c>
      <c r="J2175" s="31">
        <f>'تقرير المصروفات حسب الشهر'!V953</f>
        <v>0</v>
      </c>
      <c r="K2175" s="31">
        <f>'تقرير المصروفات حسب الشهر'!V1080</f>
        <v>0</v>
      </c>
      <c r="L2175" s="292">
        <f>IFERROR(VLOOKUP(B2175,'تقرير المصروفات حسب الشهر'!$C$1143:$AD$1254,20,FALSE),0)</f>
        <v>0</v>
      </c>
      <c r="M2175" s="292">
        <f>IFERROR(VLOOKUP(B2175,'تقرير المصروفات حسب الشهر'!$C$1270:$AD$1381,20,FALSE),0)</f>
        <v>2207.5700000000002</v>
      </c>
      <c r="N2175" s="31" t="e">
        <f>#REF!</f>
        <v>#REF!</v>
      </c>
      <c r="O2175" s="37" t="e">
        <f t="shared" si="54"/>
        <v>#REF!</v>
      </c>
    </row>
    <row r="2176" spans="2:15" ht="17.399999999999999">
      <c r="B2176" s="42" t="s">
        <v>90</v>
      </c>
      <c r="C2176" s="39" t="e">
        <f>#REF!</f>
        <v>#REF!</v>
      </c>
      <c r="D2176" s="31" t="e">
        <f>#REF!</f>
        <v>#REF!</v>
      </c>
      <c r="E2176" s="31" t="e">
        <f>#REF!</f>
        <v>#REF!</v>
      </c>
      <c r="F2176" s="31" t="e">
        <f>#REF!</f>
        <v>#REF!</v>
      </c>
      <c r="G2176" s="31" t="e">
        <f>#REF!</f>
        <v>#REF!</v>
      </c>
      <c r="H2176" s="31" t="e">
        <f>#REF!</f>
        <v>#REF!</v>
      </c>
      <c r="I2176" s="31">
        <f>'تقرير المصروفات حسب الشهر'!V827</f>
        <v>0</v>
      </c>
      <c r="J2176" s="31">
        <f>'تقرير المصروفات حسب الشهر'!V954</f>
        <v>0</v>
      </c>
      <c r="K2176" s="31">
        <f>'تقرير المصروفات حسب الشهر'!V1081</f>
        <v>0</v>
      </c>
      <c r="L2176" s="292">
        <f>IFERROR(VLOOKUP(B2176,'تقرير المصروفات حسب الشهر'!$C$1143:$AD$1254,20,FALSE),0)</f>
        <v>0</v>
      </c>
      <c r="M2176" s="292">
        <f>IFERROR(VLOOKUP(B2176,'تقرير المصروفات حسب الشهر'!$C$1270:$AD$1381,20,FALSE),0)</f>
        <v>0</v>
      </c>
      <c r="N2176" s="31" t="e">
        <f>#REF!</f>
        <v>#REF!</v>
      </c>
      <c r="O2176" s="37" t="e">
        <f t="shared" si="54"/>
        <v>#REF!</v>
      </c>
    </row>
    <row r="2177" spans="2:15" ht="17.399999999999999">
      <c r="B2177" s="42" t="s">
        <v>91</v>
      </c>
      <c r="C2177" s="39" t="e">
        <f>#REF!</f>
        <v>#REF!</v>
      </c>
      <c r="D2177" s="31" t="e">
        <f>#REF!</f>
        <v>#REF!</v>
      </c>
      <c r="E2177" s="31" t="e">
        <f>#REF!</f>
        <v>#REF!</v>
      </c>
      <c r="F2177" s="31" t="e">
        <f>#REF!</f>
        <v>#REF!</v>
      </c>
      <c r="G2177" s="31" t="e">
        <f>#REF!</f>
        <v>#REF!</v>
      </c>
      <c r="H2177" s="31" t="e">
        <f>#REF!</f>
        <v>#REF!</v>
      </c>
      <c r="I2177" s="31">
        <f>'تقرير المصروفات حسب الشهر'!V828</f>
        <v>0</v>
      </c>
      <c r="J2177" s="31">
        <f>'تقرير المصروفات حسب الشهر'!V955</f>
        <v>0</v>
      </c>
      <c r="K2177" s="31">
        <f>'تقرير المصروفات حسب الشهر'!V1082</f>
        <v>0</v>
      </c>
      <c r="L2177" s="292">
        <f>IFERROR(VLOOKUP(B2177,'تقرير المصروفات حسب الشهر'!$C$1143:$AD$1254,20,FALSE),0)</f>
        <v>0</v>
      </c>
      <c r="M2177" s="292">
        <f>IFERROR(VLOOKUP(B2177,'تقرير المصروفات حسب الشهر'!$C$1270:$AD$1381,20,FALSE),0)</f>
        <v>0</v>
      </c>
      <c r="N2177" s="31" t="e">
        <f>#REF!</f>
        <v>#REF!</v>
      </c>
      <c r="O2177" s="37" t="e">
        <f t="shared" ref="O2177:O2220" si="55">SUM(C2177:N2177)</f>
        <v>#REF!</v>
      </c>
    </row>
    <row r="2178" spans="2:15" ht="17.399999999999999">
      <c r="B2178" s="42" t="s">
        <v>92</v>
      </c>
      <c r="C2178" s="39" t="e">
        <f>#REF!</f>
        <v>#REF!</v>
      </c>
      <c r="D2178" s="31" t="e">
        <f>#REF!</f>
        <v>#REF!</v>
      </c>
      <c r="E2178" s="31" t="e">
        <f>#REF!</f>
        <v>#REF!</v>
      </c>
      <c r="F2178" s="31" t="e">
        <f>#REF!</f>
        <v>#REF!</v>
      </c>
      <c r="G2178" s="31" t="e">
        <f>#REF!</f>
        <v>#REF!</v>
      </c>
      <c r="H2178" s="31" t="e">
        <f>#REF!</f>
        <v>#REF!</v>
      </c>
      <c r="I2178" s="31">
        <f>'تقرير المصروفات حسب الشهر'!V829</f>
        <v>0</v>
      </c>
      <c r="J2178" s="31">
        <f>'تقرير المصروفات حسب الشهر'!V956</f>
        <v>0</v>
      </c>
      <c r="K2178" s="31">
        <f>'تقرير المصروفات حسب الشهر'!V1083</f>
        <v>0</v>
      </c>
      <c r="L2178" s="292">
        <f>IFERROR(VLOOKUP(B2178,'تقرير المصروفات حسب الشهر'!$C$1143:$AD$1254,20,FALSE),0)</f>
        <v>0</v>
      </c>
      <c r="M2178" s="292">
        <f>IFERROR(VLOOKUP(B2178,'تقرير المصروفات حسب الشهر'!$C$1270:$AD$1381,20,FALSE),0)</f>
        <v>0</v>
      </c>
      <c r="N2178" s="31" t="e">
        <f>#REF!</f>
        <v>#REF!</v>
      </c>
      <c r="O2178" s="37" t="e">
        <f t="shared" si="55"/>
        <v>#REF!</v>
      </c>
    </row>
    <row r="2179" spans="2:15" ht="17.399999999999999">
      <c r="B2179" s="42" t="s">
        <v>93</v>
      </c>
      <c r="C2179" s="39" t="e">
        <f>#REF!</f>
        <v>#REF!</v>
      </c>
      <c r="D2179" s="31" t="e">
        <f>#REF!</f>
        <v>#REF!</v>
      </c>
      <c r="E2179" s="31" t="e">
        <f>#REF!</f>
        <v>#REF!</v>
      </c>
      <c r="F2179" s="31" t="e">
        <f>#REF!</f>
        <v>#REF!</v>
      </c>
      <c r="G2179" s="31" t="e">
        <f>#REF!</f>
        <v>#REF!</v>
      </c>
      <c r="H2179" s="31" t="e">
        <f>#REF!</f>
        <v>#REF!</v>
      </c>
      <c r="I2179" s="31">
        <f>'تقرير المصروفات حسب الشهر'!V830</f>
        <v>0</v>
      </c>
      <c r="J2179" s="31">
        <f>'تقرير المصروفات حسب الشهر'!V957</f>
        <v>0</v>
      </c>
      <c r="K2179" s="31">
        <f>'تقرير المصروفات حسب الشهر'!V1084</f>
        <v>0</v>
      </c>
      <c r="L2179" s="292">
        <f>IFERROR(VLOOKUP(B2179,'تقرير المصروفات حسب الشهر'!$C$1143:$AD$1254,20,FALSE),0)</f>
        <v>0</v>
      </c>
      <c r="M2179" s="292">
        <f>IFERROR(VLOOKUP(B2179,'تقرير المصروفات حسب الشهر'!$C$1270:$AD$1381,20,FALSE),0)</f>
        <v>0</v>
      </c>
      <c r="N2179" s="31" t="e">
        <f>#REF!</f>
        <v>#REF!</v>
      </c>
      <c r="O2179" s="37" t="e">
        <f t="shared" si="55"/>
        <v>#REF!</v>
      </c>
    </row>
    <row r="2180" spans="2:15" ht="17.399999999999999">
      <c r="B2180" s="42" t="s">
        <v>94</v>
      </c>
      <c r="C2180" s="39" t="e">
        <f>#REF!</f>
        <v>#REF!</v>
      </c>
      <c r="D2180" s="31" t="e">
        <f>#REF!</f>
        <v>#REF!</v>
      </c>
      <c r="E2180" s="31" t="e">
        <f>#REF!</f>
        <v>#REF!</v>
      </c>
      <c r="F2180" s="31" t="e">
        <f>#REF!</f>
        <v>#REF!</v>
      </c>
      <c r="G2180" s="31" t="e">
        <f>#REF!</f>
        <v>#REF!</v>
      </c>
      <c r="H2180" s="31" t="e">
        <f>#REF!</f>
        <v>#REF!</v>
      </c>
      <c r="I2180" s="31">
        <f>'تقرير المصروفات حسب الشهر'!V831</f>
        <v>0</v>
      </c>
      <c r="J2180" s="31">
        <f>'تقرير المصروفات حسب الشهر'!V958</f>
        <v>0</v>
      </c>
      <c r="K2180" s="31">
        <f>'تقرير المصروفات حسب الشهر'!V1085</f>
        <v>0</v>
      </c>
      <c r="L2180" s="292">
        <f>IFERROR(VLOOKUP(B2180,'تقرير المصروفات حسب الشهر'!$C$1143:$AD$1254,20,FALSE),0)</f>
        <v>0</v>
      </c>
      <c r="M2180" s="292">
        <f>IFERROR(VLOOKUP(B2180,'تقرير المصروفات حسب الشهر'!$C$1270:$AD$1381,20,FALSE),0)</f>
        <v>0</v>
      </c>
      <c r="N2180" s="31" t="e">
        <f>#REF!</f>
        <v>#REF!</v>
      </c>
      <c r="O2180" s="37" t="e">
        <f t="shared" si="55"/>
        <v>#REF!</v>
      </c>
    </row>
    <row r="2181" spans="2:15" ht="17.399999999999999">
      <c r="B2181" s="42" t="s">
        <v>95</v>
      </c>
      <c r="C2181" s="39" t="e">
        <f>#REF!</f>
        <v>#REF!</v>
      </c>
      <c r="D2181" s="31" t="e">
        <f>#REF!</f>
        <v>#REF!</v>
      </c>
      <c r="E2181" s="31" t="e">
        <f>#REF!</f>
        <v>#REF!</v>
      </c>
      <c r="F2181" s="31" t="e">
        <f>#REF!</f>
        <v>#REF!</v>
      </c>
      <c r="G2181" s="31" t="e">
        <f>#REF!</f>
        <v>#REF!</v>
      </c>
      <c r="H2181" s="31" t="e">
        <f>#REF!</f>
        <v>#REF!</v>
      </c>
      <c r="I2181" s="31">
        <f>'تقرير المصروفات حسب الشهر'!V832</f>
        <v>0</v>
      </c>
      <c r="J2181" s="31">
        <f>'تقرير المصروفات حسب الشهر'!V959</f>
        <v>0</v>
      </c>
      <c r="K2181" s="31">
        <f>'تقرير المصروفات حسب الشهر'!V1086</f>
        <v>0</v>
      </c>
      <c r="L2181" s="292">
        <f>IFERROR(VLOOKUP(B2181,'تقرير المصروفات حسب الشهر'!$C$1143:$AD$1254,20,FALSE),0)</f>
        <v>0</v>
      </c>
      <c r="M2181" s="292">
        <f>IFERROR(VLOOKUP(B2181,'تقرير المصروفات حسب الشهر'!$C$1270:$AD$1381,20,FALSE),0)</f>
        <v>0</v>
      </c>
      <c r="N2181" s="31" t="e">
        <f>#REF!</f>
        <v>#REF!</v>
      </c>
      <c r="O2181" s="37" t="e">
        <f t="shared" si="55"/>
        <v>#REF!</v>
      </c>
    </row>
    <row r="2182" spans="2:15" ht="17.399999999999999">
      <c r="B2182" s="42" t="s">
        <v>96</v>
      </c>
      <c r="C2182" s="39" t="e">
        <f>#REF!</f>
        <v>#REF!</v>
      </c>
      <c r="D2182" s="31" t="e">
        <f>#REF!</f>
        <v>#REF!</v>
      </c>
      <c r="E2182" s="31" t="e">
        <f>#REF!</f>
        <v>#REF!</v>
      </c>
      <c r="F2182" s="31" t="e">
        <f>#REF!</f>
        <v>#REF!</v>
      </c>
      <c r="G2182" s="31" t="e">
        <f>#REF!</f>
        <v>#REF!</v>
      </c>
      <c r="H2182" s="31" t="e">
        <f>#REF!</f>
        <v>#REF!</v>
      </c>
      <c r="I2182" s="31">
        <f>'تقرير المصروفات حسب الشهر'!V833</f>
        <v>668</v>
      </c>
      <c r="J2182" s="31">
        <f>'تقرير المصروفات حسب الشهر'!V960</f>
        <v>0</v>
      </c>
      <c r="K2182" s="31">
        <f>'تقرير المصروفات حسب الشهر'!V1087</f>
        <v>0</v>
      </c>
      <c r="L2182" s="292">
        <f>IFERROR(VLOOKUP(B2182,'تقرير المصروفات حسب الشهر'!$C$1143:$AD$1254,20,FALSE),0)</f>
        <v>0</v>
      </c>
      <c r="M2182" s="292">
        <f>IFERROR(VLOOKUP(B2182,'تقرير المصروفات حسب الشهر'!$C$1270:$AD$1381,20,FALSE),0)</f>
        <v>0</v>
      </c>
      <c r="N2182" s="31" t="e">
        <f>#REF!</f>
        <v>#REF!</v>
      </c>
      <c r="O2182" s="37" t="e">
        <f t="shared" si="55"/>
        <v>#REF!</v>
      </c>
    </row>
    <row r="2183" spans="2:15" ht="17.399999999999999">
      <c r="B2183" s="42" t="s">
        <v>97</v>
      </c>
      <c r="C2183" s="39" t="e">
        <f>#REF!</f>
        <v>#REF!</v>
      </c>
      <c r="D2183" s="31" t="e">
        <f>#REF!</f>
        <v>#REF!</v>
      </c>
      <c r="E2183" s="31" t="e">
        <f>#REF!</f>
        <v>#REF!</v>
      </c>
      <c r="F2183" s="31" t="e">
        <f>#REF!</f>
        <v>#REF!</v>
      </c>
      <c r="G2183" s="31" t="e">
        <f>#REF!</f>
        <v>#REF!</v>
      </c>
      <c r="H2183" s="31" t="e">
        <f>#REF!</f>
        <v>#REF!</v>
      </c>
      <c r="I2183" s="31">
        <f>'تقرير المصروفات حسب الشهر'!V834</f>
        <v>310</v>
      </c>
      <c r="J2183" s="31">
        <f>'تقرير المصروفات حسب الشهر'!V961</f>
        <v>309</v>
      </c>
      <c r="K2183" s="31">
        <f>'تقرير المصروفات حسب الشهر'!V1088</f>
        <v>0</v>
      </c>
      <c r="L2183" s="292">
        <f>IFERROR(VLOOKUP(B2183,'تقرير المصروفات حسب الشهر'!$C$1143:$AD$1254,20,FALSE),0)</f>
        <v>617.24</v>
      </c>
      <c r="M2183" s="292">
        <f>IFERROR(VLOOKUP(B2183,'تقرير المصروفات حسب الشهر'!$C$1270:$AD$1381,20,FALSE),0)</f>
        <v>469</v>
      </c>
      <c r="N2183" s="31" t="e">
        <f>#REF!</f>
        <v>#REF!</v>
      </c>
      <c r="O2183" s="37" t="e">
        <f t="shared" si="55"/>
        <v>#REF!</v>
      </c>
    </row>
    <row r="2184" spans="2:15" ht="17.399999999999999">
      <c r="B2184" s="42" t="s">
        <v>192</v>
      </c>
      <c r="C2184" s="39" t="e">
        <f>#REF!</f>
        <v>#REF!</v>
      </c>
      <c r="D2184" s="31" t="e">
        <f>#REF!</f>
        <v>#REF!</v>
      </c>
      <c r="E2184" s="31" t="e">
        <f>#REF!</f>
        <v>#REF!</v>
      </c>
      <c r="F2184" s="31" t="e">
        <f>#REF!</f>
        <v>#REF!</v>
      </c>
      <c r="G2184" s="31" t="e">
        <f>#REF!</f>
        <v>#REF!</v>
      </c>
      <c r="H2184" s="31" t="e">
        <f>#REF!</f>
        <v>#REF!</v>
      </c>
      <c r="I2184" s="31">
        <f>'تقرير المصروفات حسب الشهر'!V835</f>
        <v>0</v>
      </c>
      <c r="J2184" s="31">
        <f>'تقرير المصروفات حسب الشهر'!V962</f>
        <v>0</v>
      </c>
      <c r="K2184" s="31">
        <f>'تقرير المصروفات حسب الشهر'!V1089</f>
        <v>2130</v>
      </c>
      <c r="L2184" s="292">
        <f>IFERROR(VLOOKUP(B2184,'تقرير المصروفات حسب الشهر'!$C$1143:$AD$1254,20,FALSE),0)</f>
        <v>1065</v>
      </c>
      <c r="M2184" s="292">
        <f>IFERROR(VLOOKUP(B2184,'تقرير المصروفات حسب الشهر'!$C$1270:$AD$1381,20,FALSE),0)</f>
        <v>1065</v>
      </c>
      <c r="N2184" s="31" t="e">
        <f>#REF!</f>
        <v>#REF!</v>
      </c>
      <c r="O2184" s="37" t="e">
        <f t="shared" si="55"/>
        <v>#REF!</v>
      </c>
    </row>
    <row r="2185" spans="2:15" ht="17.399999999999999">
      <c r="B2185" s="42" t="s">
        <v>98</v>
      </c>
      <c r="C2185" s="39" t="e">
        <f>#REF!</f>
        <v>#REF!</v>
      </c>
      <c r="D2185" s="31" t="e">
        <f>#REF!</f>
        <v>#REF!</v>
      </c>
      <c r="E2185" s="31" t="e">
        <f>#REF!</f>
        <v>#REF!</v>
      </c>
      <c r="F2185" s="31" t="e">
        <f>#REF!</f>
        <v>#REF!</v>
      </c>
      <c r="G2185" s="31" t="e">
        <f>#REF!</f>
        <v>#REF!</v>
      </c>
      <c r="H2185" s="31" t="e">
        <f>#REF!</f>
        <v>#REF!</v>
      </c>
      <c r="I2185" s="31">
        <f>'تقرير المصروفات حسب الشهر'!V836</f>
        <v>0</v>
      </c>
      <c r="J2185" s="31">
        <f>'تقرير المصروفات حسب الشهر'!V963</f>
        <v>0</v>
      </c>
      <c r="K2185" s="31">
        <f>'تقرير المصروفات حسب الشهر'!V1090</f>
        <v>0</v>
      </c>
      <c r="L2185" s="292">
        <f>IFERROR(VLOOKUP(B2185,'تقرير المصروفات حسب الشهر'!$C$1143:$AD$1254,20,FALSE),0)</f>
        <v>0</v>
      </c>
      <c r="M2185" s="292">
        <f>IFERROR(VLOOKUP(B2185,'تقرير المصروفات حسب الشهر'!$C$1270:$AD$1381,20,FALSE),0)</f>
        <v>0</v>
      </c>
      <c r="N2185" s="31" t="e">
        <f>#REF!</f>
        <v>#REF!</v>
      </c>
      <c r="O2185" s="37" t="e">
        <f t="shared" si="55"/>
        <v>#REF!</v>
      </c>
    </row>
    <row r="2186" spans="2:15" ht="17.399999999999999">
      <c r="B2186" s="42" t="s">
        <v>99</v>
      </c>
      <c r="C2186" s="39" t="e">
        <f>#REF!</f>
        <v>#REF!</v>
      </c>
      <c r="D2186" s="31" t="e">
        <f>#REF!</f>
        <v>#REF!</v>
      </c>
      <c r="E2186" s="31" t="e">
        <f>#REF!</f>
        <v>#REF!</v>
      </c>
      <c r="F2186" s="31" t="e">
        <f>#REF!</f>
        <v>#REF!</v>
      </c>
      <c r="G2186" s="31" t="e">
        <f>#REF!</f>
        <v>#REF!</v>
      </c>
      <c r="H2186" s="31" t="e">
        <f>#REF!</f>
        <v>#REF!</v>
      </c>
      <c r="I2186" s="31">
        <f>'تقرير المصروفات حسب الشهر'!V837</f>
        <v>0</v>
      </c>
      <c r="J2186" s="31">
        <f>'تقرير المصروفات حسب الشهر'!V964</f>
        <v>0</v>
      </c>
      <c r="K2186" s="31">
        <f>'تقرير المصروفات حسب الشهر'!V1091</f>
        <v>0</v>
      </c>
      <c r="L2186" s="292">
        <f>IFERROR(VLOOKUP(B2186,'تقرير المصروفات حسب الشهر'!$C$1143:$AD$1254,20,FALSE),0)</f>
        <v>0</v>
      </c>
      <c r="M2186" s="292">
        <f>IFERROR(VLOOKUP(B2186,'تقرير المصروفات حسب الشهر'!$C$1270:$AD$1381,20,FALSE),0)</f>
        <v>0</v>
      </c>
      <c r="N2186" s="31" t="e">
        <f>#REF!</f>
        <v>#REF!</v>
      </c>
      <c r="O2186" s="37" t="e">
        <f t="shared" si="55"/>
        <v>#REF!</v>
      </c>
    </row>
    <row r="2187" spans="2:15" ht="17.399999999999999">
      <c r="B2187" s="42" t="s">
        <v>100</v>
      </c>
      <c r="C2187" s="39" t="e">
        <f>#REF!</f>
        <v>#REF!</v>
      </c>
      <c r="D2187" s="31" t="e">
        <f>#REF!</f>
        <v>#REF!</v>
      </c>
      <c r="E2187" s="31" t="e">
        <f>#REF!</f>
        <v>#REF!</v>
      </c>
      <c r="F2187" s="31" t="e">
        <f>#REF!</f>
        <v>#REF!</v>
      </c>
      <c r="G2187" s="31" t="e">
        <f>#REF!</f>
        <v>#REF!</v>
      </c>
      <c r="H2187" s="31" t="e">
        <f>#REF!</f>
        <v>#REF!</v>
      </c>
      <c r="I2187" s="31">
        <f>'تقرير المصروفات حسب الشهر'!V838</f>
        <v>0</v>
      </c>
      <c r="J2187" s="31">
        <f>'تقرير المصروفات حسب الشهر'!V965</f>
        <v>0</v>
      </c>
      <c r="K2187" s="31">
        <f>'تقرير المصروفات حسب الشهر'!V1092</f>
        <v>0</v>
      </c>
      <c r="L2187" s="292">
        <f>IFERROR(VLOOKUP(B2187,'تقرير المصروفات حسب الشهر'!$C$1143:$AD$1254,20,FALSE),0)</f>
        <v>0</v>
      </c>
      <c r="M2187" s="292">
        <f>IFERROR(VLOOKUP(B2187,'تقرير المصروفات حسب الشهر'!$C$1270:$AD$1381,20,FALSE),0)</f>
        <v>0</v>
      </c>
      <c r="N2187" s="31" t="e">
        <f>#REF!</f>
        <v>#REF!</v>
      </c>
      <c r="O2187" s="37" t="e">
        <f t="shared" si="55"/>
        <v>#REF!</v>
      </c>
    </row>
    <row r="2188" spans="2:15" ht="17.399999999999999">
      <c r="B2188" s="42" t="s">
        <v>101</v>
      </c>
      <c r="C2188" s="39" t="e">
        <f>#REF!</f>
        <v>#REF!</v>
      </c>
      <c r="D2188" s="31" t="e">
        <f>#REF!</f>
        <v>#REF!</v>
      </c>
      <c r="E2188" s="31" t="e">
        <f>#REF!</f>
        <v>#REF!</v>
      </c>
      <c r="F2188" s="31" t="e">
        <f>#REF!</f>
        <v>#REF!</v>
      </c>
      <c r="G2188" s="31" t="e">
        <f>#REF!</f>
        <v>#REF!</v>
      </c>
      <c r="H2188" s="31" t="e">
        <f>#REF!</f>
        <v>#REF!</v>
      </c>
      <c r="I2188" s="31">
        <f>'تقرير المصروفات حسب الشهر'!V839</f>
        <v>0</v>
      </c>
      <c r="J2188" s="31">
        <f>'تقرير المصروفات حسب الشهر'!V966</f>
        <v>0</v>
      </c>
      <c r="K2188" s="31">
        <f>'تقرير المصروفات حسب الشهر'!V1093</f>
        <v>0</v>
      </c>
      <c r="L2188" s="292">
        <f>IFERROR(VLOOKUP(B2188,'تقرير المصروفات حسب الشهر'!$C$1143:$AD$1254,20,FALSE),0)</f>
        <v>0</v>
      </c>
      <c r="M2188" s="292">
        <f>IFERROR(VLOOKUP(B2188,'تقرير المصروفات حسب الشهر'!$C$1270:$AD$1381,20,FALSE),0)</f>
        <v>0</v>
      </c>
      <c r="N2188" s="31" t="e">
        <f>#REF!</f>
        <v>#REF!</v>
      </c>
      <c r="O2188" s="37" t="e">
        <f t="shared" si="55"/>
        <v>#REF!</v>
      </c>
    </row>
    <row r="2189" spans="2:15" ht="17.399999999999999">
      <c r="B2189" s="42" t="s">
        <v>102</v>
      </c>
      <c r="C2189" s="39" t="e">
        <f>#REF!</f>
        <v>#REF!</v>
      </c>
      <c r="D2189" s="31" t="e">
        <f>#REF!</f>
        <v>#REF!</v>
      </c>
      <c r="E2189" s="31" t="e">
        <f>#REF!</f>
        <v>#REF!</v>
      </c>
      <c r="F2189" s="31" t="e">
        <f>#REF!</f>
        <v>#REF!</v>
      </c>
      <c r="G2189" s="31" t="e">
        <f>#REF!</f>
        <v>#REF!</v>
      </c>
      <c r="H2189" s="31" t="e">
        <f>#REF!</f>
        <v>#REF!</v>
      </c>
      <c r="I2189" s="31">
        <f>'تقرير المصروفات حسب الشهر'!V840</f>
        <v>123.15</v>
      </c>
      <c r="J2189" s="31">
        <f>'تقرير المصروفات حسب الشهر'!V967</f>
        <v>157.72999999999999</v>
      </c>
      <c r="K2189" s="31">
        <f>'تقرير المصروفات حسب الشهر'!V1094</f>
        <v>157.72999999999999</v>
      </c>
      <c r="L2189" s="292">
        <f>IFERROR(VLOOKUP(B2189,'تقرير المصروفات حسب الشهر'!$C$1143:$AD$1254,20,FALSE),0)</f>
        <v>160.04</v>
      </c>
      <c r="M2189" s="292">
        <f>IFERROR(VLOOKUP(B2189,'تقرير المصروفات حسب الشهر'!$C$1270:$AD$1381,20,FALSE),0)</f>
        <v>229.61</v>
      </c>
      <c r="N2189" s="31" t="e">
        <f>#REF!</f>
        <v>#REF!</v>
      </c>
      <c r="O2189" s="37" t="e">
        <f t="shared" si="55"/>
        <v>#REF!</v>
      </c>
    </row>
    <row r="2190" spans="2:15" ht="17.399999999999999">
      <c r="B2190" s="42" t="s">
        <v>103</v>
      </c>
      <c r="C2190" s="39" t="e">
        <f>#REF!</f>
        <v>#REF!</v>
      </c>
      <c r="D2190" s="31" t="e">
        <f>#REF!</f>
        <v>#REF!</v>
      </c>
      <c r="E2190" s="31" t="e">
        <f>#REF!</f>
        <v>#REF!</v>
      </c>
      <c r="F2190" s="31" t="e">
        <f>#REF!</f>
        <v>#REF!</v>
      </c>
      <c r="G2190" s="31" t="e">
        <f>#REF!</f>
        <v>#REF!</v>
      </c>
      <c r="H2190" s="31" t="e">
        <f>#REF!</f>
        <v>#REF!</v>
      </c>
      <c r="I2190" s="31">
        <f>'تقرير المصروفات حسب الشهر'!V841</f>
        <v>53.44</v>
      </c>
      <c r="J2190" s="31">
        <f>'تقرير المصروفات حسب الشهر'!V968</f>
        <v>38.17</v>
      </c>
      <c r="K2190" s="31">
        <f>'تقرير المصروفات حسب الشهر'!V1095</f>
        <v>0</v>
      </c>
      <c r="L2190" s="292">
        <f>IFERROR(VLOOKUP(B2190,'تقرير المصروفات حسب الشهر'!$C$1143:$AD$1254,20,FALSE),0)</f>
        <v>0</v>
      </c>
      <c r="M2190" s="292">
        <f>IFERROR(VLOOKUP(B2190,'تقرير المصروفات حسب الشهر'!$C$1270:$AD$1381,20,FALSE),0)</f>
        <v>0</v>
      </c>
      <c r="N2190" s="31" t="e">
        <f>#REF!</f>
        <v>#REF!</v>
      </c>
      <c r="O2190" s="37" t="e">
        <f t="shared" si="55"/>
        <v>#REF!</v>
      </c>
    </row>
    <row r="2191" spans="2:15" ht="17.399999999999999">
      <c r="B2191" s="42" t="s">
        <v>104</v>
      </c>
      <c r="C2191" s="39" t="e">
        <f>#REF!</f>
        <v>#REF!</v>
      </c>
      <c r="D2191" s="31" t="e">
        <f>#REF!</f>
        <v>#REF!</v>
      </c>
      <c r="E2191" s="31" t="e">
        <f>#REF!</f>
        <v>#REF!</v>
      </c>
      <c r="F2191" s="31" t="e">
        <f>#REF!</f>
        <v>#REF!</v>
      </c>
      <c r="G2191" s="31" t="e">
        <f>#REF!</f>
        <v>#REF!</v>
      </c>
      <c r="H2191" s="31" t="e">
        <f>#REF!</f>
        <v>#REF!</v>
      </c>
      <c r="I2191" s="31">
        <f>'تقرير المصروفات حسب الشهر'!V842</f>
        <v>44.58</v>
      </c>
      <c r="J2191" s="31">
        <f>'تقرير المصروفات حسب الشهر'!V969</f>
        <v>44.58</v>
      </c>
      <c r="K2191" s="31">
        <f>'تقرير المصروفات حسب الشهر'!V1096</f>
        <v>44.58</v>
      </c>
      <c r="L2191" s="292">
        <f>IFERROR(VLOOKUP(B2191,'تقرير المصروفات حسب الشهر'!$C$1143:$AD$1254,20,FALSE),0)</f>
        <v>44.58</v>
      </c>
      <c r="M2191" s="292">
        <f>IFERROR(VLOOKUP(B2191,'تقرير المصروفات حسب الشهر'!$C$1270:$AD$1381,20,FALSE),0)</f>
        <v>44.58</v>
      </c>
      <c r="N2191" s="31" t="e">
        <f>#REF!</f>
        <v>#REF!</v>
      </c>
      <c r="O2191" s="37" t="e">
        <f t="shared" si="55"/>
        <v>#REF!</v>
      </c>
    </row>
    <row r="2192" spans="2:15" ht="17.399999999999999">
      <c r="B2192" s="42" t="s">
        <v>105</v>
      </c>
      <c r="C2192" s="39" t="e">
        <f>#REF!</f>
        <v>#REF!</v>
      </c>
      <c r="D2192" s="31" t="e">
        <f>#REF!</f>
        <v>#REF!</v>
      </c>
      <c r="E2192" s="31" t="e">
        <f>#REF!</f>
        <v>#REF!</v>
      </c>
      <c r="F2192" s="31" t="e">
        <f>#REF!</f>
        <v>#REF!</v>
      </c>
      <c r="G2192" s="31" t="e">
        <f>#REF!</f>
        <v>#REF!</v>
      </c>
      <c r="H2192" s="31" t="e">
        <f>#REF!</f>
        <v>#REF!</v>
      </c>
      <c r="I2192" s="31">
        <f>'تقرير المصروفات حسب الشهر'!V843</f>
        <v>6</v>
      </c>
      <c r="J2192" s="31">
        <f>'تقرير المصروفات حسب الشهر'!V970</f>
        <v>6</v>
      </c>
      <c r="K2192" s="31">
        <f>'تقرير المصروفات حسب الشهر'!V1097</f>
        <v>6</v>
      </c>
      <c r="L2192" s="292">
        <f>IFERROR(VLOOKUP(B2192,'تقرير المصروفات حسب الشهر'!$C$1143:$AD$1254,20,FALSE),0)</f>
        <v>6</v>
      </c>
      <c r="M2192" s="292">
        <f>IFERROR(VLOOKUP(B2192,'تقرير المصروفات حسب الشهر'!$C$1270:$AD$1381,20,FALSE),0)</f>
        <v>6</v>
      </c>
      <c r="N2192" s="31" t="e">
        <f>#REF!</f>
        <v>#REF!</v>
      </c>
      <c r="O2192" s="37" t="e">
        <f t="shared" si="55"/>
        <v>#REF!</v>
      </c>
    </row>
    <row r="2193" spans="2:15" ht="17.399999999999999">
      <c r="B2193" s="42" t="s">
        <v>106</v>
      </c>
      <c r="C2193" s="39" t="e">
        <f>#REF!</f>
        <v>#REF!</v>
      </c>
      <c r="D2193" s="31" t="e">
        <f>#REF!</f>
        <v>#REF!</v>
      </c>
      <c r="E2193" s="31" t="e">
        <f>#REF!</f>
        <v>#REF!</v>
      </c>
      <c r="F2193" s="31" t="e">
        <f>#REF!</f>
        <v>#REF!</v>
      </c>
      <c r="G2193" s="31" t="e">
        <f>#REF!</f>
        <v>#REF!</v>
      </c>
      <c r="H2193" s="31" t="e">
        <f>#REF!</f>
        <v>#REF!</v>
      </c>
      <c r="I2193" s="31">
        <f>'تقرير المصروفات حسب الشهر'!V844</f>
        <v>0</v>
      </c>
      <c r="J2193" s="31">
        <f>'تقرير المصروفات حسب الشهر'!V971</f>
        <v>0</v>
      </c>
      <c r="K2193" s="31">
        <f>'تقرير المصروفات حسب الشهر'!V1098</f>
        <v>0</v>
      </c>
      <c r="L2193" s="292">
        <f>IFERROR(VLOOKUP(B2193,'تقرير المصروفات حسب الشهر'!$C$1143:$AD$1254,20,FALSE),0)</f>
        <v>0</v>
      </c>
      <c r="M2193" s="292">
        <f>IFERROR(VLOOKUP(B2193,'تقرير المصروفات حسب الشهر'!$C$1270:$AD$1381,20,FALSE),0)</f>
        <v>0</v>
      </c>
      <c r="N2193" s="31" t="e">
        <f>#REF!</f>
        <v>#REF!</v>
      </c>
      <c r="O2193" s="37" t="e">
        <f t="shared" si="55"/>
        <v>#REF!</v>
      </c>
    </row>
    <row r="2194" spans="2:15" ht="17.399999999999999">
      <c r="B2194" s="42" t="s">
        <v>107</v>
      </c>
      <c r="C2194" s="39" t="e">
        <f>#REF!</f>
        <v>#REF!</v>
      </c>
      <c r="D2194" s="31" t="e">
        <f>#REF!</f>
        <v>#REF!</v>
      </c>
      <c r="E2194" s="31" t="e">
        <f>#REF!</f>
        <v>#REF!</v>
      </c>
      <c r="F2194" s="31" t="e">
        <f>#REF!</f>
        <v>#REF!</v>
      </c>
      <c r="G2194" s="31" t="e">
        <f>#REF!</f>
        <v>#REF!</v>
      </c>
      <c r="H2194" s="31" t="e">
        <f>#REF!</f>
        <v>#REF!</v>
      </c>
      <c r="I2194" s="31">
        <f>'تقرير المصروفات حسب الشهر'!V845</f>
        <v>0</v>
      </c>
      <c r="J2194" s="31">
        <f>'تقرير المصروفات حسب الشهر'!V972</f>
        <v>0</v>
      </c>
      <c r="K2194" s="31">
        <f>'تقرير المصروفات حسب الشهر'!V1099</f>
        <v>0</v>
      </c>
      <c r="L2194" s="292">
        <f>IFERROR(VLOOKUP(B2194,'تقرير المصروفات حسب الشهر'!$C$1143:$AD$1254,20,FALSE),0)</f>
        <v>0</v>
      </c>
      <c r="M2194" s="292">
        <f>IFERROR(VLOOKUP(B2194,'تقرير المصروفات حسب الشهر'!$C$1270:$AD$1381,20,FALSE),0)</f>
        <v>0</v>
      </c>
      <c r="N2194" s="31" t="e">
        <f>#REF!</f>
        <v>#REF!</v>
      </c>
      <c r="O2194" s="37" t="e">
        <f t="shared" si="55"/>
        <v>#REF!</v>
      </c>
    </row>
    <row r="2195" spans="2:15" ht="17.399999999999999">
      <c r="B2195" s="42" t="s">
        <v>108</v>
      </c>
      <c r="C2195" s="39" t="e">
        <f>#REF!</f>
        <v>#REF!</v>
      </c>
      <c r="D2195" s="31" t="e">
        <f>#REF!</f>
        <v>#REF!</v>
      </c>
      <c r="E2195" s="31" t="e">
        <f>#REF!</f>
        <v>#REF!</v>
      </c>
      <c r="F2195" s="31" t="e">
        <f>#REF!</f>
        <v>#REF!</v>
      </c>
      <c r="G2195" s="31" t="e">
        <f>#REF!</f>
        <v>#REF!</v>
      </c>
      <c r="H2195" s="31" t="e">
        <f>#REF!</f>
        <v>#REF!</v>
      </c>
      <c r="I2195" s="31">
        <f>'تقرير المصروفات حسب الشهر'!V846</f>
        <v>0</v>
      </c>
      <c r="J2195" s="31">
        <f>'تقرير المصروفات حسب الشهر'!V973</f>
        <v>0</v>
      </c>
      <c r="K2195" s="31">
        <f>'تقرير المصروفات حسب الشهر'!V1100</f>
        <v>0</v>
      </c>
      <c r="L2195" s="292">
        <f>IFERROR(VLOOKUP(B2195,'تقرير المصروفات حسب الشهر'!$C$1143:$AD$1254,20,FALSE),0)</f>
        <v>0</v>
      </c>
      <c r="M2195" s="292">
        <f>IFERROR(VLOOKUP(B2195,'تقرير المصروفات حسب الشهر'!$C$1270:$AD$1381,20,FALSE),0)</f>
        <v>0</v>
      </c>
      <c r="N2195" s="31" t="e">
        <f>#REF!</f>
        <v>#REF!</v>
      </c>
      <c r="O2195" s="37" t="e">
        <f t="shared" si="55"/>
        <v>#REF!</v>
      </c>
    </row>
    <row r="2196" spans="2:15" ht="17.399999999999999">
      <c r="B2196" s="42" t="s">
        <v>109</v>
      </c>
      <c r="C2196" s="39" t="e">
        <f>#REF!</f>
        <v>#REF!</v>
      </c>
      <c r="D2196" s="31" t="e">
        <f>#REF!</f>
        <v>#REF!</v>
      </c>
      <c r="E2196" s="31" t="e">
        <f>#REF!</f>
        <v>#REF!</v>
      </c>
      <c r="F2196" s="31" t="e">
        <f>#REF!</f>
        <v>#REF!</v>
      </c>
      <c r="G2196" s="31" t="e">
        <f>#REF!</f>
        <v>#REF!</v>
      </c>
      <c r="H2196" s="31" t="e">
        <f>#REF!</f>
        <v>#REF!</v>
      </c>
      <c r="I2196" s="31">
        <f>'تقرير المصروفات حسب الشهر'!V847</f>
        <v>0</v>
      </c>
      <c r="J2196" s="31">
        <f>'تقرير المصروفات حسب الشهر'!V974</f>
        <v>0</v>
      </c>
      <c r="K2196" s="31">
        <f>'تقرير المصروفات حسب الشهر'!V1101</f>
        <v>0</v>
      </c>
      <c r="L2196" s="292">
        <f>IFERROR(VLOOKUP(B2196,'تقرير المصروفات حسب الشهر'!$C$1143:$AD$1254,20,FALSE),0)</f>
        <v>0</v>
      </c>
      <c r="M2196" s="292">
        <f>IFERROR(VLOOKUP(B2196,'تقرير المصروفات حسب الشهر'!$C$1270:$AD$1381,20,FALSE),0)</f>
        <v>0</v>
      </c>
      <c r="N2196" s="31" t="e">
        <f>#REF!</f>
        <v>#REF!</v>
      </c>
      <c r="O2196" s="37" t="e">
        <f t="shared" si="55"/>
        <v>#REF!</v>
      </c>
    </row>
    <row r="2197" spans="2:15" ht="17.399999999999999">
      <c r="B2197" s="42" t="s">
        <v>110</v>
      </c>
      <c r="C2197" s="39" t="e">
        <f>#REF!</f>
        <v>#REF!</v>
      </c>
      <c r="D2197" s="31" t="e">
        <f>#REF!</f>
        <v>#REF!</v>
      </c>
      <c r="E2197" s="31" t="e">
        <f>#REF!</f>
        <v>#REF!</v>
      </c>
      <c r="F2197" s="31" t="e">
        <f>#REF!</f>
        <v>#REF!</v>
      </c>
      <c r="G2197" s="31" t="e">
        <f>#REF!</f>
        <v>#REF!</v>
      </c>
      <c r="H2197" s="31" t="e">
        <f>#REF!</f>
        <v>#REF!</v>
      </c>
      <c r="I2197" s="31">
        <f>'تقرير المصروفات حسب الشهر'!V848</f>
        <v>0</v>
      </c>
      <c r="J2197" s="31">
        <f>'تقرير المصروفات حسب الشهر'!V975</f>
        <v>0</v>
      </c>
      <c r="K2197" s="31">
        <f>'تقرير المصروفات حسب الشهر'!V1102</f>
        <v>0</v>
      </c>
      <c r="L2197" s="292">
        <f>IFERROR(VLOOKUP(B2197,'تقرير المصروفات حسب الشهر'!$C$1143:$AD$1254,20,FALSE),0)</f>
        <v>0</v>
      </c>
      <c r="M2197" s="292">
        <f>IFERROR(VLOOKUP(B2197,'تقرير المصروفات حسب الشهر'!$C$1270:$AD$1381,20,FALSE),0)</f>
        <v>0</v>
      </c>
      <c r="N2197" s="31" t="e">
        <f>#REF!</f>
        <v>#REF!</v>
      </c>
      <c r="O2197" s="37" t="e">
        <f t="shared" si="55"/>
        <v>#REF!</v>
      </c>
    </row>
    <row r="2198" spans="2:15" ht="17.399999999999999">
      <c r="B2198" s="42" t="s">
        <v>112</v>
      </c>
      <c r="C2198" s="39" t="e">
        <f>#REF!</f>
        <v>#REF!</v>
      </c>
      <c r="D2198" s="31" t="e">
        <f>#REF!</f>
        <v>#REF!</v>
      </c>
      <c r="E2198" s="31" t="e">
        <f>#REF!</f>
        <v>#REF!</v>
      </c>
      <c r="F2198" s="31" t="e">
        <f>#REF!</f>
        <v>#REF!</v>
      </c>
      <c r="G2198" s="31" t="e">
        <f>#REF!</f>
        <v>#REF!</v>
      </c>
      <c r="H2198" s="31" t="e">
        <f>#REF!</f>
        <v>#REF!</v>
      </c>
      <c r="I2198" s="31">
        <f>'تقرير المصروفات حسب الشهر'!V849</f>
        <v>0</v>
      </c>
      <c r="J2198" s="31">
        <f>'تقرير المصروفات حسب الشهر'!V976</f>
        <v>0</v>
      </c>
      <c r="K2198" s="31">
        <f>'تقرير المصروفات حسب الشهر'!V1103</f>
        <v>0</v>
      </c>
      <c r="L2198" s="292">
        <f>IFERROR(VLOOKUP(B2198,'تقرير المصروفات حسب الشهر'!$C$1143:$AD$1254,20,FALSE),0)</f>
        <v>0</v>
      </c>
      <c r="M2198" s="292">
        <f>IFERROR(VLOOKUP(B2198,'تقرير المصروفات حسب الشهر'!$C$1270:$AD$1381,20,FALSE),0)</f>
        <v>0</v>
      </c>
      <c r="N2198" s="31" t="e">
        <f>#REF!</f>
        <v>#REF!</v>
      </c>
      <c r="O2198" s="37" t="e">
        <f t="shared" si="55"/>
        <v>#REF!</v>
      </c>
    </row>
    <row r="2199" spans="2:15" ht="17.399999999999999">
      <c r="B2199" s="42" t="s">
        <v>113</v>
      </c>
      <c r="C2199" s="39" t="e">
        <f>#REF!</f>
        <v>#REF!</v>
      </c>
      <c r="D2199" s="31" t="e">
        <f>#REF!</f>
        <v>#REF!</v>
      </c>
      <c r="E2199" s="31" t="e">
        <f>#REF!</f>
        <v>#REF!</v>
      </c>
      <c r="F2199" s="31" t="e">
        <f>#REF!</f>
        <v>#REF!</v>
      </c>
      <c r="G2199" s="31" t="e">
        <f>#REF!</f>
        <v>#REF!</v>
      </c>
      <c r="H2199" s="31" t="e">
        <f>#REF!</f>
        <v>#REF!</v>
      </c>
      <c r="I2199" s="31">
        <f>'تقرير المصروفات حسب الشهر'!V850</f>
        <v>0</v>
      </c>
      <c r="J2199" s="31">
        <f>'تقرير المصروفات حسب الشهر'!V977</f>
        <v>27</v>
      </c>
      <c r="K2199" s="31">
        <f>'تقرير المصروفات حسب الشهر'!V1104</f>
        <v>0</v>
      </c>
      <c r="L2199" s="292">
        <f>IFERROR(VLOOKUP(B2199,'تقرير المصروفات حسب الشهر'!$C$1143:$AD$1254,20,FALSE),0)</f>
        <v>0</v>
      </c>
      <c r="M2199" s="292">
        <f>IFERROR(VLOOKUP(B2199,'تقرير المصروفات حسب الشهر'!$C$1270:$AD$1381,20,FALSE),0)</f>
        <v>0</v>
      </c>
      <c r="N2199" s="31" t="e">
        <f>#REF!</f>
        <v>#REF!</v>
      </c>
      <c r="O2199" s="37" t="e">
        <f t="shared" si="55"/>
        <v>#REF!</v>
      </c>
    </row>
    <row r="2200" spans="2:15" ht="17.399999999999999">
      <c r="B2200" s="42" t="s">
        <v>137</v>
      </c>
      <c r="C2200" s="39" t="e">
        <f>#REF!</f>
        <v>#REF!</v>
      </c>
      <c r="D2200" s="31" t="e">
        <f>#REF!</f>
        <v>#REF!</v>
      </c>
      <c r="E2200" s="31" t="e">
        <f>#REF!</f>
        <v>#REF!</v>
      </c>
      <c r="F2200" s="31" t="e">
        <f>#REF!</f>
        <v>#REF!</v>
      </c>
      <c r="G2200" s="31" t="e">
        <f>#REF!</f>
        <v>#REF!</v>
      </c>
      <c r="H2200" s="31" t="e">
        <f>#REF!</f>
        <v>#REF!</v>
      </c>
      <c r="I2200" s="31">
        <f>'تقرير المصروفات حسب الشهر'!V851</f>
        <v>0</v>
      </c>
      <c r="J2200" s="31">
        <f>'تقرير المصروفات حسب الشهر'!V978</f>
        <v>0</v>
      </c>
      <c r="K2200" s="31">
        <f>'تقرير المصروفات حسب الشهر'!V1105</f>
        <v>0</v>
      </c>
      <c r="L2200" s="292">
        <f>IFERROR(VLOOKUP(B2200,'تقرير المصروفات حسب الشهر'!$C$1143:$AD$1254,20,FALSE),0)</f>
        <v>0</v>
      </c>
      <c r="M2200" s="292">
        <f>IFERROR(VLOOKUP(B2200,'تقرير المصروفات حسب الشهر'!$C$1270:$AD$1381,20,FALSE),0)</f>
        <v>0</v>
      </c>
      <c r="N2200" s="31" t="e">
        <f>#REF!</f>
        <v>#REF!</v>
      </c>
      <c r="O2200" s="37" t="e">
        <f t="shared" si="55"/>
        <v>#REF!</v>
      </c>
    </row>
    <row r="2201" spans="2:15" ht="17.399999999999999">
      <c r="B2201" s="42" t="s">
        <v>140</v>
      </c>
      <c r="C2201" s="39" t="e">
        <f>#REF!</f>
        <v>#REF!</v>
      </c>
      <c r="D2201" s="31" t="e">
        <f>#REF!</f>
        <v>#REF!</v>
      </c>
      <c r="E2201" s="31" t="e">
        <f>#REF!</f>
        <v>#REF!</v>
      </c>
      <c r="F2201" s="31" t="e">
        <f>#REF!</f>
        <v>#REF!</v>
      </c>
      <c r="G2201" s="31" t="e">
        <f>#REF!</f>
        <v>#REF!</v>
      </c>
      <c r="H2201" s="31" t="e">
        <f>#REF!</f>
        <v>#REF!</v>
      </c>
      <c r="I2201" s="31">
        <f>'تقرير المصروفات حسب الشهر'!V852</f>
        <v>0</v>
      </c>
      <c r="J2201" s="31">
        <f>'تقرير المصروفات حسب الشهر'!V979</f>
        <v>0</v>
      </c>
      <c r="K2201" s="31">
        <f>'تقرير المصروفات حسب الشهر'!V1106</f>
        <v>0</v>
      </c>
      <c r="L2201" s="292">
        <f>IFERROR(VLOOKUP(B2201,'تقرير المصروفات حسب الشهر'!$C$1143:$AD$1254,20,FALSE),0)</f>
        <v>0</v>
      </c>
      <c r="M2201" s="292">
        <f>IFERROR(VLOOKUP(B2201,'تقرير المصروفات حسب الشهر'!$C$1270:$AD$1381,20,FALSE),0)</f>
        <v>0</v>
      </c>
      <c r="N2201" s="31" t="e">
        <f>#REF!</f>
        <v>#REF!</v>
      </c>
      <c r="O2201" s="37" t="e">
        <f t="shared" si="55"/>
        <v>#REF!</v>
      </c>
    </row>
    <row r="2202" spans="2:15" ht="17.399999999999999">
      <c r="B2202" s="42" t="s">
        <v>141</v>
      </c>
      <c r="C2202" s="39" t="e">
        <f>#REF!</f>
        <v>#REF!</v>
      </c>
      <c r="D2202" s="31" t="e">
        <f>#REF!</f>
        <v>#REF!</v>
      </c>
      <c r="E2202" s="31" t="e">
        <f>#REF!</f>
        <v>#REF!</v>
      </c>
      <c r="F2202" s="31" t="e">
        <f>#REF!</f>
        <v>#REF!</v>
      </c>
      <c r="G2202" s="31" t="e">
        <f>#REF!</f>
        <v>#REF!</v>
      </c>
      <c r="H2202" s="31" t="e">
        <f>#REF!</f>
        <v>#REF!</v>
      </c>
      <c r="I2202" s="31">
        <f>'تقرير المصروفات حسب الشهر'!V853</f>
        <v>0</v>
      </c>
      <c r="J2202" s="31">
        <f>'تقرير المصروفات حسب الشهر'!V980</f>
        <v>0</v>
      </c>
      <c r="K2202" s="31">
        <f>'تقرير المصروفات حسب الشهر'!V1107</f>
        <v>0</v>
      </c>
      <c r="L2202" s="292">
        <f>IFERROR(VLOOKUP(B2202,'تقرير المصروفات حسب الشهر'!$C$1143:$AD$1254,20,FALSE),0)</f>
        <v>0</v>
      </c>
      <c r="M2202" s="292">
        <f>IFERROR(VLOOKUP(B2202,'تقرير المصروفات حسب الشهر'!$C$1270:$AD$1381,20,FALSE),0)</f>
        <v>0</v>
      </c>
      <c r="N2202" s="31" t="e">
        <f>#REF!</f>
        <v>#REF!</v>
      </c>
      <c r="O2202" s="37" t="e">
        <f t="shared" si="55"/>
        <v>#REF!</v>
      </c>
    </row>
    <row r="2203" spans="2:15" ht="17.399999999999999">
      <c r="B2203" s="42" t="s">
        <v>193</v>
      </c>
      <c r="C2203" s="39" t="e">
        <f>#REF!</f>
        <v>#REF!</v>
      </c>
      <c r="D2203" s="31" t="e">
        <f>#REF!</f>
        <v>#REF!</v>
      </c>
      <c r="E2203" s="31" t="e">
        <f>#REF!</f>
        <v>#REF!</v>
      </c>
      <c r="F2203" s="31" t="e">
        <f>#REF!</f>
        <v>#REF!</v>
      </c>
      <c r="G2203" s="31" t="e">
        <f>#REF!</f>
        <v>#REF!</v>
      </c>
      <c r="H2203" s="31" t="e">
        <f>#REF!</f>
        <v>#REF!</v>
      </c>
      <c r="I2203" s="31">
        <f>'تقرير المصروفات حسب الشهر'!V854</f>
        <v>0</v>
      </c>
      <c r="J2203" s="31">
        <f>'تقرير المصروفات حسب الشهر'!V981</f>
        <v>0</v>
      </c>
      <c r="K2203" s="31">
        <f>'تقرير المصروفات حسب الشهر'!V1108</f>
        <v>0</v>
      </c>
      <c r="L2203" s="292">
        <f>IFERROR(VLOOKUP(B2203,'تقرير المصروفات حسب الشهر'!$C$1143:$AD$1254,20,FALSE),0)</f>
        <v>0</v>
      </c>
      <c r="M2203" s="292">
        <f>IFERROR(VLOOKUP(B2203,'تقرير المصروفات حسب الشهر'!$C$1270:$AD$1381,20,FALSE),0)</f>
        <v>0</v>
      </c>
      <c r="N2203" s="31" t="e">
        <f>#REF!</f>
        <v>#REF!</v>
      </c>
      <c r="O2203" s="37" t="e">
        <f t="shared" si="55"/>
        <v>#REF!</v>
      </c>
    </row>
    <row r="2204" spans="2:15" ht="17.399999999999999">
      <c r="B2204" s="42" t="s">
        <v>148</v>
      </c>
      <c r="C2204" s="39" t="e">
        <f>#REF!</f>
        <v>#REF!</v>
      </c>
      <c r="D2204" s="31" t="e">
        <f>#REF!</f>
        <v>#REF!</v>
      </c>
      <c r="E2204" s="31" t="e">
        <f>#REF!</f>
        <v>#REF!</v>
      </c>
      <c r="F2204" s="31" t="e">
        <f>#REF!</f>
        <v>#REF!</v>
      </c>
      <c r="G2204" s="31" t="e">
        <f>#REF!</f>
        <v>#REF!</v>
      </c>
      <c r="H2204" s="31" t="e">
        <f>#REF!</f>
        <v>#REF!</v>
      </c>
      <c r="I2204" s="31">
        <f>'تقرير المصروفات حسب الشهر'!V855</f>
        <v>0</v>
      </c>
      <c r="J2204" s="31">
        <f>'تقرير المصروفات حسب الشهر'!V982</f>
        <v>0</v>
      </c>
      <c r="K2204" s="31">
        <f>'تقرير المصروفات حسب الشهر'!V1109</f>
        <v>0</v>
      </c>
      <c r="L2204" s="292">
        <f>IFERROR(VLOOKUP(B2204,'تقرير المصروفات حسب الشهر'!$C$1143:$AD$1254,20,FALSE),0)</f>
        <v>0</v>
      </c>
      <c r="M2204" s="292">
        <f>IFERROR(VLOOKUP(B2204,'تقرير المصروفات حسب الشهر'!$C$1270:$AD$1381,20,FALSE),0)</f>
        <v>0</v>
      </c>
      <c r="N2204" s="31" t="e">
        <f>#REF!</f>
        <v>#REF!</v>
      </c>
      <c r="O2204" s="37" t="e">
        <f t="shared" si="55"/>
        <v>#REF!</v>
      </c>
    </row>
    <row r="2205" spans="2:15" ht="17.399999999999999">
      <c r="B2205" s="42" t="s">
        <v>186</v>
      </c>
      <c r="C2205" s="39" t="e">
        <f>#REF!</f>
        <v>#REF!</v>
      </c>
      <c r="D2205" s="31" t="e">
        <f>#REF!</f>
        <v>#REF!</v>
      </c>
      <c r="E2205" s="31" t="e">
        <f>#REF!</f>
        <v>#REF!</v>
      </c>
      <c r="F2205" s="31" t="e">
        <f>#REF!</f>
        <v>#REF!</v>
      </c>
      <c r="G2205" s="31" t="e">
        <f>#REF!</f>
        <v>#REF!</v>
      </c>
      <c r="H2205" s="31" t="e">
        <f>#REF!</f>
        <v>#REF!</v>
      </c>
      <c r="I2205" s="31">
        <f>'تقرير المصروفات حسب الشهر'!V856</f>
        <v>0</v>
      </c>
      <c r="J2205" s="31">
        <f>'تقرير المصروفات حسب الشهر'!V983</f>
        <v>0</v>
      </c>
      <c r="K2205" s="31">
        <f>'تقرير المصروفات حسب الشهر'!V1110</f>
        <v>0</v>
      </c>
      <c r="L2205" s="292">
        <f>IFERROR(VLOOKUP(B2205,'تقرير المصروفات حسب الشهر'!$C$1143:$AD$1254,20,FALSE),0)</f>
        <v>0</v>
      </c>
      <c r="M2205" s="292">
        <f>IFERROR(VLOOKUP(B2205,'تقرير المصروفات حسب الشهر'!$C$1270:$AD$1381,20,FALSE),0)</f>
        <v>0</v>
      </c>
      <c r="N2205" s="31" t="e">
        <f>#REF!</f>
        <v>#REF!</v>
      </c>
      <c r="O2205" s="37" t="e">
        <f t="shared" si="55"/>
        <v>#REF!</v>
      </c>
    </row>
    <row r="2206" spans="2:15" ht="17.399999999999999">
      <c r="B2206" s="42" t="s">
        <v>171</v>
      </c>
      <c r="C2206" s="39" t="e">
        <f>#REF!</f>
        <v>#REF!</v>
      </c>
      <c r="D2206" s="31" t="e">
        <f>#REF!</f>
        <v>#REF!</v>
      </c>
      <c r="E2206" s="31" t="e">
        <f>#REF!</f>
        <v>#REF!</v>
      </c>
      <c r="F2206" s="31" t="e">
        <f>#REF!</f>
        <v>#REF!</v>
      </c>
      <c r="G2206" s="31" t="e">
        <f>#REF!</f>
        <v>#REF!</v>
      </c>
      <c r="H2206" s="31" t="e">
        <f>#REF!</f>
        <v>#REF!</v>
      </c>
      <c r="I2206" s="31">
        <f>'تقرير المصروفات حسب الشهر'!V857</f>
        <v>0</v>
      </c>
      <c r="J2206" s="31">
        <f>'تقرير المصروفات حسب الشهر'!V984</f>
        <v>0</v>
      </c>
      <c r="K2206" s="31">
        <f>'تقرير المصروفات حسب الشهر'!V1111</f>
        <v>0</v>
      </c>
      <c r="L2206" s="292">
        <f>IFERROR(VLOOKUP(B2206,'تقرير المصروفات حسب الشهر'!$C$1143:$AD$1254,20,FALSE),0)</f>
        <v>0</v>
      </c>
      <c r="M2206" s="292">
        <f>IFERROR(VLOOKUP(B2206,'تقرير المصروفات حسب الشهر'!$C$1270:$AD$1381,20,FALSE),0)</f>
        <v>0</v>
      </c>
      <c r="N2206" s="31" t="e">
        <f>#REF!</f>
        <v>#REF!</v>
      </c>
      <c r="O2206" s="37" t="e">
        <f t="shared" si="55"/>
        <v>#REF!</v>
      </c>
    </row>
    <row r="2207" spans="2:15" ht="17.399999999999999">
      <c r="B2207" s="42" t="s">
        <v>180</v>
      </c>
      <c r="C2207" s="39" t="e">
        <f>#REF!</f>
        <v>#REF!</v>
      </c>
      <c r="D2207" s="31" t="e">
        <f>#REF!</f>
        <v>#REF!</v>
      </c>
      <c r="E2207" s="31" t="e">
        <f>#REF!</f>
        <v>#REF!</v>
      </c>
      <c r="F2207" s="31" t="e">
        <f>#REF!</f>
        <v>#REF!</v>
      </c>
      <c r="G2207" s="31" t="e">
        <f>#REF!</f>
        <v>#REF!</v>
      </c>
      <c r="H2207" s="31" t="e">
        <f>#REF!</f>
        <v>#REF!</v>
      </c>
      <c r="I2207" s="31">
        <f>'تقرير المصروفات حسب الشهر'!V858</f>
        <v>0</v>
      </c>
      <c r="J2207" s="31">
        <f>'تقرير المصروفات حسب الشهر'!V985</f>
        <v>0</v>
      </c>
      <c r="K2207" s="31">
        <f>'تقرير المصروفات حسب الشهر'!V1112</f>
        <v>0</v>
      </c>
      <c r="L2207" s="292">
        <f>IFERROR(VLOOKUP(B2207,'تقرير المصروفات حسب الشهر'!$C$1143:$AD$1254,20,FALSE),0)</f>
        <v>0</v>
      </c>
      <c r="M2207" s="292">
        <f>IFERROR(VLOOKUP(B2207,'تقرير المصروفات حسب الشهر'!$C$1270:$AD$1381,20,FALSE),0)</f>
        <v>0</v>
      </c>
      <c r="N2207" s="31" t="e">
        <f>#REF!</f>
        <v>#REF!</v>
      </c>
      <c r="O2207" s="37" t="e">
        <f t="shared" si="55"/>
        <v>#REF!</v>
      </c>
    </row>
    <row r="2208" spans="2:15" ht="17.399999999999999">
      <c r="B2208" s="42" t="s">
        <v>183</v>
      </c>
      <c r="C2208" s="39" t="e">
        <f>#REF!</f>
        <v>#REF!</v>
      </c>
      <c r="D2208" s="31" t="e">
        <f>#REF!</f>
        <v>#REF!</v>
      </c>
      <c r="E2208" s="31" t="e">
        <f>#REF!</f>
        <v>#REF!</v>
      </c>
      <c r="F2208" s="31" t="e">
        <f>#REF!</f>
        <v>#REF!</v>
      </c>
      <c r="G2208" s="31" t="e">
        <f>#REF!</f>
        <v>#REF!</v>
      </c>
      <c r="H2208" s="31" t="e">
        <f>#REF!</f>
        <v>#REF!</v>
      </c>
      <c r="I2208" s="31">
        <f>'تقرير المصروفات حسب الشهر'!V859</f>
        <v>0</v>
      </c>
      <c r="J2208" s="31">
        <f>'تقرير المصروفات حسب الشهر'!V986</f>
        <v>0</v>
      </c>
      <c r="K2208" s="31">
        <f>'تقرير المصروفات حسب الشهر'!V1113</f>
        <v>0</v>
      </c>
      <c r="L2208" s="292">
        <f>IFERROR(VLOOKUP(B2208,'تقرير المصروفات حسب الشهر'!$C$1143:$AD$1254,20,FALSE),0)</f>
        <v>0</v>
      </c>
      <c r="M2208" s="292">
        <f>IFERROR(VLOOKUP(B2208,'تقرير المصروفات حسب الشهر'!$C$1270:$AD$1381,20,FALSE),0)</f>
        <v>0</v>
      </c>
      <c r="N2208" s="31" t="e">
        <f>#REF!</f>
        <v>#REF!</v>
      </c>
      <c r="O2208" s="37" t="e">
        <f t="shared" si="55"/>
        <v>#REF!</v>
      </c>
    </row>
    <row r="2209" spans="2:15" ht="17.399999999999999">
      <c r="B2209" s="42" t="s">
        <v>195</v>
      </c>
      <c r="C2209" s="39" t="e">
        <f>#REF!</f>
        <v>#REF!</v>
      </c>
      <c r="D2209" s="31" t="e">
        <f>#REF!</f>
        <v>#REF!</v>
      </c>
      <c r="E2209" s="31" t="e">
        <f>#REF!</f>
        <v>#REF!</v>
      </c>
      <c r="F2209" s="31" t="e">
        <f>#REF!</f>
        <v>#REF!</v>
      </c>
      <c r="G2209" s="31" t="e">
        <f>#REF!</f>
        <v>#REF!</v>
      </c>
      <c r="H2209" s="31" t="e">
        <f>#REF!</f>
        <v>#REF!</v>
      </c>
      <c r="I2209" s="31">
        <f>'تقرير المصروفات حسب الشهر'!V860</f>
        <v>0</v>
      </c>
      <c r="J2209" s="31">
        <f>'تقرير المصروفات حسب الشهر'!V987</f>
        <v>0</v>
      </c>
      <c r="K2209" s="31">
        <f>'تقرير المصروفات حسب الشهر'!V1114</f>
        <v>0</v>
      </c>
      <c r="L2209" s="292">
        <f>IFERROR(VLOOKUP(B2209,'تقرير المصروفات حسب الشهر'!$C$1143:$AD$1254,20,FALSE),0)</f>
        <v>0</v>
      </c>
      <c r="M2209" s="292">
        <f>IFERROR(VLOOKUP(B2209,'تقرير المصروفات حسب الشهر'!$C$1270:$AD$1381,20,FALSE),0)</f>
        <v>0</v>
      </c>
      <c r="N2209" s="31" t="e">
        <f>#REF!</f>
        <v>#REF!</v>
      </c>
      <c r="O2209" s="37" t="e">
        <f t="shared" si="55"/>
        <v>#REF!</v>
      </c>
    </row>
    <row r="2210" spans="2:15" ht="17.399999999999999">
      <c r="B2210" s="42" t="s">
        <v>189</v>
      </c>
      <c r="C2210" s="39" t="e">
        <f>#REF!</f>
        <v>#REF!</v>
      </c>
      <c r="D2210" s="31" t="e">
        <f>#REF!</f>
        <v>#REF!</v>
      </c>
      <c r="E2210" s="31" t="e">
        <f>#REF!</f>
        <v>#REF!</v>
      </c>
      <c r="F2210" s="31" t="e">
        <f>#REF!</f>
        <v>#REF!</v>
      </c>
      <c r="G2210" s="31" t="e">
        <f>#REF!</f>
        <v>#REF!</v>
      </c>
      <c r="H2210" s="31" t="e">
        <f>#REF!</f>
        <v>#REF!</v>
      </c>
      <c r="I2210" s="31">
        <f>'تقرير المصروفات حسب الشهر'!V861</f>
        <v>0</v>
      </c>
      <c r="J2210" s="31">
        <f>'تقرير المصروفات حسب الشهر'!V988</f>
        <v>0</v>
      </c>
      <c r="K2210" s="31">
        <f>'تقرير المصروفات حسب الشهر'!V1115</f>
        <v>0</v>
      </c>
      <c r="L2210" s="292">
        <f>IFERROR(VLOOKUP(B2210,'تقرير المصروفات حسب الشهر'!$C$1143:$AD$1254,20,FALSE),0)</f>
        <v>0</v>
      </c>
      <c r="M2210" s="292">
        <f>IFERROR(VLOOKUP(B2210,'تقرير المصروفات حسب الشهر'!$C$1270:$AD$1381,20,FALSE),0)</f>
        <v>0</v>
      </c>
      <c r="N2210" s="31" t="e">
        <f>#REF!</f>
        <v>#REF!</v>
      </c>
      <c r="O2210" s="37" t="e">
        <f t="shared" si="55"/>
        <v>#REF!</v>
      </c>
    </row>
    <row r="2211" spans="2:15" ht="17.399999999999999">
      <c r="B2211" s="42" t="s">
        <v>188</v>
      </c>
      <c r="C2211" s="39" t="e">
        <f>#REF!</f>
        <v>#REF!</v>
      </c>
      <c r="D2211" s="31" t="e">
        <f>#REF!</f>
        <v>#REF!</v>
      </c>
      <c r="E2211" s="31" t="e">
        <f>#REF!</f>
        <v>#REF!</v>
      </c>
      <c r="F2211" s="31" t="e">
        <f>#REF!</f>
        <v>#REF!</v>
      </c>
      <c r="G2211" s="31" t="e">
        <f>#REF!</f>
        <v>#REF!</v>
      </c>
      <c r="H2211" s="31" t="e">
        <f>#REF!</f>
        <v>#REF!</v>
      </c>
      <c r="I2211" s="31">
        <f>'تقرير المصروفات حسب الشهر'!V862</f>
        <v>0</v>
      </c>
      <c r="J2211" s="31">
        <f>'تقرير المصروفات حسب الشهر'!V989</f>
        <v>0</v>
      </c>
      <c r="K2211" s="31">
        <f>'تقرير المصروفات حسب الشهر'!V1116</f>
        <v>0</v>
      </c>
      <c r="L2211" s="292">
        <f>IFERROR(VLOOKUP(B2211,'تقرير المصروفات حسب الشهر'!$C$1143:$AD$1254,20,FALSE),0)</f>
        <v>0</v>
      </c>
      <c r="M2211" s="292">
        <f>IFERROR(VLOOKUP(B2211,'تقرير المصروفات حسب الشهر'!$C$1270:$AD$1381,20,FALSE),0)</f>
        <v>0</v>
      </c>
      <c r="N2211" s="31" t="e">
        <f>#REF!</f>
        <v>#REF!</v>
      </c>
      <c r="O2211" s="37" t="e">
        <f t="shared" si="55"/>
        <v>#REF!</v>
      </c>
    </row>
    <row r="2212" spans="2:15" ht="17.399999999999999">
      <c r="B2212" s="42" t="s">
        <v>196</v>
      </c>
      <c r="C2212" s="39" t="e">
        <f>#REF!</f>
        <v>#REF!</v>
      </c>
      <c r="D2212" s="31" t="e">
        <f>#REF!</f>
        <v>#REF!</v>
      </c>
      <c r="E2212" s="31" t="e">
        <f>#REF!</f>
        <v>#REF!</v>
      </c>
      <c r="F2212" s="31" t="e">
        <f>#REF!</f>
        <v>#REF!</v>
      </c>
      <c r="G2212" s="31" t="e">
        <f>#REF!</f>
        <v>#REF!</v>
      </c>
      <c r="H2212" s="31" t="e">
        <f>#REF!</f>
        <v>#REF!</v>
      </c>
      <c r="I2212" s="31">
        <f>'تقرير المصروفات حسب الشهر'!V863</f>
        <v>0</v>
      </c>
      <c r="J2212" s="31">
        <f>'تقرير المصروفات حسب الشهر'!V990</f>
        <v>0</v>
      </c>
      <c r="K2212" s="31">
        <f>'تقرير المصروفات حسب الشهر'!V1117</f>
        <v>0</v>
      </c>
      <c r="L2212" s="292">
        <f>IFERROR(VLOOKUP(B2212,'تقرير المصروفات حسب الشهر'!$C$1143:$AD$1254,20,FALSE),0)</f>
        <v>0</v>
      </c>
      <c r="M2212" s="292">
        <f>IFERROR(VLOOKUP(B2212,'تقرير المصروفات حسب الشهر'!$C$1270:$AD$1381,20,FALSE),0)</f>
        <v>0</v>
      </c>
      <c r="N2212" s="31" t="e">
        <f>#REF!</f>
        <v>#REF!</v>
      </c>
      <c r="O2212" s="37" t="e">
        <f t="shared" si="55"/>
        <v>#REF!</v>
      </c>
    </row>
    <row r="2213" spans="2:15" ht="17.399999999999999">
      <c r="B2213" s="42" t="s">
        <v>197</v>
      </c>
      <c r="C2213" s="39" t="e">
        <f>#REF!</f>
        <v>#REF!</v>
      </c>
      <c r="D2213" s="31" t="e">
        <f>#REF!</f>
        <v>#REF!</v>
      </c>
      <c r="E2213" s="31" t="e">
        <f>#REF!</f>
        <v>#REF!</v>
      </c>
      <c r="F2213" s="31" t="e">
        <f>#REF!</f>
        <v>#REF!</v>
      </c>
      <c r="G2213" s="31" t="e">
        <f>#REF!</f>
        <v>#REF!</v>
      </c>
      <c r="H2213" s="31" t="e">
        <f>#REF!</f>
        <v>#REF!</v>
      </c>
      <c r="I2213" s="31">
        <f>'تقرير المصروفات حسب الشهر'!V864</f>
        <v>0</v>
      </c>
      <c r="J2213" s="31">
        <f>'تقرير المصروفات حسب الشهر'!V991</f>
        <v>0</v>
      </c>
      <c r="K2213" s="31">
        <f>'تقرير المصروفات حسب الشهر'!V1118</f>
        <v>0</v>
      </c>
      <c r="L2213" s="292">
        <f>IFERROR(VLOOKUP(B2213,'تقرير المصروفات حسب الشهر'!$C$1143:$AD$1254,20,FALSE),0)</f>
        <v>0</v>
      </c>
      <c r="M2213" s="292">
        <f>IFERROR(VLOOKUP(B2213,'تقرير المصروفات حسب الشهر'!$C$1270:$AD$1381,20,FALSE),0)</f>
        <v>0</v>
      </c>
      <c r="N2213" s="31" t="e">
        <f>#REF!</f>
        <v>#REF!</v>
      </c>
      <c r="O2213" s="37" t="e">
        <f t="shared" si="55"/>
        <v>#REF!</v>
      </c>
    </row>
    <row r="2214" spans="2:15" ht="17.399999999999999">
      <c r="B2214" s="42" t="s">
        <v>198</v>
      </c>
      <c r="C2214" s="39" t="e">
        <f>#REF!</f>
        <v>#REF!</v>
      </c>
      <c r="D2214" s="31" t="e">
        <f>#REF!</f>
        <v>#REF!</v>
      </c>
      <c r="E2214" s="31" t="e">
        <f>#REF!</f>
        <v>#REF!</v>
      </c>
      <c r="F2214" s="31" t="e">
        <f>#REF!</f>
        <v>#REF!</v>
      </c>
      <c r="G2214" s="31" t="e">
        <f>#REF!</f>
        <v>#REF!</v>
      </c>
      <c r="H2214" s="31" t="e">
        <f>#REF!</f>
        <v>#REF!</v>
      </c>
      <c r="I2214" s="31">
        <f>'تقرير المصروفات حسب الشهر'!V865</f>
        <v>0</v>
      </c>
      <c r="J2214" s="31">
        <f>'تقرير المصروفات حسب الشهر'!V992</f>
        <v>0</v>
      </c>
      <c r="K2214" s="31">
        <f>'تقرير المصروفات حسب الشهر'!V1119</f>
        <v>0</v>
      </c>
      <c r="L2214" s="292">
        <f>IFERROR(VLOOKUP(B2214,'تقرير المصروفات حسب الشهر'!$C$1143:$AD$1254,20,FALSE),0)</f>
        <v>0</v>
      </c>
      <c r="M2214" s="292">
        <f>IFERROR(VLOOKUP(B2214,'تقرير المصروفات حسب الشهر'!$C$1270:$AD$1381,20,FALSE),0)</f>
        <v>0</v>
      </c>
      <c r="N2214" s="31" t="e">
        <f>#REF!</f>
        <v>#REF!</v>
      </c>
      <c r="O2214" s="37" t="e">
        <f t="shared" si="55"/>
        <v>#REF!</v>
      </c>
    </row>
    <row r="2215" spans="2:15" ht="17.399999999999999">
      <c r="B2215" s="42" t="s">
        <v>201</v>
      </c>
      <c r="C2215" s="39" t="e">
        <f>#REF!</f>
        <v>#REF!</v>
      </c>
      <c r="D2215" s="31" t="e">
        <f>#REF!</f>
        <v>#REF!</v>
      </c>
      <c r="E2215" s="31" t="e">
        <f>#REF!</f>
        <v>#REF!</v>
      </c>
      <c r="F2215" s="31" t="e">
        <f>#REF!</f>
        <v>#REF!</v>
      </c>
      <c r="G2215" s="31" t="e">
        <f>#REF!</f>
        <v>#REF!</v>
      </c>
      <c r="H2215" s="31" t="e">
        <f>#REF!</f>
        <v>#REF!</v>
      </c>
      <c r="I2215" s="31">
        <f>'تقرير المصروفات حسب الشهر'!V866</f>
        <v>0</v>
      </c>
      <c r="J2215" s="31">
        <f>'تقرير المصروفات حسب الشهر'!V993</f>
        <v>0</v>
      </c>
      <c r="K2215" s="31">
        <f>'تقرير المصروفات حسب الشهر'!V1120</f>
        <v>0</v>
      </c>
      <c r="L2215" s="292">
        <f>IFERROR(VLOOKUP(B2215,'تقرير المصروفات حسب الشهر'!$C$1143:$AD$1254,20,FALSE),0)</f>
        <v>0</v>
      </c>
      <c r="M2215" s="292">
        <f>IFERROR(VLOOKUP(B2215,'تقرير المصروفات حسب الشهر'!$C$1270:$AD$1381,20,FALSE),0)</f>
        <v>0</v>
      </c>
      <c r="N2215" s="31" t="e">
        <f>#REF!</f>
        <v>#REF!</v>
      </c>
      <c r="O2215" s="37" t="e">
        <f t="shared" si="55"/>
        <v>#REF!</v>
      </c>
    </row>
    <row r="2216" spans="2:15" ht="17.399999999999999">
      <c r="B2216" s="42" t="s">
        <v>202</v>
      </c>
      <c r="C2216" s="39" t="e">
        <f>#REF!</f>
        <v>#REF!</v>
      </c>
      <c r="D2216" s="31" t="e">
        <f>#REF!</f>
        <v>#REF!</v>
      </c>
      <c r="E2216" s="31" t="e">
        <f>#REF!</f>
        <v>#REF!</v>
      </c>
      <c r="F2216" s="31" t="e">
        <f>#REF!</f>
        <v>#REF!</v>
      </c>
      <c r="G2216" s="31" t="e">
        <f>#REF!</f>
        <v>#REF!</v>
      </c>
      <c r="H2216" s="31" t="e">
        <f>#REF!</f>
        <v>#REF!</v>
      </c>
      <c r="I2216" s="31">
        <f>'تقرير المصروفات حسب الشهر'!V867</f>
        <v>0</v>
      </c>
      <c r="J2216" s="31">
        <f>'تقرير المصروفات حسب الشهر'!V994</f>
        <v>0</v>
      </c>
      <c r="K2216" s="31">
        <f>'تقرير المصروفات حسب الشهر'!V1121</f>
        <v>0</v>
      </c>
      <c r="L2216" s="292">
        <f>IFERROR(VLOOKUP(B2216,'تقرير المصروفات حسب الشهر'!$C$1143:$AD$1254,20,FALSE),0)</f>
        <v>0</v>
      </c>
      <c r="M2216" s="292">
        <f>IFERROR(VLOOKUP(B2216,'تقرير المصروفات حسب الشهر'!$C$1270:$AD$1381,20,FALSE),0)</f>
        <v>0</v>
      </c>
      <c r="N2216" s="31" t="e">
        <f>#REF!</f>
        <v>#REF!</v>
      </c>
      <c r="O2216" s="37" t="e">
        <f t="shared" si="55"/>
        <v>#REF!</v>
      </c>
    </row>
    <row r="2217" spans="2:15" ht="17.399999999999999">
      <c r="B2217" s="42" t="s">
        <v>206</v>
      </c>
      <c r="C2217" s="39" t="e">
        <f>#REF!</f>
        <v>#REF!</v>
      </c>
      <c r="D2217" s="31" t="e">
        <f>#REF!</f>
        <v>#REF!</v>
      </c>
      <c r="E2217" s="31" t="e">
        <f>#REF!</f>
        <v>#REF!</v>
      </c>
      <c r="F2217" s="31" t="e">
        <f>#REF!</f>
        <v>#REF!</v>
      </c>
      <c r="G2217" s="31" t="e">
        <f>#REF!</f>
        <v>#REF!</v>
      </c>
      <c r="H2217" s="31" t="e">
        <f>#REF!</f>
        <v>#REF!</v>
      </c>
      <c r="I2217" s="31">
        <f>'تقرير المصروفات حسب الشهر'!V868</f>
        <v>0</v>
      </c>
      <c r="J2217" s="31">
        <f>'تقرير المصروفات حسب الشهر'!V995</f>
        <v>0</v>
      </c>
      <c r="K2217" s="31">
        <f>'تقرير المصروفات حسب الشهر'!V1122</f>
        <v>0</v>
      </c>
      <c r="L2217" s="292">
        <f>IFERROR(VLOOKUP(B2217,'تقرير المصروفات حسب الشهر'!$C$1143:$AD$1254,20,FALSE),0)</f>
        <v>0</v>
      </c>
      <c r="M2217" s="292">
        <f>IFERROR(VLOOKUP(B2217,'تقرير المصروفات حسب الشهر'!$C$1270:$AD$1381,20,FALSE),0)</f>
        <v>0</v>
      </c>
      <c r="N2217" s="31" t="e">
        <f>#REF!</f>
        <v>#REF!</v>
      </c>
      <c r="O2217" s="37" t="e">
        <f t="shared" si="55"/>
        <v>#REF!</v>
      </c>
    </row>
    <row r="2218" spans="2:15" ht="17.399999999999999">
      <c r="B2218" s="42" t="s">
        <v>207</v>
      </c>
      <c r="C2218" s="39" t="e">
        <f>#REF!</f>
        <v>#REF!</v>
      </c>
      <c r="D2218" s="31" t="e">
        <f>#REF!</f>
        <v>#REF!</v>
      </c>
      <c r="E2218" s="31" t="e">
        <f>#REF!</f>
        <v>#REF!</v>
      </c>
      <c r="F2218" s="31" t="e">
        <f>#REF!</f>
        <v>#REF!</v>
      </c>
      <c r="G2218" s="31" t="e">
        <f>#REF!</f>
        <v>#REF!</v>
      </c>
      <c r="H2218" s="31" t="e">
        <f>#REF!</f>
        <v>#REF!</v>
      </c>
      <c r="I2218" s="31">
        <f>'تقرير المصروفات حسب الشهر'!V869</f>
        <v>0</v>
      </c>
      <c r="J2218" s="31">
        <f>'تقرير المصروفات حسب الشهر'!V996</f>
        <v>0</v>
      </c>
      <c r="K2218" s="31">
        <f>'تقرير المصروفات حسب الشهر'!V1123</f>
        <v>0</v>
      </c>
      <c r="L2218" s="292">
        <f>IFERROR(VLOOKUP(B2218,'تقرير المصروفات حسب الشهر'!$C$1143:$AD$1254,20,FALSE),0)</f>
        <v>0</v>
      </c>
      <c r="M2218" s="292">
        <f>IFERROR(VLOOKUP(B2218,'تقرير المصروفات حسب الشهر'!$C$1270:$AD$1381,20,FALSE),0)</f>
        <v>0</v>
      </c>
      <c r="N2218" s="31" t="e">
        <f>#REF!</f>
        <v>#REF!</v>
      </c>
      <c r="O2218" s="37" t="e">
        <f t="shared" si="55"/>
        <v>#REF!</v>
      </c>
    </row>
    <row r="2219" spans="2:15" ht="17.399999999999999">
      <c r="B2219" s="42" t="s">
        <v>208</v>
      </c>
      <c r="C2219" s="39" t="e">
        <f>#REF!</f>
        <v>#REF!</v>
      </c>
      <c r="D2219" s="31" t="e">
        <f>#REF!</f>
        <v>#REF!</v>
      </c>
      <c r="E2219" s="31" t="e">
        <f>#REF!</f>
        <v>#REF!</v>
      </c>
      <c r="F2219" s="31" t="e">
        <f>#REF!</f>
        <v>#REF!</v>
      </c>
      <c r="G2219" s="31" t="e">
        <f>#REF!</f>
        <v>#REF!</v>
      </c>
      <c r="H2219" s="31" t="e">
        <f>#REF!</f>
        <v>#REF!</v>
      </c>
      <c r="I2219" s="31">
        <f>'تقرير المصروفات حسب الشهر'!V870</f>
        <v>0</v>
      </c>
      <c r="J2219" s="31">
        <f>'تقرير المصروفات حسب الشهر'!V997</f>
        <v>0</v>
      </c>
      <c r="K2219" s="31">
        <f>'تقرير المصروفات حسب الشهر'!V1124</f>
        <v>0</v>
      </c>
      <c r="L2219" s="292">
        <f>IFERROR(VLOOKUP(B2219,'تقرير المصروفات حسب الشهر'!$C$1143:$AD$1254,20,FALSE),0)</f>
        <v>0</v>
      </c>
      <c r="M2219" s="292">
        <f>IFERROR(VLOOKUP(B2219,'تقرير المصروفات حسب الشهر'!$C$1270:$AD$1381,20,FALSE),0)</f>
        <v>0</v>
      </c>
      <c r="N2219" s="31" t="e">
        <f>#REF!</f>
        <v>#REF!</v>
      </c>
      <c r="O2219" s="37" t="e">
        <f t="shared" si="55"/>
        <v>#REF!</v>
      </c>
    </row>
    <row r="2220" spans="2:15" ht="18" thickBot="1">
      <c r="B2220" s="43" t="s">
        <v>209</v>
      </c>
      <c r="C2220" s="39" t="e">
        <f>#REF!</f>
        <v>#REF!</v>
      </c>
      <c r="D2220" s="31" t="e">
        <f>#REF!</f>
        <v>#REF!</v>
      </c>
      <c r="E2220" s="31" t="e">
        <f>#REF!</f>
        <v>#REF!</v>
      </c>
      <c r="F2220" s="31" t="e">
        <f>#REF!</f>
        <v>#REF!</v>
      </c>
      <c r="G2220" s="31" t="e">
        <f>#REF!</f>
        <v>#REF!</v>
      </c>
      <c r="H2220" s="31">
        <v>0</v>
      </c>
      <c r="I2220" s="31">
        <f>'تقرير المصروفات حسب الشهر'!V871</f>
        <v>0</v>
      </c>
      <c r="J2220" s="31">
        <f>'تقرير المصروفات حسب الشهر'!V998</f>
        <v>0</v>
      </c>
      <c r="K2220" s="31">
        <f>'تقرير المصروفات حسب الشهر'!V1125</f>
        <v>0</v>
      </c>
      <c r="L2220" s="292">
        <f>IFERROR(VLOOKUP(B2220,'تقرير المصروفات حسب الشهر'!$C$1143:$AD$1254,20,FALSE),0)</f>
        <v>0</v>
      </c>
      <c r="M2220" s="292">
        <f>IFERROR(VLOOKUP(B2220,'تقرير المصروفات حسب الشهر'!$C$1270:$AD$1381,20,FALSE),0)</f>
        <v>0</v>
      </c>
      <c r="N2220" s="31" t="e">
        <f>#REF!</f>
        <v>#REF!</v>
      </c>
      <c r="O2220" s="37" t="e">
        <f t="shared" si="55"/>
        <v>#REF!</v>
      </c>
    </row>
    <row r="2221" spans="2:15" ht="21.6" thickBot="1">
      <c r="B2221" s="29" t="s">
        <v>18</v>
      </c>
      <c r="C2221" s="41" t="e">
        <f>SUM(C2112:C2220)</f>
        <v>#REF!</v>
      </c>
      <c r="D2221" s="41" t="e">
        <f t="shared" ref="D2221:O2221" si="56">SUM(D2112:D2220)</f>
        <v>#REF!</v>
      </c>
      <c r="E2221" s="41" t="e">
        <f t="shared" si="56"/>
        <v>#REF!</v>
      </c>
      <c r="F2221" s="41" t="e">
        <f t="shared" si="56"/>
        <v>#REF!</v>
      </c>
      <c r="G2221" s="41" t="e">
        <f t="shared" si="56"/>
        <v>#REF!</v>
      </c>
      <c r="H2221" s="41" t="e">
        <f t="shared" si="56"/>
        <v>#REF!</v>
      </c>
      <c r="I2221" s="41">
        <f t="shared" si="56"/>
        <v>29254.750000000004</v>
      </c>
      <c r="J2221" s="41">
        <f t="shared" si="56"/>
        <v>29489.399999999998</v>
      </c>
      <c r="K2221" s="41">
        <f t="shared" si="56"/>
        <v>29254.06</v>
      </c>
      <c r="L2221" s="41">
        <f t="shared" si="56"/>
        <v>29651.500000000004</v>
      </c>
      <c r="M2221" s="41">
        <f t="shared" si="56"/>
        <v>32846.6</v>
      </c>
      <c r="N2221" s="41" t="e">
        <f t="shared" si="56"/>
        <v>#REF!</v>
      </c>
      <c r="O2221" s="41" t="e">
        <f t="shared" si="56"/>
        <v>#REF!</v>
      </c>
    </row>
    <row r="2223" spans="2:15" ht="13.8" thickBot="1"/>
    <row r="2224" spans="2:15" ht="31.2" thickTop="1" thickBot="1">
      <c r="B2224" s="643" t="s">
        <v>228</v>
      </c>
      <c r="C2224" s="644"/>
      <c r="D2224" s="644"/>
      <c r="E2224" s="644"/>
      <c r="F2224" s="644"/>
      <c r="G2224" s="644"/>
      <c r="H2224" s="644"/>
      <c r="I2224" s="644"/>
      <c r="J2224" s="644"/>
      <c r="K2224" s="644"/>
      <c r="L2224" s="644"/>
      <c r="M2224" s="644"/>
      <c r="N2224" s="644"/>
      <c r="O2224" s="645"/>
    </row>
    <row r="2225" spans="2:15" ht="17.399999999999999">
      <c r="B2225" s="30" t="s">
        <v>23</v>
      </c>
      <c r="C2225" s="33" t="s">
        <v>0</v>
      </c>
      <c r="D2225" s="33" t="s">
        <v>1</v>
      </c>
      <c r="E2225" s="34" t="s">
        <v>2</v>
      </c>
      <c r="F2225" s="34" t="s">
        <v>3</v>
      </c>
      <c r="G2225" s="34" t="s">
        <v>4</v>
      </c>
      <c r="H2225" s="34" t="s">
        <v>5</v>
      </c>
      <c r="I2225" s="34" t="s">
        <v>6</v>
      </c>
      <c r="J2225" s="34" t="s">
        <v>7</v>
      </c>
      <c r="K2225" s="34" t="s">
        <v>8</v>
      </c>
      <c r="L2225" s="34" t="s">
        <v>9</v>
      </c>
      <c r="M2225" s="34" t="s">
        <v>10</v>
      </c>
      <c r="N2225" s="35" t="s">
        <v>11</v>
      </c>
      <c r="O2225" s="36" t="s">
        <v>18</v>
      </c>
    </row>
    <row r="2226" spans="2:15" ht="17.399999999999999">
      <c r="B2226" s="42" t="s">
        <v>40</v>
      </c>
      <c r="C2226" s="39" t="e">
        <f>#REF!</f>
        <v>#REF!</v>
      </c>
      <c r="D2226" s="31" t="e">
        <f>#REF!</f>
        <v>#REF!</v>
      </c>
      <c r="E2226" s="31" t="e">
        <f>#REF!</f>
        <v>#REF!</v>
      </c>
      <c r="F2226" s="31" t="e">
        <f>#REF!</f>
        <v>#REF!</v>
      </c>
      <c r="G2226" s="31" t="e">
        <f>#REF!</f>
        <v>#REF!</v>
      </c>
      <c r="H2226" s="31" t="e">
        <f>#REF!</f>
        <v>#REF!</v>
      </c>
      <c r="I2226" s="31">
        <f>'تقرير المصروفات حسب الشهر'!W763</f>
        <v>0</v>
      </c>
      <c r="J2226" s="31">
        <f>'تقرير المصروفات حسب الشهر'!W890</f>
        <v>0</v>
      </c>
      <c r="K2226" s="31">
        <f>'تقرير المصروفات حسب الشهر'!W1017</f>
        <v>0</v>
      </c>
      <c r="L2226" s="292">
        <f>IFERROR(VLOOKUP(B2226,'تقرير المصروفات حسب الشهر'!$C$1143:$AD$1254,21,FALSE),0)</f>
        <v>0</v>
      </c>
      <c r="M2226" s="292">
        <f>IFERROR(VLOOKUP(B2226,'تقرير المصروفات حسب الشهر'!$C$1270:$AD$1381,21,FALSE),0)</f>
        <v>0</v>
      </c>
      <c r="N2226" s="31" t="e">
        <f>#REF!</f>
        <v>#REF!</v>
      </c>
      <c r="O2226" s="37" t="e">
        <f>SUM(C2226:N2226)</f>
        <v>#REF!</v>
      </c>
    </row>
    <row r="2227" spans="2:15" ht="17.399999999999999">
      <c r="B2227" s="42" t="s">
        <v>41</v>
      </c>
      <c r="C2227" s="39" t="e">
        <f>#REF!</f>
        <v>#REF!</v>
      </c>
      <c r="D2227" s="31" t="e">
        <f>#REF!</f>
        <v>#REF!</v>
      </c>
      <c r="E2227" s="31" t="e">
        <f>#REF!</f>
        <v>#REF!</v>
      </c>
      <c r="F2227" s="31" t="e">
        <f>#REF!</f>
        <v>#REF!</v>
      </c>
      <c r="G2227" s="31" t="e">
        <f>#REF!</f>
        <v>#REF!</v>
      </c>
      <c r="H2227" s="31" t="e">
        <f>#REF!</f>
        <v>#REF!</v>
      </c>
      <c r="I2227" s="31">
        <f>'تقرير المصروفات حسب الشهر'!W764</f>
        <v>7637.6900000000005</v>
      </c>
      <c r="J2227" s="31">
        <f>'تقرير المصروفات حسب الشهر'!W891</f>
        <v>8043.64</v>
      </c>
      <c r="K2227" s="31">
        <f>'تقرير المصروفات حسب الشهر'!W1018</f>
        <v>7507.4</v>
      </c>
      <c r="L2227" s="292">
        <f>IFERROR(VLOOKUP(B2227,'تقرير المصروفات حسب الشهر'!$C$1143:$AD$1254,21,FALSE),0)</f>
        <v>7415.7699999999995</v>
      </c>
      <c r="M2227" s="292">
        <f>IFERROR(VLOOKUP(B2227,'تقرير المصروفات حسب الشهر'!$C$1270:$AD$1381,21,FALSE),0)</f>
        <v>9037.15</v>
      </c>
      <c r="N2227" s="31" t="e">
        <f>#REF!</f>
        <v>#REF!</v>
      </c>
      <c r="O2227" s="37" t="e">
        <f t="shared" ref="O2227:O2290" si="57">SUM(C2227:N2227)</f>
        <v>#REF!</v>
      </c>
    </row>
    <row r="2228" spans="2:15" ht="17.399999999999999">
      <c r="B2228" s="42" t="s">
        <v>26</v>
      </c>
      <c r="C2228" s="39" t="e">
        <f>#REF!</f>
        <v>#REF!</v>
      </c>
      <c r="D2228" s="31" t="e">
        <f>#REF!</f>
        <v>#REF!</v>
      </c>
      <c r="E2228" s="31" t="e">
        <f>#REF!</f>
        <v>#REF!</v>
      </c>
      <c r="F2228" s="31" t="e">
        <f>#REF!</f>
        <v>#REF!</v>
      </c>
      <c r="G2228" s="31" t="e">
        <f>#REF!</f>
        <v>#REF!</v>
      </c>
      <c r="H2228" s="31" t="e">
        <f>#REF!</f>
        <v>#REF!</v>
      </c>
      <c r="I2228" s="31">
        <f>'تقرير المصروفات حسب الشهر'!W765</f>
        <v>0</v>
      </c>
      <c r="J2228" s="31">
        <f>'تقرير المصروفات حسب الشهر'!W892</f>
        <v>0</v>
      </c>
      <c r="K2228" s="31">
        <f>'تقرير المصروفات حسب الشهر'!W1019</f>
        <v>0</v>
      </c>
      <c r="L2228" s="292">
        <f>IFERROR(VLOOKUP(B2228,'تقرير المصروفات حسب الشهر'!$C$1143:$AD$1254,21,FALSE),0)</f>
        <v>0</v>
      </c>
      <c r="M2228" s="292">
        <f>IFERROR(VLOOKUP(B2228,'تقرير المصروفات حسب الشهر'!$C$1270:$AD$1381,21,FALSE),0)</f>
        <v>0</v>
      </c>
      <c r="N2228" s="31" t="e">
        <f>#REF!</f>
        <v>#REF!</v>
      </c>
      <c r="O2228" s="37" t="e">
        <f t="shared" si="57"/>
        <v>#REF!</v>
      </c>
    </row>
    <row r="2229" spans="2:15" ht="17.399999999999999">
      <c r="B2229" s="42" t="s">
        <v>27</v>
      </c>
      <c r="C2229" s="39" t="e">
        <f>#REF!</f>
        <v>#REF!</v>
      </c>
      <c r="D2229" s="31" t="e">
        <f>#REF!</f>
        <v>#REF!</v>
      </c>
      <c r="E2229" s="31" t="e">
        <f>#REF!</f>
        <v>#REF!</v>
      </c>
      <c r="F2229" s="31" t="e">
        <f>#REF!</f>
        <v>#REF!</v>
      </c>
      <c r="G2229" s="31" t="e">
        <f>#REF!</f>
        <v>#REF!</v>
      </c>
      <c r="H2229" s="31" t="e">
        <f>#REF!</f>
        <v>#REF!</v>
      </c>
      <c r="I2229" s="31">
        <f>'تقرير المصروفات حسب الشهر'!W766</f>
        <v>0</v>
      </c>
      <c r="J2229" s="31">
        <f>'تقرير المصروفات حسب الشهر'!W893</f>
        <v>0</v>
      </c>
      <c r="K2229" s="31">
        <f>'تقرير المصروفات حسب الشهر'!W1020</f>
        <v>0</v>
      </c>
      <c r="L2229" s="292">
        <f>IFERROR(VLOOKUP(B2229,'تقرير المصروفات حسب الشهر'!$C$1143:$AD$1254,21,FALSE),0)</f>
        <v>0</v>
      </c>
      <c r="M2229" s="292">
        <f>IFERROR(VLOOKUP(B2229,'تقرير المصروفات حسب الشهر'!$C$1270:$AD$1381,21,FALSE),0)</f>
        <v>0</v>
      </c>
      <c r="N2229" s="31" t="e">
        <f>#REF!</f>
        <v>#REF!</v>
      </c>
      <c r="O2229" s="37" t="e">
        <f t="shared" si="57"/>
        <v>#REF!</v>
      </c>
    </row>
    <row r="2230" spans="2:15" ht="17.399999999999999">
      <c r="B2230" s="42" t="s">
        <v>42</v>
      </c>
      <c r="C2230" s="39" t="e">
        <f>#REF!</f>
        <v>#REF!</v>
      </c>
      <c r="D2230" s="31" t="e">
        <f>#REF!</f>
        <v>#REF!</v>
      </c>
      <c r="E2230" s="31" t="e">
        <f>#REF!</f>
        <v>#REF!</v>
      </c>
      <c r="F2230" s="31" t="e">
        <f>#REF!</f>
        <v>#REF!</v>
      </c>
      <c r="G2230" s="31" t="e">
        <f>#REF!</f>
        <v>#REF!</v>
      </c>
      <c r="H2230" s="31" t="e">
        <f>#REF!</f>
        <v>#REF!</v>
      </c>
      <c r="I2230" s="31">
        <f>'تقرير المصروفات حسب الشهر'!W767</f>
        <v>0</v>
      </c>
      <c r="J2230" s="31">
        <f>'تقرير المصروفات حسب الشهر'!W894</f>
        <v>0</v>
      </c>
      <c r="K2230" s="31">
        <f>'تقرير المصروفات حسب الشهر'!W1021</f>
        <v>0</v>
      </c>
      <c r="L2230" s="292">
        <f>IFERROR(VLOOKUP(B2230,'تقرير المصروفات حسب الشهر'!$C$1143:$AD$1254,21,FALSE),0)</f>
        <v>0</v>
      </c>
      <c r="M2230" s="292">
        <f>IFERROR(VLOOKUP(B2230,'تقرير المصروفات حسب الشهر'!$C$1270:$AD$1381,21,FALSE),0)</f>
        <v>0</v>
      </c>
      <c r="N2230" s="31" t="e">
        <f>#REF!</f>
        <v>#REF!</v>
      </c>
      <c r="O2230" s="37" t="e">
        <f t="shared" si="57"/>
        <v>#REF!</v>
      </c>
    </row>
    <row r="2231" spans="2:15" ht="17.399999999999999">
      <c r="B2231" s="42" t="s">
        <v>43</v>
      </c>
      <c r="C2231" s="39" t="e">
        <f>#REF!</f>
        <v>#REF!</v>
      </c>
      <c r="D2231" s="31" t="e">
        <f>#REF!</f>
        <v>#REF!</v>
      </c>
      <c r="E2231" s="31" t="e">
        <f>#REF!</f>
        <v>#REF!</v>
      </c>
      <c r="F2231" s="31" t="e">
        <f>#REF!</f>
        <v>#REF!</v>
      </c>
      <c r="G2231" s="31" t="e">
        <f>#REF!</f>
        <v>#REF!</v>
      </c>
      <c r="H2231" s="31" t="e">
        <f>#REF!</f>
        <v>#REF!</v>
      </c>
      <c r="I2231" s="31">
        <f>'تقرير المصروفات حسب الشهر'!W768</f>
        <v>0</v>
      </c>
      <c r="J2231" s="31">
        <f>'تقرير المصروفات حسب الشهر'!W895</f>
        <v>0</v>
      </c>
      <c r="K2231" s="31">
        <f>'تقرير المصروفات حسب الشهر'!W1022</f>
        <v>0</v>
      </c>
      <c r="L2231" s="292">
        <f>IFERROR(VLOOKUP(B2231,'تقرير المصروفات حسب الشهر'!$C$1143:$AD$1254,21,FALSE),0)</f>
        <v>0</v>
      </c>
      <c r="M2231" s="292">
        <f>IFERROR(VLOOKUP(B2231,'تقرير المصروفات حسب الشهر'!$C$1270:$AD$1381,21,FALSE),0)</f>
        <v>0</v>
      </c>
      <c r="N2231" s="31" t="e">
        <f>#REF!</f>
        <v>#REF!</v>
      </c>
      <c r="O2231" s="37" t="e">
        <f t="shared" si="57"/>
        <v>#REF!</v>
      </c>
    </row>
    <row r="2232" spans="2:15" ht="17.399999999999999">
      <c r="B2232" s="42" t="s">
        <v>44</v>
      </c>
      <c r="C2232" s="39" t="e">
        <f>#REF!</f>
        <v>#REF!</v>
      </c>
      <c r="D2232" s="31" t="e">
        <f>#REF!</f>
        <v>#REF!</v>
      </c>
      <c r="E2232" s="31" t="e">
        <f>#REF!</f>
        <v>#REF!</v>
      </c>
      <c r="F2232" s="31" t="e">
        <f>#REF!</f>
        <v>#REF!</v>
      </c>
      <c r="G2232" s="31" t="e">
        <f>#REF!</f>
        <v>#REF!</v>
      </c>
      <c r="H2232" s="31" t="e">
        <f>#REF!</f>
        <v>#REF!</v>
      </c>
      <c r="I2232" s="31">
        <f>'تقرير المصروفات حسب الشهر'!W769</f>
        <v>0</v>
      </c>
      <c r="J2232" s="31">
        <f>'تقرير المصروفات حسب الشهر'!W896</f>
        <v>0</v>
      </c>
      <c r="K2232" s="31">
        <f>'تقرير المصروفات حسب الشهر'!W1023</f>
        <v>0</v>
      </c>
      <c r="L2232" s="292">
        <f>IFERROR(VLOOKUP(B2232,'تقرير المصروفات حسب الشهر'!$C$1143:$AD$1254,21,FALSE),0)</f>
        <v>0</v>
      </c>
      <c r="M2232" s="292">
        <f>IFERROR(VLOOKUP(B2232,'تقرير المصروفات حسب الشهر'!$C$1270:$AD$1381,21,FALSE),0)</f>
        <v>0</v>
      </c>
      <c r="N2232" s="31" t="e">
        <f>#REF!</f>
        <v>#REF!</v>
      </c>
      <c r="O2232" s="37" t="e">
        <f t="shared" si="57"/>
        <v>#REF!</v>
      </c>
    </row>
    <row r="2233" spans="2:15" ht="17.399999999999999">
      <c r="B2233" s="42" t="s">
        <v>45</v>
      </c>
      <c r="C2233" s="39" t="e">
        <f>#REF!</f>
        <v>#REF!</v>
      </c>
      <c r="D2233" s="31" t="e">
        <f>#REF!</f>
        <v>#REF!</v>
      </c>
      <c r="E2233" s="31" t="e">
        <f>#REF!</f>
        <v>#REF!</v>
      </c>
      <c r="F2233" s="31" t="e">
        <f>#REF!</f>
        <v>#REF!</v>
      </c>
      <c r="G2233" s="31" t="e">
        <f>#REF!</f>
        <v>#REF!</v>
      </c>
      <c r="H2233" s="31" t="e">
        <f>#REF!</f>
        <v>#REF!</v>
      </c>
      <c r="I2233" s="31">
        <f>'تقرير المصروفات حسب الشهر'!W770</f>
        <v>0</v>
      </c>
      <c r="J2233" s="31">
        <f>'تقرير المصروفات حسب الشهر'!W897</f>
        <v>0</v>
      </c>
      <c r="K2233" s="31">
        <f>'تقرير المصروفات حسب الشهر'!W1024</f>
        <v>0</v>
      </c>
      <c r="L2233" s="292">
        <f>IFERROR(VLOOKUP(B2233,'تقرير المصروفات حسب الشهر'!$C$1143:$AD$1254,21,FALSE),0)</f>
        <v>0</v>
      </c>
      <c r="M2233" s="292">
        <f>IFERROR(VLOOKUP(B2233,'تقرير المصروفات حسب الشهر'!$C$1270:$AD$1381,21,FALSE),0)</f>
        <v>0</v>
      </c>
      <c r="N2233" s="31" t="e">
        <f>#REF!</f>
        <v>#REF!</v>
      </c>
      <c r="O2233" s="37" t="e">
        <f t="shared" si="57"/>
        <v>#REF!</v>
      </c>
    </row>
    <row r="2234" spans="2:15" ht="17.399999999999999">
      <c r="B2234" s="42" t="s">
        <v>156</v>
      </c>
      <c r="C2234" s="39" t="e">
        <f>#REF!</f>
        <v>#REF!</v>
      </c>
      <c r="D2234" s="31" t="e">
        <f>#REF!</f>
        <v>#REF!</v>
      </c>
      <c r="E2234" s="31" t="e">
        <f>#REF!</f>
        <v>#REF!</v>
      </c>
      <c r="F2234" s="31" t="e">
        <f>#REF!</f>
        <v>#REF!</v>
      </c>
      <c r="G2234" s="31" t="e">
        <f>#REF!</f>
        <v>#REF!</v>
      </c>
      <c r="H2234" s="31" t="e">
        <f>#REF!</f>
        <v>#REF!</v>
      </c>
      <c r="I2234" s="31">
        <f>'تقرير المصروفات حسب الشهر'!W771</f>
        <v>0</v>
      </c>
      <c r="J2234" s="31">
        <f>'تقرير المصروفات حسب الشهر'!W898</f>
        <v>0</v>
      </c>
      <c r="K2234" s="31">
        <f>'تقرير المصروفات حسب الشهر'!W1025</f>
        <v>0</v>
      </c>
      <c r="L2234" s="292">
        <f>IFERROR(VLOOKUP(B2234,'تقرير المصروفات حسب الشهر'!$C$1143:$AD$1254,21,FALSE),0)</f>
        <v>0</v>
      </c>
      <c r="M2234" s="292">
        <f>IFERROR(VLOOKUP(B2234,'تقرير المصروفات حسب الشهر'!$C$1270:$AD$1381,21,FALSE),0)</f>
        <v>0</v>
      </c>
      <c r="N2234" s="31" t="e">
        <f>#REF!</f>
        <v>#REF!</v>
      </c>
      <c r="O2234" s="37" t="e">
        <f t="shared" si="57"/>
        <v>#REF!</v>
      </c>
    </row>
    <row r="2235" spans="2:15" ht="17.399999999999999">
      <c r="B2235" s="42" t="s">
        <v>46</v>
      </c>
      <c r="C2235" s="39" t="e">
        <f>#REF!</f>
        <v>#REF!</v>
      </c>
      <c r="D2235" s="31" t="e">
        <f>#REF!</f>
        <v>#REF!</v>
      </c>
      <c r="E2235" s="31" t="e">
        <f>#REF!</f>
        <v>#REF!</v>
      </c>
      <c r="F2235" s="31" t="e">
        <f>#REF!</f>
        <v>#REF!</v>
      </c>
      <c r="G2235" s="31" t="e">
        <f>#REF!</f>
        <v>#REF!</v>
      </c>
      <c r="H2235" s="31" t="e">
        <f>#REF!</f>
        <v>#REF!</v>
      </c>
      <c r="I2235" s="31">
        <f>'تقرير المصروفات حسب الشهر'!W772</f>
        <v>300</v>
      </c>
      <c r="J2235" s="31">
        <f>'تقرير المصروفات حسب الشهر'!W899</f>
        <v>124</v>
      </c>
      <c r="K2235" s="31">
        <f>'تقرير المصروفات حسب الشهر'!W1026</f>
        <v>65</v>
      </c>
      <c r="L2235" s="292">
        <f>IFERROR(VLOOKUP(B2235,'تقرير المصروفات حسب الشهر'!$C$1143:$AD$1254,21,FALSE),0)</f>
        <v>123.64</v>
      </c>
      <c r="M2235" s="292">
        <f>IFERROR(VLOOKUP(B2235,'تقرير المصروفات حسب الشهر'!$C$1270:$AD$1381,21,FALSE),0)</f>
        <v>123</v>
      </c>
      <c r="N2235" s="31" t="e">
        <f>#REF!</f>
        <v>#REF!</v>
      </c>
      <c r="O2235" s="37" t="e">
        <f t="shared" si="57"/>
        <v>#REF!</v>
      </c>
    </row>
    <row r="2236" spans="2:15" ht="17.399999999999999">
      <c r="B2236" s="42" t="s">
        <v>47</v>
      </c>
      <c r="C2236" s="39" t="e">
        <f>#REF!</f>
        <v>#REF!</v>
      </c>
      <c r="D2236" s="31" t="e">
        <f>#REF!</f>
        <v>#REF!</v>
      </c>
      <c r="E2236" s="31" t="e">
        <f>#REF!</f>
        <v>#REF!</v>
      </c>
      <c r="F2236" s="31" t="e">
        <f>#REF!</f>
        <v>#REF!</v>
      </c>
      <c r="G2236" s="31" t="e">
        <f>#REF!</f>
        <v>#REF!</v>
      </c>
      <c r="H2236" s="31" t="e">
        <f>#REF!</f>
        <v>#REF!</v>
      </c>
      <c r="I2236" s="31">
        <f>'تقرير المصروفات حسب الشهر'!W773</f>
        <v>0</v>
      </c>
      <c r="J2236" s="31">
        <f>'تقرير المصروفات حسب الشهر'!W900</f>
        <v>0</v>
      </c>
      <c r="K2236" s="31">
        <f>'تقرير المصروفات حسب الشهر'!W1027</f>
        <v>0</v>
      </c>
      <c r="L2236" s="292">
        <f>IFERROR(VLOOKUP(B2236,'تقرير المصروفات حسب الشهر'!$C$1143:$AD$1254,21,FALSE),0)</f>
        <v>0</v>
      </c>
      <c r="M2236" s="292">
        <f>IFERROR(VLOOKUP(B2236,'تقرير المصروفات حسب الشهر'!$C$1270:$AD$1381,21,FALSE),0)</f>
        <v>0</v>
      </c>
      <c r="N2236" s="31" t="e">
        <f>#REF!</f>
        <v>#REF!</v>
      </c>
      <c r="O2236" s="37" t="e">
        <f t="shared" si="57"/>
        <v>#REF!</v>
      </c>
    </row>
    <row r="2237" spans="2:15" ht="17.399999999999999">
      <c r="B2237" s="42" t="s">
        <v>48</v>
      </c>
      <c r="C2237" s="39" t="e">
        <f>#REF!</f>
        <v>#REF!</v>
      </c>
      <c r="D2237" s="31" t="e">
        <f>#REF!</f>
        <v>#REF!</v>
      </c>
      <c r="E2237" s="31" t="e">
        <f>#REF!</f>
        <v>#REF!</v>
      </c>
      <c r="F2237" s="31" t="e">
        <f>#REF!</f>
        <v>#REF!</v>
      </c>
      <c r="G2237" s="31" t="e">
        <f>#REF!</f>
        <v>#REF!</v>
      </c>
      <c r="H2237" s="31" t="e">
        <f>#REF!</f>
        <v>#REF!</v>
      </c>
      <c r="I2237" s="31">
        <f>'تقرير المصروفات حسب الشهر'!W774</f>
        <v>0</v>
      </c>
      <c r="J2237" s="31">
        <f>'تقرير المصروفات حسب الشهر'!W901</f>
        <v>0</v>
      </c>
      <c r="K2237" s="31">
        <f>'تقرير المصروفات حسب الشهر'!W1028</f>
        <v>0</v>
      </c>
      <c r="L2237" s="292">
        <f>IFERROR(VLOOKUP(B2237,'تقرير المصروفات حسب الشهر'!$C$1143:$AD$1254,21,FALSE),0)</f>
        <v>0</v>
      </c>
      <c r="M2237" s="292">
        <f>IFERROR(VLOOKUP(B2237,'تقرير المصروفات حسب الشهر'!$C$1270:$AD$1381,21,FALSE),0)</f>
        <v>0</v>
      </c>
      <c r="N2237" s="31" t="e">
        <f>#REF!</f>
        <v>#REF!</v>
      </c>
      <c r="O2237" s="37" t="e">
        <f t="shared" si="57"/>
        <v>#REF!</v>
      </c>
    </row>
    <row r="2238" spans="2:15" ht="17.399999999999999">
      <c r="B2238" s="42" t="s">
        <v>49</v>
      </c>
      <c r="C2238" s="39" t="e">
        <f>#REF!</f>
        <v>#REF!</v>
      </c>
      <c r="D2238" s="31" t="e">
        <f>#REF!</f>
        <v>#REF!</v>
      </c>
      <c r="E2238" s="31" t="e">
        <f>#REF!</f>
        <v>#REF!</v>
      </c>
      <c r="F2238" s="31" t="e">
        <f>#REF!</f>
        <v>#REF!</v>
      </c>
      <c r="G2238" s="31" t="e">
        <f>#REF!</f>
        <v>#REF!</v>
      </c>
      <c r="H2238" s="31" t="e">
        <f>#REF!</f>
        <v>#REF!</v>
      </c>
      <c r="I2238" s="31">
        <f>'تقرير المصروفات حسب الشهر'!W775</f>
        <v>0</v>
      </c>
      <c r="J2238" s="31">
        <f>'تقرير المصروفات حسب الشهر'!W902</f>
        <v>0</v>
      </c>
      <c r="K2238" s="31">
        <f>'تقرير المصروفات حسب الشهر'!W1029</f>
        <v>0</v>
      </c>
      <c r="L2238" s="292">
        <f>IFERROR(VLOOKUP(B2238,'تقرير المصروفات حسب الشهر'!$C$1143:$AD$1254,21,FALSE),0)</f>
        <v>0</v>
      </c>
      <c r="M2238" s="292">
        <f>IFERROR(VLOOKUP(B2238,'تقرير المصروفات حسب الشهر'!$C$1270:$AD$1381,21,FALSE),0)</f>
        <v>0</v>
      </c>
      <c r="N2238" s="31" t="e">
        <f>#REF!</f>
        <v>#REF!</v>
      </c>
      <c r="O2238" s="37" t="e">
        <f t="shared" si="57"/>
        <v>#REF!</v>
      </c>
    </row>
    <row r="2239" spans="2:15" ht="17.399999999999999">
      <c r="B2239" s="42" t="s">
        <v>158</v>
      </c>
      <c r="C2239" s="39" t="e">
        <f>#REF!</f>
        <v>#REF!</v>
      </c>
      <c r="D2239" s="31" t="e">
        <f>#REF!</f>
        <v>#REF!</v>
      </c>
      <c r="E2239" s="31" t="e">
        <f>#REF!</f>
        <v>#REF!</v>
      </c>
      <c r="F2239" s="31" t="e">
        <f>#REF!</f>
        <v>#REF!</v>
      </c>
      <c r="G2239" s="31" t="e">
        <f>#REF!</f>
        <v>#REF!</v>
      </c>
      <c r="H2239" s="31" t="e">
        <f>#REF!</f>
        <v>#REF!</v>
      </c>
      <c r="I2239" s="31">
        <f>'تقرير المصروفات حسب الشهر'!W776</f>
        <v>0</v>
      </c>
      <c r="J2239" s="31">
        <f>'تقرير المصروفات حسب الشهر'!W903</f>
        <v>0</v>
      </c>
      <c r="K2239" s="31">
        <f>'تقرير المصروفات حسب الشهر'!W1030</f>
        <v>0</v>
      </c>
      <c r="L2239" s="292">
        <f>IFERROR(VLOOKUP(B2239,'تقرير المصروفات حسب الشهر'!$C$1143:$AD$1254,21,FALSE),0)</f>
        <v>0</v>
      </c>
      <c r="M2239" s="292">
        <f>IFERROR(VLOOKUP(B2239,'تقرير المصروفات حسب الشهر'!$C$1270:$AD$1381,21,FALSE),0)</f>
        <v>0</v>
      </c>
      <c r="N2239" s="31" t="e">
        <f>#REF!</f>
        <v>#REF!</v>
      </c>
      <c r="O2239" s="37" t="e">
        <f t="shared" si="57"/>
        <v>#REF!</v>
      </c>
    </row>
    <row r="2240" spans="2:15" ht="17.399999999999999">
      <c r="B2240" s="42" t="s">
        <v>50</v>
      </c>
      <c r="C2240" s="39" t="e">
        <f>#REF!</f>
        <v>#REF!</v>
      </c>
      <c r="D2240" s="31" t="e">
        <f>#REF!</f>
        <v>#REF!</v>
      </c>
      <c r="E2240" s="31" t="e">
        <f>#REF!</f>
        <v>#REF!</v>
      </c>
      <c r="F2240" s="31" t="e">
        <f>#REF!</f>
        <v>#REF!</v>
      </c>
      <c r="G2240" s="31" t="e">
        <f>#REF!</f>
        <v>#REF!</v>
      </c>
      <c r="H2240" s="31" t="e">
        <f>#REF!</f>
        <v>#REF!</v>
      </c>
      <c r="I2240" s="31">
        <f>'تقرير المصروفات حسب الشهر'!W777</f>
        <v>0</v>
      </c>
      <c r="J2240" s="31">
        <f>'تقرير المصروفات حسب الشهر'!W904</f>
        <v>770</v>
      </c>
      <c r="K2240" s="31">
        <f>'تقرير المصروفات حسب الشهر'!W1031</f>
        <v>0</v>
      </c>
      <c r="L2240" s="292">
        <f>IFERROR(VLOOKUP(B2240,'تقرير المصروفات حسب الشهر'!$C$1143:$AD$1254,21,FALSE),0)</f>
        <v>770</v>
      </c>
      <c r="M2240" s="292">
        <f>IFERROR(VLOOKUP(B2240,'تقرير المصروفات حسب الشهر'!$C$1270:$AD$1381,21,FALSE),0)</f>
        <v>0</v>
      </c>
      <c r="N2240" s="31" t="e">
        <f>#REF!</f>
        <v>#REF!</v>
      </c>
      <c r="O2240" s="37" t="e">
        <f t="shared" si="57"/>
        <v>#REF!</v>
      </c>
    </row>
    <row r="2241" spans="2:15" ht="17.399999999999999">
      <c r="B2241" s="42" t="s">
        <v>51</v>
      </c>
      <c r="C2241" s="39" t="e">
        <f>#REF!</f>
        <v>#REF!</v>
      </c>
      <c r="D2241" s="31" t="e">
        <f>#REF!</f>
        <v>#REF!</v>
      </c>
      <c r="E2241" s="31" t="e">
        <f>#REF!</f>
        <v>#REF!</v>
      </c>
      <c r="F2241" s="31" t="e">
        <f>#REF!</f>
        <v>#REF!</v>
      </c>
      <c r="G2241" s="31" t="e">
        <f>#REF!</f>
        <v>#REF!</v>
      </c>
      <c r="H2241" s="31" t="e">
        <f>#REF!</f>
        <v>#REF!</v>
      </c>
      <c r="I2241" s="31">
        <f>'تقرير المصروفات حسب الشهر'!W778</f>
        <v>0</v>
      </c>
      <c r="J2241" s="31">
        <f>'تقرير المصروفات حسب الشهر'!W905</f>
        <v>2250</v>
      </c>
      <c r="K2241" s="31">
        <f>'تقرير المصروفات حسب الشهر'!W1032</f>
        <v>0</v>
      </c>
      <c r="L2241" s="292">
        <f>IFERROR(VLOOKUP(B2241,'تقرير المصروفات حسب الشهر'!$C$1143:$AD$1254,21,FALSE),0)</f>
        <v>2250</v>
      </c>
      <c r="M2241" s="292">
        <f>IFERROR(VLOOKUP(B2241,'تقرير المصروفات حسب الشهر'!$C$1270:$AD$1381,21,FALSE),0)</f>
        <v>0</v>
      </c>
      <c r="N2241" s="31" t="e">
        <f>#REF!</f>
        <v>#REF!</v>
      </c>
      <c r="O2241" s="37" t="e">
        <f t="shared" si="57"/>
        <v>#REF!</v>
      </c>
    </row>
    <row r="2242" spans="2:15" ht="17.399999999999999">
      <c r="B2242" s="42" t="s">
        <v>52</v>
      </c>
      <c r="C2242" s="39" t="e">
        <f>#REF!</f>
        <v>#REF!</v>
      </c>
      <c r="D2242" s="31" t="e">
        <f>#REF!</f>
        <v>#REF!</v>
      </c>
      <c r="E2242" s="31" t="e">
        <f>#REF!</f>
        <v>#REF!</v>
      </c>
      <c r="F2242" s="31" t="e">
        <f>#REF!</f>
        <v>#REF!</v>
      </c>
      <c r="G2242" s="31" t="e">
        <f>#REF!</f>
        <v>#REF!</v>
      </c>
      <c r="H2242" s="31" t="e">
        <f>#REF!</f>
        <v>#REF!</v>
      </c>
      <c r="I2242" s="31">
        <f>'تقرير المصروفات حسب الشهر'!W779</f>
        <v>0</v>
      </c>
      <c r="J2242" s="31">
        <f>'تقرير المصروفات حسب الشهر'!W906</f>
        <v>0</v>
      </c>
      <c r="K2242" s="31">
        <f>'تقرير المصروفات حسب الشهر'!W1033</f>
        <v>0</v>
      </c>
      <c r="L2242" s="292">
        <f>IFERROR(VLOOKUP(B2242,'تقرير المصروفات حسب الشهر'!$C$1143:$AD$1254,21,FALSE),0)</f>
        <v>0</v>
      </c>
      <c r="M2242" s="292">
        <f>IFERROR(VLOOKUP(B2242,'تقرير المصروفات حسب الشهر'!$C$1270:$AD$1381,21,FALSE),0)</f>
        <v>0</v>
      </c>
      <c r="N2242" s="31" t="e">
        <f>#REF!</f>
        <v>#REF!</v>
      </c>
      <c r="O2242" s="37" t="e">
        <f t="shared" si="57"/>
        <v>#REF!</v>
      </c>
    </row>
    <row r="2243" spans="2:15" ht="17.399999999999999">
      <c r="B2243" s="42" t="s">
        <v>174</v>
      </c>
      <c r="C2243" s="39" t="e">
        <f>#REF!</f>
        <v>#REF!</v>
      </c>
      <c r="D2243" s="31" t="e">
        <f>#REF!</f>
        <v>#REF!</v>
      </c>
      <c r="E2243" s="31" t="e">
        <f>#REF!</f>
        <v>#REF!</v>
      </c>
      <c r="F2243" s="31" t="e">
        <f>#REF!</f>
        <v>#REF!</v>
      </c>
      <c r="G2243" s="31" t="e">
        <f>#REF!</f>
        <v>#REF!</v>
      </c>
      <c r="H2243" s="31" t="e">
        <f>#REF!</f>
        <v>#REF!</v>
      </c>
      <c r="I2243" s="31">
        <f>'تقرير المصروفات حسب الشهر'!W780</f>
        <v>0</v>
      </c>
      <c r="J2243" s="31">
        <f>'تقرير المصروفات حسب الشهر'!W907</f>
        <v>0</v>
      </c>
      <c r="K2243" s="31">
        <f>'تقرير المصروفات حسب الشهر'!W1034</f>
        <v>0</v>
      </c>
      <c r="L2243" s="292">
        <f>IFERROR(VLOOKUP(B2243,'تقرير المصروفات حسب الشهر'!$C$1143:$AD$1254,21,FALSE),0)</f>
        <v>0</v>
      </c>
      <c r="M2243" s="292">
        <f>IFERROR(VLOOKUP(B2243,'تقرير المصروفات حسب الشهر'!$C$1270:$AD$1381,21,FALSE),0)</f>
        <v>506</v>
      </c>
      <c r="N2243" s="31" t="e">
        <f>#REF!</f>
        <v>#REF!</v>
      </c>
      <c r="O2243" s="37" t="e">
        <f t="shared" si="57"/>
        <v>#REF!</v>
      </c>
    </row>
    <row r="2244" spans="2:15" ht="17.399999999999999">
      <c r="B2244" s="42" t="s">
        <v>53</v>
      </c>
      <c r="C2244" s="39" t="e">
        <f>#REF!</f>
        <v>#REF!</v>
      </c>
      <c r="D2244" s="31" t="e">
        <f>#REF!</f>
        <v>#REF!</v>
      </c>
      <c r="E2244" s="31" t="e">
        <f>#REF!</f>
        <v>#REF!</v>
      </c>
      <c r="F2244" s="31" t="e">
        <f>#REF!</f>
        <v>#REF!</v>
      </c>
      <c r="G2244" s="31" t="e">
        <f>#REF!</f>
        <v>#REF!</v>
      </c>
      <c r="H2244" s="31" t="e">
        <f>#REF!</f>
        <v>#REF!</v>
      </c>
      <c r="I2244" s="31">
        <f>'تقرير المصروفات حسب الشهر'!W781</f>
        <v>0</v>
      </c>
      <c r="J2244" s="31">
        <f>'تقرير المصروفات حسب الشهر'!W908</f>
        <v>0</v>
      </c>
      <c r="K2244" s="31">
        <f>'تقرير المصروفات حسب الشهر'!W1035</f>
        <v>0</v>
      </c>
      <c r="L2244" s="292">
        <f>IFERROR(VLOOKUP(B2244,'تقرير المصروفات حسب الشهر'!$C$1143:$AD$1254,21,FALSE),0)</f>
        <v>0</v>
      </c>
      <c r="M2244" s="292">
        <f>IFERROR(VLOOKUP(B2244,'تقرير المصروفات حسب الشهر'!$C$1270:$AD$1381,21,FALSE),0)</f>
        <v>0</v>
      </c>
      <c r="N2244" s="31" t="e">
        <f>#REF!</f>
        <v>#REF!</v>
      </c>
      <c r="O2244" s="37" t="e">
        <f t="shared" si="57"/>
        <v>#REF!</v>
      </c>
    </row>
    <row r="2245" spans="2:15" ht="17.399999999999999">
      <c r="B2245" s="42" t="s">
        <v>191</v>
      </c>
      <c r="C2245" s="39" t="e">
        <f>#REF!</f>
        <v>#REF!</v>
      </c>
      <c r="D2245" s="31" t="e">
        <f>#REF!</f>
        <v>#REF!</v>
      </c>
      <c r="E2245" s="31" t="e">
        <f>#REF!</f>
        <v>#REF!</v>
      </c>
      <c r="F2245" s="31" t="e">
        <f>#REF!</f>
        <v>#REF!</v>
      </c>
      <c r="G2245" s="31" t="e">
        <f>#REF!</f>
        <v>#REF!</v>
      </c>
      <c r="H2245" s="31" t="e">
        <f>#REF!</f>
        <v>#REF!</v>
      </c>
      <c r="I2245" s="31">
        <f>'تقرير المصروفات حسب الشهر'!W782</f>
        <v>0</v>
      </c>
      <c r="J2245" s="31">
        <f>'تقرير المصروفات حسب الشهر'!W909</f>
        <v>0</v>
      </c>
      <c r="K2245" s="31">
        <f>'تقرير المصروفات حسب الشهر'!W1036</f>
        <v>0</v>
      </c>
      <c r="L2245" s="292">
        <f>IFERROR(VLOOKUP(B2245,'تقرير المصروفات حسب الشهر'!$C$1143:$AD$1254,21,FALSE),0)</f>
        <v>0</v>
      </c>
      <c r="M2245" s="292">
        <f>IFERROR(VLOOKUP(B2245,'تقرير المصروفات حسب الشهر'!$C$1270:$AD$1381,21,FALSE),0)</f>
        <v>0</v>
      </c>
      <c r="N2245" s="31" t="e">
        <f>#REF!</f>
        <v>#REF!</v>
      </c>
      <c r="O2245" s="37" t="e">
        <f t="shared" si="57"/>
        <v>#REF!</v>
      </c>
    </row>
    <row r="2246" spans="2:15" ht="17.399999999999999">
      <c r="B2246" s="42" t="s">
        <v>29</v>
      </c>
      <c r="C2246" s="39" t="e">
        <f>#REF!</f>
        <v>#REF!</v>
      </c>
      <c r="D2246" s="31" t="e">
        <f>#REF!</f>
        <v>#REF!</v>
      </c>
      <c r="E2246" s="31" t="e">
        <f>#REF!</f>
        <v>#REF!</v>
      </c>
      <c r="F2246" s="31" t="e">
        <f>#REF!</f>
        <v>#REF!</v>
      </c>
      <c r="G2246" s="31" t="e">
        <f>#REF!</f>
        <v>#REF!</v>
      </c>
      <c r="H2246" s="31" t="e">
        <f>#REF!</f>
        <v>#REF!</v>
      </c>
      <c r="I2246" s="31">
        <f>'تقرير المصروفات حسب الشهر'!W783</f>
        <v>0</v>
      </c>
      <c r="J2246" s="31">
        <f>'تقرير المصروفات حسب الشهر'!W910</f>
        <v>0</v>
      </c>
      <c r="K2246" s="31">
        <f>'تقرير المصروفات حسب الشهر'!W1037</f>
        <v>0</v>
      </c>
      <c r="L2246" s="292">
        <f>IFERROR(VLOOKUP(B2246,'تقرير المصروفات حسب الشهر'!$C$1143:$AD$1254,21,FALSE),0)</f>
        <v>0</v>
      </c>
      <c r="M2246" s="292">
        <f>IFERROR(VLOOKUP(B2246,'تقرير المصروفات حسب الشهر'!$C$1270:$AD$1381,21,FALSE),0)</f>
        <v>0</v>
      </c>
      <c r="N2246" s="31" t="e">
        <f>#REF!</f>
        <v>#REF!</v>
      </c>
      <c r="O2246" s="37" t="e">
        <f t="shared" si="57"/>
        <v>#REF!</v>
      </c>
    </row>
    <row r="2247" spans="2:15" ht="17.399999999999999">
      <c r="B2247" s="42" t="s">
        <v>54</v>
      </c>
      <c r="C2247" s="39" t="e">
        <f>#REF!</f>
        <v>#REF!</v>
      </c>
      <c r="D2247" s="31" t="e">
        <f>#REF!</f>
        <v>#REF!</v>
      </c>
      <c r="E2247" s="31" t="e">
        <f>#REF!</f>
        <v>#REF!</v>
      </c>
      <c r="F2247" s="31" t="e">
        <f>#REF!</f>
        <v>#REF!</v>
      </c>
      <c r="G2247" s="31" t="e">
        <f>#REF!</f>
        <v>#REF!</v>
      </c>
      <c r="H2247" s="31" t="e">
        <f>#REF!</f>
        <v>#REF!</v>
      </c>
      <c r="I2247" s="31">
        <f>'تقرير المصروفات حسب الشهر'!W784</f>
        <v>0</v>
      </c>
      <c r="J2247" s="31">
        <f>'تقرير المصروفات حسب الشهر'!W911</f>
        <v>0</v>
      </c>
      <c r="K2247" s="31">
        <f>'تقرير المصروفات حسب الشهر'!W1038</f>
        <v>0</v>
      </c>
      <c r="L2247" s="292">
        <f>IFERROR(VLOOKUP(B2247,'تقرير المصروفات حسب الشهر'!$C$1143:$AD$1254,21,FALSE),0)</f>
        <v>0</v>
      </c>
      <c r="M2247" s="292">
        <f>IFERROR(VLOOKUP(B2247,'تقرير المصروفات حسب الشهر'!$C$1270:$AD$1381,21,FALSE),0)</f>
        <v>0</v>
      </c>
      <c r="N2247" s="31" t="e">
        <f>#REF!</f>
        <v>#REF!</v>
      </c>
      <c r="O2247" s="37" t="e">
        <f t="shared" si="57"/>
        <v>#REF!</v>
      </c>
    </row>
    <row r="2248" spans="2:15" ht="17.399999999999999">
      <c r="B2248" s="42" t="s">
        <v>31</v>
      </c>
      <c r="C2248" s="39" t="e">
        <f>#REF!</f>
        <v>#REF!</v>
      </c>
      <c r="D2248" s="31" t="e">
        <f>#REF!</f>
        <v>#REF!</v>
      </c>
      <c r="E2248" s="31" t="e">
        <f>#REF!</f>
        <v>#REF!</v>
      </c>
      <c r="F2248" s="31" t="e">
        <f>#REF!</f>
        <v>#REF!</v>
      </c>
      <c r="G2248" s="31" t="e">
        <f>#REF!</f>
        <v>#REF!</v>
      </c>
      <c r="H2248" s="31" t="e">
        <f>#REF!</f>
        <v>#REF!</v>
      </c>
      <c r="I2248" s="31">
        <f>'تقرير المصروفات حسب الشهر'!W785</f>
        <v>0</v>
      </c>
      <c r="J2248" s="31">
        <f>'تقرير المصروفات حسب الشهر'!W912</f>
        <v>0</v>
      </c>
      <c r="K2248" s="31">
        <f>'تقرير المصروفات حسب الشهر'!W1039</f>
        <v>0</v>
      </c>
      <c r="L2248" s="292">
        <f>IFERROR(VLOOKUP(B2248,'تقرير المصروفات حسب الشهر'!$C$1143:$AD$1254,21,FALSE),0)</f>
        <v>0</v>
      </c>
      <c r="M2248" s="292">
        <f>IFERROR(VLOOKUP(B2248,'تقرير المصروفات حسب الشهر'!$C$1270:$AD$1381,21,FALSE),0)</f>
        <v>0</v>
      </c>
      <c r="N2248" s="31" t="e">
        <f>#REF!</f>
        <v>#REF!</v>
      </c>
      <c r="O2248" s="37" t="e">
        <f t="shared" si="57"/>
        <v>#REF!</v>
      </c>
    </row>
    <row r="2249" spans="2:15" ht="17.399999999999999">
      <c r="B2249" s="42" t="s">
        <v>55</v>
      </c>
      <c r="C2249" s="39" t="e">
        <f>#REF!</f>
        <v>#REF!</v>
      </c>
      <c r="D2249" s="31" t="e">
        <f>#REF!</f>
        <v>#REF!</v>
      </c>
      <c r="E2249" s="31" t="e">
        <f>#REF!</f>
        <v>#REF!</v>
      </c>
      <c r="F2249" s="31" t="e">
        <f>#REF!</f>
        <v>#REF!</v>
      </c>
      <c r="G2249" s="31" t="e">
        <f>#REF!</f>
        <v>#REF!</v>
      </c>
      <c r="H2249" s="31" t="e">
        <f>#REF!</f>
        <v>#REF!</v>
      </c>
      <c r="I2249" s="31">
        <f>'تقرير المصروفات حسب الشهر'!W786</f>
        <v>0</v>
      </c>
      <c r="J2249" s="31">
        <f>'تقرير المصروفات حسب الشهر'!W913</f>
        <v>0</v>
      </c>
      <c r="K2249" s="31">
        <f>'تقرير المصروفات حسب الشهر'!W1040</f>
        <v>0</v>
      </c>
      <c r="L2249" s="292">
        <f>IFERROR(VLOOKUP(B2249,'تقرير المصروفات حسب الشهر'!$C$1143:$AD$1254,21,FALSE),0)</f>
        <v>0</v>
      </c>
      <c r="M2249" s="292">
        <f>IFERROR(VLOOKUP(B2249,'تقرير المصروفات حسب الشهر'!$C$1270:$AD$1381,21,FALSE),0)</f>
        <v>0</v>
      </c>
      <c r="N2249" s="31" t="e">
        <f>#REF!</f>
        <v>#REF!</v>
      </c>
      <c r="O2249" s="37" t="e">
        <f t="shared" si="57"/>
        <v>#REF!</v>
      </c>
    </row>
    <row r="2250" spans="2:15" ht="17.399999999999999">
      <c r="B2250" s="42" t="s">
        <v>56</v>
      </c>
      <c r="C2250" s="39" t="e">
        <f>#REF!</f>
        <v>#REF!</v>
      </c>
      <c r="D2250" s="31" t="e">
        <f>#REF!</f>
        <v>#REF!</v>
      </c>
      <c r="E2250" s="31" t="e">
        <f>#REF!</f>
        <v>#REF!</v>
      </c>
      <c r="F2250" s="31" t="e">
        <f>#REF!</f>
        <v>#REF!</v>
      </c>
      <c r="G2250" s="31" t="e">
        <f>#REF!</f>
        <v>#REF!</v>
      </c>
      <c r="H2250" s="31" t="e">
        <f>#REF!</f>
        <v>#REF!</v>
      </c>
      <c r="I2250" s="31">
        <f>'تقرير المصروفات حسب الشهر'!W787</f>
        <v>0</v>
      </c>
      <c r="J2250" s="31">
        <f>'تقرير المصروفات حسب الشهر'!W914</f>
        <v>0</v>
      </c>
      <c r="K2250" s="31">
        <f>'تقرير المصروفات حسب الشهر'!W1041</f>
        <v>0</v>
      </c>
      <c r="L2250" s="292">
        <f>IFERROR(VLOOKUP(B2250,'تقرير المصروفات حسب الشهر'!$C$1143:$AD$1254,21,FALSE),0)</f>
        <v>0</v>
      </c>
      <c r="M2250" s="292">
        <f>IFERROR(VLOOKUP(B2250,'تقرير المصروفات حسب الشهر'!$C$1270:$AD$1381,21,FALSE),0)</f>
        <v>0</v>
      </c>
      <c r="N2250" s="31" t="e">
        <f>#REF!</f>
        <v>#REF!</v>
      </c>
      <c r="O2250" s="37" t="e">
        <f t="shared" si="57"/>
        <v>#REF!</v>
      </c>
    </row>
    <row r="2251" spans="2:15" ht="17.399999999999999">
      <c r="B2251" s="42" t="s">
        <v>57</v>
      </c>
      <c r="C2251" s="39" t="e">
        <f>#REF!</f>
        <v>#REF!</v>
      </c>
      <c r="D2251" s="31" t="e">
        <f>#REF!</f>
        <v>#REF!</v>
      </c>
      <c r="E2251" s="31" t="e">
        <f>#REF!</f>
        <v>#REF!</v>
      </c>
      <c r="F2251" s="31" t="e">
        <f>#REF!</f>
        <v>#REF!</v>
      </c>
      <c r="G2251" s="31" t="e">
        <f>#REF!</f>
        <v>#REF!</v>
      </c>
      <c r="H2251" s="31" t="e">
        <f>#REF!</f>
        <v>#REF!</v>
      </c>
      <c r="I2251" s="31">
        <f>'تقرير المصروفات حسب الشهر'!W788</f>
        <v>0</v>
      </c>
      <c r="J2251" s="31">
        <f>'تقرير المصروفات حسب الشهر'!W915</f>
        <v>0</v>
      </c>
      <c r="K2251" s="31">
        <f>'تقرير المصروفات حسب الشهر'!W1042</f>
        <v>0</v>
      </c>
      <c r="L2251" s="292">
        <f>IFERROR(VLOOKUP(B2251,'تقرير المصروفات حسب الشهر'!$C$1143:$AD$1254,21,FALSE),0)</f>
        <v>0</v>
      </c>
      <c r="M2251" s="292">
        <f>IFERROR(VLOOKUP(B2251,'تقرير المصروفات حسب الشهر'!$C$1270:$AD$1381,21,FALSE),0)</f>
        <v>0</v>
      </c>
      <c r="N2251" s="31" t="e">
        <f>#REF!</f>
        <v>#REF!</v>
      </c>
      <c r="O2251" s="37" t="e">
        <f t="shared" si="57"/>
        <v>#REF!</v>
      </c>
    </row>
    <row r="2252" spans="2:15" ht="17.399999999999999">
      <c r="B2252" s="42" t="s">
        <v>58</v>
      </c>
      <c r="C2252" s="39" t="e">
        <f>#REF!</f>
        <v>#REF!</v>
      </c>
      <c r="D2252" s="31" t="e">
        <f>#REF!</f>
        <v>#REF!</v>
      </c>
      <c r="E2252" s="31" t="e">
        <f>#REF!</f>
        <v>#REF!</v>
      </c>
      <c r="F2252" s="31" t="e">
        <f>#REF!</f>
        <v>#REF!</v>
      </c>
      <c r="G2252" s="31" t="e">
        <f>#REF!</f>
        <v>#REF!</v>
      </c>
      <c r="H2252" s="31" t="e">
        <f>#REF!</f>
        <v>#REF!</v>
      </c>
      <c r="I2252" s="31">
        <f>'تقرير المصروفات حسب الشهر'!W789</f>
        <v>0</v>
      </c>
      <c r="J2252" s="31">
        <f>'تقرير المصروفات حسب الشهر'!W916</f>
        <v>0</v>
      </c>
      <c r="K2252" s="31">
        <f>'تقرير المصروفات حسب الشهر'!W1043</f>
        <v>0</v>
      </c>
      <c r="L2252" s="292">
        <f>IFERROR(VLOOKUP(B2252,'تقرير المصروفات حسب الشهر'!$C$1143:$AD$1254,21,FALSE),0)</f>
        <v>0</v>
      </c>
      <c r="M2252" s="292">
        <f>IFERROR(VLOOKUP(B2252,'تقرير المصروفات حسب الشهر'!$C$1270:$AD$1381,21,FALSE),0)</f>
        <v>0</v>
      </c>
      <c r="N2252" s="31" t="e">
        <f>#REF!</f>
        <v>#REF!</v>
      </c>
      <c r="O2252" s="37" t="e">
        <f t="shared" si="57"/>
        <v>#REF!</v>
      </c>
    </row>
    <row r="2253" spans="2:15" ht="17.399999999999999">
      <c r="B2253" s="42" t="s">
        <v>59</v>
      </c>
      <c r="C2253" s="39" t="e">
        <f>#REF!</f>
        <v>#REF!</v>
      </c>
      <c r="D2253" s="31" t="e">
        <f>#REF!</f>
        <v>#REF!</v>
      </c>
      <c r="E2253" s="31" t="e">
        <f>#REF!</f>
        <v>#REF!</v>
      </c>
      <c r="F2253" s="31" t="e">
        <f>#REF!</f>
        <v>#REF!</v>
      </c>
      <c r="G2253" s="31" t="e">
        <f>#REF!</f>
        <v>#REF!</v>
      </c>
      <c r="H2253" s="31" t="e">
        <f>#REF!</f>
        <v>#REF!</v>
      </c>
      <c r="I2253" s="31">
        <f>'تقرير المصروفات حسب الشهر'!W790</f>
        <v>0</v>
      </c>
      <c r="J2253" s="31">
        <f>'تقرير المصروفات حسب الشهر'!W917</f>
        <v>0</v>
      </c>
      <c r="K2253" s="31">
        <f>'تقرير المصروفات حسب الشهر'!W1044</f>
        <v>0</v>
      </c>
      <c r="L2253" s="292">
        <f>IFERROR(VLOOKUP(B2253,'تقرير المصروفات حسب الشهر'!$C$1143:$AD$1254,21,FALSE),0)</f>
        <v>0</v>
      </c>
      <c r="M2253" s="292">
        <f>IFERROR(VLOOKUP(B2253,'تقرير المصروفات حسب الشهر'!$C$1270:$AD$1381,21,FALSE),0)</f>
        <v>0</v>
      </c>
      <c r="N2253" s="31" t="e">
        <f>#REF!</f>
        <v>#REF!</v>
      </c>
      <c r="O2253" s="37" t="e">
        <f t="shared" si="57"/>
        <v>#REF!</v>
      </c>
    </row>
    <row r="2254" spans="2:15" ht="17.399999999999999">
      <c r="B2254" s="42" t="s">
        <v>60</v>
      </c>
      <c r="C2254" s="39" t="e">
        <f>#REF!</f>
        <v>#REF!</v>
      </c>
      <c r="D2254" s="31" t="e">
        <f>#REF!</f>
        <v>#REF!</v>
      </c>
      <c r="E2254" s="31" t="e">
        <f>#REF!</f>
        <v>#REF!</v>
      </c>
      <c r="F2254" s="31" t="e">
        <f>#REF!</f>
        <v>#REF!</v>
      </c>
      <c r="G2254" s="31" t="e">
        <f>#REF!</f>
        <v>#REF!</v>
      </c>
      <c r="H2254" s="31" t="e">
        <f>#REF!</f>
        <v>#REF!</v>
      </c>
      <c r="I2254" s="31">
        <f>'تقرير المصروفات حسب الشهر'!W791</f>
        <v>0</v>
      </c>
      <c r="J2254" s="31">
        <f>'تقرير المصروفات حسب الشهر'!W918</f>
        <v>0</v>
      </c>
      <c r="K2254" s="31">
        <f>'تقرير المصروفات حسب الشهر'!W1045</f>
        <v>0</v>
      </c>
      <c r="L2254" s="292">
        <f>IFERROR(VLOOKUP(B2254,'تقرير المصروفات حسب الشهر'!$C$1143:$AD$1254,21,FALSE),0)</f>
        <v>0</v>
      </c>
      <c r="M2254" s="292">
        <f>IFERROR(VLOOKUP(B2254,'تقرير المصروفات حسب الشهر'!$C$1270:$AD$1381,21,FALSE),0)</f>
        <v>0</v>
      </c>
      <c r="N2254" s="31" t="e">
        <f>#REF!</f>
        <v>#REF!</v>
      </c>
      <c r="O2254" s="37" t="e">
        <f t="shared" si="57"/>
        <v>#REF!</v>
      </c>
    </row>
    <row r="2255" spans="2:15" ht="17.399999999999999">
      <c r="B2255" s="42" t="s">
        <v>61</v>
      </c>
      <c r="C2255" s="39" t="e">
        <f>#REF!</f>
        <v>#REF!</v>
      </c>
      <c r="D2255" s="31" t="e">
        <f>#REF!</f>
        <v>#REF!</v>
      </c>
      <c r="E2255" s="31" t="e">
        <f>#REF!</f>
        <v>#REF!</v>
      </c>
      <c r="F2255" s="31" t="e">
        <f>#REF!</f>
        <v>#REF!</v>
      </c>
      <c r="G2255" s="31" t="e">
        <f>#REF!</f>
        <v>#REF!</v>
      </c>
      <c r="H2255" s="31" t="e">
        <f>#REF!</f>
        <v>#REF!</v>
      </c>
      <c r="I2255" s="31">
        <f>'تقرير المصروفات حسب الشهر'!W792</f>
        <v>0</v>
      </c>
      <c r="J2255" s="31">
        <f>'تقرير المصروفات حسب الشهر'!W919</f>
        <v>0</v>
      </c>
      <c r="K2255" s="31">
        <f>'تقرير المصروفات حسب الشهر'!W1046</f>
        <v>0</v>
      </c>
      <c r="L2255" s="292">
        <f>IFERROR(VLOOKUP(B2255,'تقرير المصروفات حسب الشهر'!$C$1143:$AD$1254,21,FALSE),0)</f>
        <v>0</v>
      </c>
      <c r="M2255" s="292">
        <f>IFERROR(VLOOKUP(B2255,'تقرير المصروفات حسب الشهر'!$C$1270:$AD$1381,21,FALSE),0)</f>
        <v>0</v>
      </c>
      <c r="N2255" s="31" t="e">
        <f>#REF!</f>
        <v>#REF!</v>
      </c>
      <c r="O2255" s="37" t="e">
        <f t="shared" si="57"/>
        <v>#REF!</v>
      </c>
    </row>
    <row r="2256" spans="2:15" ht="17.399999999999999">
      <c r="B2256" s="42" t="s">
        <v>62</v>
      </c>
      <c r="C2256" s="39" t="e">
        <f>#REF!</f>
        <v>#REF!</v>
      </c>
      <c r="D2256" s="31" t="e">
        <f>#REF!</f>
        <v>#REF!</v>
      </c>
      <c r="E2256" s="31" t="e">
        <f>#REF!</f>
        <v>#REF!</v>
      </c>
      <c r="F2256" s="31" t="e">
        <f>#REF!</f>
        <v>#REF!</v>
      </c>
      <c r="G2256" s="31" t="e">
        <f>#REF!</f>
        <v>#REF!</v>
      </c>
      <c r="H2256" s="31" t="e">
        <f>#REF!</f>
        <v>#REF!</v>
      </c>
      <c r="I2256" s="31">
        <f>'تقرير المصروفات حسب الشهر'!W793</f>
        <v>0</v>
      </c>
      <c r="J2256" s="31">
        <f>'تقرير المصروفات حسب الشهر'!W920</f>
        <v>0</v>
      </c>
      <c r="K2256" s="31">
        <f>'تقرير المصروفات حسب الشهر'!W1047</f>
        <v>0</v>
      </c>
      <c r="L2256" s="292">
        <f>IFERROR(VLOOKUP(B2256,'تقرير المصروفات حسب الشهر'!$C$1143:$AD$1254,21,FALSE),0)</f>
        <v>0</v>
      </c>
      <c r="M2256" s="292">
        <f>IFERROR(VLOOKUP(B2256,'تقرير المصروفات حسب الشهر'!$C$1270:$AD$1381,21,FALSE),0)</f>
        <v>0</v>
      </c>
      <c r="N2256" s="31" t="e">
        <f>#REF!</f>
        <v>#REF!</v>
      </c>
      <c r="O2256" s="37" t="e">
        <f t="shared" si="57"/>
        <v>#REF!</v>
      </c>
    </row>
    <row r="2257" spans="2:15" ht="17.399999999999999">
      <c r="B2257" s="42" t="s">
        <v>63</v>
      </c>
      <c r="C2257" s="39" t="e">
        <f>#REF!</f>
        <v>#REF!</v>
      </c>
      <c r="D2257" s="31" t="e">
        <f>#REF!</f>
        <v>#REF!</v>
      </c>
      <c r="E2257" s="31" t="e">
        <f>#REF!</f>
        <v>#REF!</v>
      </c>
      <c r="F2257" s="31" t="e">
        <f>#REF!</f>
        <v>#REF!</v>
      </c>
      <c r="G2257" s="31" t="e">
        <f>#REF!</f>
        <v>#REF!</v>
      </c>
      <c r="H2257" s="31" t="e">
        <f>#REF!</f>
        <v>#REF!</v>
      </c>
      <c r="I2257" s="31">
        <f>'تقرير المصروفات حسب الشهر'!W794</f>
        <v>0</v>
      </c>
      <c r="J2257" s="31">
        <f>'تقرير المصروفات حسب الشهر'!W921</f>
        <v>0</v>
      </c>
      <c r="K2257" s="31">
        <f>'تقرير المصروفات حسب الشهر'!W1048</f>
        <v>0</v>
      </c>
      <c r="L2257" s="292">
        <f>IFERROR(VLOOKUP(B2257,'تقرير المصروفات حسب الشهر'!$C$1143:$AD$1254,21,FALSE),0)</f>
        <v>0</v>
      </c>
      <c r="M2257" s="292">
        <f>IFERROR(VLOOKUP(B2257,'تقرير المصروفات حسب الشهر'!$C$1270:$AD$1381,21,FALSE),0)</f>
        <v>0</v>
      </c>
      <c r="N2257" s="31" t="e">
        <f>#REF!</f>
        <v>#REF!</v>
      </c>
      <c r="O2257" s="37" t="e">
        <f t="shared" si="57"/>
        <v>#REF!</v>
      </c>
    </row>
    <row r="2258" spans="2:15" ht="17.399999999999999">
      <c r="B2258" s="42" t="s">
        <v>64</v>
      </c>
      <c r="C2258" s="39" t="e">
        <f>#REF!</f>
        <v>#REF!</v>
      </c>
      <c r="D2258" s="31" t="e">
        <f>#REF!</f>
        <v>#REF!</v>
      </c>
      <c r="E2258" s="31" t="e">
        <f>#REF!</f>
        <v>#REF!</v>
      </c>
      <c r="F2258" s="31" t="e">
        <f>#REF!</f>
        <v>#REF!</v>
      </c>
      <c r="G2258" s="31" t="e">
        <f>#REF!</f>
        <v>#REF!</v>
      </c>
      <c r="H2258" s="31" t="e">
        <f>#REF!</f>
        <v>#REF!</v>
      </c>
      <c r="I2258" s="31">
        <f>'تقرير المصروفات حسب الشهر'!W795</f>
        <v>0</v>
      </c>
      <c r="J2258" s="31">
        <f>'تقرير المصروفات حسب الشهر'!W922</f>
        <v>200</v>
      </c>
      <c r="K2258" s="31">
        <f>'تقرير المصروفات حسب الشهر'!W1049</f>
        <v>0</v>
      </c>
      <c r="L2258" s="292">
        <f>IFERROR(VLOOKUP(B2258,'تقرير المصروفات حسب الشهر'!$C$1143:$AD$1254,21,FALSE),0)</f>
        <v>0</v>
      </c>
      <c r="M2258" s="292">
        <f>IFERROR(VLOOKUP(B2258,'تقرير المصروفات حسب الشهر'!$C$1270:$AD$1381,21,FALSE),0)</f>
        <v>300</v>
      </c>
      <c r="N2258" s="31" t="e">
        <f>#REF!</f>
        <v>#REF!</v>
      </c>
      <c r="O2258" s="37" t="e">
        <f t="shared" si="57"/>
        <v>#REF!</v>
      </c>
    </row>
    <row r="2259" spans="2:15" ht="17.399999999999999">
      <c r="B2259" s="42" t="s">
        <v>28</v>
      </c>
      <c r="C2259" s="39" t="e">
        <f>#REF!</f>
        <v>#REF!</v>
      </c>
      <c r="D2259" s="31" t="e">
        <f>#REF!</f>
        <v>#REF!</v>
      </c>
      <c r="E2259" s="31" t="e">
        <f>#REF!</f>
        <v>#REF!</v>
      </c>
      <c r="F2259" s="31" t="e">
        <f>#REF!</f>
        <v>#REF!</v>
      </c>
      <c r="G2259" s="31" t="e">
        <f>#REF!</f>
        <v>#REF!</v>
      </c>
      <c r="H2259" s="31" t="e">
        <f>#REF!</f>
        <v>#REF!</v>
      </c>
      <c r="I2259" s="31">
        <f>'تقرير المصروفات حسب الشهر'!W796</f>
        <v>0</v>
      </c>
      <c r="J2259" s="31">
        <f>'تقرير المصروفات حسب الشهر'!W923</f>
        <v>0</v>
      </c>
      <c r="K2259" s="31">
        <f>'تقرير المصروفات حسب الشهر'!W1050</f>
        <v>0</v>
      </c>
      <c r="L2259" s="292">
        <f>IFERROR(VLOOKUP(B2259,'تقرير المصروفات حسب الشهر'!$C$1143:$AD$1254,21,FALSE),0)</f>
        <v>0</v>
      </c>
      <c r="M2259" s="292">
        <f>IFERROR(VLOOKUP(B2259,'تقرير المصروفات حسب الشهر'!$C$1270:$AD$1381,21,FALSE),0)</f>
        <v>0</v>
      </c>
      <c r="N2259" s="31" t="e">
        <f>#REF!</f>
        <v>#REF!</v>
      </c>
      <c r="O2259" s="37" t="e">
        <f t="shared" si="57"/>
        <v>#REF!</v>
      </c>
    </row>
    <row r="2260" spans="2:15" ht="17.399999999999999">
      <c r="B2260" s="42" t="s">
        <v>157</v>
      </c>
      <c r="C2260" s="39" t="e">
        <f>#REF!</f>
        <v>#REF!</v>
      </c>
      <c r="D2260" s="31" t="e">
        <f>#REF!</f>
        <v>#REF!</v>
      </c>
      <c r="E2260" s="31" t="e">
        <f>#REF!</f>
        <v>#REF!</v>
      </c>
      <c r="F2260" s="31" t="e">
        <f>#REF!</f>
        <v>#REF!</v>
      </c>
      <c r="G2260" s="31" t="e">
        <f>#REF!</f>
        <v>#REF!</v>
      </c>
      <c r="H2260" s="31" t="e">
        <f>#REF!</f>
        <v>#REF!</v>
      </c>
      <c r="I2260" s="31">
        <f>'تقرير المصروفات حسب الشهر'!W797</f>
        <v>0</v>
      </c>
      <c r="J2260" s="31">
        <f>'تقرير المصروفات حسب الشهر'!W924</f>
        <v>0</v>
      </c>
      <c r="K2260" s="31">
        <f>'تقرير المصروفات حسب الشهر'!W1051</f>
        <v>0</v>
      </c>
      <c r="L2260" s="292">
        <f>IFERROR(VLOOKUP(B2260,'تقرير المصروفات حسب الشهر'!$C$1143:$AD$1254,21,FALSE),0)</f>
        <v>0</v>
      </c>
      <c r="M2260" s="292">
        <f>IFERROR(VLOOKUP(B2260,'تقرير المصروفات حسب الشهر'!$C$1270:$AD$1381,21,FALSE),0)</f>
        <v>0</v>
      </c>
      <c r="N2260" s="31" t="e">
        <f>#REF!</f>
        <v>#REF!</v>
      </c>
      <c r="O2260" s="37" t="e">
        <f t="shared" si="57"/>
        <v>#REF!</v>
      </c>
    </row>
    <row r="2261" spans="2:15" ht="17.399999999999999">
      <c r="B2261" s="42" t="s">
        <v>65</v>
      </c>
      <c r="C2261" s="39" t="e">
        <f>#REF!</f>
        <v>#REF!</v>
      </c>
      <c r="D2261" s="31" t="e">
        <f>#REF!</f>
        <v>#REF!</v>
      </c>
      <c r="E2261" s="31" t="e">
        <f>#REF!</f>
        <v>#REF!</v>
      </c>
      <c r="F2261" s="31" t="e">
        <f>#REF!</f>
        <v>#REF!</v>
      </c>
      <c r="G2261" s="31" t="e">
        <f>#REF!</f>
        <v>#REF!</v>
      </c>
      <c r="H2261" s="31" t="e">
        <f>#REF!</f>
        <v>#REF!</v>
      </c>
      <c r="I2261" s="31">
        <f>'تقرير المصروفات حسب الشهر'!W798</f>
        <v>0</v>
      </c>
      <c r="J2261" s="31">
        <f>'تقرير المصروفات حسب الشهر'!W925</f>
        <v>0</v>
      </c>
      <c r="K2261" s="31">
        <f>'تقرير المصروفات حسب الشهر'!W1052</f>
        <v>0</v>
      </c>
      <c r="L2261" s="292">
        <f>IFERROR(VLOOKUP(B2261,'تقرير المصروفات حسب الشهر'!$C$1143:$AD$1254,21,FALSE),0)</f>
        <v>0</v>
      </c>
      <c r="M2261" s="292">
        <f>IFERROR(VLOOKUP(B2261,'تقرير المصروفات حسب الشهر'!$C$1270:$AD$1381,21,FALSE),0)</f>
        <v>0</v>
      </c>
      <c r="N2261" s="31" t="e">
        <f>#REF!</f>
        <v>#REF!</v>
      </c>
      <c r="O2261" s="37" t="e">
        <f t="shared" si="57"/>
        <v>#REF!</v>
      </c>
    </row>
    <row r="2262" spans="2:15" ht="17.399999999999999">
      <c r="B2262" s="42" t="s">
        <v>66</v>
      </c>
      <c r="C2262" s="39" t="e">
        <f>#REF!</f>
        <v>#REF!</v>
      </c>
      <c r="D2262" s="31" t="e">
        <f>#REF!</f>
        <v>#REF!</v>
      </c>
      <c r="E2262" s="31" t="e">
        <f>#REF!</f>
        <v>#REF!</v>
      </c>
      <c r="F2262" s="31" t="e">
        <f>#REF!</f>
        <v>#REF!</v>
      </c>
      <c r="G2262" s="31" t="e">
        <f>#REF!</f>
        <v>#REF!</v>
      </c>
      <c r="H2262" s="31" t="e">
        <f>#REF!</f>
        <v>#REF!</v>
      </c>
      <c r="I2262" s="31">
        <f>'تقرير المصروفات حسب الشهر'!W799</f>
        <v>0</v>
      </c>
      <c r="J2262" s="31">
        <f>'تقرير المصروفات حسب الشهر'!W926</f>
        <v>0</v>
      </c>
      <c r="K2262" s="31">
        <f>'تقرير المصروفات حسب الشهر'!W1053</f>
        <v>0</v>
      </c>
      <c r="L2262" s="292">
        <f>IFERROR(VLOOKUP(B2262,'تقرير المصروفات حسب الشهر'!$C$1143:$AD$1254,21,FALSE),0)</f>
        <v>0</v>
      </c>
      <c r="M2262" s="292">
        <f>IFERROR(VLOOKUP(B2262,'تقرير المصروفات حسب الشهر'!$C$1270:$AD$1381,21,FALSE),0)</f>
        <v>0</v>
      </c>
      <c r="N2262" s="31" t="e">
        <f>#REF!</f>
        <v>#REF!</v>
      </c>
      <c r="O2262" s="37" t="e">
        <f t="shared" si="57"/>
        <v>#REF!</v>
      </c>
    </row>
    <row r="2263" spans="2:15" ht="17.399999999999999">
      <c r="B2263" s="42" t="s">
        <v>30</v>
      </c>
      <c r="C2263" s="39" t="e">
        <f>#REF!</f>
        <v>#REF!</v>
      </c>
      <c r="D2263" s="31" t="e">
        <f>#REF!</f>
        <v>#REF!</v>
      </c>
      <c r="E2263" s="31" t="e">
        <f>#REF!</f>
        <v>#REF!</v>
      </c>
      <c r="F2263" s="31" t="e">
        <f>#REF!</f>
        <v>#REF!</v>
      </c>
      <c r="G2263" s="31" t="e">
        <f>#REF!</f>
        <v>#REF!</v>
      </c>
      <c r="H2263" s="31" t="e">
        <f>#REF!</f>
        <v>#REF!</v>
      </c>
      <c r="I2263" s="31">
        <f>'تقرير المصروفات حسب الشهر'!W800</f>
        <v>1400.25</v>
      </c>
      <c r="J2263" s="31">
        <f>'تقرير المصروفات حسب الشهر'!W927</f>
        <v>0</v>
      </c>
      <c r="K2263" s="31">
        <f>'تقرير المصروفات حسب الشهر'!W1054</f>
        <v>2888.29</v>
      </c>
      <c r="L2263" s="292">
        <f>IFERROR(VLOOKUP(B2263,'تقرير المصروفات حسب الشهر'!$C$1143:$AD$1254,21,FALSE),0)</f>
        <v>1700</v>
      </c>
      <c r="M2263" s="292">
        <f>IFERROR(VLOOKUP(B2263,'تقرير المصروفات حسب الشهر'!$C$1270:$AD$1381,21,FALSE),0)</f>
        <v>2500</v>
      </c>
      <c r="N2263" s="31" t="e">
        <f>#REF!</f>
        <v>#REF!</v>
      </c>
      <c r="O2263" s="37" t="e">
        <f t="shared" si="57"/>
        <v>#REF!</v>
      </c>
    </row>
    <row r="2264" spans="2:15" ht="17.399999999999999">
      <c r="B2264" s="42" t="s">
        <v>67</v>
      </c>
      <c r="C2264" s="39" t="e">
        <f>#REF!</f>
        <v>#REF!</v>
      </c>
      <c r="D2264" s="31" t="e">
        <f>#REF!</f>
        <v>#REF!</v>
      </c>
      <c r="E2264" s="31" t="e">
        <f>#REF!</f>
        <v>#REF!</v>
      </c>
      <c r="F2264" s="31" t="e">
        <f>#REF!</f>
        <v>#REF!</v>
      </c>
      <c r="G2264" s="31" t="e">
        <f>#REF!</f>
        <v>#REF!</v>
      </c>
      <c r="H2264" s="31" t="e">
        <f>#REF!</f>
        <v>#REF!</v>
      </c>
      <c r="I2264" s="31">
        <f>'تقرير المصروفات حسب الشهر'!W801</f>
        <v>0</v>
      </c>
      <c r="J2264" s="31">
        <f>'تقرير المصروفات حسب الشهر'!W928</f>
        <v>3300</v>
      </c>
      <c r="K2264" s="31">
        <f>'تقرير المصروفات حسب الشهر'!W1055</f>
        <v>0</v>
      </c>
      <c r="L2264" s="292">
        <f>IFERROR(VLOOKUP(B2264,'تقرير المصروفات حسب الشهر'!$C$1143:$AD$1254,21,FALSE),0)</f>
        <v>1320</v>
      </c>
      <c r="M2264" s="292">
        <f>IFERROR(VLOOKUP(B2264,'تقرير المصروفات حسب الشهر'!$C$1270:$AD$1381,21,FALSE),0)</f>
        <v>0</v>
      </c>
      <c r="N2264" s="31" t="e">
        <f>#REF!</f>
        <v>#REF!</v>
      </c>
      <c r="O2264" s="37" t="e">
        <f t="shared" si="57"/>
        <v>#REF!</v>
      </c>
    </row>
    <row r="2265" spans="2:15" ht="17.399999999999999">
      <c r="B2265" s="42" t="s">
        <v>111</v>
      </c>
      <c r="C2265" s="39" t="e">
        <f>#REF!</f>
        <v>#REF!</v>
      </c>
      <c r="D2265" s="31" t="e">
        <f>#REF!</f>
        <v>#REF!</v>
      </c>
      <c r="E2265" s="31" t="e">
        <f>#REF!</f>
        <v>#REF!</v>
      </c>
      <c r="F2265" s="31" t="e">
        <f>#REF!</f>
        <v>#REF!</v>
      </c>
      <c r="G2265" s="31" t="e">
        <f>#REF!</f>
        <v>#REF!</v>
      </c>
      <c r="H2265" s="31" t="e">
        <f>#REF!</f>
        <v>#REF!</v>
      </c>
      <c r="I2265" s="31">
        <f>'تقرير المصروفات حسب الشهر'!W802</f>
        <v>0</v>
      </c>
      <c r="J2265" s="31">
        <f>'تقرير المصروفات حسب الشهر'!W929</f>
        <v>0</v>
      </c>
      <c r="K2265" s="31">
        <f>'تقرير المصروفات حسب الشهر'!W1056</f>
        <v>350</v>
      </c>
      <c r="L2265" s="292">
        <f>IFERROR(VLOOKUP(B2265,'تقرير المصروفات حسب الشهر'!$C$1143:$AD$1254,21,FALSE),0)</f>
        <v>0</v>
      </c>
      <c r="M2265" s="292">
        <f>IFERROR(VLOOKUP(B2265,'تقرير المصروفات حسب الشهر'!$C$1270:$AD$1381,21,FALSE),0)</f>
        <v>0</v>
      </c>
      <c r="N2265" s="31" t="e">
        <f>#REF!</f>
        <v>#REF!</v>
      </c>
      <c r="O2265" s="37" t="e">
        <f t="shared" si="57"/>
        <v>#REF!</v>
      </c>
    </row>
    <row r="2266" spans="2:15" ht="17.399999999999999">
      <c r="B2266" s="42" t="s">
        <v>68</v>
      </c>
      <c r="C2266" s="39" t="e">
        <f>#REF!</f>
        <v>#REF!</v>
      </c>
      <c r="D2266" s="31" t="e">
        <f>#REF!</f>
        <v>#REF!</v>
      </c>
      <c r="E2266" s="31" t="e">
        <f>#REF!</f>
        <v>#REF!</v>
      </c>
      <c r="F2266" s="31" t="e">
        <f>#REF!</f>
        <v>#REF!</v>
      </c>
      <c r="G2266" s="31" t="e">
        <f>#REF!</f>
        <v>#REF!</v>
      </c>
      <c r="H2266" s="31" t="e">
        <f>#REF!</f>
        <v>#REF!</v>
      </c>
      <c r="I2266" s="31">
        <f>'تقرير المصروفات حسب الشهر'!W803</f>
        <v>0</v>
      </c>
      <c r="J2266" s="31">
        <f>'تقرير المصروفات حسب الشهر'!W930</f>
        <v>0</v>
      </c>
      <c r="K2266" s="31">
        <f>'تقرير المصروفات حسب الشهر'!W1057</f>
        <v>0</v>
      </c>
      <c r="L2266" s="292">
        <f>IFERROR(VLOOKUP(B2266,'تقرير المصروفات حسب الشهر'!$C$1143:$AD$1254,21,FALSE),0)</f>
        <v>0</v>
      </c>
      <c r="M2266" s="292">
        <f>IFERROR(VLOOKUP(B2266,'تقرير المصروفات حسب الشهر'!$C$1270:$AD$1381,21,FALSE),0)</f>
        <v>0</v>
      </c>
      <c r="N2266" s="31" t="e">
        <f>#REF!</f>
        <v>#REF!</v>
      </c>
      <c r="O2266" s="37" t="e">
        <f t="shared" si="57"/>
        <v>#REF!</v>
      </c>
    </row>
    <row r="2267" spans="2:15" ht="17.399999999999999">
      <c r="B2267" s="42" t="s">
        <v>69</v>
      </c>
      <c r="C2267" s="39" t="e">
        <f>#REF!</f>
        <v>#REF!</v>
      </c>
      <c r="D2267" s="31" t="e">
        <f>#REF!</f>
        <v>#REF!</v>
      </c>
      <c r="E2267" s="31" t="e">
        <f>#REF!</f>
        <v>#REF!</v>
      </c>
      <c r="F2267" s="31" t="e">
        <f>#REF!</f>
        <v>#REF!</v>
      </c>
      <c r="G2267" s="31" t="e">
        <f>#REF!</f>
        <v>#REF!</v>
      </c>
      <c r="H2267" s="31" t="e">
        <f>#REF!</f>
        <v>#REF!</v>
      </c>
      <c r="I2267" s="31">
        <f>'تقرير المصروفات حسب الشهر'!W804</f>
        <v>0</v>
      </c>
      <c r="J2267" s="31">
        <f>'تقرير المصروفات حسب الشهر'!W931</f>
        <v>0</v>
      </c>
      <c r="K2267" s="31">
        <f>'تقرير المصروفات حسب الشهر'!W1058</f>
        <v>0</v>
      </c>
      <c r="L2267" s="292">
        <f>IFERROR(VLOOKUP(B2267,'تقرير المصروفات حسب الشهر'!$C$1143:$AD$1254,21,FALSE),0)</f>
        <v>0</v>
      </c>
      <c r="M2267" s="292">
        <f>IFERROR(VLOOKUP(B2267,'تقرير المصروفات حسب الشهر'!$C$1270:$AD$1381,21,FALSE),0)</f>
        <v>0</v>
      </c>
      <c r="N2267" s="31" t="e">
        <f>#REF!</f>
        <v>#REF!</v>
      </c>
      <c r="O2267" s="37" t="e">
        <f t="shared" si="57"/>
        <v>#REF!</v>
      </c>
    </row>
    <row r="2268" spans="2:15" ht="17.399999999999999">
      <c r="B2268" s="42" t="s">
        <v>70</v>
      </c>
      <c r="C2268" s="39" t="e">
        <f>#REF!</f>
        <v>#REF!</v>
      </c>
      <c r="D2268" s="31" t="e">
        <f>#REF!</f>
        <v>#REF!</v>
      </c>
      <c r="E2268" s="31" t="e">
        <f>#REF!</f>
        <v>#REF!</v>
      </c>
      <c r="F2268" s="31" t="e">
        <f>#REF!</f>
        <v>#REF!</v>
      </c>
      <c r="G2268" s="31" t="e">
        <f>#REF!</f>
        <v>#REF!</v>
      </c>
      <c r="H2268" s="31" t="e">
        <f>#REF!</f>
        <v>#REF!</v>
      </c>
      <c r="I2268" s="31">
        <f>'تقرير المصروفات حسب الشهر'!W805</f>
        <v>0</v>
      </c>
      <c r="J2268" s="31">
        <f>'تقرير المصروفات حسب الشهر'!W932</f>
        <v>0</v>
      </c>
      <c r="K2268" s="31">
        <f>'تقرير المصروفات حسب الشهر'!W1059</f>
        <v>0</v>
      </c>
      <c r="L2268" s="292">
        <f>IFERROR(VLOOKUP(B2268,'تقرير المصروفات حسب الشهر'!$C$1143:$AD$1254,21,FALSE),0)</f>
        <v>0</v>
      </c>
      <c r="M2268" s="292">
        <f>IFERROR(VLOOKUP(B2268,'تقرير المصروفات حسب الشهر'!$C$1270:$AD$1381,21,FALSE),0)</f>
        <v>0</v>
      </c>
      <c r="N2268" s="31" t="e">
        <f>#REF!</f>
        <v>#REF!</v>
      </c>
      <c r="O2268" s="37" t="e">
        <f t="shared" si="57"/>
        <v>#REF!</v>
      </c>
    </row>
    <row r="2269" spans="2:15" ht="17.399999999999999">
      <c r="B2269" s="42" t="s">
        <v>71</v>
      </c>
      <c r="C2269" s="39" t="e">
        <f>#REF!</f>
        <v>#REF!</v>
      </c>
      <c r="D2269" s="31" t="e">
        <f>#REF!</f>
        <v>#REF!</v>
      </c>
      <c r="E2269" s="31" t="e">
        <f>#REF!</f>
        <v>#REF!</v>
      </c>
      <c r="F2269" s="31" t="e">
        <f>#REF!</f>
        <v>#REF!</v>
      </c>
      <c r="G2269" s="31" t="e">
        <f>#REF!</f>
        <v>#REF!</v>
      </c>
      <c r="H2269" s="31" t="e">
        <f>#REF!</f>
        <v>#REF!</v>
      </c>
      <c r="I2269" s="31">
        <f>'تقرير المصروفات حسب الشهر'!W806</f>
        <v>0</v>
      </c>
      <c r="J2269" s="31">
        <f>'تقرير المصروفات حسب الشهر'!W933</f>
        <v>0</v>
      </c>
      <c r="K2269" s="31">
        <f>'تقرير المصروفات حسب الشهر'!W1060</f>
        <v>0</v>
      </c>
      <c r="L2269" s="292">
        <f>IFERROR(VLOOKUP(B2269,'تقرير المصروفات حسب الشهر'!$C$1143:$AD$1254,21,FALSE),0)</f>
        <v>0</v>
      </c>
      <c r="M2269" s="292">
        <f>IFERROR(VLOOKUP(B2269,'تقرير المصروفات حسب الشهر'!$C$1270:$AD$1381,21,FALSE),0)</f>
        <v>0</v>
      </c>
      <c r="N2269" s="31" t="e">
        <f>#REF!</f>
        <v>#REF!</v>
      </c>
      <c r="O2269" s="37" t="e">
        <f t="shared" si="57"/>
        <v>#REF!</v>
      </c>
    </row>
    <row r="2270" spans="2:15" ht="17.399999999999999">
      <c r="B2270" s="42" t="s">
        <v>159</v>
      </c>
      <c r="C2270" s="39" t="e">
        <f>#REF!</f>
        <v>#REF!</v>
      </c>
      <c r="D2270" s="31" t="e">
        <f>#REF!</f>
        <v>#REF!</v>
      </c>
      <c r="E2270" s="31" t="e">
        <f>#REF!</f>
        <v>#REF!</v>
      </c>
      <c r="F2270" s="31" t="e">
        <f>#REF!</f>
        <v>#REF!</v>
      </c>
      <c r="G2270" s="31" t="e">
        <f>#REF!</f>
        <v>#REF!</v>
      </c>
      <c r="H2270" s="31" t="e">
        <f>#REF!</f>
        <v>#REF!</v>
      </c>
      <c r="I2270" s="31">
        <f>'تقرير المصروفات حسب الشهر'!W807</f>
        <v>0</v>
      </c>
      <c r="J2270" s="31">
        <f>'تقرير المصروفات حسب الشهر'!W934</f>
        <v>0</v>
      </c>
      <c r="K2270" s="31">
        <f>'تقرير المصروفات حسب الشهر'!W1061</f>
        <v>0</v>
      </c>
      <c r="L2270" s="292">
        <f>IFERROR(VLOOKUP(B2270,'تقرير المصروفات حسب الشهر'!$C$1143:$AD$1254,21,FALSE),0)</f>
        <v>0</v>
      </c>
      <c r="M2270" s="292">
        <f>IFERROR(VLOOKUP(B2270,'تقرير المصروفات حسب الشهر'!$C$1270:$AD$1381,21,FALSE),0)</f>
        <v>0</v>
      </c>
      <c r="N2270" s="31" t="e">
        <f>#REF!</f>
        <v>#REF!</v>
      </c>
      <c r="O2270" s="37" t="e">
        <f t="shared" si="57"/>
        <v>#REF!</v>
      </c>
    </row>
    <row r="2271" spans="2:15" ht="17.399999999999999">
      <c r="B2271" s="42" t="s">
        <v>72</v>
      </c>
      <c r="C2271" s="39" t="e">
        <f>#REF!</f>
        <v>#REF!</v>
      </c>
      <c r="D2271" s="31" t="e">
        <f>#REF!</f>
        <v>#REF!</v>
      </c>
      <c r="E2271" s="31" t="e">
        <f>#REF!</f>
        <v>#REF!</v>
      </c>
      <c r="F2271" s="31" t="e">
        <f>#REF!</f>
        <v>#REF!</v>
      </c>
      <c r="G2271" s="31" t="e">
        <f>#REF!</f>
        <v>#REF!</v>
      </c>
      <c r="H2271" s="31" t="e">
        <f>#REF!</f>
        <v>#REF!</v>
      </c>
      <c r="I2271" s="31">
        <f>'تقرير المصروفات حسب الشهر'!W808</f>
        <v>0</v>
      </c>
      <c r="J2271" s="31">
        <f>'تقرير المصروفات حسب الشهر'!W935</f>
        <v>0</v>
      </c>
      <c r="K2271" s="31">
        <f>'تقرير المصروفات حسب الشهر'!W1062</f>
        <v>0</v>
      </c>
      <c r="L2271" s="292">
        <f>IFERROR(VLOOKUP(B2271,'تقرير المصروفات حسب الشهر'!$C$1143:$AD$1254,21,FALSE),0)</f>
        <v>0</v>
      </c>
      <c r="M2271" s="292">
        <f>IFERROR(VLOOKUP(B2271,'تقرير المصروفات حسب الشهر'!$C$1270:$AD$1381,21,FALSE),0)</f>
        <v>0</v>
      </c>
      <c r="N2271" s="31" t="e">
        <f>#REF!</f>
        <v>#REF!</v>
      </c>
      <c r="O2271" s="37" t="e">
        <f t="shared" si="57"/>
        <v>#REF!</v>
      </c>
    </row>
    <row r="2272" spans="2:15" ht="17.399999999999999">
      <c r="B2272" s="42" t="s">
        <v>73</v>
      </c>
      <c r="C2272" s="39" t="e">
        <f>#REF!</f>
        <v>#REF!</v>
      </c>
      <c r="D2272" s="31" t="e">
        <f>#REF!</f>
        <v>#REF!</v>
      </c>
      <c r="E2272" s="31" t="e">
        <f>#REF!</f>
        <v>#REF!</v>
      </c>
      <c r="F2272" s="31" t="e">
        <f>#REF!</f>
        <v>#REF!</v>
      </c>
      <c r="G2272" s="31" t="e">
        <f>#REF!</f>
        <v>#REF!</v>
      </c>
      <c r="H2272" s="31" t="e">
        <f>#REF!</f>
        <v>#REF!</v>
      </c>
      <c r="I2272" s="31">
        <f>'تقرير المصروفات حسب الشهر'!W809</f>
        <v>0</v>
      </c>
      <c r="J2272" s="31">
        <f>'تقرير المصروفات حسب الشهر'!W936</f>
        <v>0</v>
      </c>
      <c r="K2272" s="31">
        <f>'تقرير المصروفات حسب الشهر'!W1063</f>
        <v>0</v>
      </c>
      <c r="L2272" s="292">
        <f>IFERROR(VLOOKUP(B2272,'تقرير المصروفات حسب الشهر'!$C$1143:$AD$1254,21,FALSE),0)</f>
        <v>0</v>
      </c>
      <c r="M2272" s="292">
        <f>IFERROR(VLOOKUP(B2272,'تقرير المصروفات حسب الشهر'!$C$1270:$AD$1381,21,FALSE),0)</f>
        <v>0</v>
      </c>
      <c r="N2272" s="31" t="e">
        <f>#REF!</f>
        <v>#REF!</v>
      </c>
      <c r="O2272" s="37" t="e">
        <f t="shared" si="57"/>
        <v>#REF!</v>
      </c>
    </row>
    <row r="2273" spans="2:15" ht="17.399999999999999">
      <c r="B2273" s="42" t="s">
        <v>74</v>
      </c>
      <c r="C2273" s="39" t="e">
        <f>#REF!</f>
        <v>#REF!</v>
      </c>
      <c r="D2273" s="31" t="e">
        <f>#REF!</f>
        <v>#REF!</v>
      </c>
      <c r="E2273" s="31" t="e">
        <f>#REF!</f>
        <v>#REF!</v>
      </c>
      <c r="F2273" s="31" t="e">
        <f>#REF!</f>
        <v>#REF!</v>
      </c>
      <c r="G2273" s="31" t="e">
        <f>#REF!</f>
        <v>#REF!</v>
      </c>
      <c r="H2273" s="31" t="e">
        <f>#REF!</f>
        <v>#REF!</v>
      </c>
      <c r="I2273" s="31">
        <f>'تقرير المصروفات حسب الشهر'!W810</f>
        <v>0</v>
      </c>
      <c r="J2273" s="31">
        <f>'تقرير المصروفات حسب الشهر'!W937</f>
        <v>0</v>
      </c>
      <c r="K2273" s="31">
        <f>'تقرير المصروفات حسب الشهر'!W1064</f>
        <v>0</v>
      </c>
      <c r="L2273" s="292">
        <f>IFERROR(VLOOKUP(B2273,'تقرير المصروفات حسب الشهر'!$C$1143:$AD$1254,21,FALSE),0)</f>
        <v>0</v>
      </c>
      <c r="M2273" s="292">
        <f>IFERROR(VLOOKUP(B2273,'تقرير المصروفات حسب الشهر'!$C$1270:$AD$1381,21,FALSE),0)</f>
        <v>0</v>
      </c>
      <c r="N2273" s="31" t="e">
        <f>#REF!</f>
        <v>#REF!</v>
      </c>
      <c r="O2273" s="37" t="e">
        <f t="shared" si="57"/>
        <v>#REF!</v>
      </c>
    </row>
    <row r="2274" spans="2:15" ht="17.399999999999999">
      <c r="B2274" s="42" t="s">
        <v>75</v>
      </c>
      <c r="C2274" s="39" t="e">
        <f>#REF!</f>
        <v>#REF!</v>
      </c>
      <c r="D2274" s="31" t="e">
        <f>#REF!</f>
        <v>#REF!</v>
      </c>
      <c r="E2274" s="31" t="e">
        <f>#REF!</f>
        <v>#REF!</v>
      </c>
      <c r="F2274" s="31" t="e">
        <f>#REF!</f>
        <v>#REF!</v>
      </c>
      <c r="G2274" s="31" t="e">
        <f>#REF!</f>
        <v>#REF!</v>
      </c>
      <c r="H2274" s="31" t="e">
        <f>#REF!</f>
        <v>#REF!</v>
      </c>
      <c r="I2274" s="31">
        <f>'تقرير المصروفات حسب الشهر'!W811</f>
        <v>0</v>
      </c>
      <c r="J2274" s="31">
        <f>'تقرير المصروفات حسب الشهر'!W938</f>
        <v>0</v>
      </c>
      <c r="K2274" s="31">
        <f>'تقرير المصروفات حسب الشهر'!W1065</f>
        <v>0</v>
      </c>
      <c r="L2274" s="292">
        <f>IFERROR(VLOOKUP(B2274,'تقرير المصروفات حسب الشهر'!$C$1143:$AD$1254,21,FALSE),0)</f>
        <v>0</v>
      </c>
      <c r="M2274" s="292">
        <f>IFERROR(VLOOKUP(B2274,'تقرير المصروفات حسب الشهر'!$C$1270:$AD$1381,21,FALSE),0)</f>
        <v>0</v>
      </c>
      <c r="N2274" s="31" t="e">
        <f>#REF!</f>
        <v>#REF!</v>
      </c>
      <c r="O2274" s="37" t="e">
        <f t="shared" si="57"/>
        <v>#REF!</v>
      </c>
    </row>
    <row r="2275" spans="2:15" ht="17.399999999999999">
      <c r="B2275" s="42" t="s">
        <v>76</v>
      </c>
      <c r="C2275" s="39" t="e">
        <f>#REF!</f>
        <v>#REF!</v>
      </c>
      <c r="D2275" s="31" t="e">
        <f>#REF!</f>
        <v>#REF!</v>
      </c>
      <c r="E2275" s="31" t="e">
        <f>#REF!</f>
        <v>#REF!</v>
      </c>
      <c r="F2275" s="31" t="e">
        <f>#REF!</f>
        <v>#REF!</v>
      </c>
      <c r="G2275" s="31" t="e">
        <f>#REF!</f>
        <v>#REF!</v>
      </c>
      <c r="H2275" s="31" t="e">
        <f>#REF!</f>
        <v>#REF!</v>
      </c>
      <c r="I2275" s="31">
        <f>'تقرير المصروفات حسب الشهر'!W812</f>
        <v>0</v>
      </c>
      <c r="J2275" s="31">
        <f>'تقرير المصروفات حسب الشهر'!W939</f>
        <v>0</v>
      </c>
      <c r="K2275" s="31">
        <f>'تقرير المصروفات حسب الشهر'!W1066</f>
        <v>0</v>
      </c>
      <c r="L2275" s="292">
        <f>IFERROR(VLOOKUP(B2275,'تقرير المصروفات حسب الشهر'!$C$1143:$AD$1254,21,FALSE),0)</f>
        <v>0</v>
      </c>
      <c r="M2275" s="292">
        <f>IFERROR(VLOOKUP(B2275,'تقرير المصروفات حسب الشهر'!$C$1270:$AD$1381,21,FALSE),0)</f>
        <v>0</v>
      </c>
      <c r="N2275" s="31" t="e">
        <f>#REF!</f>
        <v>#REF!</v>
      </c>
      <c r="O2275" s="37" t="e">
        <f t="shared" si="57"/>
        <v>#REF!</v>
      </c>
    </row>
    <row r="2276" spans="2:15" ht="17.399999999999999">
      <c r="B2276" s="42" t="s">
        <v>77</v>
      </c>
      <c r="C2276" s="39" t="e">
        <f>#REF!</f>
        <v>#REF!</v>
      </c>
      <c r="D2276" s="31" t="e">
        <f>#REF!</f>
        <v>#REF!</v>
      </c>
      <c r="E2276" s="31" t="e">
        <f>#REF!</f>
        <v>#REF!</v>
      </c>
      <c r="F2276" s="31" t="e">
        <f>#REF!</f>
        <v>#REF!</v>
      </c>
      <c r="G2276" s="31" t="e">
        <f>#REF!</f>
        <v>#REF!</v>
      </c>
      <c r="H2276" s="31" t="e">
        <f>#REF!</f>
        <v>#REF!</v>
      </c>
      <c r="I2276" s="31">
        <f>'تقرير المصروفات حسب الشهر'!W813</f>
        <v>0</v>
      </c>
      <c r="J2276" s="31">
        <f>'تقرير المصروفات حسب الشهر'!W940</f>
        <v>0</v>
      </c>
      <c r="K2276" s="31">
        <f>'تقرير المصروفات حسب الشهر'!W1067</f>
        <v>0</v>
      </c>
      <c r="L2276" s="292">
        <f>IFERROR(VLOOKUP(B2276,'تقرير المصروفات حسب الشهر'!$C$1143:$AD$1254,21,FALSE),0)</f>
        <v>0</v>
      </c>
      <c r="M2276" s="292">
        <f>IFERROR(VLOOKUP(B2276,'تقرير المصروفات حسب الشهر'!$C$1270:$AD$1381,21,FALSE),0)</f>
        <v>0</v>
      </c>
      <c r="N2276" s="31" t="e">
        <f>#REF!</f>
        <v>#REF!</v>
      </c>
      <c r="O2276" s="37" t="e">
        <f t="shared" si="57"/>
        <v>#REF!</v>
      </c>
    </row>
    <row r="2277" spans="2:15" ht="17.399999999999999">
      <c r="B2277" s="42" t="s">
        <v>78</v>
      </c>
      <c r="C2277" s="39" t="e">
        <f>#REF!</f>
        <v>#REF!</v>
      </c>
      <c r="D2277" s="31" t="e">
        <f>#REF!</f>
        <v>#REF!</v>
      </c>
      <c r="E2277" s="31" t="e">
        <f>#REF!</f>
        <v>#REF!</v>
      </c>
      <c r="F2277" s="31" t="e">
        <f>#REF!</f>
        <v>#REF!</v>
      </c>
      <c r="G2277" s="31" t="e">
        <f>#REF!</f>
        <v>#REF!</v>
      </c>
      <c r="H2277" s="31" t="e">
        <f>#REF!</f>
        <v>#REF!</v>
      </c>
      <c r="I2277" s="31">
        <f>'تقرير المصروفات حسب الشهر'!W814</f>
        <v>0</v>
      </c>
      <c r="J2277" s="31">
        <f>'تقرير المصروفات حسب الشهر'!W941</f>
        <v>0</v>
      </c>
      <c r="K2277" s="31">
        <f>'تقرير المصروفات حسب الشهر'!W1068</f>
        <v>0</v>
      </c>
      <c r="L2277" s="292">
        <f>IFERROR(VLOOKUP(B2277,'تقرير المصروفات حسب الشهر'!$C$1143:$AD$1254,21,FALSE),0)</f>
        <v>0</v>
      </c>
      <c r="M2277" s="292">
        <f>IFERROR(VLOOKUP(B2277,'تقرير المصروفات حسب الشهر'!$C$1270:$AD$1381,21,FALSE),0)</f>
        <v>0</v>
      </c>
      <c r="N2277" s="31" t="e">
        <f>#REF!</f>
        <v>#REF!</v>
      </c>
      <c r="O2277" s="37" t="e">
        <f t="shared" si="57"/>
        <v>#REF!</v>
      </c>
    </row>
    <row r="2278" spans="2:15" ht="17.399999999999999">
      <c r="B2278" s="42" t="s">
        <v>79</v>
      </c>
      <c r="C2278" s="39" t="e">
        <f>#REF!</f>
        <v>#REF!</v>
      </c>
      <c r="D2278" s="31" t="e">
        <f>#REF!</f>
        <v>#REF!</v>
      </c>
      <c r="E2278" s="31" t="e">
        <f>#REF!</f>
        <v>#REF!</v>
      </c>
      <c r="F2278" s="31" t="e">
        <f>#REF!</f>
        <v>#REF!</v>
      </c>
      <c r="G2278" s="31" t="e">
        <f>#REF!</f>
        <v>#REF!</v>
      </c>
      <c r="H2278" s="31" t="e">
        <f>#REF!</f>
        <v>#REF!</v>
      </c>
      <c r="I2278" s="31">
        <f>'تقرير المصروفات حسب الشهر'!W815</f>
        <v>0</v>
      </c>
      <c r="J2278" s="31">
        <f>'تقرير المصروفات حسب الشهر'!W942</f>
        <v>0</v>
      </c>
      <c r="K2278" s="31">
        <f>'تقرير المصروفات حسب الشهر'!W1069</f>
        <v>0</v>
      </c>
      <c r="L2278" s="292">
        <f>IFERROR(VLOOKUP(B2278,'تقرير المصروفات حسب الشهر'!$C$1143:$AD$1254,21,FALSE),0)</f>
        <v>0</v>
      </c>
      <c r="M2278" s="292">
        <f>IFERROR(VLOOKUP(B2278,'تقرير المصروفات حسب الشهر'!$C$1270:$AD$1381,21,FALSE),0)</f>
        <v>0</v>
      </c>
      <c r="N2278" s="31" t="e">
        <f>#REF!</f>
        <v>#REF!</v>
      </c>
      <c r="O2278" s="37" t="e">
        <f t="shared" si="57"/>
        <v>#REF!</v>
      </c>
    </row>
    <row r="2279" spans="2:15" ht="17.399999999999999">
      <c r="B2279" s="42" t="s">
        <v>80</v>
      </c>
      <c r="C2279" s="39" t="e">
        <f>#REF!</f>
        <v>#REF!</v>
      </c>
      <c r="D2279" s="31" t="e">
        <f>#REF!</f>
        <v>#REF!</v>
      </c>
      <c r="E2279" s="31" t="e">
        <f>#REF!</f>
        <v>#REF!</v>
      </c>
      <c r="F2279" s="31" t="e">
        <f>#REF!</f>
        <v>#REF!</v>
      </c>
      <c r="G2279" s="31" t="e">
        <f>#REF!</f>
        <v>#REF!</v>
      </c>
      <c r="H2279" s="31" t="e">
        <f>#REF!</f>
        <v>#REF!</v>
      </c>
      <c r="I2279" s="31">
        <f>'تقرير المصروفات حسب الشهر'!W816</f>
        <v>0</v>
      </c>
      <c r="J2279" s="31">
        <f>'تقرير المصروفات حسب الشهر'!W943</f>
        <v>0</v>
      </c>
      <c r="K2279" s="31">
        <f>'تقرير المصروفات حسب الشهر'!W1070</f>
        <v>0</v>
      </c>
      <c r="L2279" s="292">
        <f>IFERROR(VLOOKUP(B2279,'تقرير المصروفات حسب الشهر'!$C$1143:$AD$1254,21,FALSE),0)</f>
        <v>0</v>
      </c>
      <c r="M2279" s="292">
        <f>IFERROR(VLOOKUP(B2279,'تقرير المصروفات حسب الشهر'!$C$1270:$AD$1381,21,FALSE),0)</f>
        <v>0</v>
      </c>
      <c r="N2279" s="31" t="e">
        <f>#REF!</f>
        <v>#REF!</v>
      </c>
      <c r="O2279" s="37" t="e">
        <f t="shared" si="57"/>
        <v>#REF!</v>
      </c>
    </row>
    <row r="2280" spans="2:15" ht="17.399999999999999">
      <c r="B2280" s="42" t="s">
        <v>81</v>
      </c>
      <c r="C2280" s="39" t="e">
        <f>#REF!</f>
        <v>#REF!</v>
      </c>
      <c r="D2280" s="31" t="e">
        <f>#REF!</f>
        <v>#REF!</v>
      </c>
      <c r="E2280" s="31" t="e">
        <f>#REF!</f>
        <v>#REF!</v>
      </c>
      <c r="F2280" s="31" t="e">
        <f>#REF!</f>
        <v>#REF!</v>
      </c>
      <c r="G2280" s="31" t="e">
        <f>#REF!</f>
        <v>#REF!</v>
      </c>
      <c r="H2280" s="31" t="e">
        <f>#REF!</f>
        <v>#REF!</v>
      </c>
      <c r="I2280" s="31">
        <f>'تقرير المصروفات حسب الشهر'!W817</f>
        <v>0</v>
      </c>
      <c r="J2280" s="31">
        <f>'تقرير المصروفات حسب الشهر'!W944</f>
        <v>0</v>
      </c>
      <c r="K2280" s="31">
        <f>'تقرير المصروفات حسب الشهر'!W1071</f>
        <v>0</v>
      </c>
      <c r="L2280" s="292">
        <f>IFERROR(VLOOKUP(B2280,'تقرير المصروفات حسب الشهر'!$C$1143:$AD$1254,21,FALSE),0)</f>
        <v>0</v>
      </c>
      <c r="M2280" s="292">
        <f>IFERROR(VLOOKUP(B2280,'تقرير المصروفات حسب الشهر'!$C$1270:$AD$1381,21,FALSE),0)</f>
        <v>0</v>
      </c>
      <c r="N2280" s="31" t="e">
        <f>#REF!</f>
        <v>#REF!</v>
      </c>
      <c r="O2280" s="37" t="e">
        <f t="shared" si="57"/>
        <v>#REF!</v>
      </c>
    </row>
    <row r="2281" spans="2:15" ht="17.399999999999999">
      <c r="B2281" s="42" t="s">
        <v>82</v>
      </c>
      <c r="C2281" s="39" t="e">
        <f>#REF!</f>
        <v>#REF!</v>
      </c>
      <c r="D2281" s="31" t="e">
        <f>#REF!</f>
        <v>#REF!</v>
      </c>
      <c r="E2281" s="31" t="e">
        <f>#REF!</f>
        <v>#REF!</v>
      </c>
      <c r="F2281" s="31" t="e">
        <f>#REF!</f>
        <v>#REF!</v>
      </c>
      <c r="G2281" s="31" t="e">
        <f>#REF!</f>
        <v>#REF!</v>
      </c>
      <c r="H2281" s="31" t="e">
        <f>#REF!</f>
        <v>#REF!</v>
      </c>
      <c r="I2281" s="31">
        <f>'تقرير المصروفات حسب الشهر'!W818</f>
        <v>0</v>
      </c>
      <c r="J2281" s="31">
        <f>'تقرير المصروفات حسب الشهر'!W945</f>
        <v>0</v>
      </c>
      <c r="K2281" s="31">
        <f>'تقرير المصروفات حسب الشهر'!W1072</f>
        <v>0</v>
      </c>
      <c r="L2281" s="292">
        <f>IFERROR(VLOOKUP(B2281,'تقرير المصروفات حسب الشهر'!$C$1143:$AD$1254,21,FALSE),0)</f>
        <v>0</v>
      </c>
      <c r="M2281" s="292">
        <f>IFERROR(VLOOKUP(B2281,'تقرير المصروفات حسب الشهر'!$C$1270:$AD$1381,21,FALSE),0)</f>
        <v>0</v>
      </c>
      <c r="N2281" s="31" t="e">
        <f>#REF!</f>
        <v>#REF!</v>
      </c>
      <c r="O2281" s="37" t="e">
        <f t="shared" si="57"/>
        <v>#REF!</v>
      </c>
    </row>
    <row r="2282" spans="2:15" ht="17.399999999999999">
      <c r="B2282" s="42" t="s">
        <v>83</v>
      </c>
      <c r="C2282" s="39" t="e">
        <f>#REF!</f>
        <v>#REF!</v>
      </c>
      <c r="D2282" s="31" t="e">
        <f>#REF!</f>
        <v>#REF!</v>
      </c>
      <c r="E2282" s="31" t="e">
        <f>#REF!</f>
        <v>#REF!</v>
      </c>
      <c r="F2282" s="31" t="e">
        <f>#REF!</f>
        <v>#REF!</v>
      </c>
      <c r="G2282" s="31" t="e">
        <f>#REF!</f>
        <v>#REF!</v>
      </c>
      <c r="H2282" s="31" t="e">
        <f>#REF!</f>
        <v>#REF!</v>
      </c>
      <c r="I2282" s="31">
        <f>'تقرير المصروفات حسب الشهر'!W819</f>
        <v>0</v>
      </c>
      <c r="J2282" s="31">
        <f>'تقرير المصروفات حسب الشهر'!W946</f>
        <v>0</v>
      </c>
      <c r="K2282" s="31">
        <f>'تقرير المصروفات حسب الشهر'!W1073</f>
        <v>0</v>
      </c>
      <c r="L2282" s="292">
        <f>IFERROR(VLOOKUP(B2282,'تقرير المصروفات حسب الشهر'!$C$1143:$AD$1254,21,FALSE),0)</f>
        <v>0</v>
      </c>
      <c r="M2282" s="292">
        <f>IFERROR(VLOOKUP(B2282,'تقرير المصروفات حسب الشهر'!$C$1270:$AD$1381,21,FALSE),0)</f>
        <v>0</v>
      </c>
      <c r="N2282" s="31" t="e">
        <f>#REF!</f>
        <v>#REF!</v>
      </c>
      <c r="O2282" s="37" t="e">
        <f t="shared" si="57"/>
        <v>#REF!</v>
      </c>
    </row>
    <row r="2283" spans="2:15" ht="17.399999999999999">
      <c r="B2283" s="42" t="s">
        <v>84</v>
      </c>
      <c r="C2283" s="39" t="e">
        <f>#REF!</f>
        <v>#REF!</v>
      </c>
      <c r="D2283" s="31" t="e">
        <f>#REF!</f>
        <v>#REF!</v>
      </c>
      <c r="E2283" s="31" t="e">
        <f>#REF!</f>
        <v>#REF!</v>
      </c>
      <c r="F2283" s="31" t="e">
        <f>#REF!</f>
        <v>#REF!</v>
      </c>
      <c r="G2283" s="31" t="e">
        <f>#REF!</f>
        <v>#REF!</v>
      </c>
      <c r="H2283" s="31" t="e">
        <f>#REF!</f>
        <v>#REF!</v>
      </c>
      <c r="I2283" s="31">
        <f>'تقرير المصروفات حسب الشهر'!W820</f>
        <v>0</v>
      </c>
      <c r="J2283" s="31">
        <f>'تقرير المصروفات حسب الشهر'!W947</f>
        <v>0</v>
      </c>
      <c r="K2283" s="31">
        <f>'تقرير المصروفات حسب الشهر'!W1074</f>
        <v>0</v>
      </c>
      <c r="L2283" s="292">
        <f>IFERROR(VLOOKUP(B2283,'تقرير المصروفات حسب الشهر'!$C$1143:$AD$1254,21,FALSE),0)</f>
        <v>0</v>
      </c>
      <c r="M2283" s="292">
        <f>IFERROR(VLOOKUP(B2283,'تقرير المصروفات حسب الشهر'!$C$1270:$AD$1381,21,FALSE),0)</f>
        <v>0</v>
      </c>
      <c r="N2283" s="31" t="e">
        <f>#REF!</f>
        <v>#REF!</v>
      </c>
      <c r="O2283" s="37" t="e">
        <f t="shared" si="57"/>
        <v>#REF!</v>
      </c>
    </row>
    <row r="2284" spans="2:15" ht="17.399999999999999">
      <c r="B2284" s="42" t="s">
        <v>85</v>
      </c>
      <c r="C2284" s="39" t="e">
        <f>#REF!</f>
        <v>#REF!</v>
      </c>
      <c r="D2284" s="31" t="e">
        <f>#REF!</f>
        <v>#REF!</v>
      </c>
      <c r="E2284" s="31" t="e">
        <f>#REF!</f>
        <v>#REF!</v>
      </c>
      <c r="F2284" s="31" t="e">
        <f>#REF!</f>
        <v>#REF!</v>
      </c>
      <c r="G2284" s="31" t="e">
        <f>#REF!</f>
        <v>#REF!</v>
      </c>
      <c r="H2284" s="31" t="e">
        <f>#REF!</f>
        <v>#REF!</v>
      </c>
      <c r="I2284" s="31">
        <f>'تقرير المصروفات حسب الشهر'!W821</f>
        <v>0</v>
      </c>
      <c r="J2284" s="31">
        <f>'تقرير المصروفات حسب الشهر'!W948</f>
        <v>300</v>
      </c>
      <c r="K2284" s="31">
        <f>'تقرير المصروفات حسب الشهر'!W1075</f>
        <v>200</v>
      </c>
      <c r="L2284" s="292">
        <f>IFERROR(VLOOKUP(B2284,'تقرير المصروفات حسب الشهر'!$C$1143:$AD$1254,21,FALSE),0)</f>
        <v>200</v>
      </c>
      <c r="M2284" s="292">
        <f>IFERROR(VLOOKUP(B2284,'تقرير المصروفات حسب الشهر'!$C$1270:$AD$1381,21,FALSE),0)</f>
        <v>200</v>
      </c>
      <c r="N2284" s="31" t="e">
        <f>#REF!</f>
        <v>#REF!</v>
      </c>
      <c r="O2284" s="37" t="e">
        <f t="shared" si="57"/>
        <v>#REF!</v>
      </c>
    </row>
    <row r="2285" spans="2:15" ht="17.399999999999999">
      <c r="B2285" s="42" t="s">
        <v>86</v>
      </c>
      <c r="C2285" s="39" t="e">
        <f>#REF!</f>
        <v>#REF!</v>
      </c>
      <c r="D2285" s="31" t="e">
        <f>#REF!</f>
        <v>#REF!</v>
      </c>
      <c r="E2285" s="31" t="e">
        <f>#REF!</f>
        <v>#REF!</v>
      </c>
      <c r="F2285" s="31" t="e">
        <f>#REF!</f>
        <v>#REF!</v>
      </c>
      <c r="G2285" s="31" t="e">
        <f>#REF!</f>
        <v>#REF!</v>
      </c>
      <c r="H2285" s="31" t="e">
        <f>#REF!</f>
        <v>#REF!</v>
      </c>
      <c r="I2285" s="31">
        <f>'تقرير المصروفات حسب الشهر'!W822</f>
        <v>0</v>
      </c>
      <c r="J2285" s="31">
        <f>'تقرير المصروفات حسب الشهر'!W949</f>
        <v>0</v>
      </c>
      <c r="K2285" s="31">
        <f>'تقرير المصروفات حسب الشهر'!W1076</f>
        <v>0</v>
      </c>
      <c r="L2285" s="292">
        <f>IFERROR(VLOOKUP(B2285,'تقرير المصروفات حسب الشهر'!$C$1143:$AD$1254,21,FALSE),0)</f>
        <v>0</v>
      </c>
      <c r="M2285" s="292">
        <f>IFERROR(VLOOKUP(B2285,'تقرير المصروفات حسب الشهر'!$C$1270:$AD$1381,21,FALSE),0)</f>
        <v>0</v>
      </c>
      <c r="N2285" s="31" t="e">
        <f>#REF!</f>
        <v>#REF!</v>
      </c>
      <c r="O2285" s="37" t="e">
        <f t="shared" si="57"/>
        <v>#REF!</v>
      </c>
    </row>
    <row r="2286" spans="2:15" ht="17.399999999999999">
      <c r="B2286" s="42" t="s">
        <v>87</v>
      </c>
      <c r="C2286" s="39" t="e">
        <f>#REF!</f>
        <v>#REF!</v>
      </c>
      <c r="D2286" s="31" t="e">
        <f>#REF!</f>
        <v>#REF!</v>
      </c>
      <c r="E2286" s="31" t="e">
        <f>#REF!</f>
        <v>#REF!</v>
      </c>
      <c r="F2286" s="31" t="e">
        <f>#REF!</f>
        <v>#REF!</v>
      </c>
      <c r="G2286" s="31" t="e">
        <f>#REF!</f>
        <v>#REF!</v>
      </c>
      <c r="H2286" s="31" t="e">
        <f>#REF!</f>
        <v>#REF!</v>
      </c>
      <c r="I2286" s="31">
        <f>'تقرير المصروفات حسب الشهر'!W823</f>
        <v>0</v>
      </c>
      <c r="J2286" s="31">
        <f>'تقرير المصروفات حسب الشهر'!W950</f>
        <v>0</v>
      </c>
      <c r="K2286" s="31">
        <f>'تقرير المصروفات حسب الشهر'!W1077</f>
        <v>0</v>
      </c>
      <c r="L2286" s="292">
        <f>IFERROR(VLOOKUP(B2286,'تقرير المصروفات حسب الشهر'!$C$1143:$AD$1254,21,FALSE),0)</f>
        <v>0</v>
      </c>
      <c r="M2286" s="292">
        <f>IFERROR(VLOOKUP(B2286,'تقرير المصروفات حسب الشهر'!$C$1270:$AD$1381,21,FALSE),0)</f>
        <v>0</v>
      </c>
      <c r="N2286" s="31" t="e">
        <f>#REF!</f>
        <v>#REF!</v>
      </c>
      <c r="O2286" s="37" t="e">
        <f t="shared" si="57"/>
        <v>#REF!</v>
      </c>
    </row>
    <row r="2287" spans="2:15" ht="17.399999999999999">
      <c r="B2287" s="42" t="s">
        <v>88</v>
      </c>
      <c r="C2287" s="39" t="e">
        <f>#REF!</f>
        <v>#REF!</v>
      </c>
      <c r="D2287" s="31" t="e">
        <f>#REF!</f>
        <v>#REF!</v>
      </c>
      <c r="E2287" s="31" t="e">
        <f>#REF!</f>
        <v>#REF!</v>
      </c>
      <c r="F2287" s="31" t="e">
        <f>#REF!</f>
        <v>#REF!</v>
      </c>
      <c r="G2287" s="31" t="e">
        <f>#REF!</f>
        <v>#REF!</v>
      </c>
      <c r="H2287" s="31" t="e">
        <f>#REF!</f>
        <v>#REF!</v>
      </c>
      <c r="I2287" s="31">
        <f>'تقرير المصروفات حسب الشهر'!W824</f>
        <v>0</v>
      </c>
      <c r="J2287" s="31">
        <f>'تقرير المصروفات حسب الشهر'!W951</f>
        <v>0</v>
      </c>
      <c r="K2287" s="31">
        <f>'تقرير المصروفات حسب الشهر'!W1078</f>
        <v>0</v>
      </c>
      <c r="L2287" s="292">
        <f>IFERROR(VLOOKUP(B2287,'تقرير المصروفات حسب الشهر'!$C$1143:$AD$1254,21,FALSE),0)</f>
        <v>0</v>
      </c>
      <c r="M2287" s="292">
        <f>IFERROR(VLOOKUP(B2287,'تقرير المصروفات حسب الشهر'!$C$1270:$AD$1381,21,FALSE),0)</f>
        <v>0</v>
      </c>
      <c r="N2287" s="31" t="e">
        <f>#REF!</f>
        <v>#REF!</v>
      </c>
      <c r="O2287" s="37" t="e">
        <f t="shared" si="57"/>
        <v>#REF!</v>
      </c>
    </row>
    <row r="2288" spans="2:15" ht="17.399999999999999">
      <c r="B2288" s="42" t="s">
        <v>89</v>
      </c>
      <c r="C2288" s="39" t="e">
        <f>#REF!</f>
        <v>#REF!</v>
      </c>
      <c r="D2288" s="31" t="e">
        <f>#REF!</f>
        <v>#REF!</v>
      </c>
      <c r="E2288" s="31" t="e">
        <f>#REF!</f>
        <v>#REF!</v>
      </c>
      <c r="F2288" s="31" t="e">
        <f>#REF!</f>
        <v>#REF!</v>
      </c>
      <c r="G2288" s="31" t="e">
        <f>#REF!</f>
        <v>#REF!</v>
      </c>
      <c r="H2288" s="31" t="e">
        <f>#REF!</f>
        <v>#REF!</v>
      </c>
      <c r="I2288" s="31">
        <f>'تقرير المصروفات حسب الشهر'!W825</f>
        <v>0</v>
      </c>
      <c r="J2288" s="31">
        <f>'تقرير المصروفات حسب الشهر'!W952</f>
        <v>0</v>
      </c>
      <c r="K2288" s="31">
        <f>'تقرير المصروفات حسب الشهر'!W1079</f>
        <v>0</v>
      </c>
      <c r="L2288" s="292">
        <f>IFERROR(VLOOKUP(B2288,'تقرير المصروفات حسب الشهر'!$C$1143:$AD$1254,21,FALSE),0)</f>
        <v>0</v>
      </c>
      <c r="M2288" s="292">
        <f>IFERROR(VLOOKUP(B2288,'تقرير المصروفات حسب الشهر'!$C$1270:$AD$1381,21,FALSE),0)</f>
        <v>0</v>
      </c>
      <c r="N2288" s="31" t="e">
        <f>#REF!</f>
        <v>#REF!</v>
      </c>
      <c r="O2288" s="37" t="e">
        <f t="shared" si="57"/>
        <v>#REF!</v>
      </c>
    </row>
    <row r="2289" spans="2:15" ht="17.399999999999999">
      <c r="B2289" s="42" t="s">
        <v>33</v>
      </c>
      <c r="C2289" s="39" t="e">
        <f>#REF!</f>
        <v>#REF!</v>
      </c>
      <c r="D2289" s="31" t="e">
        <f>#REF!</f>
        <v>#REF!</v>
      </c>
      <c r="E2289" s="31" t="e">
        <f>#REF!</f>
        <v>#REF!</v>
      </c>
      <c r="F2289" s="31" t="e">
        <f>#REF!</f>
        <v>#REF!</v>
      </c>
      <c r="G2289" s="31" t="e">
        <f>#REF!</f>
        <v>#REF!</v>
      </c>
      <c r="H2289" s="31" t="e">
        <f>#REF!</f>
        <v>#REF!</v>
      </c>
      <c r="I2289" s="31">
        <f>'تقرير المصروفات حسب الشهر'!W826</f>
        <v>979</v>
      </c>
      <c r="J2289" s="31">
        <f>'تقرير المصروفات حسب الشهر'!W953</f>
        <v>0</v>
      </c>
      <c r="K2289" s="31">
        <f>'تقرير المصروفات حسب الشهر'!W1080</f>
        <v>0</v>
      </c>
      <c r="L2289" s="292">
        <f>IFERROR(VLOOKUP(B2289,'تقرير المصروفات حسب الشهر'!$C$1143:$AD$1254,21,FALSE),0)</f>
        <v>0</v>
      </c>
      <c r="M2289" s="292">
        <f>IFERROR(VLOOKUP(B2289,'تقرير المصروفات حسب الشهر'!$C$1270:$AD$1381,21,FALSE),0)</f>
        <v>367.25</v>
      </c>
      <c r="N2289" s="31" t="e">
        <f>#REF!</f>
        <v>#REF!</v>
      </c>
      <c r="O2289" s="37" t="e">
        <f t="shared" si="57"/>
        <v>#REF!</v>
      </c>
    </row>
    <row r="2290" spans="2:15" ht="17.399999999999999">
      <c r="B2290" s="42" t="s">
        <v>90</v>
      </c>
      <c r="C2290" s="39" t="e">
        <f>#REF!</f>
        <v>#REF!</v>
      </c>
      <c r="D2290" s="31" t="e">
        <f>#REF!</f>
        <v>#REF!</v>
      </c>
      <c r="E2290" s="31" t="e">
        <f>#REF!</f>
        <v>#REF!</v>
      </c>
      <c r="F2290" s="31" t="e">
        <f>#REF!</f>
        <v>#REF!</v>
      </c>
      <c r="G2290" s="31" t="e">
        <f>#REF!</f>
        <v>#REF!</v>
      </c>
      <c r="H2290" s="31" t="e">
        <f>#REF!</f>
        <v>#REF!</v>
      </c>
      <c r="I2290" s="31">
        <f>'تقرير المصروفات حسب الشهر'!W827</f>
        <v>0</v>
      </c>
      <c r="J2290" s="31">
        <f>'تقرير المصروفات حسب الشهر'!W954</f>
        <v>0</v>
      </c>
      <c r="K2290" s="31">
        <f>'تقرير المصروفات حسب الشهر'!W1081</f>
        <v>0</v>
      </c>
      <c r="L2290" s="292">
        <f>IFERROR(VLOOKUP(B2290,'تقرير المصروفات حسب الشهر'!$C$1143:$AD$1254,21,FALSE),0)</f>
        <v>0</v>
      </c>
      <c r="M2290" s="292">
        <f>IFERROR(VLOOKUP(B2290,'تقرير المصروفات حسب الشهر'!$C$1270:$AD$1381,21,FALSE),0)</f>
        <v>0</v>
      </c>
      <c r="N2290" s="31" t="e">
        <f>#REF!</f>
        <v>#REF!</v>
      </c>
      <c r="O2290" s="37" t="e">
        <f t="shared" si="57"/>
        <v>#REF!</v>
      </c>
    </row>
    <row r="2291" spans="2:15" ht="17.399999999999999">
      <c r="B2291" s="42" t="s">
        <v>91</v>
      </c>
      <c r="C2291" s="39" t="e">
        <f>#REF!</f>
        <v>#REF!</v>
      </c>
      <c r="D2291" s="31" t="e">
        <f>#REF!</f>
        <v>#REF!</v>
      </c>
      <c r="E2291" s="31" t="e">
        <f>#REF!</f>
        <v>#REF!</v>
      </c>
      <c r="F2291" s="31" t="e">
        <f>#REF!</f>
        <v>#REF!</v>
      </c>
      <c r="G2291" s="31" t="e">
        <f>#REF!</f>
        <v>#REF!</v>
      </c>
      <c r="H2291" s="31" t="e">
        <f>#REF!</f>
        <v>#REF!</v>
      </c>
      <c r="I2291" s="31">
        <f>'تقرير المصروفات حسب الشهر'!W828</f>
        <v>0</v>
      </c>
      <c r="J2291" s="31">
        <f>'تقرير المصروفات حسب الشهر'!W955</f>
        <v>0</v>
      </c>
      <c r="K2291" s="31">
        <f>'تقرير المصروفات حسب الشهر'!W1082</f>
        <v>0</v>
      </c>
      <c r="L2291" s="292">
        <f>IFERROR(VLOOKUP(B2291,'تقرير المصروفات حسب الشهر'!$C$1143:$AD$1254,21,FALSE),0)</f>
        <v>0</v>
      </c>
      <c r="M2291" s="292">
        <f>IFERROR(VLOOKUP(B2291,'تقرير المصروفات حسب الشهر'!$C$1270:$AD$1381,21,FALSE),0)</f>
        <v>0</v>
      </c>
      <c r="N2291" s="31" t="e">
        <f>#REF!</f>
        <v>#REF!</v>
      </c>
      <c r="O2291" s="37" t="e">
        <f t="shared" ref="O2291:O2334" si="58">SUM(C2291:N2291)</f>
        <v>#REF!</v>
      </c>
    </row>
    <row r="2292" spans="2:15" ht="17.399999999999999">
      <c r="B2292" s="42" t="s">
        <v>92</v>
      </c>
      <c r="C2292" s="39" t="e">
        <f>#REF!</f>
        <v>#REF!</v>
      </c>
      <c r="D2292" s="31" t="e">
        <f>#REF!</f>
        <v>#REF!</v>
      </c>
      <c r="E2292" s="31" t="e">
        <f>#REF!</f>
        <v>#REF!</v>
      </c>
      <c r="F2292" s="31" t="e">
        <f>#REF!</f>
        <v>#REF!</v>
      </c>
      <c r="G2292" s="31" t="e">
        <f>#REF!</f>
        <v>#REF!</v>
      </c>
      <c r="H2292" s="31" t="e">
        <f>#REF!</f>
        <v>#REF!</v>
      </c>
      <c r="I2292" s="31">
        <f>'تقرير المصروفات حسب الشهر'!W829</f>
        <v>0</v>
      </c>
      <c r="J2292" s="31">
        <f>'تقرير المصروفات حسب الشهر'!W956</f>
        <v>0</v>
      </c>
      <c r="K2292" s="31">
        <f>'تقرير المصروفات حسب الشهر'!W1083</f>
        <v>0</v>
      </c>
      <c r="L2292" s="292">
        <f>IFERROR(VLOOKUP(B2292,'تقرير المصروفات حسب الشهر'!$C$1143:$AD$1254,21,FALSE),0)</f>
        <v>0</v>
      </c>
      <c r="M2292" s="292">
        <f>IFERROR(VLOOKUP(B2292,'تقرير المصروفات حسب الشهر'!$C$1270:$AD$1381,21,FALSE),0)</f>
        <v>0</v>
      </c>
      <c r="N2292" s="31" t="e">
        <f>#REF!</f>
        <v>#REF!</v>
      </c>
      <c r="O2292" s="37" t="e">
        <f t="shared" si="58"/>
        <v>#REF!</v>
      </c>
    </row>
    <row r="2293" spans="2:15" ht="17.399999999999999">
      <c r="B2293" s="42" t="s">
        <v>93</v>
      </c>
      <c r="C2293" s="39" t="e">
        <f>#REF!</f>
        <v>#REF!</v>
      </c>
      <c r="D2293" s="31" t="e">
        <f>#REF!</f>
        <v>#REF!</v>
      </c>
      <c r="E2293" s="31" t="e">
        <f>#REF!</f>
        <v>#REF!</v>
      </c>
      <c r="F2293" s="31" t="e">
        <f>#REF!</f>
        <v>#REF!</v>
      </c>
      <c r="G2293" s="31" t="e">
        <f>#REF!</f>
        <v>#REF!</v>
      </c>
      <c r="H2293" s="31" t="e">
        <f>#REF!</f>
        <v>#REF!</v>
      </c>
      <c r="I2293" s="31">
        <f>'تقرير المصروفات حسب الشهر'!W830</f>
        <v>0</v>
      </c>
      <c r="J2293" s="31">
        <f>'تقرير المصروفات حسب الشهر'!W957</f>
        <v>0</v>
      </c>
      <c r="K2293" s="31">
        <f>'تقرير المصروفات حسب الشهر'!W1084</f>
        <v>0</v>
      </c>
      <c r="L2293" s="292">
        <f>IFERROR(VLOOKUP(B2293,'تقرير المصروفات حسب الشهر'!$C$1143:$AD$1254,21,FALSE),0)</f>
        <v>0</v>
      </c>
      <c r="M2293" s="292">
        <f>IFERROR(VLOOKUP(B2293,'تقرير المصروفات حسب الشهر'!$C$1270:$AD$1381,21,FALSE),0)</f>
        <v>0</v>
      </c>
      <c r="N2293" s="31" t="e">
        <f>#REF!</f>
        <v>#REF!</v>
      </c>
      <c r="O2293" s="37" t="e">
        <f t="shared" si="58"/>
        <v>#REF!</v>
      </c>
    </row>
    <row r="2294" spans="2:15" ht="17.399999999999999">
      <c r="B2294" s="42" t="s">
        <v>94</v>
      </c>
      <c r="C2294" s="39" t="e">
        <f>#REF!</f>
        <v>#REF!</v>
      </c>
      <c r="D2294" s="31" t="e">
        <f>#REF!</f>
        <v>#REF!</v>
      </c>
      <c r="E2294" s="31" t="e">
        <f>#REF!</f>
        <v>#REF!</v>
      </c>
      <c r="F2294" s="31" t="e">
        <f>#REF!</f>
        <v>#REF!</v>
      </c>
      <c r="G2294" s="31" t="e">
        <f>#REF!</f>
        <v>#REF!</v>
      </c>
      <c r="H2294" s="31" t="e">
        <f>#REF!</f>
        <v>#REF!</v>
      </c>
      <c r="I2294" s="31">
        <f>'تقرير المصروفات حسب الشهر'!W831</f>
        <v>0</v>
      </c>
      <c r="J2294" s="31">
        <f>'تقرير المصروفات حسب الشهر'!W958</f>
        <v>0</v>
      </c>
      <c r="K2294" s="31">
        <f>'تقرير المصروفات حسب الشهر'!W1085</f>
        <v>0</v>
      </c>
      <c r="L2294" s="292">
        <f>IFERROR(VLOOKUP(B2294,'تقرير المصروفات حسب الشهر'!$C$1143:$AD$1254,21,FALSE),0)</f>
        <v>0</v>
      </c>
      <c r="M2294" s="292">
        <f>IFERROR(VLOOKUP(B2294,'تقرير المصروفات حسب الشهر'!$C$1270:$AD$1381,21,FALSE),0)</f>
        <v>0</v>
      </c>
      <c r="N2294" s="31" t="e">
        <f>#REF!</f>
        <v>#REF!</v>
      </c>
      <c r="O2294" s="37" t="e">
        <f t="shared" si="58"/>
        <v>#REF!</v>
      </c>
    </row>
    <row r="2295" spans="2:15" ht="17.399999999999999">
      <c r="B2295" s="42" t="s">
        <v>95</v>
      </c>
      <c r="C2295" s="39" t="e">
        <f>#REF!</f>
        <v>#REF!</v>
      </c>
      <c r="D2295" s="31" t="e">
        <f>#REF!</f>
        <v>#REF!</v>
      </c>
      <c r="E2295" s="31" t="e">
        <f>#REF!</f>
        <v>#REF!</v>
      </c>
      <c r="F2295" s="31" t="e">
        <f>#REF!</f>
        <v>#REF!</v>
      </c>
      <c r="G2295" s="31" t="e">
        <f>#REF!</f>
        <v>#REF!</v>
      </c>
      <c r="H2295" s="31" t="e">
        <f>#REF!</f>
        <v>#REF!</v>
      </c>
      <c r="I2295" s="31">
        <f>'تقرير المصروفات حسب الشهر'!W832</f>
        <v>0</v>
      </c>
      <c r="J2295" s="31">
        <f>'تقرير المصروفات حسب الشهر'!W959</f>
        <v>0</v>
      </c>
      <c r="K2295" s="31">
        <f>'تقرير المصروفات حسب الشهر'!W1086</f>
        <v>0</v>
      </c>
      <c r="L2295" s="292">
        <f>IFERROR(VLOOKUP(B2295,'تقرير المصروفات حسب الشهر'!$C$1143:$AD$1254,21,FALSE),0)</f>
        <v>0</v>
      </c>
      <c r="M2295" s="292">
        <f>IFERROR(VLOOKUP(B2295,'تقرير المصروفات حسب الشهر'!$C$1270:$AD$1381,21,FALSE),0)</f>
        <v>0</v>
      </c>
      <c r="N2295" s="31" t="e">
        <f>#REF!</f>
        <v>#REF!</v>
      </c>
      <c r="O2295" s="37" t="e">
        <f t="shared" si="58"/>
        <v>#REF!</v>
      </c>
    </row>
    <row r="2296" spans="2:15" ht="17.399999999999999">
      <c r="B2296" s="42" t="s">
        <v>96</v>
      </c>
      <c r="C2296" s="39" t="e">
        <f>#REF!</f>
        <v>#REF!</v>
      </c>
      <c r="D2296" s="31" t="e">
        <f>#REF!</f>
        <v>#REF!</v>
      </c>
      <c r="E2296" s="31" t="e">
        <f>#REF!</f>
        <v>#REF!</v>
      </c>
      <c r="F2296" s="31" t="e">
        <f>#REF!</f>
        <v>#REF!</v>
      </c>
      <c r="G2296" s="31" t="e">
        <f>#REF!</f>
        <v>#REF!</v>
      </c>
      <c r="H2296" s="31" t="e">
        <f>#REF!</f>
        <v>#REF!</v>
      </c>
      <c r="I2296" s="31">
        <f>'تقرير المصروفات حسب الشهر'!W833</f>
        <v>668</v>
      </c>
      <c r="J2296" s="31">
        <f>'تقرير المصروفات حسب الشهر'!W960</f>
        <v>0</v>
      </c>
      <c r="K2296" s="31">
        <f>'تقرير المصروفات حسب الشهر'!W1087</f>
        <v>0</v>
      </c>
      <c r="L2296" s="292">
        <f>IFERROR(VLOOKUP(B2296,'تقرير المصروفات حسب الشهر'!$C$1143:$AD$1254,21,FALSE),0)</f>
        <v>0</v>
      </c>
      <c r="M2296" s="292">
        <f>IFERROR(VLOOKUP(B2296,'تقرير المصروفات حسب الشهر'!$C$1270:$AD$1381,21,FALSE),0)</f>
        <v>0</v>
      </c>
      <c r="N2296" s="31" t="e">
        <f>#REF!</f>
        <v>#REF!</v>
      </c>
      <c r="O2296" s="37" t="e">
        <f t="shared" si="58"/>
        <v>#REF!</v>
      </c>
    </row>
    <row r="2297" spans="2:15" ht="17.399999999999999">
      <c r="B2297" s="42" t="s">
        <v>97</v>
      </c>
      <c r="C2297" s="39" t="e">
        <f>#REF!</f>
        <v>#REF!</v>
      </c>
      <c r="D2297" s="31" t="e">
        <f>#REF!</f>
        <v>#REF!</v>
      </c>
      <c r="E2297" s="31" t="e">
        <f>#REF!</f>
        <v>#REF!</v>
      </c>
      <c r="F2297" s="31" t="e">
        <f>#REF!</f>
        <v>#REF!</v>
      </c>
      <c r="G2297" s="31" t="e">
        <f>#REF!</f>
        <v>#REF!</v>
      </c>
      <c r="H2297" s="31" t="e">
        <f>#REF!</f>
        <v>#REF!</v>
      </c>
      <c r="I2297" s="31">
        <f>'تقرير المصروفات حسب الشهر'!W834</f>
        <v>310</v>
      </c>
      <c r="J2297" s="31">
        <f>'تقرير المصروفات حسب الشهر'!W961</f>
        <v>309</v>
      </c>
      <c r="K2297" s="31">
        <f>'تقرير المصروفات حسب الشهر'!W1088</f>
        <v>0</v>
      </c>
      <c r="L2297" s="292">
        <f>IFERROR(VLOOKUP(B2297,'تقرير المصروفات حسب الشهر'!$C$1143:$AD$1254,21,FALSE),0)</f>
        <v>616.62</v>
      </c>
      <c r="M2297" s="292">
        <f>IFERROR(VLOOKUP(B2297,'تقرير المصروفات حسب الشهر'!$C$1270:$AD$1381,21,FALSE),0)</f>
        <v>309</v>
      </c>
      <c r="N2297" s="31" t="e">
        <f>#REF!</f>
        <v>#REF!</v>
      </c>
      <c r="O2297" s="37" t="e">
        <f t="shared" si="58"/>
        <v>#REF!</v>
      </c>
    </row>
    <row r="2298" spans="2:15" ht="17.399999999999999">
      <c r="B2298" s="42" t="s">
        <v>192</v>
      </c>
      <c r="C2298" s="39" t="e">
        <f>#REF!</f>
        <v>#REF!</v>
      </c>
      <c r="D2298" s="31" t="e">
        <f>#REF!</f>
        <v>#REF!</v>
      </c>
      <c r="E2298" s="31" t="e">
        <f>#REF!</f>
        <v>#REF!</v>
      </c>
      <c r="F2298" s="31" t="e">
        <f>#REF!</f>
        <v>#REF!</v>
      </c>
      <c r="G2298" s="31" t="e">
        <f>#REF!</f>
        <v>#REF!</v>
      </c>
      <c r="H2298" s="31" t="e">
        <f>#REF!</f>
        <v>#REF!</v>
      </c>
      <c r="I2298" s="31">
        <f>'تقرير المصروفات حسب الشهر'!W835</f>
        <v>0</v>
      </c>
      <c r="J2298" s="31">
        <f>'تقرير المصروفات حسب الشهر'!W962</f>
        <v>0</v>
      </c>
      <c r="K2298" s="31">
        <f>'تقرير المصروفات حسب الشهر'!W1089</f>
        <v>2130</v>
      </c>
      <c r="L2298" s="292">
        <f>IFERROR(VLOOKUP(B2298,'تقرير المصروفات حسب الشهر'!$C$1143:$AD$1254,21,FALSE),0)</f>
        <v>1065</v>
      </c>
      <c r="M2298" s="292">
        <f>IFERROR(VLOOKUP(B2298,'تقرير المصروفات حسب الشهر'!$C$1270:$AD$1381,21,FALSE),0)</f>
        <v>1065</v>
      </c>
      <c r="N2298" s="31" t="e">
        <f>#REF!</f>
        <v>#REF!</v>
      </c>
      <c r="O2298" s="37" t="e">
        <f t="shared" si="58"/>
        <v>#REF!</v>
      </c>
    </row>
    <row r="2299" spans="2:15" ht="17.399999999999999">
      <c r="B2299" s="42" t="s">
        <v>98</v>
      </c>
      <c r="C2299" s="39" t="e">
        <f>#REF!</f>
        <v>#REF!</v>
      </c>
      <c r="D2299" s="31" t="e">
        <f>#REF!</f>
        <v>#REF!</v>
      </c>
      <c r="E2299" s="31" t="e">
        <f>#REF!</f>
        <v>#REF!</v>
      </c>
      <c r="F2299" s="31" t="e">
        <f>#REF!</f>
        <v>#REF!</v>
      </c>
      <c r="G2299" s="31" t="e">
        <f>#REF!</f>
        <v>#REF!</v>
      </c>
      <c r="H2299" s="31" t="e">
        <f>#REF!</f>
        <v>#REF!</v>
      </c>
      <c r="I2299" s="31">
        <f>'تقرير المصروفات حسب الشهر'!W836</f>
        <v>0</v>
      </c>
      <c r="J2299" s="31">
        <f>'تقرير المصروفات حسب الشهر'!W963</f>
        <v>0</v>
      </c>
      <c r="K2299" s="31">
        <f>'تقرير المصروفات حسب الشهر'!W1090</f>
        <v>0</v>
      </c>
      <c r="L2299" s="292">
        <f>IFERROR(VLOOKUP(B2299,'تقرير المصروفات حسب الشهر'!$C$1143:$AD$1254,21,FALSE),0)</f>
        <v>0</v>
      </c>
      <c r="M2299" s="292">
        <f>IFERROR(VLOOKUP(B2299,'تقرير المصروفات حسب الشهر'!$C$1270:$AD$1381,21,FALSE),0)</f>
        <v>0</v>
      </c>
      <c r="N2299" s="31" t="e">
        <f>#REF!</f>
        <v>#REF!</v>
      </c>
      <c r="O2299" s="37" t="e">
        <f t="shared" si="58"/>
        <v>#REF!</v>
      </c>
    </row>
    <row r="2300" spans="2:15" ht="17.399999999999999">
      <c r="B2300" s="42" t="s">
        <v>99</v>
      </c>
      <c r="C2300" s="39" t="e">
        <f>#REF!</f>
        <v>#REF!</v>
      </c>
      <c r="D2300" s="31" t="e">
        <f>#REF!</f>
        <v>#REF!</v>
      </c>
      <c r="E2300" s="31" t="e">
        <f>#REF!</f>
        <v>#REF!</v>
      </c>
      <c r="F2300" s="31" t="e">
        <f>#REF!</f>
        <v>#REF!</v>
      </c>
      <c r="G2300" s="31" t="e">
        <f>#REF!</f>
        <v>#REF!</v>
      </c>
      <c r="H2300" s="31" t="e">
        <f>#REF!</f>
        <v>#REF!</v>
      </c>
      <c r="I2300" s="31">
        <f>'تقرير المصروفات حسب الشهر'!W837</f>
        <v>0</v>
      </c>
      <c r="J2300" s="31">
        <f>'تقرير المصروفات حسب الشهر'!W964</f>
        <v>0</v>
      </c>
      <c r="K2300" s="31">
        <f>'تقرير المصروفات حسب الشهر'!W1091</f>
        <v>0</v>
      </c>
      <c r="L2300" s="292">
        <f>IFERROR(VLOOKUP(B2300,'تقرير المصروفات حسب الشهر'!$C$1143:$AD$1254,21,FALSE),0)</f>
        <v>0</v>
      </c>
      <c r="M2300" s="292">
        <f>IFERROR(VLOOKUP(B2300,'تقرير المصروفات حسب الشهر'!$C$1270:$AD$1381,21,FALSE),0)</f>
        <v>0</v>
      </c>
      <c r="N2300" s="31" t="e">
        <f>#REF!</f>
        <v>#REF!</v>
      </c>
      <c r="O2300" s="37" t="e">
        <f t="shared" si="58"/>
        <v>#REF!</v>
      </c>
    </row>
    <row r="2301" spans="2:15" ht="17.399999999999999">
      <c r="B2301" s="42" t="s">
        <v>100</v>
      </c>
      <c r="C2301" s="39" t="e">
        <f>#REF!</f>
        <v>#REF!</v>
      </c>
      <c r="D2301" s="31" t="e">
        <f>#REF!</f>
        <v>#REF!</v>
      </c>
      <c r="E2301" s="31" t="e">
        <f>#REF!</f>
        <v>#REF!</v>
      </c>
      <c r="F2301" s="31" t="e">
        <f>#REF!</f>
        <v>#REF!</v>
      </c>
      <c r="G2301" s="31" t="e">
        <f>#REF!</f>
        <v>#REF!</v>
      </c>
      <c r="H2301" s="31" t="e">
        <f>#REF!</f>
        <v>#REF!</v>
      </c>
      <c r="I2301" s="31">
        <f>'تقرير المصروفات حسب الشهر'!W838</f>
        <v>0</v>
      </c>
      <c r="J2301" s="31">
        <f>'تقرير المصروفات حسب الشهر'!W965</f>
        <v>0</v>
      </c>
      <c r="K2301" s="31">
        <f>'تقرير المصروفات حسب الشهر'!W1092</f>
        <v>0</v>
      </c>
      <c r="L2301" s="292">
        <f>IFERROR(VLOOKUP(B2301,'تقرير المصروفات حسب الشهر'!$C$1143:$AD$1254,21,FALSE),0)</f>
        <v>0</v>
      </c>
      <c r="M2301" s="292">
        <f>IFERROR(VLOOKUP(B2301,'تقرير المصروفات حسب الشهر'!$C$1270:$AD$1381,21,FALSE),0)</f>
        <v>0</v>
      </c>
      <c r="N2301" s="31" t="e">
        <f>#REF!</f>
        <v>#REF!</v>
      </c>
      <c r="O2301" s="37" t="e">
        <f t="shared" si="58"/>
        <v>#REF!</v>
      </c>
    </row>
    <row r="2302" spans="2:15" ht="17.399999999999999">
      <c r="B2302" s="42" t="s">
        <v>101</v>
      </c>
      <c r="C2302" s="39" t="e">
        <f>#REF!</f>
        <v>#REF!</v>
      </c>
      <c r="D2302" s="31" t="e">
        <f>#REF!</f>
        <v>#REF!</v>
      </c>
      <c r="E2302" s="31" t="e">
        <f>#REF!</f>
        <v>#REF!</v>
      </c>
      <c r="F2302" s="31" t="e">
        <f>#REF!</f>
        <v>#REF!</v>
      </c>
      <c r="G2302" s="31" t="e">
        <f>#REF!</f>
        <v>#REF!</v>
      </c>
      <c r="H2302" s="31" t="e">
        <f>#REF!</f>
        <v>#REF!</v>
      </c>
      <c r="I2302" s="31">
        <f>'تقرير المصروفات حسب الشهر'!W839</f>
        <v>0</v>
      </c>
      <c r="J2302" s="31">
        <f>'تقرير المصروفات حسب الشهر'!W966</f>
        <v>0</v>
      </c>
      <c r="K2302" s="31">
        <f>'تقرير المصروفات حسب الشهر'!W1093</f>
        <v>0</v>
      </c>
      <c r="L2302" s="292">
        <f>IFERROR(VLOOKUP(B2302,'تقرير المصروفات حسب الشهر'!$C$1143:$AD$1254,21,FALSE),0)</f>
        <v>0</v>
      </c>
      <c r="M2302" s="292">
        <f>IFERROR(VLOOKUP(B2302,'تقرير المصروفات حسب الشهر'!$C$1270:$AD$1381,21,FALSE),0)</f>
        <v>0</v>
      </c>
      <c r="N2302" s="31" t="e">
        <f>#REF!</f>
        <v>#REF!</v>
      </c>
      <c r="O2302" s="37" t="e">
        <f t="shared" si="58"/>
        <v>#REF!</v>
      </c>
    </row>
    <row r="2303" spans="2:15" ht="17.399999999999999">
      <c r="B2303" s="42" t="s">
        <v>102</v>
      </c>
      <c r="C2303" s="39" t="e">
        <f>#REF!</f>
        <v>#REF!</v>
      </c>
      <c r="D2303" s="31" t="e">
        <f>#REF!</f>
        <v>#REF!</v>
      </c>
      <c r="E2303" s="31" t="e">
        <f>#REF!</f>
        <v>#REF!</v>
      </c>
      <c r="F2303" s="31" t="e">
        <f>#REF!</f>
        <v>#REF!</v>
      </c>
      <c r="G2303" s="31" t="e">
        <f>#REF!</f>
        <v>#REF!</v>
      </c>
      <c r="H2303" s="31" t="e">
        <f>#REF!</f>
        <v>#REF!</v>
      </c>
      <c r="I2303" s="31">
        <f>'تقرير المصروفات حسب الشهر'!W840</f>
        <v>0</v>
      </c>
      <c r="J2303" s="31">
        <f>'تقرير المصروفات حسب الشهر'!W967</f>
        <v>0</v>
      </c>
      <c r="K2303" s="31">
        <f>'تقرير المصروفات حسب الشهر'!W1094</f>
        <v>0</v>
      </c>
      <c r="L2303" s="292">
        <f>IFERROR(VLOOKUP(B2303,'تقرير المصروفات حسب الشهر'!$C$1143:$AD$1254,21,FALSE),0)</f>
        <v>0</v>
      </c>
      <c r="M2303" s="292">
        <f>IFERROR(VLOOKUP(B2303,'تقرير المصروفات حسب الشهر'!$C$1270:$AD$1381,21,FALSE),0)</f>
        <v>0</v>
      </c>
      <c r="N2303" s="31" t="e">
        <f>#REF!</f>
        <v>#REF!</v>
      </c>
      <c r="O2303" s="37" t="e">
        <f t="shared" si="58"/>
        <v>#REF!</v>
      </c>
    </row>
    <row r="2304" spans="2:15" ht="17.399999999999999">
      <c r="B2304" s="42" t="s">
        <v>103</v>
      </c>
      <c r="C2304" s="39" t="e">
        <f>#REF!</f>
        <v>#REF!</v>
      </c>
      <c r="D2304" s="31" t="e">
        <f>#REF!</f>
        <v>#REF!</v>
      </c>
      <c r="E2304" s="31" t="e">
        <f>#REF!</f>
        <v>#REF!</v>
      </c>
      <c r="F2304" s="31" t="e">
        <f>#REF!</f>
        <v>#REF!</v>
      </c>
      <c r="G2304" s="31" t="e">
        <f>#REF!</f>
        <v>#REF!</v>
      </c>
      <c r="H2304" s="31" t="e">
        <f>#REF!</f>
        <v>#REF!</v>
      </c>
      <c r="I2304" s="31">
        <f>'تقرير المصروفات حسب الشهر'!W841</f>
        <v>53.44</v>
      </c>
      <c r="J2304" s="31">
        <f>'تقرير المصروفات حسب الشهر'!W968</f>
        <v>38.17</v>
      </c>
      <c r="K2304" s="31">
        <f>'تقرير المصروفات حسب الشهر'!W1095</f>
        <v>0</v>
      </c>
      <c r="L2304" s="292">
        <f>IFERROR(VLOOKUP(B2304,'تقرير المصروفات حسب الشهر'!$C$1143:$AD$1254,21,FALSE),0)</f>
        <v>0</v>
      </c>
      <c r="M2304" s="292">
        <f>IFERROR(VLOOKUP(B2304,'تقرير المصروفات حسب الشهر'!$C$1270:$AD$1381,21,FALSE),0)</f>
        <v>0</v>
      </c>
      <c r="N2304" s="31" t="e">
        <f>#REF!</f>
        <v>#REF!</v>
      </c>
      <c r="O2304" s="37" t="e">
        <f t="shared" si="58"/>
        <v>#REF!</v>
      </c>
    </row>
    <row r="2305" spans="2:15" ht="17.399999999999999">
      <c r="B2305" s="42" t="s">
        <v>104</v>
      </c>
      <c r="C2305" s="39" t="e">
        <f>#REF!</f>
        <v>#REF!</v>
      </c>
      <c r="D2305" s="31" t="e">
        <f>#REF!</f>
        <v>#REF!</v>
      </c>
      <c r="E2305" s="31" t="e">
        <f>#REF!</f>
        <v>#REF!</v>
      </c>
      <c r="F2305" s="31" t="e">
        <f>#REF!</f>
        <v>#REF!</v>
      </c>
      <c r="G2305" s="31" t="e">
        <f>#REF!</f>
        <v>#REF!</v>
      </c>
      <c r="H2305" s="31" t="e">
        <f>#REF!</f>
        <v>#REF!</v>
      </c>
      <c r="I2305" s="31">
        <f>'تقرير المصروفات حسب الشهر'!W842</f>
        <v>45.83</v>
      </c>
      <c r="J2305" s="31">
        <f>'تقرير المصروفات حسب الشهر'!W969</f>
        <v>45.83</v>
      </c>
      <c r="K2305" s="31">
        <f>'تقرير المصروفات حسب الشهر'!W1096</f>
        <v>45.83</v>
      </c>
      <c r="L2305" s="292">
        <f>IFERROR(VLOOKUP(B2305,'تقرير المصروفات حسب الشهر'!$C$1143:$AD$1254,21,FALSE),0)</f>
        <v>45.83</v>
      </c>
      <c r="M2305" s="292">
        <f>IFERROR(VLOOKUP(B2305,'تقرير المصروفات حسب الشهر'!$C$1270:$AD$1381,21,FALSE),0)</f>
        <v>45.83</v>
      </c>
      <c r="N2305" s="31" t="e">
        <f>#REF!</f>
        <v>#REF!</v>
      </c>
      <c r="O2305" s="37" t="e">
        <f t="shared" si="58"/>
        <v>#REF!</v>
      </c>
    </row>
    <row r="2306" spans="2:15" ht="17.399999999999999">
      <c r="B2306" s="42" t="s">
        <v>105</v>
      </c>
      <c r="C2306" s="39" t="e">
        <f>#REF!</f>
        <v>#REF!</v>
      </c>
      <c r="D2306" s="31" t="e">
        <f>#REF!</f>
        <v>#REF!</v>
      </c>
      <c r="E2306" s="31" t="e">
        <f>#REF!</f>
        <v>#REF!</v>
      </c>
      <c r="F2306" s="31" t="e">
        <f>#REF!</f>
        <v>#REF!</v>
      </c>
      <c r="G2306" s="31" t="e">
        <f>#REF!</f>
        <v>#REF!</v>
      </c>
      <c r="H2306" s="31" t="e">
        <f>#REF!</f>
        <v>#REF!</v>
      </c>
      <c r="I2306" s="31">
        <f>'تقرير المصروفات حسب الشهر'!W843</f>
        <v>17.3</v>
      </c>
      <c r="J2306" s="31">
        <f>'تقرير المصروفات حسب الشهر'!W970</f>
        <v>17.3</v>
      </c>
      <c r="K2306" s="31">
        <f>'تقرير المصروفات حسب الشهر'!W1097</f>
        <v>17.3</v>
      </c>
      <c r="L2306" s="292">
        <f>IFERROR(VLOOKUP(B2306,'تقرير المصروفات حسب الشهر'!$C$1143:$AD$1254,21,FALSE),0)</f>
        <v>17.3</v>
      </c>
      <c r="M2306" s="292">
        <f>IFERROR(VLOOKUP(B2306,'تقرير المصروفات حسب الشهر'!$C$1270:$AD$1381,21,FALSE),0)</f>
        <v>17.3</v>
      </c>
      <c r="N2306" s="31" t="e">
        <f>#REF!</f>
        <v>#REF!</v>
      </c>
      <c r="O2306" s="37" t="e">
        <f t="shared" si="58"/>
        <v>#REF!</v>
      </c>
    </row>
    <row r="2307" spans="2:15" ht="17.399999999999999">
      <c r="B2307" s="42" t="s">
        <v>106</v>
      </c>
      <c r="C2307" s="39" t="e">
        <f>#REF!</f>
        <v>#REF!</v>
      </c>
      <c r="D2307" s="31" t="e">
        <f>#REF!</f>
        <v>#REF!</v>
      </c>
      <c r="E2307" s="31" t="e">
        <f>#REF!</f>
        <v>#REF!</v>
      </c>
      <c r="F2307" s="31" t="e">
        <f>#REF!</f>
        <v>#REF!</v>
      </c>
      <c r="G2307" s="31" t="e">
        <f>#REF!</f>
        <v>#REF!</v>
      </c>
      <c r="H2307" s="31" t="e">
        <f>#REF!</f>
        <v>#REF!</v>
      </c>
      <c r="I2307" s="31">
        <f>'تقرير المصروفات حسب الشهر'!W844</f>
        <v>0</v>
      </c>
      <c r="J2307" s="31">
        <f>'تقرير المصروفات حسب الشهر'!W971</f>
        <v>0</v>
      </c>
      <c r="K2307" s="31">
        <f>'تقرير المصروفات حسب الشهر'!W1098</f>
        <v>0</v>
      </c>
      <c r="L2307" s="292">
        <f>IFERROR(VLOOKUP(B2307,'تقرير المصروفات حسب الشهر'!$C$1143:$AD$1254,21,FALSE),0)</f>
        <v>0</v>
      </c>
      <c r="M2307" s="292">
        <f>IFERROR(VLOOKUP(B2307,'تقرير المصروفات حسب الشهر'!$C$1270:$AD$1381,21,FALSE),0)</f>
        <v>0</v>
      </c>
      <c r="N2307" s="31" t="e">
        <f>#REF!</f>
        <v>#REF!</v>
      </c>
      <c r="O2307" s="37" t="e">
        <f t="shared" si="58"/>
        <v>#REF!</v>
      </c>
    </row>
    <row r="2308" spans="2:15" ht="17.399999999999999">
      <c r="B2308" s="42" t="s">
        <v>107</v>
      </c>
      <c r="C2308" s="39" t="e">
        <f>#REF!</f>
        <v>#REF!</v>
      </c>
      <c r="D2308" s="31" t="e">
        <f>#REF!</f>
        <v>#REF!</v>
      </c>
      <c r="E2308" s="31" t="e">
        <f>#REF!</f>
        <v>#REF!</v>
      </c>
      <c r="F2308" s="31" t="e">
        <f>#REF!</f>
        <v>#REF!</v>
      </c>
      <c r="G2308" s="31" t="e">
        <f>#REF!</f>
        <v>#REF!</v>
      </c>
      <c r="H2308" s="31" t="e">
        <f>#REF!</f>
        <v>#REF!</v>
      </c>
      <c r="I2308" s="31">
        <f>'تقرير المصروفات حسب الشهر'!W845</f>
        <v>0</v>
      </c>
      <c r="J2308" s="31">
        <f>'تقرير المصروفات حسب الشهر'!W972</f>
        <v>0</v>
      </c>
      <c r="K2308" s="31">
        <f>'تقرير المصروفات حسب الشهر'!W1099</f>
        <v>0</v>
      </c>
      <c r="L2308" s="292">
        <f>IFERROR(VLOOKUP(B2308,'تقرير المصروفات حسب الشهر'!$C$1143:$AD$1254,21,FALSE),0)</f>
        <v>0</v>
      </c>
      <c r="M2308" s="292">
        <f>IFERROR(VLOOKUP(B2308,'تقرير المصروفات حسب الشهر'!$C$1270:$AD$1381,21,FALSE),0)</f>
        <v>0</v>
      </c>
      <c r="N2308" s="31" t="e">
        <f>#REF!</f>
        <v>#REF!</v>
      </c>
      <c r="O2308" s="37" t="e">
        <f t="shared" si="58"/>
        <v>#REF!</v>
      </c>
    </row>
    <row r="2309" spans="2:15" ht="17.399999999999999">
      <c r="B2309" s="42" t="s">
        <v>108</v>
      </c>
      <c r="C2309" s="39" t="e">
        <f>#REF!</f>
        <v>#REF!</v>
      </c>
      <c r="D2309" s="31" t="e">
        <f>#REF!</f>
        <v>#REF!</v>
      </c>
      <c r="E2309" s="31" t="e">
        <f>#REF!</f>
        <v>#REF!</v>
      </c>
      <c r="F2309" s="31" t="e">
        <f>#REF!</f>
        <v>#REF!</v>
      </c>
      <c r="G2309" s="31" t="e">
        <f>#REF!</f>
        <v>#REF!</v>
      </c>
      <c r="H2309" s="31" t="e">
        <f>#REF!</f>
        <v>#REF!</v>
      </c>
      <c r="I2309" s="31">
        <f>'تقرير المصروفات حسب الشهر'!W846</f>
        <v>0</v>
      </c>
      <c r="J2309" s="31">
        <f>'تقرير المصروفات حسب الشهر'!W973</f>
        <v>0</v>
      </c>
      <c r="K2309" s="31">
        <f>'تقرير المصروفات حسب الشهر'!W1100</f>
        <v>0</v>
      </c>
      <c r="L2309" s="292">
        <f>IFERROR(VLOOKUP(B2309,'تقرير المصروفات حسب الشهر'!$C$1143:$AD$1254,21,FALSE),0)</f>
        <v>0</v>
      </c>
      <c r="M2309" s="292">
        <f>IFERROR(VLOOKUP(B2309,'تقرير المصروفات حسب الشهر'!$C$1270:$AD$1381,21,FALSE),0)</f>
        <v>0</v>
      </c>
      <c r="N2309" s="31" t="e">
        <f>#REF!</f>
        <v>#REF!</v>
      </c>
      <c r="O2309" s="37" t="e">
        <f t="shared" si="58"/>
        <v>#REF!</v>
      </c>
    </row>
    <row r="2310" spans="2:15" ht="17.399999999999999">
      <c r="B2310" s="42" t="s">
        <v>109</v>
      </c>
      <c r="C2310" s="39" t="e">
        <f>#REF!</f>
        <v>#REF!</v>
      </c>
      <c r="D2310" s="31" t="e">
        <f>#REF!</f>
        <v>#REF!</v>
      </c>
      <c r="E2310" s="31" t="e">
        <f>#REF!</f>
        <v>#REF!</v>
      </c>
      <c r="F2310" s="31" t="e">
        <f>#REF!</f>
        <v>#REF!</v>
      </c>
      <c r="G2310" s="31" t="e">
        <f>#REF!</f>
        <v>#REF!</v>
      </c>
      <c r="H2310" s="31" t="e">
        <f>#REF!</f>
        <v>#REF!</v>
      </c>
      <c r="I2310" s="31">
        <f>'تقرير المصروفات حسب الشهر'!W847</f>
        <v>0</v>
      </c>
      <c r="J2310" s="31">
        <f>'تقرير المصروفات حسب الشهر'!W974</f>
        <v>0</v>
      </c>
      <c r="K2310" s="31">
        <f>'تقرير المصروفات حسب الشهر'!W1101</f>
        <v>0</v>
      </c>
      <c r="L2310" s="292">
        <f>IFERROR(VLOOKUP(B2310,'تقرير المصروفات حسب الشهر'!$C$1143:$AD$1254,21,FALSE),0)</f>
        <v>0</v>
      </c>
      <c r="M2310" s="292">
        <f>IFERROR(VLOOKUP(B2310,'تقرير المصروفات حسب الشهر'!$C$1270:$AD$1381,21,FALSE),0)</f>
        <v>0</v>
      </c>
      <c r="N2310" s="31" t="e">
        <f>#REF!</f>
        <v>#REF!</v>
      </c>
      <c r="O2310" s="37" t="e">
        <f t="shared" si="58"/>
        <v>#REF!</v>
      </c>
    </row>
    <row r="2311" spans="2:15" ht="17.399999999999999">
      <c r="B2311" s="42" t="s">
        <v>110</v>
      </c>
      <c r="C2311" s="39" t="e">
        <f>#REF!</f>
        <v>#REF!</v>
      </c>
      <c r="D2311" s="31" t="e">
        <f>#REF!</f>
        <v>#REF!</v>
      </c>
      <c r="E2311" s="31" t="e">
        <f>#REF!</f>
        <v>#REF!</v>
      </c>
      <c r="F2311" s="31" t="e">
        <f>#REF!</f>
        <v>#REF!</v>
      </c>
      <c r="G2311" s="31" t="e">
        <f>#REF!</f>
        <v>#REF!</v>
      </c>
      <c r="H2311" s="31" t="e">
        <f>#REF!</f>
        <v>#REF!</v>
      </c>
      <c r="I2311" s="31">
        <f>'تقرير المصروفات حسب الشهر'!W848</f>
        <v>0</v>
      </c>
      <c r="J2311" s="31">
        <f>'تقرير المصروفات حسب الشهر'!W975</f>
        <v>0</v>
      </c>
      <c r="K2311" s="31">
        <f>'تقرير المصروفات حسب الشهر'!W1102</f>
        <v>0</v>
      </c>
      <c r="L2311" s="292">
        <f>IFERROR(VLOOKUP(B2311,'تقرير المصروفات حسب الشهر'!$C$1143:$AD$1254,21,FALSE),0)</f>
        <v>0</v>
      </c>
      <c r="M2311" s="292">
        <f>IFERROR(VLOOKUP(B2311,'تقرير المصروفات حسب الشهر'!$C$1270:$AD$1381,21,FALSE),0)</f>
        <v>0</v>
      </c>
      <c r="N2311" s="31" t="e">
        <f>#REF!</f>
        <v>#REF!</v>
      </c>
      <c r="O2311" s="37" t="e">
        <f t="shared" si="58"/>
        <v>#REF!</v>
      </c>
    </row>
    <row r="2312" spans="2:15" ht="17.399999999999999">
      <c r="B2312" s="42" t="s">
        <v>112</v>
      </c>
      <c r="C2312" s="39" t="e">
        <f>#REF!</f>
        <v>#REF!</v>
      </c>
      <c r="D2312" s="31" t="e">
        <f>#REF!</f>
        <v>#REF!</v>
      </c>
      <c r="E2312" s="31" t="e">
        <f>#REF!</f>
        <v>#REF!</v>
      </c>
      <c r="F2312" s="31" t="e">
        <f>#REF!</f>
        <v>#REF!</v>
      </c>
      <c r="G2312" s="31" t="e">
        <f>#REF!</f>
        <v>#REF!</v>
      </c>
      <c r="H2312" s="31" t="e">
        <f>#REF!</f>
        <v>#REF!</v>
      </c>
      <c r="I2312" s="31">
        <f>'تقرير المصروفات حسب الشهر'!W849</f>
        <v>264</v>
      </c>
      <c r="J2312" s="31">
        <f>'تقرير المصروفات حسب الشهر'!W976</f>
        <v>0</v>
      </c>
      <c r="K2312" s="31">
        <f>'تقرير المصروفات حسب الشهر'!W1103</f>
        <v>0</v>
      </c>
      <c r="L2312" s="292">
        <f>IFERROR(VLOOKUP(B2312,'تقرير المصروفات حسب الشهر'!$C$1143:$AD$1254,21,FALSE),0)</f>
        <v>0</v>
      </c>
      <c r="M2312" s="292">
        <f>IFERROR(VLOOKUP(B2312,'تقرير المصروفات حسب الشهر'!$C$1270:$AD$1381,21,FALSE),0)</f>
        <v>0</v>
      </c>
      <c r="N2312" s="31" t="e">
        <f>#REF!</f>
        <v>#REF!</v>
      </c>
      <c r="O2312" s="37" t="e">
        <f t="shared" si="58"/>
        <v>#REF!</v>
      </c>
    </row>
    <row r="2313" spans="2:15" ht="17.399999999999999">
      <c r="B2313" s="42" t="s">
        <v>113</v>
      </c>
      <c r="C2313" s="39" t="e">
        <f>#REF!</f>
        <v>#REF!</v>
      </c>
      <c r="D2313" s="31" t="e">
        <f>#REF!</f>
        <v>#REF!</v>
      </c>
      <c r="E2313" s="31" t="e">
        <f>#REF!</f>
        <v>#REF!</v>
      </c>
      <c r="F2313" s="31" t="e">
        <f>#REF!</f>
        <v>#REF!</v>
      </c>
      <c r="G2313" s="31" t="e">
        <f>#REF!</f>
        <v>#REF!</v>
      </c>
      <c r="H2313" s="31" t="e">
        <f>#REF!</f>
        <v>#REF!</v>
      </c>
      <c r="I2313" s="31">
        <f>'تقرير المصروفات حسب الشهر'!W850</f>
        <v>0</v>
      </c>
      <c r="J2313" s="31">
        <f>'تقرير المصروفات حسب الشهر'!W977</f>
        <v>0</v>
      </c>
      <c r="K2313" s="31">
        <f>'تقرير المصروفات حسب الشهر'!W1104</f>
        <v>0</v>
      </c>
      <c r="L2313" s="292">
        <f>IFERROR(VLOOKUP(B2313,'تقرير المصروفات حسب الشهر'!$C$1143:$AD$1254,21,FALSE),0)</f>
        <v>0.16</v>
      </c>
      <c r="M2313" s="292">
        <f>IFERROR(VLOOKUP(B2313,'تقرير المصروفات حسب الشهر'!$C$1270:$AD$1381,21,FALSE),0)</f>
        <v>0</v>
      </c>
      <c r="N2313" s="31" t="e">
        <f>#REF!</f>
        <v>#REF!</v>
      </c>
      <c r="O2313" s="37" t="e">
        <f t="shared" si="58"/>
        <v>#REF!</v>
      </c>
    </row>
    <row r="2314" spans="2:15" ht="17.399999999999999">
      <c r="B2314" s="42" t="s">
        <v>137</v>
      </c>
      <c r="C2314" s="39" t="e">
        <f>#REF!</f>
        <v>#REF!</v>
      </c>
      <c r="D2314" s="31" t="e">
        <f>#REF!</f>
        <v>#REF!</v>
      </c>
      <c r="E2314" s="31" t="e">
        <f>#REF!</f>
        <v>#REF!</v>
      </c>
      <c r="F2314" s="31" t="e">
        <f>#REF!</f>
        <v>#REF!</v>
      </c>
      <c r="G2314" s="31" t="e">
        <f>#REF!</f>
        <v>#REF!</v>
      </c>
      <c r="H2314" s="31" t="e">
        <f>#REF!</f>
        <v>#REF!</v>
      </c>
      <c r="I2314" s="31">
        <f>'تقرير المصروفات حسب الشهر'!W851</f>
        <v>0</v>
      </c>
      <c r="J2314" s="31">
        <f>'تقرير المصروفات حسب الشهر'!W978</f>
        <v>0</v>
      </c>
      <c r="K2314" s="31">
        <f>'تقرير المصروفات حسب الشهر'!W1105</f>
        <v>0</v>
      </c>
      <c r="L2314" s="292">
        <f>IFERROR(VLOOKUP(B2314,'تقرير المصروفات حسب الشهر'!$C$1143:$AD$1254,21,FALSE),0)</f>
        <v>0</v>
      </c>
      <c r="M2314" s="292">
        <f>IFERROR(VLOOKUP(B2314,'تقرير المصروفات حسب الشهر'!$C$1270:$AD$1381,21,FALSE),0)</f>
        <v>0</v>
      </c>
      <c r="N2314" s="31" t="e">
        <f>#REF!</f>
        <v>#REF!</v>
      </c>
      <c r="O2314" s="37" t="e">
        <f t="shared" si="58"/>
        <v>#REF!</v>
      </c>
    </row>
    <row r="2315" spans="2:15" ht="17.399999999999999">
      <c r="B2315" s="42" t="s">
        <v>140</v>
      </c>
      <c r="C2315" s="39" t="e">
        <f>#REF!</f>
        <v>#REF!</v>
      </c>
      <c r="D2315" s="31" t="e">
        <f>#REF!</f>
        <v>#REF!</v>
      </c>
      <c r="E2315" s="31" t="e">
        <f>#REF!</f>
        <v>#REF!</v>
      </c>
      <c r="F2315" s="31" t="e">
        <f>#REF!</f>
        <v>#REF!</v>
      </c>
      <c r="G2315" s="31" t="e">
        <f>#REF!</f>
        <v>#REF!</v>
      </c>
      <c r="H2315" s="31" t="e">
        <f>#REF!</f>
        <v>#REF!</v>
      </c>
      <c r="I2315" s="31">
        <f>'تقرير المصروفات حسب الشهر'!W852</f>
        <v>0</v>
      </c>
      <c r="J2315" s="31">
        <f>'تقرير المصروفات حسب الشهر'!W979</f>
        <v>0</v>
      </c>
      <c r="K2315" s="31">
        <f>'تقرير المصروفات حسب الشهر'!W1106</f>
        <v>0</v>
      </c>
      <c r="L2315" s="292">
        <f>IFERROR(VLOOKUP(B2315,'تقرير المصروفات حسب الشهر'!$C$1143:$AD$1254,21,FALSE),0)</f>
        <v>0</v>
      </c>
      <c r="M2315" s="292">
        <f>IFERROR(VLOOKUP(B2315,'تقرير المصروفات حسب الشهر'!$C$1270:$AD$1381,21,FALSE),0)</f>
        <v>0</v>
      </c>
      <c r="N2315" s="31" t="e">
        <f>#REF!</f>
        <v>#REF!</v>
      </c>
      <c r="O2315" s="37" t="e">
        <f t="shared" si="58"/>
        <v>#REF!</v>
      </c>
    </row>
    <row r="2316" spans="2:15" ht="17.399999999999999">
      <c r="B2316" s="42" t="s">
        <v>141</v>
      </c>
      <c r="C2316" s="39" t="e">
        <f>#REF!</f>
        <v>#REF!</v>
      </c>
      <c r="D2316" s="31" t="e">
        <f>#REF!</f>
        <v>#REF!</v>
      </c>
      <c r="E2316" s="31" t="e">
        <f>#REF!</f>
        <v>#REF!</v>
      </c>
      <c r="F2316" s="31" t="e">
        <f>#REF!</f>
        <v>#REF!</v>
      </c>
      <c r="G2316" s="31" t="e">
        <f>#REF!</f>
        <v>#REF!</v>
      </c>
      <c r="H2316" s="31" t="e">
        <f>#REF!</f>
        <v>#REF!</v>
      </c>
      <c r="I2316" s="31">
        <f>'تقرير المصروفات حسب الشهر'!W853</f>
        <v>0</v>
      </c>
      <c r="J2316" s="31">
        <f>'تقرير المصروفات حسب الشهر'!W980</f>
        <v>0</v>
      </c>
      <c r="K2316" s="31">
        <f>'تقرير المصروفات حسب الشهر'!W1107</f>
        <v>0</v>
      </c>
      <c r="L2316" s="292">
        <f>IFERROR(VLOOKUP(B2316,'تقرير المصروفات حسب الشهر'!$C$1143:$AD$1254,21,FALSE),0)</f>
        <v>0</v>
      </c>
      <c r="M2316" s="292">
        <f>IFERROR(VLOOKUP(B2316,'تقرير المصروفات حسب الشهر'!$C$1270:$AD$1381,21,FALSE),0)</f>
        <v>0</v>
      </c>
      <c r="N2316" s="31" t="e">
        <f>#REF!</f>
        <v>#REF!</v>
      </c>
      <c r="O2316" s="37" t="e">
        <f t="shared" si="58"/>
        <v>#REF!</v>
      </c>
    </row>
    <row r="2317" spans="2:15" ht="17.399999999999999">
      <c r="B2317" s="42" t="s">
        <v>193</v>
      </c>
      <c r="C2317" s="39" t="e">
        <f>#REF!</f>
        <v>#REF!</v>
      </c>
      <c r="D2317" s="31" t="e">
        <f>#REF!</f>
        <v>#REF!</v>
      </c>
      <c r="E2317" s="31" t="e">
        <f>#REF!</f>
        <v>#REF!</v>
      </c>
      <c r="F2317" s="31" t="e">
        <f>#REF!</f>
        <v>#REF!</v>
      </c>
      <c r="G2317" s="31" t="e">
        <f>#REF!</f>
        <v>#REF!</v>
      </c>
      <c r="H2317" s="31" t="e">
        <f>#REF!</f>
        <v>#REF!</v>
      </c>
      <c r="I2317" s="31">
        <f>'تقرير المصروفات حسب الشهر'!W854</f>
        <v>0</v>
      </c>
      <c r="J2317" s="31">
        <f>'تقرير المصروفات حسب الشهر'!W981</f>
        <v>0</v>
      </c>
      <c r="K2317" s="31">
        <f>'تقرير المصروفات حسب الشهر'!W1108</f>
        <v>0</v>
      </c>
      <c r="L2317" s="292">
        <f>IFERROR(VLOOKUP(B2317,'تقرير المصروفات حسب الشهر'!$C$1143:$AD$1254,21,FALSE),0)</f>
        <v>0</v>
      </c>
      <c r="M2317" s="292">
        <f>IFERROR(VLOOKUP(B2317,'تقرير المصروفات حسب الشهر'!$C$1270:$AD$1381,21,FALSE),0)</f>
        <v>0</v>
      </c>
      <c r="N2317" s="31" t="e">
        <f>#REF!</f>
        <v>#REF!</v>
      </c>
      <c r="O2317" s="37" t="e">
        <f t="shared" si="58"/>
        <v>#REF!</v>
      </c>
    </row>
    <row r="2318" spans="2:15" ht="17.399999999999999">
      <c r="B2318" s="42" t="s">
        <v>148</v>
      </c>
      <c r="C2318" s="39" t="e">
        <f>#REF!</f>
        <v>#REF!</v>
      </c>
      <c r="D2318" s="31" t="e">
        <f>#REF!</f>
        <v>#REF!</v>
      </c>
      <c r="E2318" s="31" t="e">
        <f>#REF!</f>
        <v>#REF!</v>
      </c>
      <c r="F2318" s="31" t="e">
        <f>#REF!</f>
        <v>#REF!</v>
      </c>
      <c r="G2318" s="31" t="e">
        <f>#REF!</f>
        <v>#REF!</v>
      </c>
      <c r="H2318" s="31" t="e">
        <f>#REF!</f>
        <v>#REF!</v>
      </c>
      <c r="I2318" s="31">
        <f>'تقرير المصروفات حسب الشهر'!W855</f>
        <v>0</v>
      </c>
      <c r="J2318" s="31">
        <f>'تقرير المصروفات حسب الشهر'!W982</f>
        <v>0</v>
      </c>
      <c r="K2318" s="31">
        <f>'تقرير المصروفات حسب الشهر'!W1109</f>
        <v>0</v>
      </c>
      <c r="L2318" s="292">
        <f>IFERROR(VLOOKUP(B2318,'تقرير المصروفات حسب الشهر'!$C$1143:$AD$1254,21,FALSE),0)</f>
        <v>0</v>
      </c>
      <c r="M2318" s="292">
        <f>IFERROR(VLOOKUP(B2318,'تقرير المصروفات حسب الشهر'!$C$1270:$AD$1381,21,FALSE),0)</f>
        <v>0</v>
      </c>
      <c r="N2318" s="31" t="e">
        <f>#REF!</f>
        <v>#REF!</v>
      </c>
      <c r="O2318" s="37" t="e">
        <f t="shared" si="58"/>
        <v>#REF!</v>
      </c>
    </row>
    <row r="2319" spans="2:15" ht="17.399999999999999">
      <c r="B2319" s="42" t="s">
        <v>186</v>
      </c>
      <c r="C2319" s="39" t="e">
        <f>#REF!</f>
        <v>#REF!</v>
      </c>
      <c r="D2319" s="31" t="e">
        <f>#REF!</f>
        <v>#REF!</v>
      </c>
      <c r="E2319" s="31" t="e">
        <f>#REF!</f>
        <v>#REF!</v>
      </c>
      <c r="F2319" s="31" t="e">
        <f>#REF!</f>
        <v>#REF!</v>
      </c>
      <c r="G2319" s="31" t="e">
        <f>#REF!</f>
        <v>#REF!</v>
      </c>
      <c r="H2319" s="31" t="e">
        <f>#REF!</f>
        <v>#REF!</v>
      </c>
      <c r="I2319" s="31">
        <f>'تقرير المصروفات حسب الشهر'!W856</f>
        <v>0</v>
      </c>
      <c r="J2319" s="31">
        <f>'تقرير المصروفات حسب الشهر'!W983</f>
        <v>0</v>
      </c>
      <c r="K2319" s="31">
        <f>'تقرير المصروفات حسب الشهر'!W1110</f>
        <v>0</v>
      </c>
      <c r="L2319" s="292">
        <f>IFERROR(VLOOKUP(B2319,'تقرير المصروفات حسب الشهر'!$C$1143:$AD$1254,21,FALSE),0)</f>
        <v>0</v>
      </c>
      <c r="M2319" s="292">
        <f>IFERROR(VLOOKUP(B2319,'تقرير المصروفات حسب الشهر'!$C$1270:$AD$1381,21,FALSE),0)</f>
        <v>0</v>
      </c>
      <c r="N2319" s="31" t="e">
        <f>#REF!</f>
        <v>#REF!</v>
      </c>
      <c r="O2319" s="37" t="e">
        <f t="shared" si="58"/>
        <v>#REF!</v>
      </c>
    </row>
    <row r="2320" spans="2:15" ht="17.399999999999999">
      <c r="B2320" s="42" t="s">
        <v>171</v>
      </c>
      <c r="C2320" s="39" t="e">
        <f>#REF!</f>
        <v>#REF!</v>
      </c>
      <c r="D2320" s="31" t="e">
        <f>#REF!</f>
        <v>#REF!</v>
      </c>
      <c r="E2320" s="31" t="e">
        <f>#REF!</f>
        <v>#REF!</v>
      </c>
      <c r="F2320" s="31" t="e">
        <f>#REF!</f>
        <v>#REF!</v>
      </c>
      <c r="G2320" s="31" t="e">
        <f>#REF!</f>
        <v>#REF!</v>
      </c>
      <c r="H2320" s="31" t="e">
        <f>#REF!</f>
        <v>#REF!</v>
      </c>
      <c r="I2320" s="31">
        <f>'تقرير المصروفات حسب الشهر'!W857</f>
        <v>0</v>
      </c>
      <c r="J2320" s="31">
        <f>'تقرير المصروفات حسب الشهر'!W984</f>
        <v>0</v>
      </c>
      <c r="K2320" s="31">
        <f>'تقرير المصروفات حسب الشهر'!W1111</f>
        <v>0</v>
      </c>
      <c r="L2320" s="292">
        <f>IFERROR(VLOOKUP(B2320,'تقرير المصروفات حسب الشهر'!$C$1143:$AD$1254,21,FALSE),0)</f>
        <v>0</v>
      </c>
      <c r="M2320" s="292">
        <f>IFERROR(VLOOKUP(B2320,'تقرير المصروفات حسب الشهر'!$C$1270:$AD$1381,21,FALSE),0)</f>
        <v>0</v>
      </c>
      <c r="N2320" s="31" t="e">
        <f>#REF!</f>
        <v>#REF!</v>
      </c>
      <c r="O2320" s="37" t="e">
        <f t="shared" si="58"/>
        <v>#REF!</v>
      </c>
    </row>
    <row r="2321" spans="2:15" ht="17.399999999999999">
      <c r="B2321" s="42" t="s">
        <v>180</v>
      </c>
      <c r="C2321" s="39" t="e">
        <f>#REF!</f>
        <v>#REF!</v>
      </c>
      <c r="D2321" s="31" t="e">
        <f>#REF!</f>
        <v>#REF!</v>
      </c>
      <c r="E2321" s="31" t="e">
        <f>#REF!</f>
        <v>#REF!</v>
      </c>
      <c r="F2321" s="31" t="e">
        <f>#REF!</f>
        <v>#REF!</v>
      </c>
      <c r="G2321" s="31" t="e">
        <f>#REF!</f>
        <v>#REF!</v>
      </c>
      <c r="H2321" s="31" t="e">
        <f>#REF!</f>
        <v>#REF!</v>
      </c>
      <c r="I2321" s="31">
        <f>'تقرير المصروفات حسب الشهر'!W858</f>
        <v>0</v>
      </c>
      <c r="J2321" s="31">
        <f>'تقرير المصروفات حسب الشهر'!W985</f>
        <v>0</v>
      </c>
      <c r="K2321" s="31">
        <f>'تقرير المصروفات حسب الشهر'!W1112</f>
        <v>0</v>
      </c>
      <c r="L2321" s="292">
        <f>IFERROR(VLOOKUP(B2321,'تقرير المصروفات حسب الشهر'!$C$1143:$AD$1254,21,FALSE),0)</f>
        <v>0</v>
      </c>
      <c r="M2321" s="292">
        <f>IFERROR(VLOOKUP(B2321,'تقرير المصروفات حسب الشهر'!$C$1270:$AD$1381,21,FALSE),0)</f>
        <v>0</v>
      </c>
      <c r="N2321" s="31" t="e">
        <f>#REF!</f>
        <v>#REF!</v>
      </c>
      <c r="O2321" s="37" t="e">
        <f t="shared" si="58"/>
        <v>#REF!</v>
      </c>
    </row>
    <row r="2322" spans="2:15" ht="17.399999999999999">
      <c r="B2322" s="42" t="s">
        <v>183</v>
      </c>
      <c r="C2322" s="39" t="e">
        <f>#REF!</f>
        <v>#REF!</v>
      </c>
      <c r="D2322" s="31" t="e">
        <f>#REF!</f>
        <v>#REF!</v>
      </c>
      <c r="E2322" s="31" t="e">
        <f>#REF!</f>
        <v>#REF!</v>
      </c>
      <c r="F2322" s="31" t="e">
        <f>#REF!</f>
        <v>#REF!</v>
      </c>
      <c r="G2322" s="31" t="e">
        <f>#REF!</f>
        <v>#REF!</v>
      </c>
      <c r="H2322" s="31" t="e">
        <f>#REF!</f>
        <v>#REF!</v>
      </c>
      <c r="I2322" s="31">
        <f>'تقرير المصروفات حسب الشهر'!W859</f>
        <v>0</v>
      </c>
      <c r="J2322" s="31">
        <f>'تقرير المصروفات حسب الشهر'!W986</f>
        <v>0</v>
      </c>
      <c r="K2322" s="31">
        <f>'تقرير المصروفات حسب الشهر'!W1113</f>
        <v>0</v>
      </c>
      <c r="L2322" s="292">
        <f>IFERROR(VLOOKUP(B2322,'تقرير المصروفات حسب الشهر'!$C$1143:$AD$1254,21,FALSE),0)</f>
        <v>0</v>
      </c>
      <c r="M2322" s="292">
        <f>IFERROR(VLOOKUP(B2322,'تقرير المصروفات حسب الشهر'!$C$1270:$AD$1381,21,FALSE),0)</f>
        <v>0</v>
      </c>
      <c r="N2322" s="31" t="e">
        <f>#REF!</f>
        <v>#REF!</v>
      </c>
      <c r="O2322" s="37" t="e">
        <f t="shared" si="58"/>
        <v>#REF!</v>
      </c>
    </row>
    <row r="2323" spans="2:15" ht="17.399999999999999">
      <c r="B2323" s="42" t="s">
        <v>195</v>
      </c>
      <c r="C2323" s="39" t="e">
        <f>#REF!</f>
        <v>#REF!</v>
      </c>
      <c r="D2323" s="31" t="e">
        <f>#REF!</f>
        <v>#REF!</v>
      </c>
      <c r="E2323" s="31" t="e">
        <f>#REF!</f>
        <v>#REF!</v>
      </c>
      <c r="F2323" s="31" t="e">
        <f>#REF!</f>
        <v>#REF!</v>
      </c>
      <c r="G2323" s="31" t="e">
        <f>#REF!</f>
        <v>#REF!</v>
      </c>
      <c r="H2323" s="31" t="e">
        <f>#REF!</f>
        <v>#REF!</v>
      </c>
      <c r="I2323" s="31">
        <f>'تقرير المصروفات حسب الشهر'!W860</f>
        <v>0</v>
      </c>
      <c r="J2323" s="31">
        <f>'تقرير المصروفات حسب الشهر'!W987</f>
        <v>0</v>
      </c>
      <c r="K2323" s="31">
        <f>'تقرير المصروفات حسب الشهر'!W1114</f>
        <v>0</v>
      </c>
      <c r="L2323" s="292">
        <f>IFERROR(VLOOKUP(B2323,'تقرير المصروفات حسب الشهر'!$C$1143:$AD$1254,21,FALSE),0)</f>
        <v>0</v>
      </c>
      <c r="M2323" s="292">
        <f>IFERROR(VLOOKUP(B2323,'تقرير المصروفات حسب الشهر'!$C$1270:$AD$1381,21,FALSE),0)</f>
        <v>0</v>
      </c>
      <c r="N2323" s="31" t="e">
        <f>#REF!</f>
        <v>#REF!</v>
      </c>
      <c r="O2323" s="37" t="e">
        <f t="shared" si="58"/>
        <v>#REF!</v>
      </c>
    </row>
    <row r="2324" spans="2:15" ht="17.399999999999999">
      <c r="B2324" s="42" t="s">
        <v>189</v>
      </c>
      <c r="C2324" s="39" t="e">
        <f>#REF!</f>
        <v>#REF!</v>
      </c>
      <c r="D2324" s="31" t="e">
        <f>#REF!</f>
        <v>#REF!</v>
      </c>
      <c r="E2324" s="31" t="e">
        <f>#REF!</f>
        <v>#REF!</v>
      </c>
      <c r="F2324" s="31" t="e">
        <f>#REF!</f>
        <v>#REF!</v>
      </c>
      <c r="G2324" s="31" t="e">
        <f>#REF!</f>
        <v>#REF!</v>
      </c>
      <c r="H2324" s="31" t="e">
        <f>#REF!</f>
        <v>#REF!</v>
      </c>
      <c r="I2324" s="31">
        <f>'تقرير المصروفات حسب الشهر'!W861</f>
        <v>0</v>
      </c>
      <c r="J2324" s="31">
        <f>'تقرير المصروفات حسب الشهر'!W988</f>
        <v>0</v>
      </c>
      <c r="K2324" s="31">
        <f>'تقرير المصروفات حسب الشهر'!W1115</f>
        <v>0</v>
      </c>
      <c r="L2324" s="292">
        <f>IFERROR(VLOOKUP(B2324,'تقرير المصروفات حسب الشهر'!$C$1143:$AD$1254,21,FALSE),0)</f>
        <v>0</v>
      </c>
      <c r="M2324" s="292">
        <f>IFERROR(VLOOKUP(B2324,'تقرير المصروفات حسب الشهر'!$C$1270:$AD$1381,21,FALSE),0)</f>
        <v>0</v>
      </c>
      <c r="N2324" s="31" t="e">
        <f>#REF!</f>
        <v>#REF!</v>
      </c>
      <c r="O2324" s="37" t="e">
        <f t="shared" si="58"/>
        <v>#REF!</v>
      </c>
    </row>
    <row r="2325" spans="2:15" ht="17.399999999999999">
      <c r="B2325" s="42" t="s">
        <v>188</v>
      </c>
      <c r="C2325" s="39" t="e">
        <f>#REF!</f>
        <v>#REF!</v>
      </c>
      <c r="D2325" s="31" t="e">
        <f>#REF!</f>
        <v>#REF!</v>
      </c>
      <c r="E2325" s="31" t="e">
        <f>#REF!</f>
        <v>#REF!</v>
      </c>
      <c r="F2325" s="31" t="e">
        <f>#REF!</f>
        <v>#REF!</v>
      </c>
      <c r="G2325" s="31" t="e">
        <f>#REF!</f>
        <v>#REF!</v>
      </c>
      <c r="H2325" s="31" t="e">
        <f>#REF!</f>
        <v>#REF!</v>
      </c>
      <c r="I2325" s="31">
        <f>'تقرير المصروفات حسب الشهر'!W862</f>
        <v>0</v>
      </c>
      <c r="J2325" s="31">
        <f>'تقرير المصروفات حسب الشهر'!W989</f>
        <v>0</v>
      </c>
      <c r="K2325" s="31">
        <f>'تقرير المصروفات حسب الشهر'!W1116</f>
        <v>0</v>
      </c>
      <c r="L2325" s="292">
        <f>IFERROR(VLOOKUP(B2325,'تقرير المصروفات حسب الشهر'!$C$1143:$AD$1254,21,FALSE),0)</f>
        <v>0</v>
      </c>
      <c r="M2325" s="292">
        <f>IFERROR(VLOOKUP(B2325,'تقرير المصروفات حسب الشهر'!$C$1270:$AD$1381,21,FALSE),0)</f>
        <v>0</v>
      </c>
      <c r="N2325" s="31" t="e">
        <f>#REF!</f>
        <v>#REF!</v>
      </c>
      <c r="O2325" s="37" t="e">
        <f t="shared" si="58"/>
        <v>#REF!</v>
      </c>
    </row>
    <row r="2326" spans="2:15" ht="17.399999999999999">
      <c r="B2326" s="42" t="s">
        <v>196</v>
      </c>
      <c r="C2326" s="39" t="e">
        <f>#REF!</f>
        <v>#REF!</v>
      </c>
      <c r="D2326" s="31" t="e">
        <f>#REF!</f>
        <v>#REF!</v>
      </c>
      <c r="E2326" s="31" t="e">
        <f>#REF!</f>
        <v>#REF!</v>
      </c>
      <c r="F2326" s="31" t="e">
        <f>#REF!</f>
        <v>#REF!</v>
      </c>
      <c r="G2326" s="31" t="e">
        <f>#REF!</f>
        <v>#REF!</v>
      </c>
      <c r="H2326" s="31" t="e">
        <f>#REF!</f>
        <v>#REF!</v>
      </c>
      <c r="I2326" s="31">
        <f>'تقرير المصروفات حسب الشهر'!W863</f>
        <v>0</v>
      </c>
      <c r="J2326" s="31">
        <f>'تقرير المصروفات حسب الشهر'!W990</f>
        <v>0</v>
      </c>
      <c r="K2326" s="31">
        <f>'تقرير المصروفات حسب الشهر'!W1117</f>
        <v>0</v>
      </c>
      <c r="L2326" s="292">
        <f>IFERROR(VLOOKUP(B2326,'تقرير المصروفات حسب الشهر'!$C$1143:$AD$1254,21,FALSE),0)</f>
        <v>0</v>
      </c>
      <c r="M2326" s="292">
        <f>IFERROR(VLOOKUP(B2326,'تقرير المصروفات حسب الشهر'!$C$1270:$AD$1381,21,FALSE),0)</f>
        <v>0</v>
      </c>
      <c r="N2326" s="31" t="e">
        <f>#REF!</f>
        <v>#REF!</v>
      </c>
      <c r="O2326" s="37" t="e">
        <f t="shared" si="58"/>
        <v>#REF!</v>
      </c>
    </row>
    <row r="2327" spans="2:15" ht="17.399999999999999">
      <c r="B2327" s="42" t="s">
        <v>197</v>
      </c>
      <c r="C2327" s="39" t="e">
        <f>#REF!</f>
        <v>#REF!</v>
      </c>
      <c r="D2327" s="31" t="e">
        <f>#REF!</f>
        <v>#REF!</v>
      </c>
      <c r="E2327" s="31" t="e">
        <f>#REF!</f>
        <v>#REF!</v>
      </c>
      <c r="F2327" s="31" t="e">
        <f>#REF!</f>
        <v>#REF!</v>
      </c>
      <c r="G2327" s="31" t="e">
        <f>#REF!</f>
        <v>#REF!</v>
      </c>
      <c r="H2327" s="31" t="e">
        <f>#REF!</f>
        <v>#REF!</v>
      </c>
      <c r="I2327" s="31">
        <f>'تقرير المصروفات حسب الشهر'!W864</f>
        <v>0</v>
      </c>
      <c r="J2327" s="31">
        <f>'تقرير المصروفات حسب الشهر'!W991</f>
        <v>0</v>
      </c>
      <c r="K2327" s="31">
        <f>'تقرير المصروفات حسب الشهر'!W1118</f>
        <v>0</v>
      </c>
      <c r="L2327" s="292">
        <f>IFERROR(VLOOKUP(B2327,'تقرير المصروفات حسب الشهر'!$C$1143:$AD$1254,21,FALSE),0)</f>
        <v>0</v>
      </c>
      <c r="M2327" s="292">
        <f>IFERROR(VLOOKUP(B2327,'تقرير المصروفات حسب الشهر'!$C$1270:$AD$1381,21,FALSE),0)</f>
        <v>0</v>
      </c>
      <c r="N2327" s="31" t="e">
        <f>#REF!</f>
        <v>#REF!</v>
      </c>
      <c r="O2327" s="37" t="e">
        <f t="shared" si="58"/>
        <v>#REF!</v>
      </c>
    </row>
    <row r="2328" spans="2:15" ht="17.399999999999999">
      <c r="B2328" s="42" t="s">
        <v>198</v>
      </c>
      <c r="C2328" s="39" t="e">
        <f>#REF!</f>
        <v>#REF!</v>
      </c>
      <c r="D2328" s="31" t="e">
        <f>#REF!</f>
        <v>#REF!</v>
      </c>
      <c r="E2328" s="31" t="e">
        <f>#REF!</f>
        <v>#REF!</v>
      </c>
      <c r="F2328" s="31" t="e">
        <f>#REF!</f>
        <v>#REF!</v>
      </c>
      <c r="G2328" s="31" t="e">
        <f>#REF!</f>
        <v>#REF!</v>
      </c>
      <c r="H2328" s="31" t="e">
        <f>#REF!</f>
        <v>#REF!</v>
      </c>
      <c r="I2328" s="31">
        <f>'تقرير المصروفات حسب الشهر'!W865</f>
        <v>0</v>
      </c>
      <c r="J2328" s="31">
        <f>'تقرير المصروفات حسب الشهر'!W992</f>
        <v>0</v>
      </c>
      <c r="K2328" s="31">
        <f>'تقرير المصروفات حسب الشهر'!W1119</f>
        <v>0</v>
      </c>
      <c r="L2328" s="292">
        <f>IFERROR(VLOOKUP(B2328,'تقرير المصروفات حسب الشهر'!$C$1143:$AD$1254,21,FALSE),0)</f>
        <v>0</v>
      </c>
      <c r="M2328" s="292">
        <f>IFERROR(VLOOKUP(B2328,'تقرير المصروفات حسب الشهر'!$C$1270:$AD$1381,21,FALSE),0)</f>
        <v>0</v>
      </c>
      <c r="N2328" s="31" t="e">
        <f>#REF!</f>
        <v>#REF!</v>
      </c>
      <c r="O2328" s="37" t="e">
        <f t="shared" si="58"/>
        <v>#REF!</v>
      </c>
    </row>
    <row r="2329" spans="2:15" ht="17.399999999999999">
      <c r="B2329" s="42" t="s">
        <v>201</v>
      </c>
      <c r="C2329" s="39" t="e">
        <f>#REF!</f>
        <v>#REF!</v>
      </c>
      <c r="D2329" s="31" t="e">
        <f>#REF!</f>
        <v>#REF!</v>
      </c>
      <c r="E2329" s="31" t="e">
        <f>#REF!</f>
        <v>#REF!</v>
      </c>
      <c r="F2329" s="31" t="e">
        <f>#REF!</f>
        <v>#REF!</v>
      </c>
      <c r="G2329" s="31" t="e">
        <f>#REF!</f>
        <v>#REF!</v>
      </c>
      <c r="H2329" s="31" t="e">
        <f>#REF!</f>
        <v>#REF!</v>
      </c>
      <c r="I2329" s="31">
        <f>'تقرير المصروفات حسب الشهر'!W866</f>
        <v>0</v>
      </c>
      <c r="J2329" s="31">
        <f>'تقرير المصروفات حسب الشهر'!W993</f>
        <v>0</v>
      </c>
      <c r="K2329" s="31">
        <f>'تقرير المصروفات حسب الشهر'!W1120</f>
        <v>0</v>
      </c>
      <c r="L2329" s="292">
        <f>IFERROR(VLOOKUP(B2329,'تقرير المصروفات حسب الشهر'!$C$1143:$AD$1254,21,FALSE),0)</f>
        <v>0</v>
      </c>
      <c r="M2329" s="292">
        <f>IFERROR(VLOOKUP(B2329,'تقرير المصروفات حسب الشهر'!$C$1270:$AD$1381,21,FALSE),0)</f>
        <v>0</v>
      </c>
      <c r="N2329" s="31" t="e">
        <f>#REF!</f>
        <v>#REF!</v>
      </c>
      <c r="O2329" s="37" t="e">
        <f t="shared" si="58"/>
        <v>#REF!</v>
      </c>
    </row>
    <row r="2330" spans="2:15" ht="17.399999999999999">
      <c r="B2330" s="42" t="s">
        <v>202</v>
      </c>
      <c r="C2330" s="39" t="e">
        <f>#REF!</f>
        <v>#REF!</v>
      </c>
      <c r="D2330" s="31" t="e">
        <f>#REF!</f>
        <v>#REF!</v>
      </c>
      <c r="E2330" s="31" t="e">
        <f>#REF!</f>
        <v>#REF!</v>
      </c>
      <c r="F2330" s="31" t="e">
        <f>#REF!</f>
        <v>#REF!</v>
      </c>
      <c r="G2330" s="31" t="e">
        <f>#REF!</f>
        <v>#REF!</v>
      </c>
      <c r="H2330" s="31" t="e">
        <f>#REF!</f>
        <v>#REF!</v>
      </c>
      <c r="I2330" s="31">
        <f>'تقرير المصروفات حسب الشهر'!W867</f>
        <v>0</v>
      </c>
      <c r="J2330" s="31">
        <f>'تقرير المصروفات حسب الشهر'!W994</f>
        <v>0</v>
      </c>
      <c r="K2330" s="31">
        <f>'تقرير المصروفات حسب الشهر'!W1121</f>
        <v>0</v>
      </c>
      <c r="L2330" s="292">
        <f>IFERROR(VLOOKUP(B2330,'تقرير المصروفات حسب الشهر'!$C$1143:$AD$1254,21,FALSE),0)</f>
        <v>0</v>
      </c>
      <c r="M2330" s="292">
        <f>IFERROR(VLOOKUP(B2330,'تقرير المصروفات حسب الشهر'!$C$1270:$AD$1381,21,FALSE),0)</f>
        <v>0</v>
      </c>
      <c r="N2330" s="31" t="e">
        <f>#REF!</f>
        <v>#REF!</v>
      </c>
      <c r="O2330" s="37" t="e">
        <f t="shared" si="58"/>
        <v>#REF!</v>
      </c>
    </row>
    <row r="2331" spans="2:15" ht="17.399999999999999">
      <c r="B2331" s="42" t="s">
        <v>206</v>
      </c>
      <c r="C2331" s="39" t="e">
        <f>#REF!</f>
        <v>#REF!</v>
      </c>
      <c r="D2331" s="31" t="e">
        <f>#REF!</f>
        <v>#REF!</v>
      </c>
      <c r="E2331" s="31" t="e">
        <f>#REF!</f>
        <v>#REF!</v>
      </c>
      <c r="F2331" s="31" t="e">
        <f>#REF!</f>
        <v>#REF!</v>
      </c>
      <c r="G2331" s="31" t="e">
        <f>#REF!</f>
        <v>#REF!</v>
      </c>
      <c r="H2331" s="31" t="e">
        <f>#REF!</f>
        <v>#REF!</v>
      </c>
      <c r="I2331" s="31">
        <f>'تقرير المصروفات حسب الشهر'!W868</f>
        <v>0</v>
      </c>
      <c r="J2331" s="31">
        <f>'تقرير المصروفات حسب الشهر'!W995</f>
        <v>0</v>
      </c>
      <c r="K2331" s="31">
        <f>'تقرير المصروفات حسب الشهر'!W1122</f>
        <v>0</v>
      </c>
      <c r="L2331" s="292">
        <f>IFERROR(VLOOKUP(B2331,'تقرير المصروفات حسب الشهر'!$C$1143:$AD$1254,21,FALSE),0)</f>
        <v>0</v>
      </c>
      <c r="M2331" s="292">
        <f>IFERROR(VLOOKUP(B2331,'تقرير المصروفات حسب الشهر'!$C$1270:$AD$1381,21,FALSE),0)</f>
        <v>0</v>
      </c>
      <c r="N2331" s="31" t="e">
        <f>#REF!</f>
        <v>#REF!</v>
      </c>
      <c r="O2331" s="37" t="e">
        <f t="shared" si="58"/>
        <v>#REF!</v>
      </c>
    </row>
    <row r="2332" spans="2:15" ht="17.399999999999999">
      <c r="B2332" s="42" t="s">
        <v>207</v>
      </c>
      <c r="C2332" s="39" t="e">
        <f>#REF!</f>
        <v>#REF!</v>
      </c>
      <c r="D2332" s="31" t="e">
        <f>#REF!</f>
        <v>#REF!</v>
      </c>
      <c r="E2332" s="31" t="e">
        <f>#REF!</f>
        <v>#REF!</v>
      </c>
      <c r="F2332" s="31" t="e">
        <f>#REF!</f>
        <v>#REF!</v>
      </c>
      <c r="G2332" s="31" t="e">
        <f>#REF!</f>
        <v>#REF!</v>
      </c>
      <c r="H2332" s="31" t="e">
        <f>#REF!</f>
        <v>#REF!</v>
      </c>
      <c r="I2332" s="31">
        <f>'تقرير المصروفات حسب الشهر'!W869</f>
        <v>0</v>
      </c>
      <c r="J2332" s="31">
        <f>'تقرير المصروفات حسب الشهر'!W996</f>
        <v>0</v>
      </c>
      <c r="K2332" s="31">
        <f>'تقرير المصروفات حسب الشهر'!W1123</f>
        <v>0</v>
      </c>
      <c r="L2332" s="292">
        <f>IFERROR(VLOOKUP(B2332,'تقرير المصروفات حسب الشهر'!$C$1143:$AD$1254,21,FALSE),0)</f>
        <v>0</v>
      </c>
      <c r="M2332" s="292">
        <f>IFERROR(VLOOKUP(B2332,'تقرير المصروفات حسب الشهر'!$C$1270:$AD$1381,21,FALSE),0)</f>
        <v>0</v>
      </c>
      <c r="N2332" s="31" t="e">
        <f>#REF!</f>
        <v>#REF!</v>
      </c>
      <c r="O2332" s="37" t="e">
        <f t="shared" si="58"/>
        <v>#REF!</v>
      </c>
    </row>
    <row r="2333" spans="2:15" ht="17.399999999999999">
      <c r="B2333" s="42" t="s">
        <v>208</v>
      </c>
      <c r="C2333" s="39" t="e">
        <f>#REF!</f>
        <v>#REF!</v>
      </c>
      <c r="D2333" s="31" t="e">
        <f>#REF!</f>
        <v>#REF!</v>
      </c>
      <c r="E2333" s="31" t="e">
        <f>#REF!</f>
        <v>#REF!</v>
      </c>
      <c r="F2333" s="31" t="e">
        <f>#REF!</f>
        <v>#REF!</v>
      </c>
      <c r="G2333" s="31" t="e">
        <f>#REF!</f>
        <v>#REF!</v>
      </c>
      <c r="H2333" s="31" t="e">
        <f>#REF!</f>
        <v>#REF!</v>
      </c>
      <c r="I2333" s="31">
        <f>'تقرير المصروفات حسب الشهر'!W870</f>
        <v>0</v>
      </c>
      <c r="J2333" s="31">
        <f>'تقرير المصروفات حسب الشهر'!W997</f>
        <v>0</v>
      </c>
      <c r="K2333" s="31">
        <f>'تقرير المصروفات حسب الشهر'!W1124</f>
        <v>0</v>
      </c>
      <c r="L2333" s="292">
        <f>IFERROR(VLOOKUP(B2333,'تقرير المصروفات حسب الشهر'!$C$1143:$AD$1254,21,FALSE),0)</f>
        <v>0</v>
      </c>
      <c r="M2333" s="292">
        <f>IFERROR(VLOOKUP(B2333,'تقرير المصروفات حسب الشهر'!$C$1270:$AD$1381,21,FALSE),0)</f>
        <v>0</v>
      </c>
      <c r="N2333" s="31" t="e">
        <f>#REF!</f>
        <v>#REF!</v>
      </c>
      <c r="O2333" s="37" t="e">
        <f t="shared" si="58"/>
        <v>#REF!</v>
      </c>
    </row>
    <row r="2334" spans="2:15" ht="18" thickBot="1">
      <c r="B2334" s="43" t="s">
        <v>209</v>
      </c>
      <c r="C2334" s="39" t="e">
        <f>#REF!</f>
        <v>#REF!</v>
      </c>
      <c r="D2334" s="31" t="e">
        <f>#REF!</f>
        <v>#REF!</v>
      </c>
      <c r="E2334" s="31" t="e">
        <f>#REF!</f>
        <v>#REF!</v>
      </c>
      <c r="F2334" s="31" t="e">
        <f>#REF!</f>
        <v>#REF!</v>
      </c>
      <c r="G2334" s="31" t="e">
        <f>#REF!</f>
        <v>#REF!</v>
      </c>
      <c r="H2334" s="31">
        <v>0</v>
      </c>
      <c r="I2334" s="31">
        <f>'تقرير المصروفات حسب الشهر'!W871</f>
        <v>0</v>
      </c>
      <c r="J2334" s="31">
        <f>'تقرير المصروفات حسب الشهر'!W998</f>
        <v>0</v>
      </c>
      <c r="K2334" s="31">
        <f>'تقرير المصروفات حسب الشهر'!W1125</f>
        <v>0</v>
      </c>
      <c r="L2334" s="292">
        <f>IFERROR(VLOOKUP(B2334,'تقرير المصروفات حسب الشهر'!$C$1143:$AD$1254,21,FALSE),0)</f>
        <v>0</v>
      </c>
      <c r="M2334" s="292">
        <f>IFERROR(VLOOKUP(B2334,'تقرير المصروفات حسب الشهر'!$C$1270:$AD$1381,21,FALSE),0)</f>
        <v>0</v>
      </c>
      <c r="N2334" s="31" t="e">
        <f>#REF!</f>
        <v>#REF!</v>
      </c>
      <c r="O2334" s="37" t="e">
        <f t="shared" si="58"/>
        <v>#REF!</v>
      </c>
    </row>
    <row r="2335" spans="2:15" ht="21.6" thickBot="1">
      <c r="B2335" s="29" t="s">
        <v>18</v>
      </c>
      <c r="C2335" s="41" t="e">
        <f>SUM(C2226:C2334)</f>
        <v>#REF!</v>
      </c>
      <c r="D2335" s="41" t="e">
        <f t="shared" ref="D2335:O2335" si="59">SUM(D2226:D2334)</f>
        <v>#REF!</v>
      </c>
      <c r="E2335" s="41" t="e">
        <f t="shared" si="59"/>
        <v>#REF!</v>
      </c>
      <c r="F2335" s="41" t="e">
        <f t="shared" si="59"/>
        <v>#REF!</v>
      </c>
      <c r="G2335" s="41" t="e">
        <f t="shared" si="59"/>
        <v>#REF!</v>
      </c>
      <c r="H2335" s="41" t="e">
        <f t="shared" si="59"/>
        <v>#REF!</v>
      </c>
      <c r="I2335" s="41">
        <f t="shared" si="59"/>
        <v>11675.51</v>
      </c>
      <c r="J2335" s="41">
        <f t="shared" si="59"/>
        <v>15397.939999999999</v>
      </c>
      <c r="K2335" s="41">
        <f t="shared" si="59"/>
        <v>13203.819999999998</v>
      </c>
      <c r="L2335" s="41">
        <f t="shared" si="59"/>
        <v>15524.32</v>
      </c>
      <c r="M2335" s="41">
        <f t="shared" si="59"/>
        <v>14470.529999999999</v>
      </c>
      <c r="N2335" s="41" t="e">
        <f t="shared" si="59"/>
        <v>#REF!</v>
      </c>
      <c r="O2335" s="41" t="e">
        <f t="shared" si="59"/>
        <v>#REF!</v>
      </c>
    </row>
    <row r="2337" spans="2:15" ht="13.8" thickBot="1"/>
    <row r="2338" spans="2:15" ht="31.2" thickTop="1" thickBot="1">
      <c r="B2338" s="643" t="s">
        <v>229</v>
      </c>
      <c r="C2338" s="644"/>
      <c r="D2338" s="644"/>
      <c r="E2338" s="644"/>
      <c r="F2338" s="644"/>
      <c r="G2338" s="644"/>
      <c r="H2338" s="644"/>
      <c r="I2338" s="644"/>
      <c r="J2338" s="644"/>
      <c r="K2338" s="644"/>
      <c r="L2338" s="644"/>
      <c r="M2338" s="644"/>
      <c r="N2338" s="644"/>
      <c r="O2338" s="645"/>
    </row>
    <row r="2339" spans="2:15" ht="17.399999999999999">
      <c r="B2339" s="30" t="s">
        <v>23</v>
      </c>
      <c r="C2339" s="33" t="s">
        <v>0</v>
      </c>
      <c r="D2339" s="33" t="s">
        <v>1</v>
      </c>
      <c r="E2339" s="34" t="s">
        <v>2</v>
      </c>
      <c r="F2339" s="34" t="s">
        <v>3</v>
      </c>
      <c r="G2339" s="34" t="s">
        <v>4</v>
      </c>
      <c r="H2339" s="34" t="s">
        <v>5</v>
      </c>
      <c r="I2339" s="34" t="s">
        <v>6</v>
      </c>
      <c r="J2339" s="34" t="s">
        <v>7</v>
      </c>
      <c r="K2339" s="34" t="s">
        <v>8</v>
      </c>
      <c r="L2339" s="34" t="s">
        <v>9</v>
      </c>
      <c r="M2339" s="34" t="s">
        <v>10</v>
      </c>
      <c r="N2339" s="35" t="s">
        <v>11</v>
      </c>
      <c r="O2339" s="36" t="s">
        <v>18</v>
      </c>
    </row>
    <row r="2340" spans="2:15" ht="17.399999999999999">
      <c r="B2340" s="42" t="s">
        <v>40</v>
      </c>
      <c r="C2340" s="39" t="e">
        <f>#REF!</f>
        <v>#REF!</v>
      </c>
      <c r="D2340" s="31" t="e">
        <f>#REF!</f>
        <v>#REF!</v>
      </c>
      <c r="E2340" s="31" t="e">
        <f>#REF!</f>
        <v>#REF!</v>
      </c>
      <c r="F2340" s="31" t="e">
        <f>#REF!</f>
        <v>#REF!</v>
      </c>
      <c r="G2340" s="31" t="e">
        <f>#REF!</f>
        <v>#REF!</v>
      </c>
      <c r="H2340" s="31" t="e">
        <f>#REF!</f>
        <v>#REF!</v>
      </c>
      <c r="I2340" s="31">
        <f>'تقرير المصروفات حسب الشهر'!X763</f>
        <v>0</v>
      </c>
      <c r="J2340" s="31">
        <f>'تقرير المصروفات حسب الشهر'!X890</f>
        <v>0</v>
      </c>
      <c r="K2340" s="31">
        <f>'تقرير المصروفات حسب الشهر'!X1017</f>
        <v>0</v>
      </c>
      <c r="L2340" s="292">
        <f>IFERROR(VLOOKUP(B2340,'تقرير المصروفات حسب الشهر'!$C$1143:$AD$1254,22,FALSE),0)</f>
        <v>0</v>
      </c>
      <c r="M2340" s="292">
        <f>IFERROR(VLOOKUP(B2340,'تقرير المصروفات حسب الشهر'!$C$1270:$AD$1381,22,FALSE),0)</f>
        <v>0</v>
      </c>
      <c r="N2340" s="31" t="e">
        <f>#REF!</f>
        <v>#REF!</v>
      </c>
      <c r="O2340" s="37" t="e">
        <f>SUM(C2340:N2340)</f>
        <v>#REF!</v>
      </c>
    </row>
    <row r="2341" spans="2:15" ht="17.399999999999999">
      <c r="B2341" s="42" t="s">
        <v>41</v>
      </c>
      <c r="C2341" s="39" t="e">
        <f>#REF!</f>
        <v>#REF!</v>
      </c>
      <c r="D2341" s="31" t="e">
        <f>#REF!</f>
        <v>#REF!</v>
      </c>
      <c r="E2341" s="31" t="e">
        <f>#REF!</f>
        <v>#REF!</v>
      </c>
      <c r="F2341" s="31" t="e">
        <f>#REF!</f>
        <v>#REF!</v>
      </c>
      <c r="G2341" s="31" t="e">
        <f>#REF!</f>
        <v>#REF!</v>
      </c>
      <c r="H2341" s="31" t="e">
        <f>#REF!</f>
        <v>#REF!</v>
      </c>
      <c r="I2341" s="31">
        <f>'تقرير المصروفات حسب الشهر'!X764</f>
        <v>10825</v>
      </c>
      <c r="J2341" s="31">
        <f>'تقرير المصروفات حسب الشهر'!X891</f>
        <v>10659.62</v>
      </c>
      <c r="K2341" s="31">
        <f>'تقرير المصروفات حسب الشهر'!X1018</f>
        <v>11460.880000000001</v>
      </c>
      <c r="L2341" s="292">
        <f>IFERROR(VLOOKUP(B2341,'تقرير المصروفات حسب الشهر'!$C$1143:$AD$1254,22,FALSE),0)</f>
        <v>11427.13</v>
      </c>
      <c r="M2341" s="292">
        <f>IFERROR(VLOOKUP(B2341,'تقرير المصروفات حسب الشهر'!$C$1270:$AD$1381,22,FALSE),0)</f>
        <v>11044.2</v>
      </c>
      <c r="N2341" s="31" t="e">
        <f>#REF!</f>
        <v>#REF!</v>
      </c>
      <c r="O2341" s="37" t="e">
        <f t="shared" ref="O2341:O2404" si="60">SUM(C2341:N2341)</f>
        <v>#REF!</v>
      </c>
    </row>
    <row r="2342" spans="2:15" ht="17.399999999999999">
      <c r="B2342" s="42" t="s">
        <v>26</v>
      </c>
      <c r="C2342" s="39" t="e">
        <f>#REF!</f>
        <v>#REF!</v>
      </c>
      <c r="D2342" s="31" t="e">
        <f>#REF!</f>
        <v>#REF!</v>
      </c>
      <c r="E2342" s="31" t="e">
        <f>#REF!</f>
        <v>#REF!</v>
      </c>
      <c r="F2342" s="31" t="e">
        <f>#REF!</f>
        <v>#REF!</v>
      </c>
      <c r="G2342" s="31" t="e">
        <f>#REF!</f>
        <v>#REF!</v>
      </c>
      <c r="H2342" s="31" t="e">
        <f>#REF!</f>
        <v>#REF!</v>
      </c>
      <c r="I2342" s="31">
        <f>'تقرير المصروفات حسب الشهر'!X765</f>
        <v>0</v>
      </c>
      <c r="J2342" s="31">
        <f>'تقرير المصروفات حسب الشهر'!X892</f>
        <v>0</v>
      </c>
      <c r="K2342" s="31">
        <f>'تقرير المصروفات حسب الشهر'!X1019</f>
        <v>0</v>
      </c>
      <c r="L2342" s="292">
        <f>IFERROR(VLOOKUP(B2342,'تقرير المصروفات حسب الشهر'!$C$1143:$AD$1254,22,FALSE),0)</f>
        <v>0</v>
      </c>
      <c r="M2342" s="292">
        <f>IFERROR(VLOOKUP(B2342,'تقرير المصروفات حسب الشهر'!$C$1270:$AD$1381,22,FALSE),0)</f>
        <v>0</v>
      </c>
      <c r="N2342" s="31" t="e">
        <f>#REF!</f>
        <v>#REF!</v>
      </c>
      <c r="O2342" s="37" t="e">
        <f t="shared" si="60"/>
        <v>#REF!</v>
      </c>
    </row>
    <row r="2343" spans="2:15" ht="17.399999999999999">
      <c r="B2343" s="42" t="s">
        <v>27</v>
      </c>
      <c r="C2343" s="39" t="e">
        <f>#REF!</f>
        <v>#REF!</v>
      </c>
      <c r="D2343" s="31" t="e">
        <f>#REF!</f>
        <v>#REF!</v>
      </c>
      <c r="E2343" s="31" t="e">
        <f>#REF!</f>
        <v>#REF!</v>
      </c>
      <c r="F2343" s="31" t="e">
        <f>#REF!</f>
        <v>#REF!</v>
      </c>
      <c r="G2343" s="31" t="e">
        <f>#REF!</f>
        <v>#REF!</v>
      </c>
      <c r="H2343" s="31" t="e">
        <f>#REF!</f>
        <v>#REF!</v>
      </c>
      <c r="I2343" s="31">
        <f>'تقرير المصروفات حسب الشهر'!X766</f>
        <v>0</v>
      </c>
      <c r="J2343" s="31">
        <f>'تقرير المصروفات حسب الشهر'!X893</f>
        <v>0</v>
      </c>
      <c r="K2343" s="31">
        <f>'تقرير المصروفات حسب الشهر'!X1020</f>
        <v>0</v>
      </c>
      <c r="L2343" s="292">
        <f>IFERROR(VLOOKUP(B2343,'تقرير المصروفات حسب الشهر'!$C$1143:$AD$1254,22,FALSE),0)</f>
        <v>0</v>
      </c>
      <c r="M2343" s="292">
        <f>IFERROR(VLOOKUP(B2343,'تقرير المصروفات حسب الشهر'!$C$1270:$AD$1381,22,FALSE),0)</f>
        <v>0</v>
      </c>
      <c r="N2343" s="31" t="e">
        <f>#REF!</f>
        <v>#REF!</v>
      </c>
      <c r="O2343" s="37" t="e">
        <f t="shared" si="60"/>
        <v>#REF!</v>
      </c>
    </row>
    <row r="2344" spans="2:15" ht="17.399999999999999">
      <c r="B2344" s="42" t="s">
        <v>42</v>
      </c>
      <c r="C2344" s="39" t="e">
        <f>#REF!</f>
        <v>#REF!</v>
      </c>
      <c r="D2344" s="31" t="e">
        <f>#REF!</f>
        <v>#REF!</v>
      </c>
      <c r="E2344" s="31" t="e">
        <f>#REF!</f>
        <v>#REF!</v>
      </c>
      <c r="F2344" s="31" t="e">
        <f>#REF!</f>
        <v>#REF!</v>
      </c>
      <c r="G2344" s="31" t="e">
        <f>#REF!</f>
        <v>#REF!</v>
      </c>
      <c r="H2344" s="31" t="e">
        <f>#REF!</f>
        <v>#REF!</v>
      </c>
      <c r="I2344" s="31">
        <f>'تقرير المصروفات حسب الشهر'!X767</f>
        <v>0</v>
      </c>
      <c r="J2344" s="31">
        <f>'تقرير المصروفات حسب الشهر'!X894</f>
        <v>0</v>
      </c>
      <c r="K2344" s="31">
        <f>'تقرير المصروفات حسب الشهر'!X1021</f>
        <v>0</v>
      </c>
      <c r="L2344" s="292">
        <f>IFERROR(VLOOKUP(B2344,'تقرير المصروفات حسب الشهر'!$C$1143:$AD$1254,22,FALSE),0)</f>
        <v>0</v>
      </c>
      <c r="M2344" s="292">
        <f>IFERROR(VLOOKUP(B2344,'تقرير المصروفات حسب الشهر'!$C$1270:$AD$1381,22,FALSE),0)</f>
        <v>0</v>
      </c>
      <c r="N2344" s="31" t="e">
        <f>#REF!</f>
        <v>#REF!</v>
      </c>
      <c r="O2344" s="37" t="e">
        <f t="shared" si="60"/>
        <v>#REF!</v>
      </c>
    </row>
    <row r="2345" spans="2:15" ht="17.399999999999999">
      <c r="B2345" s="42" t="s">
        <v>43</v>
      </c>
      <c r="C2345" s="39" t="e">
        <f>#REF!</f>
        <v>#REF!</v>
      </c>
      <c r="D2345" s="31" t="e">
        <f>#REF!</f>
        <v>#REF!</v>
      </c>
      <c r="E2345" s="31" t="e">
        <f>#REF!</f>
        <v>#REF!</v>
      </c>
      <c r="F2345" s="31" t="e">
        <f>#REF!</f>
        <v>#REF!</v>
      </c>
      <c r="G2345" s="31" t="e">
        <f>#REF!</f>
        <v>#REF!</v>
      </c>
      <c r="H2345" s="31" t="e">
        <f>#REF!</f>
        <v>#REF!</v>
      </c>
      <c r="I2345" s="31">
        <f>'تقرير المصروفات حسب الشهر'!X768</f>
        <v>0</v>
      </c>
      <c r="J2345" s="31">
        <f>'تقرير المصروفات حسب الشهر'!X895</f>
        <v>0</v>
      </c>
      <c r="K2345" s="31">
        <f>'تقرير المصروفات حسب الشهر'!X1022</f>
        <v>0</v>
      </c>
      <c r="L2345" s="292">
        <f>IFERROR(VLOOKUP(B2345,'تقرير المصروفات حسب الشهر'!$C$1143:$AD$1254,22,FALSE),0)</f>
        <v>0</v>
      </c>
      <c r="M2345" s="292">
        <f>IFERROR(VLOOKUP(B2345,'تقرير المصروفات حسب الشهر'!$C$1270:$AD$1381,22,FALSE),0)</f>
        <v>0</v>
      </c>
      <c r="N2345" s="31" t="e">
        <f>#REF!</f>
        <v>#REF!</v>
      </c>
      <c r="O2345" s="37" t="e">
        <f t="shared" si="60"/>
        <v>#REF!</v>
      </c>
    </row>
    <row r="2346" spans="2:15" ht="17.399999999999999">
      <c r="B2346" s="42" t="s">
        <v>44</v>
      </c>
      <c r="C2346" s="39" t="e">
        <f>#REF!</f>
        <v>#REF!</v>
      </c>
      <c r="D2346" s="31" t="e">
        <f>#REF!</f>
        <v>#REF!</v>
      </c>
      <c r="E2346" s="31" t="e">
        <f>#REF!</f>
        <v>#REF!</v>
      </c>
      <c r="F2346" s="31" t="e">
        <f>#REF!</f>
        <v>#REF!</v>
      </c>
      <c r="G2346" s="31" t="e">
        <f>#REF!</f>
        <v>#REF!</v>
      </c>
      <c r="H2346" s="31" t="e">
        <f>#REF!</f>
        <v>#REF!</v>
      </c>
      <c r="I2346" s="31">
        <f>'تقرير المصروفات حسب الشهر'!X769</f>
        <v>0</v>
      </c>
      <c r="J2346" s="31">
        <f>'تقرير المصروفات حسب الشهر'!X896</f>
        <v>0</v>
      </c>
      <c r="K2346" s="31">
        <f>'تقرير المصروفات حسب الشهر'!X1023</f>
        <v>0</v>
      </c>
      <c r="L2346" s="292">
        <f>IFERROR(VLOOKUP(B2346,'تقرير المصروفات حسب الشهر'!$C$1143:$AD$1254,22,FALSE),0)</f>
        <v>0</v>
      </c>
      <c r="M2346" s="292">
        <f>IFERROR(VLOOKUP(B2346,'تقرير المصروفات حسب الشهر'!$C$1270:$AD$1381,22,FALSE),0)</f>
        <v>0</v>
      </c>
      <c r="N2346" s="31" t="e">
        <f>#REF!</f>
        <v>#REF!</v>
      </c>
      <c r="O2346" s="37" t="e">
        <f t="shared" si="60"/>
        <v>#REF!</v>
      </c>
    </row>
    <row r="2347" spans="2:15" ht="17.399999999999999">
      <c r="B2347" s="42" t="s">
        <v>45</v>
      </c>
      <c r="C2347" s="39" t="e">
        <f>#REF!</f>
        <v>#REF!</v>
      </c>
      <c r="D2347" s="31" t="e">
        <f>#REF!</f>
        <v>#REF!</v>
      </c>
      <c r="E2347" s="31" t="e">
        <f>#REF!</f>
        <v>#REF!</v>
      </c>
      <c r="F2347" s="31" t="e">
        <f>#REF!</f>
        <v>#REF!</v>
      </c>
      <c r="G2347" s="31" t="e">
        <f>#REF!</f>
        <v>#REF!</v>
      </c>
      <c r="H2347" s="31" t="e">
        <f>#REF!</f>
        <v>#REF!</v>
      </c>
      <c r="I2347" s="31">
        <f>'تقرير المصروفات حسب الشهر'!X770</f>
        <v>0</v>
      </c>
      <c r="J2347" s="31">
        <f>'تقرير المصروفات حسب الشهر'!X897</f>
        <v>0</v>
      </c>
      <c r="K2347" s="31">
        <f>'تقرير المصروفات حسب الشهر'!X1024</f>
        <v>0</v>
      </c>
      <c r="L2347" s="292">
        <f>IFERROR(VLOOKUP(B2347,'تقرير المصروفات حسب الشهر'!$C$1143:$AD$1254,22,FALSE),0)</f>
        <v>0</v>
      </c>
      <c r="M2347" s="292">
        <f>IFERROR(VLOOKUP(B2347,'تقرير المصروفات حسب الشهر'!$C$1270:$AD$1381,22,FALSE),0)</f>
        <v>0</v>
      </c>
      <c r="N2347" s="31" t="e">
        <f>#REF!</f>
        <v>#REF!</v>
      </c>
      <c r="O2347" s="37" t="e">
        <f t="shared" si="60"/>
        <v>#REF!</v>
      </c>
    </row>
    <row r="2348" spans="2:15" ht="17.399999999999999">
      <c r="B2348" s="42" t="s">
        <v>156</v>
      </c>
      <c r="C2348" s="39" t="e">
        <f>#REF!</f>
        <v>#REF!</v>
      </c>
      <c r="D2348" s="31" t="e">
        <f>#REF!</f>
        <v>#REF!</v>
      </c>
      <c r="E2348" s="31" t="e">
        <f>#REF!</f>
        <v>#REF!</v>
      </c>
      <c r="F2348" s="31" t="e">
        <f>#REF!</f>
        <v>#REF!</v>
      </c>
      <c r="G2348" s="31" t="e">
        <f>#REF!</f>
        <v>#REF!</v>
      </c>
      <c r="H2348" s="31" t="e">
        <f>#REF!</f>
        <v>#REF!</v>
      </c>
      <c r="I2348" s="31">
        <f>'تقرير المصروفات حسب الشهر'!X771</f>
        <v>0</v>
      </c>
      <c r="J2348" s="31">
        <f>'تقرير المصروفات حسب الشهر'!X898</f>
        <v>0</v>
      </c>
      <c r="K2348" s="31">
        <f>'تقرير المصروفات حسب الشهر'!X1025</f>
        <v>0</v>
      </c>
      <c r="L2348" s="292">
        <f>IFERROR(VLOOKUP(B2348,'تقرير المصروفات حسب الشهر'!$C$1143:$AD$1254,22,FALSE),0)</f>
        <v>0</v>
      </c>
      <c r="M2348" s="292">
        <f>IFERROR(VLOOKUP(B2348,'تقرير المصروفات حسب الشهر'!$C$1270:$AD$1381,22,FALSE),0)</f>
        <v>0</v>
      </c>
      <c r="N2348" s="31" t="e">
        <f>#REF!</f>
        <v>#REF!</v>
      </c>
      <c r="O2348" s="37" t="e">
        <f t="shared" si="60"/>
        <v>#REF!</v>
      </c>
    </row>
    <row r="2349" spans="2:15" ht="17.399999999999999">
      <c r="B2349" s="42" t="s">
        <v>46</v>
      </c>
      <c r="C2349" s="39" t="e">
        <f>#REF!</f>
        <v>#REF!</v>
      </c>
      <c r="D2349" s="31" t="e">
        <f>#REF!</f>
        <v>#REF!</v>
      </c>
      <c r="E2349" s="31" t="e">
        <f>#REF!</f>
        <v>#REF!</v>
      </c>
      <c r="F2349" s="31" t="e">
        <f>#REF!</f>
        <v>#REF!</v>
      </c>
      <c r="G2349" s="31" t="e">
        <f>#REF!</f>
        <v>#REF!</v>
      </c>
      <c r="H2349" s="31" t="e">
        <f>#REF!</f>
        <v>#REF!</v>
      </c>
      <c r="I2349" s="31">
        <f>'تقرير المصروفات حسب الشهر'!X772</f>
        <v>168.67</v>
      </c>
      <c r="J2349" s="31">
        <f>'تقرير المصروفات حسب الشهر'!X899</f>
        <v>168.67</v>
      </c>
      <c r="K2349" s="31">
        <f>'تقرير المصروفات حسب الشهر'!X1026</f>
        <v>168.67</v>
      </c>
      <c r="L2349" s="292">
        <f>IFERROR(VLOOKUP(B2349,'تقرير المصروفات حسب الشهر'!$C$1143:$AD$1254,22,FALSE),0)</f>
        <v>168.67</v>
      </c>
      <c r="M2349" s="292">
        <f>IFERROR(VLOOKUP(B2349,'تقرير المصروفات حسب الشهر'!$C$1270:$AD$1381,22,FALSE),0)</f>
        <v>168.67</v>
      </c>
      <c r="N2349" s="31" t="e">
        <f>#REF!</f>
        <v>#REF!</v>
      </c>
      <c r="O2349" s="37" t="e">
        <f t="shared" si="60"/>
        <v>#REF!</v>
      </c>
    </row>
    <row r="2350" spans="2:15" ht="17.399999999999999">
      <c r="B2350" s="42" t="s">
        <v>47</v>
      </c>
      <c r="C2350" s="39" t="e">
        <f>#REF!</f>
        <v>#REF!</v>
      </c>
      <c r="D2350" s="31" t="e">
        <f>#REF!</f>
        <v>#REF!</v>
      </c>
      <c r="E2350" s="31" t="e">
        <f>#REF!</f>
        <v>#REF!</v>
      </c>
      <c r="F2350" s="31" t="e">
        <f>#REF!</f>
        <v>#REF!</v>
      </c>
      <c r="G2350" s="31" t="e">
        <f>#REF!</f>
        <v>#REF!</v>
      </c>
      <c r="H2350" s="31" t="e">
        <f>#REF!</f>
        <v>#REF!</v>
      </c>
      <c r="I2350" s="31">
        <f>'تقرير المصروفات حسب الشهر'!X773</f>
        <v>0</v>
      </c>
      <c r="J2350" s="31">
        <f>'تقرير المصروفات حسب الشهر'!X900</f>
        <v>0</v>
      </c>
      <c r="K2350" s="31">
        <f>'تقرير المصروفات حسب الشهر'!X1027</f>
        <v>0</v>
      </c>
      <c r="L2350" s="292">
        <f>IFERROR(VLOOKUP(B2350,'تقرير المصروفات حسب الشهر'!$C$1143:$AD$1254,22,FALSE),0)</f>
        <v>0</v>
      </c>
      <c r="M2350" s="292">
        <f>IFERROR(VLOOKUP(B2350,'تقرير المصروفات حسب الشهر'!$C$1270:$AD$1381,22,FALSE),0)</f>
        <v>100</v>
      </c>
      <c r="N2350" s="31" t="e">
        <f>#REF!</f>
        <v>#REF!</v>
      </c>
      <c r="O2350" s="37" t="e">
        <f t="shared" si="60"/>
        <v>#REF!</v>
      </c>
    </row>
    <row r="2351" spans="2:15" ht="17.399999999999999">
      <c r="B2351" s="42" t="s">
        <v>48</v>
      </c>
      <c r="C2351" s="39" t="e">
        <f>#REF!</f>
        <v>#REF!</v>
      </c>
      <c r="D2351" s="31" t="e">
        <f>#REF!</f>
        <v>#REF!</v>
      </c>
      <c r="E2351" s="31" t="e">
        <f>#REF!</f>
        <v>#REF!</v>
      </c>
      <c r="F2351" s="31" t="e">
        <f>#REF!</f>
        <v>#REF!</v>
      </c>
      <c r="G2351" s="31" t="e">
        <f>#REF!</f>
        <v>#REF!</v>
      </c>
      <c r="H2351" s="31" t="e">
        <f>#REF!</f>
        <v>#REF!</v>
      </c>
      <c r="I2351" s="31">
        <f>'تقرير المصروفات حسب الشهر'!X774</f>
        <v>0</v>
      </c>
      <c r="J2351" s="31">
        <f>'تقرير المصروفات حسب الشهر'!X901</f>
        <v>0</v>
      </c>
      <c r="K2351" s="31">
        <f>'تقرير المصروفات حسب الشهر'!X1028</f>
        <v>0</v>
      </c>
      <c r="L2351" s="292">
        <f>IFERROR(VLOOKUP(B2351,'تقرير المصروفات حسب الشهر'!$C$1143:$AD$1254,22,FALSE),0)</f>
        <v>0</v>
      </c>
      <c r="M2351" s="292">
        <f>IFERROR(VLOOKUP(B2351,'تقرير المصروفات حسب الشهر'!$C$1270:$AD$1381,22,FALSE),0)</f>
        <v>0</v>
      </c>
      <c r="N2351" s="31" t="e">
        <f>#REF!</f>
        <v>#REF!</v>
      </c>
      <c r="O2351" s="37" t="e">
        <f t="shared" si="60"/>
        <v>#REF!</v>
      </c>
    </row>
    <row r="2352" spans="2:15" ht="17.399999999999999">
      <c r="B2352" s="42" t="s">
        <v>49</v>
      </c>
      <c r="C2352" s="39" t="e">
        <f>#REF!</f>
        <v>#REF!</v>
      </c>
      <c r="D2352" s="31" t="e">
        <f>#REF!</f>
        <v>#REF!</v>
      </c>
      <c r="E2352" s="31" t="e">
        <f>#REF!</f>
        <v>#REF!</v>
      </c>
      <c r="F2352" s="31" t="e">
        <f>#REF!</f>
        <v>#REF!</v>
      </c>
      <c r="G2352" s="31" t="e">
        <f>#REF!</f>
        <v>#REF!</v>
      </c>
      <c r="H2352" s="31" t="e">
        <f>#REF!</f>
        <v>#REF!</v>
      </c>
      <c r="I2352" s="31">
        <f>'تقرير المصروفات حسب الشهر'!X775</f>
        <v>0</v>
      </c>
      <c r="J2352" s="31">
        <f>'تقرير المصروفات حسب الشهر'!X902</f>
        <v>0</v>
      </c>
      <c r="K2352" s="31">
        <f>'تقرير المصروفات حسب الشهر'!X1029</f>
        <v>0</v>
      </c>
      <c r="L2352" s="292">
        <f>IFERROR(VLOOKUP(B2352,'تقرير المصروفات حسب الشهر'!$C$1143:$AD$1254,22,FALSE),0)</f>
        <v>0</v>
      </c>
      <c r="M2352" s="292">
        <f>IFERROR(VLOOKUP(B2352,'تقرير المصروفات حسب الشهر'!$C$1270:$AD$1381,22,FALSE),0)</f>
        <v>0</v>
      </c>
      <c r="N2352" s="31" t="e">
        <f>#REF!</f>
        <v>#REF!</v>
      </c>
      <c r="O2352" s="37" t="e">
        <f t="shared" si="60"/>
        <v>#REF!</v>
      </c>
    </row>
    <row r="2353" spans="2:15" ht="17.399999999999999">
      <c r="B2353" s="42" t="s">
        <v>158</v>
      </c>
      <c r="C2353" s="39" t="e">
        <f>#REF!</f>
        <v>#REF!</v>
      </c>
      <c r="D2353" s="31" t="e">
        <f>#REF!</f>
        <v>#REF!</v>
      </c>
      <c r="E2353" s="31" t="e">
        <f>#REF!</f>
        <v>#REF!</v>
      </c>
      <c r="F2353" s="31" t="e">
        <f>#REF!</f>
        <v>#REF!</v>
      </c>
      <c r="G2353" s="31" t="e">
        <f>#REF!</f>
        <v>#REF!</v>
      </c>
      <c r="H2353" s="31" t="e">
        <f>#REF!</f>
        <v>#REF!</v>
      </c>
      <c r="I2353" s="31">
        <f>'تقرير المصروفات حسب الشهر'!X776</f>
        <v>0</v>
      </c>
      <c r="J2353" s="31">
        <f>'تقرير المصروفات حسب الشهر'!X903</f>
        <v>0</v>
      </c>
      <c r="K2353" s="31">
        <f>'تقرير المصروفات حسب الشهر'!X1030</f>
        <v>0</v>
      </c>
      <c r="L2353" s="292">
        <f>IFERROR(VLOOKUP(B2353,'تقرير المصروفات حسب الشهر'!$C$1143:$AD$1254,22,FALSE),0)</f>
        <v>0</v>
      </c>
      <c r="M2353" s="292">
        <f>IFERROR(VLOOKUP(B2353,'تقرير المصروفات حسب الشهر'!$C$1270:$AD$1381,22,FALSE),0)</f>
        <v>0</v>
      </c>
      <c r="N2353" s="31" t="e">
        <f>#REF!</f>
        <v>#REF!</v>
      </c>
      <c r="O2353" s="37" t="e">
        <f t="shared" si="60"/>
        <v>#REF!</v>
      </c>
    </row>
    <row r="2354" spans="2:15" ht="17.399999999999999">
      <c r="B2354" s="42" t="s">
        <v>50</v>
      </c>
      <c r="C2354" s="39" t="e">
        <f>#REF!</f>
        <v>#REF!</v>
      </c>
      <c r="D2354" s="31" t="e">
        <f>#REF!</f>
        <v>#REF!</v>
      </c>
      <c r="E2354" s="31" t="e">
        <f>#REF!</f>
        <v>#REF!</v>
      </c>
      <c r="F2354" s="31" t="e">
        <f>#REF!</f>
        <v>#REF!</v>
      </c>
      <c r="G2354" s="31" t="e">
        <f>#REF!</f>
        <v>#REF!</v>
      </c>
      <c r="H2354" s="31" t="e">
        <f>#REF!</f>
        <v>#REF!</v>
      </c>
      <c r="I2354" s="31">
        <f>'تقرير المصروفات حسب الشهر'!X777</f>
        <v>0</v>
      </c>
      <c r="J2354" s="31">
        <f>'تقرير المصروفات حسب الشهر'!X904</f>
        <v>0</v>
      </c>
      <c r="K2354" s="31">
        <f>'تقرير المصروفات حسب الشهر'!X1031</f>
        <v>0</v>
      </c>
      <c r="L2354" s="292">
        <f>IFERROR(VLOOKUP(B2354,'تقرير المصروفات حسب الشهر'!$C$1143:$AD$1254,22,FALSE),0)</f>
        <v>0</v>
      </c>
      <c r="M2354" s="292">
        <f>IFERROR(VLOOKUP(B2354,'تقرير المصروفات حسب الشهر'!$C$1270:$AD$1381,22,FALSE),0)</f>
        <v>0</v>
      </c>
      <c r="N2354" s="31" t="e">
        <f>#REF!</f>
        <v>#REF!</v>
      </c>
      <c r="O2354" s="37" t="e">
        <f t="shared" si="60"/>
        <v>#REF!</v>
      </c>
    </row>
    <row r="2355" spans="2:15" ht="17.399999999999999">
      <c r="B2355" s="42" t="s">
        <v>51</v>
      </c>
      <c r="C2355" s="39" t="e">
        <f>#REF!</f>
        <v>#REF!</v>
      </c>
      <c r="D2355" s="31" t="e">
        <f>#REF!</f>
        <v>#REF!</v>
      </c>
      <c r="E2355" s="31" t="e">
        <f>#REF!</f>
        <v>#REF!</v>
      </c>
      <c r="F2355" s="31" t="e">
        <f>#REF!</f>
        <v>#REF!</v>
      </c>
      <c r="G2355" s="31" t="e">
        <f>#REF!</f>
        <v>#REF!</v>
      </c>
      <c r="H2355" s="31" t="e">
        <f>#REF!</f>
        <v>#REF!</v>
      </c>
      <c r="I2355" s="31">
        <f>'تقرير المصروفات حسب الشهر'!X778</f>
        <v>0</v>
      </c>
      <c r="J2355" s="31">
        <f>'تقرير المصروفات حسب الشهر'!X905</f>
        <v>0</v>
      </c>
      <c r="K2355" s="31">
        <f>'تقرير المصروفات حسب الشهر'!X1032</f>
        <v>0</v>
      </c>
      <c r="L2355" s="292">
        <f>IFERROR(VLOOKUP(B2355,'تقرير المصروفات حسب الشهر'!$C$1143:$AD$1254,22,FALSE),0)</f>
        <v>0</v>
      </c>
      <c r="M2355" s="292">
        <f>IFERROR(VLOOKUP(B2355,'تقرير المصروفات حسب الشهر'!$C$1270:$AD$1381,22,FALSE),0)</f>
        <v>0</v>
      </c>
      <c r="N2355" s="31" t="e">
        <f>#REF!</f>
        <v>#REF!</v>
      </c>
      <c r="O2355" s="37" t="e">
        <f t="shared" si="60"/>
        <v>#REF!</v>
      </c>
    </row>
    <row r="2356" spans="2:15" ht="17.399999999999999">
      <c r="B2356" s="42" t="s">
        <v>52</v>
      </c>
      <c r="C2356" s="39" t="e">
        <f>#REF!</f>
        <v>#REF!</v>
      </c>
      <c r="D2356" s="31" t="e">
        <f>#REF!</f>
        <v>#REF!</v>
      </c>
      <c r="E2356" s="31" t="e">
        <f>#REF!</f>
        <v>#REF!</v>
      </c>
      <c r="F2356" s="31" t="e">
        <f>#REF!</f>
        <v>#REF!</v>
      </c>
      <c r="G2356" s="31" t="e">
        <f>#REF!</f>
        <v>#REF!</v>
      </c>
      <c r="H2356" s="31" t="e">
        <f>#REF!</f>
        <v>#REF!</v>
      </c>
      <c r="I2356" s="31">
        <f>'تقرير المصروفات حسب الشهر'!X779</f>
        <v>0</v>
      </c>
      <c r="J2356" s="31">
        <f>'تقرير المصروفات حسب الشهر'!X906</f>
        <v>0</v>
      </c>
      <c r="K2356" s="31">
        <f>'تقرير المصروفات حسب الشهر'!X1033</f>
        <v>0</v>
      </c>
      <c r="L2356" s="292">
        <f>IFERROR(VLOOKUP(B2356,'تقرير المصروفات حسب الشهر'!$C$1143:$AD$1254,22,FALSE),0)</f>
        <v>0</v>
      </c>
      <c r="M2356" s="292">
        <f>IFERROR(VLOOKUP(B2356,'تقرير المصروفات حسب الشهر'!$C$1270:$AD$1381,22,FALSE),0)</f>
        <v>0</v>
      </c>
      <c r="N2356" s="31" t="e">
        <f>#REF!</f>
        <v>#REF!</v>
      </c>
      <c r="O2356" s="37" t="e">
        <f t="shared" si="60"/>
        <v>#REF!</v>
      </c>
    </row>
    <row r="2357" spans="2:15" ht="17.399999999999999">
      <c r="B2357" s="42" t="s">
        <v>174</v>
      </c>
      <c r="C2357" s="39" t="e">
        <f>#REF!</f>
        <v>#REF!</v>
      </c>
      <c r="D2357" s="31" t="e">
        <f>#REF!</f>
        <v>#REF!</v>
      </c>
      <c r="E2357" s="31" t="e">
        <f>#REF!</f>
        <v>#REF!</v>
      </c>
      <c r="F2357" s="31" t="e">
        <f>#REF!</f>
        <v>#REF!</v>
      </c>
      <c r="G2357" s="31" t="e">
        <f>#REF!</f>
        <v>#REF!</v>
      </c>
      <c r="H2357" s="31" t="e">
        <f>#REF!</f>
        <v>#REF!</v>
      </c>
      <c r="I2357" s="31">
        <f>'تقرير المصروفات حسب الشهر'!X780</f>
        <v>31666</v>
      </c>
      <c r="J2357" s="31">
        <f>'تقرير المصروفات حسب الشهر'!X907</f>
        <v>0</v>
      </c>
      <c r="K2357" s="31">
        <f>'تقرير المصروفات حسب الشهر'!X1034</f>
        <v>0</v>
      </c>
      <c r="L2357" s="292">
        <f>IFERROR(VLOOKUP(B2357,'تقرير المصروفات حسب الشهر'!$C$1143:$AD$1254,22,FALSE),0)</f>
        <v>25000</v>
      </c>
      <c r="M2357" s="292">
        <f>IFERROR(VLOOKUP(B2357,'تقرير المصروفات حسب الشهر'!$C$1270:$AD$1381,22,FALSE),0)</f>
        <v>506</v>
      </c>
      <c r="N2357" s="31" t="e">
        <f>#REF!</f>
        <v>#REF!</v>
      </c>
      <c r="O2357" s="37" t="e">
        <f t="shared" si="60"/>
        <v>#REF!</v>
      </c>
    </row>
    <row r="2358" spans="2:15" ht="17.399999999999999">
      <c r="B2358" s="42" t="s">
        <v>53</v>
      </c>
      <c r="C2358" s="39" t="e">
        <f>#REF!</f>
        <v>#REF!</v>
      </c>
      <c r="D2358" s="31" t="e">
        <f>#REF!</f>
        <v>#REF!</v>
      </c>
      <c r="E2358" s="31" t="e">
        <f>#REF!</f>
        <v>#REF!</v>
      </c>
      <c r="F2358" s="31" t="e">
        <f>#REF!</f>
        <v>#REF!</v>
      </c>
      <c r="G2358" s="31" t="e">
        <f>#REF!</f>
        <v>#REF!</v>
      </c>
      <c r="H2358" s="31" t="e">
        <f>#REF!</f>
        <v>#REF!</v>
      </c>
      <c r="I2358" s="31">
        <f>'تقرير المصروفات حسب الشهر'!X781</f>
        <v>0</v>
      </c>
      <c r="J2358" s="31">
        <f>'تقرير المصروفات حسب الشهر'!X908</f>
        <v>0</v>
      </c>
      <c r="K2358" s="31">
        <f>'تقرير المصروفات حسب الشهر'!X1035</f>
        <v>0</v>
      </c>
      <c r="L2358" s="292">
        <f>IFERROR(VLOOKUP(B2358,'تقرير المصروفات حسب الشهر'!$C$1143:$AD$1254,22,FALSE),0)</f>
        <v>0</v>
      </c>
      <c r="M2358" s="292">
        <f>IFERROR(VLOOKUP(B2358,'تقرير المصروفات حسب الشهر'!$C$1270:$AD$1381,22,FALSE),0)</f>
        <v>0</v>
      </c>
      <c r="N2358" s="31" t="e">
        <f>#REF!</f>
        <v>#REF!</v>
      </c>
      <c r="O2358" s="37" t="e">
        <f t="shared" si="60"/>
        <v>#REF!</v>
      </c>
    </row>
    <row r="2359" spans="2:15" ht="17.399999999999999">
      <c r="B2359" s="42" t="s">
        <v>191</v>
      </c>
      <c r="C2359" s="39" t="e">
        <f>#REF!</f>
        <v>#REF!</v>
      </c>
      <c r="D2359" s="31" t="e">
        <f>#REF!</f>
        <v>#REF!</v>
      </c>
      <c r="E2359" s="31" t="e">
        <f>#REF!</f>
        <v>#REF!</v>
      </c>
      <c r="F2359" s="31" t="e">
        <f>#REF!</f>
        <v>#REF!</v>
      </c>
      <c r="G2359" s="31" t="e">
        <f>#REF!</f>
        <v>#REF!</v>
      </c>
      <c r="H2359" s="31" t="e">
        <f>#REF!</f>
        <v>#REF!</v>
      </c>
      <c r="I2359" s="31">
        <f>'تقرير المصروفات حسب الشهر'!X782</f>
        <v>0</v>
      </c>
      <c r="J2359" s="31">
        <f>'تقرير المصروفات حسب الشهر'!X909</f>
        <v>0</v>
      </c>
      <c r="K2359" s="31">
        <f>'تقرير المصروفات حسب الشهر'!X1036</f>
        <v>0</v>
      </c>
      <c r="L2359" s="292">
        <f>IFERROR(VLOOKUP(B2359,'تقرير المصروفات حسب الشهر'!$C$1143:$AD$1254,22,FALSE),0)</f>
        <v>0</v>
      </c>
      <c r="M2359" s="292">
        <f>IFERROR(VLOOKUP(B2359,'تقرير المصروفات حسب الشهر'!$C$1270:$AD$1381,22,FALSE),0)</f>
        <v>0</v>
      </c>
      <c r="N2359" s="31" t="e">
        <f>#REF!</f>
        <v>#REF!</v>
      </c>
      <c r="O2359" s="37" t="e">
        <f t="shared" si="60"/>
        <v>#REF!</v>
      </c>
    </row>
    <row r="2360" spans="2:15" ht="17.399999999999999">
      <c r="B2360" s="42" t="s">
        <v>29</v>
      </c>
      <c r="C2360" s="39" t="e">
        <f>#REF!</f>
        <v>#REF!</v>
      </c>
      <c r="D2360" s="31" t="e">
        <f>#REF!</f>
        <v>#REF!</v>
      </c>
      <c r="E2360" s="31" t="e">
        <f>#REF!</f>
        <v>#REF!</v>
      </c>
      <c r="F2360" s="31" t="e">
        <f>#REF!</f>
        <v>#REF!</v>
      </c>
      <c r="G2360" s="31" t="e">
        <f>#REF!</f>
        <v>#REF!</v>
      </c>
      <c r="H2360" s="31" t="e">
        <f>#REF!</f>
        <v>#REF!</v>
      </c>
      <c r="I2360" s="31">
        <f>'تقرير المصروفات حسب الشهر'!X783</f>
        <v>0</v>
      </c>
      <c r="J2360" s="31">
        <f>'تقرير المصروفات حسب الشهر'!X910</f>
        <v>0</v>
      </c>
      <c r="K2360" s="31">
        <f>'تقرير المصروفات حسب الشهر'!X1037</f>
        <v>0</v>
      </c>
      <c r="L2360" s="292">
        <f>IFERROR(VLOOKUP(B2360,'تقرير المصروفات حسب الشهر'!$C$1143:$AD$1254,22,FALSE),0)</f>
        <v>0</v>
      </c>
      <c r="M2360" s="292">
        <f>IFERROR(VLOOKUP(B2360,'تقرير المصروفات حسب الشهر'!$C$1270:$AD$1381,22,FALSE),0)</f>
        <v>0</v>
      </c>
      <c r="N2360" s="31" t="e">
        <f>#REF!</f>
        <v>#REF!</v>
      </c>
      <c r="O2360" s="37" t="e">
        <f t="shared" si="60"/>
        <v>#REF!</v>
      </c>
    </row>
    <row r="2361" spans="2:15" ht="17.399999999999999">
      <c r="B2361" s="42" t="s">
        <v>54</v>
      </c>
      <c r="C2361" s="39" t="e">
        <f>#REF!</f>
        <v>#REF!</v>
      </c>
      <c r="D2361" s="31" t="e">
        <f>#REF!</f>
        <v>#REF!</v>
      </c>
      <c r="E2361" s="31" t="e">
        <f>#REF!</f>
        <v>#REF!</v>
      </c>
      <c r="F2361" s="31" t="e">
        <f>#REF!</f>
        <v>#REF!</v>
      </c>
      <c r="G2361" s="31" t="e">
        <f>#REF!</f>
        <v>#REF!</v>
      </c>
      <c r="H2361" s="31" t="e">
        <f>#REF!</f>
        <v>#REF!</v>
      </c>
      <c r="I2361" s="31">
        <f>'تقرير المصروفات حسب الشهر'!X784</f>
        <v>0</v>
      </c>
      <c r="J2361" s="31">
        <f>'تقرير المصروفات حسب الشهر'!X911</f>
        <v>0</v>
      </c>
      <c r="K2361" s="31">
        <f>'تقرير المصروفات حسب الشهر'!X1038</f>
        <v>0</v>
      </c>
      <c r="L2361" s="292">
        <f>IFERROR(VLOOKUP(B2361,'تقرير المصروفات حسب الشهر'!$C$1143:$AD$1254,22,FALSE),0)</f>
        <v>0</v>
      </c>
      <c r="M2361" s="292">
        <f>IFERROR(VLOOKUP(B2361,'تقرير المصروفات حسب الشهر'!$C$1270:$AD$1381,22,FALSE),0)</f>
        <v>0</v>
      </c>
      <c r="N2361" s="31" t="e">
        <f>#REF!</f>
        <v>#REF!</v>
      </c>
      <c r="O2361" s="37" t="e">
        <f t="shared" si="60"/>
        <v>#REF!</v>
      </c>
    </row>
    <row r="2362" spans="2:15" ht="17.399999999999999">
      <c r="B2362" s="42" t="s">
        <v>31</v>
      </c>
      <c r="C2362" s="39" t="e">
        <f>#REF!</f>
        <v>#REF!</v>
      </c>
      <c r="D2362" s="31" t="e">
        <f>#REF!</f>
        <v>#REF!</v>
      </c>
      <c r="E2362" s="31" t="e">
        <f>#REF!</f>
        <v>#REF!</v>
      </c>
      <c r="F2362" s="31" t="e">
        <f>#REF!</f>
        <v>#REF!</v>
      </c>
      <c r="G2362" s="31" t="e">
        <f>#REF!</f>
        <v>#REF!</v>
      </c>
      <c r="H2362" s="31" t="e">
        <f>#REF!</f>
        <v>#REF!</v>
      </c>
      <c r="I2362" s="31">
        <f>'تقرير المصروفات حسب الشهر'!X785</f>
        <v>0</v>
      </c>
      <c r="J2362" s="31">
        <f>'تقرير المصروفات حسب الشهر'!X912</f>
        <v>0</v>
      </c>
      <c r="K2362" s="31">
        <f>'تقرير المصروفات حسب الشهر'!X1039</f>
        <v>0</v>
      </c>
      <c r="L2362" s="292">
        <f>IFERROR(VLOOKUP(B2362,'تقرير المصروفات حسب الشهر'!$C$1143:$AD$1254,22,FALSE),0)</f>
        <v>0</v>
      </c>
      <c r="M2362" s="292">
        <f>IFERROR(VLOOKUP(B2362,'تقرير المصروفات حسب الشهر'!$C$1270:$AD$1381,22,FALSE),0)</f>
        <v>0</v>
      </c>
      <c r="N2362" s="31" t="e">
        <f>#REF!</f>
        <v>#REF!</v>
      </c>
      <c r="O2362" s="37" t="e">
        <f t="shared" si="60"/>
        <v>#REF!</v>
      </c>
    </row>
    <row r="2363" spans="2:15" ht="17.399999999999999">
      <c r="B2363" s="42" t="s">
        <v>55</v>
      </c>
      <c r="C2363" s="39" t="e">
        <f>#REF!</f>
        <v>#REF!</v>
      </c>
      <c r="D2363" s="31" t="e">
        <f>#REF!</f>
        <v>#REF!</v>
      </c>
      <c r="E2363" s="31" t="e">
        <f>#REF!</f>
        <v>#REF!</v>
      </c>
      <c r="F2363" s="31" t="e">
        <f>#REF!</f>
        <v>#REF!</v>
      </c>
      <c r="G2363" s="31" t="e">
        <f>#REF!</f>
        <v>#REF!</v>
      </c>
      <c r="H2363" s="31" t="e">
        <f>#REF!</f>
        <v>#REF!</v>
      </c>
      <c r="I2363" s="31">
        <f>'تقرير المصروفات حسب الشهر'!X786</f>
        <v>0</v>
      </c>
      <c r="J2363" s="31">
        <f>'تقرير المصروفات حسب الشهر'!X913</f>
        <v>0</v>
      </c>
      <c r="K2363" s="31">
        <f>'تقرير المصروفات حسب الشهر'!X1040</f>
        <v>0</v>
      </c>
      <c r="L2363" s="292">
        <f>IFERROR(VLOOKUP(B2363,'تقرير المصروفات حسب الشهر'!$C$1143:$AD$1254,22,FALSE),0)</f>
        <v>0</v>
      </c>
      <c r="M2363" s="292">
        <f>IFERROR(VLOOKUP(B2363,'تقرير المصروفات حسب الشهر'!$C$1270:$AD$1381,22,FALSE),0)</f>
        <v>0</v>
      </c>
      <c r="N2363" s="31" t="e">
        <f>#REF!</f>
        <v>#REF!</v>
      </c>
      <c r="O2363" s="37" t="e">
        <f t="shared" si="60"/>
        <v>#REF!</v>
      </c>
    </row>
    <row r="2364" spans="2:15" ht="17.399999999999999">
      <c r="B2364" s="42" t="s">
        <v>56</v>
      </c>
      <c r="C2364" s="39" t="e">
        <f>#REF!</f>
        <v>#REF!</v>
      </c>
      <c r="D2364" s="31" t="e">
        <f>#REF!</f>
        <v>#REF!</v>
      </c>
      <c r="E2364" s="31" t="e">
        <f>#REF!</f>
        <v>#REF!</v>
      </c>
      <c r="F2364" s="31" t="e">
        <f>#REF!</f>
        <v>#REF!</v>
      </c>
      <c r="G2364" s="31" t="e">
        <f>#REF!</f>
        <v>#REF!</v>
      </c>
      <c r="H2364" s="31" t="e">
        <f>#REF!</f>
        <v>#REF!</v>
      </c>
      <c r="I2364" s="31">
        <f>'تقرير المصروفات حسب الشهر'!X787</f>
        <v>0</v>
      </c>
      <c r="J2364" s="31">
        <f>'تقرير المصروفات حسب الشهر'!X914</f>
        <v>0</v>
      </c>
      <c r="K2364" s="31">
        <f>'تقرير المصروفات حسب الشهر'!X1041</f>
        <v>0</v>
      </c>
      <c r="L2364" s="292">
        <f>IFERROR(VLOOKUP(B2364,'تقرير المصروفات حسب الشهر'!$C$1143:$AD$1254,22,FALSE),0)</f>
        <v>0</v>
      </c>
      <c r="M2364" s="292">
        <f>IFERROR(VLOOKUP(B2364,'تقرير المصروفات حسب الشهر'!$C$1270:$AD$1381,22,FALSE),0)</f>
        <v>0</v>
      </c>
      <c r="N2364" s="31" t="e">
        <f>#REF!</f>
        <v>#REF!</v>
      </c>
      <c r="O2364" s="37" t="e">
        <f t="shared" si="60"/>
        <v>#REF!</v>
      </c>
    </row>
    <row r="2365" spans="2:15" ht="17.399999999999999">
      <c r="B2365" s="42" t="s">
        <v>57</v>
      </c>
      <c r="C2365" s="39" t="e">
        <f>#REF!</f>
        <v>#REF!</v>
      </c>
      <c r="D2365" s="31" t="e">
        <f>#REF!</f>
        <v>#REF!</v>
      </c>
      <c r="E2365" s="31" t="e">
        <f>#REF!</f>
        <v>#REF!</v>
      </c>
      <c r="F2365" s="31" t="e">
        <f>#REF!</f>
        <v>#REF!</v>
      </c>
      <c r="G2365" s="31" t="e">
        <f>#REF!</f>
        <v>#REF!</v>
      </c>
      <c r="H2365" s="31" t="e">
        <f>#REF!</f>
        <v>#REF!</v>
      </c>
      <c r="I2365" s="31">
        <f>'تقرير المصروفات حسب الشهر'!X788</f>
        <v>0</v>
      </c>
      <c r="J2365" s="31">
        <f>'تقرير المصروفات حسب الشهر'!X915</f>
        <v>0</v>
      </c>
      <c r="K2365" s="31">
        <f>'تقرير المصروفات حسب الشهر'!X1042</f>
        <v>0</v>
      </c>
      <c r="L2365" s="292">
        <f>IFERROR(VLOOKUP(B2365,'تقرير المصروفات حسب الشهر'!$C$1143:$AD$1254,22,FALSE),0)</f>
        <v>0</v>
      </c>
      <c r="M2365" s="292">
        <f>IFERROR(VLOOKUP(B2365,'تقرير المصروفات حسب الشهر'!$C$1270:$AD$1381,22,FALSE),0)</f>
        <v>0</v>
      </c>
      <c r="N2365" s="31" t="e">
        <f>#REF!</f>
        <v>#REF!</v>
      </c>
      <c r="O2365" s="37" t="e">
        <f t="shared" si="60"/>
        <v>#REF!</v>
      </c>
    </row>
    <row r="2366" spans="2:15" ht="17.399999999999999">
      <c r="B2366" s="42" t="s">
        <v>58</v>
      </c>
      <c r="C2366" s="39" t="e">
        <f>#REF!</f>
        <v>#REF!</v>
      </c>
      <c r="D2366" s="31" t="e">
        <f>#REF!</f>
        <v>#REF!</v>
      </c>
      <c r="E2366" s="31" t="e">
        <f>#REF!</f>
        <v>#REF!</v>
      </c>
      <c r="F2366" s="31" t="e">
        <f>#REF!</f>
        <v>#REF!</v>
      </c>
      <c r="G2366" s="31" t="e">
        <f>#REF!</f>
        <v>#REF!</v>
      </c>
      <c r="H2366" s="31" t="e">
        <f>#REF!</f>
        <v>#REF!</v>
      </c>
      <c r="I2366" s="31">
        <f>'تقرير المصروفات حسب الشهر'!X789</f>
        <v>0</v>
      </c>
      <c r="J2366" s="31">
        <f>'تقرير المصروفات حسب الشهر'!X916</f>
        <v>0</v>
      </c>
      <c r="K2366" s="31">
        <f>'تقرير المصروفات حسب الشهر'!X1043</f>
        <v>0</v>
      </c>
      <c r="L2366" s="292">
        <f>IFERROR(VLOOKUP(B2366,'تقرير المصروفات حسب الشهر'!$C$1143:$AD$1254,22,FALSE),0)</f>
        <v>0</v>
      </c>
      <c r="M2366" s="292">
        <f>IFERROR(VLOOKUP(B2366,'تقرير المصروفات حسب الشهر'!$C$1270:$AD$1381,22,FALSE),0)</f>
        <v>0</v>
      </c>
      <c r="N2366" s="31" t="e">
        <f>#REF!</f>
        <v>#REF!</v>
      </c>
      <c r="O2366" s="37" t="e">
        <f t="shared" si="60"/>
        <v>#REF!</v>
      </c>
    </row>
    <row r="2367" spans="2:15" ht="17.399999999999999">
      <c r="B2367" s="42" t="s">
        <v>59</v>
      </c>
      <c r="C2367" s="39" t="e">
        <f>#REF!</f>
        <v>#REF!</v>
      </c>
      <c r="D2367" s="31" t="e">
        <f>#REF!</f>
        <v>#REF!</v>
      </c>
      <c r="E2367" s="31" t="e">
        <f>#REF!</f>
        <v>#REF!</v>
      </c>
      <c r="F2367" s="31" t="e">
        <f>#REF!</f>
        <v>#REF!</v>
      </c>
      <c r="G2367" s="31" t="e">
        <f>#REF!</f>
        <v>#REF!</v>
      </c>
      <c r="H2367" s="31" t="e">
        <f>#REF!</f>
        <v>#REF!</v>
      </c>
      <c r="I2367" s="31">
        <f>'تقرير المصروفات حسب الشهر'!X790</f>
        <v>0</v>
      </c>
      <c r="J2367" s="31">
        <f>'تقرير المصروفات حسب الشهر'!X917</f>
        <v>0</v>
      </c>
      <c r="K2367" s="31">
        <f>'تقرير المصروفات حسب الشهر'!X1044</f>
        <v>0</v>
      </c>
      <c r="L2367" s="292">
        <f>IFERROR(VLOOKUP(B2367,'تقرير المصروفات حسب الشهر'!$C$1143:$AD$1254,22,FALSE),0)</f>
        <v>0</v>
      </c>
      <c r="M2367" s="292">
        <f>IFERROR(VLOOKUP(B2367,'تقرير المصروفات حسب الشهر'!$C$1270:$AD$1381,22,FALSE),0)</f>
        <v>0</v>
      </c>
      <c r="N2367" s="31" t="e">
        <f>#REF!</f>
        <v>#REF!</v>
      </c>
      <c r="O2367" s="37" t="e">
        <f t="shared" si="60"/>
        <v>#REF!</v>
      </c>
    </row>
    <row r="2368" spans="2:15" ht="17.399999999999999">
      <c r="B2368" s="42" t="s">
        <v>60</v>
      </c>
      <c r="C2368" s="39" t="e">
        <f>#REF!</f>
        <v>#REF!</v>
      </c>
      <c r="D2368" s="31" t="e">
        <f>#REF!</f>
        <v>#REF!</v>
      </c>
      <c r="E2368" s="31" t="e">
        <f>#REF!</f>
        <v>#REF!</v>
      </c>
      <c r="F2368" s="31" t="e">
        <f>#REF!</f>
        <v>#REF!</v>
      </c>
      <c r="G2368" s="31" t="e">
        <f>#REF!</f>
        <v>#REF!</v>
      </c>
      <c r="H2368" s="31" t="e">
        <f>#REF!</f>
        <v>#REF!</v>
      </c>
      <c r="I2368" s="31">
        <f>'تقرير المصروفات حسب الشهر'!X791</f>
        <v>0</v>
      </c>
      <c r="J2368" s="31">
        <f>'تقرير المصروفات حسب الشهر'!X918</f>
        <v>0</v>
      </c>
      <c r="K2368" s="31">
        <f>'تقرير المصروفات حسب الشهر'!X1045</f>
        <v>0</v>
      </c>
      <c r="L2368" s="292">
        <f>IFERROR(VLOOKUP(B2368,'تقرير المصروفات حسب الشهر'!$C$1143:$AD$1254,22,FALSE),0)</f>
        <v>0</v>
      </c>
      <c r="M2368" s="292">
        <f>IFERROR(VLOOKUP(B2368,'تقرير المصروفات حسب الشهر'!$C$1270:$AD$1381,22,FALSE),0)</f>
        <v>0</v>
      </c>
      <c r="N2368" s="31" t="e">
        <f>#REF!</f>
        <v>#REF!</v>
      </c>
      <c r="O2368" s="37" t="e">
        <f t="shared" si="60"/>
        <v>#REF!</v>
      </c>
    </row>
    <row r="2369" spans="2:15" ht="17.399999999999999">
      <c r="B2369" s="42" t="s">
        <v>61</v>
      </c>
      <c r="C2369" s="39" t="e">
        <f>#REF!</f>
        <v>#REF!</v>
      </c>
      <c r="D2369" s="31" t="e">
        <f>#REF!</f>
        <v>#REF!</v>
      </c>
      <c r="E2369" s="31" t="e">
        <f>#REF!</f>
        <v>#REF!</v>
      </c>
      <c r="F2369" s="31" t="e">
        <f>#REF!</f>
        <v>#REF!</v>
      </c>
      <c r="G2369" s="31" t="e">
        <f>#REF!</f>
        <v>#REF!</v>
      </c>
      <c r="H2369" s="31" t="e">
        <f>#REF!</f>
        <v>#REF!</v>
      </c>
      <c r="I2369" s="31">
        <f>'تقرير المصروفات حسب الشهر'!X792</f>
        <v>0</v>
      </c>
      <c r="J2369" s="31">
        <f>'تقرير المصروفات حسب الشهر'!X919</f>
        <v>0</v>
      </c>
      <c r="K2369" s="31">
        <f>'تقرير المصروفات حسب الشهر'!X1046</f>
        <v>0</v>
      </c>
      <c r="L2369" s="292">
        <f>IFERROR(VLOOKUP(B2369,'تقرير المصروفات حسب الشهر'!$C$1143:$AD$1254,22,FALSE),0)</f>
        <v>0</v>
      </c>
      <c r="M2369" s="292">
        <f>IFERROR(VLOOKUP(B2369,'تقرير المصروفات حسب الشهر'!$C$1270:$AD$1381,22,FALSE),0)</f>
        <v>0</v>
      </c>
      <c r="N2369" s="31" t="e">
        <f>#REF!</f>
        <v>#REF!</v>
      </c>
      <c r="O2369" s="37" t="e">
        <f t="shared" si="60"/>
        <v>#REF!</v>
      </c>
    </row>
    <row r="2370" spans="2:15" ht="17.399999999999999">
      <c r="B2370" s="42" t="s">
        <v>62</v>
      </c>
      <c r="C2370" s="39" t="e">
        <f>#REF!</f>
        <v>#REF!</v>
      </c>
      <c r="D2370" s="31" t="e">
        <f>#REF!</f>
        <v>#REF!</v>
      </c>
      <c r="E2370" s="31" t="e">
        <f>#REF!</f>
        <v>#REF!</v>
      </c>
      <c r="F2370" s="31" t="e">
        <f>#REF!</f>
        <v>#REF!</v>
      </c>
      <c r="G2370" s="31" t="e">
        <f>#REF!</f>
        <v>#REF!</v>
      </c>
      <c r="H2370" s="31" t="e">
        <f>#REF!</f>
        <v>#REF!</v>
      </c>
      <c r="I2370" s="31">
        <f>'تقرير المصروفات حسب الشهر'!X793</f>
        <v>0</v>
      </c>
      <c r="J2370" s="31">
        <f>'تقرير المصروفات حسب الشهر'!X920</f>
        <v>0</v>
      </c>
      <c r="K2370" s="31">
        <f>'تقرير المصروفات حسب الشهر'!X1047</f>
        <v>0</v>
      </c>
      <c r="L2370" s="292">
        <f>IFERROR(VLOOKUP(B2370,'تقرير المصروفات حسب الشهر'!$C$1143:$AD$1254,22,FALSE),0)</f>
        <v>0</v>
      </c>
      <c r="M2370" s="292">
        <f>IFERROR(VLOOKUP(B2370,'تقرير المصروفات حسب الشهر'!$C$1270:$AD$1381,22,FALSE),0)</f>
        <v>0</v>
      </c>
      <c r="N2370" s="31" t="e">
        <f>#REF!</f>
        <v>#REF!</v>
      </c>
      <c r="O2370" s="37" t="e">
        <f t="shared" si="60"/>
        <v>#REF!</v>
      </c>
    </row>
    <row r="2371" spans="2:15" ht="17.399999999999999">
      <c r="B2371" s="42" t="s">
        <v>63</v>
      </c>
      <c r="C2371" s="39" t="e">
        <f>#REF!</f>
        <v>#REF!</v>
      </c>
      <c r="D2371" s="31" t="e">
        <f>#REF!</f>
        <v>#REF!</v>
      </c>
      <c r="E2371" s="31" t="e">
        <f>#REF!</f>
        <v>#REF!</v>
      </c>
      <c r="F2371" s="31" t="e">
        <f>#REF!</f>
        <v>#REF!</v>
      </c>
      <c r="G2371" s="31" t="e">
        <f>#REF!</f>
        <v>#REF!</v>
      </c>
      <c r="H2371" s="31" t="e">
        <f>#REF!</f>
        <v>#REF!</v>
      </c>
      <c r="I2371" s="31">
        <f>'تقرير المصروفات حسب الشهر'!X794</f>
        <v>0</v>
      </c>
      <c r="J2371" s="31">
        <f>'تقرير المصروفات حسب الشهر'!X921</f>
        <v>0</v>
      </c>
      <c r="K2371" s="31">
        <f>'تقرير المصروفات حسب الشهر'!X1048</f>
        <v>0</v>
      </c>
      <c r="L2371" s="292">
        <f>IFERROR(VLOOKUP(B2371,'تقرير المصروفات حسب الشهر'!$C$1143:$AD$1254,22,FALSE),0)</f>
        <v>0</v>
      </c>
      <c r="M2371" s="292">
        <f>IFERROR(VLOOKUP(B2371,'تقرير المصروفات حسب الشهر'!$C$1270:$AD$1381,22,FALSE),0)</f>
        <v>0</v>
      </c>
      <c r="N2371" s="31" t="e">
        <f>#REF!</f>
        <v>#REF!</v>
      </c>
      <c r="O2371" s="37" t="e">
        <f t="shared" si="60"/>
        <v>#REF!</v>
      </c>
    </row>
    <row r="2372" spans="2:15" ht="17.399999999999999">
      <c r="B2372" s="42" t="s">
        <v>64</v>
      </c>
      <c r="C2372" s="39" t="e">
        <f>#REF!</f>
        <v>#REF!</v>
      </c>
      <c r="D2372" s="31" t="e">
        <f>#REF!</f>
        <v>#REF!</v>
      </c>
      <c r="E2372" s="31" t="e">
        <f>#REF!</f>
        <v>#REF!</v>
      </c>
      <c r="F2372" s="31" t="e">
        <f>#REF!</f>
        <v>#REF!</v>
      </c>
      <c r="G2372" s="31" t="e">
        <f>#REF!</f>
        <v>#REF!</v>
      </c>
      <c r="H2372" s="31" t="e">
        <f>#REF!</f>
        <v>#REF!</v>
      </c>
      <c r="I2372" s="31">
        <f>'تقرير المصروفات حسب الشهر'!X795</f>
        <v>0</v>
      </c>
      <c r="J2372" s="31">
        <f>'تقرير المصروفات حسب الشهر'!X922</f>
        <v>0</v>
      </c>
      <c r="K2372" s="31">
        <f>'تقرير المصروفات حسب الشهر'!X1049</f>
        <v>0</v>
      </c>
      <c r="L2372" s="292">
        <f>IFERROR(VLOOKUP(B2372,'تقرير المصروفات حسب الشهر'!$C$1143:$AD$1254,22,FALSE),0)</f>
        <v>300</v>
      </c>
      <c r="M2372" s="292">
        <f>IFERROR(VLOOKUP(B2372,'تقرير المصروفات حسب الشهر'!$C$1270:$AD$1381,22,FALSE),0)</f>
        <v>0</v>
      </c>
      <c r="N2372" s="31" t="e">
        <f>#REF!</f>
        <v>#REF!</v>
      </c>
      <c r="O2372" s="37" t="e">
        <f t="shared" si="60"/>
        <v>#REF!</v>
      </c>
    </row>
    <row r="2373" spans="2:15" ht="17.399999999999999">
      <c r="B2373" s="42" t="s">
        <v>28</v>
      </c>
      <c r="C2373" s="39" t="e">
        <f>#REF!</f>
        <v>#REF!</v>
      </c>
      <c r="D2373" s="31" t="e">
        <f>#REF!</f>
        <v>#REF!</v>
      </c>
      <c r="E2373" s="31" t="e">
        <f>#REF!</f>
        <v>#REF!</v>
      </c>
      <c r="F2373" s="31" t="e">
        <f>#REF!</f>
        <v>#REF!</v>
      </c>
      <c r="G2373" s="31" t="e">
        <f>#REF!</f>
        <v>#REF!</v>
      </c>
      <c r="H2373" s="31" t="e">
        <f>#REF!</f>
        <v>#REF!</v>
      </c>
      <c r="I2373" s="31">
        <f>'تقرير المصروفات حسب الشهر'!X796</f>
        <v>0</v>
      </c>
      <c r="J2373" s="31">
        <f>'تقرير المصروفات حسب الشهر'!X923</f>
        <v>0</v>
      </c>
      <c r="K2373" s="31">
        <f>'تقرير المصروفات حسب الشهر'!X1050</f>
        <v>0</v>
      </c>
      <c r="L2373" s="292">
        <f>IFERROR(VLOOKUP(B2373,'تقرير المصروفات حسب الشهر'!$C$1143:$AD$1254,22,FALSE),0)</f>
        <v>0</v>
      </c>
      <c r="M2373" s="292">
        <f>IFERROR(VLOOKUP(B2373,'تقرير المصروفات حسب الشهر'!$C$1270:$AD$1381,22,FALSE),0)</f>
        <v>0</v>
      </c>
      <c r="N2373" s="31" t="e">
        <f>#REF!</f>
        <v>#REF!</v>
      </c>
      <c r="O2373" s="37" t="e">
        <f t="shared" si="60"/>
        <v>#REF!</v>
      </c>
    </row>
    <row r="2374" spans="2:15" ht="17.399999999999999">
      <c r="B2374" s="42" t="s">
        <v>157</v>
      </c>
      <c r="C2374" s="39" t="e">
        <f>#REF!</f>
        <v>#REF!</v>
      </c>
      <c r="D2374" s="31" t="e">
        <f>#REF!</f>
        <v>#REF!</v>
      </c>
      <c r="E2374" s="31" t="e">
        <f>#REF!</f>
        <v>#REF!</v>
      </c>
      <c r="F2374" s="31" t="e">
        <f>#REF!</f>
        <v>#REF!</v>
      </c>
      <c r="G2374" s="31" t="e">
        <f>#REF!</f>
        <v>#REF!</v>
      </c>
      <c r="H2374" s="31" t="e">
        <f>#REF!</f>
        <v>#REF!</v>
      </c>
      <c r="I2374" s="31">
        <f>'تقرير المصروفات حسب الشهر'!X797</f>
        <v>0</v>
      </c>
      <c r="J2374" s="31">
        <f>'تقرير المصروفات حسب الشهر'!X924</f>
        <v>0</v>
      </c>
      <c r="K2374" s="31">
        <f>'تقرير المصروفات حسب الشهر'!X1051</f>
        <v>0</v>
      </c>
      <c r="L2374" s="292">
        <f>IFERROR(VLOOKUP(B2374,'تقرير المصروفات حسب الشهر'!$C$1143:$AD$1254,22,FALSE),0)</f>
        <v>0</v>
      </c>
      <c r="M2374" s="292">
        <f>IFERROR(VLOOKUP(B2374,'تقرير المصروفات حسب الشهر'!$C$1270:$AD$1381,22,FALSE),0)</f>
        <v>0</v>
      </c>
      <c r="N2374" s="31" t="e">
        <f>#REF!</f>
        <v>#REF!</v>
      </c>
      <c r="O2374" s="37" t="e">
        <f t="shared" si="60"/>
        <v>#REF!</v>
      </c>
    </row>
    <row r="2375" spans="2:15" ht="17.399999999999999">
      <c r="B2375" s="42" t="s">
        <v>65</v>
      </c>
      <c r="C2375" s="39" t="e">
        <f>#REF!</f>
        <v>#REF!</v>
      </c>
      <c r="D2375" s="31" t="e">
        <f>#REF!</f>
        <v>#REF!</v>
      </c>
      <c r="E2375" s="31" t="e">
        <f>#REF!</f>
        <v>#REF!</v>
      </c>
      <c r="F2375" s="31" t="e">
        <f>#REF!</f>
        <v>#REF!</v>
      </c>
      <c r="G2375" s="31" t="e">
        <f>#REF!</f>
        <v>#REF!</v>
      </c>
      <c r="H2375" s="31" t="e">
        <f>#REF!</f>
        <v>#REF!</v>
      </c>
      <c r="I2375" s="31">
        <f>'تقرير المصروفات حسب الشهر'!X798</f>
        <v>0</v>
      </c>
      <c r="J2375" s="31">
        <f>'تقرير المصروفات حسب الشهر'!X925</f>
        <v>0</v>
      </c>
      <c r="K2375" s="31">
        <f>'تقرير المصروفات حسب الشهر'!X1052</f>
        <v>0</v>
      </c>
      <c r="L2375" s="292">
        <f>IFERROR(VLOOKUP(B2375,'تقرير المصروفات حسب الشهر'!$C$1143:$AD$1254,22,FALSE),0)</f>
        <v>0</v>
      </c>
      <c r="M2375" s="292">
        <f>IFERROR(VLOOKUP(B2375,'تقرير المصروفات حسب الشهر'!$C$1270:$AD$1381,22,FALSE),0)</f>
        <v>0</v>
      </c>
      <c r="N2375" s="31" t="e">
        <f>#REF!</f>
        <v>#REF!</v>
      </c>
      <c r="O2375" s="37" t="e">
        <f t="shared" si="60"/>
        <v>#REF!</v>
      </c>
    </row>
    <row r="2376" spans="2:15" ht="17.399999999999999">
      <c r="B2376" s="42" t="s">
        <v>66</v>
      </c>
      <c r="C2376" s="39" t="e">
        <f>#REF!</f>
        <v>#REF!</v>
      </c>
      <c r="D2376" s="31" t="e">
        <f>#REF!</f>
        <v>#REF!</v>
      </c>
      <c r="E2376" s="31" t="e">
        <f>#REF!</f>
        <v>#REF!</v>
      </c>
      <c r="F2376" s="31" t="e">
        <f>#REF!</f>
        <v>#REF!</v>
      </c>
      <c r="G2376" s="31" t="e">
        <f>#REF!</f>
        <v>#REF!</v>
      </c>
      <c r="H2376" s="31" t="e">
        <f>#REF!</f>
        <v>#REF!</v>
      </c>
      <c r="I2376" s="31">
        <f>'تقرير المصروفات حسب الشهر'!X799</f>
        <v>0</v>
      </c>
      <c r="J2376" s="31">
        <f>'تقرير المصروفات حسب الشهر'!X926</f>
        <v>0</v>
      </c>
      <c r="K2376" s="31">
        <f>'تقرير المصروفات حسب الشهر'!X1053</f>
        <v>0</v>
      </c>
      <c r="L2376" s="292">
        <f>IFERROR(VLOOKUP(B2376,'تقرير المصروفات حسب الشهر'!$C$1143:$AD$1254,22,FALSE),0)</f>
        <v>0</v>
      </c>
      <c r="M2376" s="292">
        <f>IFERROR(VLOOKUP(B2376,'تقرير المصروفات حسب الشهر'!$C$1270:$AD$1381,22,FALSE),0)</f>
        <v>0</v>
      </c>
      <c r="N2376" s="31" t="e">
        <f>#REF!</f>
        <v>#REF!</v>
      </c>
      <c r="O2376" s="37" t="e">
        <f t="shared" si="60"/>
        <v>#REF!</v>
      </c>
    </row>
    <row r="2377" spans="2:15" ht="17.399999999999999">
      <c r="B2377" s="42" t="s">
        <v>30</v>
      </c>
      <c r="C2377" s="39" t="e">
        <f>#REF!</f>
        <v>#REF!</v>
      </c>
      <c r="D2377" s="31" t="e">
        <f>#REF!</f>
        <v>#REF!</v>
      </c>
      <c r="E2377" s="31" t="e">
        <f>#REF!</f>
        <v>#REF!</v>
      </c>
      <c r="F2377" s="31" t="e">
        <f>#REF!</f>
        <v>#REF!</v>
      </c>
      <c r="G2377" s="31" t="e">
        <f>#REF!</f>
        <v>#REF!</v>
      </c>
      <c r="H2377" s="31" t="e">
        <f>#REF!</f>
        <v>#REF!</v>
      </c>
      <c r="I2377" s="31">
        <f>'تقرير المصروفات حسب الشهر'!X800</f>
        <v>0</v>
      </c>
      <c r="J2377" s="31">
        <f>'تقرير المصروفات حسب الشهر'!X927</f>
        <v>0</v>
      </c>
      <c r="K2377" s="31">
        <f>'تقرير المصروفات حسب الشهر'!X1054</f>
        <v>0</v>
      </c>
      <c r="L2377" s="292">
        <f>IFERROR(VLOOKUP(B2377,'تقرير المصروفات حسب الشهر'!$C$1143:$AD$1254,22,FALSE),0)</f>
        <v>0</v>
      </c>
      <c r="M2377" s="292">
        <f>IFERROR(VLOOKUP(B2377,'تقرير المصروفات حسب الشهر'!$C$1270:$AD$1381,22,FALSE),0)</f>
        <v>0</v>
      </c>
      <c r="N2377" s="31" t="e">
        <f>#REF!</f>
        <v>#REF!</v>
      </c>
      <c r="O2377" s="37" t="e">
        <f t="shared" si="60"/>
        <v>#REF!</v>
      </c>
    </row>
    <row r="2378" spans="2:15" ht="17.399999999999999">
      <c r="B2378" s="42" t="s">
        <v>67</v>
      </c>
      <c r="C2378" s="39" t="e">
        <f>#REF!</f>
        <v>#REF!</v>
      </c>
      <c r="D2378" s="31" t="e">
        <f>#REF!</f>
        <v>#REF!</v>
      </c>
      <c r="E2378" s="31" t="e">
        <f>#REF!</f>
        <v>#REF!</v>
      </c>
      <c r="F2378" s="31" t="e">
        <f>#REF!</f>
        <v>#REF!</v>
      </c>
      <c r="G2378" s="31" t="e">
        <f>#REF!</f>
        <v>#REF!</v>
      </c>
      <c r="H2378" s="31" t="e">
        <f>#REF!</f>
        <v>#REF!</v>
      </c>
      <c r="I2378" s="31">
        <f>'تقرير المصروفات حسب الشهر'!X801</f>
        <v>0</v>
      </c>
      <c r="J2378" s="31">
        <f>'تقرير المصروفات حسب الشهر'!X928</f>
        <v>0</v>
      </c>
      <c r="K2378" s="31">
        <f>'تقرير المصروفات حسب الشهر'!X1055</f>
        <v>0</v>
      </c>
      <c r="L2378" s="292">
        <f>IFERROR(VLOOKUP(B2378,'تقرير المصروفات حسب الشهر'!$C$1143:$AD$1254,22,FALSE),0)</f>
        <v>1650</v>
      </c>
      <c r="M2378" s="292">
        <f>IFERROR(VLOOKUP(B2378,'تقرير المصروفات حسب الشهر'!$C$1270:$AD$1381,22,FALSE),0)</f>
        <v>0</v>
      </c>
      <c r="N2378" s="31" t="e">
        <f>#REF!</f>
        <v>#REF!</v>
      </c>
      <c r="O2378" s="37" t="e">
        <f t="shared" si="60"/>
        <v>#REF!</v>
      </c>
    </row>
    <row r="2379" spans="2:15" ht="17.399999999999999">
      <c r="B2379" s="42" t="s">
        <v>111</v>
      </c>
      <c r="C2379" s="39" t="e">
        <f>#REF!</f>
        <v>#REF!</v>
      </c>
      <c r="D2379" s="31" t="e">
        <f>#REF!</f>
        <v>#REF!</v>
      </c>
      <c r="E2379" s="31" t="e">
        <f>#REF!</f>
        <v>#REF!</v>
      </c>
      <c r="F2379" s="31" t="e">
        <f>#REF!</f>
        <v>#REF!</v>
      </c>
      <c r="G2379" s="31" t="e">
        <f>#REF!</f>
        <v>#REF!</v>
      </c>
      <c r="H2379" s="31" t="e">
        <f>#REF!</f>
        <v>#REF!</v>
      </c>
      <c r="I2379" s="31">
        <f>'تقرير المصروفات حسب الشهر'!X802</f>
        <v>0</v>
      </c>
      <c r="J2379" s="31">
        <f>'تقرير المصروفات حسب الشهر'!X929</f>
        <v>0</v>
      </c>
      <c r="K2379" s="31">
        <f>'تقرير المصروفات حسب الشهر'!X1056</f>
        <v>350</v>
      </c>
      <c r="L2379" s="292">
        <f>IFERROR(VLOOKUP(B2379,'تقرير المصروفات حسب الشهر'!$C$1143:$AD$1254,22,FALSE),0)</f>
        <v>0</v>
      </c>
      <c r="M2379" s="292">
        <f>IFERROR(VLOOKUP(B2379,'تقرير المصروفات حسب الشهر'!$C$1270:$AD$1381,22,FALSE),0)</f>
        <v>0</v>
      </c>
      <c r="N2379" s="31" t="e">
        <f>#REF!</f>
        <v>#REF!</v>
      </c>
      <c r="O2379" s="37" t="e">
        <f t="shared" si="60"/>
        <v>#REF!</v>
      </c>
    </row>
    <row r="2380" spans="2:15" ht="17.399999999999999">
      <c r="B2380" s="42" t="s">
        <v>68</v>
      </c>
      <c r="C2380" s="39" t="e">
        <f>#REF!</f>
        <v>#REF!</v>
      </c>
      <c r="D2380" s="31" t="e">
        <f>#REF!</f>
        <v>#REF!</v>
      </c>
      <c r="E2380" s="31" t="e">
        <f>#REF!</f>
        <v>#REF!</v>
      </c>
      <c r="F2380" s="31" t="e">
        <f>#REF!</f>
        <v>#REF!</v>
      </c>
      <c r="G2380" s="31" t="e">
        <f>#REF!</f>
        <v>#REF!</v>
      </c>
      <c r="H2380" s="31" t="e">
        <f>#REF!</f>
        <v>#REF!</v>
      </c>
      <c r="I2380" s="31">
        <f>'تقرير المصروفات حسب الشهر'!X803</f>
        <v>0</v>
      </c>
      <c r="J2380" s="31">
        <f>'تقرير المصروفات حسب الشهر'!X930</f>
        <v>0</v>
      </c>
      <c r="K2380" s="31">
        <f>'تقرير المصروفات حسب الشهر'!X1057</f>
        <v>0</v>
      </c>
      <c r="L2380" s="292">
        <f>IFERROR(VLOOKUP(B2380,'تقرير المصروفات حسب الشهر'!$C$1143:$AD$1254,22,FALSE),0)</f>
        <v>0</v>
      </c>
      <c r="M2380" s="292">
        <f>IFERROR(VLOOKUP(B2380,'تقرير المصروفات حسب الشهر'!$C$1270:$AD$1381,22,FALSE),0)</f>
        <v>0</v>
      </c>
      <c r="N2380" s="31" t="e">
        <f>#REF!</f>
        <v>#REF!</v>
      </c>
      <c r="O2380" s="37" t="e">
        <f t="shared" si="60"/>
        <v>#REF!</v>
      </c>
    </row>
    <row r="2381" spans="2:15" ht="17.399999999999999">
      <c r="B2381" s="42" t="s">
        <v>69</v>
      </c>
      <c r="C2381" s="39" t="e">
        <f>#REF!</f>
        <v>#REF!</v>
      </c>
      <c r="D2381" s="31" t="e">
        <f>#REF!</f>
        <v>#REF!</v>
      </c>
      <c r="E2381" s="31" t="e">
        <f>#REF!</f>
        <v>#REF!</v>
      </c>
      <c r="F2381" s="31" t="e">
        <f>#REF!</f>
        <v>#REF!</v>
      </c>
      <c r="G2381" s="31" t="e">
        <f>#REF!</f>
        <v>#REF!</v>
      </c>
      <c r="H2381" s="31" t="e">
        <f>#REF!</f>
        <v>#REF!</v>
      </c>
      <c r="I2381" s="31">
        <f>'تقرير المصروفات حسب الشهر'!X804</f>
        <v>0</v>
      </c>
      <c r="J2381" s="31">
        <f>'تقرير المصروفات حسب الشهر'!X931</f>
        <v>0</v>
      </c>
      <c r="K2381" s="31">
        <f>'تقرير المصروفات حسب الشهر'!X1058</f>
        <v>0</v>
      </c>
      <c r="L2381" s="292">
        <f>IFERROR(VLOOKUP(B2381,'تقرير المصروفات حسب الشهر'!$C$1143:$AD$1254,22,FALSE),0)</f>
        <v>0</v>
      </c>
      <c r="M2381" s="292">
        <f>IFERROR(VLOOKUP(B2381,'تقرير المصروفات حسب الشهر'!$C$1270:$AD$1381,22,FALSE),0)</f>
        <v>0</v>
      </c>
      <c r="N2381" s="31" t="e">
        <f>#REF!</f>
        <v>#REF!</v>
      </c>
      <c r="O2381" s="37" t="e">
        <f t="shared" si="60"/>
        <v>#REF!</v>
      </c>
    </row>
    <row r="2382" spans="2:15" ht="17.399999999999999">
      <c r="B2382" s="42" t="s">
        <v>70</v>
      </c>
      <c r="C2382" s="39" t="e">
        <f>#REF!</f>
        <v>#REF!</v>
      </c>
      <c r="D2382" s="31" t="e">
        <f>#REF!</f>
        <v>#REF!</v>
      </c>
      <c r="E2382" s="31" t="e">
        <f>#REF!</f>
        <v>#REF!</v>
      </c>
      <c r="F2382" s="31" t="e">
        <f>#REF!</f>
        <v>#REF!</v>
      </c>
      <c r="G2382" s="31" t="e">
        <f>#REF!</f>
        <v>#REF!</v>
      </c>
      <c r="H2382" s="31" t="e">
        <f>#REF!</f>
        <v>#REF!</v>
      </c>
      <c r="I2382" s="31">
        <f>'تقرير المصروفات حسب الشهر'!X805</f>
        <v>0</v>
      </c>
      <c r="J2382" s="31">
        <f>'تقرير المصروفات حسب الشهر'!X932</f>
        <v>0</v>
      </c>
      <c r="K2382" s="31">
        <f>'تقرير المصروفات حسب الشهر'!X1059</f>
        <v>0</v>
      </c>
      <c r="L2382" s="292">
        <f>IFERROR(VLOOKUP(B2382,'تقرير المصروفات حسب الشهر'!$C$1143:$AD$1254,22,FALSE),0)</f>
        <v>0</v>
      </c>
      <c r="M2382" s="292">
        <f>IFERROR(VLOOKUP(B2382,'تقرير المصروفات حسب الشهر'!$C$1270:$AD$1381,22,FALSE),0)</f>
        <v>0</v>
      </c>
      <c r="N2382" s="31" t="e">
        <f>#REF!</f>
        <v>#REF!</v>
      </c>
      <c r="O2382" s="37" t="e">
        <f t="shared" si="60"/>
        <v>#REF!</v>
      </c>
    </row>
    <row r="2383" spans="2:15" ht="17.399999999999999">
      <c r="B2383" s="42" t="s">
        <v>71</v>
      </c>
      <c r="C2383" s="39" t="e">
        <f>#REF!</f>
        <v>#REF!</v>
      </c>
      <c r="D2383" s="31" t="e">
        <f>#REF!</f>
        <v>#REF!</v>
      </c>
      <c r="E2383" s="31" t="e">
        <f>#REF!</f>
        <v>#REF!</v>
      </c>
      <c r="F2383" s="31" t="e">
        <f>#REF!</f>
        <v>#REF!</v>
      </c>
      <c r="G2383" s="31" t="e">
        <f>#REF!</f>
        <v>#REF!</v>
      </c>
      <c r="H2383" s="31" t="e">
        <f>#REF!</f>
        <v>#REF!</v>
      </c>
      <c r="I2383" s="31">
        <f>'تقرير المصروفات حسب الشهر'!X806</f>
        <v>0</v>
      </c>
      <c r="J2383" s="31">
        <f>'تقرير المصروفات حسب الشهر'!X933</f>
        <v>0</v>
      </c>
      <c r="K2383" s="31">
        <f>'تقرير المصروفات حسب الشهر'!X1060</f>
        <v>0</v>
      </c>
      <c r="L2383" s="292">
        <f>IFERROR(VLOOKUP(B2383,'تقرير المصروفات حسب الشهر'!$C$1143:$AD$1254,22,FALSE),0)</f>
        <v>0</v>
      </c>
      <c r="M2383" s="292">
        <f>IFERROR(VLOOKUP(B2383,'تقرير المصروفات حسب الشهر'!$C$1270:$AD$1381,22,FALSE),0)</f>
        <v>0</v>
      </c>
      <c r="N2383" s="31" t="e">
        <f>#REF!</f>
        <v>#REF!</v>
      </c>
      <c r="O2383" s="37" t="e">
        <f t="shared" si="60"/>
        <v>#REF!</v>
      </c>
    </row>
    <row r="2384" spans="2:15" ht="17.399999999999999">
      <c r="B2384" s="42" t="s">
        <v>159</v>
      </c>
      <c r="C2384" s="39" t="e">
        <f>#REF!</f>
        <v>#REF!</v>
      </c>
      <c r="D2384" s="31" t="e">
        <f>#REF!</f>
        <v>#REF!</v>
      </c>
      <c r="E2384" s="31" t="e">
        <f>#REF!</f>
        <v>#REF!</v>
      </c>
      <c r="F2384" s="31" t="e">
        <f>#REF!</f>
        <v>#REF!</v>
      </c>
      <c r="G2384" s="31" t="e">
        <f>#REF!</f>
        <v>#REF!</v>
      </c>
      <c r="H2384" s="31" t="e">
        <f>#REF!</f>
        <v>#REF!</v>
      </c>
      <c r="I2384" s="31">
        <f>'تقرير المصروفات حسب الشهر'!X807</f>
        <v>0</v>
      </c>
      <c r="J2384" s="31">
        <f>'تقرير المصروفات حسب الشهر'!X934</f>
        <v>0</v>
      </c>
      <c r="K2384" s="31">
        <f>'تقرير المصروفات حسب الشهر'!X1061</f>
        <v>0</v>
      </c>
      <c r="L2384" s="292">
        <f>IFERROR(VLOOKUP(B2384,'تقرير المصروفات حسب الشهر'!$C$1143:$AD$1254,22,FALSE),0)</f>
        <v>0</v>
      </c>
      <c r="M2384" s="292">
        <f>IFERROR(VLOOKUP(B2384,'تقرير المصروفات حسب الشهر'!$C$1270:$AD$1381,22,FALSE),0)</f>
        <v>0</v>
      </c>
      <c r="N2384" s="31" t="e">
        <f>#REF!</f>
        <v>#REF!</v>
      </c>
      <c r="O2384" s="37" t="e">
        <f t="shared" si="60"/>
        <v>#REF!</v>
      </c>
    </row>
    <row r="2385" spans="2:15" ht="17.399999999999999">
      <c r="B2385" s="42" t="s">
        <v>72</v>
      </c>
      <c r="C2385" s="39" t="e">
        <f>#REF!</f>
        <v>#REF!</v>
      </c>
      <c r="D2385" s="31" t="e">
        <f>#REF!</f>
        <v>#REF!</v>
      </c>
      <c r="E2385" s="31" t="e">
        <f>#REF!</f>
        <v>#REF!</v>
      </c>
      <c r="F2385" s="31" t="e">
        <f>#REF!</f>
        <v>#REF!</v>
      </c>
      <c r="G2385" s="31" t="e">
        <f>#REF!</f>
        <v>#REF!</v>
      </c>
      <c r="H2385" s="31" t="e">
        <f>#REF!</f>
        <v>#REF!</v>
      </c>
      <c r="I2385" s="31">
        <f>'تقرير المصروفات حسب الشهر'!X808</f>
        <v>0</v>
      </c>
      <c r="J2385" s="31">
        <f>'تقرير المصروفات حسب الشهر'!X935</f>
        <v>0</v>
      </c>
      <c r="K2385" s="31">
        <f>'تقرير المصروفات حسب الشهر'!X1062</f>
        <v>0</v>
      </c>
      <c r="L2385" s="292">
        <f>IFERROR(VLOOKUP(B2385,'تقرير المصروفات حسب الشهر'!$C$1143:$AD$1254,22,FALSE),0)</f>
        <v>0</v>
      </c>
      <c r="M2385" s="292">
        <f>IFERROR(VLOOKUP(B2385,'تقرير المصروفات حسب الشهر'!$C$1270:$AD$1381,22,FALSE),0)</f>
        <v>0</v>
      </c>
      <c r="N2385" s="31" t="e">
        <f>#REF!</f>
        <v>#REF!</v>
      </c>
      <c r="O2385" s="37" t="e">
        <f t="shared" si="60"/>
        <v>#REF!</v>
      </c>
    </row>
    <row r="2386" spans="2:15" ht="17.399999999999999">
      <c r="B2386" s="42" t="s">
        <v>73</v>
      </c>
      <c r="C2386" s="39" t="e">
        <f>#REF!</f>
        <v>#REF!</v>
      </c>
      <c r="D2386" s="31" t="e">
        <f>#REF!</f>
        <v>#REF!</v>
      </c>
      <c r="E2386" s="31" t="e">
        <f>#REF!</f>
        <v>#REF!</v>
      </c>
      <c r="F2386" s="31" t="e">
        <f>#REF!</f>
        <v>#REF!</v>
      </c>
      <c r="G2386" s="31" t="e">
        <f>#REF!</f>
        <v>#REF!</v>
      </c>
      <c r="H2386" s="31" t="e">
        <f>#REF!</f>
        <v>#REF!</v>
      </c>
      <c r="I2386" s="31">
        <f>'تقرير المصروفات حسب الشهر'!X809</f>
        <v>0</v>
      </c>
      <c r="J2386" s="31">
        <f>'تقرير المصروفات حسب الشهر'!X936</f>
        <v>0</v>
      </c>
      <c r="K2386" s="31">
        <f>'تقرير المصروفات حسب الشهر'!X1063</f>
        <v>0</v>
      </c>
      <c r="L2386" s="292">
        <f>IFERROR(VLOOKUP(B2386,'تقرير المصروفات حسب الشهر'!$C$1143:$AD$1254,22,FALSE),0)</f>
        <v>0</v>
      </c>
      <c r="M2386" s="292">
        <f>IFERROR(VLOOKUP(B2386,'تقرير المصروفات حسب الشهر'!$C$1270:$AD$1381,22,FALSE),0)</f>
        <v>0</v>
      </c>
      <c r="N2386" s="31" t="e">
        <f>#REF!</f>
        <v>#REF!</v>
      </c>
      <c r="O2386" s="37" t="e">
        <f t="shared" si="60"/>
        <v>#REF!</v>
      </c>
    </row>
    <row r="2387" spans="2:15" ht="17.399999999999999">
      <c r="B2387" s="42" t="s">
        <v>74</v>
      </c>
      <c r="C2387" s="39" t="e">
        <f>#REF!</f>
        <v>#REF!</v>
      </c>
      <c r="D2387" s="31" t="e">
        <f>#REF!</f>
        <v>#REF!</v>
      </c>
      <c r="E2387" s="31" t="e">
        <f>#REF!</f>
        <v>#REF!</v>
      </c>
      <c r="F2387" s="31" t="e">
        <f>#REF!</f>
        <v>#REF!</v>
      </c>
      <c r="G2387" s="31" t="e">
        <f>#REF!</f>
        <v>#REF!</v>
      </c>
      <c r="H2387" s="31" t="e">
        <f>#REF!</f>
        <v>#REF!</v>
      </c>
      <c r="I2387" s="31">
        <f>'تقرير المصروفات حسب الشهر'!X810</f>
        <v>0</v>
      </c>
      <c r="J2387" s="31">
        <f>'تقرير المصروفات حسب الشهر'!X937</f>
        <v>0</v>
      </c>
      <c r="K2387" s="31">
        <f>'تقرير المصروفات حسب الشهر'!X1064</f>
        <v>0</v>
      </c>
      <c r="L2387" s="292">
        <f>IFERROR(VLOOKUP(B2387,'تقرير المصروفات حسب الشهر'!$C$1143:$AD$1254,22,FALSE),0)</f>
        <v>0</v>
      </c>
      <c r="M2387" s="292">
        <f>IFERROR(VLOOKUP(B2387,'تقرير المصروفات حسب الشهر'!$C$1270:$AD$1381,22,FALSE),0)</f>
        <v>0</v>
      </c>
      <c r="N2387" s="31" t="e">
        <f>#REF!</f>
        <v>#REF!</v>
      </c>
      <c r="O2387" s="37" t="e">
        <f t="shared" si="60"/>
        <v>#REF!</v>
      </c>
    </row>
    <row r="2388" spans="2:15" ht="17.399999999999999">
      <c r="B2388" s="42" t="s">
        <v>75</v>
      </c>
      <c r="C2388" s="39" t="e">
        <f>#REF!</f>
        <v>#REF!</v>
      </c>
      <c r="D2388" s="31" t="e">
        <f>#REF!</f>
        <v>#REF!</v>
      </c>
      <c r="E2388" s="31" t="e">
        <f>#REF!</f>
        <v>#REF!</v>
      </c>
      <c r="F2388" s="31" t="e">
        <f>#REF!</f>
        <v>#REF!</v>
      </c>
      <c r="G2388" s="31" t="e">
        <f>#REF!</f>
        <v>#REF!</v>
      </c>
      <c r="H2388" s="31" t="e">
        <f>#REF!</f>
        <v>#REF!</v>
      </c>
      <c r="I2388" s="31">
        <f>'تقرير المصروفات حسب الشهر'!X811</f>
        <v>0</v>
      </c>
      <c r="J2388" s="31">
        <f>'تقرير المصروفات حسب الشهر'!X938</f>
        <v>0</v>
      </c>
      <c r="K2388" s="31">
        <f>'تقرير المصروفات حسب الشهر'!X1065</f>
        <v>0</v>
      </c>
      <c r="L2388" s="292">
        <f>IFERROR(VLOOKUP(B2388,'تقرير المصروفات حسب الشهر'!$C$1143:$AD$1254,22,FALSE),0)</f>
        <v>0</v>
      </c>
      <c r="M2388" s="292">
        <f>IFERROR(VLOOKUP(B2388,'تقرير المصروفات حسب الشهر'!$C$1270:$AD$1381,22,FALSE),0)</f>
        <v>0</v>
      </c>
      <c r="N2388" s="31" t="e">
        <f>#REF!</f>
        <v>#REF!</v>
      </c>
      <c r="O2388" s="37" t="e">
        <f t="shared" si="60"/>
        <v>#REF!</v>
      </c>
    </row>
    <row r="2389" spans="2:15" ht="17.399999999999999">
      <c r="B2389" s="42" t="s">
        <v>76</v>
      </c>
      <c r="C2389" s="39" t="e">
        <f>#REF!</f>
        <v>#REF!</v>
      </c>
      <c r="D2389" s="31" t="e">
        <f>#REF!</f>
        <v>#REF!</v>
      </c>
      <c r="E2389" s="31" t="e">
        <f>#REF!</f>
        <v>#REF!</v>
      </c>
      <c r="F2389" s="31" t="e">
        <f>#REF!</f>
        <v>#REF!</v>
      </c>
      <c r="G2389" s="31" t="e">
        <f>#REF!</f>
        <v>#REF!</v>
      </c>
      <c r="H2389" s="31" t="e">
        <f>#REF!</f>
        <v>#REF!</v>
      </c>
      <c r="I2389" s="31">
        <f>'تقرير المصروفات حسب الشهر'!X812</f>
        <v>0</v>
      </c>
      <c r="J2389" s="31">
        <f>'تقرير المصروفات حسب الشهر'!X939</f>
        <v>0</v>
      </c>
      <c r="K2389" s="31">
        <f>'تقرير المصروفات حسب الشهر'!X1066</f>
        <v>0</v>
      </c>
      <c r="L2389" s="292">
        <f>IFERROR(VLOOKUP(B2389,'تقرير المصروفات حسب الشهر'!$C$1143:$AD$1254,22,FALSE),0)</f>
        <v>0</v>
      </c>
      <c r="M2389" s="292">
        <f>IFERROR(VLOOKUP(B2389,'تقرير المصروفات حسب الشهر'!$C$1270:$AD$1381,22,FALSE),0)</f>
        <v>0</v>
      </c>
      <c r="N2389" s="31" t="e">
        <f>#REF!</f>
        <v>#REF!</v>
      </c>
      <c r="O2389" s="37" t="e">
        <f t="shared" si="60"/>
        <v>#REF!</v>
      </c>
    </row>
    <row r="2390" spans="2:15" ht="17.399999999999999">
      <c r="B2390" s="42" t="s">
        <v>77</v>
      </c>
      <c r="C2390" s="39" t="e">
        <f>#REF!</f>
        <v>#REF!</v>
      </c>
      <c r="D2390" s="31" t="e">
        <f>#REF!</f>
        <v>#REF!</v>
      </c>
      <c r="E2390" s="31" t="e">
        <f>#REF!</f>
        <v>#REF!</v>
      </c>
      <c r="F2390" s="31" t="e">
        <f>#REF!</f>
        <v>#REF!</v>
      </c>
      <c r="G2390" s="31" t="e">
        <f>#REF!</f>
        <v>#REF!</v>
      </c>
      <c r="H2390" s="31" t="e">
        <f>#REF!</f>
        <v>#REF!</v>
      </c>
      <c r="I2390" s="31">
        <f>'تقرير المصروفات حسب الشهر'!X813</f>
        <v>0</v>
      </c>
      <c r="J2390" s="31">
        <f>'تقرير المصروفات حسب الشهر'!X940</f>
        <v>0</v>
      </c>
      <c r="K2390" s="31">
        <f>'تقرير المصروفات حسب الشهر'!X1067</f>
        <v>0</v>
      </c>
      <c r="L2390" s="292">
        <f>IFERROR(VLOOKUP(B2390,'تقرير المصروفات حسب الشهر'!$C$1143:$AD$1254,22,FALSE),0)</f>
        <v>0</v>
      </c>
      <c r="M2390" s="292">
        <f>IFERROR(VLOOKUP(B2390,'تقرير المصروفات حسب الشهر'!$C$1270:$AD$1381,22,FALSE),0)</f>
        <v>0</v>
      </c>
      <c r="N2390" s="31" t="e">
        <f>#REF!</f>
        <v>#REF!</v>
      </c>
      <c r="O2390" s="37" t="e">
        <f t="shared" si="60"/>
        <v>#REF!</v>
      </c>
    </row>
    <row r="2391" spans="2:15" ht="17.399999999999999">
      <c r="B2391" s="42" t="s">
        <v>78</v>
      </c>
      <c r="C2391" s="39" t="e">
        <f>#REF!</f>
        <v>#REF!</v>
      </c>
      <c r="D2391" s="31" t="e">
        <f>#REF!</f>
        <v>#REF!</v>
      </c>
      <c r="E2391" s="31" t="e">
        <f>#REF!</f>
        <v>#REF!</v>
      </c>
      <c r="F2391" s="31" t="e">
        <f>#REF!</f>
        <v>#REF!</v>
      </c>
      <c r="G2391" s="31" t="e">
        <f>#REF!</f>
        <v>#REF!</v>
      </c>
      <c r="H2391" s="31" t="e">
        <f>#REF!</f>
        <v>#REF!</v>
      </c>
      <c r="I2391" s="31">
        <f>'تقرير المصروفات حسب الشهر'!X814</f>
        <v>0</v>
      </c>
      <c r="J2391" s="31">
        <f>'تقرير المصروفات حسب الشهر'!X941</f>
        <v>0</v>
      </c>
      <c r="K2391" s="31">
        <f>'تقرير المصروفات حسب الشهر'!X1068</f>
        <v>0</v>
      </c>
      <c r="L2391" s="292">
        <f>IFERROR(VLOOKUP(B2391,'تقرير المصروفات حسب الشهر'!$C$1143:$AD$1254,22,FALSE),0)</f>
        <v>0</v>
      </c>
      <c r="M2391" s="292">
        <f>IFERROR(VLOOKUP(B2391,'تقرير المصروفات حسب الشهر'!$C$1270:$AD$1381,22,FALSE),0)</f>
        <v>0</v>
      </c>
      <c r="N2391" s="31" t="e">
        <f>#REF!</f>
        <v>#REF!</v>
      </c>
      <c r="O2391" s="37" t="e">
        <f t="shared" si="60"/>
        <v>#REF!</v>
      </c>
    </row>
    <row r="2392" spans="2:15" ht="17.399999999999999">
      <c r="B2392" s="42" t="s">
        <v>79</v>
      </c>
      <c r="C2392" s="39" t="e">
        <f>#REF!</f>
        <v>#REF!</v>
      </c>
      <c r="D2392" s="31" t="e">
        <f>#REF!</f>
        <v>#REF!</v>
      </c>
      <c r="E2392" s="31" t="e">
        <f>#REF!</f>
        <v>#REF!</v>
      </c>
      <c r="F2392" s="31" t="e">
        <f>#REF!</f>
        <v>#REF!</v>
      </c>
      <c r="G2392" s="31" t="e">
        <f>#REF!</f>
        <v>#REF!</v>
      </c>
      <c r="H2392" s="31" t="e">
        <f>#REF!</f>
        <v>#REF!</v>
      </c>
      <c r="I2392" s="31">
        <f>'تقرير المصروفات حسب الشهر'!X815</f>
        <v>0</v>
      </c>
      <c r="J2392" s="31">
        <f>'تقرير المصروفات حسب الشهر'!X942</f>
        <v>0</v>
      </c>
      <c r="K2392" s="31">
        <f>'تقرير المصروفات حسب الشهر'!X1069</f>
        <v>0</v>
      </c>
      <c r="L2392" s="292">
        <f>IFERROR(VLOOKUP(B2392,'تقرير المصروفات حسب الشهر'!$C$1143:$AD$1254,22,FALSE),0)</f>
        <v>0</v>
      </c>
      <c r="M2392" s="292">
        <f>IFERROR(VLOOKUP(B2392,'تقرير المصروفات حسب الشهر'!$C$1270:$AD$1381,22,FALSE),0)</f>
        <v>0</v>
      </c>
      <c r="N2392" s="31" t="e">
        <f>#REF!</f>
        <v>#REF!</v>
      </c>
      <c r="O2392" s="37" t="e">
        <f t="shared" si="60"/>
        <v>#REF!</v>
      </c>
    </row>
    <row r="2393" spans="2:15" ht="17.399999999999999">
      <c r="B2393" s="42" t="s">
        <v>80</v>
      </c>
      <c r="C2393" s="39" t="e">
        <f>#REF!</f>
        <v>#REF!</v>
      </c>
      <c r="D2393" s="31" t="e">
        <f>#REF!</f>
        <v>#REF!</v>
      </c>
      <c r="E2393" s="31" t="e">
        <f>#REF!</f>
        <v>#REF!</v>
      </c>
      <c r="F2393" s="31" t="e">
        <f>#REF!</f>
        <v>#REF!</v>
      </c>
      <c r="G2393" s="31" t="e">
        <f>#REF!</f>
        <v>#REF!</v>
      </c>
      <c r="H2393" s="31" t="e">
        <f>#REF!</f>
        <v>#REF!</v>
      </c>
      <c r="I2393" s="31">
        <f>'تقرير المصروفات حسب الشهر'!X816</f>
        <v>0</v>
      </c>
      <c r="J2393" s="31">
        <f>'تقرير المصروفات حسب الشهر'!X943</f>
        <v>0</v>
      </c>
      <c r="K2393" s="31">
        <f>'تقرير المصروفات حسب الشهر'!X1070</f>
        <v>0</v>
      </c>
      <c r="L2393" s="292">
        <f>IFERROR(VLOOKUP(B2393,'تقرير المصروفات حسب الشهر'!$C$1143:$AD$1254,22,FALSE),0)</f>
        <v>0</v>
      </c>
      <c r="M2393" s="292">
        <f>IFERROR(VLOOKUP(B2393,'تقرير المصروفات حسب الشهر'!$C$1270:$AD$1381,22,FALSE),0)</f>
        <v>0</v>
      </c>
      <c r="N2393" s="31" t="e">
        <f>#REF!</f>
        <v>#REF!</v>
      </c>
      <c r="O2393" s="37" t="e">
        <f t="shared" si="60"/>
        <v>#REF!</v>
      </c>
    </row>
    <row r="2394" spans="2:15" ht="17.399999999999999">
      <c r="B2394" s="42" t="s">
        <v>81</v>
      </c>
      <c r="C2394" s="39" t="e">
        <f>#REF!</f>
        <v>#REF!</v>
      </c>
      <c r="D2394" s="31" t="e">
        <f>#REF!</f>
        <v>#REF!</v>
      </c>
      <c r="E2394" s="31" t="e">
        <f>#REF!</f>
        <v>#REF!</v>
      </c>
      <c r="F2394" s="31" t="e">
        <f>#REF!</f>
        <v>#REF!</v>
      </c>
      <c r="G2394" s="31" t="e">
        <f>#REF!</f>
        <v>#REF!</v>
      </c>
      <c r="H2394" s="31" t="e">
        <f>#REF!</f>
        <v>#REF!</v>
      </c>
      <c r="I2394" s="31">
        <f>'تقرير المصروفات حسب الشهر'!X817</f>
        <v>0</v>
      </c>
      <c r="J2394" s="31">
        <f>'تقرير المصروفات حسب الشهر'!X944</f>
        <v>0</v>
      </c>
      <c r="K2394" s="31">
        <f>'تقرير المصروفات حسب الشهر'!X1071</f>
        <v>0</v>
      </c>
      <c r="L2394" s="292">
        <f>IFERROR(VLOOKUP(B2394,'تقرير المصروفات حسب الشهر'!$C$1143:$AD$1254,22,FALSE),0)</f>
        <v>0</v>
      </c>
      <c r="M2394" s="292">
        <f>IFERROR(VLOOKUP(B2394,'تقرير المصروفات حسب الشهر'!$C$1270:$AD$1381,22,FALSE),0)</f>
        <v>0</v>
      </c>
      <c r="N2394" s="31" t="e">
        <f>#REF!</f>
        <v>#REF!</v>
      </c>
      <c r="O2394" s="37" t="e">
        <f t="shared" si="60"/>
        <v>#REF!</v>
      </c>
    </row>
    <row r="2395" spans="2:15" ht="17.399999999999999">
      <c r="B2395" s="42" t="s">
        <v>82</v>
      </c>
      <c r="C2395" s="39" t="e">
        <f>#REF!</f>
        <v>#REF!</v>
      </c>
      <c r="D2395" s="31" t="e">
        <f>#REF!</f>
        <v>#REF!</v>
      </c>
      <c r="E2395" s="31" t="e">
        <f>#REF!</f>
        <v>#REF!</v>
      </c>
      <c r="F2395" s="31" t="e">
        <f>#REF!</f>
        <v>#REF!</v>
      </c>
      <c r="G2395" s="31" t="e">
        <f>#REF!</f>
        <v>#REF!</v>
      </c>
      <c r="H2395" s="31" t="e">
        <f>#REF!</f>
        <v>#REF!</v>
      </c>
      <c r="I2395" s="31">
        <f>'تقرير المصروفات حسب الشهر'!X818</f>
        <v>0</v>
      </c>
      <c r="J2395" s="31">
        <f>'تقرير المصروفات حسب الشهر'!X945</f>
        <v>0</v>
      </c>
      <c r="K2395" s="31">
        <f>'تقرير المصروفات حسب الشهر'!X1072</f>
        <v>0</v>
      </c>
      <c r="L2395" s="292">
        <f>IFERROR(VLOOKUP(B2395,'تقرير المصروفات حسب الشهر'!$C$1143:$AD$1254,22,FALSE),0)</f>
        <v>0</v>
      </c>
      <c r="M2395" s="292">
        <f>IFERROR(VLOOKUP(B2395,'تقرير المصروفات حسب الشهر'!$C$1270:$AD$1381,22,FALSE),0)</f>
        <v>0</v>
      </c>
      <c r="N2395" s="31" t="e">
        <f>#REF!</f>
        <v>#REF!</v>
      </c>
      <c r="O2395" s="37" t="e">
        <f t="shared" si="60"/>
        <v>#REF!</v>
      </c>
    </row>
    <row r="2396" spans="2:15" ht="17.399999999999999">
      <c r="B2396" s="42" t="s">
        <v>83</v>
      </c>
      <c r="C2396" s="39" t="e">
        <f>#REF!</f>
        <v>#REF!</v>
      </c>
      <c r="D2396" s="31" t="e">
        <f>#REF!</f>
        <v>#REF!</v>
      </c>
      <c r="E2396" s="31" t="e">
        <f>#REF!</f>
        <v>#REF!</v>
      </c>
      <c r="F2396" s="31" t="e">
        <f>#REF!</f>
        <v>#REF!</v>
      </c>
      <c r="G2396" s="31" t="e">
        <f>#REF!</f>
        <v>#REF!</v>
      </c>
      <c r="H2396" s="31" t="e">
        <f>#REF!</f>
        <v>#REF!</v>
      </c>
      <c r="I2396" s="31">
        <f>'تقرير المصروفات حسب الشهر'!X819</f>
        <v>0</v>
      </c>
      <c r="J2396" s="31">
        <f>'تقرير المصروفات حسب الشهر'!X946</f>
        <v>0</v>
      </c>
      <c r="K2396" s="31">
        <f>'تقرير المصروفات حسب الشهر'!X1073</f>
        <v>0</v>
      </c>
      <c r="L2396" s="292">
        <f>IFERROR(VLOOKUP(B2396,'تقرير المصروفات حسب الشهر'!$C$1143:$AD$1254,22,FALSE),0)</f>
        <v>0</v>
      </c>
      <c r="M2396" s="292">
        <f>IFERROR(VLOOKUP(B2396,'تقرير المصروفات حسب الشهر'!$C$1270:$AD$1381,22,FALSE),0)</f>
        <v>0</v>
      </c>
      <c r="N2396" s="31" t="e">
        <f>#REF!</f>
        <v>#REF!</v>
      </c>
      <c r="O2396" s="37" t="e">
        <f t="shared" si="60"/>
        <v>#REF!</v>
      </c>
    </row>
    <row r="2397" spans="2:15" ht="17.399999999999999">
      <c r="B2397" s="42" t="s">
        <v>84</v>
      </c>
      <c r="C2397" s="39" t="e">
        <f>#REF!</f>
        <v>#REF!</v>
      </c>
      <c r="D2397" s="31" t="e">
        <f>#REF!</f>
        <v>#REF!</v>
      </c>
      <c r="E2397" s="31" t="e">
        <f>#REF!</f>
        <v>#REF!</v>
      </c>
      <c r="F2397" s="31" t="e">
        <f>#REF!</f>
        <v>#REF!</v>
      </c>
      <c r="G2397" s="31" t="e">
        <f>#REF!</f>
        <v>#REF!</v>
      </c>
      <c r="H2397" s="31" t="e">
        <f>#REF!</f>
        <v>#REF!</v>
      </c>
      <c r="I2397" s="31">
        <f>'تقرير المصروفات حسب الشهر'!X820</f>
        <v>0</v>
      </c>
      <c r="J2397" s="31">
        <f>'تقرير المصروفات حسب الشهر'!X947</f>
        <v>0</v>
      </c>
      <c r="K2397" s="31">
        <f>'تقرير المصروفات حسب الشهر'!X1074</f>
        <v>0</v>
      </c>
      <c r="L2397" s="292">
        <f>IFERROR(VLOOKUP(B2397,'تقرير المصروفات حسب الشهر'!$C$1143:$AD$1254,22,FALSE),0)</f>
        <v>0</v>
      </c>
      <c r="M2397" s="292">
        <f>IFERROR(VLOOKUP(B2397,'تقرير المصروفات حسب الشهر'!$C$1270:$AD$1381,22,FALSE),0)</f>
        <v>0</v>
      </c>
      <c r="N2397" s="31" t="e">
        <f>#REF!</f>
        <v>#REF!</v>
      </c>
      <c r="O2397" s="37" t="e">
        <f t="shared" si="60"/>
        <v>#REF!</v>
      </c>
    </row>
    <row r="2398" spans="2:15" ht="17.399999999999999">
      <c r="B2398" s="42" t="s">
        <v>85</v>
      </c>
      <c r="C2398" s="39" t="e">
        <f>#REF!</f>
        <v>#REF!</v>
      </c>
      <c r="D2398" s="31" t="e">
        <f>#REF!</f>
        <v>#REF!</v>
      </c>
      <c r="E2398" s="31" t="e">
        <f>#REF!</f>
        <v>#REF!</v>
      </c>
      <c r="F2398" s="31" t="e">
        <f>#REF!</f>
        <v>#REF!</v>
      </c>
      <c r="G2398" s="31" t="e">
        <f>#REF!</f>
        <v>#REF!</v>
      </c>
      <c r="H2398" s="31" t="e">
        <f>#REF!</f>
        <v>#REF!</v>
      </c>
      <c r="I2398" s="31">
        <f>'تقرير المصروفات حسب الشهر'!X821</f>
        <v>4000</v>
      </c>
      <c r="J2398" s="31">
        <f>'تقرير المصروفات حسب الشهر'!X948</f>
        <v>6185</v>
      </c>
      <c r="K2398" s="31">
        <f>'تقرير المصروفات حسب الشهر'!X1075</f>
        <v>6085</v>
      </c>
      <c r="L2398" s="292">
        <f>IFERROR(VLOOKUP(B2398,'تقرير المصروفات حسب الشهر'!$C$1143:$AD$1254,22,FALSE),0)</f>
        <v>8085</v>
      </c>
      <c r="M2398" s="292">
        <f>IFERROR(VLOOKUP(B2398,'تقرير المصروفات حسب الشهر'!$C$1270:$AD$1381,22,FALSE),0)</f>
        <v>5085</v>
      </c>
      <c r="N2398" s="31" t="e">
        <f>#REF!</f>
        <v>#REF!</v>
      </c>
      <c r="O2398" s="37" t="e">
        <f t="shared" si="60"/>
        <v>#REF!</v>
      </c>
    </row>
    <row r="2399" spans="2:15" ht="17.399999999999999">
      <c r="B2399" s="42" t="s">
        <v>86</v>
      </c>
      <c r="C2399" s="39" t="e">
        <f>#REF!</f>
        <v>#REF!</v>
      </c>
      <c r="D2399" s="31" t="e">
        <f>#REF!</f>
        <v>#REF!</v>
      </c>
      <c r="E2399" s="31" t="e">
        <f>#REF!</f>
        <v>#REF!</v>
      </c>
      <c r="F2399" s="31" t="e">
        <f>#REF!</f>
        <v>#REF!</v>
      </c>
      <c r="G2399" s="31" t="e">
        <f>#REF!</f>
        <v>#REF!</v>
      </c>
      <c r="H2399" s="31" t="e">
        <f>#REF!</f>
        <v>#REF!</v>
      </c>
      <c r="I2399" s="31">
        <f>'تقرير المصروفات حسب الشهر'!X822</f>
        <v>0</v>
      </c>
      <c r="J2399" s="31">
        <f>'تقرير المصروفات حسب الشهر'!X949</f>
        <v>0</v>
      </c>
      <c r="K2399" s="31">
        <f>'تقرير المصروفات حسب الشهر'!X1076</f>
        <v>0</v>
      </c>
      <c r="L2399" s="292">
        <f>IFERROR(VLOOKUP(B2399,'تقرير المصروفات حسب الشهر'!$C$1143:$AD$1254,22,FALSE),0)</f>
        <v>0</v>
      </c>
      <c r="M2399" s="292">
        <f>IFERROR(VLOOKUP(B2399,'تقرير المصروفات حسب الشهر'!$C$1270:$AD$1381,22,FALSE),0)</f>
        <v>0</v>
      </c>
      <c r="N2399" s="31" t="e">
        <f>#REF!</f>
        <v>#REF!</v>
      </c>
      <c r="O2399" s="37" t="e">
        <f t="shared" si="60"/>
        <v>#REF!</v>
      </c>
    </row>
    <row r="2400" spans="2:15" ht="17.399999999999999">
      <c r="B2400" s="42" t="s">
        <v>87</v>
      </c>
      <c r="C2400" s="39" t="e">
        <f>#REF!</f>
        <v>#REF!</v>
      </c>
      <c r="D2400" s="31" t="e">
        <f>#REF!</f>
        <v>#REF!</v>
      </c>
      <c r="E2400" s="31" t="e">
        <f>#REF!</f>
        <v>#REF!</v>
      </c>
      <c r="F2400" s="31" t="e">
        <f>#REF!</f>
        <v>#REF!</v>
      </c>
      <c r="G2400" s="31" t="e">
        <f>#REF!</f>
        <v>#REF!</v>
      </c>
      <c r="H2400" s="31" t="e">
        <f>#REF!</f>
        <v>#REF!</v>
      </c>
      <c r="I2400" s="31">
        <f>'تقرير المصروفات حسب الشهر'!X823</f>
        <v>0</v>
      </c>
      <c r="J2400" s="31">
        <f>'تقرير المصروفات حسب الشهر'!X950</f>
        <v>0</v>
      </c>
      <c r="K2400" s="31">
        <f>'تقرير المصروفات حسب الشهر'!X1077</f>
        <v>0</v>
      </c>
      <c r="L2400" s="292">
        <f>IFERROR(VLOOKUP(B2400,'تقرير المصروفات حسب الشهر'!$C$1143:$AD$1254,22,FALSE),0)</f>
        <v>0</v>
      </c>
      <c r="M2400" s="292">
        <f>IFERROR(VLOOKUP(B2400,'تقرير المصروفات حسب الشهر'!$C$1270:$AD$1381,22,FALSE),0)</f>
        <v>0</v>
      </c>
      <c r="N2400" s="31" t="e">
        <f>#REF!</f>
        <v>#REF!</v>
      </c>
      <c r="O2400" s="37" t="e">
        <f t="shared" si="60"/>
        <v>#REF!</v>
      </c>
    </row>
    <row r="2401" spans="2:15" ht="17.399999999999999">
      <c r="B2401" s="42" t="s">
        <v>88</v>
      </c>
      <c r="C2401" s="39" t="e">
        <f>#REF!</f>
        <v>#REF!</v>
      </c>
      <c r="D2401" s="31" t="e">
        <f>#REF!</f>
        <v>#REF!</v>
      </c>
      <c r="E2401" s="31" t="e">
        <f>#REF!</f>
        <v>#REF!</v>
      </c>
      <c r="F2401" s="31" t="e">
        <f>#REF!</f>
        <v>#REF!</v>
      </c>
      <c r="G2401" s="31" t="e">
        <f>#REF!</f>
        <v>#REF!</v>
      </c>
      <c r="H2401" s="31" t="e">
        <f>#REF!</f>
        <v>#REF!</v>
      </c>
      <c r="I2401" s="31">
        <f>'تقرير المصروفات حسب الشهر'!X824</f>
        <v>0</v>
      </c>
      <c r="J2401" s="31">
        <f>'تقرير المصروفات حسب الشهر'!X951</f>
        <v>0</v>
      </c>
      <c r="K2401" s="31">
        <f>'تقرير المصروفات حسب الشهر'!X1078</f>
        <v>0</v>
      </c>
      <c r="L2401" s="292">
        <f>IFERROR(VLOOKUP(B2401,'تقرير المصروفات حسب الشهر'!$C$1143:$AD$1254,22,FALSE),0)</f>
        <v>0</v>
      </c>
      <c r="M2401" s="292">
        <f>IFERROR(VLOOKUP(B2401,'تقرير المصروفات حسب الشهر'!$C$1270:$AD$1381,22,FALSE),0)</f>
        <v>0</v>
      </c>
      <c r="N2401" s="31" t="e">
        <f>#REF!</f>
        <v>#REF!</v>
      </c>
      <c r="O2401" s="37" t="e">
        <f t="shared" si="60"/>
        <v>#REF!</v>
      </c>
    </row>
    <row r="2402" spans="2:15" ht="17.399999999999999">
      <c r="B2402" s="42" t="s">
        <v>89</v>
      </c>
      <c r="C2402" s="39" t="e">
        <f>#REF!</f>
        <v>#REF!</v>
      </c>
      <c r="D2402" s="31" t="e">
        <f>#REF!</f>
        <v>#REF!</v>
      </c>
      <c r="E2402" s="31" t="e">
        <f>#REF!</f>
        <v>#REF!</v>
      </c>
      <c r="F2402" s="31" t="e">
        <f>#REF!</f>
        <v>#REF!</v>
      </c>
      <c r="G2402" s="31" t="e">
        <f>#REF!</f>
        <v>#REF!</v>
      </c>
      <c r="H2402" s="31" t="e">
        <f>#REF!</f>
        <v>#REF!</v>
      </c>
      <c r="I2402" s="31">
        <f>'تقرير المصروفات حسب الشهر'!X825</f>
        <v>0</v>
      </c>
      <c r="J2402" s="31">
        <f>'تقرير المصروفات حسب الشهر'!X952</f>
        <v>0</v>
      </c>
      <c r="K2402" s="31">
        <f>'تقرير المصروفات حسب الشهر'!X1079</f>
        <v>0</v>
      </c>
      <c r="L2402" s="292">
        <f>IFERROR(VLOOKUP(B2402,'تقرير المصروفات حسب الشهر'!$C$1143:$AD$1254,22,FALSE),0)</f>
        <v>0</v>
      </c>
      <c r="M2402" s="292">
        <f>IFERROR(VLOOKUP(B2402,'تقرير المصروفات حسب الشهر'!$C$1270:$AD$1381,22,FALSE),0)</f>
        <v>0</v>
      </c>
      <c r="N2402" s="31" t="e">
        <f>#REF!</f>
        <v>#REF!</v>
      </c>
      <c r="O2402" s="37" t="e">
        <f t="shared" si="60"/>
        <v>#REF!</v>
      </c>
    </row>
    <row r="2403" spans="2:15" ht="17.399999999999999">
      <c r="B2403" s="42" t="s">
        <v>33</v>
      </c>
      <c r="C2403" s="39" t="e">
        <f>#REF!</f>
        <v>#REF!</v>
      </c>
      <c r="D2403" s="31" t="e">
        <f>#REF!</f>
        <v>#REF!</v>
      </c>
      <c r="E2403" s="31" t="e">
        <f>#REF!</f>
        <v>#REF!</v>
      </c>
      <c r="F2403" s="31" t="e">
        <f>#REF!</f>
        <v>#REF!</v>
      </c>
      <c r="G2403" s="31" t="e">
        <f>#REF!</f>
        <v>#REF!</v>
      </c>
      <c r="H2403" s="31" t="e">
        <f>#REF!</f>
        <v>#REF!</v>
      </c>
      <c r="I2403" s="31">
        <f>'تقرير المصروفات حسب الشهر'!X826</f>
        <v>979</v>
      </c>
      <c r="J2403" s="31">
        <f>'تقرير المصروفات حسب الشهر'!X953</f>
        <v>0</v>
      </c>
      <c r="K2403" s="31">
        <f>'تقرير المصروفات حسب الشهر'!X1080</f>
        <v>0</v>
      </c>
      <c r="L2403" s="292">
        <f>IFERROR(VLOOKUP(B2403,'تقرير المصروفات حسب الشهر'!$C$1143:$AD$1254,22,FALSE),0)</f>
        <v>0</v>
      </c>
      <c r="M2403" s="292">
        <f>IFERROR(VLOOKUP(B2403,'تقرير المصروفات حسب الشهر'!$C$1270:$AD$1381,22,FALSE),0)</f>
        <v>2574.8200000000002</v>
      </c>
      <c r="N2403" s="31" t="e">
        <f>#REF!</f>
        <v>#REF!</v>
      </c>
      <c r="O2403" s="37" t="e">
        <f t="shared" si="60"/>
        <v>#REF!</v>
      </c>
    </row>
    <row r="2404" spans="2:15" ht="17.399999999999999">
      <c r="B2404" s="42" t="s">
        <v>90</v>
      </c>
      <c r="C2404" s="39" t="e">
        <f>#REF!</f>
        <v>#REF!</v>
      </c>
      <c r="D2404" s="31" t="e">
        <f>#REF!</f>
        <v>#REF!</v>
      </c>
      <c r="E2404" s="31" t="e">
        <f>#REF!</f>
        <v>#REF!</v>
      </c>
      <c r="F2404" s="31" t="e">
        <f>#REF!</f>
        <v>#REF!</v>
      </c>
      <c r="G2404" s="31" t="e">
        <f>#REF!</f>
        <v>#REF!</v>
      </c>
      <c r="H2404" s="31" t="e">
        <f>#REF!</f>
        <v>#REF!</v>
      </c>
      <c r="I2404" s="31">
        <f>'تقرير المصروفات حسب الشهر'!X827</f>
        <v>0</v>
      </c>
      <c r="J2404" s="31">
        <f>'تقرير المصروفات حسب الشهر'!X954</f>
        <v>0</v>
      </c>
      <c r="K2404" s="31">
        <f>'تقرير المصروفات حسب الشهر'!X1081</f>
        <v>0</v>
      </c>
      <c r="L2404" s="292">
        <f>IFERROR(VLOOKUP(B2404,'تقرير المصروفات حسب الشهر'!$C$1143:$AD$1254,22,FALSE),0)</f>
        <v>0</v>
      </c>
      <c r="M2404" s="292">
        <f>IFERROR(VLOOKUP(B2404,'تقرير المصروفات حسب الشهر'!$C$1270:$AD$1381,22,FALSE),0)</f>
        <v>0</v>
      </c>
      <c r="N2404" s="31" t="e">
        <f>#REF!</f>
        <v>#REF!</v>
      </c>
      <c r="O2404" s="37" t="e">
        <f t="shared" si="60"/>
        <v>#REF!</v>
      </c>
    </row>
    <row r="2405" spans="2:15" ht="17.399999999999999">
      <c r="B2405" s="42" t="s">
        <v>91</v>
      </c>
      <c r="C2405" s="39" t="e">
        <f>#REF!</f>
        <v>#REF!</v>
      </c>
      <c r="D2405" s="31" t="e">
        <f>#REF!</f>
        <v>#REF!</v>
      </c>
      <c r="E2405" s="31" t="e">
        <f>#REF!</f>
        <v>#REF!</v>
      </c>
      <c r="F2405" s="31" t="e">
        <f>#REF!</f>
        <v>#REF!</v>
      </c>
      <c r="G2405" s="31" t="e">
        <f>#REF!</f>
        <v>#REF!</v>
      </c>
      <c r="H2405" s="31" t="e">
        <f>#REF!</f>
        <v>#REF!</v>
      </c>
      <c r="I2405" s="31">
        <f>'تقرير المصروفات حسب الشهر'!X828</f>
        <v>0</v>
      </c>
      <c r="J2405" s="31">
        <f>'تقرير المصروفات حسب الشهر'!X955</f>
        <v>0</v>
      </c>
      <c r="K2405" s="31">
        <f>'تقرير المصروفات حسب الشهر'!X1082</f>
        <v>0</v>
      </c>
      <c r="L2405" s="292">
        <f>IFERROR(VLOOKUP(B2405,'تقرير المصروفات حسب الشهر'!$C$1143:$AD$1254,22,FALSE),0)</f>
        <v>0</v>
      </c>
      <c r="M2405" s="292">
        <f>IFERROR(VLOOKUP(B2405,'تقرير المصروفات حسب الشهر'!$C$1270:$AD$1381,22,FALSE),0)</f>
        <v>0</v>
      </c>
      <c r="N2405" s="31" t="e">
        <f>#REF!</f>
        <v>#REF!</v>
      </c>
      <c r="O2405" s="37" t="e">
        <f t="shared" ref="O2405:O2448" si="61">SUM(C2405:N2405)</f>
        <v>#REF!</v>
      </c>
    </row>
    <row r="2406" spans="2:15" ht="17.399999999999999">
      <c r="B2406" s="42" t="s">
        <v>92</v>
      </c>
      <c r="C2406" s="39" t="e">
        <f>#REF!</f>
        <v>#REF!</v>
      </c>
      <c r="D2406" s="31" t="e">
        <f>#REF!</f>
        <v>#REF!</v>
      </c>
      <c r="E2406" s="31" t="e">
        <f>#REF!</f>
        <v>#REF!</v>
      </c>
      <c r="F2406" s="31" t="e">
        <f>#REF!</f>
        <v>#REF!</v>
      </c>
      <c r="G2406" s="31" t="e">
        <f>#REF!</f>
        <v>#REF!</v>
      </c>
      <c r="H2406" s="31" t="e">
        <f>#REF!</f>
        <v>#REF!</v>
      </c>
      <c r="I2406" s="31">
        <f>'تقرير المصروفات حسب الشهر'!X829</f>
        <v>0</v>
      </c>
      <c r="J2406" s="31">
        <f>'تقرير المصروفات حسب الشهر'!X956</f>
        <v>0</v>
      </c>
      <c r="K2406" s="31">
        <f>'تقرير المصروفات حسب الشهر'!X1083</f>
        <v>0</v>
      </c>
      <c r="L2406" s="292">
        <f>IFERROR(VLOOKUP(B2406,'تقرير المصروفات حسب الشهر'!$C$1143:$AD$1254,22,FALSE),0)</f>
        <v>0</v>
      </c>
      <c r="M2406" s="292">
        <f>IFERROR(VLOOKUP(B2406,'تقرير المصروفات حسب الشهر'!$C$1270:$AD$1381,22,FALSE),0)</f>
        <v>0</v>
      </c>
      <c r="N2406" s="31" t="e">
        <f>#REF!</f>
        <v>#REF!</v>
      </c>
      <c r="O2406" s="37" t="e">
        <f t="shared" si="61"/>
        <v>#REF!</v>
      </c>
    </row>
    <row r="2407" spans="2:15" ht="17.399999999999999">
      <c r="B2407" s="42" t="s">
        <v>93</v>
      </c>
      <c r="C2407" s="39" t="e">
        <f>#REF!</f>
        <v>#REF!</v>
      </c>
      <c r="D2407" s="31" t="e">
        <f>#REF!</f>
        <v>#REF!</v>
      </c>
      <c r="E2407" s="31" t="e">
        <f>#REF!</f>
        <v>#REF!</v>
      </c>
      <c r="F2407" s="31" t="e">
        <f>#REF!</f>
        <v>#REF!</v>
      </c>
      <c r="G2407" s="31" t="e">
        <f>#REF!</f>
        <v>#REF!</v>
      </c>
      <c r="H2407" s="31" t="e">
        <f>#REF!</f>
        <v>#REF!</v>
      </c>
      <c r="I2407" s="31">
        <f>'تقرير المصروفات حسب الشهر'!X830</f>
        <v>0</v>
      </c>
      <c r="J2407" s="31">
        <f>'تقرير المصروفات حسب الشهر'!X957</f>
        <v>0</v>
      </c>
      <c r="K2407" s="31">
        <f>'تقرير المصروفات حسب الشهر'!X1084</f>
        <v>0</v>
      </c>
      <c r="L2407" s="292">
        <f>IFERROR(VLOOKUP(B2407,'تقرير المصروفات حسب الشهر'!$C$1143:$AD$1254,22,FALSE),0)</f>
        <v>0</v>
      </c>
      <c r="M2407" s="292">
        <f>IFERROR(VLOOKUP(B2407,'تقرير المصروفات حسب الشهر'!$C$1270:$AD$1381,22,FALSE),0)</f>
        <v>0</v>
      </c>
      <c r="N2407" s="31" t="e">
        <f>#REF!</f>
        <v>#REF!</v>
      </c>
      <c r="O2407" s="37" t="e">
        <f t="shared" si="61"/>
        <v>#REF!</v>
      </c>
    </row>
    <row r="2408" spans="2:15" ht="17.399999999999999">
      <c r="B2408" s="42" t="s">
        <v>94</v>
      </c>
      <c r="C2408" s="39" t="e">
        <f>#REF!</f>
        <v>#REF!</v>
      </c>
      <c r="D2408" s="31" t="e">
        <f>#REF!</f>
        <v>#REF!</v>
      </c>
      <c r="E2408" s="31" t="e">
        <f>#REF!</f>
        <v>#REF!</v>
      </c>
      <c r="F2408" s="31" t="e">
        <f>#REF!</f>
        <v>#REF!</v>
      </c>
      <c r="G2408" s="31" t="e">
        <f>#REF!</f>
        <v>#REF!</v>
      </c>
      <c r="H2408" s="31" t="e">
        <f>#REF!</f>
        <v>#REF!</v>
      </c>
      <c r="I2408" s="31">
        <f>'تقرير المصروفات حسب الشهر'!X831</f>
        <v>0</v>
      </c>
      <c r="J2408" s="31">
        <f>'تقرير المصروفات حسب الشهر'!X958</f>
        <v>650</v>
      </c>
      <c r="K2408" s="31">
        <f>'تقرير المصروفات حسب الشهر'!X1085</f>
        <v>400</v>
      </c>
      <c r="L2408" s="292">
        <f>IFERROR(VLOOKUP(B2408,'تقرير المصروفات حسب الشهر'!$C$1143:$AD$1254,22,FALSE),0)</f>
        <v>450</v>
      </c>
      <c r="M2408" s="292">
        <f>IFERROR(VLOOKUP(B2408,'تقرير المصروفات حسب الشهر'!$C$1270:$AD$1381,22,FALSE),0)</f>
        <v>400</v>
      </c>
      <c r="N2408" s="31" t="e">
        <f>#REF!</f>
        <v>#REF!</v>
      </c>
      <c r="O2408" s="37" t="e">
        <f t="shared" si="61"/>
        <v>#REF!</v>
      </c>
    </row>
    <row r="2409" spans="2:15" ht="17.399999999999999">
      <c r="B2409" s="42" t="s">
        <v>95</v>
      </c>
      <c r="C2409" s="39" t="e">
        <f>#REF!</f>
        <v>#REF!</v>
      </c>
      <c r="D2409" s="31" t="e">
        <f>#REF!</f>
        <v>#REF!</v>
      </c>
      <c r="E2409" s="31" t="e">
        <f>#REF!</f>
        <v>#REF!</v>
      </c>
      <c r="F2409" s="31" t="e">
        <f>#REF!</f>
        <v>#REF!</v>
      </c>
      <c r="G2409" s="31" t="e">
        <f>#REF!</f>
        <v>#REF!</v>
      </c>
      <c r="H2409" s="31" t="e">
        <f>#REF!</f>
        <v>#REF!</v>
      </c>
      <c r="I2409" s="31">
        <f>'تقرير المصروفات حسب الشهر'!X832</f>
        <v>0</v>
      </c>
      <c r="J2409" s="31">
        <f>'تقرير المصروفات حسب الشهر'!X959</f>
        <v>0</v>
      </c>
      <c r="K2409" s="31">
        <f>'تقرير المصروفات حسب الشهر'!X1086</f>
        <v>0</v>
      </c>
      <c r="L2409" s="292">
        <f>IFERROR(VLOOKUP(B2409,'تقرير المصروفات حسب الشهر'!$C$1143:$AD$1254,22,FALSE),0)</f>
        <v>0</v>
      </c>
      <c r="M2409" s="292">
        <f>IFERROR(VLOOKUP(B2409,'تقرير المصروفات حسب الشهر'!$C$1270:$AD$1381,22,FALSE),0)</f>
        <v>0</v>
      </c>
      <c r="N2409" s="31" t="e">
        <f>#REF!</f>
        <v>#REF!</v>
      </c>
      <c r="O2409" s="37" t="e">
        <f t="shared" si="61"/>
        <v>#REF!</v>
      </c>
    </row>
    <row r="2410" spans="2:15" ht="17.399999999999999">
      <c r="B2410" s="42" t="s">
        <v>96</v>
      </c>
      <c r="C2410" s="39" t="e">
        <f>#REF!</f>
        <v>#REF!</v>
      </c>
      <c r="D2410" s="31" t="e">
        <f>#REF!</f>
        <v>#REF!</v>
      </c>
      <c r="E2410" s="31" t="e">
        <f>#REF!</f>
        <v>#REF!</v>
      </c>
      <c r="F2410" s="31" t="e">
        <f>#REF!</f>
        <v>#REF!</v>
      </c>
      <c r="G2410" s="31" t="e">
        <f>#REF!</f>
        <v>#REF!</v>
      </c>
      <c r="H2410" s="31" t="e">
        <f>#REF!</f>
        <v>#REF!</v>
      </c>
      <c r="I2410" s="31">
        <f>'تقرير المصروفات حسب الشهر'!X833</f>
        <v>668</v>
      </c>
      <c r="J2410" s="31">
        <f>'تقرير المصروفات حسب الشهر'!X960</f>
        <v>0</v>
      </c>
      <c r="K2410" s="31">
        <f>'تقرير المصروفات حسب الشهر'!X1087</f>
        <v>0</v>
      </c>
      <c r="L2410" s="292">
        <f>IFERROR(VLOOKUP(B2410,'تقرير المصروفات حسب الشهر'!$C$1143:$AD$1254,22,FALSE),0)</f>
        <v>0</v>
      </c>
      <c r="M2410" s="292">
        <f>IFERROR(VLOOKUP(B2410,'تقرير المصروفات حسب الشهر'!$C$1270:$AD$1381,22,FALSE),0)</f>
        <v>0</v>
      </c>
      <c r="N2410" s="31" t="e">
        <f>#REF!</f>
        <v>#REF!</v>
      </c>
      <c r="O2410" s="37" t="e">
        <f t="shared" si="61"/>
        <v>#REF!</v>
      </c>
    </row>
    <row r="2411" spans="2:15" ht="17.399999999999999">
      <c r="B2411" s="42" t="s">
        <v>97</v>
      </c>
      <c r="C2411" s="39" t="e">
        <f>#REF!</f>
        <v>#REF!</v>
      </c>
      <c r="D2411" s="31" t="e">
        <f>#REF!</f>
        <v>#REF!</v>
      </c>
      <c r="E2411" s="31" t="e">
        <f>#REF!</f>
        <v>#REF!</v>
      </c>
      <c r="F2411" s="31" t="e">
        <f>#REF!</f>
        <v>#REF!</v>
      </c>
      <c r="G2411" s="31" t="e">
        <f>#REF!</f>
        <v>#REF!</v>
      </c>
      <c r="H2411" s="31" t="e">
        <f>#REF!</f>
        <v>#REF!</v>
      </c>
      <c r="I2411" s="31">
        <f>'تقرير المصروفات حسب الشهر'!X834</f>
        <v>780.96</v>
      </c>
      <c r="J2411" s="31">
        <f>'تقرير المصروفات حسب الشهر'!X961</f>
        <v>709.96</v>
      </c>
      <c r="K2411" s="31">
        <f>'تقرير المصروفات حسب الشهر'!X1088</f>
        <v>400.96</v>
      </c>
      <c r="L2411" s="292">
        <f>IFERROR(VLOOKUP(B2411,'تقرير المصروفات حسب الشهر'!$C$1143:$AD$1254,22,FALSE),0)</f>
        <v>1017.58</v>
      </c>
      <c r="M2411" s="292">
        <f>IFERROR(VLOOKUP(B2411,'تقرير المصروفات حسب الشهر'!$C$1270:$AD$1381,22,FALSE),0)</f>
        <v>709.96</v>
      </c>
      <c r="N2411" s="31" t="e">
        <f>#REF!</f>
        <v>#REF!</v>
      </c>
      <c r="O2411" s="37" t="e">
        <f t="shared" si="61"/>
        <v>#REF!</v>
      </c>
    </row>
    <row r="2412" spans="2:15" ht="17.399999999999999">
      <c r="B2412" s="42" t="s">
        <v>192</v>
      </c>
      <c r="C2412" s="39" t="e">
        <f>#REF!</f>
        <v>#REF!</v>
      </c>
      <c r="D2412" s="31" t="e">
        <f>#REF!</f>
        <v>#REF!</v>
      </c>
      <c r="E2412" s="31" t="e">
        <f>#REF!</f>
        <v>#REF!</v>
      </c>
      <c r="F2412" s="31" t="e">
        <f>#REF!</f>
        <v>#REF!</v>
      </c>
      <c r="G2412" s="31" t="e">
        <f>#REF!</f>
        <v>#REF!</v>
      </c>
      <c r="H2412" s="31" t="e">
        <f>#REF!</f>
        <v>#REF!</v>
      </c>
      <c r="I2412" s="31">
        <f>'تقرير المصروفات حسب الشهر'!X835</f>
        <v>0</v>
      </c>
      <c r="J2412" s="31">
        <f>'تقرير المصروفات حسب الشهر'!X962</f>
        <v>0</v>
      </c>
      <c r="K2412" s="31">
        <f>'تقرير المصروفات حسب الشهر'!X1089</f>
        <v>2130</v>
      </c>
      <c r="L2412" s="292">
        <f>IFERROR(VLOOKUP(B2412,'تقرير المصروفات حسب الشهر'!$C$1143:$AD$1254,22,FALSE),0)</f>
        <v>1065</v>
      </c>
      <c r="M2412" s="292">
        <f>IFERROR(VLOOKUP(B2412,'تقرير المصروفات حسب الشهر'!$C$1270:$AD$1381,22,FALSE),0)</f>
        <v>1065</v>
      </c>
      <c r="N2412" s="31" t="e">
        <f>#REF!</f>
        <v>#REF!</v>
      </c>
      <c r="O2412" s="37" t="e">
        <f t="shared" si="61"/>
        <v>#REF!</v>
      </c>
    </row>
    <row r="2413" spans="2:15" ht="17.399999999999999">
      <c r="B2413" s="42" t="s">
        <v>98</v>
      </c>
      <c r="C2413" s="39" t="e">
        <f>#REF!</f>
        <v>#REF!</v>
      </c>
      <c r="D2413" s="31" t="e">
        <f>#REF!</f>
        <v>#REF!</v>
      </c>
      <c r="E2413" s="31" t="e">
        <f>#REF!</f>
        <v>#REF!</v>
      </c>
      <c r="F2413" s="31" t="e">
        <f>#REF!</f>
        <v>#REF!</v>
      </c>
      <c r="G2413" s="31" t="e">
        <f>#REF!</f>
        <v>#REF!</v>
      </c>
      <c r="H2413" s="31" t="e">
        <f>#REF!</f>
        <v>#REF!</v>
      </c>
      <c r="I2413" s="31">
        <f>'تقرير المصروفات حسب الشهر'!X836</f>
        <v>0</v>
      </c>
      <c r="J2413" s="31">
        <f>'تقرير المصروفات حسب الشهر'!X963</f>
        <v>0</v>
      </c>
      <c r="K2413" s="31">
        <f>'تقرير المصروفات حسب الشهر'!X1090</f>
        <v>0</v>
      </c>
      <c r="L2413" s="292">
        <f>IFERROR(VLOOKUP(B2413,'تقرير المصروفات حسب الشهر'!$C$1143:$AD$1254,22,FALSE),0)</f>
        <v>0</v>
      </c>
      <c r="M2413" s="292">
        <f>IFERROR(VLOOKUP(B2413,'تقرير المصروفات حسب الشهر'!$C$1270:$AD$1381,22,FALSE),0)</f>
        <v>0</v>
      </c>
      <c r="N2413" s="31" t="e">
        <f>#REF!</f>
        <v>#REF!</v>
      </c>
      <c r="O2413" s="37" t="e">
        <f t="shared" si="61"/>
        <v>#REF!</v>
      </c>
    </row>
    <row r="2414" spans="2:15" ht="17.399999999999999">
      <c r="B2414" s="42" t="s">
        <v>99</v>
      </c>
      <c r="C2414" s="39" t="e">
        <f>#REF!</f>
        <v>#REF!</v>
      </c>
      <c r="D2414" s="31" t="e">
        <f>#REF!</f>
        <v>#REF!</v>
      </c>
      <c r="E2414" s="31" t="e">
        <f>#REF!</f>
        <v>#REF!</v>
      </c>
      <c r="F2414" s="31" t="e">
        <f>#REF!</f>
        <v>#REF!</v>
      </c>
      <c r="G2414" s="31" t="e">
        <f>#REF!</f>
        <v>#REF!</v>
      </c>
      <c r="H2414" s="31" t="e">
        <f>#REF!</f>
        <v>#REF!</v>
      </c>
      <c r="I2414" s="31">
        <f>'تقرير المصروفات حسب الشهر'!X837</f>
        <v>0</v>
      </c>
      <c r="J2414" s="31">
        <f>'تقرير المصروفات حسب الشهر'!X964</f>
        <v>0</v>
      </c>
      <c r="K2414" s="31">
        <f>'تقرير المصروفات حسب الشهر'!X1091</f>
        <v>0</v>
      </c>
      <c r="L2414" s="292">
        <f>IFERROR(VLOOKUP(B2414,'تقرير المصروفات حسب الشهر'!$C$1143:$AD$1254,22,FALSE),0)</f>
        <v>0</v>
      </c>
      <c r="M2414" s="292">
        <f>IFERROR(VLOOKUP(B2414,'تقرير المصروفات حسب الشهر'!$C$1270:$AD$1381,22,FALSE),0)</f>
        <v>0</v>
      </c>
      <c r="N2414" s="31" t="e">
        <f>#REF!</f>
        <v>#REF!</v>
      </c>
      <c r="O2414" s="37" t="e">
        <f t="shared" si="61"/>
        <v>#REF!</v>
      </c>
    </row>
    <row r="2415" spans="2:15" ht="17.399999999999999">
      <c r="B2415" s="42" t="s">
        <v>100</v>
      </c>
      <c r="C2415" s="39" t="e">
        <f>#REF!</f>
        <v>#REF!</v>
      </c>
      <c r="D2415" s="31" t="e">
        <f>#REF!</f>
        <v>#REF!</v>
      </c>
      <c r="E2415" s="31" t="e">
        <f>#REF!</f>
        <v>#REF!</v>
      </c>
      <c r="F2415" s="31" t="e">
        <f>#REF!</f>
        <v>#REF!</v>
      </c>
      <c r="G2415" s="31" t="e">
        <f>#REF!</f>
        <v>#REF!</v>
      </c>
      <c r="H2415" s="31" t="e">
        <f>#REF!</f>
        <v>#REF!</v>
      </c>
      <c r="I2415" s="31">
        <f>'تقرير المصروفات حسب الشهر'!X838</f>
        <v>0</v>
      </c>
      <c r="J2415" s="31">
        <f>'تقرير المصروفات حسب الشهر'!X965</f>
        <v>0</v>
      </c>
      <c r="K2415" s="31">
        <f>'تقرير المصروفات حسب الشهر'!X1092</f>
        <v>0</v>
      </c>
      <c r="L2415" s="292">
        <f>IFERROR(VLOOKUP(B2415,'تقرير المصروفات حسب الشهر'!$C$1143:$AD$1254,22,FALSE),0)</f>
        <v>0</v>
      </c>
      <c r="M2415" s="292">
        <f>IFERROR(VLOOKUP(B2415,'تقرير المصروفات حسب الشهر'!$C$1270:$AD$1381,22,FALSE),0)</f>
        <v>0</v>
      </c>
      <c r="N2415" s="31" t="e">
        <f>#REF!</f>
        <v>#REF!</v>
      </c>
      <c r="O2415" s="37" t="e">
        <f t="shared" si="61"/>
        <v>#REF!</v>
      </c>
    </row>
    <row r="2416" spans="2:15" ht="17.399999999999999">
      <c r="B2416" s="42" t="s">
        <v>101</v>
      </c>
      <c r="C2416" s="39" t="e">
        <f>#REF!</f>
        <v>#REF!</v>
      </c>
      <c r="D2416" s="31" t="e">
        <f>#REF!</f>
        <v>#REF!</v>
      </c>
      <c r="E2416" s="31" t="e">
        <f>#REF!</f>
        <v>#REF!</v>
      </c>
      <c r="F2416" s="31" t="e">
        <f>#REF!</f>
        <v>#REF!</v>
      </c>
      <c r="G2416" s="31" t="e">
        <f>#REF!</f>
        <v>#REF!</v>
      </c>
      <c r="H2416" s="31" t="e">
        <f>#REF!</f>
        <v>#REF!</v>
      </c>
      <c r="I2416" s="31">
        <f>'تقرير المصروفات حسب الشهر'!X839</f>
        <v>103.5</v>
      </c>
      <c r="J2416" s="31">
        <f>'تقرير المصروفات حسب الشهر'!X966</f>
        <v>103.5</v>
      </c>
      <c r="K2416" s="31">
        <f>'تقرير المصروفات حسب الشهر'!X1093</f>
        <v>103.5</v>
      </c>
      <c r="L2416" s="292">
        <f>IFERROR(VLOOKUP(B2416,'تقرير المصروفات حسب الشهر'!$C$1143:$AD$1254,22,FALSE),0)</f>
        <v>103.5</v>
      </c>
      <c r="M2416" s="292">
        <f>IFERROR(VLOOKUP(B2416,'تقرير المصروفات حسب الشهر'!$C$1270:$AD$1381,22,FALSE),0)</f>
        <v>103.5</v>
      </c>
      <c r="N2416" s="31" t="e">
        <f>#REF!</f>
        <v>#REF!</v>
      </c>
      <c r="O2416" s="37" t="e">
        <f t="shared" si="61"/>
        <v>#REF!</v>
      </c>
    </row>
    <row r="2417" spans="2:15" ht="17.399999999999999">
      <c r="B2417" s="42" t="s">
        <v>102</v>
      </c>
      <c r="C2417" s="39" t="e">
        <f>#REF!</f>
        <v>#REF!</v>
      </c>
      <c r="D2417" s="31" t="e">
        <f>#REF!</f>
        <v>#REF!</v>
      </c>
      <c r="E2417" s="31" t="e">
        <f>#REF!</f>
        <v>#REF!</v>
      </c>
      <c r="F2417" s="31" t="e">
        <f>#REF!</f>
        <v>#REF!</v>
      </c>
      <c r="G2417" s="31" t="e">
        <f>#REF!</f>
        <v>#REF!</v>
      </c>
      <c r="H2417" s="31" t="e">
        <f>#REF!</f>
        <v>#REF!</v>
      </c>
      <c r="I2417" s="31">
        <f>'تقرير المصروفات حسب الشهر'!X840</f>
        <v>0.53</v>
      </c>
      <c r="J2417" s="31">
        <f>'تقرير المصروفات حسب الشهر'!X967</f>
        <v>0</v>
      </c>
      <c r="K2417" s="31">
        <f>'تقرير المصروفات حسب الشهر'!X1094</f>
        <v>0</v>
      </c>
      <c r="L2417" s="292">
        <f>IFERROR(VLOOKUP(B2417,'تقرير المصروفات حسب الشهر'!$C$1143:$AD$1254,22,FALSE),0)</f>
        <v>0</v>
      </c>
      <c r="M2417" s="292">
        <f>IFERROR(VLOOKUP(B2417,'تقرير المصروفات حسب الشهر'!$C$1270:$AD$1381,22,FALSE),0)</f>
        <v>0</v>
      </c>
      <c r="N2417" s="31" t="e">
        <f>#REF!</f>
        <v>#REF!</v>
      </c>
      <c r="O2417" s="37" t="e">
        <f t="shared" si="61"/>
        <v>#REF!</v>
      </c>
    </row>
    <row r="2418" spans="2:15" ht="17.399999999999999">
      <c r="B2418" s="42" t="s">
        <v>103</v>
      </c>
      <c r="C2418" s="39" t="e">
        <f>#REF!</f>
        <v>#REF!</v>
      </c>
      <c r="D2418" s="31" t="e">
        <f>#REF!</f>
        <v>#REF!</v>
      </c>
      <c r="E2418" s="31" t="e">
        <f>#REF!</f>
        <v>#REF!</v>
      </c>
      <c r="F2418" s="31" t="e">
        <f>#REF!</f>
        <v>#REF!</v>
      </c>
      <c r="G2418" s="31" t="e">
        <f>#REF!</f>
        <v>#REF!</v>
      </c>
      <c r="H2418" s="31" t="e">
        <f>#REF!</f>
        <v>#REF!</v>
      </c>
      <c r="I2418" s="31">
        <f>'تقرير المصروفات حسب الشهر'!X841</f>
        <v>53.44</v>
      </c>
      <c r="J2418" s="31">
        <f>'تقرير المصروفات حسب الشهر'!X968</f>
        <v>38.17</v>
      </c>
      <c r="K2418" s="31">
        <f>'تقرير المصروفات حسب الشهر'!X1095</f>
        <v>0</v>
      </c>
      <c r="L2418" s="292">
        <f>IFERROR(VLOOKUP(B2418,'تقرير المصروفات حسب الشهر'!$C$1143:$AD$1254,22,FALSE),0)</f>
        <v>0</v>
      </c>
      <c r="M2418" s="292">
        <f>IFERROR(VLOOKUP(B2418,'تقرير المصروفات حسب الشهر'!$C$1270:$AD$1381,22,FALSE),0)</f>
        <v>0</v>
      </c>
      <c r="N2418" s="31" t="e">
        <f>#REF!</f>
        <v>#REF!</v>
      </c>
      <c r="O2418" s="37" t="e">
        <f t="shared" si="61"/>
        <v>#REF!</v>
      </c>
    </row>
    <row r="2419" spans="2:15" ht="17.399999999999999">
      <c r="B2419" s="42" t="s">
        <v>104</v>
      </c>
      <c r="C2419" s="39" t="e">
        <f>#REF!</f>
        <v>#REF!</v>
      </c>
      <c r="D2419" s="31" t="e">
        <f>#REF!</f>
        <v>#REF!</v>
      </c>
      <c r="E2419" s="31" t="e">
        <f>#REF!</f>
        <v>#REF!</v>
      </c>
      <c r="F2419" s="31" t="e">
        <f>#REF!</f>
        <v>#REF!</v>
      </c>
      <c r="G2419" s="31" t="e">
        <f>#REF!</f>
        <v>#REF!</v>
      </c>
      <c r="H2419" s="31" t="e">
        <f>#REF!</f>
        <v>#REF!</v>
      </c>
      <c r="I2419" s="31">
        <f>'تقرير المصروفات حسب الشهر'!X842</f>
        <v>85.83</v>
      </c>
      <c r="J2419" s="31">
        <f>'تقرير المصروفات حسب الشهر'!X969</f>
        <v>85.83</v>
      </c>
      <c r="K2419" s="31">
        <f>'تقرير المصروفات حسب الشهر'!X1096</f>
        <v>85.83</v>
      </c>
      <c r="L2419" s="292">
        <f>IFERROR(VLOOKUP(B2419,'تقرير المصروفات حسب الشهر'!$C$1143:$AD$1254,22,FALSE),0)</f>
        <v>85.83</v>
      </c>
      <c r="M2419" s="292">
        <f>IFERROR(VLOOKUP(B2419,'تقرير المصروفات حسب الشهر'!$C$1270:$AD$1381,22,FALSE),0)</f>
        <v>85.83</v>
      </c>
      <c r="N2419" s="31" t="e">
        <f>#REF!</f>
        <v>#REF!</v>
      </c>
      <c r="O2419" s="37" t="e">
        <f t="shared" si="61"/>
        <v>#REF!</v>
      </c>
    </row>
    <row r="2420" spans="2:15" ht="17.399999999999999">
      <c r="B2420" s="42" t="s">
        <v>105</v>
      </c>
      <c r="C2420" s="39" t="e">
        <f>#REF!</f>
        <v>#REF!</v>
      </c>
      <c r="D2420" s="31" t="e">
        <f>#REF!</f>
        <v>#REF!</v>
      </c>
      <c r="E2420" s="31" t="e">
        <f>#REF!</f>
        <v>#REF!</v>
      </c>
      <c r="F2420" s="31" t="e">
        <f>#REF!</f>
        <v>#REF!</v>
      </c>
      <c r="G2420" s="31" t="e">
        <f>#REF!</f>
        <v>#REF!</v>
      </c>
      <c r="H2420" s="31" t="e">
        <f>#REF!</f>
        <v>#REF!</v>
      </c>
      <c r="I2420" s="31">
        <f>'تقرير المصروفات حسب الشهر'!X843</f>
        <v>14.67</v>
      </c>
      <c r="J2420" s="31">
        <f>'تقرير المصروفات حسب الشهر'!X970</f>
        <v>14.67</v>
      </c>
      <c r="K2420" s="31">
        <f>'تقرير المصروفات حسب الشهر'!X1097</f>
        <v>14.67</v>
      </c>
      <c r="L2420" s="292">
        <f>IFERROR(VLOOKUP(B2420,'تقرير المصروفات حسب الشهر'!$C$1143:$AD$1254,22,FALSE),0)</f>
        <v>14.67</v>
      </c>
      <c r="M2420" s="292">
        <f>IFERROR(VLOOKUP(B2420,'تقرير المصروفات حسب الشهر'!$C$1270:$AD$1381,22,FALSE),0)</f>
        <v>14.63</v>
      </c>
      <c r="N2420" s="31" t="e">
        <f>#REF!</f>
        <v>#REF!</v>
      </c>
      <c r="O2420" s="37" t="e">
        <f t="shared" si="61"/>
        <v>#REF!</v>
      </c>
    </row>
    <row r="2421" spans="2:15" ht="17.399999999999999">
      <c r="B2421" s="42" t="s">
        <v>106</v>
      </c>
      <c r="C2421" s="39" t="e">
        <f>#REF!</f>
        <v>#REF!</v>
      </c>
      <c r="D2421" s="31" t="e">
        <f>#REF!</f>
        <v>#REF!</v>
      </c>
      <c r="E2421" s="31" t="e">
        <f>#REF!</f>
        <v>#REF!</v>
      </c>
      <c r="F2421" s="31" t="e">
        <f>#REF!</f>
        <v>#REF!</v>
      </c>
      <c r="G2421" s="31" t="e">
        <f>#REF!</f>
        <v>#REF!</v>
      </c>
      <c r="H2421" s="31" t="e">
        <f>#REF!</f>
        <v>#REF!</v>
      </c>
      <c r="I2421" s="31">
        <f>'تقرير المصروفات حسب الشهر'!X844</f>
        <v>0</v>
      </c>
      <c r="J2421" s="31">
        <f>'تقرير المصروفات حسب الشهر'!X971</f>
        <v>0</v>
      </c>
      <c r="K2421" s="31">
        <f>'تقرير المصروفات حسب الشهر'!X1098</f>
        <v>0</v>
      </c>
      <c r="L2421" s="292">
        <f>IFERROR(VLOOKUP(B2421,'تقرير المصروفات حسب الشهر'!$C$1143:$AD$1254,22,FALSE),0)</f>
        <v>0</v>
      </c>
      <c r="M2421" s="292">
        <f>IFERROR(VLOOKUP(B2421,'تقرير المصروفات حسب الشهر'!$C$1270:$AD$1381,22,FALSE),0)</f>
        <v>0</v>
      </c>
      <c r="N2421" s="31" t="e">
        <f>#REF!</f>
        <v>#REF!</v>
      </c>
      <c r="O2421" s="37" t="e">
        <f t="shared" si="61"/>
        <v>#REF!</v>
      </c>
    </row>
    <row r="2422" spans="2:15" ht="17.399999999999999">
      <c r="B2422" s="42" t="s">
        <v>107</v>
      </c>
      <c r="C2422" s="39" t="e">
        <f>#REF!</f>
        <v>#REF!</v>
      </c>
      <c r="D2422" s="31" t="e">
        <f>#REF!</f>
        <v>#REF!</v>
      </c>
      <c r="E2422" s="31" t="e">
        <f>#REF!</f>
        <v>#REF!</v>
      </c>
      <c r="F2422" s="31" t="e">
        <f>#REF!</f>
        <v>#REF!</v>
      </c>
      <c r="G2422" s="31" t="e">
        <f>#REF!</f>
        <v>#REF!</v>
      </c>
      <c r="H2422" s="31" t="e">
        <f>#REF!</f>
        <v>#REF!</v>
      </c>
      <c r="I2422" s="31">
        <f>'تقرير المصروفات حسب الشهر'!X845</f>
        <v>0</v>
      </c>
      <c r="J2422" s="31">
        <f>'تقرير المصروفات حسب الشهر'!X972</f>
        <v>0</v>
      </c>
      <c r="K2422" s="31">
        <f>'تقرير المصروفات حسب الشهر'!X1099</f>
        <v>0</v>
      </c>
      <c r="L2422" s="292">
        <f>IFERROR(VLOOKUP(B2422,'تقرير المصروفات حسب الشهر'!$C$1143:$AD$1254,22,FALSE),0)</f>
        <v>0</v>
      </c>
      <c r="M2422" s="292">
        <f>IFERROR(VLOOKUP(B2422,'تقرير المصروفات حسب الشهر'!$C$1270:$AD$1381,22,FALSE),0)</f>
        <v>0</v>
      </c>
      <c r="N2422" s="31" t="e">
        <f>#REF!</f>
        <v>#REF!</v>
      </c>
      <c r="O2422" s="37" t="e">
        <f t="shared" si="61"/>
        <v>#REF!</v>
      </c>
    </row>
    <row r="2423" spans="2:15" ht="17.399999999999999">
      <c r="B2423" s="42" t="s">
        <v>108</v>
      </c>
      <c r="C2423" s="39" t="e">
        <f>#REF!</f>
        <v>#REF!</v>
      </c>
      <c r="D2423" s="31" t="e">
        <f>#REF!</f>
        <v>#REF!</v>
      </c>
      <c r="E2423" s="31" t="e">
        <f>#REF!</f>
        <v>#REF!</v>
      </c>
      <c r="F2423" s="31" t="e">
        <f>#REF!</f>
        <v>#REF!</v>
      </c>
      <c r="G2423" s="31" t="e">
        <f>#REF!</f>
        <v>#REF!</v>
      </c>
      <c r="H2423" s="31" t="e">
        <f>#REF!</f>
        <v>#REF!</v>
      </c>
      <c r="I2423" s="31">
        <f>'تقرير المصروفات حسب الشهر'!X846</f>
        <v>0</v>
      </c>
      <c r="J2423" s="31">
        <f>'تقرير المصروفات حسب الشهر'!X973</f>
        <v>0</v>
      </c>
      <c r="K2423" s="31">
        <f>'تقرير المصروفات حسب الشهر'!X1100</f>
        <v>0</v>
      </c>
      <c r="L2423" s="292">
        <f>IFERROR(VLOOKUP(B2423,'تقرير المصروفات حسب الشهر'!$C$1143:$AD$1254,22,FALSE),0)</f>
        <v>0</v>
      </c>
      <c r="M2423" s="292">
        <f>IFERROR(VLOOKUP(B2423,'تقرير المصروفات حسب الشهر'!$C$1270:$AD$1381,22,FALSE),0)</f>
        <v>0</v>
      </c>
      <c r="N2423" s="31" t="e">
        <f>#REF!</f>
        <v>#REF!</v>
      </c>
      <c r="O2423" s="37" t="e">
        <f t="shared" si="61"/>
        <v>#REF!</v>
      </c>
    </row>
    <row r="2424" spans="2:15" ht="17.399999999999999">
      <c r="B2424" s="42" t="s">
        <v>109</v>
      </c>
      <c r="C2424" s="39" t="e">
        <f>#REF!</f>
        <v>#REF!</v>
      </c>
      <c r="D2424" s="31" t="e">
        <f>#REF!</f>
        <v>#REF!</v>
      </c>
      <c r="E2424" s="31" t="e">
        <f>#REF!</f>
        <v>#REF!</v>
      </c>
      <c r="F2424" s="31" t="e">
        <f>#REF!</f>
        <v>#REF!</v>
      </c>
      <c r="G2424" s="31" t="e">
        <f>#REF!</f>
        <v>#REF!</v>
      </c>
      <c r="H2424" s="31" t="e">
        <f>#REF!</f>
        <v>#REF!</v>
      </c>
      <c r="I2424" s="31">
        <f>'تقرير المصروفات حسب الشهر'!X847</f>
        <v>0</v>
      </c>
      <c r="J2424" s="31">
        <f>'تقرير المصروفات حسب الشهر'!X974</f>
        <v>0</v>
      </c>
      <c r="K2424" s="31">
        <f>'تقرير المصروفات حسب الشهر'!X1101</f>
        <v>0</v>
      </c>
      <c r="L2424" s="292">
        <f>IFERROR(VLOOKUP(B2424,'تقرير المصروفات حسب الشهر'!$C$1143:$AD$1254,22,FALSE),0)</f>
        <v>0</v>
      </c>
      <c r="M2424" s="292">
        <f>IFERROR(VLOOKUP(B2424,'تقرير المصروفات حسب الشهر'!$C$1270:$AD$1381,22,FALSE),0)</f>
        <v>0</v>
      </c>
      <c r="N2424" s="31" t="e">
        <f>#REF!</f>
        <v>#REF!</v>
      </c>
      <c r="O2424" s="37" t="e">
        <f t="shared" si="61"/>
        <v>#REF!</v>
      </c>
    </row>
    <row r="2425" spans="2:15" ht="17.399999999999999">
      <c r="B2425" s="42" t="s">
        <v>110</v>
      </c>
      <c r="C2425" s="39" t="e">
        <f>#REF!</f>
        <v>#REF!</v>
      </c>
      <c r="D2425" s="31" t="e">
        <f>#REF!</f>
        <v>#REF!</v>
      </c>
      <c r="E2425" s="31" t="e">
        <f>#REF!</f>
        <v>#REF!</v>
      </c>
      <c r="F2425" s="31" t="e">
        <f>#REF!</f>
        <v>#REF!</v>
      </c>
      <c r="G2425" s="31" t="e">
        <f>#REF!</f>
        <v>#REF!</v>
      </c>
      <c r="H2425" s="31" t="e">
        <f>#REF!</f>
        <v>#REF!</v>
      </c>
      <c r="I2425" s="31">
        <f>'تقرير المصروفات حسب الشهر'!X848</f>
        <v>0</v>
      </c>
      <c r="J2425" s="31">
        <f>'تقرير المصروفات حسب الشهر'!X975</f>
        <v>0</v>
      </c>
      <c r="K2425" s="31">
        <f>'تقرير المصروفات حسب الشهر'!X1102</f>
        <v>0</v>
      </c>
      <c r="L2425" s="292">
        <f>IFERROR(VLOOKUP(B2425,'تقرير المصروفات حسب الشهر'!$C$1143:$AD$1254,22,FALSE),0)</f>
        <v>0</v>
      </c>
      <c r="M2425" s="292">
        <f>IFERROR(VLOOKUP(B2425,'تقرير المصروفات حسب الشهر'!$C$1270:$AD$1381,22,FALSE),0)</f>
        <v>0</v>
      </c>
      <c r="N2425" s="31" t="e">
        <f>#REF!</f>
        <v>#REF!</v>
      </c>
      <c r="O2425" s="37" t="e">
        <f t="shared" si="61"/>
        <v>#REF!</v>
      </c>
    </row>
    <row r="2426" spans="2:15" ht="17.399999999999999">
      <c r="B2426" s="42" t="s">
        <v>112</v>
      </c>
      <c r="C2426" s="39" t="e">
        <f>#REF!</f>
        <v>#REF!</v>
      </c>
      <c r="D2426" s="31" t="e">
        <f>#REF!</f>
        <v>#REF!</v>
      </c>
      <c r="E2426" s="31" t="e">
        <f>#REF!</f>
        <v>#REF!</v>
      </c>
      <c r="F2426" s="31" t="e">
        <f>#REF!</f>
        <v>#REF!</v>
      </c>
      <c r="G2426" s="31" t="e">
        <f>#REF!</f>
        <v>#REF!</v>
      </c>
      <c r="H2426" s="31" t="e">
        <f>#REF!</f>
        <v>#REF!</v>
      </c>
      <c r="I2426" s="31">
        <f>'تقرير المصروفات حسب الشهر'!X849</f>
        <v>0</v>
      </c>
      <c r="J2426" s="31">
        <f>'تقرير المصروفات حسب الشهر'!X976</f>
        <v>0</v>
      </c>
      <c r="K2426" s="31">
        <f>'تقرير المصروفات حسب الشهر'!X1103</f>
        <v>0</v>
      </c>
      <c r="L2426" s="292">
        <f>IFERROR(VLOOKUP(B2426,'تقرير المصروفات حسب الشهر'!$C$1143:$AD$1254,22,FALSE),0)</f>
        <v>0</v>
      </c>
      <c r="M2426" s="292">
        <f>IFERROR(VLOOKUP(B2426,'تقرير المصروفات حسب الشهر'!$C$1270:$AD$1381,22,FALSE),0)</f>
        <v>0</v>
      </c>
      <c r="N2426" s="31" t="e">
        <f>#REF!</f>
        <v>#REF!</v>
      </c>
      <c r="O2426" s="37" t="e">
        <f t="shared" si="61"/>
        <v>#REF!</v>
      </c>
    </row>
    <row r="2427" spans="2:15" ht="17.399999999999999">
      <c r="B2427" s="42" t="s">
        <v>113</v>
      </c>
      <c r="C2427" s="39" t="e">
        <f>#REF!</f>
        <v>#REF!</v>
      </c>
      <c r="D2427" s="31" t="e">
        <f>#REF!</f>
        <v>#REF!</v>
      </c>
      <c r="E2427" s="31" t="e">
        <f>#REF!</f>
        <v>#REF!</v>
      </c>
      <c r="F2427" s="31" t="e">
        <f>#REF!</f>
        <v>#REF!</v>
      </c>
      <c r="G2427" s="31" t="e">
        <f>#REF!</f>
        <v>#REF!</v>
      </c>
      <c r="H2427" s="31" t="e">
        <f>#REF!</f>
        <v>#REF!</v>
      </c>
      <c r="I2427" s="31">
        <f>'تقرير المصروفات حسب الشهر'!X850</f>
        <v>0</v>
      </c>
      <c r="J2427" s="31">
        <f>'تقرير المصروفات حسب الشهر'!X977</f>
        <v>0</v>
      </c>
      <c r="K2427" s="31">
        <f>'تقرير المصروفات حسب الشهر'!X1104</f>
        <v>0</v>
      </c>
      <c r="L2427" s="292">
        <f>IFERROR(VLOOKUP(B2427,'تقرير المصروفات حسب الشهر'!$C$1143:$AD$1254,22,FALSE),0)</f>
        <v>0</v>
      </c>
      <c r="M2427" s="292">
        <f>IFERROR(VLOOKUP(B2427,'تقرير المصروفات حسب الشهر'!$C$1270:$AD$1381,22,FALSE),0)</f>
        <v>0</v>
      </c>
      <c r="N2427" s="31" t="e">
        <f>#REF!</f>
        <v>#REF!</v>
      </c>
      <c r="O2427" s="37" t="e">
        <f t="shared" si="61"/>
        <v>#REF!</v>
      </c>
    </row>
    <row r="2428" spans="2:15" ht="17.399999999999999">
      <c r="B2428" s="42" t="s">
        <v>137</v>
      </c>
      <c r="C2428" s="39" t="e">
        <f>#REF!</f>
        <v>#REF!</v>
      </c>
      <c r="D2428" s="31" t="e">
        <f>#REF!</f>
        <v>#REF!</v>
      </c>
      <c r="E2428" s="31" t="e">
        <f>#REF!</f>
        <v>#REF!</v>
      </c>
      <c r="F2428" s="31" t="e">
        <f>#REF!</f>
        <v>#REF!</v>
      </c>
      <c r="G2428" s="31" t="e">
        <f>#REF!</f>
        <v>#REF!</v>
      </c>
      <c r="H2428" s="31" t="e">
        <f>#REF!</f>
        <v>#REF!</v>
      </c>
      <c r="I2428" s="31">
        <f>'تقرير المصروفات حسب الشهر'!X851</f>
        <v>0</v>
      </c>
      <c r="J2428" s="31">
        <f>'تقرير المصروفات حسب الشهر'!X978</f>
        <v>0</v>
      </c>
      <c r="K2428" s="31">
        <f>'تقرير المصروفات حسب الشهر'!X1105</f>
        <v>0</v>
      </c>
      <c r="L2428" s="292">
        <f>IFERROR(VLOOKUP(B2428,'تقرير المصروفات حسب الشهر'!$C$1143:$AD$1254,22,FALSE),0)</f>
        <v>0</v>
      </c>
      <c r="M2428" s="292">
        <f>IFERROR(VLOOKUP(B2428,'تقرير المصروفات حسب الشهر'!$C$1270:$AD$1381,22,FALSE),0)</f>
        <v>0</v>
      </c>
      <c r="N2428" s="31" t="e">
        <f>#REF!</f>
        <v>#REF!</v>
      </c>
      <c r="O2428" s="37" t="e">
        <f t="shared" si="61"/>
        <v>#REF!</v>
      </c>
    </row>
    <row r="2429" spans="2:15" ht="17.399999999999999">
      <c r="B2429" s="42" t="s">
        <v>140</v>
      </c>
      <c r="C2429" s="39" t="e">
        <f>#REF!</f>
        <v>#REF!</v>
      </c>
      <c r="D2429" s="31" t="e">
        <f>#REF!</f>
        <v>#REF!</v>
      </c>
      <c r="E2429" s="31" t="e">
        <f>#REF!</f>
        <v>#REF!</v>
      </c>
      <c r="F2429" s="31" t="e">
        <f>#REF!</f>
        <v>#REF!</v>
      </c>
      <c r="G2429" s="31" t="e">
        <f>#REF!</f>
        <v>#REF!</v>
      </c>
      <c r="H2429" s="31" t="e">
        <f>#REF!</f>
        <v>#REF!</v>
      </c>
      <c r="I2429" s="31">
        <f>'تقرير المصروفات حسب الشهر'!X852</f>
        <v>0</v>
      </c>
      <c r="J2429" s="31">
        <f>'تقرير المصروفات حسب الشهر'!X979</f>
        <v>0</v>
      </c>
      <c r="K2429" s="31">
        <f>'تقرير المصروفات حسب الشهر'!X1106</f>
        <v>0</v>
      </c>
      <c r="L2429" s="292">
        <f>IFERROR(VLOOKUP(B2429,'تقرير المصروفات حسب الشهر'!$C$1143:$AD$1254,22,FALSE),0)</f>
        <v>0</v>
      </c>
      <c r="M2429" s="292">
        <f>IFERROR(VLOOKUP(B2429,'تقرير المصروفات حسب الشهر'!$C$1270:$AD$1381,22,FALSE),0)</f>
        <v>0</v>
      </c>
      <c r="N2429" s="31" t="e">
        <f>#REF!</f>
        <v>#REF!</v>
      </c>
      <c r="O2429" s="37" t="e">
        <f t="shared" si="61"/>
        <v>#REF!</v>
      </c>
    </row>
    <row r="2430" spans="2:15" ht="17.399999999999999">
      <c r="B2430" s="42" t="s">
        <v>141</v>
      </c>
      <c r="C2430" s="39" t="e">
        <f>#REF!</f>
        <v>#REF!</v>
      </c>
      <c r="D2430" s="31" t="e">
        <f>#REF!</f>
        <v>#REF!</v>
      </c>
      <c r="E2430" s="31" t="e">
        <f>#REF!</f>
        <v>#REF!</v>
      </c>
      <c r="F2430" s="31" t="e">
        <f>#REF!</f>
        <v>#REF!</v>
      </c>
      <c r="G2430" s="31" t="e">
        <f>#REF!</f>
        <v>#REF!</v>
      </c>
      <c r="H2430" s="31" t="e">
        <f>#REF!</f>
        <v>#REF!</v>
      </c>
      <c r="I2430" s="31">
        <f>'تقرير المصروفات حسب الشهر'!X853</f>
        <v>0</v>
      </c>
      <c r="J2430" s="31">
        <f>'تقرير المصروفات حسب الشهر'!X980</f>
        <v>0</v>
      </c>
      <c r="K2430" s="31">
        <f>'تقرير المصروفات حسب الشهر'!X1107</f>
        <v>0</v>
      </c>
      <c r="L2430" s="292">
        <f>IFERROR(VLOOKUP(B2430,'تقرير المصروفات حسب الشهر'!$C$1143:$AD$1254,22,FALSE),0)</f>
        <v>0</v>
      </c>
      <c r="M2430" s="292">
        <f>IFERROR(VLOOKUP(B2430,'تقرير المصروفات حسب الشهر'!$C$1270:$AD$1381,22,FALSE),0)</f>
        <v>0</v>
      </c>
      <c r="N2430" s="31" t="e">
        <f>#REF!</f>
        <v>#REF!</v>
      </c>
      <c r="O2430" s="37" t="e">
        <f t="shared" si="61"/>
        <v>#REF!</v>
      </c>
    </row>
    <row r="2431" spans="2:15" ht="17.399999999999999">
      <c r="B2431" s="42" t="s">
        <v>193</v>
      </c>
      <c r="C2431" s="39" t="e">
        <f>#REF!</f>
        <v>#REF!</v>
      </c>
      <c r="D2431" s="31" t="e">
        <f>#REF!</f>
        <v>#REF!</v>
      </c>
      <c r="E2431" s="31" t="e">
        <f>#REF!</f>
        <v>#REF!</v>
      </c>
      <c r="F2431" s="31" t="e">
        <f>#REF!</f>
        <v>#REF!</v>
      </c>
      <c r="G2431" s="31" t="e">
        <f>#REF!</f>
        <v>#REF!</v>
      </c>
      <c r="H2431" s="31" t="e">
        <f>#REF!</f>
        <v>#REF!</v>
      </c>
      <c r="I2431" s="31">
        <f>'تقرير المصروفات حسب الشهر'!X854</f>
        <v>0</v>
      </c>
      <c r="J2431" s="31">
        <f>'تقرير المصروفات حسب الشهر'!X981</f>
        <v>0</v>
      </c>
      <c r="K2431" s="31">
        <f>'تقرير المصروفات حسب الشهر'!X1108</f>
        <v>0</v>
      </c>
      <c r="L2431" s="292">
        <f>IFERROR(VLOOKUP(B2431,'تقرير المصروفات حسب الشهر'!$C$1143:$AD$1254,22,FALSE),0)</f>
        <v>0</v>
      </c>
      <c r="M2431" s="292">
        <f>IFERROR(VLOOKUP(B2431,'تقرير المصروفات حسب الشهر'!$C$1270:$AD$1381,22,FALSE),0)</f>
        <v>0</v>
      </c>
      <c r="N2431" s="31" t="e">
        <f>#REF!</f>
        <v>#REF!</v>
      </c>
      <c r="O2431" s="37" t="e">
        <f t="shared" si="61"/>
        <v>#REF!</v>
      </c>
    </row>
    <row r="2432" spans="2:15" ht="17.399999999999999">
      <c r="B2432" s="42" t="s">
        <v>148</v>
      </c>
      <c r="C2432" s="39" t="e">
        <f>#REF!</f>
        <v>#REF!</v>
      </c>
      <c r="D2432" s="31" t="e">
        <f>#REF!</f>
        <v>#REF!</v>
      </c>
      <c r="E2432" s="31" t="e">
        <f>#REF!</f>
        <v>#REF!</v>
      </c>
      <c r="F2432" s="31" t="e">
        <f>#REF!</f>
        <v>#REF!</v>
      </c>
      <c r="G2432" s="31" t="e">
        <f>#REF!</f>
        <v>#REF!</v>
      </c>
      <c r="H2432" s="31" t="e">
        <f>#REF!</f>
        <v>#REF!</v>
      </c>
      <c r="I2432" s="31">
        <f>'تقرير المصروفات حسب الشهر'!X855</f>
        <v>0</v>
      </c>
      <c r="J2432" s="31">
        <f>'تقرير المصروفات حسب الشهر'!X982</f>
        <v>0</v>
      </c>
      <c r="K2432" s="31">
        <f>'تقرير المصروفات حسب الشهر'!X1109</f>
        <v>0</v>
      </c>
      <c r="L2432" s="292">
        <f>IFERROR(VLOOKUP(B2432,'تقرير المصروفات حسب الشهر'!$C$1143:$AD$1254,22,FALSE),0)</f>
        <v>0</v>
      </c>
      <c r="M2432" s="292">
        <f>IFERROR(VLOOKUP(B2432,'تقرير المصروفات حسب الشهر'!$C$1270:$AD$1381,22,FALSE),0)</f>
        <v>0</v>
      </c>
      <c r="N2432" s="31" t="e">
        <f>#REF!</f>
        <v>#REF!</v>
      </c>
      <c r="O2432" s="37" t="e">
        <f t="shared" si="61"/>
        <v>#REF!</v>
      </c>
    </row>
    <row r="2433" spans="2:15" ht="17.399999999999999">
      <c r="B2433" s="42" t="s">
        <v>186</v>
      </c>
      <c r="C2433" s="39" t="e">
        <f>#REF!</f>
        <v>#REF!</v>
      </c>
      <c r="D2433" s="31" t="e">
        <f>#REF!</f>
        <v>#REF!</v>
      </c>
      <c r="E2433" s="31" t="e">
        <f>#REF!</f>
        <v>#REF!</v>
      </c>
      <c r="F2433" s="31" t="e">
        <f>#REF!</f>
        <v>#REF!</v>
      </c>
      <c r="G2433" s="31" t="e">
        <f>#REF!</f>
        <v>#REF!</v>
      </c>
      <c r="H2433" s="31" t="e">
        <f>#REF!</f>
        <v>#REF!</v>
      </c>
      <c r="I2433" s="31">
        <f>'تقرير المصروفات حسب الشهر'!X856</f>
        <v>0</v>
      </c>
      <c r="J2433" s="31">
        <f>'تقرير المصروفات حسب الشهر'!X983</f>
        <v>0</v>
      </c>
      <c r="K2433" s="31">
        <f>'تقرير المصروفات حسب الشهر'!X1110</f>
        <v>0</v>
      </c>
      <c r="L2433" s="292">
        <f>IFERROR(VLOOKUP(B2433,'تقرير المصروفات حسب الشهر'!$C$1143:$AD$1254,22,FALSE),0)</f>
        <v>0</v>
      </c>
      <c r="M2433" s="292">
        <f>IFERROR(VLOOKUP(B2433,'تقرير المصروفات حسب الشهر'!$C$1270:$AD$1381,22,FALSE),0)</f>
        <v>0</v>
      </c>
      <c r="N2433" s="31" t="e">
        <f>#REF!</f>
        <v>#REF!</v>
      </c>
      <c r="O2433" s="37" t="e">
        <f t="shared" si="61"/>
        <v>#REF!</v>
      </c>
    </row>
    <row r="2434" spans="2:15" ht="17.399999999999999">
      <c r="B2434" s="42" t="s">
        <v>171</v>
      </c>
      <c r="C2434" s="39" t="e">
        <f>#REF!</f>
        <v>#REF!</v>
      </c>
      <c r="D2434" s="31" t="e">
        <f>#REF!</f>
        <v>#REF!</v>
      </c>
      <c r="E2434" s="31" t="e">
        <f>#REF!</f>
        <v>#REF!</v>
      </c>
      <c r="F2434" s="31" t="e">
        <f>#REF!</f>
        <v>#REF!</v>
      </c>
      <c r="G2434" s="31" t="e">
        <f>#REF!</f>
        <v>#REF!</v>
      </c>
      <c r="H2434" s="31" t="e">
        <f>#REF!</f>
        <v>#REF!</v>
      </c>
      <c r="I2434" s="31">
        <f>'تقرير المصروفات حسب الشهر'!X857</f>
        <v>0</v>
      </c>
      <c r="J2434" s="31">
        <f>'تقرير المصروفات حسب الشهر'!X984</f>
        <v>0</v>
      </c>
      <c r="K2434" s="31">
        <f>'تقرير المصروفات حسب الشهر'!X1111</f>
        <v>0</v>
      </c>
      <c r="L2434" s="292">
        <f>IFERROR(VLOOKUP(B2434,'تقرير المصروفات حسب الشهر'!$C$1143:$AD$1254,22,FALSE),0)</f>
        <v>0</v>
      </c>
      <c r="M2434" s="292">
        <f>IFERROR(VLOOKUP(B2434,'تقرير المصروفات حسب الشهر'!$C$1270:$AD$1381,22,FALSE),0)</f>
        <v>0</v>
      </c>
      <c r="N2434" s="31" t="e">
        <f>#REF!</f>
        <v>#REF!</v>
      </c>
      <c r="O2434" s="37" t="e">
        <f t="shared" si="61"/>
        <v>#REF!</v>
      </c>
    </row>
    <row r="2435" spans="2:15" ht="17.399999999999999">
      <c r="B2435" s="42" t="s">
        <v>180</v>
      </c>
      <c r="C2435" s="39" t="e">
        <f>#REF!</f>
        <v>#REF!</v>
      </c>
      <c r="D2435" s="31" t="e">
        <f>#REF!</f>
        <v>#REF!</v>
      </c>
      <c r="E2435" s="31" t="e">
        <f>#REF!</f>
        <v>#REF!</v>
      </c>
      <c r="F2435" s="31" t="e">
        <f>#REF!</f>
        <v>#REF!</v>
      </c>
      <c r="G2435" s="31" t="e">
        <f>#REF!</f>
        <v>#REF!</v>
      </c>
      <c r="H2435" s="31" t="e">
        <f>#REF!</f>
        <v>#REF!</v>
      </c>
      <c r="I2435" s="31">
        <f>'تقرير المصروفات حسب الشهر'!X858</f>
        <v>0</v>
      </c>
      <c r="J2435" s="31">
        <f>'تقرير المصروفات حسب الشهر'!X985</f>
        <v>0</v>
      </c>
      <c r="K2435" s="31">
        <f>'تقرير المصروفات حسب الشهر'!X1112</f>
        <v>0</v>
      </c>
      <c r="L2435" s="292">
        <f>IFERROR(VLOOKUP(B2435,'تقرير المصروفات حسب الشهر'!$C$1143:$AD$1254,22,FALSE),0)</f>
        <v>0</v>
      </c>
      <c r="M2435" s="292">
        <f>IFERROR(VLOOKUP(B2435,'تقرير المصروفات حسب الشهر'!$C$1270:$AD$1381,22,FALSE),0)</f>
        <v>0</v>
      </c>
      <c r="N2435" s="31" t="e">
        <f>#REF!</f>
        <v>#REF!</v>
      </c>
      <c r="O2435" s="37" t="e">
        <f t="shared" si="61"/>
        <v>#REF!</v>
      </c>
    </row>
    <row r="2436" spans="2:15" ht="17.399999999999999">
      <c r="B2436" s="42" t="s">
        <v>183</v>
      </c>
      <c r="C2436" s="39" t="e">
        <f>#REF!</f>
        <v>#REF!</v>
      </c>
      <c r="D2436" s="31" t="e">
        <f>#REF!</f>
        <v>#REF!</v>
      </c>
      <c r="E2436" s="31" t="e">
        <f>#REF!</f>
        <v>#REF!</v>
      </c>
      <c r="F2436" s="31" t="e">
        <f>#REF!</f>
        <v>#REF!</v>
      </c>
      <c r="G2436" s="31" t="e">
        <f>#REF!</f>
        <v>#REF!</v>
      </c>
      <c r="H2436" s="31" t="e">
        <f>#REF!</f>
        <v>#REF!</v>
      </c>
      <c r="I2436" s="31">
        <f>'تقرير المصروفات حسب الشهر'!X859</f>
        <v>0</v>
      </c>
      <c r="J2436" s="31">
        <f>'تقرير المصروفات حسب الشهر'!X986</f>
        <v>0</v>
      </c>
      <c r="K2436" s="31">
        <f>'تقرير المصروفات حسب الشهر'!X1113</f>
        <v>0</v>
      </c>
      <c r="L2436" s="292">
        <f>IFERROR(VLOOKUP(B2436,'تقرير المصروفات حسب الشهر'!$C$1143:$AD$1254,22,FALSE),0)</f>
        <v>0</v>
      </c>
      <c r="M2436" s="292">
        <f>IFERROR(VLOOKUP(B2436,'تقرير المصروفات حسب الشهر'!$C$1270:$AD$1381,22,FALSE),0)</f>
        <v>0</v>
      </c>
      <c r="N2436" s="31" t="e">
        <f>#REF!</f>
        <v>#REF!</v>
      </c>
      <c r="O2436" s="37" t="e">
        <f t="shared" si="61"/>
        <v>#REF!</v>
      </c>
    </row>
    <row r="2437" spans="2:15" ht="17.399999999999999">
      <c r="B2437" s="42" t="s">
        <v>195</v>
      </c>
      <c r="C2437" s="39" t="e">
        <f>#REF!</f>
        <v>#REF!</v>
      </c>
      <c r="D2437" s="31" t="e">
        <f>#REF!</f>
        <v>#REF!</v>
      </c>
      <c r="E2437" s="31" t="e">
        <f>#REF!</f>
        <v>#REF!</v>
      </c>
      <c r="F2437" s="31" t="e">
        <f>#REF!</f>
        <v>#REF!</v>
      </c>
      <c r="G2437" s="31" t="e">
        <f>#REF!</f>
        <v>#REF!</v>
      </c>
      <c r="H2437" s="31" t="e">
        <f>#REF!</f>
        <v>#REF!</v>
      </c>
      <c r="I2437" s="31">
        <f>'تقرير المصروفات حسب الشهر'!X860</f>
        <v>0</v>
      </c>
      <c r="J2437" s="31">
        <f>'تقرير المصروفات حسب الشهر'!X987</f>
        <v>0</v>
      </c>
      <c r="K2437" s="31">
        <f>'تقرير المصروفات حسب الشهر'!X1114</f>
        <v>0</v>
      </c>
      <c r="L2437" s="292">
        <f>IFERROR(VLOOKUP(B2437,'تقرير المصروفات حسب الشهر'!$C$1143:$AD$1254,22,FALSE),0)</f>
        <v>0</v>
      </c>
      <c r="M2437" s="292">
        <f>IFERROR(VLOOKUP(B2437,'تقرير المصروفات حسب الشهر'!$C$1270:$AD$1381,22,FALSE),0)</f>
        <v>0</v>
      </c>
      <c r="N2437" s="31" t="e">
        <f>#REF!</f>
        <v>#REF!</v>
      </c>
      <c r="O2437" s="37" t="e">
        <f t="shared" si="61"/>
        <v>#REF!</v>
      </c>
    </row>
    <row r="2438" spans="2:15" ht="17.399999999999999">
      <c r="B2438" s="42" t="s">
        <v>189</v>
      </c>
      <c r="C2438" s="39" t="e">
        <f>#REF!</f>
        <v>#REF!</v>
      </c>
      <c r="D2438" s="31" t="e">
        <f>#REF!</f>
        <v>#REF!</v>
      </c>
      <c r="E2438" s="31" t="e">
        <f>#REF!</f>
        <v>#REF!</v>
      </c>
      <c r="F2438" s="31" t="e">
        <f>#REF!</f>
        <v>#REF!</v>
      </c>
      <c r="G2438" s="31" t="e">
        <f>#REF!</f>
        <v>#REF!</v>
      </c>
      <c r="H2438" s="31" t="e">
        <f>#REF!</f>
        <v>#REF!</v>
      </c>
      <c r="I2438" s="31">
        <f>'تقرير المصروفات حسب الشهر'!X861</f>
        <v>0</v>
      </c>
      <c r="J2438" s="31">
        <f>'تقرير المصروفات حسب الشهر'!X988</f>
        <v>0</v>
      </c>
      <c r="K2438" s="31">
        <f>'تقرير المصروفات حسب الشهر'!X1115</f>
        <v>0</v>
      </c>
      <c r="L2438" s="292">
        <f>IFERROR(VLOOKUP(B2438,'تقرير المصروفات حسب الشهر'!$C$1143:$AD$1254,22,FALSE),0)</f>
        <v>0</v>
      </c>
      <c r="M2438" s="292">
        <f>IFERROR(VLOOKUP(B2438,'تقرير المصروفات حسب الشهر'!$C$1270:$AD$1381,22,FALSE),0)</f>
        <v>0</v>
      </c>
      <c r="N2438" s="31" t="e">
        <f>#REF!</f>
        <v>#REF!</v>
      </c>
      <c r="O2438" s="37" t="e">
        <f t="shared" si="61"/>
        <v>#REF!</v>
      </c>
    </row>
    <row r="2439" spans="2:15" ht="17.399999999999999">
      <c r="B2439" s="42" t="s">
        <v>188</v>
      </c>
      <c r="C2439" s="39" t="e">
        <f>#REF!</f>
        <v>#REF!</v>
      </c>
      <c r="D2439" s="31" t="e">
        <f>#REF!</f>
        <v>#REF!</v>
      </c>
      <c r="E2439" s="31" t="e">
        <f>#REF!</f>
        <v>#REF!</v>
      </c>
      <c r="F2439" s="31" t="e">
        <f>#REF!</f>
        <v>#REF!</v>
      </c>
      <c r="G2439" s="31" t="e">
        <f>#REF!</f>
        <v>#REF!</v>
      </c>
      <c r="H2439" s="31" t="e">
        <f>#REF!</f>
        <v>#REF!</v>
      </c>
      <c r="I2439" s="31">
        <f>'تقرير المصروفات حسب الشهر'!X862</f>
        <v>0</v>
      </c>
      <c r="J2439" s="31">
        <f>'تقرير المصروفات حسب الشهر'!X989</f>
        <v>0</v>
      </c>
      <c r="K2439" s="31">
        <f>'تقرير المصروفات حسب الشهر'!X1116</f>
        <v>0</v>
      </c>
      <c r="L2439" s="292">
        <f>IFERROR(VLOOKUP(B2439,'تقرير المصروفات حسب الشهر'!$C$1143:$AD$1254,22,FALSE),0)</f>
        <v>0</v>
      </c>
      <c r="M2439" s="292">
        <f>IFERROR(VLOOKUP(B2439,'تقرير المصروفات حسب الشهر'!$C$1270:$AD$1381,22,FALSE),0)</f>
        <v>0</v>
      </c>
      <c r="N2439" s="31" t="e">
        <f>#REF!</f>
        <v>#REF!</v>
      </c>
      <c r="O2439" s="37" t="e">
        <f t="shared" si="61"/>
        <v>#REF!</v>
      </c>
    </row>
    <row r="2440" spans="2:15" ht="17.399999999999999">
      <c r="B2440" s="42" t="s">
        <v>196</v>
      </c>
      <c r="C2440" s="39" t="e">
        <f>#REF!</f>
        <v>#REF!</v>
      </c>
      <c r="D2440" s="31" t="e">
        <f>#REF!</f>
        <v>#REF!</v>
      </c>
      <c r="E2440" s="31" t="e">
        <f>#REF!</f>
        <v>#REF!</v>
      </c>
      <c r="F2440" s="31" t="e">
        <f>#REF!</f>
        <v>#REF!</v>
      </c>
      <c r="G2440" s="31" t="e">
        <f>#REF!</f>
        <v>#REF!</v>
      </c>
      <c r="H2440" s="31" t="e">
        <f>#REF!</f>
        <v>#REF!</v>
      </c>
      <c r="I2440" s="31">
        <f>'تقرير المصروفات حسب الشهر'!X863</f>
        <v>0</v>
      </c>
      <c r="J2440" s="31">
        <f>'تقرير المصروفات حسب الشهر'!X990</f>
        <v>0</v>
      </c>
      <c r="K2440" s="31">
        <f>'تقرير المصروفات حسب الشهر'!X1117</f>
        <v>0</v>
      </c>
      <c r="L2440" s="292">
        <f>IFERROR(VLOOKUP(B2440,'تقرير المصروفات حسب الشهر'!$C$1143:$AD$1254,22,FALSE),0)</f>
        <v>0</v>
      </c>
      <c r="M2440" s="292">
        <f>IFERROR(VLOOKUP(B2440,'تقرير المصروفات حسب الشهر'!$C$1270:$AD$1381,22,FALSE),0)</f>
        <v>0</v>
      </c>
      <c r="N2440" s="31" t="e">
        <f>#REF!</f>
        <v>#REF!</v>
      </c>
      <c r="O2440" s="37" t="e">
        <f t="shared" si="61"/>
        <v>#REF!</v>
      </c>
    </row>
    <row r="2441" spans="2:15" ht="17.399999999999999">
      <c r="B2441" s="42" t="s">
        <v>197</v>
      </c>
      <c r="C2441" s="39" t="e">
        <f>#REF!</f>
        <v>#REF!</v>
      </c>
      <c r="D2441" s="31" t="e">
        <f>#REF!</f>
        <v>#REF!</v>
      </c>
      <c r="E2441" s="31" t="e">
        <f>#REF!</f>
        <v>#REF!</v>
      </c>
      <c r="F2441" s="31" t="e">
        <f>#REF!</f>
        <v>#REF!</v>
      </c>
      <c r="G2441" s="31" t="e">
        <f>#REF!</f>
        <v>#REF!</v>
      </c>
      <c r="H2441" s="31" t="e">
        <f>#REF!</f>
        <v>#REF!</v>
      </c>
      <c r="I2441" s="31">
        <f>'تقرير المصروفات حسب الشهر'!X864</f>
        <v>0</v>
      </c>
      <c r="J2441" s="31">
        <f>'تقرير المصروفات حسب الشهر'!X991</f>
        <v>0</v>
      </c>
      <c r="K2441" s="31">
        <f>'تقرير المصروفات حسب الشهر'!X1118</f>
        <v>0</v>
      </c>
      <c r="L2441" s="292">
        <f>IFERROR(VLOOKUP(B2441,'تقرير المصروفات حسب الشهر'!$C$1143:$AD$1254,22,FALSE),0)</f>
        <v>0</v>
      </c>
      <c r="M2441" s="292">
        <f>IFERROR(VLOOKUP(B2441,'تقرير المصروفات حسب الشهر'!$C$1270:$AD$1381,22,FALSE),0)</f>
        <v>0</v>
      </c>
      <c r="N2441" s="31" t="e">
        <f>#REF!</f>
        <v>#REF!</v>
      </c>
      <c r="O2441" s="37" t="e">
        <f t="shared" si="61"/>
        <v>#REF!</v>
      </c>
    </row>
    <row r="2442" spans="2:15" ht="17.399999999999999">
      <c r="B2442" s="42" t="s">
        <v>198</v>
      </c>
      <c r="C2442" s="39" t="e">
        <f>#REF!</f>
        <v>#REF!</v>
      </c>
      <c r="D2442" s="31" t="e">
        <f>#REF!</f>
        <v>#REF!</v>
      </c>
      <c r="E2442" s="31" t="e">
        <f>#REF!</f>
        <v>#REF!</v>
      </c>
      <c r="F2442" s="31" t="e">
        <f>#REF!</f>
        <v>#REF!</v>
      </c>
      <c r="G2442" s="31" t="e">
        <f>#REF!</f>
        <v>#REF!</v>
      </c>
      <c r="H2442" s="31" t="e">
        <f>#REF!</f>
        <v>#REF!</v>
      </c>
      <c r="I2442" s="31">
        <f>'تقرير المصروفات حسب الشهر'!X865</f>
        <v>0</v>
      </c>
      <c r="J2442" s="31">
        <f>'تقرير المصروفات حسب الشهر'!X992</f>
        <v>0</v>
      </c>
      <c r="K2442" s="31">
        <f>'تقرير المصروفات حسب الشهر'!X1119</f>
        <v>0</v>
      </c>
      <c r="L2442" s="292">
        <f>IFERROR(VLOOKUP(B2442,'تقرير المصروفات حسب الشهر'!$C$1143:$AD$1254,22,FALSE),0)</f>
        <v>0</v>
      </c>
      <c r="M2442" s="292">
        <f>IFERROR(VLOOKUP(B2442,'تقرير المصروفات حسب الشهر'!$C$1270:$AD$1381,22,FALSE),0)</f>
        <v>0</v>
      </c>
      <c r="N2442" s="31" t="e">
        <f>#REF!</f>
        <v>#REF!</v>
      </c>
      <c r="O2442" s="37" t="e">
        <f t="shared" si="61"/>
        <v>#REF!</v>
      </c>
    </row>
    <row r="2443" spans="2:15" ht="17.399999999999999">
      <c r="B2443" s="42" t="s">
        <v>201</v>
      </c>
      <c r="C2443" s="39" t="e">
        <f>#REF!</f>
        <v>#REF!</v>
      </c>
      <c r="D2443" s="31" t="e">
        <f>#REF!</f>
        <v>#REF!</v>
      </c>
      <c r="E2443" s="31" t="e">
        <f>#REF!</f>
        <v>#REF!</v>
      </c>
      <c r="F2443" s="31" t="e">
        <f>#REF!</f>
        <v>#REF!</v>
      </c>
      <c r="G2443" s="31" t="e">
        <f>#REF!</f>
        <v>#REF!</v>
      </c>
      <c r="H2443" s="31" t="e">
        <f>#REF!</f>
        <v>#REF!</v>
      </c>
      <c r="I2443" s="31">
        <f>'تقرير المصروفات حسب الشهر'!X866</f>
        <v>0</v>
      </c>
      <c r="J2443" s="31">
        <f>'تقرير المصروفات حسب الشهر'!X993</f>
        <v>0</v>
      </c>
      <c r="K2443" s="31">
        <f>'تقرير المصروفات حسب الشهر'!X1120</f>
        <v>0</v>
      </c>
      <c r="L2443" s="292">
        <f>IFERROR(VLOOKUP(B2443,'تقرير المصروفات حسب الشهر'!$C$1143:$AD$1254,22,FALSE),0)</f>
        <v>0</v>
      </c>
      <c r="M2443" s="292">
        <f>IFERROR(VLOOKUP(B2443,'تقرير المصروفات حسب الشهر'!$C$1270:$AD$1381,22,FALSE),0)</f>
        <v>0</v>
      </c>
      <c r="N2443" s="31" t="e">
        <f>#REF!</f>
        <v>#REF!</v>
      </c>
      <c r="O2443" s="37" t="e">
        <f t="shared" si="61"/>
        <v>#REF!</v>
      </c>
    </row>
    <row r="2444" spans="2:15" ht="17.399999999999999">
      <c r="B2444" s="42" t="s">
        <v>202</v>
      </c>
      <c r="C2444" s="39" t="e">
        <f>#REF!</f>
        <v>#REF!</v>
      </c>
      <c r="D2444" s="31" t="e">
        <f>#REF!</f>
        <v>#REF!</v>
      </c>
      <c r="E2444" s="31" t="e">
        <f>#REF!</f>
        <v>#REF!</v>
      </c>
      <c r="F2444" s="31" t="e">
        <f>#REF!</f>
        <v>#REF!</v>
      </c>
      <c r="G2444" s="31" t="e">
        <f>#REF!</f>
        <v>#REF!</v>
      </c>
      <c r="H2444" s="31" t="e">
        <f>#REF!</f>
        <v>#REF!</v>
      </c>
      <c r="I2444" s="31">
        <f>'تقرير المصروفات حسب الشهر'!X867</f>
        <v>0</v>
      </c>
      <c r="J2444" s="31">
        <f>'تقرير المصروفات حسب الشهر'!X994</f>
        <v>0</v>
      </c>
      <c r="K2444" s="31">
        <f>'تقرير المصروفات حسب الشهر'!X1121</f>
        <v>0</v>
      </c>
      <c r="L2444" s="292">
        <f>IFERROR(VLOOKUP(B2444,'تقرير المصروفات حسب الشهر'!$C$1143:$AD$1254,22,FALSE),0)</f>
        <v>0</v>
      </c>
      <c r="M2444" s="292">
        <f>IFERROR(VLOOKUP(B2444,'تقرير المصروفات حسب الشهر'!$C$1270:$AD$1381,22,FALSE),0)</f>
        <v>0</v>
      </c>
      <c r="N2444" s="31" t="e">
        <f>#REF!</f>
        <v>#REF!</v>
      </c>
      <c r="O2444" s="37" t="e">
        <f t="shared" si="61"/>
        <v>#REF!</v>
      </c>
    </row>
    <row r="2445" spans="2:15" ht="17.399999999999999">
      <c r="B2445" s="42" t="s">
        <v>206</v>
      </c>
      <c r="C2445" s="39" t="e">
        <f>#REF!</f>
        <v>#REF!</v>
      </c>
      <c r="D2445" s="31" t="e">
        <f>#REF!</f>
        <v>#REF!</v>
      </c>
      <c r="E2445" s="31" t="e">
        <f>#REF!</f>
        <v>#REF!</v>
      </c>
      <c r="F2445" s="31" t="e">
        <f>#REF!</f>
        <v>#REF!</v>
      </c>
      <c r="G2445" s="31" t="e">
        <f>#REF!</f>
        <v>#REF!</v>
      </c>
      <c r="H2445" s="31" t="e">
        <f>#REF!</f>
        <v>#REF!</v>
      </c>
      <c r="I2445" s="31">
        <f>'تقرير المصروفات حسب الشهر'!X868</f>
        <v>0</v>
      </c>
      <c r="J2445" s="31">
        <f>'تقرير المصروفات حسب الشهر'!X995</f>
        <v>0</v>
      </c>
      <c r="K2445" s="31">
        <f>'تقرير المصروفات حسب الشهر'!X1122</f>
        <v>0</v>
      </c>
      <c r="L2445" s="292">
        <f>IFERROR(VLOOKUP(B2445,'تقرير المصروفات حسب الشهر'!$C$1143:$AD$1254,22,FALSE),0)</f>
        <v>0</v>
      </c>
      <c r="M2445" s="292">
        <f>IFERROR(VLOOKUP(B2445,'تقرير المصروفات حسب الشهر'!$C$1270:$AD$1381,22,FALSE),0)</f>
        <v>0</v>
      </c>
      <c r="N2445" s="31" t="e">
        <f>#REF!</f>
        <v>#REF!</v>
      </c>
      <c r="O2445" s="37" t="e">
        <f t="shared" si="61"/>
        <v>#REF!</v>
      </c>
    </row>
    <row r="2446" spans="2:15" ht="17.399999999999999">
      <c r="B2446" s="42" t="s">
        <v>207</v>
      </c>
      <c r="C2446" s="39" t="e">
        <f>#REF!</f>
        <v>#REF!</v>
      </c>
      <c r="D2446" s="31" t="e">
        <f>#REF!</f>
        <v>#REF!</v>
      </c>
      <c r="E2446" s="31" t="e">
        <f>#REF!</f>
        <v>#REF!</v>
      </c>
      <c r="F2446" s="31" t="e">
        <f>#REF!</f>
        <v>#REF!</v>
      </c>
      <c r="G2446" s="31" t="e">
        <f>#REF!</f>
        <v>#REF!</v>
      </c>
      <c r="H2446" s="31" t="e">
        <f>#REF!</f>
        <v>#REF!</v>
      </c>
      <c r="I2446" s="31">
        <f>'تقرير المصروفات حسب الشهر'!X869</f>
        <v>431.25</v>
      </c>
      <c r="J2446" s="31">
        <f>'تقرير المصروفات حسب الشهر'!X996</f>
        <v>431.25</v>
      </c>
      <c r="K2446" s="31">
        <f>'تقرير المصروفات حسب الشهر'!X1123</f>
        <v>431.25</v>
      </c>
      <c r="L2446" s="292">
        <f>IFERROR(VLOOKUP(B2446,'تقرير المصروفات حسب الشهر'!$C$1143:$AD$1254,22,FALSE),0)</f>
        <v>431.25</v>
      </c>
      <c r="M2446" s="292">
        <f>IFERROR(VLOOKUP(B2446,'تقرير المصروفات حسب الشهر'!$C$1270:$AD$1381,22,FALSE),0)</f>
        <v>431.25</v>
      </c>
      <c r="N2446" s="31" t="e">
        <f>#REF!</f>
        <v>#REF!</v>
      </c>
      <c r="O2446" s="37" t="e">
        <f t="shared" si="61"/>
        <v>#REF!</v>
      </c>
    </row>
    <row r="2447" spans="2:15" ht="17.399999999999999">
      <c r="B2447" s="42" t="s">
        <v>208</v>
      </c>
      <c r="C2447" s="39" t="e">
        <f>#REF!</f>
        <v>#REF!</v>
      </c>
      <c r="D2447" s="31" t="e">
        <f>#REF!</f>
        <v>#REF!</v>
      </c>
      <c r="E2447" s="31" t="e">
        <f>#REF!</f>
        <v>#REF!</v>
      </c>
      <c r="F2447" s="31" t="e">
        <f>#REF!</f>
        <v>#REF!</v>
      </c>
      <c r="G2447" s="31" t="e">
        <f>#REF!</f>
        <v>#REF!</v>
      </c>
      <c r="H2447" s="31" t="e">
        <f>#REF!</f>
        <v>#REF!</v>
      </c>
      <c r="I2447" s="31">
        <f>'تقرير المصروفات حسب الشهر'!X870</f>
        <v>0</v>
      </c>
      <c r="J2447" s="31">
        <f>'تقرير المصروفات حسب الشهر'!X997</f>
        <v>0</v>
      </c>
      <c r="K2447" s="31">
        <f>'تقرير المصروفات حسب الشهر'!X1124</f>
        <v>0</v>
      </c>
      <c r="L2447" s="292">
        <f>IFERROR(VLOOKUP(B2447,'تقرير المصروفات حسب الشهر'!$C$1143:$AD$1254,22,FALSE),0)</f>
        <v>0</v>
      </c>
      <c r="M2447" s="292">
        <f>IFERROR(VLOOKUP(B2447,'تقرير المصروفات حسب الشهر'!$C$1270:$AD$1381,22,FALSE),0)</f>
        <v>0</v>
      </c>
      <c r="N2447" s="31" t="e">
        <f>#REF!</f>
        <v>#REF!</v>
      </c>
      <c r="O2447" s="37" t="e">
        <f t="shared" si="61"/>
        <v>#REF!</v>
      </c>
    </row>
    <row r="2448" spans="2:15" ht="18" thickBot="1">
      <c r="B2448" s="43" t="s">
        <v>209</v>
      </c>
      <c r="C2448" s="39" t="e">
        <f>#REF!</f>
        <v>#REF!</v>
      </c>
      <c r="D2448" s="31" t="e">
        <f>#REF!</f>
        <v>#REF!</v>
      </c>
      <c r="E2448" s="31" t="e">
        <f>#REF!</f>
        <v>#REF!</v>
      </c>
      <c r="F2448" s="31" t="e">
        <f>#REF!</f>
        <v>#REF!</v>
      </c>
      <c r="G2448" s="31" t="e">
        <f>#REF!</f>
        <v>#REF!</v>
      </c>
      <c r="H2448" s="31">
        <v>0</v>
      </c>
      <c r="I2448" s="31">
        <f>'تقرير المصروفات حسب الشهر'!X871</f>
        <v>0</v>
      </c>
      <c r="J2448" s="31">
        <f>'تقرير المصروفات حسب الشهر'!X998</f>
        <v>0</v>
      </c>
      <c r="K2448" s="31">
        <f>'تقرير المصروفات حسب الشهر'!X1125</f>
        <v>0</v>
      </c>
      <c r="L2448" s="292">
        <f>IFERROR(VLOOKUP(B2448,'تقرير المصروفات حسب الشهر'!$C$1143:$AD$1254,22,FALSE),0)</f>
        <v>0</v>
      </c>
      <c r="M2448" s="292">
        <f>IFERROR(VLOOKUP(B2448,'تقرير المصروفات حسب الشهر'!$C$1270:$AD$1381,22,FALSE),0)</f>
        <v>0</v>
      </c>
      <c r="N2448" s="31" t="e">
        <f>#REF!</f>
        <v>#REF!</v>
      </c>
      <c r="O2448" s="37" t="e">
        <f t="shared" si="61"/>
        <v>#REF!</v>
      </c>
    </row>
    <row r="2449" spans="2:15" ht="21.6" thickBot="1">
      <c r="B2449" s="29" t="s">
        <v>18</v>
      </c>
      <c r="C2449" s="41" t="e">
        <f>SUM(C2340:C2448)</f>
        <v>#REF!</v>
      </c>
      <c r="D2449" s="41" t="e">
        <f t="shared" ref="D2449:O2449" si="62">SUM(D2340:D2448)</f>
        <v>#REF!</v>
      </c>
      <c r="E2449" s="41" t="e">
        <f t="shared" si="62"/>
        <v>#REF!</v>
      </c>
      <c r="F2449" s="41" t="e">
        <f t="shared" si="62"/>
        <v>#REF!</v>
      </c>
      <c r="G2449" s="41" t="e">
        <f t="shared" si="62"/>
        <v>#REF!</v>
      </c>
      <c r="H2449" s="41" t="e">
        <f t="shared" si="62"/>
        <v>#REF!</v>
      </c>
      <c r="I2449" s="41">
        <f t="shared" si="62"/>
        <v>49776.85</v>
      </c>
      <c r="J2449" s="41">
        <f t="shared" si="62"/>
        <v>19046.669999999998</v>
      </c>
      <c r="K2449" s="41">
        <f t="shared" si="62"/>
        <v>21630.760000000002</v>
      </c>
      <c r="L2449" s="41">
        <f t="shared" si="62"/>
        <v>49798.630000000005</v>
      </c>
      <c r="M2449" s="41">
        <f t="shared" si="62"/>
        <v>22288.860000000004</v>
      </c>
      <c r="N2449" s="41" t="e">
        <f t="shared" si="62"/>
        <v>#REF!</v>
      </c>
      <c r="O2449" s="41" t="e">
        <f t="shared" si="62"/>
        <v>#REF!</v>
      </c>
    </row>
    <row r="2451" spans="2:15" ht="13.8" thickBot="1"/>
    <row r="2452" spans="2:15" ht="31.2" thickTop="1" thickBot="1">
      <c r="B2452" s="643" t="s">
        <v>230</v>
      </c>
      <c r="C2452" s="644"/>
      <c r="D2452" s="644"/>
      <c r="E2452" s="644"/>
      <c r="F2452" s="644"/>
      <c r="G2452" s="644"/>
      <c r="H2452" s="644"/>
      <c r="I2452" s="644"/>
      <c r="J2452" s="644"/>
      <c r="K2452" s="644"/>
      <c r="L2452" s="644"/>
      <c r="M2452" s="644"/>
      <c r="N2452" s="644"/>
      <c r="O2452" s="645"/>
    </row>
    <row r="2453" spans="2:15" ht="17.399999999999999">
      <c r="B2453" s="30" t="s">
        <v>23</v>
      </c>
      <c r="C2453" s="33" t="s">
        <v>0</v>
      </c>
      <c r="D2453" s="33" t="s">
        <v>1</v>
      </c>
      <c r="E2453" s="34" t="s">
        <v>2</v>
      </c>
      <c r="F2453" s="34" t="s">
        <v>3</v>
      </c>
      <c r="G2453" s="34" t="s">
        <v>4</v>
      </c>
      <c r="H2453" s="34" t="s">
        <v>5</v>
      </c>
      <c r="I2453" s="34" t="s">
        <v>6</v>
      </c>
      <c r="J2453" s="34" t="s">
        <v>7</v>
      </c>
      <c r="K2453" s="34" t="s">
        <v>8</v>
      </c>
      <c r="L2453" s="34" t="s">
        <v>9</v>
      </c>
      <c r="M2453" s="34" t="s">
        <v>10</v>
      </c>
      <c r="N2453" s="35" t="s">
        <v>11</v>
      </c>
      <c r="O2453" s="36" t="s">
        <v>18</v>
      </c>
    </row>
    <row r="2454" spans="2:15" ht="17.399999999999999">
      <c r="B2454" s="42" t="s">
        <v>40</v>
      </c>
      <c r="C2454" s="39" t="e">
        <f>#REF!</f>
        <v>#REF!</v>
      </c>
      <c r="D2454" s="31" t="e">
        <f>#REF!</f>
        <v>#REF!</v>
      </c>
      <c r="E2454" s="31" t="e">
        <f>#REF!</f>
        <v>#REF!</v>
      </c>
      <c r="F2454" s="31" t="e">
        <f>#REF!</f>
        <v>#REF!</v>
      </c>
      <c r="G2454" s="31" t="e">
        <f>#REF!</f>
        <v>#REF!</v>
      </c>
      <c r="H2454" s="31" t="e">
        <f>#REF!</f>
        <v>#REF!</v>
      </c>
      <c r="I2454" s="31">
        <f>'تقرير المصروفات حسب الشهر'!Y763</f>
        <v>0</v>
      </c>
      <c r="J2454" s="31">
        <f>'تقرير المصروفات حسب الشهر'!Y890</f>
        <v>0</v>
      </c>
      <c r="K2454" s="31">
        <f>'تقرير المصروفات حسب الشهر'!Y1017</f>
        <v>0</v>
      </c>
      <c r="L2454" s="292">
        <f>IFERROR(VLOOKUP(B2454,'تقرير المصروفات حسب الشهر'!$C$1143:$AD$1254,23,FALSE),0)</f>
        <v>0</v>
      </c>
      <c r="M2454" s="292">
        <f>IFERROR(VLOOKUP(B2454,'تقرير المصروفات حسب الشهر'!$C$1270:$AD$1381,23,FALSE),0)</f>
        <v>0</v>
      </c>
      <c r="N2454" s="31" t="e">
        <f>#REF!</f>
        <v>#REF!</v>
      </c>
      <c r="O2454" s="37" t="e">
        <f>SUM(C2454:N2454)</f>
        <v>#REF!</v>
      </c>
    </row>
    <row r="2455" spans="2:15" ht="17.399999999999999">
      <c r="B2455" s="42" t="s">
        <v>41</v>
      </c>
      <c r="C2455" s="39" t="e">
        <f>#REF!</f>
        <v>#REF!</v>
      </c>
      <c r="D2455" s="31" t="e">
        <f>#REF!</f>
        <v>#REF!</v>
      </c>
      <c r="E2455" s="31" t="e">
        <f>#REF!</f>
        <v>#REF!</v>
      </c>
      <c r="F2455" s="31" t="e">
        <f>#REF!</f>
        <v>#REF!</v>
      </c>
      <c r="G2455" s="31" t="e">
        <f>#REF!</f>
        <v>#REF!</v>
      </c>
      <c r="H2455" s="31" t="e">
        <f>#REF!</f>
        <v>#REF!</v>
      </c>
      <c r="I2455" s="31">
        <f>'تقرير المصروفات حسب الشهر'!Y764</f>
        <v>10693.49</v>
      </c>
      <c r="J2455" s="31">
        <f>'تقرير المصروفات حسب الشهر'!Y891</f>
        <v>10712.18</v>
      </c>
      <c r="K2455" s="31">
        <f>'تقرير المصروفات حسب الشهر'!Y1018</f>
        <v>10839.02</v>
      </c>
      <c r="L2455" s="292">
        <f>IFERROR(VLOOKUP(B2455,'تقرير المصروفات حسب الشهر'!$C$1143:$AD$1254,23,FALSE),0)</f>
        <v>9928.85</v>
      </c>
      <c r="M2455" s="292">
        <f>IFERROR(VLOOKUP(B2455,'تقرير المصروفات حسب الشهر'!$C$1270:$AD$1381,23,FALSE),0)</f>
        <v>10868.730000000001</v>
      </c>
      <c r="N2455" s="31" t="e">
        <f>#REF!</f>
        <v>#REF!</v>
      </c>
      <c r="O2455" s="37" t="e">
        <f t="shared" ref="O2455:O2518" si="63">SUM(C2455:N2455)</f>
        <v>#REF!</v>
      </c>
    </row>
    <row r="2456" spans="2:15" ht="17.399999999999999">
      <c r="B2456" s="42" t="s">
        <v>26</v>
      </c>
      <c r="C2456" s="39" t="e">
        <f>#REF!</f>
        <v>#REF!</v>
      </c>
      <c r="D2456" s="31" t="e">
        <f>#REF!</f>
        <v>#REF!</v>
      </c>
      <c r="E2456" s="31" t="e">
        <f>#REF!</f>
        <v>#REF!</v>
      </c>
      <c r="F2456" s="31" t="e">
        <f>#REF!</f>
        <v>#REF!</v>
      </c>
      <c r="G2456" s="31" t="e">
        <f>#REF!</f>
        <v>#REF!</v>
      </c>
      <c r="H2456" s="31" t="e">
        <f>#REF!</f>
        <v>#REF!</v>
      </c>
      <c r="I2456" s="31">
        <f>'تقرير المصروفات حسب الشهر'!Y765</f>
        <v>0</v>
      </c>
      <c r="J2456" s="31">
        <f>'تقرير المصروفات حسب الشهر'!Y892</f>
        <v>0</v>
      </c>
      <c r="K2456" s="31">
        <f>'تقرير المصروفات حسب الشهر'!Y1019</f>
        <v>0</v>
      </c>
      <c r="L2456" s="292">
        <f>IFERROR(VLOOKUP(B2456,'تقرير المصروفات حسب الشهر'!$C$1143:$AD$1254,23,FALSE),0)</f>
        <v>0</v>
      </c>
      <c r="M2456" s="292">
        <f>IFERROR(VLOOKUP(B2456,'تقرير المصروفات حسب الشهر'!$C$1270:$AD$1381,23,FALSE),0)</f>
        <v>0</v>
      </c>
      <c r="N2456" s="31" t="e">
        <f>#REF!</f>
        <v>#REF!</v>
      </c>
      <c r="O2456" s="37" t="e">
        <f t="shared" si="63"/>
        <v>#REF!</v>
      </c>
    </row>
    <row r="2457" spans="2:15" ht="17.399999999999999">
      <c r="B2457" s="42" t="s">
        <v>27</v>
      </c>
      <c r="C2457" s="39" t="e">
        <f>#REF!</f>
        <v>#REF!</v>
      </c>
      <c r="D2457" s="31" t="e">
        <f>#REF!</f>
        <v>#REF!</v>
      </c>
      <c r="E2457" s="31" t="e">
        <f>#REF!</f>
        <v>#REF!</v>
      </c>
      <c r="F2457" s="31" t="e">
        <f>#REF!</f>
        <v>#REF!</v>
      </c>
      <c r="G2457" s="31" t="e">
        <f>#REF!</f>
        <v>#REF!</v>
      </c>
      <c r="H2457" s="31" t="e">
        <f>#REF!</f>
        <v>#REF!</v>
      </c>
      <c r="I2457" s="31">
        <f>'تقرير المصروفات حسب الشهر'!Y766</f>
        <v>0</v>
      </c>
      <c r="J2457" s="31">
        <f>'تقرير المصروفات حسب الشهر'!Y893</f>
        <v>0</v>
      </c>
      <c r="K2457" s="31">
        <f>'تقرير المصروفات حسب الشهر'!Y1020</f>
        <v>0</v>
      </c>
      <c r="L2457" s="292">
        <f>IFERROR(VLOOKUP(B2457,'تقرير المصروفات حسب الشهر'!$C$1143:$AD$1254,23,FALSE),0)</f>
        <v>0</v>
      </c>
      <c r="M2457" s="292">
        <f>IFERROR(VLOOKUP(B2457,'تقرير المصروفات حسب الشهر'!$C$1270:$AD$1381,23,FALSE),0)</f>
        <v>0</v>
      </c>
      <c r="N2457" s="31" t="e">
        <f>#REF!</f>
        <v>#REF!</v>
      </c>
      <c r="O2457" s="37" t="e">
        <f t="shared" si="63"/>
        <v>#REF!</v>
      </c>
    </row>
    <row r="2458" spans="2:15" ht="17.399999999999999">
      <c r="B2458" s="42" t="s">
        <v>42</v>
      </c>
      <c r="C2458" s="39" t="e">
        <f>#REF!</f>
        <v>#REF!</v>
      </c>
      <c r="D2458" s="31" t="e">
        <f>#REF!</f>
        <v>#REF!</v>
      </c>
      <c r="E2458" s="31" t="e">
        <f>#REF!</f>
        <v>#REF!</v>
      </c>
      <c r="F2458" s="31" t="e">
        <f>#REF!</f>
        <v>#REF!</v>
      </c>
      <c r="G2458" s="31" t="e">
        <f>#REF!</f>
        <v>#REF!</v>
      </c>
      <c r="H2458" s="31" t="e">
        <f>#REF!</f>
        <v>#REF!</v>
      </c>
      <c r="I2458" s="31">
        <f>'تقرير المصروفات حسب الشهر'!Y767</f>
        <v>0</v>
      </c>
      <c r="J2458" s="31">
        <f>'تقرير المصروفات حسب الشهر'!Y894</f>
        <v>0</v>
      </c>
      <c r="K2458" s="31">
        <f>'تقرير المصروفات حسب الشهر'!Y1021</f>
        <v>0</v>
      </c>
      <c r="L2458" s="292">
        <f>IFERROR(VLOOKUP(B2458,'تقرير المصروفات حسب الشهر'!$C$1143:$AD$1254,23,FALSE),0)</f>
        <v>0</v>
      </c>
      <c r="M2458" s="292">
        <f>IFERROR(VLOOKUP(B2458,'تقرير المصروفات حسب الشهر'!$C$1270:$AD$1381,23,FALSE),0)</f>
        <v>0</v>
      </c>
      <c r="N2458" s="31" t="e">
        <f>#REF!</f>
        <v>#REF!</v>
      </c>
      <c r="O2458" s="37" t="e">
        <f t="shared" si="63"/>
        <v>#REF!</v>
      </c>
    </row>
    <row r="2459" spans="2:15" ht="17.399999999999999">
      <c r="B2459" s="42" t="s">
        <v>43</v>
      </c>
      <c r="C2459" s="39" t="e">
        <f>#REF!</f>
        <v>#REF!</v>
      </c>
      <c r="D2459" s="31" t="e">
        <f>#REF!</f>
        <v>#REF!</v>
      </c>
      <c r="E2459" s="31" t="e">
        <f>#REF!</f>
        <v>#REF!</v>
      </c>
      <c r="F2459" s="31" t="e">
        <f>#REF!</f>
        <v>#REF!</v>
      </c>
      <c r="G2459" s="31" t="e">
        <f>#REF!</f>
        <v>#REF!</v>
      </c>
      <c r="H2459" s="31" t="e">
        <f>#REF!</f>
        <v>#REF!</v>
      </c>
      <c r="I2459" s="31">
        <f>'تقرير المصروفات حسب الشهر'!Y768</f>
        <v>0</v>
      </c>
      <c r="J2459" s="31">
        <f>'تقرير المصروفات حسب الشهر'!Y895</f>
        <v>0</v>
      </c>
      <c r="K2459" s="31">
        <f>'تقرير المصروفات حسب الشهر'!Y1022</f>
        <v>0</v>
      </c>
      <c r="L2459" s="292">
        <f>IFERROR(VLOOKUP(B2459,'تقرير المصروفات حسب الشهر'!$C$1143:$AD$1254,23,FALSE),0)</f>
        <v>0</v>
      </c>
      <c r="M2459" s="292">
        <f>IFERROR(VLOOKUP(B2459,'تقرير المصروفات حسب الشهر'!$C$1270:$AD$1381,23,FALSE),0)</f>
        <v>0</v>
      </c>
      <c r="N2459" s="31" t="e">
        <f>#REF!</f>
        <v>#REF!</v>
      </c>
      <c r="O2459" s="37" t="e">
        <f t="shared" si="63"/>
        <v>#REF!</v>
      </c>
    </row>
    <row r="2460" spans="2:15" ht="17.399999999999999">
      <c r="B2460" s="42" t="s">
        <v>44</v>
      </c>
      <c r="C2460" s="39" t="e">
        <f>#REF!</f>
        <v>#REF!</v>
      </c>
      <c r="D2460" s="31" t="e">
        <f>#REF!</f>
        <v>#REF!</v>
      </c>
      <c r="E2460" s="31" t="e">
        <f>#REF!</f>
        <v>#REF!</v>
      </c>
      <c r="F2460" s="31" t="e">
        <f>#REF!</f>
        <v>#REF!</v>
      </c>
      <c r="G2460" s="31" t="e">
        <f>#REF!</f>
        <v>#REF!</v>
      </c>
      <c r="H2460" s="31" t="e">
        <f>#REF!</f>
        <v>#REF!</v>
      </c>
      <c r="I2460" s="31">
        <f>'تقرير المصروفات حسب الشهر'!Y769</f>
        <v>0</v>
      </c>
      <c r="J2460" s="31">
        <f>'تقرير المصروفات حسب الشهر'!Y896</f>
        <v>0</v>
      </c>
      <c r="K2460" s="31">
        <f>'تقرير المصروفات حسب الشهر'!Y1023</f>
        <v>0</v>
      </c>
      <c r="L2460" s="292">
        <f>IFERROR(VLOOKUP(B2460,'تقرير المصروفات حسب الشهر'!$C$1143:$AD$1254,23,FALSE),0)</f>
        <v>0</v>
      </c>
      <c r="M2460" s="292">
        <f>IFERROR(VLOOKUP(B2460,'تقرير المصروفات حسب الشهر'!$C$1270:$AD$1381,23,FALSE),0)</f>
        <v>0</v>
      </c>
      <c r="N2460" s="31" t="e">
        <f>#REF!</f>
        <v>#REF!</v>
      </c>
      <c r="O2460" s="37" t="e">
        <f t="shared" si="63"/>
        <v>#REF!</v>
      </c>
    </row>
    <row r="2461" spans="2:15" ht="17.399999999999999">
      <c r="B2461" s="42" t="s">
        <v>45</v>
      </c>
      <c r="C2461" s="39" t="e">
        <f>#REF!</f>
        <v>#REF!</v>
      </c>
      <c r="D2461" s="31" t="e">
        <f>#REF!</f>
        <v>#REF!</v>
      </c>
      <c r="E2461" s="31" t="e">
        <f>#REF!</f>
        <v>#REF!</v>
      </c>
      <c r="F2461" s="31" t="e">
        <f>#REF!</f>
        <v>#REF!</v>
      </c>
      <c r="G2461" s="31" t="e">
        <f>#REF!</f>
        <v>#REF!</v>
      </c>
      <c r="H2461" s="31" t="e">
        <f>#REF!</f>
        <v>#REF!</v>
      </c>
      <c r="I2461" s="31">
        <f>'تقرير المصروفات حسب الشهر'!Y770</f>
        <v>0</v>
      </c>
      <c r="J2461" s="31">
        <f>'تقرير المصروفات حسب الشهر'!Y897</f>
        <v>0</v>
      </c>
      <c r="K2461" s="31">
        <f>'تقرير المصروفات حسب الشهر'!Y1024</f>
        <v>0</v>
      </c>
      <c r="L2461" s="292">
        <f>IFERROR(VLOOKUP(B2461,'تقرير المصروفات حسب الشهر'!$C$1143:$AD$1254,23,FALSE),0)</f>
        <v>0</v>
      </c>
      <c r="M2461" s="292">
        <f>IFERROR(VLOOKUP(B2461,'تقرير المصروفات حسب الشهر'!$C$1270:$AD$1381,23,FALSE),0)</f>
        <v>0</v>
      </c>
      <c r="N2461" s="31" t="e">
        <f>#REF!</f>
        <v>#REF!</v>
      </c>
      <c r="O2461" s="37" t="e">
        <f t="shared" si="63"/>
        <v>#REF!</v>
      </c>
    </row>
    <row r="2462" spans="2:15" ht="17.399999999999999">
      <c r="B2462" s="42" t="s">
        <v>156</v>
      </c>
      <c r="C2462" s="39" t="e">
        <f>#REF!</f>
        <v>#REF!</v>
      </c>
      <c r="D2462" s="31" t="e">
        <f>#REF!</f>
        <v>#REF!</v>
      </c>
      <c r="E2462" s="31" t="e">
        <f>#REF!</f>
        <v>#REF!</v>
      </c>
      <c r="F2462" s="31" t="e">
        <f>#REF!</f>
        <v>#REF!</v>
      </c>
      <c r="G2462" s="31" t="e">
        <f>#REF!</f>
        <v>#REF!</v>
      </c>
      <c r="H2462" s="31" t="e">
        <f>#REF!</f>
        <v>#REF!</v>
      </c>
      <c r="I2462" s="31">
        <f>'تقرير المصروفات حسب الشهر'!Y771</f>
        <v>0</v>
      </c>
      <c r="J2462" s="31">
        <f>'تقرير المصروفات حسب الشهر'!Y898</f>
        <v>0</v>
      </c>
      <c r="K2462" s="31">
        <f>'تقرير المصروفات حسب الشهر'!Y1025</f>
        <v>0</v>
      </c>
      <c r="L2462" s="292">
        <f>IFERROR(VLOOKUP(B2462,'تقرير المصروفات حسب الشهر'!$C$1143:$AD$1254,23,FALSE),0)</f>
        <v>0</v>
      </c>
      <c r="M2462" s="292">
        <f>IFERROR(VLOOKUP(B2462,'تقرير المصروفات حسب الشهر'!$C$1270:$AD$1381,23,FALSE),0)</f>
        <v>0</v>
      </c>
      <c r="N2462" s="31" t="e">
        <f>#REF!</f>
        <v>#REF!</v>
      </c>
      <c r="O2462" s="37" t="e">
        <f t="shared" si="63"/>
        <v>#REF!</v>
      </c>
    </row>
    <row r="2463" spans="2:15" ht="17.399999999999999">
      <c r="B2463" s="42" t="s">
        <v>46</v>
      </c>
      <c r="C2463" s="39" t="e">
        <f>#REF!</f>
        <v>#REF!</v>
      </c>
      <c r="D2463" s="31" t="e">
        <f>#REF!</f>
        <v>#REF!</v>
      </c>
      <c r="E2463" s="31" t="e">
        <f>#REF!</f>
        <v>#REF!</v>
      </c>
      <c r="F2463" s="31" t="e">
        <f>#REF!</f>
        <v>#REF!</v>
      </c>
      <c r="G2463" s="31" t="e">
        <f>#REF!</f>
        <v>#REF!</v>
      </c>
      <c r="H2463" s="31" t="e">
        <f>#REF!</f>
        <v>#REF!</v>
      </c>
      <c r="I2463" s="31">
        <f>'تقرير المصروفات حسب الشهر'!Y772</f>
        <v>342.18</v>
      </c>
      <c r="J2463" s="31">
        <f>'تقرير المصروفات حسب الشهر'!Y899</f>
        <v>62.18</v>
      </c>
      <c r="K2463" s="31">
        <f>'تقرير المصروفات حسب الشهر'!Y1026</f>
        <v>62.18</v>
      </c>
      <c r="L2463" s="292">
        <f>IFERROR(VLOOKUP(B2463,'تقرير المصروفات حسب الشهر'!$C$1143:$AD$1254,23,FALSE),0)</f>
        <v>62.18</v>
      </c>
      <c r="M2463" s="292">
        <f>IFERROR(VLOOKUP(B2463,'تقرير المصروفات حسب الشهر'!$C$1270:$AD$1381,23,FALSE),0)</f>
        <v>62.18</v>
      </c>
      <c r="N2463" s="31" t="e">
        <f>#REF!</f>
        <v>#REF!</v>
      </c>
      <c r="O2463" s="37" t="e">
        <f t="shared" si="63"/>
        <v>#REF!</v>
      </c>
    </row>
    <row r="2464" spans="2:15" ht="17.399999999999999">
      <c r="B2464" s="42" t="s">
        <v>47</v>
      </c>
      <c r="C2464" s="39" t="e">
        <f>#REF!</f>
        <v>#REF!</v>
      </c>
      <c r="D2464" s="31" t="e">
        <f>#REF!</f>
        <v>#REF!</v>
      </c>
      <c r="E2464" s="31" t="e">
        <f>#REF!</f>
        <v>#REF!</v>
      </c>
      <c r="F2464" s="31" t="e">
        <f>#REF!</f>
        <v>#REF!</v>
      </c>
      <c r="G2464" s="31" t="e">
        <f>#REF!</f>
        <v>#REF!</v>
      </c>
      <c r="H2464" s="31" t="e">
        <f>#REF!</f>
        <v>#REF!</v>
      </c>
      <c r="I2464" s="31">
        <f>'تقرير المصروفات حسب الشهر'!Y773</f>
        <v>0</v>
      </c>
      <c r="J2464" s="31">
        <f>'تقرير المصروفات حسب الشهر'!Y900</f>
        <v>0</v>
      </c>
      <c r="K2464" s="31">
        <f>'تقرير المصروفات حسب الشهر'!Y1027</f>
        <v>0</v>
      </c>
      <c r="L2464" s="292">
        <f>IFERROR(VLOOKUP(B2464,'تقرير المصروفات حسب الشهر'!$C$1143:$AD$1254,23,FALSE),0)</f>
        <v>0</v>
      </c>
      <c r="M2464" s="292">
        <f>IFERROR(VLOOKUP(B2464,'تقرير المصروفات حسب الشهر'!$C$1270:$AD$1381,23,FALSE),0)</f>
        <v>0</v>
      </c>
      <c r="N2464" s="31" t="e">
        <f>#REF!</f>
        <v>#REF!</v>
      </c>
      <c r="O2464" s="37" t="e">
        <f t="shared" si="63"/>
        <v>#REF!</v>
      </c>
    </row>
    <row r="2465" spans="2:15" ht="17.399999999999999">
      <c r="B2465" s="42" t="s">
        <v>48</v>
      </c>
      <c r="C2465" s="39" t="e">
        <f>#REF!</f>
        <v>#REF!</v>
      </c>
      <c r="D2465" s="31" t="e">
        <f>#REF!</f>
        <v>#REF!</v>
      </c>
      <c r="E2465" s="31" t="e">
        <f>#REF!</f>
        <v>#REF!</v>
      </c>
      <c r="F2465" s="31" t="e">
        <f>#REF!</f>
        <v>#REF!</v>
      </c>
      <c r="G2465" s="31" t="e">
        <f>#REF!</f>
        <v>#REF!</v>
      </c>
      <c r="H2465" s="31" t="e">
        <f>#REF!</f>
        <v>#REF!</v>
      </c>
      <c r="I2465" s="31">
        <f>'تقرير المصروفات حسب الشهر'!Y774</f>
        <v>0</v>
      </c>
      <c r="J2465" s="31">
        <f>'تقرير المصروفات حسب الشهر'!Y901</f>
        <v>0</v>
      </c>
      <c r="K2465" s="31">
        <f>'تقرير المصروفات حسب الشهر'!Y1028</f>
        <v>0</v>
      </c>
      <c r="L2465" s="292">
        <f>IFERROR(VLOOKUP(B2465,'تقرير المصروفات حسب الشهر'!$C$1143:$AD$1254,23,FALSE),0)</f>
        <v>0</v>
      </c>
      <c r="M2465" s="292">
        <f>IFERROR(VLOOKUP(B2465,'تقرير المصروفات حسب الشهر'!$C$1270:$AD$1381,23,FALSE),0)</f>
        <v>0</v>
      </c>
      <c r="N2465" s="31" t="e">
        <f>#REF!</f>
        <v>#REF!</v>
      </c>
      <c r="O2465" s="37" t="e">
        <f t="shared" si="63"/>
        <v>#REF!</v>
      </c>
    </row>
    <row r="2466" spans="2:15" ht="17.399999999999999">
      <c r="B2466" s="42" t="s">
        <v>49</v>
      </c>
      <c r="C2466" s="39" t="e">
        <f>#REF!</f>
        <v>#REF!</v>
      </c>
      <c r="D2466" s="31" t="e">
        <f>#REF!</f>
        <v>#REF!</v>
      </c>
      <c r="E2466" s="31" t="e">
        <f>#REF!</f>
        <v>#REF!</v>
      </c>
      <c r="F2466" s="31" t="e">
        <f>#REF!</f>
        <v>#REF!</v>
      </c>
      <c r="G2466" s="31" t="e">
        <f>#REF!</f>
        <v>#REF!</v>
      </c>
      <c r="H2466" s="31" t="e">
        <f>#REF!</f>
        <v>#REF!</v>
      </c>
      <c r="I2466" s="31">
        <f>'تقرير المصروفات حسب الشهر'!Y775</f>
        <v>0</v>
      </c>
      <c r="J2466" s="31">
        <f>'تقرير المصروفات حسب الشهر'!Y902</f>
        <v>0</v>
      </c>
      <c r="K2466" s="31">
        <f>'تقرير المصروفات حسب الشهر'!Y1029</f>
        <v>0</v>
      </c>
      <c r="L2466" s="292">
        <f>IFERROR(VLOOKUP(B2466,'تقرير المصروفات حسب الشهر'!$C$1143:$AD$1254,23,FALSE),0)</f>
        <v>0</v>
      </c>
      <c r="M2466" s="292">
        <f>IFERROR(VLOOKUP(B2466,'تقرير المصروفات حسب الشهر'!$C$1270:$AD$1381,23,FALSE),0)</f>
        <v>0</v>
      </c>
      <c r="N2466" s="31" t="e">
        <f>#REF!</f>
        <v>#REF!</v>
      </c>
      <c r="O2466" s="37" t="e">
        <f t="shared" si="63"/>
        <v>#REF!</v>
      </c>
    </row>
    <row r="2467" spans="2:15" ht="17.399999999999999">
      <c r="B2467" s="42" t="s">
        <v>158</v>
      </c>
      <c r="C2467" s="39" t="e">
        <f>#REF!</f>
        <v>#REF!</v>
      </c>
      <c r="D2467" s="31" t="e">
        <f>#REF!</f>
        <v>#REF!</v>
      </c>
      <c r="E2467" s="31" t="e">
        <f>#REF!</f>
        <v>#REF!</v>
      </c>
      <c r="F2467" s="31" t="e">
        <f>#REF!</f>
        <v>#REF!</v>
      </c>
      <c r="G2467" s="31" t="e">
        <f>#REF!</f>
        <v>#REF!</v>
      </c>
      <c r="H2467" s="31" t="e">
        <f>#REF!</f>
        <v>#REF!</v>
      </c>
      <c r="I2467" s="31">
        <f>'تقرير المصروفات حسب الشهر'!Y776</f>
        <v>0</v>
      </c>
      <c r="J2467" s="31">
        <f>'تقرير المصروفات حسب الشهر'!Y903</f>
        <v>0</v>
      </c>
      <c r="K2467" s="31">
        <f>'تقرير المصروفات حسب الشهر'!Y1030</f>
        <v>0</v>
      </c>
      <c r="L2467" s="292">
        <f>IFERROR(VLOOKUP(B2467,'تقرير المصروفات حسب الشهر'!$C$1143:$AD$1254,23,FALSE),0)</f>
        <v>0</v>
      </c>
      <c r="M2467" s="292">
        <f>IFERROR(VLOOKUP(B2467,'تقرير المصروفات حسب الشهر'!$C$1270:$AD$1381,23,FALSE),0)</f>
        <v>0</v>
      </c>
      <c r="N2467" s="31" t="e">
        <f>#REF!</f>
        <v>#REF!</v>
      </c>
      <c r="O2467" s="37" t="e">
        <f t="shared" si="63"/>
        <v>#REF!</v>
      </c>
    </row>
    <row r="2468" spans="2:15" ht="17.399999999999999">
      <c r="B2468" s="42" t="s">
        <v>50</v>
      </c>
      <c r="C2468" s="39" t="e">
        <f>#REF!</f>
        <v>#REF!</v>
      </c>
      <c r="D2468" s="31" t="e">
        <f>#REF!</f>
        <v>#REF!</v>
      </c>
      <c r="E2468" s="31" t="e">
        <f>#REF!</f>
        <v>#REF!</v>
      </c>
      <c r="F2468" s="31" t="e">
        <f>#REF!</f>
        <v>#REF!</v>
      </c>
      <c r="G2468" s="31" t="e">
        <f>#REF!</f>
        <v>#REF!</v>
      </c>
      <c r="H2468" s="31" t="e">
        <f>#REF!</f>
        <v>#REF!</v>
      </c>
      <c r="I2468" s="31">
        <f>'تقرير المصروفات حسب الشهر'!Y777</f>
        <v>0</v>
      </c>
      <c r="J2468" s="31">
        <f>'تقرير المصروفات حسب الشهر'!Y904</f>
        <v>770</v>
      </c>
      <c r="K2468" s="31">
        <f>'تقرير المصروفات حسب الشهر'!Y1031</f>
        <v>0</v>
      </c>
      <c r="L2468" s="292">
        <f>IFERROR(VLOOKUP(B2468,'تقرير المصروفات حسب الشهر'!$C$1143:$AD$1254,23,FALSE),0)</f>
        <v>0</v>
      </c>
      <c r="M2468" s="292">
        <f>IFERROR(VLOOKUP(B2468,'تقرير المصروفات حسب الشهر'!$C$1270:$AD$1381,23,FALSE),0)</f>
        <v>0</v>
      </c>
      <c r="N2468" s="31" t="e">
        <f>#REF!</f>
        <v>#REF!</v>
      </c>
      <c r="O2468" s="37" t="e">
        <f t="shared" si="63"/>
        <v>#REF!</v>
      </c>
    </row>
    <row r="2469" spans="2:15" ht="17.399999999999999">
      <c r="B2469" s="42" t="s">
        <v>51</v>
      </c>
      <c r="C2469" s="39" t="e">
        <f>#REF!</f>
        <v>#REF!</v>
      </c>
      <c r="D2469" s="31" t="e">
        <f>#REF!</f>
        <v>#REF!</v>
      </c>
      <c r="E2469" s="31" t="e">
        <f>#REF!</f>
        <v>#REF!</v>
      </c>
      <c r="F2469" s="31" t="e">
        <f>#REF!</f>
        <v>#REF!</v>
      </c>
      <c r="G2469" s="31" t="e">
        <f>#REF!</f>
        <v>#REF!</v>
      </c>
      <c r="H2469" s="31" t="e">
        <f>#REF!</f>
        <v>#REF!</v>
      </c>
      <c r="I2469" s="31">
        <f>'تقرير المصروفات حسب الشهر'!Y778</f>
        <v>0</v>
      </c>
      <c r="J2469" s="31">
        <f>'تقرير المصروفات حسب الشهر'!Y905</f>
        <v>0</v>
      </c>
      <c r="K2469" s="31">
        <f>'تقرير المصروفات حسب الشهر'!Y1032</f>
        <v>0</v>
      </c>
      <c r="L2469" s="292">
        <f>IFERROR(VLOOKUP(B2469,'تقرير المصروفات حسب الشهر'!$C$1143:$AD$1254,23,FALSE),0)</f>
        <v>0</v>
      </c>
      <c r="M2469" s="292">
        <f>IFERROR(VLOOKUP(B2469,'تقرير المصروفات حسب الشهر'!$C$1270:$AD$1381,23,FALSE),0)</f>
        <v>0</v>
      </c>
      <c r="N2469" s="31" t="e">
        <f>#REF!</f>
        <v>#REF!</v>
      </c>
      <c r="O2469" s="37" t="e">
        <f t="shared" si="63"/>
        <v>#REF!</v>
      </c>
    </row>
    <row r="2470" spans="2:15" ht="17.399999999999999">
      <c r="B2470" s="42" t="s">
        <v>52</v>
      </c>
      <c r="C2470" s="39" t="e">
        <f>#REF!</f>
        <v>#REF!</v>
      </c>
      <c r="D2470" s="31" t="e">
        <f>#REF!</f>
        <v>#REF!</v>
      </c>
      <c r="E2470" s="31" t="e">
        <f>#REF!</f>
        <v>#REF!</v>
      </c>
      <c r="F2470" s="31" t="e">
        <f>#REF!</f>
        <v>#REF!</v>
      </c>
      <c r="G2470" s="31" t="e">
        <f>#REF!</f>
        <v>#REF!</v>
      </c>
      <c r="H2470" s="31" t="e">
        <f>#REF!</f>
        <v>#REF!</v>
      </c>
      <c r="I2470" s="31">
        <f>'تقرير المصروفات حسب الشهر'!Y779</f>
        <v>0</v>
      </c>
      <c r="J2470" s="31">
        <f>'تقرير المصروفات حسب الشهر'!Y906</f>
        <v>0</v>
      </c>
      <c r="K2470" s="31">
        <f>'تقرير المصروفات حسب الشهر'!Y1033</f>
        <v>0</v>
      </c>
      <c r="L2470" s="292">
        <f>IFERROR(VLOOKUP(B2470,'تقرير المصروفات حسب الشهر'!$C$1143:$AD$1254,23,FALSE),0)</f>
        <v>0</v>
      </c>
      <c r="M2470" s="292">
        <f>IFERROR(VLOOKUP(B2470,'تقرير المصروفات حسب الشهر'!$C$1270:$AD$1381,23,FALSE),0)</f>
        <v>0</v>
      </c>
      <c r="N2470" s="31" t="e">
        <f>#REF!</f>
        <v>#REF!</v>
      </c>
      <c r="O2470" s="37" t="e">
        <f t="shared" si="63"/>
        <v>#REF!</v>
      </c>
    </row>
    <row r="2471" spans="2:15" ht="17.399999999999999">
      <c r="B2471" s="42" t="s">
        <v>174</v>
      </c>
      <c r="C2471" s="39" t="e">
        <f>#REF!</f>
        <v>#REF!</v>
      </c>
      <c r="D2471" s="31" t="e">
        <f>#REF!</f>
        <v>#REF!</v>
      </c>
      <c r="E2471" s="31" t="e">
        <f>#REF!</f>
        <v>#REF!</v>
      </c>
      <c r="F2471" s="31" t="e">
        <f>#REF!</f>
        <v>#REF!</v>
      </c>
      <c r="G2471" s="31" t="e">
        <f>#REF!</f>
        <v>#REF!</v>
      </c>
      <c r="H2471" s="31" t="e">
        <f>#REF!</f>
        <v>#REF!</v>
      </c>
      <c r="I2471" s="31">
        <f>'تقرير المصروفات حسب الشهر'!Y780</f>
        <v>0</v>
      </c>
      <c r="J2471" s="31">
        <f>'تقرير المصروفات حسب الشهر'!Y907</f>
        <v>0</v>
      </c>
      <c r="K2471" s="31">
        <f>'تقرير المصروفات حسب الشهر'!Y1034</f>
        <v>0</v>
      </c>
      <c r="L2471" s="292">
        <f>IFERROR(VLOOKUP(B2471,'تقرير المصروفات حسب الشهر'!$C$1143:$AD$1254,23,FALSE),0)</f>
        <v>0</v>
      </c>
      <c r="M2471" s="292">
        <f>IFERROR(VLOOKUP(B2471,'تقرير المصروفات حسب الشهر'!$C$1270:$AD$1381,23,FALSE),0)</f>
        <v>506</v>
      </c>
      <c r="N2471" s="31" t="e">
        <f>#REF!</f>
        <v>#REF!</v>
      </c>
      <c r="O2471" s="37" t="e">
        <f t="shared" si="63"/>
        <v>#REF!</v>
      </c>
    </row>
    <row r="2472" spans="2:15" ht="17.399999999999999">
      <c r="B2472" s="42" t="s">
        <v>53</v>
      </c>
      <c r="C2472" s="39" t="e">
        <f>#REF!</f>
        <v>#REF!</v>
      </c>
      <c r="D2472" s="31" t="e">
        <f>#REF!</f>
        <v>#REF!</v>
      </c>
      <c r="E2472" s="31" t="e">
        <f>#REF!</f>
        <v>#REF!</v>
      </c>
      <c r="F2472" s="31" t="e">
        <f>#REF!</f>
        <v>#REF!</v>
      </c>
      <c r="G2472" s="31" t="e">
        <f>#REF!</f>
        <v>#REF!</v>
      </c>
      <c r="H2472" s="31" t="e">
        <f>#REF!</f>
        <v>#REF!</v>
      </c>
      <c r="I2472" s="31">
        <f>'تقرير المصروفات حسب الشهر'!Y781</f>
        <v>0</v>
      </c>
      <c r="J2472" s="31">
        <f>'تقرير المصروفات حسب الشهر'!Y908</f>
        <v>0</v>
      </c>
      <c r="K2472" s="31">
        <f>'تقرير المصروفات حسب الشهر'!Y1035</f>
        <v>0</v>
      </c>
      <c r="L2472" s="292">
        <f>IFERROR(VLOOKUP(B2472,'تقرير المصروفات حسب الشهر'!$C$1143:$AD$1254,23,FALSE),0)</f>
        <v>0</v>
      </c>
      <c r="M2472" s="292">
        <f>IFERROR(VLOOKUP(B2472,'تقرير المصروفات حسب الشهر'!$C$1270:$AD$1381,23,FALSE),0)</f>
        <v>0</v>
      </c>
      <c r="N2472" s="31" t="e">
        <f>#REF!</f>
        <v>#REF!</v>
      </c>
      <c r="O2472" s="37" t="e">
        <f t="shared" si="63"/>
        <v>#REF!</v>
      </c>
    </row>
    <row r="2473" spans="2:15" ht="17.399999999999999">
      <c r="B2473" s="42" t="s">
        <v>191</v>
      </c>
      <c r="C2473" s="39" t="e">
        <f>#REF!</f>
        <v>#REF!</v>
      </c>
      <c r="D2473" s="31" t="e">
        <f>#REF!</f>
        <v>#REF!</v>
      </c>
      <c r="E2473" s="31" t="e">
        <f>#REF!</f>
        <v>#REF!</v>
      </c>
      <c r="F2473" s="31" t="e">
        <f>#REF!</f>
        <v>#REF!</v>
      </c>
      <c r="G2473" s="31" t="e">
        <f>#REF!</f>
        <v>#REF!</v>
      </c>
      <c r="H2473" s="31" t="e">
        <f>#REF!</f>
        <v>#REF!</v>
      </c>
      <c r="I2473" s="31">
        <f>'تقرير المصروفات حسب الشهر'!Y782</f>
        <v>0</v>
      </c>
      <c r="J2473" s="31">
        <f>'تقرير المصروفات حسب الشهر'!Y909</f>
        <v>0</v>
      </c>
      <c r="K2473" s="31">
        <f>'تقرير المصروفات حسب الشهر'!Y1036</f>
        <v>0</v>
      </c>
      <c r="L2473" s="292">
        <f>IFERROR(VLOOKUP(B2473,'تقرير المصروفات حسب الشهر'!$C$1143:$AD$1254,23,FALSE),0)</f>
        <v>0</v>
      </c>
      <c r="M2473" s="292">
        <f>IFERROR(VLOOKUP(B2473,'تقرير المصروفات حسب الشهر'!$C$1270:$AD$1381,23,FALSE),0)</f>
        <v>0</v>
      </c>
      <c r="N2473" s="31" t="e">
        <f>#REF!</f>
        <v>#REF!</v>
      </c>
      <c r="O2473" s="37" t="e">
        <f t="shared" si="63"/>
        <v>#REF!</v>
      </c>
    </row>
    <row r="2474" spans="2:15" ht="17.399999999999999">
      <c r="B2474" s="42" t="s">
        <v>29</v>
      </c>
      <c r="C2474" s="39" t="e">
        <f>#REF!</f>
        <v>#REF!</v>
      </c>
      <c r="D2474" s="31" t="e">
        <f>#REF!</f>
        <v>#REF!</v>
      </c>
      <c r="E2474" s="31" t="e">
        <f>#REF!</f>
        <v>#REF!</v>
      </c>
      <c r="F2474" s="31" t="e">
        <f>#REF!</f>
        <v>#REF!</v>
      </c>
      <c r="G2474" s="31" t="e">
        <f>#REF!</f>
        <v>#REF!</v>
      </c>
      <c r="H2474" s="31" t="e">
        <f>#REF!</f>
        <v>#REF!</v>
      </c>
      <c r="I2474" s="31">
        <f>'تقرير المصروفات حسب الشهر'!Y783</f>
        <v>0</v>
      </c>
      <c r="J2474" s="31">
        <f>'تقرير المصروفات حسب الشهر'!Y910</f>
        <v>0</v>
      </c>
      <c r="K2474" s="31">
        <f>'تقرير المصروفات حسب الشهر'!Y1037</f>
        <v>0</v>
      </c>
      <c r="L2474" s="292">
        <f>IFERROR(VLOOKUP(B2474,'تقرير المصروفات حسب الشهر'!$C$1143:$AD$1254,23,FALSE),0)</f>
        <v>0</v>
      </c>
      <c r="M2474" s="292">
        <f>IFERROR(VLOOKUP(B2474,'تقرير المصروفات حسب الشهر'!$C$1270:$AD$1381,23,FALSE),0)</f>
        <v>0</v>
      </c>
      <c r="N2474" s="31" t="e">
        <f>#REF!</f>
        <v>#REF!</v>
      </c>
      <c r="O2474" s="37" t="e">
        <f t="shared" si="63"/>
        <v>#REF!</v>
      </c>
    </row>
    <row r="2475" spans="2:15" ht="17.399999999999999">
      <c r="B2475" s="42" t="s">
        <v>54</v>
      </c>
      <c r="C2475" s="39" t="e">
        <f>#REF!</f>
        <v>#REF!</v>
      </c>
      <c r="D2475" s="31" t="e">
        <f>#REF!</f>
        <v>#REF!</v>
      </c>
      <c r="E2475" s="31" t="e">
        <f>#REF!</f>
        <v>#REF!</v>
      </c>
      <c r="F2475" s="31" t="e">
        <f>#REF!</f>
        <v>#REF!</v>
      </c>
      <c r="G2475" s="31" t="e">
        <f>#REF!</f>
        <v>#REF!</v>
      </c>
      <c r="H2475" s="31" t="e">
        <f>#REF!</f>
        <v>#REF!</v>
      </c>
      <c r="I2475" s="31">
        <f>'تقرير المصروفات حسب الشهر'!Y784</f>
        <v>0</v>
      </c>
      <c r="J2475" s="31">
        <f>'تقرير المصروفات حسب الشهر'!Y911</f>
        <v>0</v>
      </c>
      <c r="K2475" s="31">
        <f>'تقرير المصروفات حسب الشهر'!Y1038</f>
        <v>0</v>
      </c>
      <c r="L2475" s="292">
        <f>IFERROR(VLOOKUP(B2475,'تقرير المصروفات حسب الشهر'!$C$1143:$AD$1254,23,FALSE),0)</f>
        <v>0</v>
      </c>
      <c r="M2475" s="292">
        <f>IFERROR(VLOOKUP(B2475,'تقرير المصروفات حسب الشهر'!$C$1270:$AD$1381,23,FALSE),0)</f>
        <v>0</v>
      </c>
      <c r="N2475" s="31" t="e">
        <f>#REF!</f>
        <v>#REF!</v>
      </c>
      <c r="O2475" s="37" t="e">
        <f t="shared" si="63"/>
        <v>#REF!</v>
      </c>
    </row>
    <row r="2476" spans="2:15" ht="17.399999999999999">
      <c r="B2476" s="42" t="s">
        <v>31</v>
      </c>
      <c r="C2476" s="39" t="e">
        <f>#REF!</f>
        <v>#REF!</v>
      </c>
      <c r="D2476" s="31" t="e">
        <f>#REF!</f>
        <v>#REF!</v>
      </c>
      <c r="E2476" s="31" t="e">
        <f>#REF!</f>
        <v>#REF!</v>
      </c>
      <c r="F2476" s="31" t="e">
        <f>#REF!</f>
        <v>#REF!</v>
      </c>
      <c r="G2476" s="31" t="e">
        <f>#REF!</f>
        <v>#REF!</v>
      </c>
      <c r="H2476" s="31" t="e">
        <f>#REF!</f>
        <v>#REF!</v>
      </c>
      <c r="I2476" s="31">
        <f>'تقرير المصروفات حسب الشهر'!Y785</f>
        <v>0</v>
      </c>
      <c r="J2476" s="31">
        <f>'تقرير المصروفات حسب الشهر'!Y912</f>
        <v>0</v>
      </c>
      <c r="K2476" s="31">
        <f>'تقرير المصروفات حسب الشهر'!Y1039</f>
        <v>0</v>
      </c>
      <c r="L2476" s="292">
        <f>IFERROR(VLOOKUP(B2476,'تقرير المصروفات حسب الشهر'!$C$1143:$AD$1254,23,FALSE),0)</f>
        <v>0</v>
      </c>
      <c r="M2476" s="292">
        <f>IFERROR(VLOOKUP(B2476,'تقرير المصروفات حسب الشهر'!$C$1270:$AD$1381,23,FALSE),0)</f>
        <v>0</v>
      </c>
      <c r="N2476" s="31" t="e">
        <f>#REF!</f>
        <v>#REF!</v>
      </c>
      <c r="O2476" s="37" t="e">
        <f t="shared" si="63"/>
        <v>#REF!</v>
      </c>
    </row>
    <row r="2477" spans="2:15" ht="17.399999999999999">
      <c r="B2477" s="42" t="s">
        <v>55</v>
      </c>
      <c r="C2477" s="39" t="e">
        <f>#REF!</f>
        <v>#REF!</v>
      </c>
      <c r="D2477" s="31" t="e">
        <f>#REF!</f>
        <v>#REF!</v>
      </c>
      <c r="E2477" s="31" t="e">
        <f>#REF!</f>
        <v>#REF!</v>
      </c>
      <c r="F2477" s="31" t="e">
        <f>#REF!</f>
        <v>#REF!</v>
      </c>
      <c r="G2477" s="31" t="e">
        <f>#REF!</f>
        <v>#REF!</v>
      </c>
      <c r="H2477" s="31" t="e">
        <f>#REF!</f>
        <v>#REF!</v>
      </c>
      <c r="I2477" s="31">
        <f>'تقرير المصروفات حسب الشهر'!Y786</f>
        <v>0</v>
      </c>
      <c r="J2477" s="31">
        <f>'تقرير المصروفات حسب الشهر'!Y913</f>
        <v>0</v>
      </c>
      <c r="K2477" s="31">
        <f>'تقرير المصروفات حسب الشهر'!Y1040</f>
        <v>0</v>
      </c>
      <c r="L2477" s="292">
        <f>IFERROR(VLOOKUP(B2477,'تقرير المصروفات حسب الشهر'!$C$1143:$AD$1254,23,FALSE),0)</f>
        <v>0</v>
      </c>
      <c r="M2477" s="292">
        <f>IFERROR(VLOOKUP(B2477,'تقرير المصروفات حسب الشهر'!$C$1270:$AD$1381,23,FALSE),0)</f>
        <v>0</v>
      </c>
      <c r="N2477" s="31" t="e">
        <f>#REF!</f>
        <v>#REF!</v>
      </c>
      <c r="O2477" s="37" t="e">
        <f t="shared" si="63"/>
        <v>#REF!</v>
      </c>
    </row>
    <row r="2478" spans="2:15" ht="17.399999999999999">
      <c r="B2478" s="42" t="s">
        <v>56</v>
      </c>
      <c r="C2478" s="39" t="e">
        <f>#REF!</f>
        <v>#REF!</v>
      </c>
      <c r="D2478" s="31" t="e">
        <f>#REF!</f>
        <v>#REF!</v>
      </c>
      <c r="E2478" s="31" t="e">
        <f>#REF!</f>
        <v>#REF!</v>
      </c>
      <c r="F2478" s="31" t="e">
        <f>#REF!</f>
        <v>#REF!</v>
      </c>
      <c r="G2478" s="31" t="e">
        <f>#REF!</f>
        <v>#REF!</v>
      </c>
      <c r="H2478" s="31" t="e">
        <f>#REF!</f>
        <v>#REF!</v>
      </c>
      <c r="I2478" s="31">
        <f>'تقرير المصروفات حسب الشهر'!Y787</f>
        <v>0</v>
      </c>
      <c r="J2478" s="31">
        <f>'تقرير المصروفات حسب الشهر'!Y914</f>
        <v>0</v>
      </c>
      <c r="K2478" s="31">
        <f>'تقرير المصروفات حسب الشهر'!Y1041</f>
        <v>0</v>
      </c>
      <c r="L2478" s="292">
        <f>IFERROR(VLOOKUP(B2478,'تقرير المصروفات حسب الشهر'!$C$1143:$AD$1254,23,FALSE),0)</f>
        <v>0</v>
      </c>
      <c r="M2478" s="292">
        <f>IFERROR(VLOOKUP(B2478,'تقرير المصروفات حسب الشهر'!$C$1270:$AD$1381,23,FALSE),0)</f>
        <v>0</v>
      </c>
      <c r="N2478" s="31" t="e">
        <f>#REF!</f>
        <v>#REF!</v>
      </c>
      <c r="O2478" s="37" t="e">
        <f t="shared" si="63"/>
        <v>#REF!</v>
      </c>
    </row>
    <row r="2479" spans="2:15" ht="17.399999999999999">
      <c r="B2479" s="42" t="s">
        <v>57</v>
      </c>
      <c r="C2479" s="39" t="e">
        <f>#REF!</f>
        <v>#REF!</v>
      </c>
      <c r="D2479" s="31" t="e">
        <f>#REF!</f>
        <v>#REF!</v>
      </c>
      <c r="E2479" s="31" t="e">
        <f>#REF!</f>
        <v>#REF!</v>
      </c>
      <c r="F2479" s="31" t="e">
        <f>#REF!</f>
        <v>#REF!</v>
      </c>
      <c r="G2479" s="31" t="e">
        <f>#REF!</f>
        <v>#REF!</v>
      </c>
      <c r="H2479" s="31" t="e">
        <f>#REF!</f>
        <v>#REF!</v>
      </c>
      <c r="I2479" s="31">
        <f>'تقرير المصروفات حسب الشهر'!Y788</f>
        <v>0</v>
      </c>
      <c r="J2479" s="31">
        <f>'تقرير المصروفات حسب الشهر'!Y915</f>
        <v>0</v>
      </c>
      <c r="K2479" s="31">
        <f>'تقرير المصروفات حسب الشهر'!Y1042</f>
        <v>0</v>
      </c>
      <c r="L2479" s="292">
        <f>IFERROR(VLOOKUP(B2479,'تقرير المصروفات حسب الشهر'!$C$1143:$AD$1254,23,FALSE),0)</f>
        <v>0</v>
      </c>
      <c r="M2479" s="292">
        <f>IFERROR(VLOOKUP(B2479,'تقرير المصروفات حسب الشهر'!$C$1270:$AD$1381,23,FALSE),0)</f>
        <v>0</v>
      </c>
      <c r="N2479" s="31" t="e">
        <f>#REF!</f>
        <v>#REF!</v>
      </c>
      <c r="O2479" s="37" t="e">
        <f t="shared" si="63"/>
        <v>#REF!</v>
      </c>
    </row>
    <row r="2480" spans="2:15" ht="17.399999999999999">
      <c r="B2480" s="42" t="s">
        <v>58</v>
      </c>
      <c r="C2480" s="39" t="e">
        <f>#REF!</f>
        <v>#REF!</v>
      </c>
      <c r="D2480" s="31" t="e">
        <f>#REF!</f>
        <v>#REF!</v>
      </c>
      <c r="E2480" s="31" t="e">
        <f>#REF!</f>
        <v>#REF!</v>
      </c>
      <c r="F2480" s="31" t="e">
        <f>#REF!</f>
        <v>#REF!</v>
      </c>
      <c r="G2480" s="31" t="e">
        <f>#REF!</f>
        <v>#REF!</v>
      </c>
      <c r="H2480" s="31" t="e">
        <f>#REF!</f>
        <v>#REF!</v>
      </c>
      <c r="I2480" s="31">
        <f>'تقرير المصروفات حسب الشهر'!Y789</f>
        <v>0</v>
      </c>
      <c r="J2480" s="31">
        <f>'تقرير المصروفات حسب الشهر'!Y916</f>
        <v>0</v>
      </c>
      <c r="K2480" s="31">
        <f>'تقرير المصروفات حسب الشهر'!Y1043</f>
        <v>0</v>
      </c>
      <c r="L2480" s="292">
        <f>IFERROR(VLOOKUP(B2480,'تقرير المصروفات حسب الشهر'!$C$1143:$AD$1254,23,FALSE),0)</f>
        <v>0</v>
      </c>
      <c r="M2480" s="292">
        <f>IFERROR(VLOOKUP(B2480,'تقرير المصروفات حسب الشهر'!$C$1270:$AD$1381,23,FALSE),0)</f>
        <v>0</v>
      </c>
      <c r="N2480" s="31" t="e">
        <f>#REF!</f>
        <v>#REF!</v>
      </c>
      <c r="O2480" s="37" t="e">
        <f t="shared" si="63"/>
        <v>#REF!</v>
      </c>
    </row>
    <row r="2481" spans="2:15" ht="17.399999999999999">
      <c r="B2481" s="42" t="s">
        <v>59</v>
      </c>
      <c r="C2481" s="39" t="e">
        <f>#REF!</f>
        <v>#REF!</v>
      </c>
      <c r="D2481" s="31" t="e">
        <f>#REF!</f>
        <v>#REF!</v>
      </c>
      <c r="E2481" s="31" t="e">
        <f>#REF!</f>
        <v>#REF!</v>
      </c>
      <c r="F2481" s="31" t="e">
        <f>#REF!</f>
        <v>#REF!</v>
      </c>
      <c r="G2481" s="31" t="e">
        <f>#REF!</f>
        <v>#REF!</v>
      </c>
      <c r="H2481" s="31" t="e">
        <f>#REF!</f>
        <v>#REF!</v>
      </c>
      <c r="I2481" s="31">
        <f>'تقرير المصروفات حسب الشهر'!Y790</f>
        <v>0</v>
      </c>
      <c r="J2481" s="31">
        <f>'تقرير المصروفات حسب الشهر'!Y917</f>
        <v>0</v>
      </c>
      <c r="K2481" s="31">
        <f>'تقرير المصروفات حسب الشهر'!Y1044</f>
        <v>0</v>
      </c>
      <c r="L2481" s="292">
        <f>IFERROR(VLOOKUP(B2481,'تقرير المصروفات حسب الشهر'!$C$1143:$AD$1254,23,FALSE),0)</f>
        <v>0</v>
      </c>
      <c r="M2481" s="292">
        <f>IFERROR(VLOOKUP(B2481,'تقرير المصروفات حسب الشهر'!$C$1270:$AD$1381,23,FALSE),0)</f>
        <v>0</v>
      </c>
      <c r="N2481" s="31" t="e">
        <f>#REF!</f>
        <v>#REF!</v>
      </c>
      <c r="O2481" s="37" t="e">
        <f t="shared" si="63"/>
        <v>#REF!</v>
      </c>
    </row>
    <row r="2482" spans="2:15" ht="17.399999999999999">
      <c r="B2482" s="42" t="s">
        <v>60</v>
      </c>
      <c r="C2482" s="39" t="e">
        <f>#REF!</f>
        <v>#REF!</v>
      </c>
      <c r="D2482" s="31" t="e">
        <f>#REF!</f>
        <v>#REF!</v>
      </c>
      <c r="E2482" s="31" t="e">
        <f>#REF!</f>
        <v>#REF!</v>
      </c>
      <c r="F2482" s="31" t="e">
        <f>#REF!</f>
        <v>#REF!</v>
      </c>
      <c r="G2482" s="31" t="e">
        <f>#REF!</f>
        <v>#REF!</v>
      </c>
      <c r="H2482" s="31" t="e">
        <f>#REF!</f>
        <v>#REF!</v>
      </c>
      <c r="I2482" s="31">
        <f>'تقرير المصروفات حسب الشهر'!Y791</f>
        <v>0</v>
      </c>
      <c r="J2482" s="31">
        <f>'تقرير المصروفات حسب الشهر'!Y918</f>
        <v>0</v>
      </c>
      <c r="K2482" s="31">
        <f>'تقرير المصروفات حسب الشهر'!Y1045</f>
        <v>0</v>
      </c>
      <c r="L2482" s="292">
        <f>IFERROR(VLOOKUP(B2482,'تقرير المصروفات حسب الشهر'!$C$1143:$AD$1254,23,FALSE),0)</f>
        <v>0</v>
      </c>
      <c r="M2482" s="292">
        <f>IFERROR(VLOOKUP(B2482,'تقرير المصروفات حسب الشهر'!$C$1270:$AD$1381,23,FALSE),0)</f>
        <v>0</v>
      </c>
      <c r="N2482" s="31" t="e">
        <f>#REF!</f>
        <v>#REF!</v>
      </c>
      <c r="O2482" s="37" t="e">
        <f t="shared" si="63"/>
        <v>#REF!</v>
      </c>
    </row>
    <row r="2483" spans="2:15" ht="17.399999999999999">
      <c r="B2483" s="42" t="s">
        <v>61</v>
      </c>
      <c r="C2483" s="39" t="e">
        <f>#REF!</f>
        <v>#REF!</v>
      </c>
      <c r="D2483" s="31" t="e">
        <f>#REF!</f>
        <v>#REF!</v>
      </c>
      <c r="E2483" s="31" t="e">
        <f>#REF!</f>
        <v>#REF!</v>
      </c>
      <c r="F2483" s="31" t="e">
        <f>#REF!</f>
        <v>#REF!</v>
      </c>
      <c r="G2483" s="31" t="e">
        <f>#REF!</f>
        <v>#REF!</v>
      </c>
      <c r="H2483" s="31" t="e">
        <f>#REF!</f>
        <v>#REF!</v>
      </c>
      <c r="I2483" s="31">
        <f>'تقرير المصروفات حسب الشهر'!Y792</f>
        <v>0</v>
      </c>
      <c r="J2483" s="31">
        <f>'تقرير المصروفات حسب الشهر'!Y919</f>
        <v>0</v>
      </c>
      <c r="K2483" s="31">
        <f>'تقرير المصروفات حسب الشهر'!Y1046</f>
        <v>0</v>
      </c>
      <c r="L2483" s="292">
        <f>IFERROR(VLOOKUP(B2483,'تقرير المصروفات حسب الشهر'!$C$1143:$AD$1254,23,FALSE),0)</f>
        <v>0</v>
      </c>
      <c r="M2483" s="292">
        <f>IFERROR(VLOOKUP(B2483,'تقرير المصروفات حسب الشهر'!$C$1270:$AD$1381,23,FALSE),0)</f>
        <v>0</v>
      </c>
      <c r="N2483" s="31" t="e">
        <f>#REF!</f>
        <v>#REF!</v>
      </c>
      <c r="O2483" s="37" t="e">
        <f t="shared" si="63"/>
        <v>#REF!</v>
      </c>
    </row>
    <row r="2484" spans="2:15" ht="17.399999999999999">
      <c r="B2484" s="42" t="s">
        <v>62</v>
      </c>
      <c r="C2484" s="39" t="e">
        <f>#REF!</f>
        <v>#REF!</v>
      </c>
      <c r="D2484" s="31" t="e">
        <f>#REF!</f>
        <v>#REF!</v>
      </c>
      <c r="E2484" s="31" t="e">
        <f>#REF!</f>
        <v>#REF!</v>
      </c>
      <c r="F2484" s="31" t="e">
        <f>#REF!</f>
        <v>#REF!</v>
      </c>
      <c r="G2484" s="31" t="e">
        <f>#REF!</f>
        <v>#REF!</v>
      </c>
      <c r="H2484" s="31" t="e">
        <f>#REF!</f>
        <v>#REF!</v>
      </c>
      <c r="I2484" s="31">
        <f>'تقرير المصروفات حسب الشهر'!Y793</f>
        <v>0</v>
      </c>
      <c r="J2484" s="31">
        <f>'تقرير المصروفات حسب الشهر'!Y920</f>
        <v>0</v>
      </c>
      <c r="K2484" s="31">
        <f>'تقرير المصروفات حسب الشهر'!Y1047</f>
        <v>0</v>
      </c>
      <c r="L2484" s="292">
        <f>IFERROR(VLOOKUP(B2484,'تقرير المصروفات حسب الشهر'!$C$1143:$AD$1254,23,FALSE),0)</f>
        <v>0</v>
      </c>
      <c r="M2484" s="292">
        <f>IFERROR(VLOOKUP(B2484,'تقرير المصروفات حسب الشهر'!$C$1270:$AD$1381,23,FALSE),0)</f>
        <v>0</v>
      </c>
      <c r="N2484" s="31" t="e">
        <f>#REF!</f>
        <v>#REF!</v>
      </c>
      <c r="O2484" s="37" t="e">
        <f t="shared" si="63"/>
        <v>#REF!</v>
      </c>
    </row>
    <row r="2485" spans="2:15" ht="17.399999999999999">
      <c r="B2485" s="42" t="s">
        <v>63</v>
      </c>
      <c r="C2485" s="39" t="e">
        <f>#REF!</f>
        <v>#REF!</v>
      </c>
      <c r="D2485" s="31" t="e">
        <f>#REF!</f>
        <v>#REF!</v>
      </c>
      <c r="E2485" s="31" t="e">
        <f>#REF!</f>
        <v>#REF!</v>
      </c>
      <c r="F2485" s="31" t="e">
        <f>#REF!</f>
        <v>#REF!</v>
      </c>
      <c r="G2485" s="31" t="e">
        <f>#REF!</f>
        <v>#REF!</v>
      </c>
      <c r="H2485" s="31" t="e">
        <f>#REF!</f>
        <v>#REF!</v>
      </c>
      <c r="I2485" s="31">
        <f>'تقرير المصروفات حسب الشهر'!Y794</f>
        <v>0</v>
      </c>
      <c r="J2485" s="31">
        <f>'تقرير المصروفات حسب الشهر'!Y921</f>
        <v>0</v>
      </c>
      <c r="K2485" s="31">
        <f>'تقرير المصروفات حسب الشهر'!Y1048</f>
        <v>0</v>
      </c>
      <c r="L2485" s="292">
        <f>IFERROR(VLOOKUP(B2485,'تقرير المصروفات حسب الشهر'!$C$1143:$AD$1254,23,FALSE),0)</f>
        <v>0</v>
      </c>
      <c r="M2485" s="292">
        <f>IFERROR(VLOOKUP(B2485,'تقرير المصروفات حسب الشهر'!$C$1270:$AD$1381,23,FALSE),0)</f>
        <v>0</v>
      </c>
      <c r="N2485" s="31" t="e">
        <f>#REF!</f>
        <v>#REF!</v>
      </c>
      <c r="O2485" s="37" t="e">
        <f t="shared" si="63"/>
        <v>#REF!</v>
      </c>
    </row>
    <row r="2486" spans="2:15" ht="17.399999999999999">
      <c r="B2486" s="42" t="s">
        <v>64</v>
      </c>
      <c r="C2486" s="39" t="e">
        <f>#REF!</f>
        <v>#REF!</v>
      </c>
      <c r="D2486" s="31" t="e">
        <f>#REF!</f>
        <v>#REF!</v>
      </c>
      <c r="E2486" s="31" t="e">
        <f>#REF!</f>
        <v>#REF!</v>
      </c>
      <c r="F2486" s="31" t="e">
        <f>#REF!</f>
        <v>#REF!</v>
      </c>
      <c r="G2486" s="31" t="e">
        <f>#REF!</f>
        <v>#REF!</v>
      </c>
      <c r="H2486" s="31" t="e">
        <f>#REF!</f>
        <v>#REF!</v>
      </c>
      <c r="I2486" s="31">
        <f>'تقرير المصروفات حسب الشهر'!Y795</f>
        <v>0</v>
      </c>
      <c r="J2486" s="31">
        <f>'تقرير المصروفات حسب الشهر'!Y922</f>
        <v>200</v>
      </c>
      <c r="K2486" s="31">
        <f>'تقرير المصروفات حسب الشهر'!Y1049</f>
        <v>0</v>
      </c>
      <c r="L2486" s="292">
        <f>IFERROR(VLOOKUP(B2486,'تقرير المصروفات حسب الشهر'!$C$1143:$AD$1254,23,FALSE),0)</f>
        <v>200</v>
      </c>
      <c r="M2486" s="292">
        <f>IFERROR(VLOOKUP(B2486,'تقرير المصروفات حسب الشهر'!$C$1270:$AD$1381,23,FALSE),0)</f>
        <v>0</v>
      </c>
      <c r="N2486" s="31" t="e">
        <f>#REF!</f>
        <v>#REF!</v>
      </c>
      <c r="O2486" s="37" t="e">
        <f t="shared" si="63"/>
        <v>#REF!</v>
      </c>
    </row>
    <row r="2487" spans="2:15" ht="17.399999999999999">
      <c r="B2487" s="42" t="s">
        <v>28</v>
      </c>
      <c r="C2487" s="39" t="e">
        <f>#REF!</f>
        <v>#REF!</v>
      </c>
      <c r="D2487" s="31" t="e">
        <f>#REF!</f>
        <v>#REF!</v>
      </c>
      <c r="E2487" s="31" t="e">
        <f>#REF!</f>
        <v>#REF!</v>
      </c>
      <c r="F2487" s="31" t="e">
        <f>#REF!</f>
        <v>#REF!</v>
      </c>
      <c r="G2487" s="31" t="e">
        <f>#REF!</f>
        <v>#REF!</v>
      </c>
      <c r="H2487" s="31" t="e">
        <f>#REF!</f>
        <v>#REF!</v>
      </c>
      <c r="I2487" s="31">
        <f>'تقرير المصروفات حسب الشهر'!Y796</f>
        <v>0</v>
      </c>
      <c r="J2487" s="31">
        <f>'تقرير المصروفات حسب الشهر'!Y923</f>
        <v>0</v>
      </c>
      <c r="K2487" s="31">
        <f>'تقرير المصروفات حسب الشهر'!Y1050</f>
        <v>0</v>
      </c>
      <c r="L2487" s="292">
        <f>IFERROR(VLOOKUP(B2487,'تقرير المصروفات حسب الشهر'!$C$1143:$AD$1254,23,FALSE),0)</f>
        <v>0</v>
      </c>
      <c r="M2487" s="292">
        <f>IFERROR(VLOOKUP(B2487,'تقرير المصروفات حسب الشهر'!$C$1270:$AD$1381,23,FALSE),0)</f>
        <v>0</v>
      </c>
      <c r="N2487" s="31" t="e">
        <f>#REF!</f>
        <v>#REF!</v>
      </c>
      <c r="O2487" s="37" t="e">
        <f t="shared" si="63"/>
        <v>#REF!</v>
      </c>
    </row>
    <row r="2488" spans="2:15" ht="17.399999999999999">
      <c r="B2488" s="42" t="s">
        <v>157</v>
      </c>
      <c r="C2488" s="39" t="e">
        <f>#REF!</f>
        <v>#REF!</v>
      </c>
      <c r="D2488" s="31" t="e">
        <f>#REF!</f>
        <v>#REF!</v>
      </c>
      <c r="E2488" s="31" t="e">
        <f>#REF!</f>
        <v>#REF!</v>
      </c>
      <c r="F2488" s="31" t="e">
        <f>#REF!</f>
        <v>#REF!</v>
      </c>
      <c r="G2488" s="31" t="e">
        <f>#REF!</f>
        <v>#REF!</v>
      </c>
      <c r="H2488" s="31" t="e">
        <f>#REF!</f>
        <v>#REF!</v>
      </c>
      <c r="I2488" s="31">
        <f>'تقرير المصروفات حسب الشهر'!Y797</f>
        <v>0</v>
      </c>
      <c r="J2488" s="31">
        <f>'تقرير المصروفات حسب الشهر'!Y924</f>
        <v>0</v>
      </c>
      <c r="K2488" s="31">
        <f>'تقرير المصروفات حسب الشهر'!Y1051</f>
        <v>0</v>
      </c>
      <c r="L2488" s="292">
        <f>IFERROR(VLOOKUP(B2488,'تقرير المصروفات حسب الشهر'!$C$1143:$AD$1254,23,FALSE),0)</f>
        <v>0</v>
      </c>
      <c r="M2488" s="292">
        <f>IFERROR(VLOOKUP(B2488,'تقرير المصروفات حسب الشهر'!$C$1270:$AD$1381,23,FALSE),0)</f>
        <v>0</v>
      </c>
      <c r="N2488" s="31" t="e">
        <f>#REF!</f>
        <v>#REF!</v>
      </c>
      <c r="O2488" s="37" t="e">
        <f t="shared" si="63"/>
        <v>#REF!</v>
      </c>
    </row>
    <row r="2489" spans="2:15" ht="17.399999999999999">
      <c r="B2489" s="42" t="s">
        <v>65</v>
      </c>
      <c r="C2489" s="39" t="e">
        <f>#REF!</f>
        <v>#REF!</v>
      </c>
      <c r="D2489" s="31" t="e">
        <f>#REF!</f>
        <v>#REF!</v>
      </c>
      <c r="E2489" s="31" t="e">
        <f>#REF!</f>
        <v>#REF!</v>
      </c>
      <c r="F2489" s="31" t="e">
        <f>#REF!</f>
        <v>#REF!</v>
      </c>
      <c r="G2489" s="31" t="e">
        <f>#REF!</f>
        <v>#REF!</v>
      </c>
      <c r="H2489" s="31" t="e">
        <f>#REF!</f>
        <v>#REF!</v>
      </c>
      <c r="I2489" s="31">
        <f>'تقرير المصروفات حسب الشهر'!Y798</f>
        <v>0</v>
      </c>
      <c r="J2489" s="31">
        <f>'تقرير المصروفات حسب الشهر'!Y925</f>
        <v>0</v>
      </c>
      <c r="K2489" s="31">
        <f>'تقرير المصروفات حسب الشهر'!Y1052</f>
        <v>0</v>
      </c>
      <c r="L2489" s="292">
        <f>IFERROR(VLOOKUP(B2489,'تقرير المصروفات حسب الشهر'!$C$1143:$AD$1254,23,FALSE),0)</f>
        <v>0</v>
      </c>
      <c r="M2489" s="292">
        <f>IFERROR(VLOOKUP(B2489,'تقرير المصروفات حسب الشهر'!$C$1270:$AD$1381,23,FALSE),0)</f>
        <v>0</v>
      </c>
      <c r="N2489" s="31" t="e">
        <f>#REF!</f>
        <v>#REF!</v>
      </c>
      <c r="O2489" s="37" t="e">
        <f t="shared" si="63"/>
        <v>#REF!</v>
      </c>
    </row>
    <row r="2490" spans="2:15" ht="17.399999999999999">
      <c r="B2490" s="42" t="s">
        <v>66</v>
      </c>
      <c r="C2490" s="39" t="e">
        <f>#REF!</f>
        <v>#REF!</v>
      </c>
      <c r="D2490" s="31" t="e">
        <f>#REF!</f>
        <v>#REF!</v>
      </c>
      <c r="E2490" s="31" t="e">
        <f>#REF!</f>
        <v>#REF!</v>
      </c>
      <c r="F2490" s="31" t="e">
        <f>#REF!</f>
        <v>#REF!</v>
      </c>
      <c r="G2490" s="31" t="e">
        <f>#REF!</f>
        <v>#REF!</v>
      </c>
      <c r="H2490" s="31" t="e">
        <f>#REF!</f>
        <v>#REF!</v>
      </c>
      <c r="I2490" s="31">
        <f>'تقرير المصروفات حسب الشهر'!Y799</f>
        <v>0</v>
      </c>
      <c r="J2490" s="31">
        <f>'تقرير المصروفات حسب الشهر'!Y926</f>
        <v>0</v>
      </c>
      <c r="K2490" s="31">
        <f>'تقرير المصروفات حسب الشهر'!Y1053</f>
        <v>0</v>
      </c>
      <c r="L2490" s="292">
        <f>IFERROR(VLOOKUP(B2490,'تقرير المصروفات حسب الشهر'!$C$1143:$AD$1254,23,FALSE),0)</f>
        <v>0</v>
      </c>
      <c r="M2490" s="292">
        <f>IFERROR(VLOOKUP(B2490,'تقرير المصروفات حسب الشهر'!$C$1270:$AD$1381,23,FALSE),0)</f>
        <v>0</v>
      </c>
      <c r="N2490" s="31" t="e">
        <f>#REF!</f>
        <v>#REF!</v>
      </c>
      <c r="O2490" s="37" t="e">
        <f t="shared" si="63"/>
        <v>#REF!</v>
      </c>
    </row>
    <row r="2491" spans="2:15" ht="17.399999999999999">
      <c r="B2491" s="42" t="s">
        <v>30</v>
      </c>
      <c r="C2491" s="39" t="e">
        <f>#REF!</f>
        <v>#REF!</v>
      </c>
      <c r="D2491" s="31" t="e">
        <f>#REF!</f>
        <v>#REF!</v>
      </c>
      <c r="E2491" s="31" t="e">
        <f>#REF!</f>
        <v>#REF!</v>
      </c>
      <c r="F2491" s="31" t="e">
        <f>#REF!</f>
        <v>#REF!</v>
      </c>
      <c r="G2491" s="31" t="e">
        <f>#REF!</f>
        <v>#REF!</v>
      </c>
      <c r="H2491" s="31" t="e">
        <f>#REF!</f>
        <v>#REF!</v>
      </c>
      <c r="I2491" s="31">
        <f>'تقرير المصروفات حسب الشهر'!Y800</f>
        <v>1300.25</v>
      </c>
      <c r="J2491" s="31">
        <f>'تقرير المصروفات حسب الشهر'!Y927</f>
        <v>0</v>
      </c>
      <c r="K2491" s="31">
        <f>'تقرير المصروفات حسب الشهر'!Y1054</f>
        <v>3900.25</v>
      </c>
      <c r="L2491" s="292">
        <f>IFERROR(VLOOKUP(B2491,'تقرير المصروفات حسب الشهر'!$C$1143:$AD$1254,23,FALSE),0)</f>
        <v>3222.25</v>
      </c>
      <c r="M2491" s="292">
        <f>IFERROR(VLOOKUP(B2491,'تقرير المصروفات حسب الشهر'!$C$1270:$AD$1381,23,FALSE),0)</f>
        <v>6888.5</v>
      </c>
      <c r="N2491" s="31" t="e">
        <f>#REF!</f>
        <v>#REF!</v>
      </c>
      <c r="O2491" s="37" t="e">
        <f t="shared" si="63"/>
        <v>#REF!</v>
      </c>
    </row>
    <row r="2492" spans="2:15" ht="17.399999999999999">
      <c r="B2492" s="42" t="s">
        <v>67</v>
      </c>
      <c r="C2492" s="39" t="e">
        <f>#REF!</f>
        <v>#REF!</v>
      </c>
      <c r="D2492" s="31" t="e">
        <f>#REF!</f>
        <v>#REF!</v>
      </c>
      <c r="E2492" s="31" t="e">
        <f>#REF!</f>
        <v>#REF!</v>
      </c>
      <c r="F2492" s="31" t="e">
        <f>#REF!</f>
        <v>#REF!</v>
      </c>
      <c r="G2492" s="31" t="e">
        <f>#REF!</f>
        <v>#REF!</v>
      </c>
      <c r="H2492" s="31" t="e">
        <f>#REF!</f>
        <v>#REF!</v>
      </c>
      <c r="I2492" s="31">
        <f>'تقرير المصروفات حسب الشهر'!Y801</f>
        <v>0</v>
      </c>
      <c r="J2492" s="31">
        <f>'تقرير المصروفات حسب الشهر'!Y928</f>
        <v>1650</v>
      </c>
      <c r="K2492" s="31">
        <f>'تقرير المصروفات حسب الشهر'!Y1055</f>
        <v>0</v>
      </c>
      <c r="L2492" s="292">
        <f>IFERROR(VLOOKUP(B2492,'تقرير المصروفات حسب الشهر'!$C$1143:$AD$1254,23,FALSE),0)</f>
        <v>2640</v>
      </c>
      <c r="M2492" s="292">
        <f>IFERROR(VLOOKUP(B2492,'تقرير المصروفات حسب الشهر'!$C$1270:$AD$1381,23,FALSE),0)</f>
        <v>0</v>
      </c>
      <c r="N2492" s="31" t="e">
        <f>#REF!</f>
        <v>#REF!</v>
      </c>
      <c r="O2492" s="37" t="e">
        <f t="shared" si="63"/>
        <v>#REF!</v>
      </c>
    </row>
    <row r="2493" spans="2:15" ht="17.399999999999999">
      <c r="B2493" s="42" t="s">
        <v>111</v>
      </c>
      <c r="C2493" s="39" t="e">
        <f>#REF!</f>
        <v>#REF!</v>
      </c>
      <c r="D2493" s="31" t="e">
        <f>#REF!</f>
        <v>#REF!</v>
      </c>
      <c r="E2493" s="31" t="e">
        <f>#REF!</f>
        <v>#REF!</v>
      </c>
      <c r="F2493" s="31" t="e">
        <f>#REF!</f>
        <v>#REF!</v>
      </c>
      <c r="G2493" s="31" t="e">
        <f>#REF!</f>
        <v>#REF!</v>
      </c>
      <c r="H2493" s="31" t="e">
        <f>#REF!</f>
        <v>#REF!</v>
      </c>
      <c r="I2493" s="31">
        <f>'تقرير المصروفات حسب الشهر'!Y802</f>
        <v>0</v>
      </c>
      <c r="J2493" s="31">
        <f>'تقرير المصروفات حسب الشهر'!Y929</f>
        <v>0</v>
      </c>
      <c r="K2493" s="31">
        <f>'تقرير المصروفات حسب الشهر'!Y1056</f>
        <v>350</v>
      </c>
      <c r="L2493" s="292">
        <f>IFERROR(VLOOKUP(B2493,'تقرير المصروفات حسب الشهر'!$C$1143:$AD$1254,23,FALSE),0)</f>
        <v>0</v>
      </c>
      <c r="M2493" s="292">
        <f>IFERROR(VLOOKUP(B2493,'تقرير المصروفات حسب الشهر'!$C$1270:$AD$1381,23,FALSE),0)</f>
        <v>0</v>
      </c>
      <c r="N2493" s="31" t="e">
        <f>#REF!</f>
        <v>#REF!</v>
      </c>
      <c r="O2493" s="37" t="e">
        <f t="shared" si="63"/>
        <v>#REF!</v>
      </c>
    </row>
    <row r="2494" spans="2:15" ht="17.399999999999999">
      <c r="B2494" s="42" t="s">
        <v>68</v>
      </c>
      <c r="C2494" s="39" t="e">
        <f>#REF!</f>
        <v>#REF!</v>
      </c>
      <c r="D2494" s="31" t="e">
        <f>#REF!</f>
        <v>#REF!</v>
      </c>
      <c r="E2494" s="31" t="e">
        <f>#REF!</f>
        <v>#REF!</v>
      </c>
      <c r="F2494" s="31" t="e">
        <f>#REF!</f>
        <v>#REF!</v>
      </c>
      <c r="G2494" s="31" t="e">
        <f>#REF!</f>
        <v>#REF!</v>
      </c>
      <c r="H2494" s="31" t="e">
        <f>#REF!</f>
        <v>#REF!</v>
      </c>
      <c r="I2494" s="31">
        <f>'تقرير المصروفات حسب الشهر'!Y803</f>
        <v>0</v>
      </c>
      <c r="J2494" s="31">
        <f>'تقرير المصروفات حسب الشهر'!Y930</f>
        <v>0</v>
      </c>
      <c r="K2494" s="31">
        <f>'تقرير المصروفات حسب الشهر'!Y1057</f>
        <v>0</v>
      </c>
      <c r="L2494" s="292">
        <f>IFERROR(VLOOKUP(B2494,'تقرير المصروفات حسب الشهر'!$C$1143:$AD$1254,23,FALSE),0)</f>
        <v>0</v>
      </c>
      <c r="M2494" s="292">
        <f>IFERROR(VLOOKUP(B2494,'تقرير المصروفات حسب الشهر'!$C$1270:$AD$1381,23,FALSE),0)</f>
        <v>0</v>
      </c>
      <c r="N2494" s="31" t="e">
        <f>#REF!</f>
        <v>#REF!</v>
      </c>
      <c r="O2494" s="37" t="e">
        <f t="shared" si="63"/>
        <v>#REF!</v>
      </c>
    </row>
    <row r="2495" spans="2:15" ht="17.399999999999999">
      <c r="B2495" s="42" t="s">
        <v>69</v>
      </c>
      <c r="C2495" s="39" t="e">
        <f>#REF!</f>
        <v>#REF!</v>
      </c>
      <c r="D2495" s="31" t="e">
        <f>#REF!</f>
        <v>#REF!</v>
      </c>
      <c r="E2495" s="31" t="e">
        <f>#REF!</f>
        <v>#REF!</v>
      </c>
      <c r="F2495" s="31" t="e">
        <f>#REF!</f>
        <v>#REF!</v>
      </c>
      <c r="G2495" s="31" t="e">
        <f>#REF!</f>
        <v>#REF!</v>
      </c>
      <c r="H2495" s="31" t="e">
        <f>#REF!</f>
        <v>#REF!</v>
      </c>
      <c r="I2495" s="31">
        <f>'تقرير المصروفات حسب الشهر'!Y804</f>
        <v>0</v>
      </c>
      <c r="J2495" s="31">
        <f>'تقرير المصروفات حسب الشهر'!Y931</f>
        <v>0</v>
      </c>
      <c r="K2495" s="31">
        <f>'تقرير المصروفات حسب الشهر'!Y1058</f>
        <v>0</v>
      </c>
      <c r="L2495" s="292">
        <f>IFERROR(VLOOKUP(B2495,'تقرير المصروفات حسب الشهر'!$C$1143:$AD$1254,23,FALSE),0)</f>
        <v>0</v>
      </c>
      <c r="M2495" s="292">
        <f>IFERROR(VLOOKUP(B2495,'تقرير المصروفات حسب الشهر'!$C$1270:$AD$1381,23,FALSE),0)</f>
        <v>0</v>
      </c>
      <c r="N2495" s="31" t="e">
        <f>#REF!</f>
        <v>#REF!</v>
      </c>
      <c r="O2495" s="37" t="e">
        <f t="shared" si="63"/>
        <v>#REF!</v>
      </c>
    </row>
    <row r="2496" spans="2:15" ht="17.399999999999999">
      <c r="B2496" s="42" t="s">
        <v>70</v>
      </c>
      <c r="C2496" s="39" t="e">
        <f>#REF!</f>
        <v>#REF!</v>
      </c>
      <c r="D2496" s="31" t="e">
        <f>#REF!</f>
        <v>#REF!</v>
      </c>
      <c r="E2496" s="31" t="e">
        <f>#REF!</f>
        <v>#REF!</v>
      </c>
      <c r="F2496" s="31" t="e">
        <f>#REF!</f>
        <v>#REF!</v>
      </c>
      <c r="G2496" s="31" t="e">
        <f>#REF!</f>
        <v>#REF!</v>
      </c>
      <c r="H2496" s="31" t="e">
        <f>#REF!</f>
        <v>#REF!</v>
      </c>
      <c r="I2496" s="31">
        <f>'تقرير المصروفات حسب الشهر'!Y805</f>
        <v>0</v>
      </c>
      <c r="J2496" s="31">
        <f>'تقرير المصروفات حسب الشهر'!Y932</f>
        <v>0</v>
      </c>
      <c r="K2496" s="31">
        <f>'تقرير المصروفات حسب الشهر'!Y1059</f>
        <v>0</v>
      </c>
      <c r="L2496" s="292">
        <f>IFERROR(VLOOKUP(B2496,'تقرير المصروفات حسب الشهر'!$C$1143:$AD$1254,23,FALSE),0)</f>
        <v>0</v>
      </c>
      <c r="M2496" s="292">
        <f>IFERROR(VLOOKUP(B2496,'تقرير المصروفات حسب الشهر'!$C$1270:$AD$1381,23,FALSE),0)</f>
        <v>0</v>
      </c>
      <c r="N2496" s="31" t="e">
        <f>#REF!</f>
        <v>#REF!</v>
      </c>
      <c r="O2496" s="37" t="e">
        <f t="shared" si="63"/>
        <v>#REF!</v>
      </c>
    </row>
    <row r="2497" spans="2:15" ht="17.399999999999999">
      <c r="B2497" s="42" t="s">
        <v>71</v>
      </c>
      <c r="C2497" s="39" t="e">
        <f>#REF!</f>
        <v>#REF!</v>
      </c>
      <c r="D2497" s="31" t="e">
        <f>#REF!</f>
        <v>#REF!</v>
      </c>
      <c r="E2497" s="31" t="e">
        <f>#REF!</f>
        <v>#REF!</v>
      </c>
      <c r="F2497" s="31" t="e">
        <f>#REF!</f>
        <v>#REF!</v>
      </c>
      <c r="G2497" s="31" t="e">
        <f>#REF!</f>
        <v>#REF!</v>
      </c>
      <c r="H2497" s="31" t="e">
        <f>#REF!</f>
        <v>#REF!</v>
      </c>
      <c r="I2497" s="31">
        <f>'تقرير المصروفات حسب الشهر'!Y806</f>
        <v>0</v>
      </c>
      <c r="J2497" s="31">
        <f>'تقرير المصروفات حسب الشهر'!Y933</f>
        <v>0</v>
      </c>
      <c r="K2497" s="31">
        <f>'تقرير المصروفات حسب الشهر'!Y1060</f>
        <v>0</v>
      </c>
      <c r="L2497" s="292">
        <f>IFERROR(VLOOKUP(B2497,'تقرير المصروفات حسب الشهر'!$C$1143:$AD$1254,23,FALSE),0)</f>
        <v>0</v>
      </c>
      <c r="M2497" s="292">
        <f>IFERROR(VLOOKUP(B2497,'تقرير المصروفات حسب الشهر'!$C$1270:$AD$1381,23,FALSE),0)</f>
        <v>0</v>
      </c>
      <c r="N2497" s="31" t="e">
        <f>#REF!</f>
        <v>#REF!</v>
      </c>
      <c r="O2497" s="37" t="e">
        <f t="shared" si="63"/>
        <v>#REF!</v>
      </c>
    </row>
    <row r="2498" spans="2:15" ht="17.399999999999999">
      <c r="B2498" s="42" t="s">
        <v>159</v>
      </c>
      <c r="C2498" s="39" t="e">
        <f>#REF!</f>
        <v>#REF!</v>
      </c>
      <c r="D2498" s="31" t="e">
        <f>#REF!</f>
        <v>#REF!</v>
      </c>
      <c r="E2498" s="31" t="e">
        <f>#REF!</f>
        <v>#REF!</v>
      </c>
      <c r="F2498" s="31" t="e">
        <f>#REF!</f>
        <v>#REF!</v>
      </c>
      <c r="G2498" s="31" t="e">
        <f>#REF!</f>
        <v>#REF!</v>
      </c>
      <c r="H2498" s="31" t="e">
        <f>#REF!</f>
        <v>#REF!</v>
      </c>
      <c r="I2498" s="31">
        <f>'تقرير المصروفات حسب الشهر'!Y807</f>
        <v>0</v>
      </c>
      <c r="J2498" s="31">
        <f>'تقرير المصروفات حسب الشهر'!Y934</f>
        <v>0</v>
      </c>
      <c r="K2498" s="31">
        <f>'تقرير المصروفات حسب الشهر'!Y1061</f>
        <v>0</v>
      </c>
      <c r="L2498" s="292">
        <f>IFERROR(VLOOKUP(B2498,'تقرير المصروفات حسب الشهر'!$C$1143:$AD$1254,23,FALSE),0)</f>
        <v>0</v>
      </c>
      <c r="M2498" s="292">
        <f>IFERROR(VLOOKUP(B2498,'تقرير المصروفات حسب الشهر'!$C$1270:$AD$1381,23,FALSE),0)</f>
        <v>0</v>
      </c>
      <c r="N2498" s="31" t="e">
        <f>#REF!</f>
        <v>#REF!</v>
      </c>
      <c r="O2498" s="37" t="e">
        <f t="shared" si="63"/>
        <v>#REF!</v>
      </c>
    </row>
    <row r="2499" spans="2:15" ht="17.399999999999999">
      <c r="B2499" s="42" t="s">
        <v>72</v>
      </c>
      <c r="C2499" s="39" t="e">
        <f>#REF!</f>
        <v>#REF!</v>
      </c>
      <c r="D2499" s="31" t="e">
        <f>#REF!</f>
        <v>#REF!</v>
      </c>
      <c r="E2499" s="31" t="e">
        <f>#REF!</f>
        <v>#REF!</v>
      </c>
      <c r="F2499" s="31" t="e">
        <f>#REF!</f>
        <v>#REF!</v>
      </c>
      <c r="G2499" s="31" t="e">
        <f>#REF!</f>
        <v>#REF!</v>
      </c>
      <c r="H2499" s="31" t="e">
        <f>#REF!</f>
        <v>#REF!</v>
      </c>
      <c r="I2499" s="31">
        <f>'تقرير المصروفات حسب الشهر'!Y808</f>
        <v>0</v>
      </c>
      <c r="J2499" s="31">
        <f>'تقرير المصروفات حسب الشهر'!Y935</f>
        <v>0</v>
      </c>
      <c r="K2499" s="31">
        <f>'تقرير المصروفات حسب الشهر'!Y1062</f>
        <v>0</v>
      </c>
      <c r="L2499" s="292">
        <f>IFERROR(VLOOKUP(B2499,'تقرير المصروفات حسب الشهر'!$C$1143:$AD$1254,23,FALSE),0)</f>
        <v>0</v>
      </c>
      <c r="M2499" s="292">
        <f>IFERROR(VLOOKUP(B2499,'تقرير المصروفات حسب الشهر'!$C$1270:$AD$1381,23,FALSE),0)</f>
        <v>0</v>
      </c>
      <c r="N2499" s="31" t="e">
        <f>#REF!</f>
        <v>#REF!</v>
      </c>
      <c r="O2499" s="37" t="e">
        <f t="shared" si="63"/>
        <v>#REF!</v>
      </c>
    </row>
    <row r="2500" spans="2:15" ht="17.399999999999999">
      <c r="B2500" s="42" t="s">
        <v>73</v>
      </c>
      <c r="C2500" s="39" t="e">
        <f>#REF!</f>
        <v>#REF!</v>
      </c>
      <c r="D2500" s="31" t="e">
        <f>#REF!</f>
        <v>#REF!</v>
      </c>
      <c r="E2500" s="31" t="e">
        <f>#REF!</f>
        <v>#REF!</v>
      </c>
      <c r="F2500" s="31" t="e">
        <f>#REF!</f>
        <v>#REF!</v>
      </c>
      <c r="G2500" s="31" t="e">
        <f>#REF!</f>
        <v>#REF!</v>
      </c>
      <c r="H2500" s="31" t="e">
        <f>#REF!</f>
        <v>#REF!</v>
      </c>
      <c r="I2500" s="31">
        <f>'تقرير المصروفات حسب الشهر'!Y809</f>
        <v>0</v>
      </c>
      <c r="J2500" s="31">
        <f>'تقرير المصروفات حسب الشهر'!Y936</f>
        <v>0</v>
      </c>
      <c r="K2500" s="31">
        <f>'تقرير المصروفات حسب الشهر'!Y1063</f>
        <v>0</v>
      </c>
      <c r="L2500" s="292">
        <f>IFERROR(VLOOKUP(B2500,'تقرير المصروفات حسب الشهر'!$C$1143:$AD$1254,23,FALSE),0)</f>
        <v>0</v>
      </c>
      <c r="M2500" s="292">
        <f>IFERROR(VLOOKUP(B2500,'تقرير المصروفات حسب الشهر'!$C$1270:$AD$1381,23,FALSE),0)</f>
        <v>0</v>
      </c>
      <c r="N2500" s="31" t="e">
        <f>#REF!</f>
        <v>#REF!</v>
      </c>
      <c r="O2500" s="37" t="e">
        <f t="shared" si="63"/>
        <v>#REF!</v>
      </c>
    </row>
    <row r="2501" spans="2:15" ht="17.399999999999999">
      <c r="B2501" s="42" t="s">
        <v>74</v>
      </c>
      <c r="C2501" s="39" t="e">
        <f>#REF!</f>
        <v>#REF!</v>
      </c>
      <c r="D2501" s="31" t="e">
        <f>#REF!</f>
        <v>#REF!</v>
      </c>
      <c r="E2501" s="31" t="e">
        <f>#REF!</f>
        <v>#REF!</v>
      </c>
      <c r="F2501" s="31" t="e">
        <f>#REF!</f>
        <v>#REF!</v>
      </c>
      <c r="G2501" s="31" t="e">
        <f>#REF!</f>
        <v>#REF!</v>
      </c>
      <c r="H2501" s="31" t="e">
        <f>#REF!</f>
        <v>#REF!</v>
      </c>
      <c r="I2501" s="31">
        <f>'تقرير المصروفات حسب الشهر'!Y810</f>
        <v>0</v>
      </c>
      <c r="J2501" s="31">
        <f>'تقرير المصروفات حسب الشهر'!Y937</f>
        <v>0</v>
      </c>
      <c r="K2501" s="31">
        <f>'تقرير المصروفات حسب الشهر'!Y1064</f>
        <v>0</v>
      </c>
      <c r="L2501" s="292">
        <f>IFERROR(VLOOKUP(B2501,'تقرير المصروفات حسب الشهر'!$C$1143:$AD$1254,23,FALSE),0)</f>
        <v>0</v>
      </c>
      <c r="M2501" s="292">
        <f>IFERROR(VLOOKUP(B2501,'تقرير المصروفات حسب الشهر'!$C$1270:$AD$1381,23,FALSE),0)</f>
        <v>0</v>
      </c>
      <c r="N2501" s="31" t="e">
        <f>#REF!</f>
        <v>#REF!</v>
      </c>
      <c r="O2501" s="37" t="e">
        <f t="shared" si="63"/>
        <v>#REF!</v>
      </c>
    </row>
    <row r="2502" spans="2:15" ht="17.399999999999999">
      <c r="B2502" s="42" t="s">
        <v>75</v>
      </c>
      <c r="C2502" s="39" t="e">
        <f>#REF!</f>
        <v>#REF!</v>
      </c>
      <c r="D2502" s="31" t="e">
        <f>#REF!</f>
        <v>#REF!</v>
      </c>
      <c r="E2502" s="31" t="e">
        <f>#REF!</f>
        <v>#REF!</v>
      </c>
      <c r="F2502" s="31" t="e">
        <f>#REF!</f>
        <v>#REF!</v>
      </c>
      <c r="G2502" s="31" t="e">
        <f>#REF!</f>
        <v>#REF!</v>
      </c>
      <c r="H2502" s="31" t="e">
        <f>#REF!</f>
        <v>#REF!</v>
      </c>
      <c r="I2502" s="31">
        <f>'تقرير المصروفات حسب الشهر'!Y811</f>
        <v>0</v>
      </c>
      <c r="J2502" s="31">
        <f>'تقرير المصروفات حسب الشهر'!Y938</f>
        <v>0</v>
      </c>
      <c r="K2502" s="31">
        <f>'تقرير المصروفات حسب الشهر'!Y1065</f>
        <v>0</v>
      </c>
      <c r="L2502" s="292">
        <f>IFERROR(VLOOKUP(B2502,'تقرير المصروفات حسب الشهر'!$C$1143:$AD$1254,23,FALSE),0)</f>
        <v>0</v>
      </c>
      <c r="M2502" s="292">
        <f>IFERROR(VLOOKUP(B2502,'تقرير المصروفات حسب الشهر'!$C$1270:$AD$1381,23,FALSE),0)</f>
        <v>0</v>
      </c>
      <c r="N2502" s="31" t="e">
        <f>#REF!</f>
        <v>#REF!</v>
      </c>
      <c r="O2502" s="37" t="e">
        <f t="shared" si="63"/>
        <v>#REF!</v>
      </c>
    </row>
    <row r="2503" spans="2:15" ht="17.399999999999999">
      <c r="B2503" s="42" t="s">
        <v>76</v>
      </c>
      <c r="C2503" s="39" t="e">
        <f>#REF!</f>
        <v>#REF!</v>
      </c>
      <c r="D2503" s="31" t="e">
        <f>#REF!</f>
        <v>#REF!</v>
      </c>
      <c r="E2503" s="31" t="e">
        <f>#REF!</f>
        <v>#REF!</v>
      </c>
      <c r="F2503" s="31" t="e">
        <f>#REF!</f>
        <v>#REF!</v>
      </c>
      <c r="G2503" s="31" t="e">
        <f>#REF!</f>
        <v>#REF!</v>
      </c>
      <c r="H2503" s="31" t="e">
        <f>#REF!</f>
        <v>#REF!</v>
      </c>
      <c r="I2503" s="31">
        <f>'تقرير المصروفات حسب الشهر'!Y812</f>
        <v>0</v>
      </c>
      <c r="J2503" s="31">
        <f>'تقرير المصروفات حسب الشهر'!Y939</f>
        <v>0</v>
      </c>
      <c r="K2503" s="31">
        <f>'تقرير المصروفات حسب الشهر'!Y1066</f>
        <v>0</v>
      </c>
      <c r="L2503" s="292">
        <f>IFERROR(VLOOKUP(B2503,'تقرير المصروفات حسب الشهر'!$C$1143:$AD$1254,23,FALSE),0)</f>
        <v>0</v>
      </c>
      <c r="M2503" s="292">
        <f>IFERROR(VLOOKUP(B2503,'تقرير المصروفات حسب الشهر'!$C$1270:$AD$1381,23,FALSE),0)</f>
        <v>0</v>
      </c>
      <c r="N2503" s="31" t="e">
        <f>#REF!</f>
        <v>#REF!</v>
      </c>
      <c r="O2503" s="37" t="e">
        <f t="shared" si="63"/>
        <v>#REF!</v>
      </c>
    </row>
    <row r="2504" spans="2:15" ht="17.399999999999999">
      <c r="B2504" s="42" t="s">
        <v>77</v>
      </c>
      <c r="C2504" s="39" t="e">
        <f>#REF!</f>
        <v>#REF!</v>
      </c>
      <c r="D2504" s="31" t="e">
        <f>#REF!</f>
        <v>#REF!</v>
      </c>
      <c r="E2504" s="31" t="e">
        <f>#REF!</f>
        <v>#REF!</v>
      </c>
      <c r="F2504" s="31" t="e">
        <f>#REF!</f>
        <v>#REF!</v>
      </c>
      <c r="G2504" s="31" t="e">
        <f>#REF!</f>
        <v>#REF!</v>
      </c>
      <c r="H2504" s="31" t="e">
        <f>#REF!</f>
        <v>#REF!</v>
      </c>
      <c r="I2504" s="31">
        <f>'تقرير المصروفات حسب الشهر'!Y813</f>
        <v>0</v>
      </c>
      <c r="J2504" s="31">
        <f>'تقرير المصروفات حسب الشهر'!Y940</f>
        <v>0</v>
      </c>
      <c r="K2504" s="31">
        <f>'تقرير المصروفات حسب الشهر'!Y1067</f>
        <v>0</v>
      </c>
      <c r="L2504" s="292">
        <f>IFERROR(VLOOKUP(B2504,'تقرير المصروفات حسب الشهر'!$C$1143:$AD$1254,23,FALSE),0)</f>
        <v>0</v>
      </c>
      <c r="M2504" s="292">
        <f>IFERROR(VLOOKUP(B2504,'تقرير المصروفات حسب الشهر'!$C$1270:$AD$1381,23,FALSE),0)</f>
        <v>0</v>
      </c>
      <c r="N2504" s="31" t="e">
        <f>#REF!</f>
        <v>#REF!</v>
      </c>
      <c r="O2504" s="37" t="e">
        <f t="shared" si="63"/>
        <v>#REF!</v>
      </c>
    </row>
    <row r="2505" spans="2:15" ht="17.399999999999999">
      <c r="B2505" s="42" t="s">
        <v>78</v>
      </c>
      <c r="C2505" s="39" t="e">
        <f>#REF!</f>
        <v>#REF!</v>
      </c>
      <c r="D2505" s="31" t="e">
        <f>#REF!</f>
        <v>#REF!</v>
      </c>
      <c r="E2505" s="31" t="e">
        <f>#REF!</f>
        <v>#REF!</v>
      </c>
      <c r="F2505" s="31" t="e">
        <f>#REF!</f>
        <v>#REF!</v>
      </c>
      <c r="G2505" s="31" t="e">
        <f>#REF!</f>
        <v>#REF!</v>
      </c>
      <c r="H2505" s="31" t="e">
        <f>#REF!</f>
        <v>#REF!</v>
      </c>
      <c r="I2505" s="31">
        <f>'تقرير المصروفات حسب الشهر'!Y814</f>
        <v>0</v>
      </c>
      <c r="J2505" s="31">
        <f>'تقرير المصروفات حسب الشهر'!Y941</f>
        <v>0</v>
      </c>
      <c r="K2505" s="31">
        <f>'تقرير المصروفات حسب الشهر'!Y1068</f>
        <v>0</v>
      </c>
      <c r="L2505" s="292">
        <f>IFERROR(VLOOKUP(B2505,'تقرير المصروفات حسب الشهر'!$C$1143:$AD$1254,23,FALSE),0)</f>
        <v>0</v>
      </c>
      <c r="M2505" s="292">
        <f>IFERROR(VLOOKUP(B2505,'تقرير المصروفات حسب الشهر'!$C$1270:$AD$1381,23,FALSE),0)</f>
        <v>0</v>
      </c>
      <c r="N2505" s="31" t="e">
        <f>#REF!</f>
        <v>#REF!</v>
      </c>
      <c r="O2505" s="37" t="e">
        <f t="shared" si="63"/>
        <v>#REF!</v>
      </c>
    </row>
    <row r="2506" spans="2:15" ht="17.399999999999999">
      <c r="B2506" s="42" t="s">
        <v>79</v>
      </c>
      <c r="C2506" s="39" t="e">
        <f>#REF!</f>
        <v>#REF!</v>
      </c>
      <c r="D2506" s="31" t="e">
        <f>#REF!</f>
        <v>#REF!</v>
      </c>
      <c r="E2506" s="31" t="e">
        <f>#REF!</f>
        <v>#REF!</v>
      </c>
      <c r="F2506" s="31" t="e">
        <f>#REF!</f>
        <v>#REF!</v>
      </c>
      <c r="G2506" s="31" t="e">
        <f>#REF!</f>
        <v>#REF!</v>
      </c>
      <c r="H2506" s="31" t="e">
        <f>#REF!</f>
        <v>#REF!</v>
      </c>
      <c r="I2506" s="31">
        <f>'تقرير المصروفات حسب الشهر'!Y815</f>
        <v>0</v>
      </c>
      <c r="J2506" s="31">
        <f>'تقرير المصروفات حسب الشهر'!Y942</f>
        <v>0</v>
      </c>
      <c r="K2506" s="31">
        <f>'تقرير المصروفات حسب الشهر'!Y1069</f>
        <v>0</v>
      </c>
      <c r="L2506" s="292">
        <f>IFERROR(VLOOKUP(B2506,'تقرير المصروفات حسب الشهر'!$C$1143:$AD$1254,23,FALSE),0)</f>
        <v>0</v>
      </c>
      <c r="M2506" s="292">
        <f>IFERROR(VLOOKUP(B2506,'تقرير المصروفات حسب الشهر'!$C$1270:$AD$1381,23,FALSE),0)</f>
        <v>0</v>
      </c>
      <c r="N2506" s="31" t="e">
        <f>#REF!</f>
        <v>#REF!</v>
      </c>
      <c r="O2506" s="37" t="e">
        <f t="shared" si="63"/>
        <v>#REF!</v>
      </c>
    </row>
    <row r="2507" spans="2:15" ht="17.399999999999999">
      <c r="B2507" s="42" t="s">
        <v>80</v>
      </c>
      <c r="C2507" s="39" t="e">
        <f>#REF!</f>
        <v>#REF!</v>
      </c>
      <c r="D2507" s="31" t="e">
        <f>#REF!</f>
        <v>#REF!</v>
      </c>
      <c r="E2507" s="31" t="e">
        <f>#REF!</f>
        <v>#REF!</v>
      </c>
      <c r="F2507" s="31" t="e">
        <f>#REF!</f>
        <v>#REF!</v>
      </c>
      <c r="G2507" s="31" t="e">
        <f>#REF!</f>
        <v>#REF!</v>
      </c>
      <c r="H2507" s="31" t="e">
        <f>#REF!</f>
        <v>#REF!</v>
      </c>
      <c r="I2507" s="31">
        <f>'تقرير المصروفات حسب الشهر'!Y816</f>
        <v>0</v>
      </c>
      <c r="J2507" s="31">
        <f>'تقرير المصروفات حسب الشهر'!Y943</f>
        <v>0</v>
      </c>
      <c r="K2507" s="31">
        <f>'تقرير المصروفات حسب الشهر'!Y1070</f>
        <v>0</v>
      </c>
      <c r="L2507" s="292">
        <f>IFERROR(VLOOKUP(B2507,'تقرير المصروفات حسب الشهر'!$C$1143:$AD$1254,23,FALSE),0)</f>
        <v>0</v>
      </c>
      <c r="M2507" s="292">
        <f>IFERROR(VLOOKUP(B2507,'تقرير المصروفات حسب الشهر'!$C$1270:$AD$1381,23,FALSE),0)</f>
        <v>0</v>
      </c>
      <c r="N2507" s="31" t="e">
        <f>#REF!</f>
        <v>#REF!</v>
      </c>
      <c r="O2507" s="37" t="e">
        <f t="shared" si="63"/>
        <v>#REF!</v>
      </c>
    </row>
    <row r="2508" spans="2:15" ht="17.399999999999999">
      <c r="B2508" s="42" t="s">
        <v>81</v>
      </c>
      <c r="C2508" s="39" t="e">
        <f>#REF!</f>
        <v>#REF!</v>
      </c>
      <c r="D2508" s="31" t="e">
        <f>#REF!</f>
        <v>#REF!</v>
      </c>
      <c r="E2508" s="31" t="e">
        <f>#REF!</f>
        <v>#REF!</v>
      </c>
      <c r="F2508" s="31" t="e">
        <f>#REF!</f>
        <v>#REF!</v>
      </c>
      <c r="G2508" s="31" t="e">
        <f>#REF!</f>
        <v>#REF!</v>
      </c>
      <c r="H2508" s="31" t="e">
        <f>#REF!</f>
        <v>#REF!</v>
      </c>
      <c r="I2508" s="31">
        <f>'تقرير المصروفات حسب الشهر'!Y817</f>
        <v>0</v>
      </c>
      <c r="J2508" s="31">
        <f>'تقرير المصروفات حسب الشهر'!Y944</f>
        <v>0</v>
      </c>
      <c r="K2508" s="31">
        <f>'تقرير المصروفات حسب الشهر'!Y1071</f>
        <v>0</v>
      </c>
      <c r="L2508" s="292">
        <f>IFERROR(VLOOKUP(B2508,'تقرير المصروفات حسب الشهر'!$C$1143:$AD$1254,23,FALSE),0)</f>
        <v>0</v>
      </c>
      <c r="M2508" s="292">
        <f>IFERROR(VLOOKUP(B2508,'تقرير المصروفات حسب الشهر'!$C$1270:$AD$1381,23,FALSE),0)</f>
        <v>0</v>
      </c>
      <c r="N2508" s="31" t="e">
        <f>#REF!</f>
        <v>#REF!</v>
      </c>
      <c r="O2508" s="37" t="e">
        <f t="shared" si="63"/>
        <v>#REF!</v>
      </c>
    </row>
    <row r="2509" spans="2:15" ht="17.399999999999999">
      <c r="B2509" s="42" t="s">
        <v>82</v>
      </c>
      <c r="C2509" s="39" t="e">
        <f>#REF!</f>
        <v>#REF!</v>
      </c>
      <c r="D2509" s="31" t="e">
        <f>#REF!</f>
        <v>#REF!</v>
      </c>
      <c r="E2509" s="31" t="e">
        <f>#REF!</f>
        <v>#REF!</v>
      </c>
      <c r="F2509" s="31" t="e">
        <f>#REF!</f>
        <v>#REF!</v>
      </c>
      <c r="G2509" s="31" t="e">
        <f>#REF!</f>
        <v>#REF!</v>
      </c>
      <c r="H2509" s="31" t="e">
        <f>#REF!</f>
        <v>#REF!</v>
      </c>
      <c r="I2509" s="31">
        <f>'تقرير المصروفات حسب الشهر'!Y818</f>
        <v>0</v>
      </c>
      <c r="J2509" s="31">
        <f>'تقرير المصروفات حسب الشهر'!Y945</f>
        <v>0</v>
      </c>
      <c r="K2509" s="31">
        <f>'تقرير المصروفات حسب الشهر'!Y1072</f>
        <v>0</v>
      </c>
      <c r="L2509" s="292">
        <f>IFERROR(VLOOKUP(B2509,'تقرير المصروفات حسب الشهر'!$C$1143:$AD$1254,23,FALSE),0)</f>
        <v>0</v>
      </c>
      <c r="M2509" s="292">
        <f>IFERROR(VLOOKUP(B2509,'تقرير المصروفات حسب الشهر'!$C$1270:$AD$1381,23,FALSE),0)</f>
        <v>0</v>
      </c>
      <c r="N2509" s="31" t="e">
        <f>#REF!</f>
        <v>#REF!</v>
      </c>
      <c r="O2509" s="37" t="e">
        <f t="shared" si="63"/>
        <v>#REF!</v>
      </c>
    </row>
    <row r="2510" spans="2:15" ht="17.399999999999999">
      <c r="B2510" s="42" t="s">
        <v>83</v>
      </c>
      <c r="C2510" s="39" t="e">
        <f>#REF!</f>
        <v>#REF!</v>
      </c>
      <c r="D2510" s="31" t="e">
        <f>#REF!</f>
        <v>#REF!</v>
      </c>
      <c r="E2510" s="31" t="e">
        <f>#REF!</f>
        <v>#REF!</v>
      </c>
      <c r="F2510" s="31" t="e">
        <f>#REF!</f>
        <v>#REF!</v>
      </c>
      <c r="G2510" s="31" t="e">
        <f>#REF!</f>
        <v>#REF!</v>
      </c>
      <c r="H2510" s="31" t="e">
        <f>#REF!</f>
        <v>#REF!</v>
      </c>
      <c r="I2510" s="31">
        <f>'تقرير المصروفات حسب الشهر'!Y819</f>
        <v>0</v>
      </c>
      <c r="J2510" s="31">
        <f>'تقرير المصروفات حسب الشهر'!Y946</f>
        <v>0</v>
      </c>
      <c r="K2510" s="31">
        <f>'تقرير المصروفات حسب الشهر'!Y1073</f>
        <v>0</v>
      </c>
      <c r="L2510" s="292">
        <f>IFERROR(VLOOKUP(B2510,'تقرير المصروفات حسب الشهر'!$C$1143:$AD$1254,23,FALSE),0)</f>
        <v>0</v>
      </c>
      <c r="M2510" s="292">
        <f>IFERROR(VLOOKUP(B2510,'تقرير المصروفات حسب الشهر'!$C$1270:$AD$1381,23,FALSE),0)</f>
        <v>0</v>
      </c>
      <c r="N2510" s="31" t="e">
        <f>#REF!</f>
        <v>#REF!</v>
      </c>
      <c r="O2510" s="37" t="e">
        <f t="shared" si="63"/>
        <v>#REF!</v>
      </c>
    </row>
    <row r="2511" spans="2:15" ht="17.399999999999999">
      <c r="B2511" s="42" t="s">
        <v>84</v>
      </c>
      <c r="C2511" s="39" t="e">
        <f>#REF!</f>
        <v>#REF!</v>
      </c>
      <c r="D2511" s="31" t="e">
        <f>#REF!</f>
        <v>#REF!</v>
      </c>
      <c r="E2511" s="31" t="e">
        <f>#REF!</f>
        <v>#REF!</v>
      </c>
      <c r="F2511" s="31" t="e">
        <f>#REF!</f>
        <v>#REF!</v>
      </c>
      <c r="G2511" s="31" t="e">
        <f>#REF!</f>
        <v>#REF!</v>
      </c>
      <c r="H2511" s="31" t="e">
        <f>#REF!</f>
        <v>#REF!</v>
      </c>
      <c r="I2511" s="31">
        <f>'تقرير المصروفات حسب الشهر'!Y820</f>
        <v>0</v>
      </c>
      <c r="J2511" s="31">
        <f>'تقرير المصروفات حسب الشهر'!Y947</f>
        <v>0</v>
      </c>
      <c r="K2511" s="31">
        <f>'تقرير المصروفات حسب الشهر'!Y1074</f>
        <v>0</v>
      </c>
      <c r="L2511" s="292">
        <f>IFERROR(VLOOKUP(B2511,'تقرير المصروفات حسب الشهر'!$C$1143:$AD$1254,23,FALSE),0)</f>
        <v>0</v>
      </c>
      <c r="M2511" s="292">
        <f>IFERROR(VLOOKUP(B2511,'تقرير المصروفات حسب الشهر'!$C$1270:$AD$1381,23,FALSE),0)</f>
        <v>0</v>
      </c>
      <c r="N2511" s="31" t="e">
        <f>#REF!</f>
        <v>#REF!</v>
      </c>
      <c r="O2511" s="37" t="e">
        <f t="shared" si="63"/>
        <v>#REF!</v>
      </c>
    </row>
    <row r="2512" spans="2:15" ht="17.399999999999999">
      <c r="B2512" s="42" t="s">
        <v>85</v>
      </c>
      <c r="C2512" s="39" t="e">
        <f>#REF!</f>
        <v>#REF!</v>
      </c>
      <c r="D2512" s="31" t="e">
        <f>#REF!</f>
        <v>#REF!</v>
      </c>
      <c r="E2512" s="31" t="e">
        <f>#REF!</f>
        <v>#REF!</v>
      </c>
      <c r="F2512" s="31" t="e">
        <f>#REF!</f>
        <v>#REF!</v>
      </c>
      <c r="G2512" s="31" t="e">
        <f>#REF!</f>
        <v>#REF!</v>
      </c>
      <c r="H2512" s="31" t="e">
        <f>#REF!</f>
        <v>#REF!</v>
      </c>
      <c r="I2512" s="31">
        <f>'تقرير المصروفات حسب الشهر'!Y821</f>
        <v>0</v>
      </c>
      <c r="J2512" s="31">
        <f>'تقرير المصروفات حسب الشهر'!Y948</f>
        <v>300</v>
      </c>
      <c r="K2512" s="31">
        <f>'تقرير المصروفات حسب الشهر'!Y1075</f>
        <v>200</v>
      </c>
      <c r="L2512" s="292">
        <f>IFERROR(VLOOKUP(B2512,'تقرير المصروفات حسب الشهر'!$C$1143:$AD$1254,23,FALSE),0)</f>
        <v>200</v>
      </c>
      <c r="M2512" s="292">
        <f>IFERROR(VLOOKUP(B2512,'تقرير المصروفات حسب الشهر'!$C$1270:$AD$1381,23,FALSE),0)</f>
        <v>200</v>
      </c>
      <c r="N2512" s="31" t="e">
        <f>#REF!</f>
        <v>#REF!</v>
      </c>
      <c r="O2512" s="37" t="e">
        <f t="shared" si="63"/>
        <v>#REF!</v>
      </c>
    </row>
    <row r="2513" spans="2:15" ht="17.399999999999999">
      <c r="B2513" s="42" t="s">
        <v>86</v>
      </c>
      <c r="C2513" s="39" t="e">
        <f>#REF!</f>
        <v>#REF!</v>
      </c>
      <c r="D2513" s="31" t="e">
        <f>#REF!</f>
        <v>#REF!</v>
      </c>
      <c r="E2513" s="31" t="e">
        <f>#REF!</f>
        <v>#REF!</v>
      </c>
      <c r="F2513" s="31" t="e">
        <f>#REF!</f>
        <v>#REF!</v>
      </c>
      <c r="G2513" s="31" t="e">
        <f>#REF!</f>
        <v>#REF!</v>
      </c>
      <c r="H2513" s="31" t="e">
        <f>#REF!</f>
        <v>#REF!</v>
      </c>
      <c r="I2513" s="31">
        <f>'تقرير المصروفات حسب الشهر'!Y822</f>
        <v>0</v>
      </c>
      <c r="J2513" s="31">
        <f>'تقرير المصروفات حسب الشهر'!Y949</f>
        <v>0</v>
      </c>
      <c r="K2513" s="31">
        <f>'تقرير المصروفات حسب الشهر'!Y1076</f>
        <v>0</v>
      </c>
      <c r="L2513" s="292">
        <f>IFERROR(VLOOKUP(B2513,'تقرير المصروفات حسب الشهر'!$C$1143:$AD$1254,23,FALSE),0)</f>
        <v>0</v>
      </c>
      <c r="M2513" s="292">
        <f>IFERROR(VLOOKUP(B2513,'تقرير المصروفات حسب الشهر'!$C$1270:$AD$1381,23,FALSE),0)</f>
        <v>0</v>
      </c>
      <c r="N2513" s="31" t="e">
        <f>#REF!</f>
        <v>#REF!</v>
      </c>
      <c r="O2513" s="37" t="e">
        <f t="shared" si="63"/>
        <v>#REF!</v>
      </c>
    </row>
    <row r="2514" spans="2:15" ht="17.399999999999999">
      <c r="B2514" s="42" t="s">
        <v>87</v>
      </c>
      <c r="C2514" s="39" t="e">
        <f>#REF!</f>
        <v>#REF!</v>
      </c>
      <c r="D2514" s="31" t="e">
        <f>#REF!</f>
        <v>#REF!</v>
      </c>
      <c r="E2514" s="31" t="e">
        <f>#REF!</f>
        <v>#REF!</v>
      </c>
      <c r="F2514" s="31" t="e">
        <f>#REF!</f>
        <v>#REF!</v>
      </c>
      <c r="G2514" s="31" t="e">
        <f>#REF!</f>
        <v>#REF!</v>
      </c>
      <c r="H2514" s="31" t="e">
        <f>#REF!</f>
        <v>#REF!</v>
      </c>
      <c r="I2514" s="31">
        <f>'تقرير المصروفات حسب الشهر'!Y823</f>
        <v>0</v>
      </c>
      <c r="J2514" s="31">
        <f>'تقرير المصروفات حسب الشهر'!Y950</f>
        <v>0</v>
      </c>
      <c r="K2514" s="31">
        <f>'تقرير المصروفات حسب الشهر'!Y1077</f>
        <v>0</v>
      </c>
      <c r="L2514" s="292">
        <f>IFERROR(VLOOKUP(B2514,'تقرير المصروفات حسب الشهر'!$C$1143:$AD$1254,23,FALSE),0)</f>
        <v>0</v>
      </c>
      <c r="M2514" s="292">
        <f>IFERROR(VLOOKUP(B2514,'تقرير المصروفات حسب الشهر'!$C$1270:$AD$1381,23,FALSE),0)</f>
        <v>0</v>
      </c>
      <c r="N2514" s="31" t="e">
        <f>#REF!</f>
        <v>#REF!</v>
      </c>
      <c r="O2514" s="37" t="e">
        <f t="shared" si="63"/>
        <v>#REF!</v>
      </c>
    </row>
    <row r="2515" spans="2:15" ht="17.399999999999999">
      <c r="B2515" s="42" t="s">
        <v>88</v>
      </c>
      <c r="C2515" s="39" t="e">
        <f>#REF!</f>
        <v>#REF!</v>
      </c>
      <c r="D2515" s="31" t="e">
        <f>#REF!</f>
        <v>#REF!</v>
      </c>
      <c r="E2515" s="31" t="e">
        <f>#REF!</f>
        <v>#REF!</v>
      </c>
      <c r="F2515" s="31" t="e">
        <f>#REF!</f>
        <v>#REF!</v>
      </c>
      <c r="G2515" s="31" t="e">
        <f>#REF!</f>
        <v>#REF!</v>
      </c>
      <c r="H2515" s="31" t="e">
        <f>#REF!</f>
        <v>#REF!</v>
      </c>
      <c r="I2515" s="31">
        <f>'تقرير المصروفات حسب الشهر'!Y824</f>
        <v>0</v>
      </c>
      <c r="J2515" s="31">
        <f>'تقرير المصروفات حسب الشهر'!Y951</f>
        <v>0</v>
      </c>
      <c r="K2515" s="31">
        <f>'تقرير المصروفات حسب الشهر'!Y1078</f>
        <v>0</v>
      </c>
      <c r="L2515" s="292">
        <f>IFERROR(VLOOKUP(B2515,'تقرير المصروفات حسب الشهر'!$C$1143:$AD$1254,23,FALSE),0)</f>
        <v>0</v>
      </c>
      <c r="M2515" s="292">
        <f>IFERROR(VLOOKUP(B2515,'تقرير المصروفات حسب الشهر'!$C$1270:$AD$1381,23,FALSE),0)</f>
        <v>0</v>
      </c>
      <c r="N2515" s="31" t="e">
        <f>#REF!</f>
        <v>#REF!</v>
      </c>
      <c r="O2515" s="37" t="e">
        <f t="shared" si="63"/>
        <v>#REF!</v>
      </c>
    </row>
    <row r="2516" spans="2:15" ht="17.399999999999999">
      <c r="B2516" s="42" t="s">
        <v>89</v>
      </c>
      <c r="C2516" s="39" t="e">
        <f>#REF!</f>
        <v>#REF!</v>
      </c>
      <c r="D2516" s="31" t="e">
        <f>#REF!</f>
        <v>#REF!</v>
      </c>
      <c r="E2516" s="31" t="e">
        <f>#REF!</f>
        <v>#REF!</v>
      </c>
      <c r="F2516" s="31" t="e">
        <f>#REF!</f>
        <v>#REF!</v>
      </c>
      <c r="G2516" s="31" t="e">
        <f>#REF!</f>
        <v>#REF!</v>
      </c>
      <c r="H2516" s="31" t="e">
        <f>#REF!</f>
        <v>#REF!</v>
      </c>
      <c r="I2516" s="31">
        <f>'تقرير المصروفات حسب الشهر'!Y825</f>
        <v>0</v>
      </c>
      <c r="J2516" s="31">
        <f>'تقرير المصروفات حسب الشهر'!Y952</f>
        <v>0</v>
      </c>
      <c r="K2516" s="31">
        <f>'تقرير المصروفات حسب الشهر'!Y1079</f>
        <v>0</v>
      </c>
      <c r="L2516" s="292">
        <f>IFERROR(VLOOKUP(B2516,'تقرير المصروفات حسب الشهر'!$C$1143:$AD$1254,23,FALSE),0)</f>
        <v>0</v>
      </c>
      <c r="M2516" s="292">
        <f>IFERROR(VLOOKUP(B2516,'تقرير المصروفات حسب الشهر'!$C$1270:$AD$1381,23,FALSE),0)</f>
        <v>0</v>
      </c>
      <c r="N2516" s="31" t="e">
        <f>#REF!</f>
        <v>#REF!</v>
      </c>
      <c r="O2516" s="37" t="e">
        <f t="shared" si="63"/>
        <v>#REF!</v>
      </c>
    </row>
    <row r="2517" spans="2:15" ht="17.399999999999999">
      <c r="B2517" s="42" t="s">
        <v>33</v>
      </c>
      <c r="C2517" s="39" t="e">
        <f>#REF!</f>
        <v>#REF!</v>
      </c>
      <c r="D2517" s="31" t="e">
        <f>#REF!</f>
        <v>#REF!</v>
      </c>
      <c r="E2517" s="31" t="e">
        <f>#REF!</f>
        <v>#REF!</v>
      </c>
      <c r="F2517" s="31" t="e">
        <f>#REF!</f>
        <v>#REF!</v>
      </c>
      <c r="G2517" s="31" t="e">
        <f>#REF!</f>
        <v>#REF!</v>
      </c>
      <c r="H2517" s="31" t="e">
        <f>#REF!</f>
        <v>#REF!</v>
      </c>
      <c r="I2517" s="31">
        <f>'تقرير المصروفات حسب الشهر'!Y826</f>
        <v>979</v>
      </c>
      <c r="J2517" s="31">
        <f>'تقرير المصروفات حسب الشهر'!Y953</f>
        <v>0</v>
      </c>
      <c r="K2517" s="31">
        <f>'تقرير المصروفات حسب الشهر'!Y1080</f>
        <v>0</v>
      </c>
      <c r="L2517" s="292">
        <f>IFERROR(VLOOKUP(B2517,'تقرير المصروفات حسب الشهر'!$C$1143:$AD$1254,23,FALSE),0)</f>
        <v>1075.76</v>
      </c>
      <c r="M2517" s="292">
        <f>IFERROR(VLOOKUP(B2517,'تقرير المصروفات حسب الشهر'!$C$1270:$AD$1381,23,FALSE),0)</f>
        <v>2207.5700000000002</v>
      </c>
      <c r="N2517" s="31" t="e">
        <f>#REF!</f>
        <v>#REF!</v>
      </c>
      <c r="O2517" s="37" t="e">
        <f t="shared" si="63"/>
        <v>#REF!</v>
      </c>
    </row>
    <row r="2518" spans="2:15" ht="17.399999999999999">
      <c r="B2518" s="42" t="s">
        <v>90</v>
      </c>
      <c r="C2518" s="39" t="e">
        <f>#REF!</f>
        <v>#REF!</v>
      </c>
      <c r="D2518" s="31" t="e">
        <f>#REF!</f>
        <v>#REF!</v>
      </c>
      <c r="E2518" s="31" t="e">
        <f>#REF!</f>
        <v>#REF!</v>
      </c>
      <c r="F2518" s="31" t="e">
        <f>#REF!</f>
        <v>#REF!</v>
      </c>
      <c r="G2518" s="31" t="e">
        <f>#REF!</f>
        <v>#REF!</v>
      </c>
      <c r="H2518" s="31" t="e">
        <f>#REF!</f>
        <v>#REF!</v>
      </c>
      <c r="I2518" s="31">
        <f>'تقرير المصروفات حسب الشهر'!Y827</f>
        <v>0</v>
      </c>
      <c r="J2518" s="31">
        <f>'تقرير المصروفات حسب الشهر'!Y954</f>
        <v>0</v>
      </c>
      <c r="K2518" s="31">
        <f>'تقرير المصروفات حسب الشهر'!Y1081</f>
        <v>0</v>
      </c>
      <c r="L2518" s="292">
        <f>IFERROR(VLOOKUP(B2518,'تقرير المصروفات حسب الشهر'!$C$1143:$AD$1254,23,FALSE),0)</f>
        <v>0</v>
      </c>
      <c r="M2518" s="292">
        <f>IFERROR(VLOOKUP(B2518,'تقرير المصروفات حسب الشهر'!$C$1270:$AD$1381,23,FALSE),0)</f>
        <v>0</v>
      </c>
      <c r="N2518" s="31" t="e">
        <f>#REF!</f>
        <v>#REF!</v>
      </c>
      <c r="O2518" s="37" t="e">
        <f t="shared" si="63"/>
        <v>#REF!</v>
      </c>
    </row>
    <row r="2519" spans="2:15" ht="17.399999999999999">
      <c r="B2519" s="42" t="s">
        <v>91</v>
      </c>
      <c r="C2519" s="39" t="e">
        <f>#REF!</f>
        <v>#REF!</v>
      </c>
      <c r="D2519" s="31" t="e">
        <f>#REF!</f>
        <v>#REF!</v>
      </c>
      <c r="E2519" s="31" t="e">
        <f>#REF!</f>
        <v>#REF!</v>
      </c>
      <c r="F2519" s="31" t="e">
        <f>#REF!</f>
        <v>#REF!</v>
      </c>
      <c r="G2519" s="31" t="e">
        <f>#REF!</f>
        <v>#REF!</v>
      </c>
      <c r="H2519" s="31" t="e">
        <f>#REF!</f>
        <v>#REF!</v>
      </c>
      <c r="I2519" s="31">
        <f>'تقرير المصروفات حسب الشهر'!Y828</f>
        <v>0</v>
      </c>
      <c r="J2519" s="31">
        <f>'تقرير المصروفات حسب الشهر'!Y955</f>
        <v>0</v>
      </c>
      <c r="K2519" s="31">
        <f>'تقرير المصروفات حسب الشهر'!Y1082</f>
        <v>0</v>
      </c>
      <c r="L2519" s="292">
        <f>IFERROR(VLOOKUP(B2519,'تقرير المصروفات حسب الشهر'!$C$1143:$AD$1254,23,FALSE),0)</f>
        <v>0</v>
      </c>
      <c r="M2519" s="292">
        <f>IFERROR(VLOOKUP(B2519,'تقرير المصروفات حسب الشهر'!$C$1270:$AD$1381,23,FALSE),0)</f>
        <v>0</v>
      </c>
      <c r="N2519" s="31" t="e">
        <f>#REF!</f>
        <v>#REF!</v>
      </c>
      <c r="O2519" s="37" t="e">
        <f t="shared" ref="O2519:O2562" si="64">SUM(C2519:N2519)</f>
        <v>#REF!</v>
      </c>
    </row>
    <row r="2520" spans="2:15" ht="17.399999999999999">
      <c r="B2520" s="42" t="s">
        <v>92</v>
      </c>
      <c r="C2520" s="39" t="e">
        <f>#REF!</f>
        <v>#REF!</v>
      </c>
      <c r="D2520" s="31" t="e">
        <f>#REF!</f>
        <v>#REF!</v>
      </c>
      <c r="E2520" s="31" t="e">
        <f>#REF!</f>
        <v>#REF!</v>
      </c>
      <c r="F2520" s="31" t="e">
        <f>#REF!</f>
        <v>#REF!</v>
      </c>
      <c r="G2520" s="31" t="e">
        <f>#REF!</f>
        <v>#REF!</v>
      </c>
      <c r="H2520" s="31" t="e">
        <f>#REF!</f>
        <v>#REF!</v>
      </c>
      <c r="I2520" s="31">
        <f>'تقرير المصروفات حسب الشهر'!Y829</f>
        <v>0</v>
      </c>
      <c r="J2520" s="31">
        <f>'تقرير المصروفات حسب الشهر'!Y956</f>
        <v>0</v>
      </c>
      <c r="K2520" s="31">
        <f>'تقرير المصروفات حسب الشهر'!Y1083</f>
        <v>0</v>
      </c>
      <c r="L2520" s="292">
        <f>IFERROR(VLOOKUP(B2520,'تقرير المصروفات حسب الشهر'!$C$1143:$AD$1254,23,FALSE),0)</f>
        <v>0</v>
      </c>
      <c r="M2520" s="292">
        <f>IFERROR(VLOOKUP(B2520,'تقرير المصروفات حسب الشهر'!$C$1270:$AD$1381,23,FALSE),0)</f>
        <v>0</v>
      </c>
      <c r="N2520" s="31" t="e">
        <f>#REF!</f>
        <v>#REF!</v>
      </c>
      <c r="O2520" s="37" t="e">
        <f t="shared" si="64"/>
        <v>#REF!</v>
      </c>
    </row>
    <row r="2521" spans="2:15" ht="17.399999999999999">
      <c r="B2521" s="42" t="s">
        <v>93</v>
      </c>
      <c r="C2521" s="39" t="e">
        <f>#REF!</f>
        <v>#REF!</v>
      </c>
      <c r="D2521" s="31" t="e">
        <f>#REF!</f>
        <v>#REF!</v>
      </c>
      <c r="E2521" s="31" t="e">
        <f>#REF!</f>
        <v>#REF!</v>
      </c>
      <c r="F2521" s="31" t="e">
        <f>#REF!</f>
        <v>#REF!</v>
      </c>
      <c r="G2521" s="31" t="e">
        <f>#REF!</f>
        <v>#REF!</v>
      </c>
      <c r="H2521" s="31" t="e">
        <f>#REF!</f>
        <v>#REF!</v>
      </c>
      <c r="I2521" s="31">
        <f>'تقرير المصروفات حسب الشهر'!Y830</f>
        <v>0</v>
      </c>
      <c r="J2521" s="31">
        <f>'تقرير المصروفات حسب الشهر'!Y957</f>
        <v>0</v>
      </c>
      <c r="K2521" s="31">
        <f>'تقرير المصروفات حسب الشهر'!Y1084</f>
        <v>0</v>
      </c>
      <c r="L2521" s="292">
        <f>IFERROR(VLOOKUP(B2521,'تقرير المصروفات حسب الشهر'!$C$1143:$AD$1254,23,FALSE),0)</f>
        <v>0</v>
      </c>
      <c r="M2521" s="292">
        <f>IFERROR(VLOOKUP(B2521,'تقرير المصروفات حسب الشهر'!$C$1270:$AD$1381,23,FALSE),0)</f>
        <v>0</v>
      </c>
      <c r="N2521" s="31" t="e">
        <f>#REF!</f>
        <v>#REF!</v>
      </c>
      <c r="O2521" s="37" t="e">
        <f t="shared" si="64"/>
        <v>#REF!</v>
      </c>
    </row>
    <row r="2522" spans="2:15" ht="17.399999999999999">
      <c r="B2522" s="42" t="s">
        <v>94</v>
      </c>
      <c r="C2522" s="39" t="e">
        <f>#REF!</f>
        <v>#REF!</v>
      </c>
      <c r="D2522" s="31" t="e">
        <f>#REF!</f>
        <v>#REF!</v>
      </c>
      <c r="E2522" s="31" t="e">
        <f>#REF!</f>
        <v>#REF!</v>
      </c>
      <c r="F2522" s="31" t="e">
        <f>#REF!</f>
        <v>#REF!</v>
      </c>
      <c r="G2522" s="31" t="e">
        <f>#REF!</f>
        <v>#REF!</v>
      </c>
      <c r="H2522" s="31" t="e">
        <f>#REF!</f>
        <v>#REF!</v>
      </c>
      <c r="I2522" s="31">
        <f>'تقرير المصروفات حسب الشهر'!Y831</f>
        <v>0</v>
      </c>
      <c r="J2522" s="31">
        <f>'تقرير المصروفات حسب الشهر'!Y958</f>
        <v>0</v>
      </c>
      <c r="K2522" s="31">
        <f>'تقرير المصروفات حسب الشهر'!Y1085</f>
        <v>0</v>
      </c>
      <c r="L2522" s="292">
        <f>IFERROR(VLOOKUP(B2522,'تقرير المصروفات حسب الشهر'!$C$1143:$AD$1254,23,FALSE),0)</f>
        <v>0</v>
      </c>
      <c r="M2522" s="292">
        <f>IFERROR(VLOOKUP(B2522,'تقرير المصروفات حسب الشهر'!$C$1270:$AD$1381,23,FALSE),0)</f>
        <v>0</v>
      </c>
      <c r="N2522" s="31" t="e">
        <f>#REF!</f>
        <v>#REF!</v>
      </c>
      <c r="O2522" s="37" t="e">
        <f t="shared" si="64"/>
        <v>#REF!</v>
      </c>
    </row>
    <row r="2523" spans="2:15" ht="17.399999999999999">
      <c r="B2523" s="42" t="s">
        <v>95</v>
      </c>
      <c r="C2523" s="39" t="e">
        <f>#REF!</f>
        <v>#REF!</v>
      </c>
      <c r="D2523" s="31" t="e">
        <f>#REF!</f>
        <v>#REF!</v>
      </c>
      <c r="E2523" s="31" t="e">
        <f>#REF!</f>
        <v>#REF!</v>
      </c>
      <c r="F2523" s="31" t="e">
        <f>#REF!</f>
        <v>#REF!</v>
      </c>
      <c r="G2523" s="31" t="e">
        <f>#REF!</f>
        <v>#REF!</v>
      </c>
      <c r="H2523" s="31" t="e">
        <f>#REF!</f>
        <v>#REF!</v>
      </c>
      <c r="I2523" s="31">
        <f>'تقرير المصروفات حسب الشهر'!Y832</f>
        <v>0</v>
      </c>
      <c r="J2523" s="31">
        <f>'تقرير المصروفات حسب الشهر'!Y959</f>
        <v>0</v>
      </c>
      <c r="K2523" s="31">
        <f>'تقرير المصروفات حسب الشهر'!Y1086</f>
        <v>0</v>
      </c>
      <c r="L2523" s="292">
        <f>IFERROR(VLOOKUP(B2523,'تقرير المصروفات حسب الشهر'!$C$1143:$AD$1254,23,FALSE),0)</f>
        <v>0</v>
      </c>
      <c r="M2523" s="292">
        <f>IFERROR(VLOOKUP(B2523,'تقرير المصروفات حسب الشهر'!$C$1270:$AD$1381,23,FALSE),0)</f>
        <v>0</v>
      </c>
      <c r="N2523" s="31" t="e">
        <f>#REF!</f>
        <v>#REF!</v>
      </c>
      <c r="O2523" s="37" t="e">
        <f t="shared" si="64"/>
        <v>#REF!</v>
      </c>
    </row>
    <row r="2524" spans="2:15" ht="17.399999999999999">
      <c r="B2524" s="42" t="s">
        <v>96</v>
      </c>
      <c r="C2524" s="39" t="e">
        <f>#REF!</f>
        <v>#REF!</v>
      </c>
      <c r="D2524" s="31" t="e">
        <f>#REF!</f>
        <v>#REF!</v>
      </c>
      <c r="E2524" s="31" t="e">
        <f>#REF!</f>
        <v>#REF!</v>
      </c>
      <c r="F2524" s="31" t="e">
        <f>#REF!</f>
        <v>#REF!</v>
      </c>
      <c r="G2524" s="31" t="e">
        <f>#REF!</f>
        <v>#REF!</v>
      </c>
      <c r="H2524" s="31" t="e">
        <f>#REF!</f>
        <v>#REF!</v>
      </c>
      <c r="I2524" s="31">
        <f>'تقرير المصروفات حسب الشهر'!Y833</f>
        <v>668</v>
      </c>
      <c r="J2524" s="31">
        <f>'تقرير المصروفات حسب الشهر'!Y960</f>
        <v>0</v>
      </c>
      <c r="K2524" s="31">
        <f>'تقرير المصروفات حسب الشهر'!Y1087</f>
        <v>0</v>
      </c>
      <c r="L2524" s="292">
        <f>IFERROR(VLOOKUP(B2524,'تقرير المصروفات حسب الشهر'!$C$1143:$AD$1254,23,FALSE),0)</f>
        <v>0</v>
      </c>
      <c r="M2524" s="292">
        <f>IFERROR(VLOOKUP(B2524,'تقرير المصروفات حسب الشهر'!$C$1270:$AD$1381,23,FALSE),0)</f>
        <v>0</v>
      </c>
      <c r="N2524" s="31" t="e">
        <f>#REF!</f>
        <v>#REF!</v>
      </c>
      <c r="O2524" s="37" t="e">
        <f t="shared" si="64"/>
        <v>#REF!</v>
      </c>
    </row>
    <row r="2525" spans="2:15" ht="17.399999999999999">
      <c r="B2525" s="42" t="s">
        <v>97</v>
      </c>
      <c r="C2525" s="39" t="e">
        <f>#REF!</f>
        <v>#REF!</v>
      </c>
      <c r="D2525" s="31" t="e">
        <f>#REF!</f>
        <v>#REF!</v>
      </c>
      <c r="E2525" s="31" t="e">
        <f>#REF!</f>
        <v>#REF!</v>
      </c>
      <c r="F2525" s="31" t="e">
        <f>#REF!</f>
        <v>#REF!</v>
      </c>
      <c r="G2525" s="31" t="e">
        <f>#REF!</f>
        <v>#REF!</v>
      </c>
      <c r="H2525" s="31" t="e">
        <f>#REF!</f>
        <v>#REF!</v>
      </c>
      <c r="I2525" s="31">
        <f>'تقرير المصروفات حسب الشهر'!Y834</f>
        <v>380</v>
      </c>
      <c r="J2525" s="31">
        <f>'تقرير المصروفات حسب الشهر'!Y961</f>
        <v>275</v>
      </c>
      <c r="K2525" s="31">
        <f>'تقرير المصروفات حسب الشهر'!Y1088</f>
        <v>200</v>
      </c>
      <c r="L2525" s="292">
        <f>IFERROR(VLOOKUP(B2525,'تقرير المصروفات حسب الشهر'!$C$1143:$AD$1254,23,FALSE),0)</f>
        <v>816.62</v>
      </c>
      <c r="M2525" s="292">
        <f>IFERROR(VLOOKUP(B2525,'تقرير المصروفات حسب الشهر'!$C$1270:$AD$1381,23,FALSE),0)</f>
        <v>200</v>
      </c>
      <c r="N2525" s="31" t="e">
        <f>#REF!</f>
        <v>#REF!</v>
      </c>
      <c r="O2525" s="37" t="e">
        <f t="shared" si="64"/>
        <v>#REF!</v>
      </c>
    </row>
    <row r="2526" spans="2:15" ht="17.399999999999999">
      <c r="B2526" s="42" t="s">
        <v>192</v>
      </c>
      <c r="C2526" s="39" t="e">
        <f>#REF!</f>
        <v>#REF!</v>
      </c>
      <c r="D2526" s="31" t="e">
        <f>#REF!</f>
        <v>#REF!</v>
      </c>
      <c r="E2526" s="31" t="e">
        <f>#REF!</f>
        <v>#REF!</v>
      </c>
      <c r="F2526" s="31" t="e">
        <f>#REF!</f>
        <v>#REF!</v>
      </c>
      <c r="G2526" s="31" t="e">
        <f>#REF!</f>
        <v>#REF!</v>
      </c>
      <c r="H2526" s="31" t="e">
        <f>#REF!</f>
        <v>#REF!</v>
      </c>
      <c r="I2526" s="31">
        <f>'تقرير المصروفات حسب الشهر'!Y835</f>
        <v>0</v>
      </c>
      <c r="J2526" s="31">
        <f>'تقرير المصروفات حسب الشهر'!Y962</f>
        <v>0</v>
      </c>
      <c r="K2526" s="31">
        <f>'تقرير المصروفات حسب الشهر'!Y1089</f>
        <v>2130</v>
      </c>
      <c r="L2526" s="292">
        <f>IFERROR(VLOOKUP(B2526,'تقرير المصروفات حسب الشهر'!$C$1143:$AD$1254,23,FALSE),0)</f>
        <v>1065</v>
      </c>
      <c r="M2526" s="292">
        <f>IFERROR(VLOOKUP(B2526,'تقرير المصروفات حسب الشهر'!$C$1270:$AD$1381,23,FALSE),0)</f>
        <v>1065</v>
      </c>
      <c r="N2526" s="31" t="e">
        <f>#REF!</f>
        <v>#REF!</v>
      </c>
      <c r="O2526" s="37" t="e">
        <f t="shared" si="64"/>
        <v>#REF!</v>
      </c>
    </row>
    <row r="2527" spans="2:15" ht="17.399999999999999">
      <c r="B2527" s="42" t="s">
        <v>98</v>
      </c>
      <c r="C2527" s="39" t="e">
        <f>#REF!</f>
        <v>#REF!</v>
      </c>
      <c r="D2527" s="31" t="e">
        <f>#REF!</f>
        <v>#REF!</v>
      </c>
      <c r="E2527" s="31" t="e">
        <f>#REF!</f>
        <v>#REF!</v>
      </c>
      <c r="F2527" s="31" t="e">
        <f>#REF!</f>
        <v>#REF!</v>
      </c>
      <c r="G2527" s="31" t="e">
        <f>#REF!</f>
        <v>#REF!</v>
      </c>
      <c r="H2527" s="31" t="e">
        <f>#REF!</f>
        <v>#REF!</v>
      </c>
      <c r="I2527" s="31">
        <f>'تقرير المصروفات حسب الشهر'!Y836</f>
        <v>0</v>
      </c>
      <c r="J2527" s="31">
        <f>'تقرير المصروفات حسب الشهر'!Y963</f>
        <v>0</v>
      </c>
      <c r="K2527" s="31">
        <f>'تقرير المصروفات حسب الشهر'!Y1090</f>
        <v>0</v>
      </c>
      <c r="L2527" s="292">
        <f>IFERROR(VLOOKUP(B2527,'تقرير المصروفات حسب الشهر'!$C$1143:$AD$1254,23,FALSE),0)</f>
        <v>0</v>
      </c>
      <c r="M2527" s="292">
        <f>IFERROR(VLOOKUP(B2527,'تقرير المصروفات حسب الشهر'!$C$1270:$AD$1381,23,FALSE),0)</f>
        <v>0</v>
      </c>
      <c r="N2527" s="31" t="e">
        <f>#REF!</f>
        <v>#REF!</v>
      </c>
      <c r="O2527" s="37" t="e">
        <f t="shared" si="64"/>
        <v>#REF!</v>
      </c>
    </row>
    <row r="2528" spans="2:15" ht="17.399999999999999">
      <c r="B2528" s="42" t="s">
        <v>99</v>
      </c>
      <c r="C2528" s="39" t="e">
        <f>#REF!</f>
        <v>#REF!</v>
      </c>
      <c r="D2528" s="31" t="e">
        <f>#REF!</f>
        <v>#REF!</v>
      </c>
      <c r="E2528" s="31" t="e">
        <f>#REF!</f>
        <v>#REF!</v>
      </c>
      <c r="F2528" s="31" t="e">
        <f>#REF!</f>
        <v>#REF!</v>
      </c>
      <c r="G2528" s="31" t="e">
        <f>#REF!</f>
        <v>#REF!</v>
      </c>
      <c r="H2528" s="31" t="e">
        <f>#REF!</f>
        <v>#REF!</v>
      </c>
      <c r="I2528" s="31">
        <f>'تقرير المصروفات حسب الشهر'!Y837</f>
        <v>0</v>
      </c>
      <c r="J2528" s="31">
        <f>'تقرير المصروفات حسب الشهر'!Y964</f>
        <v>0</v>
      </c>
      <c r="K2528" s="31">
        <f>'تقرير المصروفات حسب الشهر'!Y1091</f>
        <v>0</v>
      </c>
      <c r="L2528" s="292">
        <f>IFERROR(VLOOKUP(B2528,'تقرير المصروفات حسب الشهر'!$C$1143:$AD$1254,23,FALSE),0)</f>
        <v>0</v>
      </c>
      <c r="M2528" s="292">
        <f>IFERROR(VLOOKUP(B2528,'تقرير المصروفات حسب الشهر'!$C$1270:$AD$1381,23,FALSE),0)</f>
        <v>0</v>
      </c>
      <c r="N2528" s="31" t="e">
        <f>#REF!</f>
        <v>#REF!</v>
      </c>
      <c r="O2528" s="37" t="e">
        <f t="shared" si="64"/>
        <v>#REF!</v>
      </c>
    </row>
    <row r="2529" spans="2:15" ht="17.399999999999999">
      <c r="B2529" s="42" t="s">
        <v>100</v>
      </c>
      <c r="C2529" s="39" t="e">
        <f>#REF!</f>
        <v>#REF!</v>
      </c>
      <c r="D2529" s="31" t="e">
        <f>#REF!</f>
        <v>#REF!</v>
      </c>
      <c r="E2529" s="31" t="e">
        <f>#REF!</f>
        <v>#REF!</v>
      </c>
      <c r="F2529" s="31" t="e">
        <f>#REF!</f>
        <v>#REF!</v>
      </c>
      <c r="G2529" s="31" t="e">
        <f>#REF!</f>
        <v>#REF!</v>
      </c>
      <c r="H2529" s="31" t="e">
        <f>#REF!</f>
        <v>#REF!</v>
      </c>
      <c r="I2529" s="31">
        <f>'تقرير المصروفات حسب الشهر'!Y838</f>
        <v>0</v>
      </c>
      <c r="J2529" s="31">
        <f>'تقرير المصروفات حسب الشهر'!Y965</f>
        <v>0</v>
      </c>
      <c r="K2529" s="31">
        <f>'تقرير المصروفات حسب الشهر'!Y1092</f>
        <v>0</v>
      </c>
      <c r="L2529" s="292">
        <f>IFERROR(VLOOKUP(B2529,'تقرير المصروفات حسب الشهر'!$C$1143:$AD$1254,23,FALSE),0)</f>
        <v>0</v>
      </c>
      <c r="M2529" s="292">
        <f>IFERROR(VLOOKUP(B2529,'تقرير المصروفات حسب الشهر'!$C$1270:$AD$1381,23,FALSE),0)</f>
        <v>0</v>
      </c>
      <c r="N2529" s="31" t="e">
        <f>#REF!</f>
        <v>#REF!</v>
      </c>
      <c r="O2529" s="37" t="e">
        <f t="shared" si="64"/>
        <v>#REF!</v>
      </c>
    </row>
    <row r="2530" spans="2:15" ht="17.399999999999999">
      <c r="B2530" s="42" t="s">
        <v>101</v>
      </c>
      <c r="C2530" s="39" t="e">
        <f>#REF!</f>
        <v>#REF!</v>
      </c>
      <c r="D2530" s="31" t="e">
        <f>#REF!</f>
        <v>#REF!</v>
      </c>
      <c r="E2530" s="31" t="e">
        <f>#REF!</f>
        <v>#REF!</v>
      </c>
      <c r="F2530" s="31" t="e">
        <f>#REF!</f>
        <v>#REF!</v>
      </c>
      <c r="G2530" s="31" t="e">
        <f>#REF!</f>
        <v>#REF!</v>
      </c>
      <c r="H2530" s="31" t="e">
        <f>#REF!</f>
        <v>#REF!</v>
      </c>
      <c r="I2530" s="31">
        <f>'تقرير المصروفات حسب الشهر'!Y839</f>
        <v>0</v>
      </c>
      <c r="J2530" s="31">
        <f>'تقرير المصروفات حسب الشهر'!Y966</f>
        <v>0</v>
      </c>
      <c r="K2530" s="31">
        <f>'تقرير المصروفات حسب الشهر'!Y1093</f>
        <v>0</v>
      </c>
      <c r="L2530" s="292">
        <f>IFERROR(VLOOKUP(B2530,'تقرير المصروفات حسب الشهر'!$C$1143:$AD$1254,23,FALSE),0)</f>
        <v>0</v>
      </c>
      <c r="M2530" s="292">
        <f>IFERROR(VLOOKUP(B2530,'تقرير المصروفات حسب الشهر'!$C$1270:$AD$1381,23,FALSE),0)</f>
        <v>0</v>
      </c>
      <c r="N2530" s="31" t="e">
        <f>#REF!</f>
        <v>#REF!</v>
      </c>
      <c r="O2530" s="37" t="e">
        <f t="shared" si="64"/>
        <v>#REF!</v>
      </c>
    </row>
    <row r="2531" spans="2:15" ht="17.399999999999999">
      <c r="B2531" s="42" t="s">
        <v>102</v>
      </c>
      <c r="C2531" s="39" t="e">
        <f>#REF!</f>
        <v>#REF!</v>
      </c>
      <c r="D2531" s="31" t="e">
        <f>#REF!</f>
        <v>#REF!</v>
      </c>
      <c r="E2531" s="31" t="e">
        <f>#REF!</f>
        <v>#REF!</v>
      </c>
      <c r="F2531" s="31" t="e">
        <f>#REF!</f>
        <v>#REF!</v>
      </c>
      <c r="G2531" s="31" t="e">
        <f>#REF!</f>
        <v>#REF!</v>
      </c>
      <c r="H2531" s="31" t="e">
        <f>#REF!</f>
        <v>#REF!</v>
      </c>
      <c r="I2531" s="31">
        <f>'تقرير المصروفات حسب الشهر'!Y840</f>
        <v>52.32</v>
      </c>
      <c r="J2531" s="31">
        <f>'تقرير المصروفات حسب الشهر'!Y967</f>
        <v>51.79</v>
      </c>
      <c r="K2531" s="31">
        <f>'تقرير المصروفات حسب الشهر'!Y1094</f>
        <v>51.79</v>
      </c>
      <c r="L2531" s="292">
        <f>IFERROR(VLOOKUP(B2531,'تقرير المصروفات حسب الشهر'!$C$1143:$AD$1254,23,FALSE),0)</f>
        <v>73.05</v>
      </c>
      <c r="M2531" s="292">
        <f>IFERROR(VLOOKUP(B2531,'تقرير المصروفات حسب الشهر'!$C$1270:$AD$1381,23,FALSE),0)</f>
        <v>134.19</v>
      </c>
      <c r="N2531" s="31" t="e">
        <f>#REF!</f>
        <v>#REF!</v>
      </c>
      <c r="O2531" s="37" t="e">
        <f t="shared" si="64"/>
        <v>#REF!</v>
      </c>
    </row>
    <row r="2532" spans="2:15" ht="17.399999999999999">
      <c r="B2532" s="42" t="s">
        <v>103</v>
      </c>
      <c r="C2532" s="39" t="e">
        <f>#REF!</f>
        <v>#REF!</v>
      </c>
      <c r="D2532" s="31" t="e">
        <f>#REF!</f>
        <v>#REF!</v>
      </c>
      <c r="E2532" s="31" t="e">
        <f>#REF!</f>
        <v>#REF!</v>
      </c>
      <c r="F2532" s="31" t="e">
        <f>#REF!</f>
        <v>#REF!</v>
      </c>
      <c r="G2532" s="31" t="e">
        <f>#REF!</f>
        <v>#REF!</v>
      </c>
      <c r="H2532" s="31" t="e">
        <f>#REF!</f>
        <v>#REF!</v>
      </c>
      <c r="I2532" s="31">
        <f>'تقرير المصروفات حسب الشهر'!Y841</f>
        <v>53.44</v>
      </c>
      <c r="J2532" s="31">
        <f>'تقرير المصروفات حسب الشهر'!Y968</f>
        <v>38.17</v>
      </c>
      <c r="K2532" s="31">
        <f>'تقرير المصروفات حسب الشهر'!Y1095</f>
        <v>0</v>
      </c>
      <c r="L2532" s="292">
        <f>IFERROR(VLOOKUP(B2532,'تقرير المصروفات حسب الشهر'!$C$1143:$AD$1254,23,FALSE),0)</f>
        <v>0</v>
      </c>
      <c r="M2532" s="292">
        <f>IFERROR(VLOOKUP(B2532,'تقرير المصروفات حسب الشهر'!$C$1270:$AD$1381,23,FALSE),0)</f>
        <v>0</v>
      </c>
      <c r="N2532" s="31" t="e">
        <f>#REF!</f>
        <v>#REF!</v>
      </c>
      <c r="O2532" s="37" t="e">
        <f t="shared" si="64"/>
        <v>#REF!</v>
      </c>
    </row>
    <row r="2533" spans="2:15" ht="17.399999999999999">
      <c r="B2533" s="42" t="s">
        <v>104</v>
      </c>
      <c r="C2533" s="39" t="e">
        <f>#REF!</f>
        <v>#REF!</v>
      </c>
      <c r="D2533" s="31" t="e">
        <f>#REF!</f>
        <v>#REF!</v>
      </c>
      <c r="E2533" s="31" t="e">
        <f>#REF!</f>
        <v>#REF!</v>
      </c>
      <c r="F2533" s="31" t="e">
        <f>#REF!</f>
        <v>#REF!</v>
      </c>
      <c r="G2533" s="31" t="e">
        <f>#REF!</f>
        <v>#REF!</v>
      </c>
      <c r="H2533" s="31" t="e">
        <f>#REF!</f>
        <v>#REF!</v>
      </c>
      <c r="I2533" s="31">
        <f>'تقرير المصروفات حسب الشهر'!Y842</f>
        <v>52.92</v>
      </c>
      <c r="J2533" s="31">
        <f>'تقرير المصروفات حسب الشهر'!Y969</f>
        <v>52.92</v>
      </c>
      <c r="K2533" s="31">
        <f>'تقرير المصروفات حسب الشهر'!Y1096</f>
        <v>52.92</v>
      </c>
      <c r="L2533" s="292">
        <f>IFERROR(VLOOKUP(B2533,'تقرير المصروفات حسب الشهر'!$C$1143:$AD$1254,23,FALSE),0)</f>
        <v>52.92</v>
      </c>
      <c r="M2533" s="292">
        <f>IFERROR(VLOOKUP(B2533,'تقرير المصروفات حسب الشهر'!$C$1270:$AD$1381,23,FALSE),0)</f>
        <v>52.88</v>
      </c>
      <c r="N2533" s="31" t="e">
        <f>#REF!</f>
        <v>#REF!</v>
      </c>
      <c r="O2533" s="37" t="e">
        <f t="shared" si="64"/>
        <v>#REF!</v>
      </c>
    </row>
    <row r="2534" spans="2:15" ht="17.399999999999999">
      <c r="B2534" s="42" t="s">
        <v>105</v>
      </c>
      <c r="C2534" s="39" t="e">
        <f>#REF!</f>
        <v>#REF!</v>
      </c>
      <c r="D2534" s="31" t="e">
        <f>#REF!</f>
        <v>#REF!</v>
      </c>
      <c r="E2534" s="31" t="e">
        <f>#REF!</f>
        <v>#REF!</v>
      </c>
      <c r="F2534" s="31" t="e">
        <f>#REF!</f>
        <v>#REF!</v>
      </c>
      <c r="G2534" s="31" t="e">
        <f>#REF!</f>
        <v>#REF!</v>
      </c>
      <c r="H2534" s="31" t="e">
        <f>#REF!</f>
        <v>#REF!</v>
      </c>
      <c r="I2534" s="31">
        <f>'تقرير المصروفات حسب الشهر'!Y843</f>
        <v>918.67</v>
      </c>
      <c r="J2534" s="31">
        <f>'تقرير المصروفات حسب الشهر'!Y970</f>
        <v>918.67</v>
      </c>
      <c r="K2534" s="31">
        <f>'تقرير المصروفات حسب الشهر'!Y1097</f>
        <v>918.67</v>
      </c>
      <c r="L2534" s="292">
        <f>IFERROR(VLOOKUP(B2534,'تقرير المصروفات حسب الشهر'!$C$1143:$AD$1254,23,FALSE),0)</f>
        <v>918.67</v>
      </c>
      <c r="M2534" s="292">
        <f>IFERROR(VLOOKUP(B2534,'تقرير المصروفات حسب الشهر'!$C$1270:$AD$1381,23,FALSE),0)</f>
        <v>918.63</v>
      </c>
      <c r="N2534" s="31" t="e">
        <f>#REF!</f>
        <v>#REF!</v>
      </c>
      <c r="O2534" s="37" t="e">
        <f t="shared" si="64"/>
        <v>#REF!</v>
      </c>
    </row>
    <row r="2535" spans="2:15" ht="17.399999999999999">
      <c r="B2535" s="42" t="s">
        <v>106</v>
      </c>
      <c r="C2535" s="39" t="e">
        <f>#REF!</f>
        <v>#REF!</v>
      </c>
      <c r="D2535" s="31" t="e">
        <f>#REF!</f>
        <v>#REF!</v>
      </c>
      <c r="E2535" s="31" t="e">
        <f>#REF!</f>
        <v>#REF!</v>
      </c>
      <c r="F2535" s="31" t="e">
        <f>#REF!</f>
        <v>#REF!</v>
      </c>
      <c r="G2535" s="31" t="e">
        <f>#REF!</f>
        <v>#REF!</v>
      </c>
      <c r="H2535" s="31" t="e">
        <f>#REF!</f>
        <v>#REF!</v>
      </c>
      <c r="I2535" s="31">
        <f>'تقرير المصروفات حسب الشهر'!Y844</f>
        <v>0</v>
      </c>
      <c r="J2535" s="31">
        <f>'تقرير المصروفات حسب الشهر'!Y971</f>
        <v>0</v>
      </c>
      <c r="K2535" s="31">
        <f>'تقرير المصروفات حسب الشهر'!Y1098</f>
        <v>0</v>
      </c>
      <c r="L2535" s="292">
        <f>IFERROR(VLOOKUP(B2535,'تقرير المصروفات حسب الشهر'!$C$1143:$AD$1254,23,FALSE),0)</f>
        <v>0</v>
      </c>
      <c r="M2535" s="292">
        <f>IFERROR(VLOOKUP(B2535,'تقرير المصروفات حسب الشهر'!$C$1270:$AD$1381,23,FALSE),0)</f>
        <v>0</v>
      </c>
      <c r="N2535" s="31" t="e">
        <f>#REF!</f>
        <v>#REF!</v>
      </c>
      <c r="O2535" s="37" t="e">
        <f t="shared" si="64"/>
        <v>#REF!</v>
      </c>
    </row>
    <row r="2536" spans="2:15" ht="17.399999999999999">
      <c r="B2536" s="42" t="s">
        <v>107</v>
      </c>
      <c r="C2536" s="39" t="e">
        <f>#REF!</f>
        <v>#REF!</v>
      </c>
      <c r="D2536" s="31" t="e">
        <f>#REF!</f>
        <v>#REF!</v>
      </c>
      <c r="E2536" s="31" t="e">
        <f>#REF!</f>
        <v>#REF!</v>
      </c>
      <c r="F2536" s="31" t="e">
        <f>#REF!</f>
        <v>#REF!</v>
      </c>
      <c r="G2536" s="31" t="e">
        <f>#REF!</f>
        <v>#REF!</v>
      </c>
      <c r="H2536" s="31" t="e">
        <f>#REF!</f>
        <v>#REF!</v>
      </c>
      <c r="I2536" s="31">
        <f>'تقرير المصروفات حسب الشهر'!Y845</f>
        <v>0</v>
      </c>
      <c r="J2536" s="31">
        <f>'تقرير المصروفات حسب الشهر'!Y972</f>
        <v>0</v>
      </c>
      <c r="K2536" s="31">
        <f>'تقرير المصروفات حسب الشهر'!Y1099</f>
        <v>0</v>
      </c>
      <c r="L2536" s="292">
        <f>IFERROR(VLOOKUP(B2536,'تقرير المصروفات حسب الشهر'!$C$1143:$AD$1254,23,FALSE),0)</f>
        <v>0</v>
      </c>
      <c r="M2536" s="292">
        <f>IFERROR(VLOOKUP(B2536,'تقرير المصروفات حسب الشهر'!$C$1270:$AD$1381,23,FALSE),0)</f>
        <v>0</v>
      </c>
      <c r="N2536" s="31" t="e">
        <f>#REF!</f>
        <v>#REF!</v>
      </c>
      <c r="O2536" s="37" t="e">
        <f t="shared" si="64"/>
        <v>#REF!</v>
      </c>
    </row>
    <row r="2537" spans="2:15" ht="17.399999999999999">
      <c r="B2537" s="42" t="s">
        <v>108</v>
      </c>
      <c r="C2537" s="39" t="e">
        <f>#REF!</f>
        <v>#REF!</v>
      </c>
      <c r="D2537" s="31" t="e">
        <f>#REF!</f>
        <v>#REF!</v>
      </c>
      <c r="E2537" s="31" t="e">
        <f>#REF!</f>
        <v>#REF!</v>
      </c>
      <c r="F2537" s="31" t="e">
        <f>#REF!</f>
        <v>#REF!</v>
      </c>
      <c r="G2537" s="31" t="e">
        <f>#REF!</f>
        <v>#REF!</v>
      </c>
      <c r="H2537" s="31" t="e">
        <f>#REF!</f>
        <v>#REF!</v>
      </c>
      <c r="I2537" s="31">
        <f>'تقرير المصروفات حسب الشهر'!Y846</f>
        <v>0</v>
      </c>
      <c r="J2537" s="31">
        <f>'تقرير المصروفات حسب الشهر'!Y973</f>
        <v>0</v>
      </c>
      <c r="K2537" s="31">
        <f>'تقرير المصروفات حسب الشهر'!Y1100</f>
        <v>0</v>
      </c>
      <c r="L2537" s="292">
        <f>IFERROR(VLOOKUP(B2537,'تقرير المصروفات حسب الشهر'!$C$1143:$AD$1254,23,FALSE),0)</f>
        <v>0</v>
      </c>
      <c r="M2537" s="292">
        <f>IFERROR(VLOOKUP(B2537,'تقرير المصروفات حسب الشهر'!$C$1270:$AD$1381,23,FALSE),0)</f>
        <v>0</v>
      </c>
      <c r="N2537" s="31" t="e">
        <f>#REF!</f>
        <v>#REF!</v>
      </c>
      <c r="O2537" s="37" t="e">
        <f t="shared" si="64"/>
        <v>#REF!</v>
      </c>
    </row>
    <row r="2538" spans="2:15" ht="17.399999999999999">
      <c r="B2538" s="42" t="s">
        <v>109</v>
      </c>
      <c r="C2538" s="39" t="e">
        <f>#REF!</f>
        <v>#REF!</v>
      </c>
      <c r="D2538" s="31" t="e">
        <f>#REF!</f>
        <v>#REF!</v>
      </c>
      <c r="E2538" s="31" t="e">
        <f>#REF!</f>
        <v>#REF!</v>
      </c>
      <c r="F2538" s="31" t="e">
        <f>#REF!</f>
        <v>#REF!</v>
      </c>
      <c r="G2538" s="31" t="e">
        <f>#REF!</f>
        <v>#REF!</v>
      </c>
      <c r="H2538" s="31" t="e">
        <f>#REF!</f>
        <v>#REF!</v>
      </c>
      <c r="I2538" s="31">
        <f>'تقرير المصروفات حسب الشهر'!Y847</f>
        <v>0</v>
      </c>
      <c r="J2538" s="31">
        <f>'تقرير المصروفات حسب الشهر'!Y974</f>
        <v>0</v>
      </c>
      <c r="K2538" s="31">
        <f>'تقرير المصروفات حسب الشهر'!Y1101</f>
        <v>0</v>
      </c>
      <c r="L2538" s="292">
        <f>IFERROR(VLOOKUP(B2538,'تقرير المصروفات حسب الشهر'!$C$1143:$AD$1254,23,FALSE),0)</f>
        <v>0</v>
      </c>
      <c r="M2538" s="292">
        <f>IFERROR(VLOOKUP(B2538,'تقرير المصروفات حسب الشهر'!$C$1270:$AD$1381,23,FALSE),0)</f>
        <v>0</v>
      </c>
      <c r="N2538" s="31" t="e">
        <f>#REF!</f>
        <v>#REF!</v>
      </c>
      <c r="O2538" s="37" t="e">
        <f t="shared" si="64"/>
        <v>#REF!</v>
      </c>
    </row>
    <row r="2539" spans="2:15" ht="17.399999999999999">
      <c r="B2539" s="42" t="s">
        <v>110</v>
      </c>
      <c r="C2539" s="39" t="e">
        <f>#REF!</f>
        <v>#REF!</v>
      </c>
      <c r="D2539" s="31" t="e">
        <f>#REF!</f>
        <v>#REF!</v>
      </c>
      <c r="E2539" s="31" t="e">
        <f>#REF!</f>
        <v>#REF!</v>
      </c>
      <c r="F2539" s="31" t="e">
        <f>#REF!</f>
        <v>#REF!</v>
      </c>
      <c r="G2539" s="31" t="e">
        <f>#REF!</f>
        <v>#REF!</v>
      </c>
      <c r="H2539" s="31" t="e">
        <f>#REF!</f>
        <v>#REF!</v>
      </c>
      <c r="I2539" s="31">
        <f>'تقرير المصروفات حسب الشهر'!Y848</f>
        <v>0</v>
      </c>
      <c r="J2539" s="31">
        <f>'تقرير المصروفات حسب الشهر'!Y975</f>
        <v>0</v>
      </c>
      <c r="K2539" s="31">
        <f>'تقرير المصروفات حسب الشهر'!Y1102</f>
        <v>0</v>
      </c>
      <c r="L2539" s="292">
        <f>IFERROR(VLOOKUP(B2539,'تقرير المصروفات حسب الشهر'!$C$1143:$AD$1254,23,FALSE),0)</f>
        <v>0</v>
      </c>
      <c r="M2539" s="292">
        <f>IFERROR(VLOOKUP(B2539,'تقرير المصروفات حسب الشهر'!$C$1270:$AD$1381,23,FALSE),0)</f>
        <v>0</v>
      </c>
      <c r="N2539" s="31" t="e">
        <f>#REF!</f>
        <v>#REF!</v>
      </c>
      <c r="O2539" s="37" t="e">
        <f t="shared" si="64"/>
        <v>#REF!</v>
      </c>
    </row>
    <row r="2540" spans="2:15" ht="17.399999999999999">
      <c r="B2540" s="42" t="s">
        <v>112</v>
      </c>
      <c r="C2540" s="39" t="e">
        <f>#REF!</f>
        <v>#REF!</v>
      </c>
      <c r="D2540" s="31" t="e">
        <f>#REF!</f>
        <v>#REF!</v>
      </c>
      <c r="E2540" s="31" t="e">
        <f>#REF!</f>
        <v>#REF!</v>
      </c>
      <c r="F2540" s="31" t="e">
        <f>#REF!</f>
        <v>#REF!</v>
      </c>
      <c r="G2540" s="31" t="e">
        <f>#REF!</f>
        <v>#REF!</v>
      </c>
      <c r="H2540" s="31" t="e">
        <f>#REF!</f>
        <v>#REF!</v>
      </c>
      <c r="I2540" s="31">
        <f>'تقرير المصروفات حسب الشهر'!Y849</f>
        <v>0</v>
      </c>
      <c r="J2540" s="31">
        <f>'تقرير المصروفات حسب الشهر'!Y976</f>
        <v>0</v>
      </c>
      <c r="K2540" s="31">
        <f>'تقرير المصروفات حسب الشهر'!Y1103</f>
        <v>0</v>
      </c>
      <c r="L2540" s="292">
        <f>IFERROR(VLOOKUP(B2540,'تقرير المصروفات حسب الشهر'!$C$1143:$AD$1254,23,FALSE),0)</f>
        <v>0</v>
      </c>
      <c r="M2540" s="292">
        <f>IFERROR(VLOOKUP(B2540,'تقرير المصروفات حسب الشهر'!$C$1270:$AD$1381,23,FALSE),0)</f>
        <v>0</v>
      </c>
      <c r="N2540" s="31" t="e">
        <f>#REF!</f>
        <v>#REF!</v>
      </c>
      <c r="O2540" s="37" t="e">
        <f t="shared" si="64"/>
        <v>#REF!</v>
      </c>
    </row>
    <row r="2541" spans="2:15" ht="17.399999999999999">
      <c r="B2541" s="42" t="s">
        <v>113</v>
      </c>
      <c r="C2541" s="39" t="e">
        <f>#REF!</f>
        <v>#REF!</v>
      </c>
      <c r="D2541" s="31" t="e">
        <f>#REF!</f>
        <v>#REF!</v>
      </c>
      <c r="E2541" s="31" t="e">
        <f>#REF!</f>
        <v>#REF!</v>
      </c>
      <c r="F2541" s="31" t="e">
        <f>#REF!</f>
        <v>#REF!</v>
      </c>
      <c r="G2541" s="31" t="e">
        <f>#REF!</f>
        <v>#REF!</v>
      </c>
      <c r="H2541" s="31" t="e">
        <f>#REF!</f>
        <v>#REF!</v>
      </c>
      <c r="I2541" s="31">
        <f>'تقرير المصروفات حسب الشهر'!Y850</f>
        <v>0</v>
      </c>
      <c r="J2541" s="31">
        <f>'تقرير المصروفات حسب الشهر'!Y977</f>
        <v>0</v>
      </c>
      <c r="K2541" s="31">
        <f>'تقرير المصروفات حسب الشهر'!Y1104</f>
        <v>0</v>
      </c>
      <c r="L2541" s="292">
        <f>IFERROR(VLOOKUP(B2541,'تقرير المصروفات حسب الشهر'!$C$1143:$AD$1254,23,FALSE),0)</f>
        <v>0</v>
      </c>
      <c r="M2541" s="292">
        <f>IFERROR(VLOOKUP(B2541,'تقرير المصروفات حسب الشهر'!$C$1270:$AD$1381,23,FALSE),0)</f>
        <v>0</v>
      </c>
      <c r="N2541" s="31" t="e">
        <f>#REF!</f>
        <v>#REF!</v>
      </c>
      <c r="O2541" s="37" t="e">
        <f t="shared" si="64"/>
        <v>#REF!</v>
      </c>
    </row>
    <row r="2542" spans="2:15" ht="17.399999999999999">
      <c r="B2542" s="42" t="s">
        <v>137</v>
      </c>
      <c r="C2542" s="39" t="e">
        <f>#REF!</f>
        <v>#REF!</v>
      </c>
      <c r="D2542" s="31" t="e">
        <f>#REF!</f>
        <v>#REF!</v>
      </c>
      <c r="E2542" s="31" t="e">
        <f>#REF!</f>
        <v>#REF!</v>
      </c>
      <c r="F2542" s="31" t="e">
        <f>#REF!</f>
        <v>#REF!</v>
      </c>
      <c r="G2542" s="31" t="e">
        <f>#REF!</f>
        <v>#REF!</v>
      </c>
      <c r="H2542" s="31" t="e">
        <f>#REF!</f>
        <v>#REF!</v>
      </c>
      <c r="I2542" s="31">
        <f>'تقرير المصروفات حسب الشهر'!Y851</f>
        <v>0</v>
      </c>
      <c r="J2542" s="31">
        <f>'تقرير المصروفات حسب الشهر'!Y978</f>
        <v>0</v>
      </c>
      <c r="K2542" s="31">
        <f>'تقرير المصروفات حسب الشهر'!Y1105</f>
        <v>0</v>
      </c>
      <c r="L2542" s="292">
        <f>IFERROR(VLOOKUP(B2542,'تقرير المصروفات حسب الشهر'!$C$1143:$AD$1254,23,FALSE),0)</f>
        <v>0</v>
      </c>
      <c r="M2542" s="292">
        <f>IFERROR(VLOOKUP(B2542,'تقرير المصروفات حسب الشهر'!$C$1270:$AD$1381,23,FALSE),0)</f>
        <v>0</v>
      </c>
      <c r="N2542" s="31" t="e">
        <f>#REF!</f>
        <v>#REF!</v>
      </c>
      <c r="O2542" s="37" t="e">
        <f t="shared" si="64"/>
        <v>#REF!</v>
      </c>
    </row>
    <row r="2543" spans="2:15" ht="17.399999999999999">
      <c r="B2543" s="42" t="s">
        <v>140</v>
      </c>
      <c r="C2543" s="39" t="e">
        <f>#REF!</f>
        <v>#REF!</v>
      </c>
      <c r="D2543" s="31" t="e">
        <f>#REF!</f>
        <v>#REF!</v>
      </c>
      <c r="E2543" s="31" t="e">
        <f>#REF!</f>
        <v>#REF!</v>
      </c>
      <c r="F2543" s="31" t="e">
        <f>#REF!</f>
        <v>#REF!</v>
      </c>
      <c r="G2543" s="31" t="e">
        <f>#REF!</f>
        <v>#REF!</v>
      </c>
      <c r="H2543" s="31" t="e">
        <f>#REF!</f>
        <v>#REF!</v>
      </c>
      <c r="I2543" s="31">
        <f>'تقرير المصروفات حسب الشهر'!Y852</f>
        <v>0</v>
      </c>
      <c r="J2543" s="31">
        <f>'تقرير المصروفات حسب الشهر'!Y979</f>
        <v>0</v>
      </c>
      <c r="K2543" s="31">
        <f>'تقرير المصروفات حسب الشهر'!Y1106</f>
        <v>0</v>
      </c>
      <c r="L2543" s="292">
        <f>IFERROR(VLOOKUP(B2543,'تقرير المصروفات حسب الشهر'!$C$1143:$AD$1254,23,FALSE),0)</f>
        <v>0</v>
      </c>
      <c r="M2543" s="292">
        <f>IFERROR(VLOOKUP(B2543,'تقرير المصروفات حسب الشهر'!$C$1270:$AD$1381,23,FALSE),0)</f>
        <v>0</v>
      </c>
      <c r="N2543" s="31" t="e">
        <f>#REF!</f>
        <v>#REF!</v>
      </c>
      <c r="O2543" s="37" t="e">
        <f t="shared" si="64"/>
        <v>#REF!</v>
      </c>
    </row>
    <row r="2544" spans="2:15" ht="17.399999999999999">
      <c r="B2544" s="42" t="s">
        <v>141</v>
      </c>
      <c r="C2544" s="39" t="e">
        <f>#REF!</f>
        <v>#REF!</v>
      </c>
      <c r="D2544" s="31" t="e">
        <f>#REF!</f>
        <v>#REF!</v>
      </c>
      <c r="E2544" s="31" t="e">
        <f>#REF!</f>
        <v>#REF!</v>
      </c>
      <c r="F2544" s="31" t="e">
        <f>#REF!</f>
        <v>#REF!</v>
      </c>
      <c r="G2544" s="31" t="e">
        <f>#REF!</f>
        <v>#REF!</v>
      </c>
      <c r="H2544" s="31" t="e">
        <f>#REF!</f>
        <v>#REF!</v>
      </c>
      <c r="I2544" s="31">
        <f>'تقرير المصروفات حسب الشهر'!Y853</f>
        <v>0</v>
      </c>
      <c r="J2544" s="31">
        <f>'تقرير المصروفات حسب الشهر'!Y980</f>
        <v>0</v>
      </c>
      <c r="K2544" s="31">
        <f>'تقرير المصروفات حسب الشهر'!Y1107</f>
        <v>0</v>
      </c>
      <c r="L2544" s="292">
        <f>IFERROR(VLOOKUP(B2544,'تقرير المصروفات حسب الشهر'!$C$1143:$AD$1254,23,FALSE),0)</f>
        <v>0</v>
      </c>
      <c r="M2544" s="292">
        <f>IFERROR(VLOOKUP(B2544,'تقرير المصروفات حسب الشهر'!$C$1270:$AD$1381,23,FALSE),0)</f>
        <v>0</v>
      </c>
      <c r="N2544" s="31" t="e">
        <f>#REF!</f>
        <v>#REF!</v>
      </c>
      <c r="O2544" s="37" t="e">
        <f t="shared" si="64"/>
        <v>#REF!</v>
      </c>
    </row>
    <row r="2545" spans="2:15" ht="17.399999999999999">
      <c r="B2545" s="42" t="s">
        <v>193</v>
      </c>
      <c r="C2545" s="39" t="e">
        <f>#REF!</f>
        <v>#REF!</v>
      </c>
      <c r="D2545" s="31" t="e">
        <f>#REF!</f>
        <v>#REF!</v>
      </c>
      <c r="E2545" s="31" t="e">
        <f>#REF!</f>
        <v>#REF!</v>
      </c>
      <c r="F2545" s="31" t="e">
        <f>#REF!</f>
        <v>#REF!</v>
      </c>
      <c r="G2545" s="31" t="e">
        <f>#REF!</f>
        <v>#REF!</v>
      </c>
      <c r="H2545" s="31" t="e">
        <f>#REF!</f>
        <v>#REF!</v>
      </c>
      <c r="I2545" s="31">
        <f>'تقرير المصروفات حسب الشهر'!Y854</f>
        <v>0</v>
      </c>
      <c r="J2545" s="31">
        <f>'تقرير المصروفات حسب الشهر'!Y981</f>
        <v>0</v>
      </c>
      <c r="K2545" s="31">
        <f>'تقرير المصروفات حسب الشهر'!Y1108</f>
        <v>0</v>
      </c>
      <c r="L2545" s="292">
        <f>IFERROR(VLOOKUP(B2545,'تقرير المصروفات حسب الشهر'!$C$1143:$AD$1254,23,FALSE),0)</f>
        <v>0</v>
      </c>
      <c r="M2545" s="292">
        <f>IFERROR(VLOOKUP(B2545,'تقرير المصروفات حسب الشهر'!$C$1270:$AD$1381,23,FALSE),0)</f>
        <v>0</v>
      </c>
      <c r="N2545" s="31" t="e">
        <f>#REF!</f>
        <v>#REF!</v>
      </c>
      <c r="O2545" s="37" t="e">
        <f t="shared" si="64"/>
        <v>#REF!</v>
      </c>
    </row>
    <row r="2546" spans="2:15" ht="17.399999999999999">
      <c r="B2546" s="42" t="s">
        <v>148</v>
      </c>
      <c r="C2546" s="39" t="e">
        <f>#REF!</f>
        <v>#REF!</v>
      </c>
      <c r="D2546" s="31" t="e">
        <f>#REF!</f>
        <v>#REF!</v>
      </c>
      <c r="E2546" s="31" t="e">
        <f>#REF!</f>
        <v>#REF!</v>
      </c>
      <c r="F2546" s="31" t="e">
        <f>#REF!</f>
        <v>#REF!</v>
      </c>
      <c r="G2546" s="31" t="e">
        <f>#REF!</f>
        <v>#REF!</v>
      </c>
      <c r="H2546" s="31" t="e">
        <f>#REF!</f>
        <v>#REF!</v>
      </c>
      <c r="I2546" s="31">
        <f>'تقرير المصروفات حسب الشهر'!Y855</f>
        <v>0</v>
      </c>
      <c r="J2546" s="31">
        <f>'تقرير المصروفات حسب الشهر'!Y982</f>
        <v>0</v>
      </c>
      <c r="K2546" s="31">
        <f>'تقرير المصروفات حسب الشهر'!Y1109</f>
        <v>0</v>
      </c>
      <c r="L2546" s="292">
        <f>IFERROR(VLOOKUP(B2546,'تقرير المصروفات حسب الشهر'!$C$1143:$AD$1254,23,FALSE),0)</f>
        <v>0</v>
      </c>
      <c r="M2546" s="292">
        <f>IFERROR(VLOOKUP(B2546,'تقرير المصروفات حسب الشهر'!$C$1270:$AD$1381,23,FALSE),0)</f>
        <v>0</v>
      </c>
      <c r="N2546" s="31" t="e">
        <f>#REF!</f>
        <v>#REF!</v>
      </c>
      <c r="O2546" s="37" t="e">
        <f t="shared" si="64"/>
        <v>#REF!</v>
      </c>
    </row>
    <row r="2547" spans="2:15" ht="17.399999999999999">
      <c r="B2547" s="42" t="s">
        <v>186</v>
      </c>
      <c r="C2547" s="39" t="e">
        <f>#REF!</f>
        <v>#REF!</v>
      </c>
      <c r="D2547" s="31" t="e">
        <f>#REF!</f>
        <v>#REF!</v>
      </c>
      <c r="E2547" s="31" t="e">
        <f>#REF!</f>
        <v>#REF!</v>
      </c>
      <c r="F2547" s="31" t="e">
        <f>#REF!</f>
        <v>#REF!</v>
      </c>
      <c r="G2547" s="31" t="e">
        <f>#REF!</f>
        <v>#REF!</v>
      </c>
      <c r="H2547" s="31" t="e">
        <f>#REF!</f>
        <v>#REF!</v>
      </c>
      <c r="I2547" s="31">
        <f>'تقرير المصروفات حسب الشهر'!Y856</f>
        <v>0</v>
      </c>
      <c r="J2547" s="31">
        <f>'تقرير المصروفات حسب الشهر'!Y983</f>
        <v>0</v>
      </c>
      <c r="K2547" s="31">
        <f>'تقرير المصروفات حسب الشهر'!Y1110</f>
        <v>0</v>
      </c>
      <c r="L2547" s="292">
        <f>IFERROR(VLOOKUP(B2547,'تقرير المصروفات حسب الشهر'!$C$1143:$AD$1254,23,FALSE),0)</f>
        <v>0</v>
      </c>
      <c r="M2547" s="292">
        <f>IFERROR(VLOOKUP(B2547,'تقرير المصروفات حسب الشهر'!$C$1270:$AD$1381,23,FALSE),0)</f>
        <v>0</v>
      </c>
      <c r="N2547" s="31" t="e">
        <f>#REF!</f>
        <v>#REF!</v>
      </c>
      <c r="O2547" s="37" t="e">
        <f t="shared" si="64"/>
        <v>#REF!</v>
      </c>
    </row>
    <row r="2548" spans="2:15" ht="17.399999999999999">
      <c r="B2548" s="42" t="s">
        <v>171</v>
      </c>
      <c r="C2548" s="39" t="e">
        <f>#REF!</f>
        <v>#REF!</v>
      </c>
      <c r="D2548" s="31" t="e">
        <f>#REF!</f>
        <v>#REF!</v>
      </c>
      <c r="E2548" s="31" t="e">
        <f>#REF!</f>
        <v>#REF!</v>
      </c>
      <c r="F2548" s="31" t="e">
        <f>#REF!</f>
        <v>#REF!</v>
      </c>
      <c r="G2548" s="31" t="e">
        <f>#REF!</f>
        <v>#REF!</v>
      </c>
      <c r="H2548" s="31" t="e">
        <f>#REF!</f>
        <v>#REF!</v>
      </c>
      <c r="I2548" s="31">
        <f>'تقرير المصروفات حسب الشهر'!Y857</f>
        <v>0</v>
      </c>
      <c r="J2548" s="31">
        <f>'تقرير المصروفات حسب الشهر'!Y984</f>
        <v>0</v>
      </c>
      <c r="K2548" s="31">
        <f>'تقرير المصروفات حسب الشهر'!Y1111</f>
        <v>0</v>
      </c>
      <c r="L2548" s="292">
        <f>IFERROR(VLOOKUP(B2548,'تقرير المصروفات حسب الشهر'!$C$1143:$AD$1254,23,FALSE),0)</f>
        <v>0</v>
      </c>
      <c r="M2548" s="292">
        <f>IFERROR(VLOOKUP(B2548,'تقرير المصروفات حسب الشهر'!$C$1270:$AD$1381,23,FALSE),0)</f>
        <v>0</v>
      </c>
      <c r="N2548" s="31" t="e">
        <f>#REF!</f>
        <v>#REF!</v>
      </c>
      <c r="O2548" s="37" t="e">
        <f t="shared" si="64"/>
        <v>#REF!</v>
      </c>
    </row>
    <row r="2549" spans="2:15" ht="17.399999999999999">
      <c r="B2549" s="42" t="s">
        <v>180</v>
      </c>
      <c r="C2549" s="39" t="e">
        <f>#REF!</f>
        <v>#REF!</v>
      </c>
      <c r="D2549" s="31" t="e">
        <f>#REF!</f>
        <v>#REF!</v>
      </c>
      <c r="E2549" s="31" t="e">
        <f>#REF!</f>
        <v>#REF!</v>
      </c>
      <c r="F2549" s="31" t="e">
        <f>#REF!</f>
        <v>#REF!</v>
      </c>
      <c r="G2549" s="31" t="e">
        <f>#REF!</f>
        <v>#REF!</v>
      </c>
      <c r="H2549" s="31" t="e">
        <f>#REF!</f>
        <v>#REF!</v>
      </c>
      <c r="I2549" s="31">
        <f>'تقرير المصروفات حسب الشهر'!Y858</f>
        <v>0</v>
      </c>
      <c r="J2549" s="31">
        <f>'تقرير المصروفات حسب الشهر'!Y985</f>
        <v>0</v>
      </c>
      <c r="K2549" s="31">
        <f>'تقرير المصروفات حسب الشهر'!Y1112</f>
        <v>0</v>
      </c>
      <c r="L2549" s="292">
        <f>IFERROR(VLOOKUP(B2549,'تقرير المصروفات حسب الشهر'!$C$1143:$AD$1254,23,FALSE),0)</f>
        <v>0</v>
      </c>
      <c r="M2549" s="292">
        <f>IFERROR(VLOOKUP(B2549,'تقرير المصروفات حسب الشهر'!$C$1270:$AD$1381,23,FALSE),0)</f>
        <v>0</v>
      </c>
      <c r="N2549" s="31" t="e">
        <f>#REF!</f>
        <v>#REF!</v>
      </c>
      <c r="O2549" s="37" t="e">
        <f t="shared" si="64"/>
        <v>#REF!</v>
      </c>
    </row>
    <row r="2550" spans="2:15" ht="17.399999999999999">
      <c r="B2550" s="42" t="s">
        <v>183</v>
      </c>
      <c r="C2550" s="39" t="e">
        <f>#REF!</f>
        <v>#REF!</v>
      </c>
      <c r="D2550" s="31" t="e">
        <f>#REF!</f>
        <v>#REF!</v>
      </c>
      <c r="E2550" s="31" t="e">
        <f>#REF!</f>
        <v>#REF!</v>
      </c>
      <c r="F2550" s="31" t="e">
        <f>#REF!</f>
        <v>#REF!</v>
      </c>
      <c r="G2550" s="31" t="e">
        <f>#REF!</f>
        <v>#REF!</v>
      </c>
      <c r="H2550" s="31" t="e">
        <f>#REF!</f>
        <v>#REF!</v>
      </c>
      <c r="I2550" s="31">
        <f>'تقرير المصروفات حسب الشهر'!Y859</f>
        <v>0</v>
      </c>
      <c r="J2550" s="31">
        <f>'تقرير المصروفات حسب الشهر'!Y986</f>
        <v>0</v>
      </c>
      <c r="K2550" s="31">
        <f>'تقرير المصروفات حسب الشهر'!Y1113</f>
        <v>0</v>
      </c>
      <c r="L2550" s="292">
        <f>IFERROR(VLOOKUP(B2550,'تقرير المصروفات حسب الشهر'!$C$1143:$AD$1254,23,FALSE),0)</f>
        <v>0</v>
      </c>
      <c r="M2550" s="292">
        <f>IFERROR(VLOOKUP(B2550,'تقرير المصروفات حسب الشهر'!$C$1270:$AD$1381,23,FALSE),0)</f>
        <v>0</v>
      </c>
      <c r="N2550" s="31" t="e">
        <f>#REF!</f>
        <v>#REF!</v>
      </c>
      <c r="O2550" s="37" t="e">
        <f t="shared" si="64"/>
        <v>#REF!</v>
      </c>
    </row>
    <row r="2551" spans="2:15" ht="17.399999999999999">
      <c r="B2551" s="42" t="s">
        <v>195</v>
      </c>
      <c r="C2551" s="39" t="e">
        <f>#REF!</f>
        <v>#REF!</v>
      </c>
      <c r="D2551" s="31" t="e">
        <f>#REF!</f>
        <v>#REF!</v>
      </c>
      <c r="E2551" s="31" t="e">
        <f>#REF!</f>
        <v>#REF!</v>
      </c>
      <c r="F2551" s="31" t="e">
        <f>#REF!</f>
        <v>#REF!</v>
      </c>
      <c r="G2551" s="31" t="e">
        <f>#REF!</f>
        <v>#REF!</v>
      </c>
      <c r="H2551" s="31" t="e">
        <f>#REF!</f>
        <v>#REF!</v>
      </c>
      <c r="I2551" s="31">
        <f>'تقرير المصروفات حسب الشهر'!Y860</f>
        <v>0</v>
      </c>
      <c r="J2551" s="31">
        <f>'تقرير المصروفات حسب الشهر'!Y987</f>
        <v>0</v>
      </c>
      <c r="K2551" s="31">
        <f>'تقرير المصروفات حسب الشهر'!Y1114</f>
        <v>0</v>
      </c>
      <c r="L2551" s="292">
        <f>IFERROR(VLOOKUP(B2551,'تقرير المصروفات حسب الشهر'!$C$1143:$AD$1254,23,FALSE),0)</f>
        <v>0</v>
      </c>
      <c r="M2551" s="292">
        <f>IFERROR(VLOOKUP(B2551,'تقرير المصروفات حسب الشهر'!$C$1270:$AD$1381,23,FALSE),0)</f>
        <v>0</v>
      </c>
      <c r="N2551" s="31" t="e">
        <f>#REF!</f>
        <v>#REF!</v>
      </c>
      <c r="O2551" s="37" t="e">
        <f t="shared" si="64"/>
        <v>#REF!</v>
      </c>
    </row>
    <row r="2552" spans="2:15" ht="17.399999999999999">
      <c r="B2552" s="42" t="s">
        <v>189</v>
      </c>
      <c r="C2552" s="39" t="e">
        <f>#REF!</f>
        <v>#REF!</v>
      </c>
      <c r="D2552" s="31" t="e">
        <f>#REF!</f>
        <v>#REF!</v>
      </c>
      <c r="E2552" s="31" t="e">
        <f>#REF!</f>
        <v>#REF!</v>
      </c>
      <c r="F2552" s="31" t="e">
        <f>#REF!</f>
        <v>#REF!</v>
      </c>
      <c r="G2552" s="31" t="e">
        <f>#REF!</f>
        <v>#REF!</v>
      </c>
      <c r="H2552" s="31" t="e">
        <f>#REF!</f>
        <v>#REF!</v>
      </c>
      <c r="I2552" s="31">
        <f>'تقرير المصروفات حسب الشهر'!Y861</f>
        <v>0</v>
      </c>
      <c r="J2552" s="31">
        <f>'تقرير المصروفات حسب الشهر'!Y988</f>
        <v>0</v>
      </c>
      <c r="K2552" s="31">
        <f>'تقرير المصروفات حسب الشهر'!Y1115</f>
        <v>0</v>
      </c>
      <c r="L2552" s="292">
        <f>IFERROR(VLOOKUP(B2552,'تقرير المصروفات حسب الشهر'!$C$1143:$AD$1254,23,FALSE),0)</f>
        <v>0</v>
      </c>
      <c r="M2552" s="292">
        <f>IFERROR(VLOOKUP(B2552,'تقرير المصروفات حسب الشهر'!$C$1270:$AD$1381,23,FALSE),0)</f>
        <v>0</v>
      </c>
      <c r="N2552" s="31" t="e">
        <f>#REF!</f>
        <v>#REF!</v>
      </c>
      <c r="O2552" s="37" t="e">
        <f t="shared" si="64"/>
        <v>#REF!</v>
      </c>
    </row>
    <row r="2553" spans="2:15" ht="17.399999999999999">
      <c r="B2553" s="42" t="s">
        <v>188</v>
      </c>
      <c r="C2553" s="39" t="e">
        <f>#REF!</f>
        <v>#REF!</v>
      </c>
      <c r="D2553" s="31" t="e">
        <f>#REF!</f>
        <v>#REF!</v>
      </c>
      <c r="E2553" s="31" t="e">
        <f>#REF!</f>
        <v>#REF!</v>
      </c>
      <c r="F2553" s="31" t="e">
        <f>#REF!</f>
        <v>#REF!</v>
      </c>
      <c r="G2553" s="31" t="e">
        <f>#REF!</f>
        <v>#REF!</v>
      </c>
      <c r="H2553" s="31" t="e">
        <f>#REF!</f>
        <v>#REF!</v>
      </c>
      <c r="I2553" s="31">
        <f>'تقرير المصروفات حسب الشهر'!Y862</f>
        <v>0</v>
      </c>
      <c r="J2553" s="31">
        <f>'تقرير المصروفات حسب الشهر'!Y989</f>
        <v>0</v>
      </c>
      <c r="K2553" s="31">
        <f>'تقرير المصروفات حسب الشهر'!Y1116</f>
        <v>0</v>
      </c>
      <c r="L2553" s="292">
        <f>IFERROR(VLOOKUP(B2553,'تقرير المصروفات حسب الشهر'!$C$1143:$AD$1254,23,FALSE),0)</f>
        <v>0</v>
      </c>
      <c r="M2553" s="292">
        <f>IFERROR(VLOOKUP(B2553,'تقرير المصروفات حسب الشهر'!$C$1270:$AD$1381,23,FALSE),0)</f>
        <v>0</v>
      </c>
      <c r="N2553" s="31" t="e">
        <f>#REF!</f>
        <v>#REF!</v>
      </c>
      <c r="O2553" s="37" t="e">
        <f t="shared" si="64"/>
        <v>#REF!</v>
      </c>
    </row>
    <row r="2554" spans="2:15" ht="17.399999999999999">
      <c r="B2554" s="42" t="s">
        <v>196</v>
      </c>
      <c r="C2554" s="39" t="e">
        <f>#REF!</f>
        <v>#REF!</v>
      </c>
      <c r="D2554" s="31" t="e">
        <f>#REF!</f>
        <v>#REF!</v>
      </c>
      <c r="E2554" s="31" t="e">
        <f>#REF!</f>
        <v>#REF!</v>
      </c>
      <c r="F2554" s="31" t="e">
        <f>#REF!</f>
        <v>#REF!</v>
      </c>
      <c r="G2554" s="31" t="e">
        <f>#REF!</f>
        <v>#REF!</v>
      </c>
      <c r="H2554" s="31" t="e">
        <f>#REF!</f>
        <v>#REF!</v>
      </c>
      <c r="I2554" s="31">
        <f>'تقرير المصروفات حسب الشهر'!Y863</f>
        <v>0</v>
      </c>
      <c r="J2554" s="31">
        <f>'تقرير المصروفات حسب الشهر'!Y990</f>
        <v>0</v>
      </c>
      <c r="K2554" s="31">
        <f>'تقرير المصروفات حسب الشهر'!Y1117</f>
        <v>0</v>
      </c>
      <c r="L2554" s="292">
        <f>IFERROR(VLOOKUP(B2554,'تقرير المصروفات حسب الشهر'!$C$1143:$AD$1254,23,FALSE),0)</f>
        <v>0</v>
      </c>
      <c r="M2554" s="292">
        <f>IFERROR(VLOOKUP(B2554,'تقرير المصروفات حسب الشهر'!$C$1270:$AD$1381,23,FALSE),0)</f>
        <v>0</v>
      </c>
      <c r="N2554" s="31" t="e">
        <f>#REF!</f>
        <v>#REF!</v>
      </c>
      <c r="O2554" s="37" t="e">
        <f t="shared" si="64"/>
        <v>#REF!</v>
      </c>
    </row>
    <row r="2555" spans="2:15" ht="17.399999999999999">
      <c r="B2555" s="42" t="s">
        <v>197</v>
      </c>
      <c r="C2555" s="39" t="e">
        <f>#REF!</f>
        <v>#REF!</v>
      </c>
      <c r="D2555" s="31" t="e">
        <f>#REF!</f>
        <v>#REF!</v>
      </c>
      <c r="E2555" s="31" t="e">
        <f>#REF!</f>
        <v>#REF!</v>
      </c>
      <c r="F2555" s="31" t="e">
        <f>#REF!</f>
        <v>#REF!</v>
      </c>
      <c r="G2555" s="31" t="e">
        <f>#REF!</f>
        <v>#REF!</v>
      </c>
      <c r="H2555" s="31" t="e">
        <f>#REF!</f>
        <v>#REF!</v>
      </c>
      <c r="I2555" s="31">
        <f>'تقرير المصروفات حسب الشهر'!Y864</f>
        <v>0</v>
      </c>
      <c r="J2555" s="31">
        <f>'تقرير المصروفات حسب الشهر'!Y991</f>
        <v>0</v>
      </c>
      <c r="K2555" s="31">
        <f>'تقرير المصروفات حسب الشهر'!Y1118</f>
        <v>0</v>
      </c>
      <c r="L2555" s="292">
        <f>IFERROR(VLOOKUP(B2555,'تقرير المصروفات حسب الشهر'!$C$1143:$AD$1254,23,FALSE),0)</f>
        <v>0</v>
      </c>
      <c r="M2555" s="292">
        <f>IFERROR(VLOOKUP(B2555,'تقرير المصروفات حسب الشهر'!$C$1270:$AD$1381,23,FALSE),0)</f>
        <v>0</v>
      </c>
      <c r="N2555" s="31" t="e">
        <f>#REF!</f>
        <v>#REF!</v>
      </c>
      <c r="O2555" s="37" t="e">
        <f t="shared" si="64"/>
        <v>#REF!</v>
      </c>
    </row>
    <row r="2556" spans="2:15" ht="17.399999999999999">
      <c r="B2556" s="42" t="s">
        <v>198</v>
      </c>
      <c r="C2556" s="39" t="e">
        <f>#REF!</f>
        <v>#REF!</v>
      </c>
      <c r="D2556" s="31" t="e">
        <f>#REF!</f>
        <v>#REF!</v>
      </c>
      <c r="E2556" s="31" t="e">
        <f>#REF!</f>
        <v>#REF!</v>
      </c>
      <c r="F2556" s="31" t="e">
        <f>#REF!</f>
        <v>#REF!</v>
      </c>
      <c r="G2556" s="31" t="e">
        <f>#REF!</f>
        <v>#REF!</v>
      </c>
      <c r="H2556" s="31" t="e">
        <f>#REF!</f>
        <v>#REF!</v>
      </c>
      <c r="I2556" s="31">
        <f>'تقرير المصروفات حسب الشهر'!Y865</f>
        <v>0</v>
      </c>
      <c r="J2556" s="31">
        <f>'تقرير المصروفات حسب الشهر'!Y992</f>
        <v>0</v>
      </c>
      <c r="K2556" s="31">
        <f>'تقرير المصروفات حسب الشهر'!Y1119</f>
        <v>0</v>
      </c>
      <c r="L2556" s="292">
        <f>IFERROR(VLOOKUP(B2556,'تقرير المصروفات حسب الشهر'!$C$1143:$AD$1254,23,FALSE),0)</f>
        <v>0</v>
      </c>
      <c r="M2556" s="292">
        <f>IFERROR(VLOOKUP(B2556,'تقرير المصروفات حسب الشهر'!$C$1270:$AD$1381,23,FALSE),0)</f>
        <v>0</v>
      </c>
      <c r="N2556" s="31" t="e">
        <f>#REF!</f>
        <v>#REF!</v>
      </c>
      <c r="O2556" s="37" t="e">
        <f t="shared" si="64"/>
        <v>#REF!</v>
      </c>
    </row>
    <row r="2557" spans="2:15" ht="17.399999999999999">
      <c r="B2557" s="42" t="s">
        <v>201</v>
      </c>
      <c r="C2557" s="39" t="e">
        <f>#REF!</f>
        <v>#REF!</v>
      </c>
      <c r="D2557" s="31" t="e">
        <f>#REF!</f>
        <v>#REF!</v>
      </c>
      <c r="E2557" s="31" t="e">
        <f>#REF!</f>
        <v>#REF!</v>
      </c>
      <c r="F2557" s="31" t="e">
        <f>#REF!</f>
        <v>#REF!</v>
      </c>
      <c r="G2557" s="31" t="e">
        <f>#REF!</f>
        <v>#REF!</v>
      </c>
      <c r="H2557" s="31" t="e">
        <f>#REF!</f>
        <v>#REF!</v>
      </c>
      <c r="I2557" s="31">
        <f>'تقرير المصروفات حسب الشهر'!Y866</f>
        <v>0</v>
      </c>
      <c r="J2557" s="31">
        <f>'تقرير المصروفات حسب الشهر'!Y993</f>
        <v>0</v>
      </c>
      <c r="K2557" s="31">
        <f>'تقرير المصروفات حسب الشهر'!Y1120</f>
        <v>0</v>
      </c>
      <c r="L2557" s="292">
        <f>IFERROR(VLOOKUP(B2557,'تقرير المصروفات حسب الشهر'!$C$1143:$AD$1254,23,FALSE),0)</f>
        <v>0</v>
      </c>
      <c r="M2557" s="292">
        <f>IFERROR(VLOOKUP(B2557,'تقرير المصروفات حسب الشهر'!$C$1270:$AD$1381,23,FALSE),0)</f>
        <v>0</v>
      </c>
      <c r="N2557" s="31" t="e">
        <f>#REF!</f>
        <v>#REF!</v>
      </c>
      <c r="O2557" s="37" t="e">
        <f t="shared" si="64"/>
        <v>#REF!</v>
      </c>
    </row>
    <row r="2558" spans="2:15" ht="17.399999999999999">
      <c r="B2558" s="42" t="s">
        <v>202</v>
      </c>
      <c r="C2558" s="39" t="e">
        <f>#REF!</f>
        <v>#REF!</v>
      </c>
      <c r="D2558" s="31" t="e">
        <f>#REF!</f>
        <v>#REF!</v>
      </c>
      <c r="E2558" s="31" t="e">
        <f>#REF!</f>
        <v>#REF!</v>
      </c>
      <c r="F2558" s="31" t="e">
        <f>#REF!</f>
        <v>#REF!</v>
      </c>
      <c r="G2558" s="31" t="e">
        <f>#REF!</f>
        <v>#REF!</v>
      </c>
      <c r="H2558" s="31" t="e">
        <f>#REF!</f>
        <v>#REF!</v>
      </c>
      <c r="I2558" s="31">
        <f>'تقرير المصروفات حسب الشهر'!Y867</f>
        <v>0</v>
      </c>
      <c r="J2558" s="31">
        <f>'تقرير المصروفات حسب الشهر'!Y994</f>
        <v>0</v>
      </c>
      <c r="K2558" s="31">
        <f>'تقرير المصروفات حسب الشهر'!Y1121</f>
        <v>0</v>
      </c>
      <c r="L2558" s="292">
        <f>IFERROR(VLOOKUP(B2558,'تقرير المصروفات حسب الشهر'!$C$1143:$AD$1254,23,FALSE),0)</f>
        <v>0</v>
      </c>
      <c r="M2558" s="292">
        <f>IFERROR(VLOOKUP(B2558,'تقرير المصروفات حسب الشهر'!$C$1270:$AD$1381,23,FALSE),0)</f>
        <v>0</v>
      </c>
      <c r="N2558" s="31" t="e">
        <f>#REF!</f>
        <v>#REF!</v>
      </c>
      <c r="O2558" s="37" t="e">
        <f t="shared" si="64"/>
        <v>#REF!</v>
      </c>
    </row>
    <row r="2559" spans="2:15" ht="17.399999999999999">
      <c r="B2559" s="42" t="s">
        <v>206</v>
      </c>
      <c r="C2559" s="39" t="e">
        <f>#REF!</f>
        <v>#REF!</v>
      </c>
      <c r="D2559" s="31" t="e">
        <f>#REF!</f>
        <v>#REF!</v>
      </c>
      <c r="E2559" s="31" t="e">
        <f>#REF!</f>
        <v>#REF!</v>
      </c>
      <c r="F2559" s="31" t="e">
        <f>#REF!</f>
        <v>#REF!</v>
      </c>
      <c r="G2559" s="31" t="e">
        <f>#REF!</f>
        <v>#REF!</v>
      </c>
      <c r="H2559" s="31" t="e">
        <f>#REF!</f>
        <v>#REF!</v>
      </c>
      <c r="I2559" s="31">
        <f>'تقرير المصروفات حسب الشهر'!Y868</f>
        <v>0</v>
      </c>
      <c r="J2559" s="31">
        <f>'تقرير المصروفات حسب الشهر'!Y995</f>
        <v>0</v>
      </c>
      <c r="K2559" s="31">
        <f>'تقرير المصروفات حسب الشهر'!Y1122</f>
        <v>0</v>
      </c>
      <c r="L2559" s="292">
        <f>IFERROR(VLOOKUP(B2559,'تقرير المصروفات حسب الشهر'!$C$1143:$AD$1254,23,FALSE),0)</f>
        <v>0</v>
      </c>
      <c r="M2559" s="292">
        <f>IFERROR(VLOOKUP(B2559,'تقرير المصروفات حسب الشهر'!$C$1270:$AD$1381,23,FALSE),0)</f>
        <v>0</v>
      </c>
      <c r="N2559" s="31" t="e">
        <f>#REF!</f>
        <v>#REF!</v>
      </c>
      <c r="O2559" s="37" t="e">
        <f t="shared" si="64"/>
        <v>#REF!</v>
      </c>
    </row>
    <row r="2560" spans="2:15" ht="17.399999999999999">
      <c r="B2560" s="42" t="s">
        <v>207</v>
      </c>
      <c r="C2560" s="39" t="e">
        <f>#REF!</f>
        <v>#REF!</v>
      </c>
      <c r="D2560" s="31" t="e">
        <f>#REF!</f>
        <v>#REF!</v>
      </c>
      <c r="E2560" s="31" t="e">
        <f>#REF!</f>
        <v>#REF!</v>
      </c>
      <c r="F2560" s="31" t="e">
        <f>#REF!</f>
        <v>#REF!</v>
      </c>
      <c r="G2560" s="31" t="e">
        <f>#REF!</f>
        <v>#REF!</v>
      </c>
      <c r="H2560" s="31" t="e">
        <f>#REF!</f>
        <v>#REF!</v>
      </c>
      <c r="I2560" s="31">
        <f>'تقرير المصروفات حسب الشهر'!Y869</f>
        <v>431.25</v>
      </c>
      <c r="J2560" s="31">
        <f>'تقرير المصروفات حسب الشهر'!Y996</f>
        <v>431.25</v>
      </c>
      <c r="K2560" s="31">
        <f>'تقرير المصروفات حسب الشهر'!Y1123</f>
        <v>431.25</v>
      </c>
      <c r="L2560" s="292">
        <f>IFERROR(VLOOKUP(B2560,'تقرير المصروفات حسب الشهر'!$C$1143:$AD$1254,23,FALSE),0)</f>
        <v>431.25</v>
      </c>
      <c r="M2560" s="292">
        <f>IFERROR(VLOOKUP(B2560,'تقرير المصروفات حسب الشهر'!$C$1270:$AD$1381,23,FALSE),0)</f>
        <v>431.25</v>
      </c>
      <c r="N2560" s="31" t="e">
        <f>#REF!</f>
        <v>#REF!</v>
      </c>
      <c r="O2560" s="37" t="e">
        <f t="shared" si="64"/>
        <v>#REF!</v>
      </c>
    </row>
    <row r="2561" spans="2:15" ht="17.399999999999999">
      <c r="B2561" s="42" t="s">
        <v>208</v>
      </c>
      <c r="C2561" s="39" t="e">
        <f>#REF!</f>
        <v>#REF!</v>
      </c>
      <c r="D2561" s="31" t="e">
        <f>#REF!</f>
        <v>#REF!</v>
      </c>
      <c r="E2561" s="31" t="e">
        <f>#REF!</f>
        <v>#REF!</v>
      </c>
      <c r="F2561" s="31" t="e">
        <f>#REF!</f>
        <v>#REF!</v>
      </c>
      <c r="G2561" s="31" t="e">
        <f>#REF!</f>
        <v>#REF!</v>
      </c>
      <c r="H2561" s="31" t="e">
        <f>#REF!</f>
        <v>#REF!</v>
      </c>
      <c r="I2561" s="31">
        <f>'تقرير المصروفات حسب الشهر'!Y870</f>
        <v>0</v>
      </c>
      <c r="J2561" s="31">
        <f>'تقرير المصروفات حسب الشهر'!Y997</f>
        <v>0</v>
      </c>
      <c r="K2561" s="31">
        <f>'تقرير المصروفات حسب الشهر'!Y1124</f>
        <v>0</v>
      </c>
      <c r="L2561" s="292">
        <f>IFERROR(VLOOKUP(B2561,'تقرير المصروفات حسب الشهر'!$C$1143:$AD$1254,23,FALSE),0)</f>
        <v>0</v>
      </c>
      <c r="M2561" s="292">
        <f>IFERROR(VLOOKUP(B2561,'تقرير المصروفات حسب الشهر'!$C$1270:$AD$1381,23,FALSE),0)</f>
        <v>0</v>
      </c>
      <c r="N2561" s="31" t="e">
        <f>#REF!</f>
        <v>#REF!</v>
      </c>
      <c r="O2561" s="37" t="e">
        <f t="shared" si="64"/>
        <v>#REF!</v>
      </c>
    </row>
    <row r="2562" spans="2:15" ht="18" thickBot="1">
      <c r="B2562" s="43" t="s">
        <v>209</v>
      </c>
      <c r="C2562" s="39" t="e">
        <f>#REF!</f>
        <v>#REF!</v>
      </c>
      <c r="D2562" s="31" t="e">
        <f>#REF!</f>
        <v>#REF!</v>
      </c>
      <c r="E2562" s="31" t="e">
        <f>#REF!</f>
        <v>#REF!</v>
      </c>
      <c r="F2562" s="31" t="e">
        <f>#REF!</f>
        <v>#REF!</v>
      </c>
      <c r="G2562" s="31" t="e">
        <f>#REF!</f>
        <v>#REF!</v>
      </c>
      <c r="H2562" s="31">
        <v>0</v>
      </c>
      <c r="I2562" s="31">
        <f>'تقرير المصروفات حسب الشهر'!Y871</f>
        <v>0</v>
      </c>
      <c r="J2562" s="31">
        <f>'تقرير المصروفات حسب الشهر'!Y998</f>
        <v>0</v>
      </c>
      <c r="K2562" s="31">
        <f>'تقرير المصروفات حسب الشهر'!Y1125</f>
        <v>0</v>
      </c>
      <c r="L2562" s="292">
        <f>IFERROR(VLOOKUP(B2562,'تقرير المصروفات حسب الشهر'!$C$1143:$AD$1254,23,FALSE),0)</f>
        <v>0</v>
      </c>
      <c r="M2562" s="292">
        <f>IFERROR(VLOOKUP(B2562,'تقرير المصروفات حسب الشهر'!$C$1270:$AD$1381,23,FALSE),0)</f>
        <v>0</v>
      </c>
      <c r="N2562" s="31" t="e">
        <f>#REF!</f>
        <v>#REF!</v>
      </c>
      <c r="O2562" s="37" t="e">
        <f t="shared" si="64"/>
        <v>#REF!</v>
      </c>
    </row>
    <row r="2563" spans="2:15" ht="21.6" thickBot="1">
      <c r="B2563" s="29" t="s">
        <v>18</v>
      </c>
      <c r="C2563" s="41" t="e">
        <f t="shared" ref="C2563:O2563" si="65">SUM(C2454:C2552)</f>
        <v>#REF!</v>
      </c>
      <c r="D2563" s="41" t="e">
        <f t="shared" si="65"/>
        <v>#REF!</v>
      </c>
      <c r="E2563" s="41" t="e">
        <f t="shared" si="65"/>
        <v>#REF!</v>
      </c>
      <c r="F2563" s="41" t="e">
        <f t="shared" si="65"/>
        <v>#REF!</v>
      </c>
      <c r="G2563" s="41" t="e">
        <f t="shared" si="65"/>
        <v>#REF!</v>
      </c>
      <c r="H2563" s="41" t="e">
        <f t="shared" si="65"/>
        <v>#REF!</v>
      </c>
      <c r="I2563" s="41">
        <f t="shared" si="65"/>
        <v>15440.27</v>
      </c>
      <c r="J2563" s="41">
        <f t="shared" si="65"/>
        <v>15030.910000000002</v>
      </c>
      <c r="K2563" s="41">
        <f t="shared" si="65"/>
        <v>18704.829999999998</v>
      </c>
      <c r="L2563" s="41">
        <f t="shared" si="65"/>
        <v>20255.299999999996</v>
      </c>
      <c r="M2563" s="41">
        <f t="shared" si="65"/>
        <v>23103.680000000004</v>
      </c>
      <c r="N2563" s="41" t="e">
        <f t="shared" si="65"/>
        <v>#REF!</v>
      </c>
      <c r="O2563" s="41" t="e">
        <f t="shared" si="65"/>
        <v>#REF!</v>
      </c>
    </row>
    <row r="2565" spans="2:15" ht="13.8" thickBot="1"/>
    <row r="2566" spans="2:15" ht="31.2" thickTop="1" thickBot="1">
      <c r="B2566" s="643" t="s">
        <v>231</v>
      </c>
      <c r="C2566" s="644"/>
      <c r="D2566" s="644"/>
      <c r="E2566" s="644"/>
      <c r="F2566" s="644"/>
      <c r="G2566" s="644"/>
      <c r="H2566" s="644"/>
      <c r="I2566" s="644"/>
      <c r="J2566" s="644"/>
      <c r="K2566" s="644"/>
      <c r="L2566" s="644"/>
      <c r="M2566" s="644"/>
      <c r="N2566" s="644"/>
      <c r="O2566" s="645"/>
    </row>
    <row r="2567" spans="2:15" ht="17.399999999999999">
      <c r="B2567" s="30" t="s">
        <v>23</v>
      </c>
      <c r="C2567" s="33" t="s">
        <v>0</v>
      </c>
      <c r="D2567" s="33" t="s">
        <v>1</v>
      </c>
      <c r="E2567" s="34" t="s">
        <v>2</v>
      </c>
      <c r="F2567" s="34" t="s">
        <v>3</v>
      </c>
      <c r="G2567" s="34" t="s">
        <v>4</v>
      </c>
      <c r="H2567" s="34" t="s">
        <v>5</v>
      </c>
      <c r="I2567" s="34" t="s">
        <v>6</v>
      </c>
      <c r="J2567" s="34" t="s">
        <v>7</v>
      </c>
      <c r="K2567" s="34" t="s">
        <v>8</v>
      </c>
      <c r="L2567" s="34" t="s">
        <v>9</v>
      </c>
      <c r="M2567" s="34" t="s">
        <v>10</v>
      </c>
      <c r="N2567" s="35" t="s">
        <v>11</v>
      </c>
      <c r="O2567" s="36" t="s">
        <v>18</v>
      </c>
    </row>
    <row r="2568" spans="2:15" ht="17.399999999999999">
      <c r="B2568" s="42" t="s">
        <v>40</v>
      </c>
      <c r="C2568" s="39" t="e">
        <f>#REF!</f>
        <v>#REF!</v>
      </c>
      <c r="D2568" s="31" t="e">
        <f>#REF!</f>
        <v>#REF!</v>
      </c>
      <c r="E2568" s="31" t="e">
        <f>#REF!</f>
        <v>#REF!</v>
      </c>
      <c r="F2568" s="31" t="e">
        <f>#REF!</f>
        <v>#REF!</v>
      </c>
      <c r="G2568" s="31" t="e">
        <f>#REF!</f>
        <v>#REF!</v>
      </c>
      <c r="H2568" s="31" t="e">
        <f>#REF!</f>
        <v>#REF!</v>
      </c>
      <c r="I2568" s="31">
        <f>'تقرير المصروفات حسب الشهر'!Z763</f>
        <v>0</v>
      </c>
      <c r="J2568" s="31">
        <f>'تقرير المصروفات حسب الشهر'!Z890</f>
        <v>0</v>
      </c>
      <c r="K2568" s="31">
        <f>'تقرير المصروفات حسب الشهر'!Z1017</f>
        <v>0</v>
      </c>
      <c r="L2568" s="292">
        <f>IFERROR(VLOOKUP(B2568,'تقرير المصروفات حسب الشهر'!$C$1143:$AD$1254,24,FALSE),0)</f>
        <v>0</v>
      </c>
      <c r="M2568" s="292">
        <f>IFERROR(VLOOKUP(B2568,'تقرير المصروفات حسب الشهر'!$C$1270:$AD$1381,24,FALSE),0)</f>
        <v>0</v>
      </c>
      <c r="N2568" s="31" t="e">
        <f>#REF!</f>
        <v>#REF!</v>
      </c>
      <c r="O2568" s="37" t="e">
        <f>SUM(C2568:N2568)</f>
        <v>#REF!</v>
      </c>
    </row>
    <row r="2569" spans="2:15" ht="17.399999999999999">
      <c r="B2569" s="42" t="s">
        <v>41</v>
      </c>
      <c r="C2569" s="39" t="e">
        <f>#REF!</f>
        <v>#REF!</v>
      </c>
      <c r="D2569" s="31" t="e">
        <f>#REF!</f>
        <v>#REF!</v>
      </c>
      <c r="E2569" s="31" t="e">
        <f>#REF!</f>
        <v>#REF!</v>
      </c>
      <c r="F2569" s="31" t="e">
        <f>#REF!</f>
        <v>#REF!</v>
      </c>
      <c r="G2569" s="31" t="e">
        <f>#REF!</f>
        <v>#REF!</v>
      </c>
      <c r="H2569" s="31" t="e">
        <f>#REF!</f>
        <v>#REF!</v>
      </c>
      <c r="I2569" s="31">
        <f>'تقرير المصروفات حسب الشهر'!Z764</f>
        <v>7014.8</v>
      </c>
      <c r="J2569" s="31">
        <f>'تقرير المصروفات حسب الشهر'!Z891</f>
        <v>7014.8</v>
      </c>
      <c r="K2569" s="31">
        <f>'تقرير المصروفات حسب الشهر'!Z1018</f>
        <v>6886.1</v>
      </c>
      <c r="L2569" s="292">
        <f>IFERROR(VLOOKUP(B2569,'تقرير المصروفات حسب الشهر'!$C$1143:$AD$1254,24,FALSE),0)</f>
        <v>7136.1</v>
      </c>
      <c r="M2569" s="292">
        <f>IFERROR(VLOOKUP(B2569,'تقرير المصروفات حسب الشهر'!$C$1270:$AD$1381,24,FALSE),0)</f>
        <v>7825.3</v>
      </c>
      <c r="N2569" s="31" t="e">
        <f>#REF!</f>
        <v>#REF!</v>
      </c>
      <c r="O2569" s="37" t="e">
        <f t="shared" ref="O2569:O2632" si="66">SUM(C2569:N2569)</f>
        <v>#REF!</v>
      </c>
    </row>
    <row r="2570" spans="2:15" ht="17.399999999999999">
      <c r="B2570" s="42" t="s">
        <v>26</v>
      </c>
      <c r="C2570" s="39" t="e">
        <f>#REF!</f>
        <v>#REF!</v>
      </c>
      <c r="D2570" s="31" t="e">
        <f>#REF!</f>
        <v>#REF!</v>
      </c>
      <c r="E2570" s="31" t="e">
        <f>#REF!</f>
        <v>#REF!</v>
      </c>
      <c r="F2570" s="31" t="e">
        <f>#REF!</f>
        <v>#REF!</v>
      </c>
      <c r="G2570" s="31" t="e">
        <f>#REF!</f>
        <v>#REF!</v>
      </c>
      <c r="H2570" s="31" t="e">
        <f>#REF!</f>
        <v>#REF!</v>
      </c>
      <c r="I2570" s="31">
        <f>'تقرير المصروفات حسب الشهر'!Z765</f>
        <v>0</v>
      </c>
      <c r="J2570" s="31">
        <f>'تقرير المصروفات حسب الشهر'!Z892</f>
        <v>0</v>
      </c>
      <c r="K2570" s="31">
        <f>'تقرير المصروفات حسب الشهر'!Z1019</f>
        <v>0</v>
      </c>
      <c r="L2570" s="292">
        <f>IFERROR(VLOOKUP(B2570,'تقرير المصروفات حسب الشهر'!$C$1143:$AD$1254,24,FALSE),0)</f>
        <v>0</v>
      </c>
      <c r="M2570" s="292">
        <f>IFERROR(VLOOKUP(B2570,'تقرير المصروفات حسب الشهر'!$C$1270:$AD$1381,24,FALSE),0)</f>
        <v>0</v>
      </c>
      <c r="N2570" s="31" t="e">
        <f>#REF!</f>
        <v>#REF!</v>
      </c>
      <c r="O2570" s="37" t="e">
        <f t="shared" si="66"/>
        <v>#REF!</v>
      </c>
    </row>
    <row r="2571" spans="2:15" ht="17.399999999999999">
      <c r="B2571" s="42" t="s">
        <v>27</v>
      </c>
      <c r="C2571" s="39" t="e">
        <f>#REF!</f>
        <v>#REF!</v>
      </c>
      <c r="D2571" s="31" t="e">
        <f>#REF!</f>
        <v>#REF!</v>
      </c>
      <c r="E2571" s="31" t="e">
        <f>#REF!</f>
        <v>#REF!</v>
      </c>
      <c r="F2571" s="31" t="e">
        <f>#REF!</f>
        <v>#REF!</v>
      </c>
      <c r="G2571" s="31" t="e">
        <f>#REF!</f>
        <v>#REF!</v>
      </c>
      <c r="H2571" s="31" t="e">
        <f>#REF!</f>
        <v>#REF!</v>
      </c>
      <c r="I2571" s="31">
        <f>'تقرير المصروفات حسب الشهر'!Z766</f>
        <v>0</v>
      </c>
      <c r="J2571" s="31">
        <f>'تقرير المصروفات حسب الشهر'!Z893</f>
        <v>0</v>
      </c>
      <c r="K2571" s="31">
        <f>'تقرير المصروفات حسب الشهر'!Z1020</f>
        <v>0</v>
      </c>
      <c r="L2571" s="292">
        <f>IFERROR(VLOOKUP(B2571,'تقرير المصروفات حسب الشهر'!$C$1143:$AD$1254,24,FALSE),0)</f>
        <v>0</v>
      </c>
      <c r="M2571" s="292">
        <f>IFERROR(VLOOKUP(B2571,'تقرير المصروفات حسب الشهر'!$C$1270:$AD$1381,24,FALSE),0)</f>
        <v>0</v>
      </c>
      <c r="N2571" s="31" t="e">
        <f>#REF!</f>
        <v>#REF!</v>
      </c>
      <c r="O2571" s="37" t="e">
        <f t="shared" si="66"/>
        <v>#REF!</v>
      </c>
    </row>
    <row r="2572" spans="2:15" ht="17.399999999999999">
      <c r="B2572" s="42" t="s">
        <v>42</v>
      </c>
      <c r="C2572" s="39" t="e">
        <f>#REF!</f>
        <v>#REF!</v>
      </c>
      <c r="D2572" s="31" t="e">
        <f>#REF!</f>
        <v>#REF!</v>
      </c>
      <c r="E2572" s="31" t="e">
        <f>#REF!</f>
        <v>#REF!</v>
      </c>
      <c r="F2572" s="31" t="e">
        <f>#REF!</f>
        <v>#REF!</v>
      </c>
      <c r="G2572" s="31" t="e">
        <f>#REF!</f>
        <v>#REF!</v>
      </c>
      <c r="H2572" s="31" t="e">
        <f>#REF!</f>
        <v>#REF!</v>
      </c>
      <c r="I2572" s="31">
        <f>'تقرير المصروفات حسب الشهر'!Z767</f>
        <v>0</v>
      </c>
      <c r="J2572" s="31">
        <f>'تقرير المصروفات حسب الشهر'!Z894</f>
        <v>0</v>
      </c>
      <c r="K2572" s="31">
        <f>'تقرير المصروفات حسب الشهر'!Z1021</f>
        <v>0</v>
      </c>
      <c r="L2572" s="292">
        <f>IFERROR(VLOOKUP(B2572,'تقرير المصروفات حسب الشهر'!$C$1143:$AD$1254,24,FALSE),0)</f>
        <v>0</v>
      </c>
      <c r="M2572" s="292">
        <f>IFERROR(VLOOKUP(B2572,'تقرير المصروفات حسب الشهر'!$C$1270:$AD$1381,24,FALSE),0)</f>
        <v>0</v>
      </c>
      <c r="N2572" s="31" t="e">
        <f>#REF!</f>
        <v>#REF!</v>
      </c>
      <c r="O2572" s="37" t="e">
        <f t="shared" si="66"/>
        <v>#REF!</v>
      </c>
    </row>
    <row r="2573" spans="2:15" ht="17.399999999999999">
      <c r="B2573" s="42" t="s">
        <v>43</v>
      </c>
      <c r="C2573" s="39" t="e">
        <f>#REF!</f>
        <v>#REF!</v>
      </c>
      <c r="D2573" s="31" t="e">
        <f>#REF!</f>
        <v>#REF!</v>
      </c>
      <c r="E2573" s="31" t="e">
        <f>#REF!</f>
        <v>#REF!</v>
      </c>
      <c r="F2573" s="31" t="e">
        <f>#REF!</f>
        <v>#REF!</v>
      </c>
      <c r="G2573" s="31" t="e">
        <f>#REF!</f>
        <v>#REF!</v>
      </c>
      <c r="H2573" s="31" t="e">
        <f>#REF!</f>
        <v>#REF!</v>
      </c>
      <c r="I2573" s="31">
        <f>'تقرير المصروفات حسب الشهر'!Z768</f>
        <v>0</v>
      </c>
      <c r="J2573" s="31">
        <f>'تقرير المصروفات حسب الشهر'!Z895</f>
        <v>0</v>
      </c>
      <c r="K2573" s="31">
        <f>'تقرير المصروفات حسب الشهر'!Z1022</f>
        <v>0</v>
      </c>
      <c r="L2573" s="292">
        <f>IFERROR(VLOOKUP(B2573,'تقرير المصروفات حسب الشهر'!$C$1143:$AD$1254,24,FALSE),0)</f>
        <v>0</v>
      </c>
      <c r="M2573" s="292">
        <f>IFERROR(VLOOKUP(B2573,'تقرير المصروفات حسب الشهر'!$C$1270:$AD$1381,24,FALSE),0)</f>
        <v>0</v>
      </c>
      <c r="N2573" s="31" t="e">
        <f>#REF!</f>
        <v>#REF!</v>
      </c>
      <c r="O2573" s="37" t="e">
        <f t="shared" si="66"/>
        <v>#REF!</v>
      </c>
    </row>
    <row r="2574" spans="2:15" ht="17.399999999999999">
      <c r="B2574" s="42" t="s">
        <v>44</v>
      </c>
      <c r="C2574" s="39" t="e">
        <f>#REF!</f>
        <v>#REF!</v>
      </c>
      <c r="D2574" s="31" t="e">
        <f>#REF!</f>
        <v>#REF!</v>
      </c>
      <c r="E2574" s="31" t="e">
        <f>#REF!</f>
        <v>#REF!</v>
      </c>
      <c r="F2574" s="31" t="e">
        <f>#REF!</f>
        <v>#REF!</v>
      </c>
      <c r="G2574" s="31" t="e">
        <f>#REF!</f>
        <v>#REF!</v>
      </c>
      <c r="H2574" s="31" t="e">
        <f>#REF!</f>
        <v>#REF!</v>
      </c>
      <c r="I2574" s="31">
        <f>'تقرير المصروفات حسب الشهر'!Z769</f>
        <v>0</v>
      </c>
      <c r="J2574" s="31">
        <f>'تقرير المصروفات حسب الشهر'!Z896</f>
        <v>0</v>
      </c>
      <c r="K2574" s="31">
        <f>'تقرير المصروفات حسب الشهر'!Z1023</f>
        <v>0</v>
      </c>
      <c r="L2574" s="292">
        <f>IFERROR(VLOOKUP(B2574,'تقرير المصروفات حسب الشهر'!$C$1143:$AD$1254,24,FALSE),0)</f>
        <v>0</v>
      </c>
      <c r="M2574" s="292">
        <f>IFERROR(VLOOKUP(B2574,'تقرير المصروفات حسب الشهر'!$C$1270:$AD$1381,24,FALSE),0)</f>
        <v>0</v>
      </c>
      <c r="N2574" s="31" t="e">
        <f>#REF!</f>
        <v>#REF!</v>
      </c>
      <c r="O2574" s="37" t="e">
        <f t="shared" si="66"/>
        <v>#REF!</v>
      </c>
    </row>
    <row r="2575" spans="2:15" ht="17.399999999999999">
      <c r="B2575" s="42" t="s">
        <v>45</v>
      </c>
      <c r="C2575" s="39" t="e">
        <f>#REF!</f>
        <v>#REF!</v>
      </c>
      <c r="D2575" s="31" t="e">
        <f>#REF!</f>
        <v>#REF!</v>
      </c>
      <c r="E2575" s="31" t="e">
        <f>#REF!</f>
        <v>#REF!</v>
      </c>
      <c r="F2575" s="31" t="e">
        <f>#REF!</f>
        <v>#REF!</v>
      </c>
      <c r="G2575" s="31" t="e">
        <f>#REF!</f>
        <v>#REF!</v>
      </c>
      <c r="H2575" s="31" t="e">
        <f>#REF!</f>
        <v>#REF!</v>
      </c>
      <c r="I2575" s="31">
        <f>'تقرير المصروفات حسب الشهر'!Z770</f>
        <v>0</v>
      </c>
      <c r="J2575" s="31">
        <f>'تقرير المصروفات حسب الشهر'!Z897</f>
        <v>0</v>
      </c>
      <c r="K2575" s="31">
        <f>'تقرير المصروفات حسب الشهر'!Z1024</f>
        <v>0</v>
      </c>
      <c r="L2575" s="292">
        <f>IFERROR(VLOOKUP(B2575,'تقرير المصروفات حسب الشهر'!$C$1143:$AD$1254,24,FALSE),0)</f>
        <v>0</v>
      </c>
      <c r="M2575" s="292">
        <f>IFERROR(VLOOKUP(B2575,'تقرير المصروفات حسب الشهر'!$C$1270:$AD$1381,24,FALSE),0)</f>
        <v>0</v>
      </c>
      <c r="N2575" s="31" t="e">
        <f>#REF!</f>
        <v>#REF!</v>
      </c>
      <c r="O2575" s="37" t="e">
        <f t="shared" si="66"/>
        <v>#REF!</v>
      </c>
    </row>
    <row r="2576" spans="2:15" ht="17.399999999999999">
      <c r="B2576" s="42" t="s">
        <v>156</v>
      </c>
      <c r="C2576" s="39" t="e">
        <f>#REF!</f>
        <v>#REF!</v>
      </c>
      <c r="D2576" s="31" t="e">
        <f>#REF!</f>
        <v>#REF!</v>
      </c>
      <c r="E2576" s="31" t="e">
        <f>#REF!</f>
        <v>#REF!</v>
      </c>
      <c r="F2576" s="31" t="e">
        <f>#REF!</f>
        <v>#REF!</v>
      </c>
      <c r="G2576" s="31" t="e">
        <f>#REF!</f>
        <v>#REF!</v>
      </c>
      <c r="H2576" s="31" t="e">
        <f>#REF!</f>
        <v>#REF!</v>
      </c>
      <c r="I2576" s="31">
        <f>'تقرير المصروفات حسب الشهر'!Z771</f>
        <v>0</v>
      </c>
      <c r="J2576" s="31">
        <f>'تقرير المصروفات حسب الشهر'!Z898</f>
        <v>0</v>
      </c>
      <c r="K2576" s="31">
        <f>'تقرير المصروفات حسب الشهر'!Z1025</f>
        <v>0</v>
      </c>
      <c r="L2576" s="292">
        <f>IFERROR(VLOOKUP(B2576,'تقرير المصروفات حسب الشهر'!$C$1143:$AD$1254,24,FALSE),0)</f>
        <v>0</v>
      </c>
      <c r="M2576" s="292">
        <f>IFERROR(VLOOKUP(B2576,'تقرير المصروفات حسب الشهر'!$C$1270:$AD$1381,24,FALSE),0)</f>
        <v>0</v>
      </c>
      <c r="N2576" s="31" t="e">
        <f>#REF!</f>
        <v>#REF!</v>
      </c>
      <c r="O2576" s="37" t="e">
        <f t="shared" si="66"/>
        <v>#REF!</v>
      </c>
    </row>
    <row r="2577" spans="2:15" ht="17.399999999999999">
      <c r="B2577" s="42" t="s">
        <v>46</v>
      </c>
      <c r="C2577" s="39" t="e">
        <f>#REF!</f>
        <v>#REF!</v>
      </c>
      <c r="D2577" s="31" t="e">
        <f>#REF!</f>
        <v>#REF!</v>
      </c>
      <c r="E2577" s="31" t="e">
        <f>#REF!</f>
        <v>#REF!</v>
      </c>
      <c r="F2577" s="31" t="e">
        <f>#REF!</f>
        <v>#REF!</v>
      </c>
      <c r="G2577" s="31" t="e">
        <f>#REF!</f>
        <v>#REF!</v>
      </c>
      <c r="H2577" s="31" t="e">
        <f>#REF!</f>
        <v>#REF!</v>
      </c>
      <c r="I2577" s="31">
        <f>'تقرير المصروفات حسب الشهر'!Z772</f>
        <v>57.87</v>
      </c>
      <c r="J2577" s="31">
        <f>'تقرير المصروفات حسب الشهر'!Z899</f>
        <v>57.87</v>
      </c>
      <c r="K2577" s="31">
        <f>'تقرير المصروفات حسب الشهر'!Z1026</f>
        <v>57.87</v>
      </c>
      <c r="L2577" s="292">
        <f>IFERROR(VLOOKUP(B2577,'تقرير المصروفات حسب الشهر'!$C$1143:$AD$1254,24,FALSE),0)</f>
        <v>57.87</v>
      </c>
      <c r="M2577" s="292">
        <f>IFERROR(VLOOKUP(B2577,'تقرير المصروفات حسب الشهر'!$C$1270:$AD$1381,24,FALSE),0)</f>
        <v>57.87</v>
      </c>
      <c r="N2577" s="31" t="e">
        <f>#REF!</f>
        <v>#REF!</v>
      </c>
      <c r="O2577" s="37" t="e">
        <f t="shared" si="66"/>
        <v>#REF!</v>
      </c>
    </row>
    <row r="2578" spans="2:15" ht="17.399999999999999">
      <c r="B2578" s="42" t="s">
        <v>47</v>
      </c>
      <c r="C2578" s="39" t="e">
        <f>#REF!</f>
        <v>#REF!</v>
      </c>
      <c r="D2578" s="31" t="e">
        <f>#REF!</f>
        <v>#REF!</v>
      </c>
      <c r="E2578" s="31" t="e">
        <f>#REF!</f>
        <v>#REF!</v>
      </c>
      <c r="F2578" s="31" t="e">
        <f>#REF!</f>
        <v>#REF!</v>
      </c>
      <c r="G2578" s="31" t="e">
        <f>#REF!</f>
        <v>#REF!</v>
      </c>
      <c r="H2578" s="31" t="e">
        <f>#REF!</f>
        <v>#REF!</v>
      </c>
      <c r="I2578" s="31">
        <f>'تقرير المصروفات حسب الشهر'!Z773</f>
        <v>0</v>
      </c>
      <c r="J2578" s="31">
        <f>'تقرير المصروفات حسب الشهر'!Z900</f>
        <v>0</v>
      </c>
      <c r="K2578" s="31">
        <f>'تقرير المصروفات حسب الشهر'!Z1027</f>
        <v>0</v>
      </c>
      <c r="L2578" s="292">
        <f>IFERROR(VLOOKUP(B2578,'تقرير المصروفات حسب الشهر'!$C$1143:$AD$1254,24,FALSE),0)</f>
        <v>0</v>
      </c>
      <c r="M2578" s="292">
        <f>IFERROR(VLOOKUP(B2578,'تقرير المصروفات حسب الشهر'!$C$1270:$AD$1381,24,FALSE),0)</f>
        <v>0</v>
      </c>
      <c r="N2578" s="31" t="e">
        <f>#REF!</f>
        <v>#REF!</v>
      </c>
      <c r="O2578" s="37" t="e">
        <f t="shared" si="66"/>
        <v>#REF!</v>
      </c>
    </row>
    <row r="2579" spans="2:15" ht="17.399999999999999">
      <c r="B2579" s="42" t="s">
        <v>48</v>
      </c>
      <c r="C2579" s="39" t="e">
        <f>#REF!</f>
        <v>#REF!</v>
      </c>
      <c r="D2579" s="31" t="e">
        <f>#REF!</f>
        <v>#REF!</v>
      </c>
      <c r="E2579" s="31" t="e">
        <f>#REF!</f>
        <v>#REF!</v>
      </c>
      <c r="F2579" s="31" t="e">
        <f>#REF!</f>
        <v>#REF!</v>
      </c>
      <c r="G2579" s="31" t="e">
        <f>#REF!</f>
        <v>#REF!</v>
      </c>
      <c r="H2579" s="31" t="e">
        <f>#REF!</f>
        <v>#REF!</v>
      </c>
      <c r="I2579" s="31">
        <f>'تقرير المصروفات حسب الشهر'!Z774</f>
        <v>0</v>
      </c>
      <c r="J2579" s="31">
        <f>'تقرير المصروفات حسب الشهر'!Z901</f>
        <v>0</v>
      </c>
      <c r="K2579" s="31">
        <f>'تقرير المصروفات حسب الشهر'!Z1028</f>
        <v>0</v>
      </c>
      <c r="L2579" s="292">
        <f>IFERROR(VLOOKUP(B2579,'تقرير المصروفات حسب الشهر'!$C$1143:$AD$1254,24,FALSE),0)</f>
        <v>0</v>
      </c>
      <c r="M2579" s="292">
        <f>IFERROR(VLOOKUP(B2579,'تقرير المصروفات حسب الشهر'!$C$1270:$AD$1381,24,FALSE),0)</f>
        <v>0</v>
      </c>
      <c r="N2579" s="31" t="e">
        <f>#REF!</f>
        <v>#REF!</v>
      </c>
      <c r="O2579" s="37" t="e">
        <f t="shared" si="66"/>
        <v>#REF!</v>
      </c>
    </row>
    <row r="2580" spans="2:15" ht="17.399999999999999">
      <c r="B2580" s="42" t="s">
        <v>49</v>
      </c>
      <c r="C2580" s="39" t="e">
        <f>#REF!</f>
        <v>#REF!</v>
      </c>
      <c r="D2580" s="31" t="e">
        <f>#REF!</f>
        <v>#REF!</v>
      </c>
      <c r="E2580" s="31" t="e">
        <f>#REF!</f>
        <v>#REF!</v>
      </c>
      <c r="F2580" s="31" t="e">
        <f>#REF!</f>
        <v>#REF!</v>
      </c>
      <c r="G2580" s="31" t="e">
        <f>#REF!</f>
        <v>#REF!</v>
      </c>
      <c r="H2580" s="31" t="e">
        <f>#REF!</f>
        <v>#REF!</v>
      </c>
      <c r="I2580" s="31">
        <f>'تقرير المصروفات حسب الشهر'!Z775</f>
        <v>0</v>
      </c>
      <c r="J2580" s="31">
        <f>'تقرير المصروفات حسب الشهر'!Z902</f>
        <v>0</v>
      </c>
      <c r="K2580" s="31">
        <f>'تقرير المصروفات حسب الشهر'!Z1029</f>
        <v>0</v>
      </c>
      <c r="L2580" s="292">
        <f>IFERROR(VLOOKUP(B2580,'تقرير المصروفات حسب الشهر'!$C$1143:$AD$1254,24,FALSE),0)</f>
        <v>0</v>
      </c>
      <c r="M2580" s="292">
        <f>IFERROR(VLOOKUP(B2580,'تقرير المصروفات حسب الشهر'!$C$1270:$AD$1381,24,FALSE),0)</f>
        <v>0</v>
      </c>
      <c r="N2580" s="31" t="e">
        <f>#REF!</f>
        <v>#REF!</v>
      </c>
      <c r="O2580" s="37" t="e">
        <f t="shared" si="66"/>
        <v>#REF!</v>
      </c>
    </row>
    <row r="2581" spans="2:15" ht="17.399999999999999">
      <c r="B2581" s="42" t="s">
        <v>158</v>
      </c>
      <c r="C2581" s="39" t="e">
        <f>#REF!</f>
        <v>#REF!</v>
      </c>
      <c r="D2581" s="31" t="e">
        <f>#REF!</f>
        <v>#REF!</v>
      </c>
      <c r="E2581" s="31" t="e">
        <f>#REF!</f>
        <v>#REF!</v>
      </c>
      <c r="F2581" s="31" t="e">
        <f>#REF!</f>
        <v>#REF!</v>
      </c>
      <c r="G2581" s="31" t="e">
        <f>#REF!</f>
        <v>#REF!</v>
      </c>
      <c r="H2581" s="31" t="e">
        <f>#REF!</f>
        <v>#REF!</v>
      </c>
      <c r="I2581" s="31">
        <f>'تقرير المصروفات حسب الشهر'!Z776</f>
        <v>0</v>
      </c>
      <c r="J2581" s="31">
        <f>'تقرير المصروفات حسب الشهر'!Z903</f>
        <v>0</v>
      </c>
      <c r="K2581" s="31">
        <f>'تقرير المصروفات حسب الشهر'!Z1030</f>
        <v>0</v>
      </c>
      <c r="L2581" s="292">
        <f>IFERROR(VLOOKUP(B2581,'تقرير المصروفات حسب الشهر'!$C$1143:$AD$1254,24,FALSE),0)</f>
        <v>0</v>
      </c>
      <c r="M2581" s="292">
        <f>IFERROR(VLOOKUP(B2581,'تقرير المصروفات حسب الشهر'!$C$1270:$AD$1381,24,FALSE),0)</f>
        <v>0</v>
      </c>
      <c r="N2581" s="31" t="e">
        <f>#REF!</f>
        <v>#REF!</v>
      </c>
      <c r="O2581" s="37" t="e">
        <f t="shared" si="66"/>
        <v>#REF!</v>
      </c>
    </row>
    <row r="2582" spans="2:15" ht="17.399999999999999">
      <c r="B2582" s="42" t="s">
        <v>50</v>
      </c>
      <c r="C2582" s="39" t="e">
        <f>#REF!</f>
        <v>#REF!</v>
      </c>
      <c r="D2582" s="31" t="e">
        <f>#REF!</f>
        <v>#REF!</v>
      </c>
      <c r="E2582" s="31" t="e">
        <f>#REF!</f>
        <v>#REF!</v>
      </c>
      <c r="F2582" s="31" t="e">
        <f>#REF!</f>
        <v>#REF!</v>
      </c>
      <c r="G2582" s="31" t="e">
        <f>#REF!</f>
        <v>#REF!</v>
      </c>
      <c r="H2582" s="31" t="e">
        <f>#REF!</f>
        <v>#REF!</v>
      </c>
      <c r="I2582" s="31">
        <f>'تقرير المصروفات حسب الشهر'!Z777</f>
        <v>0</v>
      </c>
      <c r="J2582" s="31">
        <f>'تقرير المصروفات حسب الشهر'!Z904</f>
        <v>0</v>
      </c>
      <c r="K2582" s="31">
        <f>'تقرير المصروفات حسب الشهر'!Z1031</f>
        <v>0</v>
      </c>
      <c r="L2582" s="292">
        <f>IFERROR(VLOOKUP(B2582,'تقرير المصروفات حسب الشهر'!$C$1143:$AD$1254,24,FALSE),0)</f>
        <v>770</v>
      </c>
      <c r="M2582" s="292">
        <f>IFERROR(VLOOKUP(B2582,'تقرير المصروفات حسب الشهر'!$C$1270:$AD$1381,24,FALSE),0)</f>
        <v>0</v>
      </c>
      <c r="N2582" s="31" t="e">
        <f>#REF!</f>
        <v>#REF!</v>
      </c>
      <c r="O2582" s="37" t="e">
        <f t="shared" si="66"/>
        <v>#REF!</v>
      </c>
    </row>
    <row r="2583" spans="2:15" ht="17.399999999999999">
      <c r="B2583" s="42" t="s">
        <v>51</v>
      </c>
      <c r="C2583" s="39" t="e">
        <f>#REF!</f>
        <v>#REF!</v>
      </c>
      <c r="D2583" s="31" t="e">
        <f>#REF!</f>
        <v>#REF!</v>
      </c>
      <c r="E2583" s="31" t="e">
        <f>#REF!</f>
        <v>#REF!</v>
      </c>
      <c r="F2583" s="31" t="e">
        <f>#REF!</f>
        <v>#REF!</v>
      </c>
      <c r="G2583" s="31" t="e">
        <f>#REF!</f>
        <v>#REF!</v>
      </c>
      <c r="H2583" s="31" t="e">
        <f>#REF!</f>
        <v>#REF!</v>
      </c>
      <c r="I2583" s="31">
        <f>'تقرير المصروفات حسب الشهر'!Z778</f>
        <v>0</v>
      </c>
      <c r="J2583" s="31">
        <f>'تقرير المصروفات حسب الشهر'!Z905</f>
        <v>0</v>
      </c>
      <c r="K2583" s="31">
        <f>'تقرير المصروفات حسب الشهر'!Z1032</f>
        <v>0</v>
      </c>
      <c r="L2583" s="292">
        <f>IFERROR(VLOOKUP(B2583,'تقرير المصروفات حسب الشهر'!$C$1143:$AD$1254,24,FALSE),0)</f>
        <v>0</v>
      </c>
      <c r="M2583" s="292">
        <f>IFERROR(VLOOKUP(B2583,'تقرير المصروفات حسب الشهر'!$C$1270:$AD$1381,24,FALSE),0)</f>
        <v>0</v>
      </c>
      <c r="N2583" s="31" t="e">
        <f>#REF!</f>
        <v>#REF!</v>
      </c>
      <c r="O2583" s="37" t="e">
        <f t="shared" si="66"/>
        <v>#REF!</v>
      </c>
    </row>
    <row r="2584" spans="2:15" ht="17.399999999999999">
      <c r="B2584" s="42" t="s">
        <v>52</v>
      </c>
      <c r="C2584" s="39" t="e">
        <f>#REF!</f>
        <v>#REF!</v>
      </c>
      <c r="D2584" s="31" t="e">
        <f>#REF!</f>
        <v>#REF!</v>
      </c>
      <c r="E2584" s="31" t="e">
        <f>#REF!</f>
        <v>#REF!</v>
      </c>
      <c r="F2584" s="31" t="e">
        <f>#REF!</f>
        <v>#REF!</v>
      </c>
      <c r="G2584" s="31" t="e">
        <f>#REF!</f>
        <v>#REF!</v>
      </c>
      <c r="H2584" s="31" t="e">
        <f>#REF!</f>
        <v>#REF!</v>
      </c>
      <c r="I2584" s="31">
        <f>'تقرير المصروفات حسب الشهر'!Z779</f>
        <v>0</v>
      </c>
      <c r="J2584" s="31">
        <f>'تقرير المصروفات حسب الشهر'!Z906</f>
        <v>0</v>
      </c>
      <c r="K2584" s="31">
        <f>'تقرير المصروفات حسب الشهر'!Z1033</f>
        <v>0</v>
      </c>
      <c r="L2584" s="292">
        <f>IFERROR(VLOOKUP(B2584,'تقرير المصروفات حسب الشهر'!$C$1143:$AD$1254,24,FALSE),0)</f>
        <v>0</v>
      </c>
      <c r="M2584" s="292">
        <f>IFERROR(VLOOKUP(B2584,'تقرير المصروفات حسب الشهر'!$C$1270:$AD$1381,24,FALSE),0)</f>
        <v>0</v>
      </c>
      <c r="N2584" s="31" t="e">
        <f>#REF!</f>
        <v>#REF!</v>
      </c>
      <c r="O2584" s="37" t="e">
        <f t="shared" si="66"/>
        <v>#REF!</v>
      </c>
    </row>
    <row r="2585" spans="2:15" ht="17.399999999999999">
      <c r="B2585" s="42" t="s">
        <v>174</v>
      </c>
      <c r="C2585" s="39" t="e">
        <f>#REF!</f>
        <v>#REF!</v>
      </c>
      <c r="D2585" s="31" t="e">
        <f>#REF!</f>
        <v>#REF!</v>
      </c>
      <c r="E2585" s="31" t="e">
        <f>#REF!</f>
        <v>#REF!</v>
      </c>
      <c r="F2585" s="31" t="e">
        <f>#REF!</f>
        <v>#REF!</v>
      </c>
      <c r="G2585" s="31" t="e">
        <f>#REF!</f>
        <v>#REF!</v>
      </c>
      <c r="H2585" s="31" t="e">
        <f>#REF!</f>
        <v>#REF!</v>
      </c>
      <c r="I2585" s="31">
        <f>'تقرير المصروفات حسب الشهر'!Z780</f>
        <v>0</v>
      </c>
      <c r="J2585" s="31">
        <f>'تقرير المصروفات حسب الشهر'!Z907</f>
        <v>0</v>
      </c>
      <c r="K2585" s="31">
        <f>'تقرير المصروفات حسب الشهر'!Z1034</f>
        <v>0</v>
      </c>
      <c r="L2585" s="292">
        <f>IFERROR(VLOOKUP(B2585,'تقرير المصروفات حسب الشهر'!$C$1143:$AD$1254,24,FALSE),0)</f>
        <v>0</v>
      </c>
      <c r="M2585" s="292">
        <f>IFERROR(VLOOKUP(B2585,'تقرير المصروفات حسب الشهر'!$C$1270:$AD$1381,24,FALSE),0)</f>
        <v>506</v>
      </c>
      <c r="N2585" s="31" t="e">
        <f>#REF!</f>
        <v>#REF!</v>
      </c>
      <c r="O2585" s="37" t="e">
        <f t="shared" si="66"/>
        <v>#REF!</v>
      </c>
    </row>
    <row r="2586" spans="2:15" ht="17.399999999999999">
      <c r="B2586" s="42" t="s">
        <v>53</v>
      </c>
      <c r="C2586" s="39" t="e">
        <f>#REF!</f>
        <v>#REF!</v>
      </c>
      <c r="D2586" s="31" t="e">
        <f>#REF!</f>
        <v>#REF!</v>
      </c>
      <c r="E2586" s="31" t="e">
        <f>#REF!</f>
        <v>#REF!</v>
      </c>
      <c r="F2586" s="31" t="e">
        <f>#REF!</f>
        <v>#REF!</v>
      </c>
      <c r="G2586" s="31" t="e">
        <f>#REF!</f>
        <v>#REF!</v>
      </c>
      <c r="H2586" s="31" t="e">
        <f>#REF!</f>
        <v>#REF!</v>
      </c>
      <c r="I2586" s="31">
        <f>'تقرير المصروفات حسب الشهر'!Z781</f>
        <v>0</v>
      </c>
      <c r="J2586" s="31">
        <f>'تقرير المصروفات حسب الشهر'!Z908</f>
        <v>0</v>
      </c>
      <c r="K2586" s="31">
        <f>'تقرير المصروفات حسب الشهر'!Z1035</f>
        <v>0</v>
      </c>
      <c r="L2586" s="292">
        <f>IFERROR(VLOOKUP(B2586,'تقرير المصروفات حسب الشهر'!$C$1143:$AD$1254,24,FALSE),0)</f>
        <v>0</v>
      </c>
      <c r="M2586" s="292">
        <f>IFERROR(VLOOKUP(B2586,'تقرير المصروفات حسب الشهر'!$C$1270:$AD$1381,24,FALSE),0)</f>
        <v>0</v>
      </c>
      <c r="N2586" s="31" t="e">
        <f>#REF!</f>
        <v>#REF!</v>
      </c>
      <c r="O2586" s="37" t="e">
        <f t="shared" si="66"/>
        <v>#REF!</v>
      </c>
    </row>
    <row r="2587" spans="2:15" ht="17.399999999999999">
      <c r="B2587" s="42" t="s">
        <v>191</v>
      </c>
      <c r="C2587" s="39" t="e">
        <f>#REF!</f>
        <v>#REF!</v>
      </c>
      <c r="D2587" s="31" t="e">
        <f>#REF!</f>
        <v>#REF!</v>
      </c>
      <c r="E2587" s="31" t="e">
        <f>#REF!</f>
        <v>#REF!</v>
      </c>
      <c r="F2587" s="31" t="e">
        <f>#REF!</f>
        <v>#REF!</v>
      </c>
      <c r="G2587" s="31" t="e">
        <f>#REF!</f>
        <v>#REF!</v>
      </c>
      <c r="H2587" s="31" t="e">
        <f>#REF!</f>
        <v>#REF!</v>
      </c>
      <c r="I2587" s="31">
        <f>'تقرير المصروفات حسب الشهر'!Z782</f>
        <v>0</v>
      </c>
      <c r="J2587" s="31">
        <f>'تقرير المصروفات حسب الشهر'!Z909</f>
        <v>0</v>
      </c>
      <c r="K2587" s="31">
        <f>'تقرير المصروفات حسب الشهر'!Z1036</f>
        <v>0</v>
      </c>
      <c r="L2587" s="292">
        <f>IFERROR(VLOOKUP(B2587,'تقرير المصروفات حسب الشهر'!$C$1143:$AD$1254,24,FALSE),0)</f>
        <v>0</v>
      </c>
      <c r="M2587" s="292">
        <f>IFERROR(VLOOKUP(B2587,'تقرير المصروفات حسب الشهر'!$C$1270:$AD$1381,24,FALSE),0)</f>
        <v>0</v>
      </c>
      <c r="N2587" s="31" t="e">
        <f>#REF!</f>
        <v>#REF!</v>
      </c>
      <c r="O2587" s="37" t="e">
        <f t="shared" si="66"/>
        <v>#REF!</v>
      </c>
    </row>
    <row r="2588" spans="2:15" ht="17.399999999999999">
      <c r="B2588" s="42" t="s">
        <v>29</v>
      </c>
      <c r="C2588" s="39" t="e">
        <f>#REF!</f>
        <v>#REF!</v>
      </c>
      <c r="D2588" s="31" t="e">
        <f>#REF!</f>
        <v>#REF!</v>
      </c>
      <c r="E2588" s="31" t="e">
        <f>#REF!</f>
        <v>#REF!</v>
      </c>
      <c r="F2588" s="31" t="e">
        <f>#REF!</f>
        <v>#REF!</v>
      </c>
      <c r="G2588" s="31" t="e">
        <f>#REF!</f>
        <v>#REF!</v>
      </c>
      <c r="H2588" s="31" t="e">
        <f>#REF!</f>
        <v>#REF!</v>
      </c>
      <c r="I2588" s="31">
        <f>'تقرير المصروفات حسب الشهر'!Z783</f>
        <v>0</v>
      </c>
      <c r="J2588" s="31">
        <f>'تقرير المصروفات حسب الشهر'!Z910</f>
        <v>0</v>
      </c>
      <c r="K2588" s="31">
        <f>'تقرير المصروفات حسب الشهر'!Z1037</f>
        <v>0</v>
      </c>
      <c r="L2588" s="292">
        <f>IFERROR(VLOOKUP(B2588,'تقرير المصروفات حسب الشهر'!$C$1143:$AD$1254,24,FALSE),0)</f>
        <v>0</v>
      </c>
      <c r="M2588" s="292">
        <f>IFERROR(VLOOKUP(B2588,'تقرير المصروفات حسب الشهر'!$C$1270:$AD$1381,24,FALSE),0)</f>
        <v>0</v>
      </c>
      <c r="N2588" s="31" t="e">
        <f>#REF!</f>
        <v>#REF!</v>
      </c>
      <c r="O2588" s="37" t="e">
        <f t="shared" si="66"/>
        <v>#REF!</v>
      </c>
    </row>
    <row r="2589" spans="2:15" ht="17.399999999999999">
      <c r="B2589" s="42" t="s">
        <v>54</v>
      </c>
      <c r="C2589" s="39" t="e">
        <f>#REF!</f>
        <v>#REF!</v>
      </c>
      <c r="D2589" s="31" t="e">
        <f>#REF!</f>
        <v>#REF!</v>
      </c>
      <c r="E2589" s="31" t="e">
        <f>#REF!</f>
        <v>#REF!</v>
      </c>
      <c r="F2589" s="31" t="e">
        <f>#REF!</f>
        <v>#REF!</v>
      </c>
      <c r="G2589" s="31" t="e">
        <f>#REF!</f>
        <v>#REF!</v>
      </c>
      <c r="H2589" s="31" t="e">
        <f>#REF!</f>
        <v>#REF!</v>
      </c>
      <c r="I2589" s="31">
        <f>'تقرير المصروفات حسب الشهر'!Z784</f>
        <v>0</v>
      </c>
      <c r="J2589" s="31">
        <f>'تقرير المصروفات حسب الشهر'!Z911</f>
        <v>0</v>
      </c>
      <c r="K2589" s="31">
        <f>'تقرير المصروفات حسب الشهر'!Z1038</f>
        <v>0</v>
      </c>
      <c r="L2589" s="292">
        <f>IFERROR(VLOOKUP(B2589,'تقرير المصروفات حسب الشهر'!$C$1143:$AD$1254,24,FALSE),0)</f>
        <v>0</v>
      </c>
      <c r="M2589" s="292">
        <f>IFERROR(VLOOKUP(B2589,'تقرير المصروفات حسب الشهر'!$C$1270:$AD$1381,24,FALSE),0)</f>
        <v>0</v>
      </c>
      <c r="N2589" s="31" t="e">
        <f>#REF!</f>
        <v>#REF!</v>
      </c>
      <c r="O2589" s="37" t="e">
        <f t="shared" si="66"/>
        <v>#REF!</v>
      </c>
    </row>
    <row r="2590" spans="2:15" ht="17.399999999999999">
      <c r="B2590" s="42" t="s">
        <v>31</v>
      </c>
      <c r="C2590" s="39" t="e">
        <f>#REF!</f>
        <v>#REF!</v>
      </c>
      <c r="D2590" s="31" t="e">
        <f>#REF!</f>
        <v>#REF!</v>
      </c>
      <c r="E2590" s="31" t="e">
        <f>#REF!</f>
        <v>#REF!</v>
      </c>
      <c r="F2590" s="31" t="e">
        <f>#REF!</f>
        <v>#REF!</v>
      </c>
      <c r="G2590" s="31" t="e">
        <f>#REF!</f>
        <v>#REF!</v>
      </c>
      <c r="H2590" s="31" t="e">
        <f>#REF!</f>
        <v>#REF!</v>
      </c>
      <c r="I2590" s="31">
        <f>'تقرير المصروفات حسب الشهر'!Z785</f>
        <v>0</v>
      </c>
      <c r="J2590" s="31">
        <f>'تقرير المصروفات حسب الشهر'!Z912</f>
        <v>0</v>
      </c>
      <c r="K2590" s="31">
        <f>'تقرير المصروفات حسب الشهر'!Z1039</f>
        <v>0</v>
      </c>
      <c r="L2590" s="292">
        <f>IFERROR(VLOOKUP(B2590,'تقرير المصروفات حسب الشهر'!$C$1143:$AD$1254,24,FALSE),0)</f>
        <v>0</v>
      </c>
      <c r="M2590" s="292">
        <f>IFERROR(VLOOKUP(B2590,'تقرير المصروفات حسب الشهر'!$C$1270:$AD$1381,24,FALSE),0)</f>
        <v>0</v>
      </c>
      <c r="N2590" s="31" t="e">
        <f>#REF!</f>
        <v>#REF!</v>
      </c>
      <c r="O2590" s="37" t="e">
        <f t="shared" si="66"/>
        <v>#REF!</v>
      </c>
    </row>
    <row r="2591" spans="2:15" ht="17.399999999999999">
      <c r="B2591" s="42" t="s">
        <v>55</v>
      </c>
      <c r="C2591" s="39" t="e">
        <f>#REF!</f>
        <v>#REF!</v>
      </c>
      <c r="D2591" s="31" t="e">
        <f>#REF!</f>
        <v>#REF!</v>
      </c>
      <c r="E2591" s="31" t="e">
        <f>#REF!</f>
        <v>#REF!</v>
      </c>
      <c r="F2591" s="31" t="e">
        <f>#REF!</f>
        <v>#REF!</v>
      </c>
      <c r="G2591" s="31" t="e">
        <f>#REF!</f>
        <v>#REF!</v>
      </c>
      <c r="H2591" s="31" t="e">
        <f>#REF!</f>
        <v>#REF!</v>
      </c>
      <c r="I2591" s="31">
        <f>'تقرير المصروفات حسب الشهر'!Z786</f>
        <v>0</v>
      </c>
      <c r="J2591" s="31">
        <f>'تقرير المصروفات حسب الشهر'!Z913</f>
        <v>0</v>
      </c>
      <c r="K2591" s="31">
        <f>'تقرير المصروفات حسب الشهر'!Z1040</f>
        <v>0</v>
      </c>
      <c r="L2591" s="292">
        <f>IFERROR(VLOOKUP(B2591,'تقرير المصروفات حسب الشهر'!$C$1143:$AD$1254,24,FALSE),0)</f>
        <v>0</v>
      </c>
      <c r="M2591" s="292">
        <f>IFERROR(VLOOKUP(B2591,'تقرير المصروفات حسب الشهر'!$C$1270:$AD$1381,24,FALSE),0)</f>
        <v>0</v>
      </c>
      <c r="N2591" s="31" t="e">
        <f>#REF!</f>
        <v>#REF!</v>
      </c>
      <c r="O2591" s="37" t="e">
        <f t="shared" si="66"/>
        <v>#REF!</v>
      </c>
    </row>
    <row r="2592" spans="2:15" ht="17.399999999999999">
      <c r="B2592" s="42" t="s">
        <v>56</v>
      </c>
      <c r="C2592" s="39" t="e">
        <f>#REF!</f>
        <v>#REF!</v>
      </c>
      <c r="D2592" s="31" t="e">
        <f>#REF!</f>
        <v>#REF!</v>
      </c>
      <c r="E2592" s="31" t="e">
        <f>#REF!</f>
        <v>#REF!</v>
      </c>
      <c r="F2592" s="31" t="e">
        <f>#REF!</f>
        <v>#REF!</v>
      </c>
      <c r="G2592" s="31" t="e">
        <f>#REF!</f>
        <v>#REF!</v>
      </c>
      <c r="H2592" s="31" t="e">
        <f>#REF!</f>
        <v>#REF!</v>
      </c>
      <c r="I2592" s="31">
        <f>'تقرير المصروفات حسب الشهر'!Z787</f>
        <v>0</v>
      </c>
      <c r="J2592" s="31">
        <f>'تقرير المصروفات حسب الشهر'!Z914</f>
        <v>0</v>
      </c>
      <c r="K2592" s="31">
        <f>'تقرير المصروفات حسب الشهر'!Z1041</f>
        <v>0</v>
      </c>
      <c r="L2592" s="292">
        <f>IFERROR(VLOOKUP(B2592,'تقرير المصروفات حسب الشهر'!$C$1143:$AD$1254,24,FALSE),0)</f>
        <v>0</v>
      </c>
      <c r="M2592" s="292">
        <f>IFERROR(VLOOKUP(B2592,'تقرير المصروفات حسب الشهر'!$C$1270:$AD$1381,24,FALSE),0)</f>
        <v>0</v>
      </c>
      <c r="N2592" s="31" t="e">
        <f>#REF!</f>
        <v>#REF!</v>
      </c>
      <c r="O2592" s="37" t="e">
        <f t="shared" si="66"/>
        <v>#REF!</v>
      </c>
    </row>
    <row r="2593" spans="2:15" ht="17.399999999999999">
      <c r="B2593" s="42" t="s">
        <v>57</v>
      </c>
      <c r="C2593" s="39" t="e">
        <f>#REF!</f>
        <v>#REF!</v>
      </c>
      <c r="D2593" s="31" t="e">
        <f>#REF!</f>
        <v>#REF!</v>
      </c>
      <c r="E2593" s="31" t="e">
        <f>#REF!</f>
        <v>#REF!</v>
      </c>
      <c r="F2593" s="31" t="e">
        <f>#REF!</f>
        <v>#REF!</v>
      </c>
      <c r="G2593" s="31" t="e">
        <f>#REF!</f>
        <v>#REF!</v>
      </c>
      <c r="H2593" s="31" t="e">
        <f>#REF!</f>
        <v>#REF!</v>
      </c>
      <c r="I2593" s="31">
        <f>'تقرير المصروفات حسب الشهر'!Z788</f>
        <v>0</v>
      </c>
      <c r="J2593" s="31">
        <f>'تقرير المصروفات حسب الشهر'!Z915</f>
        <v>0</v>
      </c>
      <c r="K2593" s="31">
        <f>'تقرير المصروفات حسب الشهر'!Z1042</f>
        <v>0</v>
      </c>
      <c r="L2593" s="292">
        <f>IFERROR(VLOOKUP(B2593,'تقرير المصروفات حسب الشهر'!$C$1143:$AD$1254,24,FALSE),0)</f>
        <v>0</v>
      </c>
      <c r="M2593" s="292">
        <f>IFERROR(VLOOKUP(B2593,'تقرير المصروفات حسب الشهر'!$C$1270:$AD$1381,24,FALSE),0)</f>
        <v>0</v>
      </c>
      <c r="N2593" s="31" t="e">
        <f>#REF!</f>
        <v>#REF!</v>
      </c>
      <c r="O2593" s="37" t="e">
        <f t="shared" si="66"/>
        <v>#REF!</v>
      </c>
    </row>
    <row r="2594" spans="2:15" ht="17.399999999999999">
      <c r="B2594" s="42" t="s">
        <v>58</v>
      </c>
      <c r="C2594" s="39" t="e">
        <f>#REF!</f>
        <v>#REF!</v>
      </c>
      <c r="D2594" s="31" t="e">
        <f>#REF!</f>
        <v>#REF!</v>
      </c>
      <c r="E2594" s="31" t="e">
        <f>#REF!</f>
        <v>#REF!</v>
      </c>
      <c r="F2594" s="31" t="e">
        <f>#REF!</f>
        <v>#REF!</v>
      </c>
      <c r="G2594" s="31" t="e">
        <f>#REF!</f>
        <v>#REF!</v>
      </c>
      <c r="H2594" s="31" t="e">
        <f>#REF!</f>
        <v>#REF!</v>
      </c>
      <c r="I2594" s="31">
        <f>'تقرير المصروفات حسب الشهر'!Z789</f>
        <v>0</v>
      </c>
      <c r="J2594" s="31">
        <f>'تقرير المصروفات حسب الشهر'!Z916</f>
        <v>0</v>
      </c>
      <c r="K2594" s="31">
        <f>'تقرير المصروفات حسب الشهر'!Z1043</f>
        <v>0</v>
      </c>
      <c r="L2594" s="292">
        <f>IFERROR(VLOOKUP(B2594,'تقرير المصروفات حسب الشهر'!$C$1143:$AD$1254,24,FALSE),0)</f>
        <v>0</v>
      </c>
      <c r="M2594" s="292">
        <f>IFERROR(VLOOKUP(B2594,'تقرير المصروفات حسب الشهر'!$C$1270:$AD$1381,24,FALSE),0)</f>
        <v>0</v>
      </c>
      <c r="N2594" s="31" t="e">
        <f>#REF!</f>
        <v>#REF!</v>
      </c>
      <c r="O2594" s="37" t="e">
        <f t="shared" si="66"/>
        <v>#REF!</v>
      </c>
    </row>
    <row r="2595" spans="2:15" ht="17.399999999999999">
      <c r="B2595" s="42" t="s">
        <v>59</v>
      </c>
      <c r="C2595" s="39" t="e">
        <f>#REF!</f>
        <v>#REF!</v>
      </c>
      <c r="D2595" s="31" t="e">
        <f>#REF!</f>
        <v>#REF!</v>
      </c>
      <c r="E2595" s="31" t="e">
        <f>#REF!</f>
        <v>#REF!</v>
      </c>
      <c r="F2595" s="31" t="e">
        <f>#REF!</f>
        <v>#REF!</v>
      </c>
      <c r="G2595" s="31" t="e">
        <f>#REF!</f>
        <v>#REF!</v>
      </c>
      <c r="H2595" s="31" t="e">
        <f>#REF!</f>
        <v>#REF!</v>
      </c>
      <c r="I2595" s="31">
        <f>'تقرير المصروفات حسب الشهر'!Z790</f>
        <v>0</v>
      </c>
      <c r="J2595" s="31">
        <f>'تقرير المصروفات حسب الشهر'!Z917</f>
        <v>0</v>
      </c>
      <c r="K2595" s="31">
        <f>'تقرير المصروفات حسب الشهر'!Z1044</f>
        <v>0</v>
      </c>
      <c r="L2595" s="292">
        <f>IFERROR(VLOOKUP(B2595,'تقرير المصروفات حسب الشهر'!$C$1143:$AD$1254,24,FALSE),0)</f>
        <v>0</v>
      </c>
      <c r="M2595" s="292">
        <f>IFERROR(VLOOKUP(B2595,'تقرير المصروفات حسب الشهر'!$C$1270:$AD$1381,24,FALSE),0)</f>
        <v>0</v>
      </c>
      <c r="N2595" s="31" t="e">
        <f>#REF!</f>
        <v>#REF!</v>
      </c>
      <c r="O2595" s="37" t="e">
        <f t="shared" si="66"/>
        <v>#REF!</v>
      </c>
    </row>
    <row r="2596" spans="2:15" ht="17.399999999999999">
      <c r="B2596" s="42" t="s">
        <v>60</v>
      </c>
      <c r="C2596" s="39" t="e">
        <f>#REF!</f>
        <v>#REF!</v>
      </c>
      <c r="D2596" s="31" t="e">
        <f>#REF!</f>
        <v>#REF!</v>
      </c>
      <c r="E2596" s="31" t="e">
        <f>#REF!</f>
        <v>#REF!</v>
      </c>
      <c r="F2596" s="31" t="e">
        <f>#REF!</f>
        <v>#REF!</v>
      </c>
      <c r="G2596" s="31" t="e">
        <f>#REF!</f>
        <v>#REF!</v>
      </c>
      <c r="H2596" s="31" t="e">
        <f>#REF!</f>
        <v>#REF!</v>
      </c>
      <c r="I2596" s="31">
        <f>'تقرير المصروفات حسب الشهر'!Z791</f>
        <v>0</v>
      </c>
      <c r="J2596" s="31">
        <f>'تقرير المصروفات حسب الشهر'!Z918</f>
        <v>0</v>
      </c>
      <c r="K2596" s="31">
        <f>'تقرير المصروفات حسب الشهر'!Z1045</f>
        <v>0</v>
      </c>
      <c r="L2596" s="292">
        <f>IFERROR(VLOOKUP(B2596,'تقرير المصروفات حسب الشهر'!$C$1143:$AD$1254,24,FALSE),0)</f>
        <v>0</v>
      </c>
      <c r="M2596" s="292">
        <f>IFERROR(VLOOKUP(B2596,'تقرير المصروفات حسب الشهر'!$C$1270:$AD$1381,24,FALSE),0)</f>
        <v>0</v>
      </c>
      <c r="N2596" s="31" t="e">
        <f>#REF!</f>
        <v>#REF!</v>
      </c>
      <c r="O2596" s="37" t="e">
        <f t="shared" si="66"/>
        <v>#REF!</v>
      </c>
    </row>
    <row r="2597" spans="2:15" ht="17.399999999999999">
      <c r="B2597" s="42" t="s">
        <v>61</v>
      </c>
      <c r="C2597" s="39" t="e">
        <f>#REF!</f>
        <v>#REF!</v>
      </c>
      <c r="D2597" s="31" t="e">
        <f>#REF!</f>
        <v>#REF!</v>
      </c>
      <c r="E2597" s="31" t="e">
        <f>#REF!</f>
        <v>#REF!</v>
      </c>
      <c r="F2597" s="31" t="e">
        <f>#REF!</f>
        <v>#REF!</v>
      </c>
      <c r="G2597" s="31" t="e">
        <f>#REF!</f>
        <v>#REF!</v>
      </c>
      <c r="H2597" s="31" t="e">
        <f>#REF!</f>
        <v>#REF!</v>
      </c>
      <c r="I2597" s="31">
        <f>'تقرير المصروفات حسب الشهر'!Z792</f>
        <v>0</v>
      </c>
      <c r="J2597" s="31">
        <f>'تقرير المصروفات حسب الشهر'!Z919</f>
        <v>0</v>
      </c>
      <c r="K2597" s="31">
        <f>'تقرير المصروفات حسب الشهر'!Z1046</f>
        <v>0</v>
      </c>
      <c r="L2597" s="292">
        <f>IFERROR(VLOOKUP(B2597,'تقرير المصروفات حسب الشهر'!$C$1143:$AD$1254,24,FALSE),0)</f>
        <v>0</v>
      </c>
      <c r="M2597" s="292">
        <f>IFERROR(VLOOKUP(B2597,'تقرير المصروفات حسب الشهر'!$C$1270:$AD$1381,24,FALSE),0)</f>
        <v>0</v>
      </c>
      <c r="N2597" s="31" t="e">
        <f>#REF!</f>
        <v>#REF!</v>
      </c>
      <c r="O2597" s="37" t="e">
        <f t="shared" si="66"/>
        <v>#REF!</v>
      </c>
    </row>
    <row r="2598" spans="2:15" ht="17.399999999999999">
      <c r="B2598" s="42" t="s">
        <v>62</v>
      </c>
      <c r="C2598" s="39" t="e">
        <f>#REF!</f>
        <v>#REF!</v>
      </c>
      <c r="D2598" s="31" t="e">
        <f>#REF!</f>
        <v>#REF!</v>
      </c>
      <c r="E2598" s="31" t="e">
        <f>#REF!</f>
        <v>#REF!</v>
      </c>
      <c r="F2598" s="31" t="e">
        <f>#REF!</f>
        <v>#REF!</v>
      </c>
      <c r="G2598" s="31" t="e">
        <f>#REF!</f>
        <v>#REF!</v>
      </c>
      <c r="H2598" s="31" t="e">
        <f>#REF!</f>
        <v>#REF!</v>
      </c>
      <c r="I2598" s="31">
        <f>'تقرير المصروفات حسب الشهر'!Z793</f>
        <v>0</v>
      </c>
      <c r="J2598" s="31">
        <f>'تقرير المصروفات حسب الشهر'!Z920</f>
        <v>0</v>
      </c>
      <c r="K2598" s="31">
        <f>'تقرير المصروفات حسب الشهر'!Z1047</f>
        <v>0</v>
      </c>
      <c r="L2598" s="292">
        <f>IFERROR(VLOOKUP(B2598,'تقرير المصروفات حسب الشهر'!$C$1143:$AD$1254,24,FALSE),0)</f>
        <v>0</v>
      </c>
      <c r="M2598" s="292">
        <f>IFERROR(VLOOKUP(B2598,'تقرير المصروفات حسب الشهر'!$C$1270:$AD$1381,24,FALSE),0)</f>
        <v>0</v>
      </c>
      <c r="N2598" s="31" t="e">
        <f>#REF!</f>
        <v>#REF!</v>
      </c>
      <c r="O2598" s="37" t="e">
        <f t="shared" si="66"/>
        <v>#REF!</v>
      </c>
    </row>
    <row r="2599" spans="2:15" ht="17.399999999999999">
      <c r="B2599" s="42" t="s">
        <v>63</v>
      </c>
      <c r="C2599" s="39" t="e">
        <f>#REF!</f>
        <v>#REF!</v>
      </c>
      <c r="D2599" s="31" t="e">
        <f>#REF!</f>
        <v>#REF!</v>
      </c>
      <c r="E2599" s="31" t="e">
        <f>#REF!</f>
        <v>#REF!</v>
      </c>
      <c r="F2599" s="31" t="e">
        <f>#REF!</f>
        <v>#REF!</v>
      </c>
      <c r="G2599" s="31" t="e">
        <f>#REF!</f>
        <v>#REF!</v>
      </c>
      <c r="H2599" s="31" t="e">
        <f>#REF!</f>
        <v>#REF!</v>
      </c>
      <c r="I2599" s="31">
        <f>'تقرير المصروفات حسب الشهر'!Z794</f>
        <v>0</v>
      </c>
      <c r="J2599" s="31">
        <f>'تقرير المصروفات حسب الشهر'!Z921</f>
        <v>0</v>
      </c>
      <c r="K2599" s="31">
        <f>'تقرير المصروفات حسب الشهر'!Z1048</f>
        <v>0</v>
      </c>
      <c r="L2599" s="292">
        <f>IFERROR(VLOOKUP(B2599,'تقرير المصروفات حسب الشهر'!$C$1143:$AD$1254,24,FALSE),0)</f>
        <v>0</v>
      </c>
      <c r="M2599" s="292">
        <f>IFERROR(VLOOKUP(B2599,'تقرير المصروفات حسب الشهر'!$C$1270:$AD$1381,24,FALSE),0)</f>
        <v>0</v>
      </c>
      <c r="N2599" s="31" t="e">
        <f>#REF!</f>
        <v>#REF!</v>
      </c>
      <c r="O2599" s="37" t="e">
        <f t="shared" si="66"/>
        <v>#REF!</v>
      </c>
    </row>
    <row r="2600" spans="2:15" ht="17.399999999999999">
      <c r="B2600" s="42" t="s">
        <v>64</v>
      </c>
      <c r="C2600" s="39" t="e">
        <f>#REF!</f>
        <v>#REF!</v>
      </c>
      <c r="D2600" s="31" t="e">
        <f>#REF!</f>
        <v>#REF!</v>
      </c>
      <c r="E2600" s="31" t="e">
        <f>#REF!</f>
        <v>#REF!</v>
      </c>
      <c r="F2600" s="31" t="e">
        <f>#REF!</f>
        <v>#REF!</v>
      </c>
      <c r="G2600" s="31" t="e">
        <f>#REF!</f>
        <v>#REF!</v>
      </c>
      <c r="H2600" s="31" t="e">
        <f>#REF!</f>
        <v>#REF!</v>
      </c>
      <c r="I2600" s="31">
        <f>'تقرير المصروفات حسب الشهر'!Z795</f>
        <v>5950</v>
      </c>
      <c r="J2600" s="31">
        <f>'تقرير المصروفات حسب الشهر'!Z922</f>
        <v>0</v>
      </c>
      <c r="K2600" s="31">
        <f>'تقرير المصروفات حسب الشهر'!Z1049</f>
        <v>0</v>
      </c>
      <c r="L2600" s="292">
        <f>IFERROR(VLOOKUP(B2600,'تقرير المصروفات حسب الشهر'!$C$1143:$AD$1254,24,FALSE),0)</f>
        <v>200</v>
      </c>
      <c r="M2600" s="292">
        <f>IFERROR(VLOOKUP(B2600,'تقرير المصروفات حسب الشهر'!$C$1270:$AD$1381,24,FALSE),0)</f>
        <v>0</v>
      </c>
      <c r="N2600" s="31" t="e">
        <f>#REF!</f>
        <v>#REF!</v>
      </c>
      <c r="O2600" s="37" t="e">
        <f t="shared" si="66"/>
        <v>#REF!</v>
      </c>
    </row>
    <row r="2601" spans="2:15" ht="17.399999999999999">
      <c r="B2601" s="42" t="s">
        <v>28</v>
      </c>
      <c r="C2601" s="39" t="e">
        <f>#REF!</f>
        <v>#REF!</v>
      </c>
      <c r="D2601" s="31" t="e">
        <f>#REF!</f>
        <v>#REF!</v>
      </c>
      <c r="E2601" s="31" t="e">
        <f>#REF!</f>
        <v>#REF!</v>
      </c>
      <c r="F2601" s="31" t="e">
        <f>#REF!</f>
        <v>#REF!</v>
      </c>
      <c r="G2601" s="31" t="e">
        <f>#REF!</f>
        <v>#REF!</v>
      </c>
      <c r="H2601" s="31" t="e">
        <f>#REF!</f>
        <v>#REF!</v>
      </c>
      <c r="I2601" s="31">
        <f>'تقرير المصروفات حسب الشهر'!Z796</f>
        <v>0</v>
      </c>
      <c r="J2601" s="31">
        <f>'تقرير المصروفات حسب الشهر'!Z923</f>
        <v>0</v>
      </c>
      <c r="K2601" s="31">
        <f>'تقرير المصروفات حسب الشهر'!Z1050</f>
        <v>0</v>
      </c>
      <c r="L2601" s="292">
        <f>IFERROR(VLOOKUP(B2601,'تقرير المصروفات حسب الشهر'!$C$1143:$AD$1254,24,FALSE),0)</f>
        <v>0</v>
      </c>
      <c r="M2601" s="292">
        <f>IFERROR(VLOOKUP(B2601,'تقرير المصروفات حسب الشهر'!$C$1270:$AD$1381,24,FALSE),0)</f>
        <v>0</v>
      </c>
      <c r="N2601" s="31" t="e">
        <f>#REF!</f>
        <v>#REF!</v>
      </c>
      <c r="O2601" s="37" t="e">
        <f t="shared" si="66"/>
        <v>#REF!</v>
      </c>
    </row>
    <row r="2602" spans="2:15" ht="17.399999999999999">
      <c r="B2602" s="42" t="s">
        <v>157</v>
      </c>
      <c r="C2602" s="39" t="e">
        <f>#REF!</f>
        <v>#REF!</v>
      </c>
      <c r="D2602" s="31" t="e">
        <f>#REF!</f>
        <v>#REF!</v>
      </c>
      <c r="E2602" s="31" t="e">
        <f>#REF!</f>
        <v>#REF!</v>
      </c>
      <c r="F2602" s="31" t="e">
        <f>#REF!</f>
        <v>#REF!</v>
      </c>
      <c r="G2602" s="31" t="e">
        <f>#REF!</f>
        <v>#REF!</v>
      </c>
      <c r="H2602" s="31" t="e">
        <f>#REF!</f>
        <v>#REF!</v>
      </c>
      <c r="I2602" s="31">
        <f>'تقرير المصروفات حسب الشهر'!Z797</f>
        <v>0</v>
      </c>
      <c r="J2602" s="31">
        <f>'تقرير المصروفات حسب الشهر'!Z924</f>
        <v>0</v>
      </c>
      <c r="K2602" s="31">
        <f>'تقرير المصروفات حسب الشهر'!Z1051</f>
        <v>0</v>
      </c>
      <c r="L2602" s="292">
        <f>IFERROR(VLOOKUP(B2602,'تقرير المصروفات حسب الشهر'!$C$1143:$AD$1254,24,FALSE),0)</f>
        <v>0</v>
      </c>
      <c r="M2602" s="292">
        <f>IFERROR(VLOOKUP(B2602,'تقرير المصروفات حسب الشهر'!$C$1270:$AD$1381,24,FALSE),0)</f>
        <v>0</v>
      </c>
      <c r="N2602" s="31" t="e">
        <f>#REF!</f>
        <v>#REF!</v>
      </c>
      <c r="O2602" s="37" t="e">
        <f t="shared" si="66"/>
        <v>#REF!</v>
      </c>
    </row>
    <row r="2603" spans="2:15" ht="17.399999999999999">
      <c r="B2603" s="42" t="s">
        <v>65</v>
      </c>
      <c r="C2603" s="39" t="e">
        <f>#REF!</f>
        <v>#REF!</v>
      </c>
      <c r="D2603" s="31" t="e">
        <f>#REF!</f>
        <v>#REF!</v>
      </c>
      <c r="E2603" s="31" t="e">
        <f>#REF!</f>
        <v>#REF!</v>
      </c>
      <c r="F2603" s="31" t="e">
        <f>#REF!</f>
        <v>#REF!</v>
      </c>
      <c r="G2603" s="31" t="e">
        <f>#REF!</f>
        <v>#REF!</v>
      </c>
      <c r="H2603" s="31" t="e">
        <f>#REF!</f>
        <v>#REF!</v>
      </c>
      <c r="I2603" s="31">
        <f>'تقرير المصروفات حسب الشهر'!Z798</f>
        <v>0</v>
      </c>
      <c r="J2603" s="31">
        <f>'تقرير المصروفات حسب الشهر'!Z925</f>
        <v>0</v>
      </c>
      <c r="K2603" s="31">
        <f>'تقرير المصروفات حسب الشهر'!Z1052</f>
        <v>0</v>
      </c>
      <c r="L2603" s="292">
        <f>IFERROR(VLOOKUP(B2603,'تقرير المصروفات حسب الشهر'!$C$1143:$AD$1254,24,FALSE),0)</f>
        <v>0</v>
      </c>
      <c r="M2603" s="292">
        <f>IFERROR(VLOOKUP(B2603,'تقرير المصروفات حسب الشهر'!$C$1270:$AD$1381,24,FALSE),0)</f>
        <v>0</v>
      </c>
      <c r="N2603" s="31" t="e">
        <f>#REF!</f>
        <v>#REF!</v>
      </c>
      <c r="O2603" s="37" t="e">
        <f t="shared" si="66"/>
        <v>#REF!</v>
      </c>
    </row>
    <row r="2604" spans="2:15" ht="17.399999999999999">
      <c r="B2604" s="42" t="s">
        <v>66</v>
      </c>
      <c r="C2604" s="39" t="e">
        <f>#REF!</f>
        <v>#REF!</v>
      </c>
      <c r="D2604" s="31" t="e">
        <f>#REF!</f>
        <v>#REF!</v>
      </c>
      <c r="E2604" s="31" t="e">
        <f>#REF!</f>
        <v>#REF!</v>
      </c>
      <c r="F2604" s="31" t="e">
        <f>#REF!</f>
        <v>#REF!</v>
      </c>
      <c r="G2604" s="31" t="e">
        <f>#REF!</f>
        <v>#REF!</v>
      </c>
      <c r="H2604" s="31" t="e">
        <f>#REF!</f>
        <v>#REF!</v>
      </c>
      <c r="I2604" s="31">
        <f>'تقرير المصروفات حسب الشهر'!Z799</f>
        <v>0</v>
      </c>
      <c r="J2604" s="31">
        <f>'تقرير المصروفات حسب الشهر'!Z926</f>
        <v>0</v>
      </c>
      <c r="K2604" s="31">
        <f>'تقرير المصروفات حسب الشهر'!Z1053</f>
        <v>0</v>
      </c>
      <c r="L2604" s="292">
        <f>IFERROR(VLOOKUP(B2604,'تقرير المصروفات حسب الشهر'!$C$1143:$AD$1254,24,FALSE),0)</f>
        <v>0</v>
      </c>
      <c r="M2604" s="292">
        <f>IFERROR(VLOOKUP(B2604,'تقرير المصروفات حسب الشهر'!$C$1270:$AD$1381,24,FALSE),0)</f>
        <v>0</v>
      </c>
      <c r="N2604" s="31" t="e">
        <f>#REF!</f>
        <v>#REF!</v>
      </c>
      <c r="O2604" s="37" t="e">
        <f t="shared" si="66"/>
        <v>#REF!</v>
      </c>
    </row>
    <row r="2605" spans="2:15" ht="17.399999999999999">
      <c r="B2605" s="42" t="s">
        <v>30</v>
      </c>
      <c r="C2605" s="39" t="e">
        <f>#REF!</f>
        <v>#REF!</v>
      </c>
      <c r="D2605" s="31" t="e">
        <f>#REF!</f>
        <v>#REF!</v>
      </c>
      <c r="E2605" s="31" t="e">
        <f>#REF!</f>
        <v>#REF!</v>
      </c>
      <c r="F2605" s="31" t="e">
        <f>#REF!</f>
        <v>#REF!</v>
      </c>
      <c r="G2605" s="31" t="e">
        <f>#REF!</f>
        <v>#REF!</v>
      </c>
      <c r="H2605" s="31" t="e">
        <f>#REF!</f>
        <v>#REF!</v>
      </c>
      <c r="I2605" s="31">
        <f>'تقرير المصروفات حسب الشهر'!Z800</f>
        <v>1900.25</v>
      </c>
      <c r="J2605" s="31">
        <f>'تقرير المصروفات حسب الشهر'!Z927</f>
        <v>0</v>
      </c>
      <c r="K2605" s="31">
        <f>'تقرير المصروفات حسب الشهر'!Z1054</f>
        <v>4999.25</v>
      </c>
      <c r="L2605" s="292">
        <f>IFERROR(VLOOKUP(B2605,'تقرير المصروفات حسب الشهر'!$C$1143:$AD$1254,24,FALSE),0)</f>
        <v>1300</v>
      </c>
      <c r="M2605" s="292">
        <f>IFERROR(VLOOKUP(B2605,'تقرير المصروفات حسب الشهر'!$C$1270:$AD$1381,24,FALSE),0)</f>
        <v>7888.25</v>
      </c>
      <c r="N2605" s="31" t="e">
        <f>#REF!</f>
        <v>#REF!</v>
      </c>
      <c r="O2605" s="37" t="e">
        <f t="shared" si="66"/>
        <v>#REF!</v>
      </c>
    </row>
    <row r="2606" spans="2:15" ht="17.399999999999999">
      <c r="B2606" s="42" t="s">
        <v>67</v>
      </c>
      <c r="C2606" s="39" t="e">
        <f>#REF!</f>
        <v>#REF!</v>
      </c>
      <c r="D2606" s="31" t="e">
        <f>#REF!</f>
        <v>#REF!</v>
      </c>
      <c r="E2606" s="31" t="e">
        <f>#REF!</f>
        <v>#REF!</v>
      </c>
      <c r="F2606" s="31" t="e">
        <f>#REF!</f>
        <v>#REF!</v>
      </c>
      <c r="G2606" s="31" t="e">
        <f>#REF!</f>
        <v>#REF!</v>
      </c>
      <c r="H2606" s="31" t="e">
        <f>#REF!</f>
        <v>#REF!</v>
      </c>
      <c r="I2606" s="31">
        <f>'تقرير المصروفات حسب الشهر'!Z801</f>
        <v>0</v>
      </c>
      <c r="J2606" s="31">
        <f>'تقرير المصروفات حسب الشهر'!Z928</f>
        <v>0</v>
      </c>
      <c r="K2606" s="31">
        <f>'تقرير المصروفات حسب الشهر'!Z1055</f>
        <v>0</v>
      </c>
      <c r="L2606" s="292">
        <f>IFERROR(VLOOKUP(B2606,'تقرير المصروفات حسب الشهر'!$C$1143:$AD$1254,24,FALSE),0)</f>
        <v>1320</v>
      </c>
      <c r="M2606" s="292">
        <f>IFERROR(VLOOKUP(B2606,'تقرير المصروفات حسب الشهر'!$C$1270:$AD$1381,24,FALSE),0)</f>
        <v>0</v>
      </c>
      <c r="N2606" s="31" t="e">
        <f>#REF!</f>
        <v>#REF!</v>
      </c>
      <c r="O2606" s="37" t="e">
        <f t="shared" si="66"/>
        <v>#REF!</v>
      </c>
    </row>
    <row r="2607" spans="2:15" ht="17.399999999999999">
      <c r="B2607" s="42" t="s">
        <v>111</v>
      </c>
      <c r="C2607" s="39" t="e">
        <f>#REF!</f>
        <v>#REF!</v>
      </c>
      <c r="D2607" s="31" t="e">
        <f>#REF!</f>
        <v>#REF!</v>
      </c>
      <c r="E2607" s="31" t="e">
        <f>#REF!</f>
        <v>#REF!</v>
      </c>
      <c r="F2607" s="31" t="e">
        <f>#REF!</f>
        <v>#REF!</v>
      </c>
      <c r="G2607" s="31" t="e">
        <f>#REF!</f>
        <v>#REF!</v>
      </c>
      <c r="H2607" s="31" t="e">
        <f>#REF!</f>
        <v>#REF!</v>
      </c>
      <c r="I2607" s="31">
        <f>'تقرير المصروفات حسب الشهر'!Z802</f>
        <v>0</v>
      </c>
      <c r="J2607" s="31">
        <f>'تقرير المصروفات حسب الشهر'!Z929</f>
        <v>0</v>
      </c>
      <c r="K2607" s="31">
        <f>'تقرير المصروفات حسب الشهر'!Z1056</f>
        <v>350</v>
      </c>
      <c r="L2607" s="292">
        <f>IFERROR(VLOOKUP(B2607,'تقرير المصروفات حسب الشهر'!$C$1143:$AD$1254,24,FALSE),0)</f>
        <v>0</v>
      </c>
      <c r="M2607" s="292">
        <f>IFERROR(VLOOKUP(B2607,'تقرير المصروفات حسب الشهر'!$C$1270:$AD$1381,24,FALSE),0)</f>
        <v>0</v>
      </c>
      <c r="N2607" s="31" t="e">
        <f>#REF!</f>
        <v>#REF!</v>
      </c>
      <c r="O2607" s="37" t="e">
        <f t="shared" si="66"/>
        <v>#REF!</v>
      </c>
    </row>
    <row r="2608" spans="2:15" ht="17.399999999999999">
      <c r="B2608" s="42" t="s">
        <v>68</v>
      </c>
      <c r="C2608" s="39" t="e">
        <f>#REF!</f>
        <v>#REF!</v>
      </c>
      <c r="D2608" s="31" t="e">
        <f>#REF!</f>
        <v>#REF!</v>
      </c>
      <c r="E2608" s="31" t="e">
        <f>#REF!</f>
        <v>#REF!</v>
      </c>
      <c r="F2608" s="31" t="e">
        <f>#REF!</f>
        <v>#REF!</v>
      </c>
      <c r="G2608" s="31" t="e">
        <f>#REF!</f>
        <v>#REF!</v>
      </c>
      <c r="H2608" s="31" t="e">
        <f>#REF!</f>
        <v>#REF!</v>
      </c>
      <c r="I2608" s="31">
        <f>'تقرير المصروفات حسب الشهر'!Z803</f>
        <v>0</v>
      </c>
      <c r="J2608" s="31">
        <f>'تقرير المصروفات حسب الشهر'!Z930</f>
        <v>0</v>
      </c>
      <c r="K2608" s="31">
        <f>'تقرير المصروفات حسب الشهر'!Z1057</f>
        <v>0</v>
      </c>
      <c r="L2608" s="292">
        <f>IFERROR(VLOOKUP(B2608,'تقرير المصروفات حسب الشهر'!$C$1143:$AD$1254,24,FALSE),0)</f>
        <v>0</v>
      </c>
      <c r="M2608" s="292">
        <f>IFERROR(VLOOKUP(B2608,'تقرير المصروفات حسب الشهر'!$C$1270:$AD$1381,24,FALSE),0)</f>
        <v>0</v>
      </c>
      <c r="N2608" s="31" t="e">
        <f>#REF!</f>
        <v>#REF!</v>
      </c>
      <c r="O2608" s="37" t="e">
        <f t="shared" si="66"/>
        <v>#REF!</v>
      </c>
    </row>
    <row r="2609" spans="2:15" ht="17.399999999999999">
      <c r="B2609" s="42" t="s">
        <v>69</v>
      </c>
      <c r="C2609" s="39" t="e">
        <f>#REF!</f>
        <v>#REF!</v>
      </c>
      <c r="D2609" s="31" t="e">
        <f>#REF!</f>
        <v>#REF!</v>
      </c>
      <c r="E2609" s="31" t="e">
        <f>#REF!</f>
        <v>#REF!</v>
      </c>
      <c r="F2609" s="31" t="e">
        <f>#REF!</f>
        <v>#REF!</v>
      </c>
      <c r="G2609" s="31" t="e">
        <f>#REF!</f>
        <v>#REF!</v>
      </c>
      <c r="H2609" s="31" t="e">
        <f>#REF!</f>
        <v>#REF!</v>
      </c>
      <c r="I2609" s="31">
        <f>'تقرير المصروفات حسب الشهر'!Z804</f>
        <v>0</v>
      </c>
      <c r="J2609" s="31">
        <f>'تقرير المصروفات حسب الشهر'!Z931</f>
        <v>0</v>
      </c>
      <c r="K2609" s="31">
        <f>'تقرير المصروفات حسب الشهر'!Z1058</f>
        <v>0</v>
      </c>
      <c r="L2609" s="292">
        <f>IFERROR(VLOOKUP(B2609,'تقرير المصروفات حسب الشهر'!$C$1143:$AD$1254,24,FALSE),0)</f>
        <v>0</v>
      </c>
      <c r="M2609" s="292">
        <f>IFERROR(VLOOKUP(B2609,'تقرير المصروفات حسب الشهر'!$C$1270:$AD$1381,24,FALSE),0)</f>
        <v>0</v>
      </c>
      <c r="N2609" s="31" t="e">
        <f>#REF!</f>
        <v>#REF!</v>
      </c>
      <c r="O2609" s="37" t="e">
        <f t="shared" si="66"/>
        <v>#REF!</v>
      </c>
    </row>
    <row r="2610" spans="2:15" ht="17.399999999999999">
      <c r="B2610" s="42" t="s">
        <v>70</v>
      </c>
      <c r="C2610" s="39" t="e">
        <f>#REF!</f>
        <v>#REF!</v>
      </c>
      <c r="D2610" s="31" t="e">
        <f>#REF!</f>
        <v>#REF!</v>
      </c>
      <c r="E2610" s="31" t="e">
        <f>#REF!</f>
        <v>#REF!</v>
      </c>
      <c r="F2610" s="31" t="e">
        <f>#REF!</f>
        <v>#REF!</v>
      </c>
      <c r="G2610" s="31" t="e">
        <f>#REF!</f>
        <v>#REF!</v>
      </c>
      <c r="H2610" s="31" t="e">
        <f>#REF!</f>
        <v>#REF!</v>
      </c>
      <c r="I2610" s="31">
        <f>'تقرير المصروفات حسب الشهر'!Z805</f>
        <v>0</v>
      </c>
      <c r="J2610" s="31">
        <f>'تقرير المصروفات حسب الشهر'!Z932</f>
        <v>0</v>
      </c>
      <c r="K2610" s="31">
        <f>'تقرير المصروفات حسب الشهر'!Z1059</f>
        <v>0</v>
      </c>
      <c r="L2610" s="292">
        <f>IFERROR(VLOOKUP(B2610,'تقرير المصروفات حسب الشهر'!$C$1143:$AD$1254,24,FALSE),0)</f>
        <v>0</v>
      </c>
      <c r="M2610" s="292">
        <f>IFERROR(VLOOKUP(B2610,'تقرير المصروفات حسب الشهر'!$C$1270:$AD$1381,24,FALSE),0)</f>
        <v>0</v>
      </c>
      <c r="N2610" s="31" t="e">
        <f>#REF!</f>
        <v>#REF!</v>
      </c>
      <c r="O2610" s="37" t="e">
        <f t="shared" si="66"/>
        <v>#REF!</v>
      </c>
    </row>
    <row r="2611" spans="2:15" ht="17.399999999999999">
      <c r="B2611" s="42" t="s">
        <v>71</v>
      </c>
      <c r="C2611" s="39" t="e">
        <f>#REF!</f>
        <v>#REF!</v>
      </c>
      <c r="D2611" s="31" t="e">
        <f>#REF!</f>
        <v>#REF!</v>
      </c>
      <c r="E2611" s="31" t="e">
        <f>#REF!</f>
        <v>#REF!</v>
      </c>
      <c r="F2611" s="31" t="e">
        <f>#REF!</f>
        <v>#REF!</v>
      </c>
      <c r="G2611" s="31" t="e">
        <f>#REF!</f>
        <v>#REF!</v>
      </c>
      <c r="H2611" s="31" t="e">
        <f>#REF!</f>
        <v>#REF!</v>
      </c>
      <c r="I2611" s="31">
        <f>'تقرير المصروفات حسب الشهر'!Z806</f>
        <v>0</v>
      </c>
      <c r="J2611" s="31">
        <f>'تقرير المصروفات حسب الشهر'!Z933</f>
        <v>0</v>
      </c>
      <c r="K2611" s="31">
        <f>'تقرير المصروفات حسب الشهر'!Z1060</f>
        <v>0</v>
      </c>
      <c r="L2611" s="292">
        <f>IFERROR(VLOOKUP(B2611,'تقرير المصروفات حسب الشهر'!$C$1143:$AD$1254,24,FALSE),0)</f>
        <v>0</v>
      </c>
      <c r="M2611" s="292">
        <f>IFERROR(VLOOKUP(B2611,'تقرير المصروفات حسب الشهر'!$C$1270:$AD$1381,24,FALSE),0)</f>
        <v>0</v>
      </c>
      <c r="N2611" s="31" t="e">
        <f>#REF!</f>
        <v>#REF!</v>
      </c>
      <c r="O2611" s="37" t="e">
        <f t="shared" si="66"/>
        <v>#REF!</v>
      </c>
    </row>
    <row r="2612" spans="2:15" ht="17.399999999999999">
      <c r="B2612" s="42" t="s">
        <v>159</v>
      </c>
      <c r="C2612" s="39" t="e">
        <f>#REF!</f>
        <v>#REF!</v>
      </c>
      <c r="D2612" s="31" t="e">
        <f>#REF!</f>
        <v>#REF!</v>
      </c>
      <c r="E2612" s="31" t="e">
        <f>#REF!</f>
        <v>#REF!</v>
      </c>
      <c r="F2612" s="31" t="e">
        <f>#REF!</f>
        <v>#REF!</v>
      </c>
      <c r="G2612" s="31" t="e">
        <f>#REF!</f>
        <v>#REF!</v>
      </c>
      <c r="H2612" s="31" t="e">
        <f>#REF!</f>
        <v>#REF!</v>
      </c>
      <c r="I2612" s="31">
        <f>'تقرير المصروفات حسب الشهر'!Z807</f>
        <v>0</v>
      </c>
      <c r="J2612" s="31">
        <f>'تقرير المصروفات حسب الشهر'!Z934</f>
        <v>0</v>
      </c>
      <c r="K2612" s="31">
        <f>'تقرير المصروفات حسب الشهر'!Z1061</f>
        <v>0</v>
      </c>
      <c r="L2612" s="292">
        <f>IFERROR(VLOOKUP(B2612,'تقرير المصروفات حسب الشهر'!$C$1143:$AD$1254,24,FALSE),0)</f>
        <v>0</v>
      </c>
      <c r="M2612" s="292">
        <f>IFERROR(VLOOKUP(B2612,'تقرير المصروفات حسب الشهر'!$C$1270:$AD$1381,24,FALSE),0)</f>
        <v>0</v>
      </c>
      <c r="N2612" s="31" t="e">
        <f>#REF!</f>
        <v>#REF!</v>
      </c>
      <c r="O2612" s="37" t="e">
        <f t="shared" si="66"/>
        <v>#REF!</v>
      </c>
    </row>
    <row r="2613" spans="2:15" ht="17.399999999999999">
      <c r="B2613" s="42" t="s">
        <v>72</v>
      </c>
      <c r="C2613" s="39" t="e">
        <f>#REF!</f>
        <v>#REF!</v>
      </c>
      <c r="D2613" s="31" t="e">
        <f>#REF!</f>
        <v>#REF!</v>
      </c>
      <c r="E2613" s="31" t="e">
        <f>#REF!</f>
        <v>#REF!</v>
      </c>
      <c r="F2613" s="31" t="e">
        <f>#REF!</f>
        <v>#REF!</v>
      </c>
      <c r="G2613" s="31" t="e">
        <f>#REF!</f>
        <v>#REF!</v>
      </c>
      <c r="H2613" s="31" t="e">
        <f>#REF!</f>
        <v>#REF!</v>
      </c>
      <c r="I2613" s="31">
        <f>'تقرير المصروفات حسب الشهر'!Z808</f>
        <v>0</v>
      </c>
      <c r="J2613" s="31">
        <f>'تقرير المصروفات حسب الشهر'!Z935</f>
        <v>0</v>
      </c>
      <c r="K2613" s="31">
        <f>'تقرير المصروفات حسب الشهر'!Z1062</f>
        <v>0</v>
      </c>
      <c r="L2613" s="292">
        <f>IFERROR(VLOOKUP(B2613,'تقرير المصروفات حسب الشهر'!$C$1143:$AD$1254,24,FALSE),0)</f>
        <v>0</v>
      </c>
      <c r="M2613" s="292">
        <f>IFERROR(VLOOKUP(B2613,'تقرير المصروفات حسب الشهر'!$C$1270:$AD$1381,24,FALSE),0)</f>
        <v>0</v>
      </c>
      <c r="N2613" s="31" t="e">
        <f>#REF!</f>
        <v>#REF!</v>
      </c>
      <c r="O2613" s="37" t="e">
        <f t="shared" si="66"/>
        <v>#REF!</v>
      </c>
    </row>
    <row r="2614" spans="2:15" ht="17.399999999999999">
      <c r="B2614" s="42" t="s">
        <v>73</v>
      </c>
      <c r="C2614" s="39" t="e">
        <f>#REF!</f>
        <v>#REF!</v>
      </c>
      <c r="D2614" s="31" t="e">
        <f>#REF!</f>
        <v>#REF!</v>
      </c>
      <c r="E2614" s="31" t="e">
        <f>#REF!</f>
        <v>#REF!</v>
      </c>
      <c r="F2614" s="31" t="e">
        <f>#REF!</f>
        <v>#REF!</v>
      </c>
      <c r="G2614" s="31" t="e">
        <f>#REF!</f>
        <v>#REF!</v>
      </c>
      <c r="H2614" s="31" t="e">
        <f>#REF!</f>
        <v>#REF!</v>
      </c>
      <c r="I2614" s="31">
        <f>'تقرير المصروفات حسب الشهر'!Z809</f>
        <v>0</v>
      </c>
      <c r="J2614" s="31">
        <f>'تقرير المصروفات حسب الشهر'!Z936</f>
        <v>0</v>
      </c>
      <c r="K2614" s="31">
        <f>'تقرير المصروفات حسب الشهر'!Z1063</f>
        <v>0</v>
      </c>
      <c r="L2614" s="292">
        <f>IFERROR(VLOOKUP(B2614,'تقرير المصروفات حسب الشهر'!$C$1143:$AD$1254,24,FALSE),0)</f>
        <v>0</v>
      </c>
      <c r="M2614" s="292">
        <f>IFERROR(VLOOKUP(B2614,'تقرير المصروفات حسب الشهر'!$C$1270:$AD$1381,24,FALSE),0)</f>
        <v>0</v>
      </c>
      <c r="N2614" s="31" t="e">
        <f>#REF!</f>
        <v>#REF!</v>
      </c>
      <c r="O2614" s="37" t="e">
        <f t="shared" si="66"/>
        <v>#REF!</v>
      </c>
    </row>
    <row r="2615" spans="2:15" ht="17.399999999999999">
      <c r="B2615" s="42" t="s">
        <v>74</v>
      </c>
      <c r="C2615" s="39" t="e">
        <f>#REF!</f>
        <v>#REF!</v>
      </c>
      <c r="D2615" s="31" t="e">
        <f>#REF!</f>
        <v>#REF!</v>
      </c>
      <c r="E2615" s="31" t="e">
        <f>#REF!</f>
        <v>#REF!</v>
      </c>
      <c r="F2615" s="31" t="e">
        <f>#REF!</f>
        <v>#REF!</v>
      </c>
      <c r="G2615" s="31" t="e">
        <f>#REF!</f>
        <v>#REF!</v>
      </c>
      <c r="H2615" s="31" t="e">
        <f>#REF!</f>
        <v>#REF!</v>
      </c>
      <c r="I2615" s="31">
        <f>'تقرير المصروفات حسب الشهر'!Z810</f>
        <v>0</v>
      </c>
      <c r="J2615" s="31">
        <f>'تقرير المصروفات حسب الشهر'!Z937</f>
        <v>0</v>
      </c>
      <c r="K2615" s="31">
        <f>'تقرير المصروفات حسب الشهر'!Z1064</f>
        <v>0</v>
      </c>
      <c r="L2615" s="292">
        <f>IFERROR(VLOOKUP(B2615,'تقرير المصروفات حسب الشهر'!$C$1143:$AD$1254,24,FALSE),0)</f>
        <v>0</v>
      </c>
      <c r="M2615" s="292">
        <f>IFERROR(VLOOKUP(B2615,'تقرير المصروفات حسب الشهر'!$C$1270:$AD$1381,24,FALSE),0)</f>
        <v>0</v>
      </c>
      <c r="N2615" s="31" t="e">
        <f>#REF!</f>
        <v>#REF!</v>
      </c>
      <c r="O2615" s="37" t="e">
        <f t="shared" si="66"/>
        <v>#REF!</v>
      </c>
    </row>
    <row r="2616" spans="2:15" ht="17.399999999999999">
      <c r="B2616" s="42" t="s">
        <v>75</v>
      </c>
      <c r="C2616" s="39" t="e">
        <f>#REF!</f>
        <v>#REF!</v>
      </c>
      <c r="D2616" s="31" t="e">
        <f>#REF!</f>
        <v>#REF!</v>
      </c>
      <c r="E2616" s="31" t="e">
        <f>#REF!</f>
        <v>#REF!</v>
      </c>
      <c r="F2616" s="31" t="e">
        <f>#REF!</f>
        <v>#REF!</v>
      </c>
      <c r="G2616" s="31" t="e">
        <f>#REF!</f>
        <v>#REF!</v>
      </c>
      <c r="H2616" s="31" t="e">
        <f>#REF!</f>
        <v>#REF!</v>
      </c>
      <c r="I2616" s="31">
        <f>'تقرير المصروفات حسب الشهر'!Z811</f>
        <v>0</v>
      </c>
      <c r="J2616" s="31">
        <f>'تقرير المصروفات حسب الشهر'!Z938</f>
        <v>0</v>
      </c>
      <c r="K2616" s="31">
        <f>'تقرير المصروفات حسب الشهر'!Z1065</f>
        <v>0</v>
      </c>
      <c r="L2616" s="292">
        <f>IFERROR(VLOOKUP(B2616,'تقرير المصروفات حسب الشهر'!$C$1143:$AD$1254,24,FALSE),0)</f>
        <v>0</v>
      </c>
      <c r="M2616" s="292">
        <f>IFERROR(VLOOKUP(B2616,'تقرير المصروفات حسب الشهر'!$C$1270:$AD$1381,24,FALSE),0)</f>
        <v>0</v>
      </c>
      <c r="N2616" s="31" t="e">
        <f>#REF!</f>
        <v>#REF!</v>
      </c>
      <c r="O2616" s="37" t="e">
        <f t="shared" si="66"/>
        <v>#REF!</v>
      </c>
    </row>
    <row r="2617" spans="2:15" ht="17.399999999999999">
      <c r="B2617" s="42" t="s">
        <v>76</v>
      </c>
      <c r="C2617" s="39" t="e">
        <f>#REF!</f>
        <v>#REF!</v>
      </c>
      <c r="D2617" s="31" t="e">
        <f>#REF!</f>
        <v>#REF!</v>
      </c>
      <c r="E2617" s="31" t="e">
        <f>#REF!</f>
        <v>#REF!</v>
      </c>
      <c r="F2617" s="31" t="e">
        <f>#REF!</f>
        <v>#REF!</v>
      </c>
      <c r="G2617" s="31" t="e">
        <f>#REF!</f>
        <v>#REF!</v>
      </c>
      <c r="H2617" s="31" t="e">
        <f>#REF!</f>
        <v>#REF!</v>
      </c>
      <c r="I2617" s="31">
        <f>'تقرير المصروفات حسب الشهر'!Z812</f>
        <v>0</v>
      </c>
      <c r="J2617" s="31">
        <f>'تقرير المصروفات حسب الشهر'!Z939</f>
        <v>0</v>
      </c>
      <c r="K2617" s="31">
        <f>'تقرير المصروفات حسب الشهر'!Z1066</f>
        <v>0</v>
      </c>
      <c r="L2617" s="292">
        <f>IFERROR(VLOOKUP(B2617,'تقرير المصروفات حسب الشهر'!$C$1143:$AD$1254,24,FALSE),0)</f>
        <v>0</v>
      </c>
      <c r="M2617" s="292">
        <f>IFERROR(VLOOKUP(B2617,'تقرير المصروفات حسب الشهر'!$C$1270:$AD$1381,24,FALSE),0)</f>
        <v>0</v>
      </c>
      <c r="N2617" s="31" t="e">
        <f>#REF!</f>
        <v>#REF!</v>
      </c>
      <c r="O2617" s="37" t="e">
        <f t="shared" si="66"/>
        <v>#REF!</v>
      </c>
    </row>
    <row r="2618" spans="2:15" ht="17.399999999999999">
      <c r="B2618" s="42" t="s">
        <v>77</v>
      </c>
      <c r="C2618" s="39" t="e">
        <f>#REF!</f>
        <v>#REF!</v>
      </c>
      <c r="D2618" s="31" t="e">
        <f>#REF!</f>
        <v>#REF!</v>
      </c>
      <c r="E2618" s="31" t="e">
        <f>#REF!</f>
        <v>#REF!</v>
      </c>
      <c r="F2618" s="31" t="e">
        <f>#REF!</f>
        <v>#REF!</v>
      </c>
      <c r="G2618" s="31" t="e">
        <f>#REF!</f>
        <v>#REF!</v>
      </c>
      <c r="H2618" s="31" t="e">
        <f>#REF!</f>
        <v>#REF!</v>
      </c>
      <c r="I2618" s="31">
        <f>'تقرير المصروفات حسب الشهر'!Z813</f>
        <v>0</v>
      </c>
      <c r="J2618" s="31">
        <f>'تقرير المصروفات حسب الشهر'!Z940</f>
        <v>0</v>
      </c>
      <c r="K2618" s="31">
        <f>'تقرير المصروفات حسب الشهر'!Z1067</f>
        <v>0</v>
      </c>
      <c r="L2618" s="292">
        <f>IFERROR(VLOOKUP(B2618,'تقرير المصروفات حسب الشهر'!$C$1143:$AD$1254,24,FALSE),0)</f>
        <v>0</v>
      </c>
      <c r="M2618" s="292">
        <f>IFERROR(VLOOKUP(B2618,'تقرير المصروفات حسب الشهر'!$C$1270:$AD$1381,24,FALSE),0)</f>
        <v>0</v>
      </c>
      <c r="N2618" s="31" t="e">
        <f>#REF!</f>
        <v>#REF!</v>
      </c>
      <c r="O2618" s="37" t="e">
        <f t="shared" si="66"/>
        <v>#REF!</v>
      </c>
    </row>
    <row r="2619" spans="2:15" ht="17.399999999999999">
      <c r="B2619" s="42" t="s">
        <v>78</v>
      </c>
      <c r="C2619" s="39" t="e">
        <f>#REF!</f>
        <v>#REF!</v>
      </c>
      <c r="D2619" s="31" t="e">
        <f>#REF!</f>
        <v>#REF!</v>
      </c>
      <c r="E2619" s="31" t="e">
        <f>#REF!</f>
        <v>#REF!</v>
      </c>
      <c r="F2619" s="31" t="e">
        <f>#REF!</f>
        <v>#REF!</v>
      </c>
      <c r="G2619" s="31" t="e">
        <f>#REF!</f>
        <v>#REF!</v>
      </c>
      <c r="H2619" s="31" t="e">
        <f>#REF!</f>
        <v>#REF!</v>
      </c>
      <c r="I2619" s="31">
        <f>'تقرير المصروفات حسب الشهر'!Z814</f>
        <v>0</v>
      </c>
      <c r="J2619" s="31">
        <f>'تقرير المصروفات حسب الشهر'!Z941</f>
        <v>0</v>
      </c>
      <c r="K2619" s="31">
        <f>'تقرير المصروفات حسب الشهر'!Z1068</f>
        <v>0</v>
      </c>
      <c r="L2619" s="292">
        <f>IFERROR(VLOOKUP(B2619,'تقرير المصروفات حسب الشهر'!$C$1143:$AD$1254,24,FALSE),0)</f>
        <v>0</v>
      </c>
      <c r="M2619" s="292">
        <f>IFERROR(VLOOKUP(B2619,'تقرير المصروفات حسب الشهر'!$C$1270:$AD$1381,24,FALSE),0)</f>
        <v>0</v>
      </c>
      <c r="N2619" s="31" t="e">
        <f>#REF!</f>
        <v>#REF!</v>
      </c>
      <c r="O2619" s="37" t="e">
        <f t="shared" si="66"/>
        <v>#REF!</v>
      </c>
    </row>
    <row r="2620" spans="2:15" ht="17.399999999999999">
      <c r="B2620" s="42" t="s">
        <v>79</v>
      </c>
      <c r="C2620" s="39" t="e">
        <f>#REF!</f>
        <v>#REF!</v>
      </c>
      <c r="D2620" s="31" t="e">
        <f>#REF!</f>
        <v>#REF!</v>
      </c>
      <c r="E2620" s="31" t="e">
        <f>#REF!</f>
        <v>#REF!</v>
      </c>
      <c r="F2620" s="31" t="e">
        <f>#REF!</f>
        <v>#REF!</v>
      </c>
      <c r="G2620" s="31" t="e">
        <f>#REF!</f>
        <v>#REF!</v>
      </c>
      <c r="H2620" s="31" t="e">
        <f>#REF!</f>
        <v>#REF!</v>
      </c>
      <c r="I2620" s="31">
        <f>'تقرير المصروفات حسب الشهر'!Z815</f>
        <v>0</v>
      </c>
      <c r="J2620" s="31">
        <f>'تقرير المصروفات حسب الشهر'!Z942</f>
        <v>0</v>
      </c>
      <c r="K2620" s="31">
        <f>'تقرير المصروفات حسب الشهر'!Z1069</f>
        <v>0</v>
      </c>
      <c r="L2620" s="292">
        <f>IFERROR(VLOOKUP(B2620,'تقرير المصروفات حسب الشهر'!$C$1143:$AD$1254,24,FALSE),0)</f>
        <v>0</v>
      </c>
      <c r="M2620" s="292">
        <f>IFERROR(VLOOKUP(B2620,'تقرير المصروفات حسب الشهر'!$C$1270:$AD$1381,24,FALSE),0)</f>
        <v>0</v>
      </c>
      <c r="N2620" s="31" t="e">
        <f>#REF!</f>
        <v>#REF!</v>
      </c>
      <c r="O2620" s="37" t="e">
        <f t="shared" si="66"/>
        <v>#REF!</v>
      </c>
    </row>
    <row r="2621" spans="2:15" ht="17.399999999999999">
      <c r="B2621" s="42" t="s">
        <v>80</v>
      </c>
      <c r="C2621" s="39" t="e">
        <f>#REF!</f>
        <v>#REF!</v>
      </c>
      <c r="D2621" s="31" t="e">
        <f>#REF!</f>
        <v>#REF!</v>
      </c>
      <c r="E2621" s="31" t="e">
        <f>#REF!</f>
        <v>#REF!</v>
      </c>
      <c r="F2621" s="31" t="e">
        <f>#REF!</f>
        <v>#REF!</v>
      </c>
      <c r="G2621" s="31" t="e">
        <f>#REF!</f>
        <v>#REF!</v>
      </c>
      <c r="H2621" s="31" t="e">
        <f>#REF!</f>
        <v>#REF!</v>
      </c>
      <c r="I2621" s="31">
        <f>'تقرير المصروفات حسب الشهر'!Z816</f>
        <v>0</v>
      </c>
      <c r="J2621" s="31">
        <f>'تقرير المصروفات حسب الشهر'!Z943</f>
        <v>0</v>
      </c>
      <c r="K2621" s="31">
        <f>'تقرير المصروفات حسب الشهر'!Z1070</f>
        <v>0</v>
      </c>
      <c r="L2621" s="292">
        <f>IFERROR(VLOOKUP(B2621,'تقرير المصروفات حسب الشهر'!$C$1143:$AD$1254,24,FALSE),0)</f>
        <v>0</v>
      </c>
      <c r="M2621" s="292">
        <f>IFERROR(VLOOKUP(B2621,'تقرير المصروفات حسب الشهر'!$C$1270:$AD$1381,24,FALSE),0)</f>
        <v>0</v>
      </c>
      <c r="N2621" s="31" t="e">
        <f>#REF!</f>
        <v>#REF!</v>
      </c>
      <c r="O2621" s="37" t="e">
        <f t="shared" si="66"/>
        <v>#REF!</v>
      </c>
    </row>
    <row r="2622" spans="2:15" ht="17.399999999999999">
      <c r="B2622" s="42" t="s">
        <v>81</v>
      </c>
      <c r="C2622" s="39" t="e">
        <f>#REF!</f>
        <v>#REF!</v>
      </c>
      <c r="D2622" s="31" t="e">
        <f>#REF!</f>
        <v>#REF!</v>
      </c>
      <c r="E2622" s="31" t="e">
        <f>#REF!</f>
        <v>#REF!</v>
      </c>
      <c r="F2622" s="31" t="e">
        <f>#REF!</f>
        <v>#REF!</v>
      </c>
      <c r="G2622" s="31" t="e">
        <f>#REF!</f>
        <v>#REF!</v>
      </c>
      <c r="H2622" s="31" t="e">
        <f>#REF!</f>
        <v>#REF!</v>
      </c>
      <c r="I2622" s="31">
        <f>'تقرير المصروفات حسب الشهر'!Z817</f>
        <v>0</v>
      </c>
      <c r="J2622" s="31">
        <f>'تقرير المصروفات حسب الشهر'!Z944</f>
        <v>0</v>
      </c>
      <c r="K2622" s="31">
        <f>'تقرير المصروفات حسب الشهر'!Z1071</f>
        <v>0</v>
      </c>
      <c r="L2622" s="292">
        <f>IFERROR(VLOOKUP(B2622,'تقرير المصروفات حسب الشهر'!$C$1143:$AD$1254,24,FALSE),0)</f>
        <v>0</v>
      </c>
      <c r="M2622" s="292">
        <f>IFERROR(VLOOKUP(B2622,'تقرير المصروفات حسب الشهر'!$C$1270:$AD$1381,24,FALSE),0)</f>
        <v>0</v>
      </c>
      <c r="N2622" s="31" t="e">
        <f>#REF!</f>
        <v>#REF!</v>
      </c>
      <c r="O2622" s="37" t="e">
        <f t="shared" si="66"/>
        <v>#REF!</v>
      </c>
    </row>
    <row r="2623" spans="2:15" ht="17.399999999999999">
      <c r="B2623" s="42" t="s">
        <v>82</v>
      </c>
      <c r="C2623" s="39" t="e">
        <f>#REF!</f>
        <v>#REF!</v>
      </c>
      <c r="D2623" s="31" t="e">
        <f>#REF!</f>
        <v>#REF!</v>
      </c>
      <c r="E2623" s="31" t="e">
        <f>#REF!</f>
        <v>#REF!</v>
      </c>
      <c r="F2623" s="31" t="e">
        <f>#REF!</f>
        <v>#REF!</v>
      </c>
      <c r="G2623" s="31" t="e">
        <f>#REF!</f>
        <v>#REF!</v>
      </c>
      <c r="H2623" s="31" t="e">
        <f>#REF!</f>
        <v>#REF!</v>
      </c>
      <c r="I2623" s="31">
        <f>'تقرير المصروفات حسب الشهر'!Z818</f>
        <v>0</v>
      </c>
      <c r="J2623" s="31">
        <f>'تقرير المصروفات حسب الشهر'!Z945</f>
        <v>0</v>
      </c>
      <c r="K2623" s="31">
        <f>'تقرير المصروفات حسب الشهر'!Z1072</f>
        <v>0</v>
      </c>
      <c r="L2623" s="292">
        <f>IFERROR(VLOOKUP(B2623,'تقرير المصروفات حسب الشهر'!$C$1143:$AD$1254,24,FALSE),0)</f>
        <v>0</v>
      </c>
      <c r="M2623" s="292">
        <f>IFERROR(VLOOKUP(B2623,'تقرير المصروفات حسب الشهر'!$C$1270:$AD$1381,24,FALSE),0)</f>
        <v>0</v>
      </c>
      <c r="N2623" s="31" t="e">
        <f>#REF!</f>
        <v>#REF!</v>
      </c>
      <c r="O2623" s="37" t="e">
        <f t="shared" si="66"/>
        <v>#REF!</v>
      </c>
    </row>
    <row r="2624" spans="2:15" ht="17.399999999999999">
      <c r="B2624" s="42" t="s">
        <v>83</v>
      </c>
      <c r="C2624" s="39" t="e">
        <f>#REF!</f>
        <v>#REF!</v>
      </c>
      <c r="D2624" s="31" t="e">
        <f>#REF!</f>
        <v>#REF!</v>
      </c>
      <c r="E2624" s="31" t="e">
        <f>#REF!</f>
        <v>#REF!</v>
      </c>
      <c r="F2624" s="31" t="e">
        <f>#REF!</f>
        <v>#REF!</v>
      </c>
      <c r="G2624" s="31" t="e">
        <f>#REF!</f>
        <v>#REF!</v>
      </c>
      <c r="H2624" s="31" t="e">
        <f>#REF!</f>
        <v>#REF!</v>
      </c>
      <c r="I2624" s="31">
        <f>'تقرير المصروفات حسب الشهر'!Z819</f>
        <v>0</v>
      </c>
      <c r="J2624" s="31">
        <f>'تقرير المصروفات حسب الشهر'!Z946</f>
        <v>0</v>
      </c>
      <c r="K2624" s="31">
        <f>'تقرير المصروفات حسب الشهر'!Z1073</f>
        <v>0</v>
      </c>
      <c r="L2624" s="292">
        <f>IFERROR(VLOOKUP(B2624,'تقرير المصروفات حسب الشهر'!$C$1143:$AD$1254,24,FALSE),0)</f>
        <v>0</v>
      </c>
      <c r="M2624" s="292">
        <f>IFERROR(VLOOKUP(B2624,'تقرير المصروفات حسب الشهر'!$C$1270:$AD$1381,24,FALSE),0)</f>
        <v>0</v>
      </c>
      <c r="N2624" s="31" t="e">
        <f>#REF!</f>
        <v>#REF!</v>
      </c>
      <c r="O2624" s="37" t="e">
        <f t="shared" si="66"/>
        <v>#REF!</v>
      </c>
    </row>
    <row r="2625" spans="2:15" ht="17.399999999999999">
      <c r="B2625" s="42" t="s">
        <v>84</v>
      </c>
      <c r="C2625" s="39" t="e">
        <f>#REF!</f>
        <v>#REF!</v>
      </c>
      <c r="D2625" s="31" t="e">
        <f>#REF!</f>
        <v>#REF!</v>
      </c>
      <c r="E2625" s="31" t="e">
        <f>#REF!</f>
        <v>#REF!</v>
      </c>
      <c r="F2625" s="31" t="e">
        <f>#REF!</f>
        <v>#REF!</v>
      </c>
      <c r="G2625" s="31" t="e">
        <f>#REF!</f>
        <v>#REF!</v>
      </c>
      <c r="H2625" s="31" t="e">
        <f>#REF!</f>
        <v>#REF!</v>
      </c>
      <c r="I2625" s="31">
        <f>'تقرير المصروفات حسب الشهر'!Z820</f>
        <v>0</v>
      </c>
      <c r="J2625" s="31">
        <f>'تقرير المصروفات حسب الشهر'!Z947</f>
        <v>0</v>
      </c>
      <c r="K2625" s="31">
        <f>'تقرير المصروفات حسب الشهر'!Z1074</f>
        <v>0</v>
      </c>
      <c r="L2625" s="292">
        <f>IFERROR(VLOOKUP(B2625,'تقرير المصروفات حسب الشهر'!$C$1143:$AD$1254,24,FALSE),0)</f>
        <v>0</v>
      </c>
      <c r="M2625" s="292">
        <f>IFERROR(VLOOKUP(B2625,'تقرير المصروفات حسب الشهر'!$C$1270:$AD$1381,24,FALSE),0)</f>
        <v>0</v>
      </c>
      <c r="N2625" s="31" t="e">
        <f>#REF!</f>
        <v>#REF!</v>
      </c>
      <c r="O2625" s="37" t="e">
        <f t="shared" si="66"/>
        <v>#REF!</v>
      </c>
    </row>
    <row r="2626" spans="2:15" ht="17.399999999999999">
      <c r="B2626" s="42" t="s">
        <v>85</v>
      </c>
      <c r="C2626" s="39" t="e">
        <f>#REF!</f>
        <v>#REF!</v>
      </c>
      <c r="D2626" s="31" t="e">
        <f>#REF!</f>
        <v>#REF!</v>
      </c>
      <c r="E2626" s="31" t="e">
        <f>#REF!</f>
        <v>#REF!</v>
      </c>
      <c r="F2626" s="31" t="e">
        <f>#REF!</f>
        <v>#REF!</v>
      </c>
      <c r="G2626" s="31" t="e">
        <f>#REF!</f>
        <v>#REF!</v>
      </c>
      <c r="H2626" s="31" t="e">
        <f>#REF!</f>
        <v>#REF!</v>
      </c>
      <c r="I2626" s="31">
        <f>'تقرير المصروفات حسب الشهر'!Z821</f>
        <v>0</v>
      </c>
      <c r="J2626" s="31">
        <f>'تقرير المصروفات حسب الشهر'!Z948</f>
        <v>300</v>
      </c>
      <c r="K2626" s="31">
        <f>'تقرير المصروفات حسب الشهر'!Z1075</f>
        <v>200</v>
      </c>
      <c r="L2626" s="292">
        <f>IFERROR(VLOOKUP(B2626,'تقرير المصروفات حسب الشهر'!$C$1143:$AD$1254,24,FALSE),0)</f>
        <v>200</v>
      </c>
      <c r="M2626" s="292">
        <f>IFERROR(VLOOKUP(B2626,'تقرير المصروفات حسب الشهر'!$C$1270:$AD$1381,24,FALSE),0)</f>
        <v>200</v>
      </c>
      <c r="N2626" s="31" t="e">
        <f>#REF!</f>
        <v>#REF!</v>
      </c>
      <c r="O2626" s="37" t="e">
        <f t="shared" si="66"/>
        <v>#REF!</v>
      </c>
    </row>
    <row r="2627" spans="2:15" ht="17.399999999999999">
      <c r="B2627" s="42" t="s">
        <v>86</v>
      </c>
      <c r="C2627" s="39" t="e">
        <f>#REF!</f>
        <v>#REF!</v>
      </c>
      <c r="D2627" s="31" t="e">
        <f>#REF!</f>
        <v>#REF!</v>
      </c>
      <c r="E2627" s="31" t="e">
        <f>#REF!</f>
        <v>#REF!</v>
      </c>
      <c r="F2627" s="31" t="e">
        <f>#REF!</f>
        <v>#REF!</v>
      </c>
      <c r="G2627" s="31" t="e">
        <f>#REF!</f>
        <v>#REF!</v>
      </c>
      <c r="H2627" s="31" t="e">
        <f>#REF!</f>
        <v>#REF!</v>
      </c>
      <c r="I2627" s="31">
        <f>'تقرير المصروفات حسب الشهر'!Z822</f>
        <v>0</v>
      </c>
      <c r="J2627" s="31">
        <f>'تقرير المصروفات حسب الشهر'!Z949</f>
        <v>0</v>
      </c>
      <c r="K2627" s="31">
        <f>'تقرير المصروفات حسب الشهر'!Z1076</f>
        <v>0</v>
      </c>
      <c r="L2627" s="292">
        <f>IFERROR(VLOOKUP(B2627,'تقرير المصروفات حسب الشهر'!$C$1143:$AD$1254,24,FALSE),0)</f>
        <v>0</v>
      </c>
      <c r="M2627" s="292">
        <f>IFERROR(VLOOKUP(B2627,'تقرير المصروفات حسب الشهر'!$C$1270:$AD$1381,24,FALSE),0)</f>
        <v>0</v>
      </c>
      <c r="N2627" s="31" t="e">
        <f>#REF!</f>
        <v>#REF!</v>
      </c>
      <c r="O2627" s="37" t="e">
        <f t="shared" si="66"/>
        <v>#REF!</v>
      </c>
    </row>
    <row r="2628" spans="2:15" ht="17.399999999999999">
      <c r="B2628" s="42" t="s">
        <v>87</v>
      </c>
      <c r="C2628" s="39" t="e">
        <f>#REF!</f>
        <v>#REF!</v>
      </c>
      <c r="D2628" s="31" t="e">
        <f>#REF!</f>
        <v>#REF!</v>
      </c>
      <c r="E2628" s="31" t="e">
        <f>#REF!</f>
        <v>#REF!</v>
      </c>
      <c r="F2628" s="31" t="e">
        <f>#REF!</f>
        <v>#REF!</v>
      </c>
      <c r="G2628" s="31" t="e">
        <f>#REF!</f>
        <v>#REF!</v>
      </c>
      <c r="H2628" s="31" t="e">
        <f>#REF!</f>
        <v>#REF!</v>
      </c>
      <c r="I2628" s="31">
        <f>'تقرير المصروفات حسب الشهر'!Z823</f>
        <v>0</v>
      </c>
      <c r="J2628" s="31">
        <f>'تقرير المصروفات حسب الشهر'!Z950</f>
        <v>0</v>
      </c>
      <c r="K2628" s="31">
        <f>'تقرير المصروفات حسب الشهر'!Z1077</f>
        <v>0</v>
      </c>
      <c r="L2628" s="292">
        <f>IFERROR(VLOOKUP(B2628,'تقرير المصروفات حسب الشهر'!$C$1143:$AD$1254,24,FALSE),0)</f>
        <v>0</v>
      </c>
      <c r="M2628" s="292">
        <f>IFERROR(VLOOKUP(B2628,'تقرير المصروفات حسب الشهر'!$C$1270:$AD$1381,24,FALSE),0)</f>
        <v>0</v>
      </c>
      <c r="N2628" s="31" t="e">
        <f>#REF!</f>
        <v>#REF!</v>
      </c>
      <c r="O2628" s="37" t="e">
        <f t="shared" si="66"/>
        <v>#REF!</v>
      </c>
    </row>
    <row r="2629" spans="2:15" ht="17.399999999999999">
      <c r="B2629" s="42" t="s">
        <v>88</v>
      </c>
      <c r="C2629" s="39" t="e">
        <f>#REF!</f>
        <v>#REF!</v>
      </c>
      <c r="D2629" s="31" t="e">
        <f>#REF!</f>
        <v>#REF!</v>
      </c>
      <c r="E2629" s="31" t="e">
        <f>#REF!</f>
        <v>#REF!</v>
      </c>
      <c r="F2629" s="31" t="e">
        <f>#REF!</f>
        <v>#REF!</v>
      </c>
      <c r="G2629" s="31" t="e">
        <f>#REF!</f>
        <v>#REF!</v>
      </c>
      <c r="H2629" s="31" t="e">
        <f>#REF!</f>
        <v>#REF!</v>
      </c>
      <c r="I2629" s="31">
        <f>'تقرير المصروفات حسب الشهر'!Z824</f>
        <v>0</v>
      </c>
      <c r="J2629" s="31">
        <f>'تقرير المصروفات حسب الشهر'!Z951</f>
        <v>0</v>
      </c>
      <c r="K2629" s="31">
        <f>'تقرير المصروفات حسب الشهر'!Z1078</f>
        <v>0</v>
      </c>
      <c r="L2629" s="292">
        <f>IFERROR(VLOOKUP(B2629,'تقرير المصروفات حسب الشهر'!$C$1143:$AD$1254,24,FALSE),0)</f>
        <v>0</v>
      </c>
      <c r="M2629" s="292">
        <f>IFERROR(VLOOKUP(B2629,'تقرير المصروفات حسب الشهر'!$C$1270:$AD$1381,24,FALSE),0)</f>
        <v>0</v>
      </c>
      <c r="N2629" s="31" t="e">
        <f>#REF!</f>
        <v>#REF!</v>
      </c>
      <c r="O2629" s="37" t="e">
        <f t="shared" si="66"/>
        <v>#REF!</v>
      </c>
    </row>
    <row r="2630" spans="2:15" ht="17.399999999999999">
      <c r="B2630" s="42" t="s">
        <v>89</v>
      </c>
      <c r="C2630" s="39" t="e">
        <f>#REF!</f>
        <v>#REF!</v>
      </c>
      <c r="D2630" s="31" t="e">
        <f>#REF!</f>
        <v>#REF!</v>
      </c>
      <c r="E2630" s="31" t="e">
        <f>#REF!</f>
        <v>#REF!</v>
      </c>
      <c r="F2630" s="31" t="e">
        <f>#REF!</f>
        <v>#REF!</v>
      </c>
      <c r="G2630" s="31" t="e">
        <f>#REF!</f>
        <v>#REF!</v>
      </c>
      <c r="H2630" s="31" t="e">
        <f>#REF!</f>
        <v>#REF!</v>
      </c>
      <c r="I2630" s="31">
        <f>'تقرير المصروفات حسب الشهر'!Z825</f>
        <v>0</v>
      </c>
      <c r="J2630" s="31">
        <f>'تقرير المصروفات حسب الشهر'!Z952</f>
        <v>0</v>
      </c>
      <c r="K2630" s="31">
        <f>'تقرير المصروفات حسب الشهر'!Z1079</f>
        <v>0</v>
      </c>
      <c r="L2630" s="292">
        <f>IFERROR(VLOOKUP(B2630,'تقرير المصروفات حسب الشهر'!$C$1143:$AD$1254,24,FALSE),0)</f>
        <v>0</v>
      </c>
      <c r="M2630" s="292">
        <f>IFERROR(VLOOKUP(B2630,'تقرير المصروفات حسب الشهر'!$C$1270:$AD$1381,24,FALSE),0)</f>
        <v>0</v>
      </c>
      <c r="N2630" s="31" t="e">
        <f>#REF!</f>
        <v>#REF!</v>
      </c>
      <c r="O2630" s="37" t="e">
        <f t="shared" si="66"/>
        <v>#REF!</v>
      </c>
    </row>
    <row r="2631" spans="2:15" ht="17.399999999999999">
      <c r="B2631" s="42" t="s">
        <v>33</v>
      </c>
      <c r="C2631" s="39" t="e">
        <f>#REF!</f>
        <v>#REF!</v>
      </c>
      <c r="D2631" s="31" t="e">
        <f>#REF!</f>
        <v>#REF!</v>
      </c>
      <c r="E2631" s="31" t="e">
        <f>#REF!</f>
        <v>#REF!</v>
      </c>
      <c r="F2631" s="31" t="e">
        <f>#REF!</f>
        <v>#REF!</v>
      </c>
      <c r="G2631" s="31" t="e">
        <f>#REF!</f>
        <v>#REF!</v>
      </c>
      <c r="H2631" s="31" t="e">
        <f>#REF!</f>
        <v>#REF!</v>
      </c>
      <c r="I2631" s="31">
        <f>'تقرير المصروفات حسب الشهر'!Z826</f>
        <v>979</v>
      </c>
      <c r="J2631" s="31">
        <f>'تقرير المصروفات حسب الشهر'!Z953</f>
        <v>0</v>
      </c>
      <c r="K2631" s="31">
        <f>'تقرير المصروفات حسب الشهر'!Z1080</f>
        <v>0</v>
      </c>
      <c r="L2631" s="292">
        <f>IFERROR(VLOOKUP(B2631,'تقرير المصروفات حسب الشهر'!$C$1143:$AD$1254,24,FALSE),0)</f>
        <v>1075.76</v>
      </c>
      <c r="M2631" s="292">
        <f>IFERROR(VLOOKUP(B2631,'تقرير المصروفات حسب الشهر'!$C$1270:$AD$1381,24,FALSE),0)</f>
        <v>1105.82</v>
      </c>
      <c r="N2631" s="31" t="e">
        <f>#REF!</f>
        <v>#REF!</v>
      </c>
      <c r="O2631" s="37" t="e">
        <f t="shared" si="66"/>
        <v>#REF!</v>
      </c>
    </row>
    <row r="2632" spans="2:15" ht="17.399999999999999">
      <c r="B2632" s="42" t="s">
        <v>90</v>
      </c>
      <c r="C2632" s="39" t="e">
        <f>#REF!</f>
        <v>#REF!</v>
      </c>
      <c r="D2632" s="31" t="e">
        <f>#REF!</f>
        <v>#REF!</v>
      </c>
      <c r="E2632" s="31" t="e">
        <f>#REF!</f>
        <v>#REF!</v>
      </c>
      <c r="F2632" s="31" t="e">
        <f>#REF!</f>
        <v>#REF!</v>
      </c>
      <c r="G2632" s="31" t="e">
        <f>#REF!</f>
        <v>#REF!</v>
      </c>
      <c r="H2632" s="31" t="e">
        <f>#REF!</f>
        <v>#REF!</v>
      </c>
      <c r="I2632" s="31">
        <f>'تقرير المصروفات حسب الشهر'!Z827</f>
        <v>0</v>
      </c>
      <c r="J2632" s="31">
        <f>'تقرير المصروفات حسب الشهر'!Z954</f>
        <v>0</v>
      </c>
      <c r="K2632" s="31">
        <f>'تقرير المصروفات حسب الشهر'!Z1081</f>
        <v>0</v>
      </c>
      <c r="L2632" s="292">
        <f>IFERROR(VLOOKUP(B2632,'تقرير المصروفات حسب الشهر'!$C$1143:$AD$1254,24,FALSE),0)</f>
        <v>0</v>
      </c>
      <c r="M2632" s="292">
        <f>IFERROR(VLOOKUP(B2632,'تقرير المصروفات حسب الشهر'!$C$1270:$AD$1381,24,FALSE),0)</f>
        <v>0</v>
      </c>
      <c r="N2632" s="31" t="e">
        <f>#REF!</f>
        <v>#REF!</v>
      </c>
      <c r="O2632" s="37" t="e">
        <f t="shared" si="66"/>
        <v>#REF!</v>
      </c>
    </row>
    <row r="2633" spans="2:15" ht="17.399999999999999">
      <c r="B2633" s="42" t="s">
        <v>91</v>
      </c>
      <c r="C2633" s="39" t="e">
        <f>#REF!</f>
        <v>#REF!</v>
      </c>
      <c r="D2633" s="31" t="e">
        <f>#REF!</f>
        <v>#REF!</v>
      </c>
      <c r="E2633" s="31" t="e">
        <f>#REF!</f>
        <v>#REF!</v>
      </c>
      <c r="F2633" s="31" t="e">
        <f>#REF!</f>
        <v>#REF!</v>
      </c>
      <c r="G2633" s="31" t="e">
        <f>#REF!</f>
        <v>#REF!</v>
      </c>
      <c r="H2633" s="31" t="e">
        <f>#REF!</f>
        <v>#REF!</v>
      </c>
      <c r="I2633" s="31">
        <f>'تقرير المصروفات حسب الشهر'!Z828</f>
        <v>0</v>
      </c>
      <c r="J2633" s="31">
        <f>'تقرير المصروفات حسب الشهر'!Z955</f>
        <v>0</v>
      </c>
      <c r="K2633" s="31">
        <f>'تقرير المصروفات حسب الشهر'!Z1082</f>
        <v>0</v>
      </c>
      <c r="L2633" s="292">
        <f>IFERROR(VLOOKUP(B2633,'تقرير المصروفات حسب الشهر'!$C$1143:$AD$1254,24,FALSE),0)</f>
        <v>0</v>
      </c>
      <c r="M2633" s="292">
        <f>IFERROR(VLOOKUP(B2633,'تقرير المصروفات حسب الشهر'!$C$1270:$AD$1381,24,FALSE),0)</f>
        <v>0</v>
      </c>
      <c r="N2633" s="31" t="e">
        <f>#REF!</f>
        <v>#REF!</v>
      </c>
      <c r="O2633" s="37" t="e">
        <f t="shared" ref="O2633:O2676" si="67">SUM(C2633:N2633)</f>
        <v>#REF!</v>
      </c>
    </row>
    <row r="2634" spans="2:15" ht="17.399999999999999">
      <c r="B2634" s="42" t="s">
        <v>92</v>
      </c>
      <c r="C2634" s="39" t="e">
        <f>#REF!</f>
        <v>#REF!</v>
      </c>
      <c r="D2634" s="31" t="e">
        <f>#REF!</f>
        <v>#REF!</v>
      </c>
      <c r="E2634" s="31" t="e">
        <f>#REF!</f>
        <v>#REF!</v>
      </c>
      <c r="F2634" s="31" t="e">
        <f>#REF!</f>
        <v>#REF!</v>
      </c>
      <c r="G2634" s="31" t="e">
        <f>#REF!</f>
        <v>#REF!</v>
      </c>
      <c r="H2634" s="31" t="e">
        <f>#REF!</f>
        <v>#REF!</v>
      </c>
      <c r="I2634" s="31">
        <f>'تقرير المصروفات حسب الشهر'!Z829</f>
        <v>0</v>
      </c>
      <c r="J2634" s="31">
        <f>'تقرير المصروفات حسب الشهر'!Z956</f>
        <v>0</v>
      </c>
      <c r="K2634" s="31">
        <f>'تقرير المصروفات حسب الشهر'!Z1083</f>
        <v>0</v>
      </c>
      <c r="L2634" s="292">
        <f>IFERROR(VLOOKUP(B2634,'تقرير المصروفات حسب الشهر'!$C$1143:$AD$1254,24,FALSE),0)</f>
        <v>0</v>
      </c>
      <c r="M2634" s="292">
        <f>IFERROR(VLOOKUP(B2634,'تقرير المصروفات حسب الشهر'!$C$1270:$AD$1381,24,FALSE),0)</f>
        <v>0</v>
      </c>
      <c r="N2634" s="31" t="e">
        <f>#REF!</f>
        <v>#REF!</v>
      </c>
      <c r="O2634" s="37" t="e">
        <f t="shared" si="67"/>
        <v>#REF!</v>
      </c>
    </row>
    <row r="2635" spans="2:15" ht="17.399999999999999">
      <c r="B2635" s="42" t="s">
        <v>93</v>
      </c>
      <c r="C2635" s="39" t="e">
        <f>#REF!</f>
        <v>#REF!</v>
      </c>
      <c r="D2635" s="31" t="e">
        <f>#REF!</f>
        <v>#REF!</v>
      </c>
      <c r="E2635" s="31" t="e">
        <f>#REF!</f>
        <v>#REF!</v>
      </c>
      <c r="F2635" s="31" t="e">
        <f>#REF!</f>
        <v>#REF!</v>
      </c>
      <c r="G2635" s="31" t="e">
        <f>#REF!</f>
        <v>#REF!</v>
      </c>
      <c r="H2635" s="31" t="e">
        <f>#REF!</f>
        <v>#REF!</v>
      </c>
      <c r="I2635" s="31">
        <f>'تقرير المصروفات حسب الشهر'!Z830</f>
        <v>0</v>
      </c>
      <c r="J2635" s="31">
        <f>'تقرير المصروفات حسب الشهر'!Z957</f>
        <v>0</v>
      </c>
      <c r="K2635" s="31">
        <f>'تقرير المصروفات حسب الشهر'!Z1084</f>
        <v>0</v>
      </c>
      <c r="L2635" s="292">
        <f>IFERROR(VLOOKUP(B2635,'تقرير المصروفات حسب الشهر'!$C$1143:$AD$1254,24,FALSE),0)</f>
        <v>0</v>
      </c>
      <c r="M2635" s="292">
        <f>IFERROR(VLOOKUP(B2635,'تقرير المصروفات حسب الشهر'!$C$1270:$AD$1381,24,FALSE),0)</f>
        <v>0</v>
      </c>
      <c r="N2635" s="31" t="e">
        <f>#REF!</f>
        <v>#REF!</v>
      </c>
      <c r="O2635" s="37" t="e">
        <f t="shared" si="67"/>
        <v>#REF!</v>
      </c>
    </row>
    <row r="2636" spans="2:15" ht="17.399999999999999">
      <c r="B2636" s="42" t="s">
        <v>94</v>
      </c>
      <c r="C2636" s="39" t="e">
        <f>#REF!</f>
        <v>#REF!</v>
      </c>
      <c r="D2636" s="31" t="e">
        <f>#REF!</f>
        <v>#REF!</v>
      </c>
      <c r="E2636" s="31" t="e">
        <f>#REF!</f>
        <v>#REF!</v>
      </c>
      <c r="F2636" s="31" t="e">
        <f>#REF!</f>
        <v>#REF!</v>
      </c>
      <c r="G2636" s="31" t="e">
        <f>#REF!</f>
        <v>#REF!</v>
      </c>
      <c r="H2636" s="31" t="e">
        <f>#REF!</f>
        <v>#REF!</v>
      </c>
      <c r="I2636" s="31">
        <f>'تقرير المصروفات حسب الشهر'!Z831</f>
        <v>0</v>
      </c>
      <c r="J2636" s="31">
        <f>'تقرير المصروفات حسب الشهر'!Z958</f>
        <v>0</v>
      </c>
      <c r="K2636" s="31">
        <f>'تقرير المصروفات حسب الشهر'!Z1085</f>
        <v>0</v>
      </c>
      <c r="L2636" s="292">
        <f>IFERROR(VLOOKUP(B2636,'تقرير المصروفات حسب الشهر'!$C$1143:$AD$1254,24,FALSE),0)</f>
        <v>0</v>
      </c>
      <c r="M2636" s="292">
        <f>IFERROR(VLOOKUP(B2636,'تقرير المصروفات حسب الشهر'!$C$1270:$AD$1381,24,FALSE),0)</f>
        <v>0</v>
      </c>
      <c r="N2636" s="31" t="e">
        <f>#REF!</f>
        <v>#REF!</v>
      </c>
      <c r="O2636" s="37" t="e">
        <f t="shared" si="67"/>
        <v>#REF!</v>
      </c>
    </row>
    <row r="2637" spans="2:15" ht="17.399999999999999">
      <c r="B2637" s="42" t="s">
        <v>95</v>
      </c>
      <c r="C2637" s="39" t="e">
        <f>#REF!</f>
        <v>#REF!</v>
      </c>
      <c r="D2637" s="31" t="e">
        <f>#REF!</f>
        <v>#REF!</v>
      </c>
      <c r="E2637" s="31" t="e">
        <f>#REF!</f>
        <v>#REF!</v>
      </c>
      <c r="F2637" s="31" t="e">
        <f>#REF!</f>
        <v>#REF!</v>
      </c>
      <c r="G2637" s="31" t="e">
        <f>#REF!</f>
        <v>#REF!</v>
      </c>
      <c r="H2637" s="31" t="e">
        <f>#REF!</f>
        <v>#REF!</v>
      </c>
      <c r="I2637" s="31">
        <f>'تقرير المصروفات حسب الشهر'!Z832</f>
        <v>0</v>
      </c>
      <c r="J2637" s="31">
        <f>'تقرير المصروفات حسب الشهر'!Z959</f>
        <v>0</v>
      </c>
      <c r="K2637" s="31">
        <f>'تقرير المصروفات حسب الشهر'!Z1086</f>
        <v>0</v>
      </c>
      <c r="L2637" s="292">
        <f>IFERROR(VLOOKUP(B2637,'تقرير المصروفات حسب الشهر'!$C$1143:$AD$1254,24,FALSE),0)</f>
        <v>0</v>
      </c>
      <c r="M2637" s="292">
        <f>IFERROR(VLOOKUP(B2637,'تقرير المصروفات حسب الشهر'!$C$1270:$AD$1381,24,FALSE),0)</f>
        <v>0</v>
      </c>
      <c r="N2637" s="31" t="e">
        <f>#REF!</f>
        <v>#REF!</v>
      </c>
      <c r="O2637" s="37" t="e">
        <f t="shared" si="67"/>
        <v>#REF!</v>
      </c>
    </row>
    <row r="2638" spans="2:15" ht="17.399999999999999">
      <c r="B2638" s="42" t="s">
        <v>96</v>
      </c>
      <c r="C2638" s="39" t="e">
        <f>#REF!</f>
        <v>#REF!</v>
      </c>
      <c r="D2638" s="31" t="e">
        <f>#REF!</f>
        <v>#REF!</v>
      </c>
      <c r="E2638" s="31" t="e">
        <f>#REF!</f>
        <v>#REF!</v>
      </c>
      <c r="F2638" s="31" t="e">
        <f>#REF!</f>
        <v>#REF!</v>
      </c>
      <c r="G2638" s="31" t="e">
        <f>#REF!</f>
        <v>#REF!</v>
      </c>
      <c r="H2638" s="31" t="e">
        <f>#REF!</f>
        <v>#REF!</v>
      </c>
      <c r="I2638" s="31">
        <f>'تقرير المصروفات حسب الشهر'!Z833</f>
        <v>668</v>
      </c>
      <c r="J2638" s="31">
        <f>'تقرير المصروفات حسب الشهر'!Z960</f>
        <v>0</v>
      </c>
      <c r="K2638" s="31">
        <f>'تقرير المصروفات حسب الشهر'!Z1087</f>
        <v>0</v>
      </c>
      <c r="L2638" s="292">
        <f>IFERROR(VLOOKUP(B2638,'تقرير المصروفات حسب الشهر'!$C$1143:$AD$1254,24,FALSE),0)</f>
        <v>0</v>
      </c>
      <c r="M2638" s="292">
        <f>IFERROR(VLOOKUP(B2638,'تقرير المصروفات حسب الشهر'!$C$1270:$AD$1381,24,FALSE),0)</f>
        <v>0</v>
      </c>
      <c r="N2638" s="31" t="e">
        <f>#REF!</f>
        <v>#REF!</v>
      </c>
      <c r="O2638" s="37" t="e">
        <f t="shared" si="67"/>
        <v>#REF!</v>
      </c>
    </row>
    <row r="2639" spans="2:15" ht="17.399999999999999">
      <c r="B2639" s="42" t="s">
        <v>97</v>
      </c>
      <c r="C2639" s="39" t="e">
        <f>#REF!</f>
        <v>#REF!</v>
      </c>
      <c r="D2639" s="31" t="e">
        <f>#REF!</f>
        <v>#REF!</v>
      </c>
      <c r="E2639" s="31" t="e">
        <f>#REF!</f>
        <v>#REF!</v>
      </c>
      <c r="F2639" s="31" t="e">
        <f>#REF!</f>
        <v>#REF!</v>
      </c>
      <c r="G2639" s="31" t="e">
        <f>#REF!</f>
        <v>#REF!</v>
      </c>
      <c r="H2639" s="31" t="e">
        <f>#REF!</f>
        <v>#REF!</v>
      </c>
      <c r="I2639" s="31">
        <f>'تقرير المصروفات حسب الشهر'!Z834</f>
        <v>310</v>
      </c>
      <c r="J2639" s="31">
        <f>'تقرير المصروفات حسب الشهر'!Z961</f>
        <v>309</v>
      </c>
      <c r="K2639" s="31">
        <f>'تقرير المصروفات حسب الشهر'!Z1088</f>
        <v>0</v>
      </c>
      <c r="L2639" s="292">
        <f>IFERROR(VLOOKUP(B2639,'تقرير المصروفات حسب الشهر'!$C$1143:$AD$1254,24,FALSE),0)</f>
        <v>617.24</v>
      </c>
      <c r="M2639" s="292">
        <f>IFERROR(VLOOKUP(B2639,'تقرير المصروفات حسب الشهر'!$C$1270:$AD$1381,24,FALSE),0)</f>
        <v>309</v>
      </c>
      <c r="N2639" s="31" t="e">
        <f>#REF!</f>
        <v>#REF!</v>
      </c>
      <c r="O2639" s="37" t="e">
        <f t="shared" si="67"/>
        <v>#REF!</v>
      </c>
    </row>
    <row r="2640" spans="2:15" ht="17.399999999999999">
      <c r="B2640" s="42" t="s">
        <v>192</v>
      </c>
      <c r="C2640" s="39" t="e">
        <f>#REF!</f>
        <v>#REF!</v>
      </c>
      <c r="D2640" s="31" t="e">
        <f>#REF!</f>
        <v>#REF!</v>
      </c>
      <c r="E2640" s="31" t="e">
        <f>#REF!</f>
        <v>#REF!</v>
      </c>
      <c r="F2640" s="31" t="e">
        <f>#REF!</f>
        <v>#REF!</v>
      </c>
      <c r="G2640" s="31" t="e">
        <f>#REF!</f>
        <v>#REF!</v>
      </c>
      <c r="H2640" s="31" t="e">
        <f>#REF!</f>
        <v>#REF!</v>
      </c>
      <c r="I2640" s="31">
        <f>'تقرير المصروفات حسب الشهر'!Z835</f>
        <v>0</v>
      </c>
      <c r="J2640" s="31">
        <f>'تقرير المصروفات حسب الشهر'!Z962</f>
        <v>0</v>
      </c>
      <c r="K2640" s="31">
        <f>'تقرير المصروفات حسب الشهر'!Z1089</f>
        <v>2130</v>
      </c>
      <c r="L2640" s="292">
        <f>IFERROR(VLOOKUP(B2640,'تقرير المصروفات حسب الشهر'!$C$1143:$AD$1254,24,FALSE),0)</f>
        <v>1065</v>
      </c>
      <c r="M2640" s="292">
        <f>IFERROR(VLOOKUP(B2640,'تقرير المصروفات حسب الشهر'!$C$1270:$AD$1381,24,FALSE),0)</f>
        <v>1065</v>
      </c>
      <c r="N2640" s="31" t="e">
        <f>#REF!</f>
        <v>#REF!</v>
      </c>
      <c r="O2640" s="37" t="e">
        <f t="shared" si="67"/>
        <v>#REF!</v>
      </c>
    </row>
    <row r="2641" spans="2:15" ht="17.399999999999999">
      <c r="B2641" s="42" t="s">
        <v>98</v>
      </c>
      <c r="C2641" s="39" t="e">
        <f>#REF!</f>
        <v>#REF!</v>
      </c>
      <c r="D2641" s="31" t="e">
        <f>#REF!</f>
        <v>#REF!</v>
      </c>
      <c r="E2641" s="31" t="e">
        <f>#REF!</f>
        <v>#REF!</v>
      </c>
      <c r="F2641" s="31" t="e">
        <f>#REF!</f>
        <v>#REF!</v>
      </c>
      <c r="G2641" s="31" t="e">
        <f>#REF!</f>
        <v>#REF!</v>
      </c>
      <c r="H2641" s="31" t="e">
        <f>#REF!</f>
        <v>#REF!</v>
      </c>
      <c r="I2641" s="31">
        <f>'تقرير المصروفات حسب الشهر'!Z836</f>
        <v>0</v>
      </c>
      <c r="J2641" s="31">
        <f>'تقرير المصروفات حسب الشهر'!Z963</f>
        <v>0</v>
      </c>
      <c r="K2641" s="31">
        <f>'تقرير المصروفات حسب الشهر'!Z1090</f>
        <v>0</v>
      </c>
      <c r="L2641" s="292">
        <f>IFERROR(VLOOKUP(B2641,'تقرير المصروفات حسب الشهر'!$C$1143:$AD$1254,24,FALSE),0)</f>
        <v>0</v>
      </c>
      <c r="M2641" s="292">
        <f>IFERROR(VLOOKUP(B2641,'تقرير المصروفات حسب الشهر'!$C$1270:$AD$1381,24,FALSE),0)</f>
        <v>0</v>
      </c>
      <c r="N2641" s="31" t="e">
        <f>#REF!</f>
        <v>#REF!</v>
      </c>
      <c r="O2641" s="37" t="e">
        <f t="shared" si="67"/>
        <v>#REF!</v>
      </c>
    </row>
    <row r="2642" spans="2:15" ht="17.399999999999999">
      <c r="B2642" s="42" t="s">
        <v>99</v>
      </c>
      <c r="C2642" s="39" t="e">
        <f>#REF!</f>
        <v>#REF!</v>
      </c>
      <c r="D2642" s="31" t="e">
        <f>#REF!</f>
        <v>#REF!</v>
      </c>
      <c r="E2642" s="31" t="e">
        <f>#REF!</f>
        <v>#REF!</v>
      </c>
      <c r="F2642" s="31" t="e">
        <f>#REF!</f>
        <v>#REF!</v>
      </c>
      <c r="G2642" s="31" t="e">
        <f>#REF!</f>
        <v>#REF!</v>
      </c>
      <c r="H2642" s="31" t="e">
        <f>#REF!</f>
        <v>#REF!</v>
      </c>
      <c r="I2642" s="31">
        <f>'تقرير المصروفات حسب الشهر'!Z837</f>
        <v>0</v>
      </c>
      <c r="J2642" s="31">
        <f>'تقرير المصروفات حسب الشهر'!Z964</f>
        <v>0</v>
      </c>
      <c r="K2642" s="31">
        <f>'تقرير المصروفات حسب الشهر'!Z1091</f>
        <v>0</v>
      </c>
      <c r="L2642" s="292">
        <f>IFERROR(VLOOKUP(B2642,'تقرير المصروفات حسب الشهر'!$C$1143:$AD$1254,24,FALSE),0)</f>
        <v>0</v>
      </c>
      <c r="M2642" s="292">
        <f>IFERROR(VLOOKUP(B2642,'تقرير المصروفات حسب الشهر'!$C$1270:$AD$1381,24,FALSE),0)</f>
        <v>0</v>
      </c>
      <c r="N2642" s="31" t="e">
        <f>#REF!</f>
        <v>#REF!</v>
      </c>
      <c r="O2642" s="37" t="e">
        <f t="shared" si="67"/>
        <v>#REF!</v>
      </c>
    </row>
    <row r="2643" spans="2:15" ht="17.399999999999999">
      <c r="B2643" s="42" t="s">
        <v>100</v>
      </c>
      <c r="C2643" s="39" t="e">
        <f>#REF!</f>
        <v>#REF!</v>
      </c>
      <c r="D2643" s="31" t="e">
        <f>#REF!</f>
        <v>#REF!</v>
      </c>
      <c r="E2643" s="31" t="e">
        <f>#REF!</f>
        <v>#REF!</v>
      </c>
      <c r="F2643" s="31" t="e">
        <f>#REF!</f>
        <v>#REF!</v>
      </c>
      <c r="G2643" s="31" t="e">
        <f>#REF!</f>
        <v>#REF!</v>
      </c>
      <c r="H2643" s="31" t="e">
        <f>#REF!</f>
        <v>#REF!</v>
      </c>
      <c r="I2643" s="31">
        <f>'تقرير المصروفات حسب الشهر'!Z838</f>
        <v>168.33</v>
      </c>
      <c r="J2643" s="31">
        <f>'تقرير المصروفات حسب الشهر'!Z965</f>
        <v>168.33</v>
      </c>
      <c r="K2643" s="31">
        <f>'تقرير المصروفات حسب الشهر'!Z1092</f>
        <v>168.33</v>
      </c>
      <c r="L2643" s="292">
        <f>IFERROR(VLOOKUP(B2643,'تقرير المصروفات حسب الشهر'!$C$1143:$AD$1254,24,FALSE),0)</f>
        <v>168.33</v>
      </c>
      <c r="M2643" s="292">
        <f>IFERROR(VLOOKUP(B2643,'تقرير المصروفات حسب الشهر'!$C$1270:$AD$1381,24,FALSE),0)</f>
        <v>168.33</v>
      </c>
      <c r="N2643" s="31" t="e">
        <f>#REF!</f>
        <v>#REF!</v>
      </c>
      <c r="O2643" s="37" t="e">
        <f t="shared" si="67"/>
        <v>#REF!</v>
      </c>
    </row>
    <row r="2644" spans="2:15" ht="17.399999999999999">
      <c r="B2644" s="42" t="s">
        <v>101</v>
      </c>
      <c r="C2644" s="39" t="e">
        <f>#REF!</f>
        <v>#REF!</v>
      </c>
      <c r="D2644" s="31" t="e">
        <f>#REF!</f>
        <v>#REF!</v>
      </c>
      <c r="E2644" s="31" t="e">
        <f>#REF!</f>
        <v>#REF!</v>
      </c>
      <c r="F2644" s="31" t="e">
        <f>#REF!</f>
        <v>#REF!</v>
      </c>
      <c r="G2644" s="31" t="e">
        <f>#REF!</f>
        <v>#REF!</v>
      </c>
      <c r="H2644" s="31" t="e">
        <f>#REF!</f>
        <v>#REF!</v>
      </c>
      <c r="I2644" s="31">
        <f>'تقرير المصروفات حسب الشهر'!Z839</f>
        <v>0</v>
      </c>
      <c r="J2644" s="31">
        <f>'تقرير المصروفات حسب الشهر'!Z966</f>
        <v>0</v>
      </c>
      <c r="K2644" s="31">
        <f>'تقرير المصروفات حسب الشهر'!Z1093</f>
        <v>0</v>
      </c>
      <c r="L2644" s="292">
        <f>IFERROR(VLOOKUP(B2644,'تقرير المصروفات حسب الشهر'!$C$1143:$AD$1254,24,FALSE),0)</f>
        <v>0</v>
      </c>
      <c r="M2644" s="292">
        <f>IFERROR(VLOOKUP(B2644,'تقرير المصروفات حسب الشهر'!$C$1270:$AD$1381,24,FALSE),0)</f>
        <v>0</v>
      </c>
      <c r="N2644" s="31" t="e">
        <f>#REF!</f>
        <v>#REF!</v>
      </c>
      <c r="O2644" s="37" t="e">
        <f t="shared" si="67"/>
        <v>#REF!</v>
      </c>
    </row>
    <row r="2645" spans="2:15" ht="17.399999999999999">
      <c r="B2645" s="42" t="s">
        <v>102</v>
      </c>
      <c r="C2645" s="39" t="e">
        <f>#REF!</f>
        <v>#REF!</v>
      </c>
      <c r="D2645" s="31" t="e">
        <f>#REF!</f>
        <v>#REF!</v>
      </c>
      <c r="E2645" s="31" t="e">
        <f>#REF!</f>
        <v>#REF!</v>
      </c>
      <c r="F2645" s="31" t="e">
        <f>#REF!</f>
        <v>#REF!</v>
      </c>
      <c r="G2645" s="31" t="e">
        <f>#REF!</f>
        <v>#REF!</v>
      </c>
      <c r="H2645" s="31" t="e">
        <f>#REF!</f>
        <v>#REF!</v>
      </c>
      <c r="I2645" s="31">
        <f>'تقرير المصروفات حسب الشهر'!Z840</f>
        <v>39.75</v>
      </c>
      <c r="J2645" s="31">
        <f>'تقرير المصروفات حسب الشهر'!Z967</f>
        <v>37.67</v>
      </c>
      <c r="K2645" s="31">
        <f>'تقرير المصروفات حسب الشهر'!Z1094</f>
        <v>37.67</v>
      </c>
      <c r="L2645" s="292">
        <f>IFERROR(VLOOKUP(B2645,'تقرير المصروفات حسب الشهر'!$C$1143:$AD$1254,24,FALSE),0)</f>
        <v>37.67</v>
      </c>
      <c r="M2645" s="292">
        <f>IFERROR(VLOOKUP(B2645,'تقرير المصروفات حسب الشهر'!$C$1270:$AD$1381,24,FALSE),0)</f>
        <v>87.1</v>
      </c>
      <c r="N2645" s="31" t="e">
        <f>#REF!</f>
        <v>#REF!</v>
      </c>
      <c r="O2645" s="37" t="e">
        <f t="shared" si="67"/>
        <v>#REF!</v>
      </c>
    </row>
    <row r="2646" spans="2:15" ht="17.399999999999999">
      <c r="B2646" s="42" t="s">
        <v>103</v>
      </c>
      <c r="C2646" s="39" t="e">
        <f>#REF!</f>
        <v>#REF!</v>
      </c>
      <c r="D2646" s="31" t="e">
        <f>#REF!</f>
        <v>#REF!</v>
      </c>
      <c r="E2646" s="31" t="e">
        <f>#REF!</f>
        <v>#REF!</v>
      </c>
      <c r="F2646" s="31" t="e">
        <f>#REF!</f>
        <v>#REF!</v>
      </c>
      <c r="G2646" s="31" t="e">
        <f>#REF!</f>
        <v>#REF!</v>
      </c>
      <c r="H2646" s="31" t="e">
        <f>#REF!</f>
        <v>#REF!</v>
      </c>
      <c r="I2646" s="31">
        <f>'تقرير المصروفات حسب الشهر'!Z841</f>
        <v>115.18</v>
      </c>
      <c r="J2646" s="31">
        <f>'تقرير المصروفات حسب الشهر'!Z968</f>
        <v>38.17</v>
      </c>
      <c r="K2646" s="31">
        <f>'تقرير المصروفات حسب الشهر'!Z1095</f>
        <v>0</v>
      </c>
      <c r="L2646" s="292">
        <f>IFERROR(VLOOKUP(B2646,'تقرير المصروفات حسب الشهر'!$C$1143:$AD$1254,24,FALSE),0)</f>
        <v>0</v>
      </c>
      <c r="M2646" s="292">
        <f>IFERROR(VLOOKUP(B2646,'تقرير المصروفات حسب الشهر'!$C$1270:$AD$1381,24,FALSE),0)</f>
        <v>0</v>
      </c>
      <c r="N2646" s="31" t="e">
        <f>#REF!</f>
        <v>#REF!</v>
      </c>
      <c r="O2646" s="37" t="e">
        <f t="shared" si="67"/>
        <v>#REF!</v>
      </c>
    </row>
    <row r="2647" spans="2:15" ht="17.399999999999999">
      <c r="B2647" s="42" t="s">
        <v>104</v>
      </c>
      <c r="C2647" s="39" t="e">
        <f>#REF!</f>
        <v>#REF!</v>
      </c>
      <c r="D2647" s="31" t="e">
        <f>#REF!</f>
        <v>#REF!</v>
      </c>
      <c r="E2647" s="31" t="e">
        <f>#REF!</f>
        <v>#REF!</v>
      </c>
      <c r="F2647" s="31" t="e">
        <f>#REF!</f>
        <v>#REF!</v>
      </c>
      <c r="G2647" s="31" t="e">
        <f>#REF!</f>
        <v>#REF!</v>
      </c>
      <c r="H2647" s="31" t="e">
        <f>#REF!</f>
        <v>#REF!</v>
      </c>
      <c r="I2647" s="31">
        <f>'تقرير المصروفات حسب الشهر'!Z842</f>
        <v>59.18</v>
      </c>
      <c r="J2647" s="31">
        <f>'تقرير المصروفات حسب الشهر'!Z969</f>
        <v>54.17</v>
      </c>
      <c r="K2647" s="31">
        <f>'تقرير المصروفات حسب الشهر'!Z1096</f>
        <v>54.17</v>
      </c>
      <c r="L2647" s="292">
        <f>IFERROR(VLOOKUP(B2647,'تقرير المصروفات حسب الشهر'!$C$1143:$AD$1254,24,FALSE),0)</f>
        <v>54.17</v>
      </c>
      <c r="M2647" s="292">
        <f>IFERROR(VLOOKUP(B2647,'تقرير المصروفات حسب الشهر'!$C$1270:$AD$1381,24,FALSE),0)</f>
        <v>54.13</v>
      </c>
      <c r="N2647" s="31" t="e">
        <f>#REF!</f>
        <v>#REF!</v>
      </c>
      <c r="O2647" s="37" t="e">
        <f t="shared" si="67"/>
        <v>#REF!</v>
      </c>
    </row>
    <row r="2648" spans="2:15" ht="17.399999999999999">
      <c r="B2648" s="42" t="s">
        <v>105</v>
      </c>
      <c r="C2648" s="39" t="e">
        <f>#REF!</f>
        <v>#REF!</v>
      </c>
      <c r="D2648" s="31" t="e">
        <f>#REF!</f>
        <v>#REF!</v>
      </c>
      <c r="E2648" s="31" t="e">
        <f>#REF!</f>
        <v>#REF!</v>
      </c>
      <c r="F2648" s="31" t="e">
        <f>#REF!</f>
        <v>#REF!</v>
      </c>
      <c r="G2648" s="31" t="e">
        <f>#REF!</f>
        <v>#REF!</v>
      </c>
      <c r="H2648" s="31" t="e">
        <f>#REF!</f>
        <v>#REF!</v>
      </c>
      <c r="I2648" s="31">
        <f>'تقرير المصروفات حسب الشهر'!Z843</f>
        <v>15</v>
      </c>
      <c r="J2648" s="31">
        <f>'تقرير المصروفات حسب الشهر'!Z970</f>
        <v>15</v>
      </c>
      <c r="K2648" s="31">
        <f>'تقرير المصروفات حسب الشهر'!Z1097</f>
        <v>15</v>
      </c>
      <c r="L2648" s="292">
        <f>IFERROR(VLOOKUP(B2648,'تقرير المصروفات حسب الشهر'!$C$1143:$AD$1254,24,FALSE),0)</f>
        <v>15</v>
      </c>
      <c r="M2648" s="292">
        <f>IFERROR(VLOOKUP(B2648,'تقرير المصروفات حسب الشهر'!$C$1270:$AD$1381,24,FALSE),0)</f>
        <v>15</v>
      </c>
      <c r="N2648" s="31" t="e">
        <f>#REF!</f>
        <v>#REF!</v>
      </c>
      <c r="O2648" s="37" t="e">
        <f t="shared" si="67"/>
        <v>#REF!</v>
      </c>
    </row>
    <row r="2649" spans="2:15" ht="17.399999999999999">
      <c r="B2649" s="42" t="s">
        <v>106</v>
      </c>
      <c r="C2649" s="39" t="e">
        <f>#REF!</f>
        <v>#REF!</v>
      </c>
      <c r="D2649" s="31" t="e">
        <f>#REF!</f>
        <v>#REF!</v>
      </c>
      <c r="E2649" s="31" t="e">
        <f>#REF!</f>
        <v>#REF!</v>
      </c>
      <c r="F2649" s="31" t="e">
        <f>#REF!</f>
        <v>#REF!</v>
      </c>
      <c r="G2649" s="31" t="e">
        <f>#REF!</f>
        <v>#REF!</v>
      </c>
      <c r="H2649" s="31" t="e">
        <f>#REF!</f>
        <v>#REF!</v>
      </c>
      <c r="I2649" s="31">
        <f>'تقرير المصروفات حسب الشهر'!Z844</f>
        <v>0</v>
      </c>
      <c r="J2649" s="31">
        <f>'تقرير المصروفات حسب الشهر'!Z971</f>
        <v>0</v>
      </c>
      <c r="K2649" s="31">
        <f>'تقرير المصروفات حسب الشهر'!Z1098</f>
        <v>0</v>
      </c>
      <c r="L2649" s="292">
        <f>IFERROR(VLOOKUP(B2649,'تقرير المصروفات حسب الشهر'!$C$1143:$AD$1254,24,FALSE),0)</f>
        <v>0</v>
      </c>
      <c r="M2649" s="292">
        <f>IFERROR(VLOOKUP(B2649,'تقرير المصروفات حسب الشهر'!$C$1270:$AD$1381,24,FALSE),0)</f>
        <v>0</v>
      </c>
      <c r="N2649" s="31" t="e">
        <f>#REF!</f>
        <v>#REF!</v>
      </c>
      <c r="O2649" s="37" t="e">
        <f t="shared" si="67"/>
        <v>#REF!</v>
      </c>
    </row>
    <row r="2650" spans="2:15" ht="17.399999999999999">
      <c r="B2650" s="42" t="s">
        <v>107</v>
      </c>
      <c r="C2650" s="39" t="e">
        <f>#REF!</f>
        <v>#REF!</v>
      </c>
      <c r="D2650" s="31" t="e">
        <f>#REF!</f>
        <v>#REF!</v>
      </c>
      <c r="E2650" s="31" t="e">
        <f>#REF!</f>
        <v>#REF!</v>
      </c>
      <c r="F2650" s="31" t="e">
        <f>#REF!</f>
        <v>#REF!</v>
      </c>
      <c r="G2650" s="31" t="e">
        <f>#REF!</f>
        <v>#REF!</v>
      </c>
      <c r="H2650" s="31" t="e">
        <f>#REF!</f>
        <v>#REF!</v>
      </c>
      <c r="I2650" s="31">
        <f>'تقرير المصروفات حسب الشهر'!Z845</f>
        <v>0</v>
      </c>
      <c r="J2650" s="31">
        <f>'تقرير المصروفات حسب الشهر'!Z972</f>
        <v>0</v>
      </c>
      <c r="K2650" s="31">
        <f>'تقرير المصروفات حسب الشهر'!Z1099</f>
        <v>0</v>
      </c>
      <c r="L2650" s="292">
        <f>IFERROR(VLOOKUP(B2650,'تقرير المصروفات حسب الشهر'!$C$1143:$AD$1254,24,FALSE),0)</f>
        <v>0</v>
      </c>
      <c r="M2650" s="292">
        <f>IFERROR(VLOOKUP(B2650,'تقرير المصروفات حسب الشهر'!$C$1270:$AD$1381,24,FALSE),0)</f>
        <v>0</v>
      </c>
      <c r="N2650" s="31" t="e">
        <f>#REF!</f>
        <v>#REF!</v>
      </c>
      <c r="O2650" s="37" t="e">
        <f t="shared" si="67"/>
        <v>#REF!</v>
      </c>
    </row>
    <row r="2651" spans="2:15" ht="17.399999999999999">
      <c r="B2651" s="42" t="s">
        <v>108</v>
      </c>
      <c r="C2651" s="39" t="e">
        <f>#REF!</f>
        <v>#REF!</v>
      </c>
      <c r="D2651" s="31" t="e">
        <f>#REF!</f>
        <v>#REF!</v>
      </c>
      <c r="E2651" s="31" t="e">
        <f>#REF!</f>
        <v>#REF!</v>
      </c>
      <c r="F2651" s="31" t="e">
        <f>#REF!</f>
        <v>#REF!</v>
      </c>
      <c r="G2651" s="31" t="e">
        <f>#REF!</f>
        <v>#REF!</v>
      </c>
      <c r="H2651" s="31" t="e">
        <f>#REF!</f>
        <v>#REF!</v>
      </c>
      <c r="I2651" s="31">
        <f>'تقرير المصروفات حسب الشهر'!Z846</f>
        <v>0</v>
      </c>
      <c r="J2651" s="31">
        <f>'تقرير المصروفات حسب الشهر'!Z973</f>
        <v>0</v>
      </c>
      <c r="K2651" s="31">
        <f>'تقرير المصروفات حسب الشهر'!Z1100</f>
        <v>0</v>
      </c>
      <c r="L2651" s="292">
        <f>IFERROR(VLOOKUP(B2651,'تقرير المصروفات حسب الشهر'!$C$1143:$AD$1254,24,FALSE),0)</f>
        <v>0</v>
      </c>
      <c r="M2651" s="292">
        <f>IFERROR(VLOOKUP(B2651,'تقرير المصروفات حسب الشهر'!$C$1270:$AD$1381,24,FALSE),0)</f>
        <v>0</v>
      </c>
      <c r="N2651" s="31" t="e">
        <f>#REF!</f>
        <v>#REF!</v>
      </c>
      <c r="O2651" s="37" t="e">
        <f t="shared" si="67"/>
        <v>#REF!</v>
      </c>
    </row>
    <row r="2652" spans="2:15" ht="17.399999999999999">
      <c r="B2652" s="42" t="s">
        <v>109</v>
      </c>
      <c r="C2652" s="39" t="e">
        <f>#REF!</f>
        <v>#REF!</v>
      </c>
      <c r="D2652" s="31" t="e">
        <f>#REF!</f>
        <v>#REF!</v>
      </c>
      <c r="E2652" s="31" t="e">
        <f>#REF!</f>
        <v>#REF!</v>
      </c>
      <c r="F2652" s="31" t="e">
        <f>#REF!</f>
        <v>#REF!</v>
      </c>
      <c r="G2652" s="31" t="e">
        <f>#REF!</f>
        <v>#REF!</v>
      </c>
      <c r="H2652" s="31" t="e">
        <f>#REF!</f>
        <v>#REF!</v>
      </c>
      <c r="I2652" s="31">
        <f>'تقرير المصروفات حسب الشهر'!Z847</f>
        <v>0</v>
      </c>
      <c r="J2652" s="31">
        <f>'تقرير المصروفات حسب الشهر'!Z974</f>
        <v>0</v>
      </c>
      <c r="K2652" s="31">
        <f>'تقرير المصروفات حسب الشهر'!Z1101</f>
        <v>0</v>
      </c>
      <c r="L2652" s="292">
        <f>IFERROR(VLOOKUP(B2652,'تقرير المصروفات حسب الشهر'!$C$1143:$AD$1254,24,FALSE),0)</f>
        <v>0</v>
      </c>
      <c r="M2652" s="292">
        <f>IFERROR(VLOOKUP(B2652,'تقرير المصروفات حسب الشهر'!$C$1270:$AD$1381,24,FALSE),0)</f>
        <v>0</v>
      </c>
      <c r="N2652" s="31" t="e">
        <f>#REF!</f>
        <v>#REF!</v>
      </c>
      <c r="O2652" s="37" t="e">
        <f t="shared" si="67"/>
        <v>#REF!</v>
      </c>
    </row>
    <row r="2653" spans="2:15" ht="17.399999999999999">
      <c r="B2653" s="42" t="s">
        <v>110</v>
      </c>
      <c r="C2653" s="39" t="e">
        <f>#REF!</f>
        <v>#REF!</v>
      </c>
      <c r="D2653" s="31" t="e">
        <f>#REF!</f>
        <v>#REF!</v>
      </c>
      <c r="E2653" s="31" t="e">
        <f>#REF!</f>
        <v>#REF!</v>
      </c>
      <c r="F2653" s="31" t="e">
        <f>#REF!</f>
        <v>#REF!</v>
      </c>
      <c r="G2653" s="31" t="e">
        <f>#REF!</f>
        <v>#REF!</v>
      </c>
      <c r="H2653" s="31" t="e">
        <f>#REF!</f>
        <v>#REF!</v>
      </c>
      <c r="I2653" s="31">
        <f>'تقرير المصروفات حسب الشهر'!Z848</f>
        <v>0</v>
      </c>
      <c r="J2653" s="31">
        <f>'تقرير المصروفات حسب الشهر'!Z975</f>
        <v>0</v>
      </c>
      <c r="K2653" s="31">
        <f>'تقرير المصروفات حسب الشهر'!Z1102</f>
        <v>0</v>
      </c>
      <c r="L2653" s="292">
        <f>IFERROR(VLOOKUP(B2653,'تقرير المصروفات حسب الشهر'!$C$1143:$AD$1254,24,FALSE),0)</f>
        <v>0</v>
      </c>
      <c r="M2653" s="292">
        <f>IFERROR(VLOOKUP(B2653,'تقرير المصروفات حسب الشهر'!$C$1270:$AD$1381,24,FALSE),0)</f>
        <v>0</v>
      </c>
      <c r="N2653" s="31" t="e">
        <f>#REF!</f>
        <v>#REF!</v>
      </c>
      <c r="O2653" s="37" t="e">
        <f t="shared" si="67"/>
        <v>#REF!</v>
      </c>
    </row>
    <row r="2654" spans="2:15" ht="17.399999999999999">
      <c r="B2654" s="42" t="s">
        <v>112</v>
      </c>
      <c r="C2654" s="39" t="e">
        <f>#REF!</f>
        <v>#REF!</v>
      </c>
      <c r="D2654" s="31" t="e">
        <f>#REF!</f>
        <v>#REF!</v>
      </c>
      <c r="E2654" s="31" t="e">
        <f>#REF!</f>
        <v>#REF!</v>
      </c>
      <c r="F2654" s="31" t="e">
        <f>#REF!</f>
        <v>#REF!</v>
      </c>
      <c r="G2654" s="31" t="e">
        <f>#REF!</f>
        <v>#REF!</v>
      </c>
      <c r="H2654" s="31" t="e">
        <f>#REF!</f>
        <v>#REF!</v>
      </c>
      <c r="I2654" s="31">
        <f>'تقرير المصروفات حسب الشهر'!Z849</f>
        <v>0</v>
      </c>
      <c r="J2654" s="31">
        <f>'تقرير المصروفات حسب الشهر'!Z976</f>
        <v>0</v>
      </c>
      <c r="K2654" s="31">
        <f>'تقرير المصروفات حسب الشهر'!Z1103</f>
        <v>0</v>
      </c>
      <c r="L2654" s="292">
        <f>IFERROR(VLOOKUP(B2654,'تقرير المصروفات حسب الشهر'!$C$1143:$AD$1254,24,FALSE),0)</f>
        <v>0</v>
      </c>
      <c r="M2654" s="292">
        <f>IFERROR(VLOOKUP(B2654,'تقرير المصروفات حسب الشهر'!$C$1270:$AD$1381,24,FALSE),0)</f>
        <v>463.26</v>
      </c>
      <c r="N2654" s="31" t="e">
        <f>#REF!</f>
        <v>#REF!</v>
      </c>
      <c r="O2654" s="37" t="e">
        <f t="shared" si="67"/>
        <v>#REF!</v>
      </c>
    </row>
    <row r="2655" spans="2:15" ht="17.399999999999999">
      <c r="B2655" s="42" t="s">
        <v>113</v>
      </c>
      <c r="C2655" s="39" t="e">
        <f>#REF!</f>
        <v>#REF!</v>
      </c>
      <c r="D2655" s="31" t="e">
        <f>#REF!</f>
        <v>#REF!</v>
      </c>
      <c r="E2655" s="31" t="e">
        <f>#REF!</f>
        <v>#REF!</v>
      </c>
      <c r="F2655" s="31" t="e">
        <f>#REF!</f>
        <v>#REF!</v>
      </c>
      <c r="G2655" s="31" t="e">
        <f>#REF!</f>
        <v>#REF!</v>
      </c>
      <c r="H2655" s="31" t="e">
        <f>#REF!</f>
        <v>#REF!</v>
      </c>
      <c r="I2655" s="31">
        <f>'تقرير المصروفات حسب الشهر'!Z850</f>
        <v>0</v>
      </c>
      <c r="J2655" s="31">
        <f>'تقرير المصروفات حسب الشهر'!Z977</f>
        <v>0</v>
      </c>
      <c r="K2655" s="31">
        <f>'تقرير المصروفات حسب الشهر'!Z1104</f>
        <v>0</v>
      </c>
      <c r="L2655" s="292">
        <f>IFERROR(VLOOKUP(B2655,'تقرير المصروفات حسب الشهر'!$C$1143:$AD$1254,24,FALSE),0)</f>
        <v>15.61</v>
      </c>
      <c r="M2655" s="292">
        <f>IFERROR(VLOOKUP(B2655,'تقرير المصروفات حسب الشهر'!$C$1270:$AD$1381,24,FALSE),0)</f>
        <v>0</v>
      </c>
      <c r="N2655" s="31" t="e">
        <f>#REF!</f>
        <v>#REF!</v>
      </c>
      <c r="O2655" s="37" t="e">
        <f t="shared" si="67"/>
        <v>#REF!</v>
      </c>
    </row>
    <row r="2656" spans="2:15" ht="17.399999999999999">
      <c r="B2656" s="42" t="s">
        <v>137</v>
      </c>
      <c r="C2656" s="39" t="e">
        <f>#REF!</f>
        <v>#REF!</v>
      </c>
      <c r="D2656" s="31" t="e">
        <f>#REF!</f>
        <v>#REF!</v>
      </c>
      <c r="E2656" s="31" t="e">
        <f>#REF!</f>
        <v>#REF!</v>
      </c>
      <c r="F2656" s="31" t="e">
        <f>#REF!</f>
        <v>#REF!</v>
      </c>
      <c r="G2656" s="31" t="e">
        <f>#REF!</f>
        <v>#REF!</v>
      </c>
      <c r="H2656" s="31" t="e">
        <f>#REF!</f>
        <v>#REF!</v>
      </c>
      <c r="I2656" s="31">
        <f>'تقرير المصروفات حسب الشهر'!Z851</f>
        <v>0</v>
      </c>
      <c r="J2656" s="31">
        <f>'تقرير المصروفات حسب الشهر'!Z978</f>
        <v>0</v>
      </c>
      <c r="K2656" s="31">
        <f>'تقرير المصروفات حسب الشهر'!Z1105</f>
        <v>0</v>
      </c>
      <c r="L2656" s="292">
        <f>IFERROR(VLOOKUP(B2656,'تقرير المصروفات حسب الشهر'!$C$1143:$AD$1254,24,FALSE),0)</f>
        <v>0</v>
      </c>
      <c r="M2656" s="292">
        <f>IFERROR(VLOOKUP(B2656,'تقرير المصروفات حسب الشهر'!$C$1270:$AD$1381,24,FALSE),0)</f>
        <v>0</v>
      </c>
      <c r="N2656" s="31" t="e">
        <f>#REF!</f>
        <v>#REF!</v>
      </c>
      <c r="O2656" s="37" t="e">
        <f t="shared" si="67"/>
        <v>#REF!</v>
      </c>
    </row>
    <row r="2657" spans="2:15" ht="17.399999999999999">
      <c r="B2657" s="42" t="s">
        <v>140</v>
      </c>
      <c r="C2657" s="39" t="e">
        <f>#REF!</f>
        <v>#REF!</v>
      </c>
      <c r="D2657" s="31" t="e">
        <f>#REF!</f>
        <v>#REF!</v>
      </c>
      <c r="E2657" s="31" t="e">
        <f>#REF!</f>
        <v>#REF!</v>
      </c>
      <c r="F2657" s="31" t="e">
        <f>#REF!</f>
        <v>#REF!</v>
      </c>
      <c r="G2657" s="31" t="e">
        <f>#REF!</f>
        <v>#REF!</v>
      </c>
      <c r="H2657" s="31" t="e">
        <f>#REF!</f>
        <v>#REF!</v>
      </c>
      <c r="I2657" s="31">
        <f>'تقرير المصروفات حسب الشهر'!Z852</f>
        <v>0</v>
      </c>
      <c r="J2657" s="31">
        <f>'تقرير المصروفات حسب الشهر'!Z979</f>
        <v>0</v>
      </c>
      <c r="K2657" s="31">
        <f>'تقرير المصروفات حسب الشهر'!Z1106</f>
        <v>0</v>
      </c>
      <c r="L2657" s="292">
        <f>IFERROR(VLOOKUP(B2657,'تقرير المصروفات حسب الشهر'!$C$1143:$AD$1254,24,FALSE),0)</f>
        <v>0</v>
      </c>
      <c r="M2657" s="292">
        <f>IFERROR(VLOOKUP(B2657,'تقرير المصروفات حسب الشهر'!$C$1270:$AD$1381,24,FALSE),0)</f>
        <v>0</v>
      </c>
      <c r="N2657" s="31" t="e">
        <f>#REF!</f>
        <v>#REF!</v>
      </c>
      <c r="O2657" s="37" t="e">
        <f t="shared" si="67"/>
        <v>#REF!</v>
      </c>
    </row>
    <row r="2658" spans="2:15" ht="17.399999999999999">
      <c r="B2658" s="42" t="s">
        <v>141</v>
      </c>
      <c r="C2658" s="39" t="e">
        <f>#REF!</f>
        <v>#REF!</v>
      </c>
      <c r="D2658" s="31" t="e">
        <f>#REF!</f>
        <v>#REF!</v>
      </c>
      <c r="E2658" s="31" t="e">
        <f>#REF!</f>
        <v>#REF!</v>
      </c>
      <c r="F2658" s="31" t="e">
        <f>#REF!</f>
        <v>#REF!</v>
      </c>
      <c r="G2658" s="31" t="e">
        <f>#REF!</f>
        <v>#REF!</v>
      </c>
      <c r="H2658" s="31" t="e">
        <f>#REF!</f>
        <v>#REF!</v>
      </c>
      <c r="I2658" s="31">
        <f>'تقرير المصروفات حسب الشهر'!Z853</f>
        <v>0</v>
      </c>
      <c r="J2658" s="31">
        <f>'تقرير المصروفات حسب الشهر'!Z980</f>
        <v>0</v>
      </c>
      <c r="K2658" s="31">
        <f>'تقرير المصروفات حسب الشهر'!Z1107</f>
        <v>0</v>
      </c>
      <c r="L2658" s="292">
        <f>IFERROR(VLOOKUP(B2658,'تقرير المصروفات حسب الشهر'!$C$1143:$AD$1254,24,FALSE),0)</f>
        <v>0</v>
      </c>
      <c r="M2658" s="292">
        <f>IFERROR(VLOOKUP(B2658,'تقرير المصروفات حسب الشهر'!$C$1270:$AD$1381,24,FALSE),0)</f>
        <v>0</v>
      </c>
      <c r="N2658" s="31" t="e">
        <f>#REF!</f>
        <v>#REF!</v>
      </c>
      <c r="O2658" s="37" t="e">
        <f t="shared" si="67"/>
        <v>#REF!</v>
      </c>
    </row>
    <row r="2659" spans="2:15" ht="17.399999999999999">
      <c r="B2659" s="42" t="s">
        <v>193</v>
      </c>
      <c r="C2659" s="39" t="e">
        <f>#REF!</f>
        <v>#REF!</v>
      </c>
      <c r="D2659" s="31" t="e">
        <f>#REF!</f>
        <v>#REF!</v>
      </c>
      <c r="E2659" s="31" t="e">
        <f>#REF!</f>
        <v>#REF!</v>
      </c>
      <c r="F2659" s="31" t="e">
        <f>#REF!</f>
        <v>#REF!</v>
      </c>
      <c r="G2659" s="31" t="e">
        <f>#REF!</f>
        <v>#REF!</v>
      </c>
      <c r="H2659" s="31" t="e">
        <f>#REF!</f>
        <v>#REF!</v>
      </c>
      <c r="I2659" s="31">
        <f>'تقرير المصروفات حسب الشهر'!Z854</f>
        <v>0</v>
      </c>
      <c r="J2659" s="31">
        <f>'تقرير المصروفات حسب الشهر'!Z981</f>
        <v>0</v>
      </c>
      <c r="K2659" s="31">
        <f>'تقرير المصروفات حسب الشهر'!Z1108</f>
        <v>0</v>
      </c>
      <c r="L2659" s="292">
        <f>IFERROR(VLOOKUP(B2659,'تقرير المصروفات حسب الشهر'!$C$1143:$AD$1254,24,FALSE),0)</f>
        <v>0</v>
      </c>
      <c r="M2659" s="292">
        <f>IFERROR(VLOOKUP(B2659,'تقرير المصروفات حسب الشهر'!$C$1270:$AD$1381,24,FALSE),0)</f>
        <v>0</v>
      </c>
      <c r="N2659" s="31" t="e">
        <f>#REF!</f>
        <v>#REF!</v>
      </c>
      <c r="O2659" s="37" t="e">
        <f t="shared" si="67"/>
        <v>#REF!</v>
      </c>
    </row>
    <row r="2660" spans="2:15" ht="17.399999999999999">
      <c r="B2660" s="42" t="s">
        <v>148</v>
      </c>
      <c r="C2660" s="39" t="e">
        <f>#REF!</f>
        <v>#REF!</v>
      </c>
      <c r="D2660" s="31" t="e">
        <f>#REF!</f>
        <v>#REF!</v>
      </c>
      <c r="E2660" s="31" t="e">
        <f>#REF!</f>
        <v>#REF!</v>
      </c>
      <c r="F2660" s="31" t="e">
        <f>#REF!</f>
        <v>#REF!</v>
      </c>
      <c r="G2660" s="31" t="e">
        <f>#REF!</f>
        <v>#REF!</v>
      </c>
      <c r="H2660" s="31" t="e">
        <f>#REF!</f>
        <v>#REF!</v>
      </c>
      <c r="I2660" s="31">
        <f>'تقرير المصروفات حسب الشهر'!Z855</f>
        <v>0</v>
      </c>
      <c r="J2660" s="31">
        <f>'تقرير المصروفات حسب الشهر'!Z982</f>
        <v>0</v>
      </c>
      <c r="K2660" s="31">
        <f>'تقرير المصروفات حسب الشهر'!Z1109</f>
        <v>0</v>
      </c>
      <c r="L2660" s="292">
        <f>IFERROR(VLOOKUP(B2660,'تقرير المصروفات حسب الشهر'!$C$1143:$AD$1254,24,FALSE),0)</f>
        <v>0</v>
      </c>
      <c r="M2660" s="292">
        <f>IFERROR(VLOOKUP(B2660,'تقرير المصروفات حسب الشهر'!$C$1270:$AD$1381,24,FALSE),0)</f>
        <v>0</v>
      </c>
      <c r="N2660" s="31" t="e">
        <f>#REF!</f>
        <v>#REF!</v>
      </c>
      <c r="O2660" s="37" t="e">
        <f t="shared" si="67"/>
        <v>#REF!</v>
      </c>
    </row>
    <row r="2661" spans="2:15" ht="17.399999999999999">
      <c r="B2661" s="42" t="s">
        <v>186</v>
      </c>
      <c r="C2661" s="39" t="e">
        <f>#REF!</f>
        <v>#REF!</v>
      </c>
      <c r="D2661" s="31" t="e">
        <f>#REF!</f>
        <v>#REF!</v>
      </c>
      <c r="E2661" s="31" t="e">
        <f>#REF!</f>
        <v>#REF!</v>
      </c>
      <c r="F2661" s="31" t="e">
        <f>#REF!</f>
        <v>#REF!</v>
      </c>
      <c r="G2661" s="31" t="e">
        <f>#REF!</f>
        <v>#REF!</v>
      </c>
      <c r="H2661" s="31" t="e">
        <f>#REF!</f>
        <v>#REF!</v>
      </c>
      <c r="I2661" s="31">
        <f>'تقرير المصروفات حسب الشهر'!Z856</f>
        <v>0</v>
      </c>
      <c r="J2661" s="31">
        <f>'تقرير المصروفات حسب الشهر'!Z983</f>
        <v>0</v>
      </c>
      <c r="K2661" s="31">
        <f>'تقرير المصروفات حسب الشهر'!Z1110</f>
        <v>0</v>
      </c>
      <c r="L2661" s="292">
        <f>IFERROR(VLOOKUP(B2661,'تقرير المصروفات حسب الشهر'!$C$1143:$AD$1254,24,FALSE),0)</f>
        <v>0</v>
      </c>
      <c r="M2661" s="292">
        <f>IFERROR(VLOOKUP(B2661,'تقرير المصروفات حسب الشهر'!$C$1270:$AD$1381,24,FALSE),0)</f>
        <v>0</v>
      </c>
      <c r="N2661" s="31" t="e">
        <f>#REF!</f>
        <v>#REF!</v>
      </c>
      <c r="O2661" s="37" t="e">
        <f t="shared" si="67"/>
        <v>#REF!</v>
      </c>
    </row>
    <row r="2662" spans="2:15" ht="17.399999999999999">
      <c r="B2662" s="42" t="s">
        <v>171</v>
      </c>
      <c r="C2662" s="39" t="e">
        <f>#REF!</f>
        <v>#REF!</v>
      </c>
      <c r="D2662" s="31" t="e">
        <f>#REF!</f>
        <v>#REF!</v>
      </c>
      <c r="E2662" s="31" t="e">
        <f>#REF!</f>
        <v>#REF!</v>
      </c>
      <c r="F2662" s="31" t="e">
        <f>#REF!</f>
        <v>#REF!</v>
      </c>
      <c r="G2662" s="31" t="e">
        <f>#REF!</f>
        <v>#REF!</v>
      </c>
      <c r="H2662" s="31" t="e">
        <f>#REF!</f>
        <v>#REF!</v>
      </c>
      <c r="I2662" s="31">
        <f>'تقرير المصروفات حسب الشهر'!Z857</f>
        <v>0</v>
      </c>
      <c r="J2662" s="31">
        <f>'تقرير المصروفات حسب الشهر'!Z984</f>
        <v>0</v>
      </c>
      <c r="K2662" s="31">
        <f>'تقرير المصروفات حسب الشهر'!Z1111</f>
        <v>0</v>
      </c>
      <c r="L2662" s="292">
        <f>IFERROR(VLOOKUP(B2662,'تقرير المصروفات حسب الشهر'!$C$1143:$AD$1254,24,FALSE),0)</f>
        <v>0</v>
      </c>
      <c r="M2662" s="292">
        <f>IFERROR(VLOOKUP(B2662,'تقرير المصروفات حسب الشهر'!$C$1270:$AD$1381,24,FALSE),0)</f>
        <v>0</v>
      </c>
      <c r="N2662" s="31" t="e">
        <f>#REF!</f>
        <v>#REF!</v>
      </c>
      <c r="O2662" s="37" t="e">
        <f t="shared" si="67"/>
        <v>#REF!</v>
      </c>
    </row>
    <row r="2663" spans="2:15" ht="17.399999999999999">
      <c r="B2663" s="42" t="s">
        <v>180</v>
      </c>
      <c r="C2663" s="39" t="e">
        <f>#REF!</f>
        <v>#REF!</v>
      </c>
      <c r="D2663" s="31" t="e">
        <f>#REF!</f>
        <v>#REF!</v>
      </c>
      <c r="E2663" s="31" t="e">
        <f>#REF!</f>
        <v>#REF!</v>
      </c>
      <c r="F2663" s="31" t="e">
        <f>#REF!</f>
        <v>#REF!</v>
      </c>
      <c r="G2663" s="31" t="e">
        <f>#REF!</f>
        <v>#REF!</v>
      </c>
      <c r="H2663" s="31" t="e">
        <f>#REF!</f>
        <v>#REF!</v>
      </c>
      <c r="I2663" s="31">
        <f>'تقرير المصروفات حسب الشهر'!Z858</f>
        <v>0</v>
      </c>
      <c r="J2663" s="31">
        <f>'تقرير المصروفات حسب الشهر'!Z985</f>
        <v>0</v>
      </c>
      <c r="K2663" s="31">
        <f>'تقرير المصروفات حسب الشهر'!Z1112</f>
        <v>0</v>
      </c>
      <c r="L2663" s="292">
        <f>IFERROR(VLOOKUP(B2663,'تقرير المصروفات حسب الشهر'!$C$1143:$AD$1254,24,FALSE),0)</f>
        <v>0</v>
      </c>
      <c r="M2663" s="292">
        <f>IFERROR(VLOOKUP(B2663,'تقرير المصروفات حسب الشهر'!$C$1270:$AD$1381,24,FALSE),0)</f>
        <v>0</v>
      </c>
      <c r="N2663" s="31" t="e">
        <f>#REF!</f>
        <v>#REF!</v>
      </c>
      <c r="O2663" s="37" t="e">
        <f t="shared" si="67"/>
        <v>#REF!</v>
      </c>
    </row>
    <row r="2664" spans="2:15" ht="17.399999999999999">
      <c r="B2664" s="42" t="s">
        <v>183</v>
      </c>
      <c r="C2664" s="39" t="e">
        <f>#REF!</f>
        <v>#REF!</v>
      </c>
      <c r="D2664" s="31" t="e">
        <f>#REF!</f>
        <v>#REF!</v>
      </c>
      <c r="E2664" s="31" t="e">
        <f>#REF!</f>
        <v>#REF!</v>
      </c>
      <c r="F2664" s="31" t="e">
        <f>#REF!</f>
        <v>#REF!</v>
      </c>
      <c r="G2664" s="31" t="e">
        <f>#REF!</f>
        <v>#REF!</v>
      </c>
      <c r="H2664" s="31" t="e">
        <f>#REF!</f>
        <v>#REF!</v>
      </c>
      <c r="I2664" s="31">
        <f>'تقرير المصروفات حسب الشهر'!Z859</f>
        <v>0</v>
      </c>
      <c r="J2664" s="31">
        <f>'تقرير المصروفات حسب الشهر'!Z986</f>
        <v>0</v>
      </c>
      <c r="K2664" s="31">
        <f>'تقرير المصروفات حسب الشهر'!Z1113</f>
        <v>0</v>
      </c>
      <c r="L2664" s="292">
        <f>IFERROR(VLOOKUP(B2664,'تقرير المصروفات حسب الشهر'!$C$1143:$AD$1254,24,FALSE),0)</f>
        <v>0</v>
      </c>
      <c r="M2664" s="292">
        <f>IFERROR(VLOOKUP(B2664,'تقرير المصروفات حسب الشهر'!$C$1270:$AD$1381,24,FALSE),0)</f>
        <v>0</v>
      </c>
      <c r="N2664" s="31" t="e">
        <f>#REF!</f>
        <v>#REF!</v>
      </c>
      <c r="O2664" s="37" t="e">
        <f t="shared" si="67"/>
        <v>#REF!</v>
      </c>
    </row>
    <row r="2665" spans="2:15" ht="17.399999999999999">
      <c r="B2665" s="42" t="s">
        <v>195</v>
      </c>
      <c r="C2665" s="39" t="e">
        <f>#REF!</f>
        <v>#REF!</v>
      </c>
      <c r="D2665" s="31" t="e">
        <f>#REF!</f>
        <v>#REF!</v>
      </c>
      <c r="E2665" s="31" t="e">
        <f>#REF!</f>
        <v>#REF!</v>
      </c>
      <c r="F2665" s="31" t="e">
        <f>#REF!</f>
        <v>#REF!</v>
      </c>
      <c r="G2665" s="31" t="e">
        <f>#REF!</f>
        <v>#REF!</v>
      </c>
      <c r="H2665" s="31" t="e">
        <f>#REF!</f>
        <v>#REF!</v>
      </c>
      <c r="I2665" s="31">
        <f>'تقرير المصروفات حسب الشهر'!Z860</f>
        <v>0</v>
      </c>
      <c r="J2665" s="31">
        <f>'تقرير المصروفات حسب الشهر'!Z987</f>
        <v>0</v>
      </c>
      <c r="K2665" s="31">
        <f>'تقرير المصروفات حسب الشهر'!Z1114</f>
        <v>0</v>
      </c>
      <c r="L2665" s="292">
        <f>IFERROR(VLOOKUP(B2665,'تقرير المصروفات حسب الشهر'!$C$1143:$AD$1254,24,FALSE),0)</f>
        <v>0</v>
      </c>
      <c r="M2665" s="292">
        <f>IFERROR(VLOOKUP(B2665,'تقرير المصروفات حسب الشهر'!$C$1270:$AD$1381,24,FALSE),0)</f>
        <v>0</v>
      </c>
      <c r="N2665" s="31" t="e">
        <f>#REF!</f>
        <v>#REF!</v>
      </c>
      <c r="O2665" s="37" t="e">
        <f t="shared" si="67"/>
        <v>#REF!</v>
      </c>
    </row>
    <row r="2666" spans="2:15" ht="17.399999999999999">
      <c r="B2666" s="42" t="s">
        <v>189</v>
      </c>
      <c r="C2666" s="39" t="e">
        <f>#REF!</f>
        <v>#REF!</v>
      </c>
      <c r="D2666" s="31" t="e">
        <f>#REF!</f>
        <v>#REF!</v>
      </c>
      <c r="E2666" s="31" t="e">
        <f>#REF!</f>
        <v>#REF!</v>
      </c>
      <c r="F2666" s="31" t="e">
        <f>#REF!</f>
        <v>#REF!</v>
      </c>
      <c r="G2666" s="31" t="e">
        <f>#REF!</f>
        <v>#REF!</v>
      </c>
      <c r="H2666" s="31" t="e">
        <f>#REF!</f>
        <v>#REF!</v>
      </c>
      <c r="I2666" s="31">
        <f>'تقرير المصروفات حسب الشهر'!Z861</f>
        <v>0</v>
      </c>
      <c r="J2666" s="31">
        <f>'تقرير المصروفات حسب الشهر'!Z988</f>
        <v>0</v>
      </c>
      <c r="K2666" s="31">
        <f>'تقرير المصروفات حسب الشهر'!Z1115</f>
        <v>0</v>
      </c>
      <c r="L2666" s="292">
        <f>IFERROR(VLOOKUP(B2666,'تقرير المصروفات حسب الشهر'!$C$1143:$AD$1254,24,FALSE),0)</f>
        <v>0</v>
      </c>
      <c r="M2666" s="292">
        <f>IFERROR(VLOOKUP(B2666,'تقرير المصروفات حسب الشهر'!$C$1270:$AD$1381,24,FALSE),0)</f>
        <v>0</v>
      </c>
      <c r="N2666" s="31" t="e">
        <f>#REF!</f>
        <v>#REF!</v>
      </c>
      <c r="O2666" s="37" t="e">
        <f t="shared" si="67"/>
        <v>#REF!</v>
      </c>
    </row>
    <row r="2667" spans="2:15" ht="17.399999999999999">
      <c r="B2667" s="42" t="s">
        <v>188</v>
      </c>
      <c r="C2667" s="39" t="e">
        <f>#REF!</f>
        <v>#REF!</v>
      </c>
      <c r="D2667" s="31" t="e">
        <f>#REF!</f>
        <v>#REF!</v>
      </c>
      <c r="E2667" s="31" t="e">
        <f>#REF!</f>
        <v>#REF!</v>
      </c>
      <c r="F2667" s="31" t="e">
        <f>#REF!</f>
        <v>#REF!</v>
      </c>
      <c r="G2667" s="31" t="e">
        <f>#REF!</f>
        <v>#REF!</v>
      </c>
      <c r="H2667" s="31" t="e">
        <f>#REF!</f>
        <v>#REF!</v>
      </c>
      <c r="I2667" s="31">
        <f>'تقرير المصروفات حسب الشهر'!Z862</f>
        <v>0</v>
      </c>
      <c r="J2667" s="31">
        <f>'تقرير المصروفات حسب الشهر'!Z989</f>
        <v>0</v>
      </c>
      <c r="K2667" s="31">
        <f>'تقرير المصروفات حسب الشهر'!Z1116</f>
        <v>0</v>
      </c>
      <c r="L2667" s="292">
        <f>IFERROR(VLOOKUP(B2667,'تقرير المصروفات حسب الشهر'!$C$1143:$AD$1254,24,FALSE),0)</f>
        <v>0</v>
      </c>
      <c r="M2667" s="292">
        <f>IFERROR(VLOOKUP(B2667,'تقرير المصروفات حسب الشهر'!$C$1270:$AD$1381,24,FALSE),0)</f>
        <v>0</v>
      </c>
      <c r="N2667" s="31" t="e">
        <f>#REF!</f>
        <v>#REF!</v>
      </c>
      <c r="O2667" s="37" t="e">
        <f t="shared" si="67"/>
        <v>#REF!</v>
      </c>
    </row>
    <row r="2668" spans="2:15" ht="17.399999999999999">
      <c r="B2668" s="42" t="s">
        <v>196</v>
      </c>
      <c r="C2668" s="39" t="e">
        <f>#REF!</f>
        <v>#REF!</v>
      </c>
      <c r="D2668" s="31" t="e">
        <f>#REF!</f>
        <v>#REF!</v>
      </c>
      <c r="E2668" s="31" t="e">
        <f>#REF!</f>
        <v>#REF!</v>
      </c>
      <c r="F2668" s="31" t="e">
        <f>#REF!</f>
        <v>#REF!</v>
      </c>
      <c r="G2668" s="31" t="e">
        <f>#REF!</f>
        <v>#REF!</v>
      </c>
      <c r="H2668" s="31" t="e">
        <f>#REF!</f>
        <v>#REF!</v>
      </c>
      <c r="I2668" s="31">
        <f>'تقرير المصروفات حسب الشهر'!Z863</f>
        <v>0</v>
      </c>
      <c r="J2668" s="31">
        <f>'تقرير المصروفات حسب الشهر'!Z990</f>
        <v>0</v>
      </c>
      <c r="K2668" s="31">
        <f>'تقرير المصروفات حسب الشهر'!Z1117</f>
        <v>0</v>
      </c>
      <c r="L2668" s="292">
        <f>IFERROR(VLOOKUP(B2668,'تقرير المصروفات حسب الشهر'!$C$1143:$AD$1254,24,FALSE),0)</f>
        <v>0</v>
      </c>
      <c r="M2668" s="292">
        <f>IFERROR(VLOOKUP(B2668,'تقرير المصروفات حسب الشهر'!$C$1270:$AD$1381,24,FALSE),0)</f>
        <v>0</v>
      </c>
      <c r="N2668" s="31" t="e">
        <f>#REF!</f>
        <v>#REF!</v>
      </c>
      <c r="O2668" s="37" t="e">
        <f t="shared" si="67"/>
        <v>#REF!</v>
      </c>
    </row>
    <row r="2669" spans="2:15" ht="17.399999999999999">
      <c r="B2669" s="42" t="s">
        <v>197</v>
      </c>
      <c r="C2669" s="39" t="e">
        <f>#REF!</f>
        <v>#REF!</v>
      </c>
      <c r="D2669" s="31" t="e">
        <f>#REF!</f>
        <v>#REF!</v>
      </c>
      <c r="E2669" s="31" t="e">
        <f>#REF!</f>
        <v>#REF!</v>
      </c>
      <c r="F2669" s="31" t="e">
        <f>#REF!</f>
        <v>#REF!</v>
      </c>
      <c r="G2669" s="31" t="e">
        <f>#REF!</f>
        <v>#REF!</v>
      </c>
      <c r="H2669" s="31" t="e">
        <f>#REF!</f>
        <v>#REF!</v>
      </c>
      <c r="I2669" s="31">
        <f>'تقرير المصروفات حسب الشهر'!Z864</f>
        <v>0</v>
      </c>
      <c r="J2669" s="31">
        <f>'تقرير المصروفات حسب الشهر'!Z991</f>
        <v>0</v>
      </c>
      <c r="K2669" s="31">
        <f>'تقرير المصروفات حسب الشهر'!Z1118</f>
        <v>0</v>
      </c>
      <c r="L2669" s="292">
        <f>IFERROR(VLOOKUP(B2669,'تقرير المصروفات حسب الشهر'!$C$1143:$AD$1254,24,FALSE),0)</f>
        <v>0</v>
      </c>
      <c r="M2669" s="292">
        <f>IFERROR(VLOOKUP(B2669,'تقرير المصروفات حسب الشهر'!$C$1270:$AD$1381,24,FALSE),0)</f>
        <v>0</v>
      </c>
      <c r="N2669" s="31" t="e">
        <f>#REF!</f>
        <v>#REF!</v>
      </c>
      <c r="O2669" s="37" t="e">
        <f t="shared" si="67"/>
        <v>#REF!</v>
      </c>
    </row>
    <row r="2670" spans="2:15" ht="17.399999999999999">
      <c r="B2670" s="42" t="s">
        <v>198</v>
      </c>
      <c r="C2670" s="39" t="e">
        <f>#REF!</f>
        <v>#REF!</v>
      </c>
      <c r="D2670" s="31" t="e">
        <f>#REF!</f>
        <v>#REF!</v>
      </c>
      <c r="E2670" s="31" t="e">
        <f>#REF!</f>
        <v>#REF!</v>
      </c>
      <c r="F2670" s="31" t="e">
        <f>#REF!</f>
        <v>#REF!</v>
      </c>
      <c r="G2670" s="31" t="e">
        <f>#REF!</f>
        <v>#REF!</v>
      </c>
      <c r="H2670" s="31" t="e">
        <f>#REF!</f>
        <v>#REF!</v>
      </c>
      <c r="I2670" s="31">
        <f>'تقرير المصروفات حسب الشهر'!Z865</f>
        <v>0</v>
      </c>
      <c r="J2670" s="31">
        <f>'تقرير المصروفات حسب الشهر'!Z992</f>
        <v>0</v>
      </c>
      <c r="K2670" s="31">
        <f>'تقرير المصروفات حسب الشهر'!Z1119</f>
        <v>0</v>
      </c>
      <c r="L2670" s="292">
        <f>IFERROR(VLOOKUP(B2670,'تقرير المصروفات حسب الشهر'!$C$1143:$AD$1254,24,FALSE),0)</f>
        <v>0</v>
      </c>
      <c r="M2670" s="292">
        <f>IFERROR(VLOOKUP(B2670,'تقرير المصروفات حسب الشهر'!$C$1270:$AD$1381,24,FALSE),0)</f>
        <v>0</v>
      </c>
      <c r="N2670" s="31" t="e">
        <f>#REF!</f>
        <v>#REF!</v>
      </c>
      <c r="O2670" s="37" t="e">
        <f t="shared" si="67"/>
        <v>#REF!</v>
      </c>
    </row>
    <row r="2671" spans="2:15" ht="17.399999999999999">
      <c r="B2671" s="42" t="s">
        <v>201</v>
      </c>
      <c r="C2671" s="39" t="e">
        <f>#REF!</f>
        <v>#REF!</v>
      </c>
      <c r="D2671" s="31" t="e">
        <f>#REF!</f>
        <v>#REF!</v>
      </c>
      <c r="E2671" s="31" t="e">
        <f>#REF!</f>
        <v>#REF!</v>
      </c>
      <c r="F2671" s="31" t="e">
        <f>#REF!</f>
        <v>#REF!</v>
      </c>
      <c r="G2671" s="31" t="e">
        <f>#REF!</f>
        <v>#REF!</v>
      </c>
      <c r="H2671" s="31" t="e">
        <f>#REF!</f>
        <v>#REF!</v>
      </c>
      <c r="I2671" s="31">
        <f>'تقرير المصروفات حسب الشهر'!Z866</f>
        <v>0</v>
      </c>
      <c r="J2671" s="31">
        <f>'تقرير المصروفات حسب الشهر'!Z993</f>
        <v>0</v>
      </c>
      <c r="K2671" s="31">
        <f>'تقرير المصروفات حسب الشهر'!Z1120</f>
        <v>0</v>
      </c>
      <c r="L2671" s="292">
        <f>IFERROR(VLOOKUP(B2671,'تقرير المصروفات حسب الشهر'!$C$1143:$AD$1254,24,FALSE),0)</f>
        <v>0</v>
      </c>
      <c r="M2671" s="292">
        <f>IFERROR(VLOOKUP(B2671,'تقرير المصروفات حسب الشهر'!$C$1270:$AD$1381,24,FALSE),0)</f>
        <v>0</v>
      </c>
      <c r="N2671" s="31" t="e">
        <f>#REF!</f>
        <v>#REF!</v>
      </c>
      <c r="O2671" s="37" t="e">
        <f t="shared" si="67"/>
        <v>#REF!</v>
      </c>
    </row>
    <row r="2672" spans="2:15" ht="17.399999999999999">
      <c r="B2672" s="42" t="s">
        <v>202</v>
      </c>
      <c r="C2672" s="39" t="e">
        <f>#REF!</f>
        <v>#REF!</v>
      </c>
      <c r="D2672" s="31" t="e">
        <f>#REF!</f>
        <v>#REF!</v>
      </c>
      <c r="E2672" s="31" t="e">
        <f>#REF!</f>
        <v>#REF!</v>
      </c>
      <c r="F2672" s="31" t="e">
        <f>#REF!</f>
        <v>#REF!</v>
      </c>
      <c r="G2672" s="31" t="e">
        <f>#REF!</f>
        <v>#REF!</v>
      </c>
      <c r="H2672" s="31" t="e">
        <f>#REF!</f>
        <v>#REF!</v>
      </c>
      <c r="I2672" s="31">
        <f>'تقرير المصروفات حسب الشهر'!Z867</f>
        <v>0</v>
      </c>
      <c r="J2672" s="31">
        <f>'تقرير المصروفات حسب الشهر'!Z994</f>
        <v>0</v>
      </c>
      <c r="K2672" s="31">
        <f>'تقرير المصروفات حسب الشهر'!Z1121</f>
        <v>0</v>
      </c>
      <c r="L2672" s="292">
        <f>IFERROR(VLOOKUP(B2672,'تقرير المصروفات حسب الشهر'!$C$1143:$AD$1254,24,FALSE),0)</f>
        <v>0</v>
      </c>
      <c r="M2672" s="292">
        <f>IFERROR(VLOOKUP(B2672,'تقرير المصروفات حسب الشهر'!$C$1270:$AD$1381,24,FALSE),0)</f>
        <v>0</v>
      </c>
      <c r="N2672" s="31" t="e">
        <f>#REF!</f>
        <v>#REF!</v>
      </c>
      <c r="O2672" s="37" t="e">
        <f t="shared" si="67"/>
        <v>#REF!</v>
      </c>
    </row>
    <row r="2673" spans="2:15" ht="17.399999999999999">
      <c r="B2673" s="42" t="s">
        <v>206</v>
      </c>
      <c r="C2673" s="39" t="e">
        <f>#REF!</f>
        <v>#REF!</v>
      </c>
      <c r="D2673" s="31" t="e">
        <f>#REF!</f>
        <v>#REF!</v>
      </c>
      <c r="E2673" s="31" t="e">
        <f>#REF!</f>
        <v>#REF!</v>
      </c>
      <c r="F2673" s="31" t="e">
        <f>#REF!</f>
        <v>#REF!</v>
      </c>
      <c r="G2673" s="31" t="e">
        <f>#REF!</f>
        <v>#REF!</v>
      </c>
      <c r="H2673" s="31" t="e">
        <f>#REF!</f>
        <v>#REF!</v>
      </c>
      <c r="I2673" s="31">
        <f>'تقرير المصروفات حسب الشهر'!Z868</f>
        <v>0</v>
      </c>
      <c r="J2673" s="31">
        <f>'تقرير المصروفات حسب الشهر'!Z995</f>
        <v>0</v>
      </c>
      <c r="K2673" s="31">
        <f>'تقرير المصروفات حسب الشهر'!Z1122</f>
        <v>0</v>
      </c>
      <c r="L2673" s="292">
        <f>IFERROR(VLOOKUP(B2673,'تقرير المصروفات حسب الشهر'!$C$1143:$AD$1254,24,FALSE),0)</f>
        <v>0</v>
      </c>
      <c r="M2673" s="292">
        <f>IFERROR(VLOOKUP(B2673,'تقرير المصروفات حسب الشهر'!$C$1270:$AD$1381,24,FALSE),0)</f>
        <v>0</v>
      </c>
      <c r="N2673" s="31" t="e">
        <f>#REF!</f>
        <v>#REF!</v>
      </c>
      <c r="O2673" s="37" t="e">
        <f t="shared" si="67"/>
        <v>#REF!</v>
      </c>
    </row>
    <row r="2674" spans="2:15" ht="17.399999999999999">
      <c r="B2674" s="42" t="s">
        <v>207</v>
      </c>
      <c r="C2674" s="39" t="e">
        <f>#REF!</f>
        <v>#REF!</v>
      </c>
      <c r="D2674" s="31" t="e">
        <f>#REF!</f>
        <v>#REF!</v>
      </c>
      <c r="E2674" s="31" t="e">
        <f>#REF!</f>
        <v>#REF!</v>
      </c>
      <c r="F2674" s="31" t="e">
        <f>#REF!</f>
        <v>#REF!</v>
      </c>
      <c r="G2674" s="31" t="e">
        <f>#REF!</f>
        <v>#REF!</v>
      </c>
      <c r="H2674" s="31" t="e">
        <f>#REF!</f>
        <v>#REF!</v>
      </c>
      <c r="I2674" s="31">
        <f>'تقرير المصروفات حسب الشهر'!Z869</f>
        <v>0</v>
      </c>
      <c r="J2674" s="31">
        <f>'تقرير المصروفات حسب الشهر'!Z996</f>
        <v>0</v>
      </c>
      <c r="K2674" s="31">
        <f>'تقرير المصروفات حسب الشهر'!Z1123</f>
        <v>0</v>
      </c>
      <c r="L2674" s="292">
        <f>IFERROR(VLOOKUP(B2674,'تقرير المصروفات حسب الشهر'!$C$1143:$AD$1254,24,FALSE),0)</f>
        <v>0</v>
      </c>
      <c r="M2674" s="292">
        <f>IFERROR(VLOOKUP(B2674,'تقرير المصروفات حسب الشهر'!$C$1270:$AD$1381,24,FALSE),0)</f>
        <v>0</v>
      </c>
      <c r="N2674" s="31" t="e">
        <f>#REF!</f>
        <v>#REF!</v>
      </c>
      <c r="O2674" s="37" t="e">
        <f t="shared" si="67"/>
        <v>#REF!</v>
      </c>
    </row>
    <row r="2675" spans="2:15" ht="17.399999999999999">
      <c r="B2675" s="42" t="s">
        <v>208</v>
      </c>
      <c r="C2675" s="39" t="e">
        <f>#REF!</f>
        <v>#REF!</v>
      </c>
      <c r="D2675" s="31" t="e">
        <f>#REF!</f>
        <v>#REF!</v>
      </c>
      <c r="E2675" s="31" t="e">
        <f>#REF!</f>
        <v>#REF!</v>
      </c>
      <c r="F2675" s="31" t="e">
        <f>#REF!</f>
        <v>#REF!</v>
      </c>
      <c r="G2675" s="31" t="e">
        <f>#REF!</f>
        <v>#REF!</v>
      </c>
      <c r="H2675" s="31" t="e">
        <f>#REF!</f>
        <v>#REF!</v>
      </c>
      <c r="I2675" s="31">
        <f>'تقرير المصروفات حسب الشهر'!Z870</f>
        <v>0</v>
      </c>
      <c r="J2675" s="31">
        <f>'تقرير المصروفات حسب الشهر'!Z997</f>
        <v>0</v>
      </c>
      <c r="K2675" s="31">
        <f>'تقرير المصروفات حسب الشهر'!Z1124</f>
        <v>0</v>
      </c>
      <c r="L2675" s="292">
        <f>IFERROR(VLOOKUP(B2675,'تقرير المصروفات حسب الشهر'!$C$1143:$AD$1254,24,FALSE),0)</f>
        <v>0</v>
      </c>
      <c r="M2675" s="292">
        <f>IFERROR(VLOOKUP(B2675,'تقرير المصروفات حسب الشهر'!$C$1270:$AD$1381,24,FALSE),0)</f>
        <v>0</v>
      </c>
      <c r="N2675" s="31" t="e">
        <f>#REF!</f>
        <v>#REF!</v>
      </c>
      <c r="O2675" s="37" t="e">
        <f t="shared" si="67"/>
        <v>#REF!</v>
      </c>
    </row>
    <row r="2676" spans="2:15" ht="18" thickBot="1">
      <c r="B2676" s="43" t="s">
        <v>209</v>
      </c>
      <c r="C2676" s="39" t="e">
        <f>#REF!</f>
        <v>#REF!</v>
      </c>
      <c r="D2676" s="31" t="e">
        <f>#REF!</f>
        <v>#REF!</v>
      </c>
      <c r="E2676" s="31" t="e">
        <f>#REF!</f>
        <v>#REF!</v>
      </c>
      <c r="F2676" s="31" t="e">
        <f>#REF!</f>
        <v>#REF!</v>
      </c>
      <c r="G2676" s="31" t="e">
        <f>#REF!</f>
        <v>#REF!</v>
      </c>
      <c r="H2676" s="31">
        <v>0</v>
      </c>
      <c r="I2676" s="31">
        <f>'تقرير المصروفات حسب الشهر'!Z871</f>
        <v>0</v>
      </c>
      <c r="J2676" s="31">
        <f>'تقرير المصروفات حسب الشهر'!Z998</f>
        <v>0</v>
      </c>
      <c r="K2676" s="31">
        <f>'تقرير المصروفات حسب الشهر'!Z1125</f>
        <v>0</v>
      </c>
      <c r="L2676" s="292">
        <f>IFERROR(VLOOKUP(B2676,'تقرير المصروفات حسب الشهر'!$C$1143:$AD$1254,24,FALSE),0)</f>
        <v>0</v>
      </c>
      <c r="M2676" s="292">
        <f>IFERROR(VLOOKUP(B2676,'تقرير المصروفات حسب الشهر'!$C$1270:$AD$1381,24,FALSE),0)</f>
        <v>0</v>
      </c>
      <c r="N2676" s="31" t="e">
        <f>#REF!</f>
        <v>#REF!</v>
      </c>
      <c r="O2676" s="37" t="e">
        <f t="shared" si="67"/>
        <v>#REF!</v>
      </c>
    </row>
    <row r="2677" spans="2:15" ht="21.6" thickBot="1">
      <c r="B2677" s="29" t="s">
        <v>18</v>
      </c>
      <c r="C2677" s="41" t="e">
        <f>SUM(C2568:C2676)</f>
        <v>#REF!</v>
      </c>
      <c r="D2677" s="41" t="e">
        <f t="shared" ref="D2677:O2677" si="68">SUM(D2568:D2676)</f>
        <v>#REF!</v>
      </c>
      <c r="E2677" s="41" t="e">
        <f t="shared" si="68"/>
        <v>#REF!</v>
      </c>
      <c r="F2677" s="41" t="e">
        <f t="shared" si="68"/>
        <v>#REF!</v>
      </c>
      <c r="G2677" s="41" t="e">
        <f t="shared" si="68"/>
        <v>#REF!</v>
      </c>
      <c r="H2677" s="41" t="e">
        <f t="shared" si="68"/>
        <v>#REF!</v>
      </c>
      <c r="I2677" s="41">
        <f t="shared" si="68"/>
        <v>17277.36</v>
      </c>
      <c r="J2677" s="41">
        <f t="shared" si="68"/>
        <v>7995.01</v>
      </c>
      <c r="K2677" s="41">
        <f t="shared" si="68"/>
        <v>14898.390000000001</v>
      </c>
      <c r="L2677" s="41">
        <f t="shared" si="68"/>
        <v>14032.750000000002</v>
      </c>
      <c r="M2677" s="41">
        <f t="shared" si="68"/>
        <v>19745.059999999998</v>
      </c>
      <c r="N2677" s="41" t="e">
        <f t="shared" si="68"/>
        <v>#REF!</v>
      </c>
      <c r="O2677" s="41" t="e">
        <f t="shared" si="68"/>
        <v>#REF!</v>
      </c>
    </row>
    <row r="2679" spans="2:15" ht="13.8" thickBot="1"/>
    <row r="2680" spans="2:15" ht="31.2" thickTop="1" thickBot="1">
      <c r="B2680" s="643" t="s">
        <v>232</v>
      </c>
      <c r="C2680" s="644"/>
      <c r="D2680" s="644"/>
      <c r="E2680" s="644"/>
      <c r="F2680" s="644"/>
      <c r="G2680" s="644"/>
      <c r="H2680" s="644"/>
      <c r="I2680" s="644"/>
      <c r="J2680" s="644"/>
      <c r="K2680" s="644"/>
      <c r="L2680" s="644"/>
      <c r="M2680" s="644"/>
      <c r="N2680" s="644"/>
      <c r="O2680" s="645"/>
    </row>
    <row r="2681" spans="2:15" ht="17.399999999999999">
      <c r="B2681" s="30" t="s">
        <v>23</v>
      </c>
      <c r="C2681" s="33" t="s">
        <v>0</v>
      </c>
      <c r="D2681" s="33" t="s">
        <v>1</v>
      </c>
      <c r="E2681" s="34" t="s">
        <v>2</v>
      </c>
      <c r="F2681" s="34" t="s">
        <v>3</v>
      </c>
      <c r="G2681" s="34" t="s">
        <v>4</v>
      </c>
      <c r="H2681" s="34" t="s">
        <v>5</v>
      </c>
      <c r="I2681" s="34" t="s">
        <v>6</v>
      </c>
      <c r="J2681" s="34" t="s">
        <v>7</v>
      </c>
      <c r="K2681" s="34" t="s">
        <v>8</v>
      </c>
      <c r="L2681" s="34" t="s">
        <v>9</v>
      </c>
      <c r="M2681" s="34" t="s">
        <v>10</v>
      </c>
      <c r="N2681" s="35" t="s">
        <v>11</v>
      </c>
      <c r="O2681" s="36" t="s">
        <v>18</v>
      </c>
    </row>
    <row r="2682" spans="2:15" ht="17.399999999999999">
      <c r="B2682" s="42" t="s">
        <v>40</v>
      </c>
      <c r="C2682" s="39" t="e">
        <f>#REF!</f>
        <v>#REF!</v>
      </c>
      <c r="D2682" s="31" t="e">
        <f>#REF!</f>
        <v>#REF!</v>
      </c>
      <c r="E2682" s="31" t="e">
        <f>#REF!</f>
        <v>#REF!</v>
      </c>
      <c r="F2682" s="31" t="e">
        <f>#REF!</f>
        <v>#REF!</v>
      </c>
      <c r="G2682" s="31" t="e">
        <f>#REF!</f>
        <v>#REF!</v>
      </c>
      <c r="H2682" s="31" t="e">
        <f>#REF!</f>
        <v>#REF!</v>
      </c>
      <c r="I2682" s="31">
        <f>'تقرير المصروفات حسب الشهر'!AA763</f>
        <v>0</v>
      </c>
      <c r="J2682" s="31">
        <f>'تقرير المصروفات حسب الشهر'!AA890</f>
        <v>0</v>
      </c>
      <c r="K2682" s="31">
        <f>'تقرير المصروفات حسب الشهر'!AA1017</f>
        <v>0</v>
      </c>
      <c r="L2682" s="292">
        <f>IFERROR(VLOOKUP(B2682,'تقرير المصروفات حسب الشهر'!$C$1143:$AD$1254,25,FALSE),0)</f>
        <v>0</v>
      </c>
      <c r="M2682" s="292">
        <f>IFERROR(VLOOKUP(B2682,'تقرير المصروفات حسب الشهر'!$C$1270:$AD$1381,25,FALSE),0)</f>
        <v>0</v>
      </c>
      <c r="N2682" s="31" t="e">
        <f>#REF!</f>
        <v>#REF!</v>
      </c>
      <c r="O2682" s="37" t="e">
        <f>SUM(C2682:N2682)</f>
        <v>#REF!</v>
      </c>
    </row>
    <row r="2683" spans="2:15" ht="17.399999999999999">
      <c r="B2683" s="42" t="s">
        <v>41</v>
      </c>
      <c r="C2683" s="39" t="e">
        <f>#REF!</f>
        <v>#REF!</v>
      </c>
      <c r="D2683" s="31" t="e">
        <f>#REF!</f>
        <v>#REF!</v>
      </c>
      <c r="E2683" s="31" t="e">
        <f>#REF!</f>
        <v>#REF!</v>
      </c>
      <c r="F2683" s="31" t="e">
        <f>#REF!</f>
        <v>#REF!</v>
      </c>
      <c r="G2683" s="31" t="e">
        <f>#REF!</f>
        <v>#REF!</v>
      </c>
      <c r="H2683" s="31" t="e">
        <f>#REF!</f>
        <v>#REF!</v>
      </c>
      <c r="I2683" s="31">
        <f>'تقرير المصروفات حسب الشهر'!AA764</f>
        <v>8900</v>
      </c>
      <c r="J2683" s="31">
        <f>'تقرير المصروفات حسب الشهر'!AA891</f>
        <v>9294.23</v>
      </c>
      <c r="K2683" s="31">
        <f>'تقرير المصروفات حسب الشهر'!AA1018</f>
        <v>8900</v>
      </c>
      <c r="L2683" s="292">
        <f>IFERROR(VLOOKUP(B2683,'تقرير المصروفات حسب الشهر'!$C$1143:$AD$1254,25,FALSE),0)</f>
        <v>9768.2899999999991</v>
      </c>
      <c r="M2683" s="292">
        <f>IFERROR(VLOOKUP(B2683,'تقرير المصروفات حسب الشهر'!$C$1270:$AD$1381,25,FALSE),0)</f>
        <v>10330.76</v>
      </c>
      <c r="N2683" s="31" t="e">
        <f>#REF!</f>
        <v>#REF!</v>
      </c>
      <c r="O2683" s="37" t="e">
        <f t="shared" ref="O2683:O2746" si="69">SUM(C2683:N2683)</f>
        <v>#REF!</v>
      </c>
    </row>
    <row r="2684" spans="2:15" ht="17.399999999999999">
      <c r="B2684" s="42" t="s">
        <v>26</v>
      </c>
      <c r="C2684" s="39" t="e">
        <f>#REF!</f>
        <v>#REF!</v>
      </c>
      <c r="D2684" s="31" t="e">
        <f>#REF!</f>
        <v>#REF!</v>
      </c>
      <c r="E2684" s="31" t="e">
        <f>#REF!</f>
        <v>#REF!</v>
      </c>
      <c r="F2684" s="31" t="e">
        <f>#REF!</f>
        <v>#REF!</v>
      </c>
      <c r="G2684" s="31" t="e">
        <f>#REF!</f>
        <v>#REF!</v>
      </c>
      <c r="H2684" s="31" t="e">
        <f>#REF!</f>
        <v>#REF!</v>
      </c>
      <c r="I2684" s="31">
        <f>'تقرير المصروفات حسب الشهر'!AA765</f>
        <v>0</v>
      </c>
      <c r="J2684" s="31">
        <f>'تقرير المصروفات حسب الشهر'!AA892</f>
        <v>0</v>
      </c>
      <c r="K2684" s="31">
        <f>'تقرير المصروفات حسب الشهر'!AA1019</f>
        <v>0</v>
      </c>
      <c r="L2684" s="292">
        <f>IFERROR(VLOOKUP(B2684,'تقرير المصروفات حسب الشهر'!$C$1143:$AD$1254,25,FALSE),0)</f>
        <v>0</v>
      </c>
      <c r="M2684" s="292">
        <f>IFERROR(VLOOKUP(B2684,'تقرير المصروفات حسب الشهر'!$C$1270:$AD$1381,25,FALSE),0)</f>
        <v>0</v>
      </c>
      <c r="N2684" s="31" t="e">
        <f>#REF!</f>
        <v>#REF!</v>
      </c>
      <c r="O2684" s="37" t="e">
        <f t="shared" si="69"/>
        <v>#REF!</v>
      </c>
    </row>
    <row r="2685" spans="2:15" ht="17.399999999999999">
      <c r="B2685" s="42" t="s">
        <v>27</v>
      </c>
      <c r="C2685" s="39" t="e">
        <f>#REF!</f>
        <v>#REF!</v>
      </c>
      <c r="D2685" s="31" t="e">
        <f>#REF!</f>
        <v>#REF!</v>
      </c>
      <c r="E2685" s="31" t="e">
        <f>#REF!</f>
        <v>#REF!</v>
      </c>
      <c r="F2685" s="31" t="e">
        <f>#REF!</f>
        <v>#REF!</v>
      </c>
      <c r="G2685" s="31" t="e">
        <f>#REF!</f>
        <v>#REF!</v>
      </c>
      <c r="H2685" s="31" t="e">
        <f>#REF!</f>
        <v>#REF!</v>
      </c>
      <c r="I2685" s="31">
        <f>'تقرير المصروفات حسب الشهر'!AA766</f>
        <v>0</v>
      </c>
      <c r="J2685" s="31">
        <f>'تقرير المصروفات حسب الشهر'!AA893</f>
        <v>0</v>
      </c>
      <c r="K2685" s="31">
        <f>'تقرير المصروفات حسب الشهر'!AA1020</f>
        <v>0</v>
      </c>
      <c r="L2685" s="292">
        <f>IFERROR(VLOOKUP(B2685,'تقرير المصروفات حسب الشهر'!$C$1143:$AD$1254,25,FALSE),0)</f>
        <v>0</v>
      </c>
      <c r="M2685" s="292">
        <f>IFERROR(VLOOKUP(B2685,'تقرير المصروفات حسب الشهر'!$C$1270:$AD$1381,25,FALSE),0)</f>
        <v>0</v>
      </c>
      <c r="N2685" s="31" t="e">
        <f>#REF!</f>
        <v>#REF!</v>
      </c>
      <c r="O2685" s="37" t="e">
        <f t="shared" si="69"/>
        <v>#REF!</v>
      </c>
    </row>
    <row r="2686" spans="2:15" ht="17.399999999999999">
      <c r="B2686" s="42" t="s">
        <v>42</v>
      </c>
      <c r="C2686" s="39" t="e">
        <f>#REF!</f>
        <v>#REF!</v>
      </c>
      <c r="D2686" s="31" t="e">
        <f>#REF!</f>
        <v>#REF!</v>
      </c>
      <c r="E2686" s="31" t="e">
        <f>#REF!</f>
        <v>#REF!</v>
      </c>
      <c r="F2686" s="31" t="e">
        <f>#REF!</f>
        <v>#REF!</v>
      </c>
      <c r="G2686" s="31" t="e">
        <f>#REF!</f>
        <v>#REF!</v>
      </c>
      <c r="H2686" s="31" t="e">
        <f>#REF!</f>
        <v>#REF!</v>
      </c>
      <c r="I2686" s="31">
        <f>'تقرير المصروفات حسب الشهر'!AA767</f>
        <v>0</v>
      </c>
      <c r="J2686" s="31">
        <f>'تقرير المصروفات حسب الشهر'!AA894</f>
        <v>0</v>
      </c>
      <c r="K2686" s="31">
        <f>'تقرير المصروفات حسب الشهر'!AA1021</f>
        <v>0</v>
      </c>
      <c r="L2686" s="292">
        <f>IFERROR(VLOOKUP(B2686,'تقرير المصروفات حسب الشهر'!$C$1143:$AD$1254,25,FALSE),0)</f>
        <v>0</v>
      </c>
      <c r="M2686" s="292">
        <f>IFERROR(VLOOKUP(B2686,'تقرير المصروفات حسب الشهر'!$C$1270:$AD$1381,25,FALSE),0)</f>
        <v>0</v>
      </c>
      <c r="N2686" s="31" t="e">
        <f>#REF!</f>
        <v>#REF!</v>
      </c>
      <c r="O2686" s="37" t="e">
        <f t="shared" si="69"/>
        <v>#REF!</v>
      </c>
    </row>
    <row r="2687" spans="2:15" ht="17.399999999999999">
      <c r="B2687" s="42" t="s">
        <v>43</v>
      </c>
      <c r="C2687" s="39" t="e">
        <f>#REF!</f>
        <v>#REF!</v>
      </c>
      <c r="D2687" s="31" t="e">
        <f>#REF!</f>
        <v>#REF!</v>
      </c>
      <c r="E2687" s="31" t="e">
        <f>#REF!</f>
        <v>#REF!</v>
      </c>
      <c r="F2687" s="31" t="e">
        <f>#REF!</f>
        <v>#REF!</v>
      </c>
      <c r="G2687" s="31" t="e">
        <f>#REF!</f>
        <v>#REF!</v>
      </c>
      <c r="H2687" s="31" t="e">
        <f>#REF!</f>
        <v>#REF!</v>
      </c>
      <c r="I2687" s="31">
        <f>'تقرير المصروفات حسب الشهر'!AA768</f>
        <v>0</v>
      </c>
      <c r="J2687" s="31">
        <f>'تقرير المصروفات حسب الشهر'!AA895</f>
        <v>0</v>
      </c>
      <c r="K2687" s="31">
        <f>'تقرير المصروفات حسب الشهر'!AA1022</f>
        <v>0</v>
      </c>
      <c r="L2687" s="292">
        <f>IFERROR(VLOOKUP(B2687,'تقرير المصروفات حسب الشهر'!$C$1143:$AD$1254,25,FALSE),0)</f>
        <v>0</v>
      </c>
      <c r="M2687" s="292">
        <f>IFERROR(VLOOKUP(B2687,'تقرير المصروفات حسب الشهر'!$C$1270:$AD$1381,25,FALSE),0)</f>
        <v>0</v>
      </c>
      <c r="N2687" s="31" t="e">
        <f>#REF!</f>
        <v>#REF!</v>
      </c>
      <c r="O2687" s="37" t="e">
        <f t="shared" si="69"/>
        <v>#REF!</v>
      </c>
    </row>
    <row r="2688" spans="2:15" ht="17.399999999999999">
      <c r="B2688" s="42" t="s">
        <v>44</v>
      </c>
      <c r="C2688" s="39" t="e">
        <f>#REF!</f>
        <v>#REF!</v>
      </c>
      <c r="D2688" s="31" t="e">
        <f>#REF!</f>
        <v>#REF!</v>
      </c>
      <c r="E2688" s="31" t="e">
        <f>#REF!</f>
        <v>#REF!</v>
      </c>
      <c r="F2688" s="31" t="e">
        <f>#REF!</f>
        <v>#REF!</v>
      </c>
      <c r="G2688" s="31" t="e">
        <f>#REF!</f>
        <v>#REF!</v>
      </c>
      <c r="H2688" s="31" t="e">
        <f>#REF!</f>
        <v>#REF!</v>
      </c>
      <c r="I2688" s="31">
        <f>'تقرير المصروفات حسب الشهر'!AA769</f>
        <v>0</v>
      </c>
      <c r="J2688" s="31">
        <f>'تقرير المصروفات حسب الشهر'!AA896</f>
        <v>0</v>
      </c>
      <c r="K2688" s="31">
        <f>'تقرير المصروفات حسب الشهر'!AA1023</f>
        <v>0</v>
      </c>
      <c r="L2688" s="292">
        <f>IFERROR(VLOOKUP(B2688,'تقرير المصروفات حسب الشهر'!$C$1143:$AD$1254,25,FALSE),0)</f>
        <v>0</v>
      </c>
      <c r="M2688" s="292">
        <f>IFERROR(VLOOKUP(B2688,'تقرير المصروفات حسب الشهر'!$C$1270:$AD$1381,25,FALSE),0)</f>
        <v>0</v>
      </c>
      <c r="N2688" s="31" t="e">
        <f>#REF!</f>
        <v>#REF!</v>
      </c>
      <c r="O2688" s="37" t="e">
        <f t="shared" si="69"/>
        <v>#REF!</v>
      </c>
    </row>
    <row r="2689" spans="2:15" ht="17.399999999999999">
      <c r="B2689" s="42" t="s">
        <v>45</v>
      </c>
      <c r="C2689" s="39" t="e">
        <f>#REF!</f>
        <v>#REF!</v>
      </c>
      <c r="D2689" s="31" t="e">
        <f>#REF!</f>
        <v>#REF!</v>
      </c>
      <c r="E2689" s="31" t="e">
        <f>#REF!</f>
        <v>#REF!</v>
      </c>
      <c r="F2689" s="31" t="e">
        <f>#REF!</f>
        <v>#REF!</v>
      </c>
      <c r="G2689" s="31" t="e">
        <f>#REF!</f>
        <v>#REF!</v>
      </c>
      <c r="H2689" s="31" t="e">
        <f>#REF!</f>
        <v>#REF!</v>
      </c>
      <c r="I2689" s="31">
        <f>'تقرير المصروفات حسب الشهر'!AA770</f>
        <v>0</v>
      </c>
      <c r="J2689" s="31">
        <f>'تقرير المصروفات حسب الشهر'!AA897</f>
        <v>0</v>
      </c>
      <c r="K2689" s="31">
        <f>'تقرير المصروفات حسب الشهر'!AA1024</f>
        <v>0</v>
      </c>
      <c r="L2689" s="292">
        <f>IFERROR(VLOOKUP(B2689,'تقرير المصروفات حسب الشهر'!$C$1143:$AD$1254,25,FALSE),0)</f>
        <v>0</v>
      </c>
      <c r="M2689" s="292">
        <f>IFERROR(VLOOKUP(B2689,'تقرير المصروفات حسب الشهر'!$C$1270:$AD$1381,25,FALSE),0)</f>
        <v>0</v>
      </c>
      <c r="N2689" s="31" t="e">
        <f>#REF!</f>
        <v>#REF!</v>
      </c>
      <c r="O2689" s="37" t="e">
        <f t="shared" si="69"/>
        <v>#REF!</v>
      </c>
    </row>
    <row r="2690" spans="2:15" ht="17.399999999999999">
      <c r="B2690" s="42" t="s">
        <v>156</v>
      </c>
      <c r="C2690" s="39" t="e">
        <f>#REF!</f>
        <v>#REF!</v>
      </c>
      <c r="D2690" s="31" t="e">
        <f>#REF!</f>
        <v>#REF!</v>
      </c>
      <c r="E2690" s="31" t="e">
        <f>#REF!</f>
        <v>#REF!</v>
      </c>
      <c r="F2690" s="31" t="e">
        <f>#REF!</f>
        <v>#REF!</v>
      </c>
      <c r="G2690" s="31" t="e">
        <f>#REF!</f>
        <v>#REF!</v>
      </c>
      <c r="H2690" s="31" t="e">
        <f>#REF!</f>
        <v>#REF!</v>
      </c>
      <c r="I2690" s="31">
        <f>'تقرير المصروفات حسب الشهر'!AA771</f>
        <v>0</v>
      </c>
      <c r="J2690" s="31">
        <f>'تقرير المصروفات حسب الشهر'!AA898</f>
        <v>0</v>
      </c>
      <c r="K2690" s="31">
        <f>'تقرير المصروفات حسب الشهر'!AA1025</f>
        <v>0</v>
      </c>
      <c r="L2690" s="292">
        <f>IFERROR(VLOOKUP(B2690,'تقرير المصروفات حسب الشهر'!$C$1143:$AD$1254,25,FALSE),0)</f>
        <v>0</v>
      </c>
      <c r="M2690" s="292">
        <f>IFERROR(VLOOKUP(B2690,'تقرير المصروفات حسب الشهر'!$C$1270:$AD$1381,25,FALSE),0)</f>
        <v>0</v>
      </c>
      <c r="N2690" s="31" t="e">
        <f>#REF!</f>
        <v>#REF!</v>
      </c>
      <c r="O2690" s="37" t="e">
        <f t="shared" si="69"/>
        <v>#REF!</v>
      </c>
    </row>
    <row r="2691" spans="2:15" ht="17.399999999999999">
      <c r="B2691" s="42" t="s">
        <v>46</v>
      </c>
      <c r="C2691" s="39" t="e">
        <f>#REF!</f>
        <v>#REF!</v>
      </c>
      <c r="D2691" s="31" t="e">
        <f>#REF!</f>
        <v>#REF!</v>
      </c>
      <c r="E2691" s="31" t="e">
        <f>#REF!</f>
        <v>#REF!</v>
      </c>
      <c r="F2691" s="31" t="e">
        <f>#REF!</f>
        <v>#REF!</v>
      </c>
      <c r="G2691" s="31" t="e">
        <f>#REF!</f>
        <v>#REF!</v>
      </c>
      <c r="H2691" s="31" t="e">
        <f>#REF!</f>
        <v>#REF!</v>
      </c>
      <c r="I2691" s="31">
        <f>'تقرير المصروفات حسب الشهر'!AA772</f>
        <v>65.87</v>
      </c>
      <c r="J2691" s="31">
        <f>'تقرير المصروفات حسب الشهر'!AA899</f>
        <v>65.87</v>
      </c>
      <c r="K2691" s="31">
        <f>'تقرير المصروفات حسب الشهر'!AA1026</f>
        <v>65.87</v>
      </c>
      <c r="L2691" s="292">
        <f>IFERROR(VLOOKUP(B2691,'تقرير المصروفات حسب الشهر'!$C$1143:$AD$1254,25,FALSE),0)</f>
        <v>65.87</v>
      </c>
      <c r="M2691" s="292">
        <f>IFERROR(VLOOKUP(B2691,'تقرير المصروفات حسب الشهر'!$C$1270:$AD$1381,25,FALSE),0)</f>
        <v>65.87</v>
      </c>
      <c r="N2691" s="31" t="e">
        <f>#REF!</f>
        <v>#REF!</v>
      </c>
      <c r="O2691" s="37" t="e">
        <f t="shared" si="69"/>
        <v>#REF!</v>
      </c>
    </row>
    <row r="2692" spans="2:15" ht="17.399999999999999">
      <c r="B2692" s="42" t="s">
        <v>47</v>
      </c>
      <c r="C2692" s="39" t="e">
        <f>#REF!</f>
        <v>#REF!</v>
      </c>
      <c r="D2692" s="31" t="e">
        <f>#REF!</f>
        <v>#REF!</v>
      </c>
      <c r="E2692" s="31" t="e">
        <f>#REF!</f>
        <v>#REF!</v>
      </c>
      <c r="F2692" s="31" t="e">
        <f>#REF!</f>
        <v>#REF!</v>
      </c>
      <c r="G2692" s="31" t="e">
        <f>#REF!</f>
        <v>#REF!</v>
      </c>
      <c r="H2692" s="31" t="e">
        <f>#REF!</f>
        <v>#REF!</v>
      </c>
      <c r="I2692" s="31">
        <f>'تقرير المصروفات حسب الشهر'!AA773</f>
        <v>0</v>
      </c>
      <c r="J2692" s="31">
        <f>'تقرير المصروفات حسب الشهر'!AA900</f>
        <v>0</v>
      </c>
      <c r="K2692" s="31">
        <f>'تقرير المصروفات حسب الشهر'!AA1027</f>
        <v>0</v>
      </c>
      <c r="L2692" s="292">
        <f>IFERROR(VLOOKUP(B2692,'تقرير المصروفات حسب الشهر'!$C$1143:$AD$1254,25,FALSE),0)</f>
        <v>0</v>
      </c>
      <c r="M2692" s="292">
        <f>IFERROR(VLOOKUP(B2692,'تقرير المصروفات حسب الشهر'!$C$1270:$AD$1381,25,FALSE),0)</f>
        <v>0</v>
      </c>
      <c r="N2692" s="31" t="e">
        <f>#REF!</f>
        <v>#REF!</v>
      </c>
      <c r="O2692" s="37" t="e">
        <f t="shared" si="69"/>
        <v>#REF!</v>
      </c>
    </row>
    <row r="2693" spans="2:15" ht="17.399999999999999">
      <c r="B2693" s="42" t="s">
        <v>48</v>
      </c>
      <c r="C2693" s="39" t="e">
        <f>#REF!</f>
        <v>#REF!</v>
      </c>
      <c r="D2693" s="31" t="e">
        <f>#REF!</f>
        <v>#REF!</v>
      </c>
      <c r="E2693" s="31" t="e">
        <f>#REF!</f>
        <v>#REF!</v>
      </c>
      <c r="F2693" s="31" t="e">
        <f>#REF!</f>
        <v>#REF!</v>
      </c>
      <c r="G2693" s="31" t="e">
        <f>#REF!</f>
        <v>#REF!</v>
      </c>
      <c r="H2693" s="31" t="e">
        <f>#REF!</f>
        <v>#REF!</v>
      </c>
      <c r="I2693" s="31">
        <f>'تقرير المصروفات حسب الشهر'!AA774</f>
        <v>0</v>
      </c>
      <c r="J2693" s="31">
        <f>'تقرير المصروفات حسب الشهر'!AA901</f>
        <v>0</v>
      </c>
      <c r="K2693" s="31">
        <f>'تقرير المصروفات حسب الشهر'!AA1028</f>
        <v>0</v>
      </c>
      <c r="L2693" s="292">
        <f>IFERROR(VLOOKUP(B2693,'تقرير المصروفات حسب الشهر'!$C$1143:$AD$1254,25,FALSE),0)</f>
        <v>0</v>
      </c>
      <c r="M2693" s="292">
        <f>IFERROR(VLOOKUP(B2693,'تقرير المصروفات حسب الشهر'!$C$1270:$AD$1381,25,FALSE),0)</f>
        <v>0</v>
      </c>
      <c r="N2693" s="31" t="e">
        <f>#REF!</f>
        <v>#REF!</v>
      </c>
      <c r="O2693" s="37" t="e">
        <f t="shared" si="69"/>
        <v>#REF!</v>
      </c>
    </row>
    <row r="2694" spans="2:15" ht="17.399999999999999">
      <c r="B2694" s="42" t="s">
        <v>49</v>
      </c>
      <c r="C2694" s="39" t="e">
        <f>#REF!</f>
        <v>#REF!</v>
      </c>
      <c r="D2694" s="31" t="e">
        <f>#REF!</f>
        <v>#REF!</v>
      </c>
      <c r="E2694" s="31" t="e">
        <f>#REF!</f>
        <v>#REF!</v>
      </c>
      <c r="F2694" s="31" t="e">
        <f>#REF!</f>
        <v>#REF!</v>
      </c>
      <c r="G2694" s="31" t="e">
        <f>#REF!</f>
        <v>#REF!</v>
      </c>
      <c r="H2694" s="31" t="e">
        <f>#REF!</f>
        <v>#REF!</v>
      </c>
      <c r="I2694" s="31">
        <f>'تقرير المصروفات حسب الشهر'!AA775</f>
        <v>0</v>
      </c>
      <c r="J2694" s="31">
        <f>'تقرير المصروفات حسب الشهر'!AA902</f>
        <v>0</v>
      </c>
      <c r="K2694" s="31">
        <f>'تقرير المصروفات حسب الشهر'!AA1029</f>
        <v>0</v>
      </c>
      <c r="L2694" s="292">
        <f>IFERROR(VLOOKUP(B2694,'تقرير المصروفات حسب الشهر'!$C$1143:$AD$1254,25,FALSE),0)</f>
        <v>0</v>
      </c>
      <c r="M2694" s="292">
        <f>IFERROR(VLOOKUP(B2694,'تقرير المصروفات حسب الشهر'!$C$1270:$AD$1381,25,FALSE),0)</f>
        <v>0</v>
      </c>
      <c r="N2694" s="31" t="e">
        <f>#REF!</f>
        <v>#REF!</v>
      </c>
      <c r="O2694" s="37" t="e">
        <f t="shared" si="69"/>
        <v>#REF!</v>
      </c>
    </row>
    <row r="2695" spans="2:15" ht="17.399999999999999">
      <c r="B2695" s="42" t="s">
        <v>158</v>
      </c>
      <c r="C2695" s="39" t="e">
        <f>#REF!</f>
        <v>#REF!</v>
      </c>
      <c r="D2695" s="31" t="e">
        <f>#REF!</f>
        <v>#REF!</v>
      </c>
      <c r="E2695" s="31" t="e">
        <f>#REF!</f>
        <v>#REF!</v>
      </c>
      <c r="F2695" s="31" t="e">
        <f>#REF!</f>
        <v>#REF!</v>
      </c>
      <c r="G2695" s="31" t="e">
        <f>#REF!</f>
        <v>#REF!</v>
      </c>
      <c r="H2695" s="31" t="e">
        <f>#REF!</f>
        <v>#REF!</v>
      </c>
      <c r="I2695" s="31">
        <f>'تقرير المصروفات حسب الشهر'!AA776</f>
        <v>0</v>
      </c>
      <c r="J2695" s="31">
        <f>'تقرير المصروفات حسب الشهر'!AA903</f>
        <v>0</v>
      </c>
      <c r="K2695" s="31">
        <f>'تقرير المصروفات حسب الشهر'!AA1030</f>
        <v>0</v>
      </c>
      <c r="L2695" s="292">
        <f>IFERROR(VLOOKUP(B2695,'تقرير المصروفات حسب الشهر'!$C$1143:$AD$1254,25,FALSE),0)</f>
        <v>0</v>
      </c>
      <c r="M2695" s="292">
        <f>IFERROR(VLOOKUP(B2695,'تقرير المصروفات حسب الشهر'!$C$1270:$AD$1381,25,FALSE),0)</f>
        <v>0</v>
      </c>
      <c r="N2695" s="31" t="e">
        <f>#REF!</f>
        <v>#REF!</v>
      </c>
      <c r="O2695" s="37" t="e">
        <f t="shared" si="69"/>
        <v>#REF!</v>
      </c>
    </row>
    <row r="2696" spans="2:15" ht="17.399999999999999">
      <c r="B2696" s="42" t="s">
        <v>50</v>
      </c>
      <c r="C2696" s="39" t="e">
        <f>#REF!</f>
        <v>#REF!</v>
      </c>
      <c r="D2696" s="31" t="e">
        <f>#REF!</f>
        <v>#REF!</v>
      </c>
      <c r="E2696" s="31" t="e">
        <f>#REF!</f>
        <v>#REF!</v>
      </c>
      <c r="F2696" s="31" t="e">
        <f>#REF!</f>
        <v>#REF!</v>
      </c>
      <c r="G2696" s="31" t="e">
        <f>#REF!</f>
        <v>#REF!</v>
      </c>
      <c r="H2696" s="31" t="e">
        <f>#REF!</f>
        <v>#REF!</v>
      </c>
      <c r="I2696" s="31">
        <f>'تقرير المصروفات حسب الشهر'!AA777</f>
        <v>0</v>
      </c>
      <c r="J2696" s="31">
        <f>'تقرير المصروفات حسب الشهر'!AA904</f>
        <v>770</v>
      </c>
      <c r="K2696" s="31">
        <f>'تقرير المصروفات حسب الشهر'!AA1031</f>
        <v>0</v>
      </c>
      <c r="L2696" s="292">
        <f>IFERROR(VLOOKUP(B2696,'تقرير المصروفات حسب الشهر'!$C$1143:$AD$1254,25,FALSE),0)</f>
        <v>0</v>
      </c>
      <c r="M2696" s="292">
        <f>IFERROR(VLOOKUP(B2696,'تقرير المصروفات حسب الشهر'!$C$1270:$AD$1381,25,FALSE),0)</f>
        <v>0</v>
      </c>
      <c r="N2696" s="31" t="e">
        <f>#REF!</f>
        <v>#REF!</v>
      </c>
      <c r="O2696" s="37" t="e">
        <f t="shared" si="69"/>
        <v>#REF!</v>
      </c>
    </row>
    <row r="2697" spans="2:15" ht="17.399999999999999">
      <c r="B2697" s="42" t="s">
        <v>51</v>
      </c>
      <c r="C2697" s="39" t="e">
        <f>#REF!</f>
        <v>#REF!</v>
      </c>
      <c r="D2697" s="31" t="e">
        <f>#REF!</f>
        <v>#REF!</v>
      </c>
      <c r="E2697" s="31" t="e">
        <f>#REF!</f>
        <v>#REF!</v>
      </c>
      <c r="F2697" s="31" t="e">
        <f>#REF!</f>
        <v>#REF!</v>
      </c>
      <c r="G2697" s="31" t="e">
        <f>#REF!</f>
        <v>#REF!</v>
      </c>
      <c r="H2697" s="31" t="e">
        <f>#REF!</f>
        <v>#REF!</v>
      </c>
      <c r="I2697" s="31">
        <f>'تقرير المصروفات حسب الشهر'!AA778</f>
        <v>0</v>
      </c>
      <c r="J2697" s="31">
        <f>'تقرير المصروفات حسب الشهر'!AA905</f>
        <v>0</v>
      </c>
      <c r="K2697" s="31">
        <f>'تقرير المصروفات حسب الشهر'!AA1032</f>
        <v>0</v>
      </c>
      <c r="L2697" s="292">
        <f>IFERROR(VLOOKUP(B2697,'تقرير المصروفات حسب الشهر'!$C$1143:$AD$1254,25,FALSE),0)</f>
        <v>0</v>
      </c>
      <c r="M2697" s="292">
        <f>IFERROR(VLOOKUP(B2697,'تقرير المصروفات حسب الشهر'!$C$1270:$AD$1381,25,FALSE),0)</f>
        <v>0</v>
      </c>
      <c r="N2697" s="31" t="e">
        <f>#REF!</f>
        <v>#REF!</v>
      </c>
      <c r="O2697" s="37" t="e">
        <f t="shared" si="69"/>
        <v>#REF!</v>
      </c>
    </row>
    <row r="2698" spans="2:15" ht="17.399999999999999">
      <c r="B2698" s="42" t="s">
        <v>52</v>
      </c>
      <c r="C2698" s="39" t="e">
        <f>#REF!</f>
        <v>#REF!</v>
      </c>
      <c r="D2698" s="31" t="e">
        <f>#REF!</f>
        <v>#REF!</v>
      </c>
      <c r="E2698" s="31" t="e">
        <f>#REF!</f>
        <v>#REF!</v>
      </c>
      <c r="F2698" s="31" t="e">
        <f>#REF!</f>
        <v>#REF!</v>
      </c>
      <c r="G2698" s="31" t="e">
        <f>#REF!</f>
        <v>#REF!</v>
      </c>
      <c r="H2698" s="31" t="e">
        <f>#REF!</f>
        <v>#REF!</v>
      </c>
      <c r="I2698" s="31">
        <f>'تقرير المصروفات حسب الشهر'!AA779</f>
        <v>0</v>
      </c>
      <c r="J2698" s="31">
        <f>'تقرير المصروفات حسب الشهر'!AA906</f>
        <v>0</v>
      </c>
      <c r="K2698" s="31">
        <f>'تقرير المصروفات حسب الشهر'!AA1033</f>
        <v>0</v>
      </c>
      <c r="L2698" s="292">
        <f>IFERROR(VLOOKUP(B2698,'تقرير المصروفات حسب الشهر'!$C$1143:$AD$1254,25,FALSE),0)</f>
        <v>0</v>
      </c>
      <c r="M2698" s="292">
        <f>IFERROR(VLOOKUP(B2698,'تقرير المصروفات حسب الشهر'!$C$1270:$AD$1381,25,FALSE),0)</f>
        <v>0</v>
      </c>
      <c r="N2698" s="31" t="e">
        <f>#REF!</f>
        <v>#REF!</v>
      </c>
      <c r="O2698" s="37" t="e">
        <f t="shared" si="69"/>
        <v>#REF!</v>
      </c>
    </row>
    <row r="2699" spans="2:15" ht="17.399999999999999">
      <c r="B2699" s="42" t="s">
        <v>174</v>
      </c>
      <c r="C2699" s="39" t="e">
        <f>#REF!</f>
        <v>#REF!</v>
      </c>
      <c r="D2699" s="31" t="e">
        <f>#REF!</f>
        <v>#REF!</v>
      </c>
      <c r="E2699" s="31" t="e">
        <f>#REF!</f>
        <v>#REF!</v>
      </c>
      <c r="F2699" s="31" t="e">
        <f>#REF!</f>
        <v>#REF!</v>
      </c>
      <c r="G2699" s="31" t="e">
        <f>#REF!</f>
        <v>#REF!</v>
      </c>
      <c r="H2699" s="31" t="e">
        <f>#REF!</f>
        <v>#REF!</v>
      </c>
      <c r="I2699" s="31">
        <f>'تقرير المصروفات حسب الشهر'!AA780</f>
        <v>31666</v>
      </c>
      <c r="J2699" s="31">
        <f>'تقرير المصروفات حسب الشهر'!AA907</f>
        <v>0</v>
      </c>
      <c r="K2699" s="31">
        <f>'تقرير المصروفات حسب الشهر'!AA1034</f>
        <v>0</v>
      </c>
      <c r="L2699" s="292">
        <f>IFERROR(VLOOKUP(B2699,'تقرير المصروفات حسب الشهر'!$C$1143:$AD$1254,25,FALSE),0)</f>
        <v>20000</v>
      </c>
      <c r="M2699" s="292">
        <f>IFERROR(VLOOKUP(B2699,'تقرير المصروفات حسب الشهر'!$C$1270:$AD$1381,25,FALSE),0)</f>
        <v>506</v>
      </c>
      <c r="N2699" s="31" t="e">
        <f>#REF!</f>
        <v>#REF!</v>
      </c>
      <c r="O2699" s="37" t="e">
        <f t="shared" si="69"/>
        <v>#REF!</v>
      </c>
    </row>
    <row r="2700" spans="2:15" ht="17.399999999999999">
      <c r="B2700" s="42" t="s">
        <v>53</v>
      </c>
      <c r="C2700" s="39" t="e">
        <f>#REF!</f>
        <v>#REF!</v>
      </c>
      <c r="D2700" s="31" t="e">
        <f>#REF!</f>
        <v>#REF!</v>
      </c>
      <c r="E2700" s="31" t="e">
        <f>#REF!</f>
        <v>#REF!</v>
      </c>
      <c r="F2700" s="31" t="e">
        <f>#REF!</f>
        <v>#REF!</v>
      </c>
      <c r="G2700" s="31" t="e">
        <f>#REF!</f>
        <v>#REF!</v>
      </c>
      <c r="H2700" s="31" t="e">
        <f>#REF!</f>
        <v>#REF!</v>
      </c>
      <c r="I2700" s="31">
        <f>'تقرير المصروفات حسب الشهر'!AA781</f>
        <v>0</v>
      </c>
      <c r="J2700" s="31">
        <f>'تقرير المصروفات حسب الشهر'!AA908</f>
        <v>0</v>
      </c>
      <c r="K2700" s="31">
        <f>'تقرير المصروفات حسب الشهر'!AA1035</f>
        <v>0</v>
      </c>
      <c r="L2700" s="292">
        <f>IFERROR(VLOOKUP(B2700,'تقرير المصروفات حسب الشهر'!$C$1143:$AD$1254,25,FALSE),0)</f>
        <v>0</v>
      </c>
      <c r="M2700" s="292">
        <f>IFERROR(VLOOKUP(B2700,'تقرير المصروفات حسب الشهر'!$C$1270:$AD$1381,25,FALSE),0)</f>
        <v>0</v>
      </c>
      <c r="N2700" s="31" t="e">
        <f>#REF!</f>
        <v>#REF!</v>
      </c>
      <c r="O2700" s="37" t="e">
        <f t="shared" si="69"/>
        <v>#REF!</v>
      </c>
    </row>
    <row r="2701" spans="2:15" ht="17.399999999999999">
      <c r="B2701" s="42" t="s">
        <v>191</v>
      </c>
      <c r="C2701" s="39" t="e">
        <f>#REF!</f>
        <v>#REF!</v>
      </c>
      <c r="D2701" s="31" t="e">
        <f>#REF!</f>
        <v>#REF!</v>
      </c>
      <c r="E2701" s="31" t="e">
        <f>#REF!</f>
        <v>#REF!</v>
      </c>
      <c r="F2701" s="31" t="e">
        <f>#REF!</f>
        <v>#REF!</v>
      </c>
      <c r="G2701" s="31" t="e">
        <f>#REF!</f>
        <v>#REF!</v>
      </c>
      <c r="H2701" s="31" t="e">
        <f>#REF!</f>
        <v>#REF!</v>
      </c>
      <c r="I2701" s="31">
        <f>'تقرير المصروفات حسب الشهر'!AA782</f>
        <v>0</v>
      </c>
      <c r="J2701" s="31">
        <f>'تقرير المصروفات حسب الشهر'!AA909</f>
        <v>0</v>
      </c>
      <c r="K2701" s="31">
        <f>'تقرير المصروفات حسب الشهر'!AA1036</f>
        <v>0</v>
      </c>
      <c r="L2701" s="292">
        <f>IFERROR(VLOOKUP(B2701,'تقرير المصروفات حسب الشهر'!$C$1143:$AD$1254,25,FALSE),0)</f>
        <v>0</v>
      </c>
      <c r="M2701" s="292">
        <f>IFERROR(VLOOKUP(B2701,'تقرير المصروفات حسب الشهر'!$C$1270:$AD$1381,25,FALSE),0)</f>
        <v>0</v>
      </c>
      <c r="N2701" s="31" t="e">
        <f>#REF!</f>
        <v>#REF!</v>
      </c>
      <c r="O2701" s="37" t="e">
        <f t="shared" si="69"/>
        <v>#REF!</v>
      </c>
    </row>
    <row r="2702" spans="2:15" ht="17.399999999999999">
      <c r="B2702" s="42" t="s">
        <v>29</v>
      </c>
      <c r="C2702" s="39" t="e">
        <f>#REF!</f>
        <v>#REF!</v>
      </c>
      <c r="D2702" s="31" t="e">
        <f>#REF!</f>
        <v>#REF!</v>
      </c>
      <c r="E2702" s="31" t="e">
        <f>#REF!</f>
        <v>#REF!</v>
      </c>
      <c r="F2702" s="31" t="e">
        <f>#REF!</f>
        <v>#REF!</v>
      </c>
      <c r="G2702" s="31" t="e">
        <f>#REF!</f>
        <v>#REF!</v>
      </c>
      <c r="H2702" s="31" t="e">
        <f>#REF!</f>
        <v>#REF!</v>
      </c>
      <c r="I2702" s="31">
        <f>'تقرير المصروفات حسب الشهر'!AA783</f>
        <v>0</v>
      </c>
      <c r="J2702" s="31">
        <f>'تقرير المصروفات حسب الشهر'!AA910</f>
        <v>0</v>
      </c>
      <c r="K2702" s="31">
        <f>'تقرير المصروفات حسب الشهر'!AA1037</f>
        <v>0</v>
      </c>
      <c r="L2702" s="292">
        <f>IFERROR(VLOOKUP(B2702,'تقرير المصروفات حسب الشهر'!$C$1143:$AD$1254,25,FALSE),0)</f>
        <v>0</v>
      </c>
      <c r="M2702" s="292">
        <f>IFERROR(VLOOKUP(B2702,'تقرير المصروفات حسب الشهر'!$C$1270:$AD$1381,25,FALSE),0)</f>
        <v>0</v>
      </c>
      <c r="N2702" s="31" t="e">
        <f>#REF!</f>
        <v>#REF!</v>
      </c>
      <c r="O2702" s="37" t="e">
        <f t="shared" si="69"/>
        <v>#REF!</v>
      </c>
    </row>
    <row r="2703" spans="2:15" ht="17.399999999999999">
      <c r="B2703" s="42" t="s">
        <v>54</v>
      </c>
      <c r="C2703" s="39" t="e">
        <f>#REF!</f>
        <v>#REF!</v>
      </c>
      <c r="D2703" s="31" t="e">
        <f>#REF!</f>
        <v>#REF!</v>
      </c>
      <c r="E2703" s="31" t="e">
        <f>#REF!</f>
        <v>#REF!</v>
      </c>
      <c r="F2703" s="31" t="e">
        <f>#REF!</f>
        <v>#REF!</v>
      </c>
      <c r="G2703" s="31" t="e">
        <f>#REF!</f>
        <v>#REF!</v>
      </c>
      <c r="H2703" s="31" t="e">
        <f>#REF!</f>
        <v>#REF!</v>
      </c>
      <c r="I2703" s="31">
        <f>'تقرير المصروفات حسب الشهر'!AA784</f>
        <v>0</v>
      </c>
      <c r="J2703" s="31">
        <f>'تقرير المصروفات حسب الشهر'!AA911</f>
        <v>0</v>
      </c>
      <c r="K2703" s="31">
        <f>'تقرير المصروفات حسب الشهر'!AA1038</f>
        <v>0</v>
      </c>
      <c r="L2703" s="292">
        <f>IFERROR(VLOOKUP(B2703,'تقرير المصروفات حسب الشهر'!$C$1143:$AD$1254,25,FALSE),0)</f>
        <v>0</v>
      </c>
      <c r="M2703" s="292">
        <f>IFERROR(VLOOKUP(B2703,'تقرير المصروفات حسب الشهر'!$C$1270:$AD$1381,25,FALSE),0)</f>
        <v>0</v>
      </c>
      <c r="N2703" s="31" t="e">
        <f>#REF!</f>
        <v>#REF!</v>
      </c>
      <c r="O2703" s="37" t="e">
        <f t="shared" si="69"/>
        <v>#REF!</v>
      </c>
    </row>
    <row r="2704" spans="2:15" ht="17.399999999999999">
      <c r="B2704" s="42" t="s">
        <v>31</v>
      </c>
      <c r="C2704" s="39" t="e">
        <f>#REF!</f>
        <v>#REF!</v>
      </c>
      <c r="D2704" s="31" t="e">
        <f>#REF!</f>
        <v>#REF!</v>
      </c>
      <c r="E2704" s="31" t="e">
        <f>#REF!</f>
        <v>#REF!</v>
      </c>
      <c r="F2704" s="31" t="e">
        <f>#REF!</f>
        <v>#REF!</v>
      </c>
      <c r="G2704" s="31" t="e">
        <f>#REF!</f>
        <v>#REF!</v>
      </c>
      <c r="H2704" s="31" t="e">
        <f>#REF!</f>
        <v>#REF!</v>
      </c>
      <c r="I2704" s="31">
        <f>'تقرير المصروفات حسب الشهر'!AA785</f>
        <v>0</v>
      </c>
      <c r="J2704" s="31">
        <f>'تقرير المصروفات حسب الشهر'!AA912</f>
        <v>0</v>
      </c>
      <c r="K2704" s="31">
        <f>'تقرير المصروفات حسب الشهر'!AA1039</f>
        <v>0</v>
      </c>
      <c r="L2704" s="292">
        <f>IFERROR(VLOOKUP(B2704,'تقرير المصروفات حسب الشهر'!$C$1143:$AD$1254,25,FALSE),0)</f>
        <v>0</v>
      </c>
      <c r="M2704" s="292">
        <f>IFERROR(VLOOKUP(B2704,'تقرير المصروفات حسب الشهر'!$C$1270:$AD$1381,25,FALSE),0)</f>
        <v>0</v>
      </c>
      <c r="N2704" s="31" t="e">
        <f>#REF!</f>
        <v>#REF!</v>
      </c>
      <c r="O2704" s="37" t="e">
        <f t="shared" si="69"/>
        <v>#REF!</v>
      </c>
    </row>
    <row r="2705" spans="2:15" ht="17.399999999999999">
      <c r="B2705" s="42" t="s">
        <v>55</v>
      </c>
      <c r="C2705" s="39" t="e">
        <f>#REF!</f>
        <v>#REF!</v>
      </c>
      <c r="D2705" s="31" t="e">
        <f>#REF!</f>
        <v>#REF!</v>
      </c>
      <c r="E2705" s="31" t="e">
        <f>#REF!</f>
        <v>#REF!</v>
      </c>
      <c r="F2705" s="31" t="e">
        <f>#REF!</f>
        <v>#REF!</v>
      </c>
      <c r="G2705" s="31" t="e">
        <f>#REF!</f>
        <v>#REF!</v>
      </c>
      <c r="H2705" s="31" t="e">
        <f>#REF!</f>
        <v>#REF!</v>
      </c>
      <c r="I2705" s="31">
        <f>'تقرير المصروفات حسب الشهر'!AA786</f>
        <v>0</v>
      </c>
      <c r="J2705" s="31">
        <f>'تقرير المصروفات حسب الشهر'!AA913</f>
        <v>0</v>
      </c>
      <c r="K2705" s="31">
        <f>'تقرير المصروفات حسب الشهر'!AA1040</f>
        <v>0</v>
      </c>
      <c r="L2705" s="292">
        <f>IFERROR(VLOOKUP(B2705,'تقرير المصروفات حسب الشهر'!$C$1143:$AD$1254,25,FALSE),0)</f>
        <v>0</v>
      </c>
      <c r="M2705" s="292">
        <f>IFERROR(VLOOKUP(B2705,'تقرير المصروفات حسب الشهر'!$C$1270:$AD$1381,25,FALSE),0)</f>
        <v>0</v>
      </c>
      <c r="N2705" s="31" t="e">
        <f>#REF!</f>
        <v>#REF!</v>
      </c>
      <c r="O2705" s="37" t="e">
        <f t="shared" si="69"/>
        <v>#REF!</v>
      </c>
    </row>
    <row r="2706" spans="2:15" ht="17.399999999999999">
      <c r="B2706" s="42" t="s">
        <v>56</v>
      </c>
      <c r="C2706" s="39" t="e">
        <f>#REF!</f>
        <v>#REF!</v>
      </c>
      <c r="D2706" s="31" t="e">
        <f>#REF!</f>
        <v>#REF!</v>
      </c>
      <c r="E2706" s="31" t="e">
        <f>#REF!</f>
        <v>#REF!</v>
      </c>
      <c r="F2706" s="31" t="e">
        <f>#REF!</f>
        <v>#REF!</v>
      </c>
      <c r="G2706" s="31" t="e">
        <f>#REF!</f>
        <v>#REF!</v>
      </c>
      <c r="H2706" s="31" t="e">
        <f>#REF!</f>
        <v>#REF!</v>
      </c>
      <c r="I2706" s="31">
        <f>'تقرير المصروفات حسب الشهر'!AA787</f>
        <v>0</v>
      </c>
      <c r="J2706" s="31">
        <f>'تقرير المصروفات حسب الشهر'!AA914</f>
        <v>0</v>
      </c>
      <c r="K2706" s="31">
        <f>'تقرير المصروفات حسب الشهر'!AA1041</f>
        <v>0</v>
      </c>
      <c r="L2706" s="292">
        <f>IFERROR(VLOOKUP(B2706,'تقرير المصروفات حسب الشهر'!$C$1143:$AD$1254,25,FALSE),0)</f>
        <v>0</v>
      </c>
      <c r="M2706" s="292">
        <f>IFERROR(VLOOKUP(B2706,'تقرير المصروفات حسب الشهر'!$C$1270:$AD$1381,25,FALSE),0)</f>
        <v>0</v>
      </c>
      <c r="N2706" s="31" t="e">
        <f>#REF!</f>
        <v>#REF!</v>
      </c>
      <c r="O2706" s="37" t="e">
        <f t="shared" si="69"/>
        <v>#REF!</v>
      </c>
    </row>
    <row r="2707" spans="2:15" ht="17.399999999999999">
      <c r="B2707" s="42" t="s">
        <v>57</v>
      </c>
      <c r="C2707" s="39" t="e">
        <f>#REF!</f>
        <v>#REF!</v>
      </c>
      <c r="D2707" s="31" t="e">
        <f>#REF!</f>
        <v>#REF!</v>
      </c>
      <c r="E2707" s="31" t="e">
        <f>#REF!</f>
        <v>#REF!</v>
      </c>
      <c r="F2707" s="31" t="e">
        <f>#REF!</f>
        <v>#REF!</v>
      </c>
      <c r="G2707" s="31" t="e">
        <f>#REF!</f>
        <v>#REF!</v>
      </c>
      <c r="H2707" s="31" t="e">
        <f>#REF!</f>
        <v>#REF!</v>
      </c>
      <c r="I2707" s="31">
        <f>'تقرير المصروفات حسب الشهر'!AA788</f>
        <v>0</v>
      </c>
      <c r="J2707" s="31">
        <f>'تقرير المصروفات حسب الشهر'!AA915</f>
        <v>0</v>
      </c>
      <c r="K2707" s="31">
        <f>'تقرير المصروفات حسب الشهر'!AA1042</f>
        <v>0</v>
      </c>
      <c r="L2707" s="292">
        <f>IFERROR(VLOOKUP(B2707,'تقرير المصروفات حسب الشهر'!$C$1143:$AD$1254,25,FALSE),0)</f>
        <v>0</v>
      </c>
      <c r="M2707" s="292">
        <f>IFERROR(VLOOKUP(B2707,'تقرير المصروفات حسب الشهر'!$C$1270:$AD$1381,25,FALSE),0)</f>
        <v>0</v>
      </c>
      <c r="N2707" s="31" t="e">
        <f>#REF!</f>
        <v>#REF!</v>
      </c>
      <c r="O2707" s="37" t="e">
        <f t="shared" si="69"/>
        <v>#REF!</v>
      </c>
    </row>
    <row r="2708" spans="2:15" ht="17.399999999999999">
      <c r="B2708" s="42" t="s">
        <v>58</v>
      </c>
      <c r="C2708" s="39" t="e">
        <f>#REF!</f>
        <v>#REF!</v>
      </c>
      <c r="D2708" s="31" t="e">
        <f>#REF!</f>
        <v>#REF!</v>
      </c>
      <c r="E2708" s="31" t="e">
        <f>#REF!</f>
        <v>#REF!</v>
      </c>
      <c r="F2708" s="31" t="e">
        <f>#REF!</f>
        <v>#REF!</v>
      </c>
      <c r="G2708" s="31" t="e">
        <f>#REF!</f>
        <v>#REF!</v>
      </c>
      <c r="H2708" s="31" t="e">
        <f>#REF!</f>
        <v>#REF!</v>
      </c>
      <c r="I2708" s="31">
        <f>'تقرير المصروفات حسب الشهر'!AA789</f>
        <v>0</v>
      </c>
      <c r="J2708" s="31">
        <f>'تقرير المصروفات حسب الشهر'!AA916</f>
        <v>0</v>
      </c>
      <c r="K2708" s="31">
        <f>'تقرير المصروفات حسب الشهر'!AA1043</f>
        <v>0</v>
      </c>
      <c r="L2708" s="292">
        <f>IFERROR(VLOOKUP(B2708,'تقرير المصروفات حسب الشهر'!$C$1143:$AD$1254,25,FALSE),0)</f>
        <v>0</v>
      </c>
      <c r="M2708" s="292">
        <f>IFERROR(VLOOKUP(B2708,'تقرير المصروفات حسب الشهر'!$C$1270:$AD$1381,25,FALSE),0)</f>
        <v>0</v>
      </c>
      <c r="N2708" s="31" t="e">
        <f>#REF!</f>
        <v>#REF!</v>
      </c>
      <c r="O2708" s="37" t="e">
        <f t="shared" si="69"/>
        <v>#REF!</v>
      </c>
    </row>
    <row r="2709" spans="2:15" ht="17.399999999999999">
      <c r="B2709" s="42" t="s">
        <v>59</v>
      </c>
      <c r="C2709" s="39" t="e">
        <f>#REF!</f>
        <v>#REF!</v>
      </c>
      <c r="D2709" s="31" t="e">
        <f>#REF!</f>
        <v>#REF!</v>
      </c>
      <c r="E2709" s="31" t="e">
        <f>#REF!</f>
        <v>#REF!</v>
      </c>
      <c r="F2709" s="31" t="e">
        <f>#REF!</f>
        <v>#REF!</v>
      </c>
      <c r="G2709" s="31" t="e">
        <f>#REF!</f>
        <v>#REF!</v>
      </c>
      <c r="H2709" s="31" t="e">
        <f>#REF!</f>
        <v>#REF!</v>
      </c>
      <c r="I2709" s="31">
        <f>'تقرير المصروفات حسب الشهر'!AA790</f>
        <v>0</v>
      </c>
      <c r="J2709" s="31">
        <f>'تقرير المصروفات حسب الشهر'!AA917</f>
        <v>0</v>
      </c>
      <c r="K2709" s="31">
        <f>'تقرير المصروفات حسب الشهر'!AA1044</f>
        <v>0</v>
      </c>
      <c r="L2709" s="292">
        <f>IFERROR(VLOOKUP(B2709,'تقرير المصروفات حسب الشهر'!$C$1143:$AD$1254,25,FALSE),0)</f>
        <v>0</v>
      </c>
      <c r="M2709" s="292">
        <f>IFERROR(VLOOKUP(B2709,'تقرير المصروفات حسب الشهر'!$C$1270:$AD$1381,25,FALSE),0)</f>
        <v>0</v>
      </c>
      <c r="N2709" s="31" t="e">
        <f>#REF!</f>
        <v>#REF!</v>
      </c>
      <c r="O2709" s="37" t="e">
        <f t="shared" si="69"/>
        <v>#REF!</v>
      </c>
    </row>
    <row r="2710" spans="2:15" ht="17.399999999999999">
      <c r="B2710" s="42" t="s">
        <v>60</v>
      </c>
      <c r="C2710" s="39" t="e">
        <f>#REF!</f>
        <v>#REF!</v>
      </c>
      <c r="D2710" s="31" t="e">
        <f>#REF!</f>
        <v>#REF!</v>
      </c>
      <c r="E2710" s="31" t="e">
        <f>#REF!</f>
        <v>#REF!</v>
      </c>
      <c r="F2710" s="31" t="e">
        <f>#REF!</f>
        <v>#REF!</v>
      </c>
      <c r="G2710" s="31" t="e">
        <f>#REF!</f>
        <v>#REF!</v>
      </c>
      <c r="H2710" s="31" t="e">
        <f>#REF!</f>
        <v>#REF!</v>
      </c>
      <c r="I2710" s="31">
        <f>'تقرير المصروفات حسب الشهر'!AA791</f>
        <v>0</v>
      </c>
      <c r="J2710" s="31">
        <f>'تقرير المصروفات حسب الشهر'!AA918</f>
        <v>0</v>
      </c>
      <c r="K2710" s="31">
        <f>'تقرير المصروفات حسب الشهر'!AA1045</f>
        <v>0</v>
      </c>
      <c r="L2710" s="292">
        <f>IFERROR(VLOOKUP(B2710,'تقرير المصروفات حسب الشهر'!$C$1143:$AD$1254,25,FALSE),0)</f>
        <v>0</v>
      </c>
      <c r="M2710" s="292">
        <f>IFERROR(VLOOKUP(B2710,'تقرير المصروفات حسب الشهر'!$C$1270:$AD$1381,25,FALSE),0)</f>
        <v>0</v>
      </c>
      <c r="N2710" s="31" t="e">
        <f>#REF!</f>
        <v>#REF!</v>
      </c>
      <c r="O2710" s="37" t="e">
        <f t="shared" si="69"/>
        <v>#REF!</v>
      </c>
    </row>
    <row r="2711" spans="2:15" ht="17.399999999999999">
      <c r="B2711" s="42" t="s">
        <v>61</v>
      </c>
      <c r="C2711" s="39" t="e">
        <f>#REF!</f>
        <v>#REF!</v>
      </c>
      <c r="D2711" s="31" t="e">
        <f>#REF!</f>
        <v>#REF!</v>
      </c>
      <c r="E2711" s="31" t="e">
        <f>#REF!</f>
        <v>#REF!</v>
      </c>
      <c r="F2711" s="31" t="e">
        <f>#REF!</f>
        <v>#REF!</v>
      </c>
      <c r="G2711" s="31" t="e">
        <f>#REF!</f>
        <v>#REF!</v>
      </c>
      <c r="H2711" s="31" t="e">
        <f>#REF!</f>
        <v>#REF!</v>
      </c>
      <c r="I2711" s="31">
        <f>'تقرير المصروفات حسب الشهر'!AA792</f>
        <v>0</v>
      </c>
      <c r="J2711" s="31">
        <f>'تقرير المصروفات حسب الشهر'!AA919</f>
        <v>0</v>
      </c>
      <c r="K2711" s="31">
        <f>'تقرير المصروفات حسب الشهر'!AA1046</f>
        <v>0</v>
      </c>
      <c r="L2711" s="292">
        <f>IFERROR(VLOOKUP(B2711,'تقرير المصروفات حسب الشهر'!$C$1143:$AD$1254,25,FALSE),0)</f>
        <v>0</v>
      </c>
      <c r="M2711" s="292">
        <f>IFERROR(VLOOKUP(B2711,'تقرير المصروفات حسب الشهر'!$C$1270:$AD$1381,25,FALSE),0)</f>
        <v>0</v>
      </c>
      <c r="N2711" s="31" t="e">
        <f>#REF!</f>
        <v>#REF!</v>
      </c>
      <c r="O2711" s="37" t="e">
        <f t="shared" si="69"/>
        <v>#REF!</v>
      </c>
    </row>
    <row r="2712" spans="2:15" ht="17.399999999999999">
      <c r="B2712" s="42" t="s">
        <v>62</v>
      </c>
      <c r="C2712" s="39" t="e">
        <f>#REF!</f>
        <v>#REF!</v>
      </c>
      <c r="D2712" s="31" t="e">
        <f>#REF!</f>
        <v>#REF!</v>
      </c>
      <c r="E2712" s="31" t="e">
        <f>#REF!</f>
        <v>#REF!</v>
      </c>
      <c r="F2712" s="31" t="e">
        <f>#REF!</f>
        <v>#REF!</v>
      </c>
      <c r="G2712" s="31" t="e">
        <f>#REF!</f>
        <v>#REF!</v>
      </c>
      <c r="H2712" s="31" t="e">
        <f>#REF!</f>
        <v>#REF!</v>
      </c>
      <c r="I2712" s="31">
        <f>'تقرير المصروفات حسب الشهر'!AA793</f>
        <v>0</v>
      </c>
      <c r="J2712" s="31">
        <f>'تقرير المصروفات حسب الشهر'!AA920</f>
        <v>0</v>
      </c>
      <c r="K2712" s="31">
        <f>'تقرير المصروفات حسب الشهر'!AA1047</f>
        <v>0</v>
      </c>
      <c r="L2712" s="292">
        <f>IFERROR(VLOOKUP(B2712,'تقرير المصروفات حسب الشهر'!$C$1143:$AD$1254,25,FALSE),0)</f>
        <v>0</v>
      </c>
      <c r="M2712" s="292">
        <f>IFERROR(VLOOKUP(B2712,'تقرير المصروفات حسب الشهر'!$C$1270:$AD$1381,25,FALSE),0)</f>
        <v>0</v>
      </c>
      <c r="N2712" s="31" t="e">
        <f>#REF!</f>
        <v>#REF!</v>
      </c>
      <c r="O2712" s="37" t="e">
        <f t="shared" si="69"/>
        <v>#REF!</v>
      </c>
    </row>
    <row r="2713" spans="2:15" ht="17.399999999999999">
      <c r="B2713" s="42" t="s">
        <v>63</v>
      </c>
      <c r="C2713" s="39" t="e">
        <f>#REF!</f>
        <v>#REF!</v>
      </c>
      <c r="D2713" s="31" t="e">
        <f>#REF!</f>
        <v>#REF!</v>
      </c>
      <c r="E2713" s="31" t="e">
        <f>#REF!</f>
        <v>#REF!</v>
      </c>
      <c r="F2713" s="31" t="e">
        <f>#REF!</f>
        <v>#REF!</v>
      </c>
      <c r="G2713" s="31" t="e">
        <f>#REF!</f>
        <v>#REF!</v>
      </c>
      <c r="H2713" s="31" t="e">
        <f>#REF!</f>
        <v>#REF!</v>
      </c>
      <c r="I2713" s="31">
        <f>'تقرير المصروفات حسب الشهر'!AA794</f>
        <v>0</v>
      </c>
      <c r="J2713" s="31">
        <f>'تقرير المصروفات حسب الشهر'!AA921</f>
        <v>0</v>
      </c>
      <c r="K2713" s="31">
        <f>'تقرير المصروفات حسب الشهر'!AA1048</f>
        <v>0</v>
      </c>
      <c r="L2713" s="292">
        <f>IFERROR(VLOOKUP(B2713,'تقرير المصروفات حسب الشهر'!$C$1143:$AD$1254,25,FALSE),0)</f>
        <v>0</v>
      </c>
      <c r="M2713" s="292">
        <f>IFERROR(VLOOKUP(B2713,'تقرير المصروفات حسب الشهر'!$C$1270:$AD$1381,25,FALSE),0)</f>
        <v>0</v>
      </c>
      <c r="N2713" s="31" t="e">
        <f>#REF!</f>
        <v>#REF!</v>
      </c>
      <c r="O2713" s="37" t="e">
        <f t="shared" si="69"/>
        <v>#REF!</v>
      </c>
    </row>
    <row r="2714" spans="2:15" ht="17.399999999999999">
      <c r="B2714" s="42" t="s">
        <v>64</v>
      </c>
      <c r="C2714" s="39" t="e">
        <f>#REF!</f>
        <v>#REF!</v>
      </c>
      <c r="D2714" s="31" t="e">
        <f>#REF!</f>
        <v>#REF!</v>
      </c>
      <c r="E2714" s="31" t="e">
        <f>#REF!</f>
        <v>#REF!</v>
      </c>
      <c r="F2714" s="31" t="e">
        <f>#REF!</f>
        <v>#REF!</v>
      </c>
      <c r="G2714" s="31" t="e">
        <f>#REF!</f>
        <v>#REF!</v>
      </c>
      <c r="H2714" s="31" t="e">
        <f>#REF!</f>
        <v>#REF!</v>
      </c>
      <c r="I2714" s="31">
        <f>'تقرير المصروفات حسب الشهر'!AA795</f>
        <v>0</v>
      </c>
      <c r="J2714" s="31">
        <f>'تقرير المصروفات حسب الشهر'!AA922</f>
        <v>200</v>
      </c>
      <c r="K2714" s="31">
        <f>'تقرير المصروفات حسب الشهر'!AA1049</f>
        <v>0</v>
      </c>
      <c r="L2714" s="292">
        <f>IFERROR(VLOOKUP(B2714,'تقرير المصروفات حسب الشهر'!$C$1143:$AD$1254,25,FALSE),0)</f>
        <v>0</v>
      </c>
      <c r="M2714" s="292">
        <f>IFERROR(VLOOKUP(B2714,'تقرير المصروفات حسب الشهر'!$C$1270:$AD$1381,25,FALSE),0)</f>
        <v>200</v>
      </c>
      <c r="N2714" s="31" t="e">
        <f>#REF!</f>
        <v>#REF!</v>
      </c>
      <c r="O2714" s="37" t="e">
        <f t="shared" si="69"/>
        <v>#REF!</v>
      </c>
    </row>
    <row r="2715" spans="2:15" ht="17.399999999999999">
      <c r="B2715" s="42" t="s">
        <v>28</v>
      </c>
      <c r="C2715" s="39" t="e">
        <f>#REF!</f>
        <v>#REF!</v>
      </c>
      <c r="D2715" s="31" t="e">
        <f>#REF!</f>
        <v>#REF!</v>
      </c>
      <c r="E2715" s="31" t="e">
        <f>#REF!</f>
        <v>#REF!</v>
      </c>
      <c r="F2715" s="31" t="e">
        <f>#REF!</f>
        <v>#REF!</v>
      </c>
      <c r="G2715" s="31" t="e">
        <f>#REF!</f>
        <v>#REF!</v>
      </c>
      <c r="H2715" s="31" t="e">
        <f>#REF!</f>
        <v>#REF!</v>
      </c>
      <c r="I2715" s="31">
        <f>'تقرير المصروفات حسب الشهر'!AA796</f>
        <v>0</v>
      </c>
      <c r="J2715" s="31">
        <f>'تقرير المصروفات حسب الشهر'!AA923</f>
        <v>0</v>
      </c>
      <c r="K2715" s="31">
        <f>'تقرير المصروفات حسب الشهر'!AA1050</f>
        <v>0</v>
      </c>
      <c r="L2715" s="292">
        <f>IFERROR(VLOOKUP(B2715,'تقرير المصروفات حسب الشهر'!$C$1143:$AD$1254,25,FALSE),0)</f>
        <v>0</v>
      </c>
      <c r="M2715" s="292">
        <f>IFERROR(VLOOKUP(B2715,'تقرير المصروفات حسب الشهر'!$C$1270:$AD$1381,25,FALSE),0)</f>
        <v>0</v>
      </c>
      <c r="N2715" s="31" t="e">
        <f>#REF!</f>
        <v>#REF!</v>
      </c>
      <c r="O2715" s="37" t="e">
        <f t="shared" si="69"/>
        <v>#REF!</v>
      </c>
    </row>
    <row r="2716" spans="2:15" ht="17.399999999999999">
      <c r="B2716" s="42" t="s">
        <v>157</v>
      </c>
      <c r="C2716" s="39" t="e">
        <f>#REF!</f>
        <v>#REF!</v>
      </c>
      <c r="D2716" s="31" t="e">
        <f>#REF!</f>
        <v>#REF!</v>
      </c>
      <c r="E2716" s="31" t="e">
        <f>#REF!</f>
        <v>#REF!</v>
      </c>
      <c r="F2716" s="31" t="e">
        <f>#REF!</f>
        <v>#REF!</v>
      </c>
      <c r="G2716" s="31" t="e">
        <f>#REF!</f>
        <v>#REF!</v>
      </c>
      <c r="H2716" s="31" t="e">
        <f>#REF!</f>
        <v>#REF!</v>
      </c>
      <c r="I2716" s="31">
        <f>'تقرير المصروفات حسب الشهر'!AA797</f>
        <v>0</v>
      </c>
      <c r="J2716" s="31">
        <f>'تقرير المصروفات حسب الشهر'!AA924</f>
        <v>0</v>
      </c>
      <c r="K2716" s="31">
        <f>'تقرير المصروفات حسب الشهر'!AA1051</f>
        <v>0</v>
      </c>
      <c r="L2716" s="292">
        <f>IFERROR(VLOOKUP(B2716,'تقرير المصروفات حسب الشهر'!$C$1143:$AD$1254,25,FALSE),0)</f>
        <v>0</v>
      </c>
      <c r="M2716" s="292">
        <f>IFERROR(VLOOKUP(B2716,'تقرير المصروفات حسب الشهر'!$C$1270:$AD$1381,25,FALSE),0)</f>
        <v>0</v>
      </c>
      <c r="N2716" s="31" t="e">
        <f>#REF!</f>
        <v>#REF!</v>
      </c>
      <c r="O2716" s="37" t="e">
        <f t="shared" si="69"/>
        <v>#REF!</v>
      </c>
    </row>
    <row r="2717" spans="2:15" ht="17.399999999999999">
      <c r="B2717" s="42" t="s">
        <v>65</v>
      </c>
      <c r="C2717" s="39" t="e">
        <f>#REF!</f>
        <v>#REF!</v>
      </c>
      <c r="D2717" s="31" t="e">
        <f>#REF!</f>
        <v>#REF!</v>
      </c>
      <c r="E2717" s="31" t="e">
        <f>#REF!</f>
        <v>#REF!</v>
      </c>
      <c r="F2717" s="31" t="e">
        <f>#REF!</f>
        <v>#REF!</v>
      </c>
      <c r="G2717" s="31" t="e">
        <f>#REF!</f>
        <v>#REF!</v>
      </c>
      <c r="H2717" s="31" t="e">
        <f>#REF!</f>
        <v>#REF!</v>
      </c>
      <c r="I2717" s="31">
        <f>'تقرير المصروفات حسب الشهر'!AA798</f>
        <v>0</v>
      </c>
      <c r="J2717" s="31">
        <f>'تقرير المصروفات حسب الشهر'!AA925</f>
        <v>0</v>
      </c>
      <c r="K2717" s="31">
        <f>'تقرير المصروفات حسب الشهر'!AA1052</f>
        <v>0</v>
      </c>
      <c r="L2717" s="292">
        <f>IFERROR(VLOOKUP(B2717,'تقرير المصروفات حسب الشهر'!$C$1143:$AD$1254,25,FALSE),0)</f>
        <v>0</v>
      </c>
      <c r="M2717" s="292">
        <f>IFERROR(VLOOKUP(B2717,'تقرير المصروفات حسب الشهر'!$C$1270:$AD$1381,25,FALSE),0)</f>
        <v>0</v>
      </c>
      <c r="N2717" s="31" t="e">
        <f>#REF!</f>
        <v>#REF!</v>
      </c>
      <c r="O2717" s="37" t="e">
        <f t="shared" si="69"/>
        <v>#REF!</v>
      </c>
    </row>
    <row r="2718" spans="2:15" ht="17.399999999999999">
      <c r="B2718" s="42" t="s">
        <v>66</v>
      </c>
      <c r="C2718" s="39" t="e">
        <f>#REF!</f>
        <v>#REF!</v>
      </c>
      <c r="D2718" s="31" t="e">
        <f>#REF!</f>
        <v>#REF!</v>
      </c>
      <c r="E2718" s="31" t="e">
        <f>#REF!</f>
        <v>#REF!</v>
      </c>
      <c r="F2718" s="31" t="e">
        <f>#REF!</f>
        <v>#REF!</v>
      </c>
      <c r="G2718" s="31" t="e">
        <f>#REF!</f>
        <v>#REF!</v>
      </c>
      <c r="H2718" s="31" t="e">
        <f>#REF!</f>
        <v>#REF!</v>
      </c>
      <c r="I2718" s="31">
        <f>'تقرير المصروفات حسب الشهر'!AA799</f>
        <v>0</v>
      </c>
      <c r="J2718" s="31">
        <f>'تقرير المصروفات حسب الشهر'!AA926</f>
        <v>0</v>
      </c>
      <c r="K2718" s="31">
        <f>'تقرير المصروفات حسب الشهر'!AA1053</f>
        <v>0</v>
      </c>
      <c r="L2718" s="292">
        <f>IFERROR(VLOOKUP(B2718,'تقرير المصروفات حسب الشهر'!$C$1143:$AD$1254,25,FALSE),0)</f>
        <v>0</v>
      </c>
      <c r="M2718" s="292">
        <f>IFERROR(VLOOKUP(B2718,'تقرير المصروفات حسب الشهر'!$C$1270:$AD$1381,25,FALSE),0)</f>
        <v>0</v>
      </c>
      <c r="N2718" s="31" t="e">
        <f>#REF!</f>
        <v>#REF!</v>
      </c>
      <c r="O2718" s="37" t="e">
        <f t="shared" si="69"/>
        <v>#REF!</v>
      </c>
    </row>
    <row r="2719" spans="2:15" ht="17.399999999999999">
      <c r="B2719" s="42" t="s">
        <v>30</v>
      </c>
      <c r="C2719" s="39" t="e">
        <f>#REF!</f>
        <v>#REF!</v>
      </c>
      <c r="D2719" s="31" t="e">
        <f>#REF!</f>
        <v>#REF!</v>
      </c>
      <c r="E2719" s="31" t="e">
        <f>#REF!</f>
        <v>#REF!</v>
      </c>
      <c r="F2719" s="31" t="e">
        <f>#REF!</f>
        <v>#REF!</v>
      </c>
      <c r="G2719" s="31" t="e">
        <f>#REF!</f>
        <v>#REF!</v>
      </c>
      <c r="H2719" s="31" t="e">
        <f>#REF!</f>
        <v>#REF!</v>
      </c>
      <c r="I2719" s="31">
        <f>'تقرير المصروفات حسب الشهر'!AA800</f>
        <v>0</v>
      </c>
      <c r="J2719" s="31">
        <f>'تقرير المصروفات حسب الشهر'!AA927</f>
        <v>0</v>
      </c>
      <c r="K2719" s="31">
        <f>'تقرير المصروفات حسب الشهر'!AA1054</f>
        <v>0</v>
      </c>
      <c r="L2719" s="292">
        <f>IFERROR(VLOOKUP(B2719,'تقرير المصروفات حسب الشهر'!$C$1143:$AD$1254,25,FALSE),0)</f>
        <v>0</v>
      </c>
      <c r="M2719" s="292">
        <f>IFERROR(VLOOKUP(B2719,'تقرير المصروفات حسب الشهر'!$C$1270:$AD$1381,25,FALSE),0)</f>
        <v>0</v>
      </c>
      <c r="N2719" s="31" t="e">
        <f>#REF!</f>
        <v>#REF!</v>
      </c>
      <c r="O2719" s="37" t="e">
        <f t="shared" si="69"/>
        <v>#REF!</v>
      </c>
    </row>
    <row r="2720" spans="2:15" ht="17.399999999999999">
      <c r="B2720" s="42" t="s">
        <v>67</v>
      </c>
      <c r="C2720" s="39" t="e">
        <f>#REF!</f>
        <v>#REF!</v>
      </c>
      <c r="D2720" s="31" t="e">
        <f>#REF!</f>
        <v>#REF!</v>
      </c>
      <c r="E2720" s="31" t="e">
        <f>#REF!</f>
        <v>#REF!</v>
      </c>
      <c r="F2720" s="31" t="e">
        <f>#REF!</f>
        <v>#REF!</v>
      </c>
      <c r="G2720" s="31" t="e">
        <f>#REF!</f>
        <v>#REF!</v>
      </c>
      <c r="H2720" s="31" t="e">
        <f>#REF!</f>
        <v>#REF!</v>
      </c>
      <c r="I2720" s="31">
        <f>'تقرير المصروفات حسب الشهر'!AA801</f>
        <v>0</v>
      </c>
      <c r="J2720" s="31">
        <f>'تقرير المصروفات حسب الشهر'!AA928</f>
        <v>0</v>
      </c>
      <c r="K2720" s="31">
        <f>'تقرير المصروفات حسب الشهر'!AA1055</f>
        <v>0</v>
      </c>
      <c r="L2720" s="292">
        <f>IFERROR(VLOOKUP(B2720,'تقرير المصروفات حسب الشهر'!$C$1143:$AD$1254,25,FALSE),0)</f>
        <v>1650</v>
      </c>
      <c r="M2720" s="292">
        <f>IFERROR(VLOOKUP(B2720,'تقرير المصروفات حسب الشهر'!$C$1270:$AD$1381,25,FALSE),0)</f>
        <v>0</v>
      </c>
      <c r="N2720" s="31" t="e">
        <f>#REF!</f>
        <v>#REF!</v>
      </c>
      <c r="O2720" s="37" t="e">
        <f t="shared" si="69"/>
        <v>#REF!</v>
      </c>
    </row>
    <row r="2721" spans="2:15" ht="17.399999999999999">
      <c r="B2721" s="42" t="s">
        <v>111</v>
      </c>
      <c r="C2721" s="39" t="e">
        <f>#REF!</f>
        <v>#REF!</v>
      </c>
      <c r="D2721" s="31" t="e">
        <f>#REF!</f>
        <v>#REF!</v>
      </c>
      <c r="E2721" s="31" t="e">
        <f>#REF!</f>
        <v>#REF!</v>
      </c>
      <c r="F2721" s="31" t="e">
        <f>#REF!</f>
        <v>#REF!</v>
      </c>
      <c r="G2721" s="31" t="e">
        <f>#REF!</f>
        <v>#REF!</v>
      </c>
      <c r="H2721" s="31" t="e">
        <f>#REF!</f>
        <v>#REF!</v>
      </c>
      <c r="I2721" s="31">
        <f>'تقرير المصروفات حسب الشهر'!AA802</f>
        <v>0</v>
      </c>
      <c r="J2721" s="31">
        <f>'تقرير المصروفات حسب الشهر'!AA929</f>
        <v>0</v>
      </c>
      <c r="K2721" s="31">
        <f>'تقرير المصروفات حسب الشهر'!AA1056</f>
        <v>350</v>
      </c>
      <c r="L2721" s="292">
        <f>IFERROR(VLOOKUP(B2721,'تقرير المصروفات حسب الشهر'!$C$1143:$AD$1254,25,FALSE),0)</f>
        <v>0</v>
      </c>
      <c r="M2721" s="292">
        <f>IFERROR(VLOOKUP(B2721,'تقرير المصروفات حسب الشهر'!$C$1270:$AD$1381,25,FALSE),0)</f>
        <v>0</v>
      </c>
      <c r="N2721" s="31" t="e">
        <f>#REF!</f>
        <v>#REF!</v>
      </c>
      <c r="O2721" s="37" t="e">
        <f t="shared" si="69"/>
        <v>#REF!</v>
      </c>
    </row>
    <row r="2722" spans="2:15" ht="17.399999999999999">
      <c r="B2722" s="42" t="s">
        <v>68</v>
      </c>
      <c r="C2722" s="39" t="e">
        <f>#REF!</f>
        <v>#REF!</v>
      </c>
      <c r="D2722" s="31" t="e">
        <f>#REF!</f>
        <v>#REF!</v>
      </c>
      <c r="E2722" s="31" t="e">
        <f>#REF!</f>
        <v>#REF!</v>
      </c>
      <c r="F2722" s="31" t="e">
        <f>#REF!</f>
        <v>#REF!</v>
      </c>
      <c r="G2722" s="31" t="e">
        <f>#REF!</f>
        <v>#REF!</v>
      </c>
      <c r="H2722" s="31" t="e">
        <f>#REF!</f>
        <v>#REF!</v>
      </c>
      <c r="I2722" s="31">
        <f>'تقرير المصروفات حسب الشهر'!AA803</f>
        <v>0</v>
      </c>
      <c r="J2722" s="31">
        <f>'تقرير المصروفات حسب الشهر'!AA930</f>
        <v>0</v>
      </c>
      <c r="K2722" s="31">
        <f>'تقرير المصروفات حسب الشهر'!AA1057</f>
        <v>0</v>
      </c>
      <c r="L2722" s="292">
        <f>IFERROR(VLOOKUP(B2722,'تقرير المصروفات حسب الشهر'!$C$1143:$AD$1254,25,FALSE),0)</f>
        <v>0</v>
      </c>
      <c r="M2722" s="292">
        <f>IFERROR(VLOOKUP(B2722,'تقرير المصروفات حسب الشهر'!$C$1270:$AD$1381,25,FALSE),0)</f>
        <v>0</v>
      </c>
      <c r="N2722" s="31" t="e">
        <f>#REF!</f>
        <v>#REF!</v>
      </c>
      <c r="O2722" s="37" t="e">
        <f t="shared" si="69"/>
        <v>#REF!</v>
      </c>
    </row>
    <row r="2723" spans="2:15" ht="17.399999999999999">
      <c r="B2723" s="42" t="s">
        <v>69</v>
      </c>
      <c r="C2723" s="39" t="e">
        <f>#REF!</f>
        <v>#REF!</v>
      </c>
      <c r="D2723" s="31" t="e">
        <f>#REF!</f>
        <v>#REF!</v>
      </c>
      <c r="E2723" s="31" t="e">
        <f>#REF!</f>
        <v>#REF!</v>
      </c>
      <c r="F2723" s="31" t="e">
        <f>#REF!</f>
        <v>#REF!</v>
      </c>
      <c r="G2723" s="31" t="e">
        <f>#REF!</f>
        <v>#REF!</v>
      </c>
      <c r="H2723" s="31" t="e">
        <f>#REF!</f>
        <v>#REF!</v>
      </c>
      <c r="I2723" s="31">
        <f>'تقرير المصروفات حسب الشهر'!AA804</f>
        <v>0</v>
      </c>
      <c r="J2723" s="31">
        <f>'تقرير المصروفات حسب الشهر'!AA931</f>
        <v>0</v>
      </c>
      <c r="K2723" s="31">
        <f>'تقرير المصروفات حسب الشهر'!AA1058</f>
        <v>0</v>
      </c>
      <c r="L2723" s="292">
        <f>IFERROR(VLOOKUP(B2723,'تقرير المصروفات حسب الشهر'!$C$1143:$AD$1254,25,FALSE),0)</f>
        <v>0</v>
      </c>
      <c r="M2723" s="292">
        <f>IFERROR(VLOOKUP(B2723,'تقرير المصروفات حسب الشهر'!$C$1270:$AD$1381,25,FALSE),0)</f>
        <v>0</v>
      </c>
      <c r="N2723" s="31" t="e">
        <f>#REF!</f>
        <v>#REF!</v>
      </c>
      <c r="O2723" s="37" t="e">
        <f t="shared" si="69"/>
        <v>#REF!</v>
      </c>
    </row>
    <row r="2724" spans="2:15" ht="17.399999999999999">
      <c r="B2724" s="42" t="s">
        <v>70</v>
      </c>
      <c r="C2724" s="39" t="e">
        <f>#REF!</f>
        <v>#REF!</v>
      </c>
      <c r="D2724" s="31" t="e">
        <f>#REF!</f>
        <v>#REF!</v>
      </c>
      <c r="E2724" s="31" t="e">
        <f>#REF!</f>
        <v>#REF!</v>
      </c>
      <c r="F2724" s="31" t="e">
        <f>#REF!</f>
        <v>#REF!</v>
      </c>
      <c r="G2724" s="31" t="e">
        <f>#REF!</f>
        <v>#REF!</v>
      </c>
      <c r="H2724" s="31" t="e">
        <f>#REF!</f>
        <v>#REF!</v>
      </c>
      <c r="I2724" s="31">
        <f>'تقرير المصروفات حسب الشهر'!AA805</f>
        <v>0</v>
      </c>
      <c r="J2724" s="31">
        <f>'تقرير المصروفات حسب الشهر'!AA932</f>
        <v>0</v>
      </c>
      <c r="K2724" s="31">
        <f>'تقرير المصروفات حسب الشهر'!AA1059</f>
        <v>0</v>
      </c>
      <c r="L2724" s="292">
        <f>IFERROR(VLOOKUP(B2724,'تقرير المصروفات حسب الشهر'!$C$1143:$AD$1254,25,FALSE),0)</f>
        <v>0</v>
      </c>
      <c r="M2724" s="292">
        <f>IFERROR(VLOOKUP(B2724,'تقرير المصروفات حسب الشهر'!$C$1270:$AD$1381,25,FALSE),0)</f>
        <v>0</v>
      </c>
      <c r="N2724" s="31" t="e">
        <f>#REF!</f>
        <v>#REF!</v>
      </c>
      <c r="O2724" s="37" t="e">
        <f t="shared" si="69"/>
        <v>#REF!</v>
      </c>
    </row>
    <row r="2725" spans="2:15" ht="17.399999999999999">
      <c r="B2725" s="42" t="s">
        <v>71</v>
      </c>
      <c r="C2725" s="39" t="e">
        <f>#REF!</f>
        <v>#REF!</v>
      </c>
      <c r="D2725" s="31" t="e">
        <f>#REF!</f>
        <v>#REF!</v>
      </c>
      <c r="E2725" s="31" t="e">
        <f>#REF!</f>
        <v>#REF!</v>
      </c>
      <c r="F2725" s="31" t="e">
        <f>#REF!</f>
        <v>#REF!</v>
      </c>
      <c r="G2725" s="31" t="e">
        <f>#REF!</f>
        <v>#REF!</v>
      </c>
      <c r="H2725" s="31" t="e">
        <f>#REF!</f>
        <v>#REF!</v>
      </c>
      <c r="I2725" s="31">
        <f>'تقرير المصروفات حسب الشهر'!AA806</f>
        <v>0</v>
      </c>
      <c r="J2725" s="31">
        <f>'تقرير المصروفات حسب الشهر'!AA933</f>
        <v>0</v>
      </c>
      <c r="K2725" s="31">
        <f>'تقرير المصروفات حسب الشهر'!AA1060</f>
        <v>0</v>
      </c>
      <c r="L2725" s="292">
        <f>IFERROR(VLOOKUP(B2725,'تقرير المصروفات حسب الشهر'!$C$1143:$AD$1254,25,FALSE),0)</f>
        <v>0</v>
      </c>
      <c r="M2725" s="292">
        <f>IFERROR(VLOOKUP(B2725,'تقرير المصروفات حسب الشهر'!$C$1270:$AD$1381,25,FALSE),0)</f>
        <v>0</v>
      </c>
      <c r="N2725" s="31" t="e">
        <f>#REF!</f>
        <v>#REF!</v>
      </c>
      <c r="O2725" s="37" t="e">
        <f t="shared" si="69"/>
        <v>#REF!</v>
      </c>
    </row>
    <row r="2726" spans="2:15" ht="17.399999999999999">
      <c r="B2726" s="42" t="s">
        <v>159</v>
      </c>
      <c r="C2726" s="39" t="e">
        <f>#REF!</f>
        <v>#REF!</v>
      </c>
      <c r="D2726" s="31" t="e">
        <f>#REF!</f>
        <v>#REF!</v>
      </c>
      <c r="E2726" s="31" t="e">
        <f>#REF!</f>
        <v>#REF!</v>
      </c>
      <c r="F2726" s="31" t="e">
        <f>#REF!</f>
        <v>#REF!</v>
      </c>
      <c r="G2726" s="31" t="e">
        <f>#REF!</f>
        <v>#REF!</v>
      </c>
      <c r="H2726" s="31" t="e">
        <f>#REF!</f>
        <v>#REF!</v>
      </c>
      <c r="I2726" s="31">
        <f>'تقرير المصروفات حسب الشهر'!AA807</f>
        <v>0</v>
      </c>
      <c r="J2726" s="31">
        <f>'تقرير المصروفات حسب الشهر'!AA934</f>
        <v>0</v>
      </c>
      <c r="K2726" s="31">
        <f>'تقرير المصروفات حسب الشهر'!AA1061</f>
        <v>0</v>
      </c>
      <c r="L2726" s="292">
        <f>IFERROR(VLOOKUP(B2726,'تقرير المصروفات حسب الشهر'!$C$1143:$AD$1254,25,FALSE),0)</f>
        <v>0</v>
      </c>
      <c r="M2726" s="292">
        <f>IFERROR(VLOOKUP(B2726,'تقرير المصروفات حسب الشهر'!$C$1270:$AD$1381,25,FALSE),0)</f>
        <v>0</v>
      </c>
      <c r="N2726" s="31" t="e">
        <f>#REF!</f>
        <v>#REF!</v>
      </c>
      <c r="O2726" s="37" t="e">
        <f t="shared" si="69"/>
        <v>#REF!</v>
      </c>
    </row>
    <row r="2727" spans="2:15" ht="17.399999999999999">
      <c r="B2727" s="42" t="s">
        <v>72</v>
      </c>
      <c r="C2727" s="39" t="e">
        <f>#REF!</f>
        <v>#REF!</v>
      </c>
      <c r="D2727" s="31" t="e">
        <f>#REF!</f>
        <v>#REF!</v>
      </c>
      <c r="E2727" s="31" t="e">
        <f>#REF!</f>
        <v>#REF!</v>
      </c>
      <c r="F2727" s="31" t="e">
        <f>#REF!</f>
        <v>#REF!</v>
      </c>
      <c r="G2727" s="31" t="e">
        <f>#REF!</f>
        <v>#REF!</v>
      </c>
      <c r="H2727" s="31" t="e">
        <f>#REF!</f>
        <v>#REF!</v>
      </c>
      <c r="I2727" s="31">
        <f>'تقرير المصروفات حسب الشهر'!AA808</f>
        <v>0</v>
      </c>
      <c r="J2727" s="31">
        <f>'تقرير المصروفات حسب الشهر'!AA935</f>
        <v>0</v>
      </c>
      <c r="K2727" s="31">
        <f>'تقرير المصروفات حسب الشهر'!AA1062</f>
        <v>0</v>
      </c>
      <c r="L2727" s="292">
        <f>IFERROR(VLOOKUP(B2727,'تقرير المصروفات حسب الشهر'!$C$1143:$AD$1254,25,FALSE),0)</f>
        <v>0</v>
      </c>
      <c r="M2727" s="292">
        <f>IFERROR(VLOOKUP(B2727,'تقرير المصروفات حسب الشهر'!$C$1270:$AD$1381,25,FALSE),0)</f>
        <v>0</v>
      </c>
      <c r="N2727" s="31" t="e">
        <f>#REF!</f>
        <v>#REF!</v>
      </c>
      <c r="O2727" s="37" t="e">
        <f t="shared" si="69"/>
        <v>#REF!</v>
      </c>
    </row>
    <row r="2728" spans="2:15" ht="17.399999999999999">
      <c r="B2728" s="42" t="s">
        <v>73</v>
      </c>
      <c r="C2728" s="39" t="e">
        <f>#REF!</f>
        <v>#REF!</v>
      </c>
      <c r="D2728" s="31" t="e">
        <f>#REF!</f>
        <v>#REF!</v>
      </c>
      <c r="E2728" s="31" t="e">
        <f>#REF!</f>
        <v>#REF!</v>
      </c>
      <c r="F2728" s="31" t="e">
        <f>#REF!</f>
        <v>#REF!</v>
      </c>
      <c r="G2728" s="31" t="e">
        <f>#REF!</f>
        <v>#REF!</v>
      </c>
      <c r="H2728" s="31" t="e">
        <f>#REF!</f>
        <v>#REF!</v>
      </c>
      <c r="I2728" s="31">
        <f>'تقرير المصروفات حسب الشهر'!AA809</f>
        <v>0</v>
      </c>
      <c r="J2728" s="31">
        <f>'تقرير المصروفات حسب الشهر'!AA936</f>
        <v>0</v>
      </c>
      <c r="K2728" s="31">
        <f>'تقرير المصروفات حسب الشهر'!AA1063</f>
        <v>0</v>
      </c>
      <c r="L2728" s="292">
        <f>IFERROR(VLOOKUP(B2728,'تقرير المصروفات حسب الشهر'!$C$1143:$AD$1254,25,FALSE),0)</f>
        <v>0</v>
      </c>
      <c r="M2728" s="292">
        <f>IFERROR(VLOOKUP(B2728,'تقرير المصروفات حسب الشهر'!$C$1270:$AD$1381,25,FALSE),0)</f>
        <v>0</v>
      </c>
      <c r="N2728" s="31" t="e">
        <f>#REF!</f>
        <v>#REF!</v>
      </c>
      <c r="O2728" s="37" t="e">
        <f t="shared" si="69"/>
        <v>#REF!</v>
      </c>
    </row>
    <row r="2729" spans="2:15" ht="17.399999999999999">
      <c r="B2729" s="42" t="s">
        <v>74</v>
      </c>
      <c r="C2729" s="39" t="e">
        <f>#REF!</f>
        <v>#REF!</v>
      </c>
      <c r="D2729" s="31" t="e">
        <f>#REF!</f>
        <v>#REF!</v>
      </c>
      <c r="E2729" s="31" t="e">
        <f>#REF!</f>
        <v>#REF!</v>
      </c>
      <c r="F2729" s="31" t="e">
        <f>#REF!</f>
        <v>#REF!</v>
      </c>
      <c r="G2729" s="31" t="e">
        <f>#REF!</f>
        <v>#REF!</v>
      </c>
      <c r="H2729" s="31" t="e">
        <f>#REF!</f>
        <v>#REF!</v>
      </c>
      <c r="I2729" s="31">
        <f>'تقرير المصروفات حسب الشهر'!AA810</f>
        <v>0</v>
      </c>
      <c r="J2729" s="31">
        <f>'تقرير المصروفات حسب الشهر'!AA937</f>
        <v>0</v>
      </c>
      <c r="K2729" s="31">
        <f>'تقرير المصروفات حسب الشهر'!AA1064</f>
        <v>0</v>
      </c>
      <c r="L2729" s="292">
        <f>IFERROR(VLOOKUP(B2729,'تقرير المصروفات حسب الشهر'!$C$1143:$AD$1254,25,FALSE),0)</f>
        <v>0</v>
      </c>
      <c r="M2729" s="292">
        <f>IFERROR(VLOOKUP(B2729,'تقرير المصروفات حسب الشهر'!$C$1270:$AD$1381,25,FALSE),0)</f>
        <v>0</v>
      </c>
      <c r="N2729" s="31" t="e">
        <f>#REF!</f>
        <v>#REF!</v>
      </c>
      <c r="O2729" s="37" t="e">
        <f t="shared" si="69"/>
        <v>#REF!</v>
      </c>
    </row>
    <row r="2730" spans="2:15" ht="17.399999999999999">
      <c r="B2730" s="42" t="s">
        <v>75</v>
      </c>
      <c r="C2730" s="39" t="e">
        <f>#REF!</f>
        <v>#REF!</v>
      </c>
      <c r="D2730" s="31" t="e">
        <f>#REF!</f>
        <v>#REF!</v>
      </c>
      <c r="E2730" s="31" t="e">
        <f>#REF!</f>
        <v>#REF!</v>
      </c>
      <c r="F2730" s="31" t="e">
        <f>#REF!</f>
        <v>#REF!</v>
      </c>
      <c r="G2730" s="31" t="e">
        <f>#REF!</f>
        <v>#REF!</v>
      </c>
      <c r="H2730" s="31" t="e">
        <f>#REF!</f>
        <v>#REF!</v>
      </c>
      <c r="I2730" s="31">
        <f>'تقرير المصروفات حسب الشهر'!AA811</f>
        <v>0</v>
      </c>
      <c r="J2730" s="31">
        <f>'تقرير المصروفات حسب الشهر'!AA938</f>
        <v>0</v>
      </c>
      <c r="K2730" s="31">
        <f>'تقرير المصروفات حسب الشهر'!AA1065</f>
        <v>0</v>
      </c>
      <c r="L2730" s="292">
        <f>IFERROR(VLOOKUP(B2730,'تقرير المصروفات حسب الشهر'!$C$1143:$AD$1254,25,FALSE),0)</f>
        <v>0</v>
      </c>
      <c r="M2730" s="292">
        <f>IFERROR(VLOOKUP(B2730,'تقرير المصروفات حسب الشهر'!$C$1270:$AD$1381,25,FALSE),0)</f>
        <v>0</v>
      </c>
      <c r="N2730" s="31" t="e">
        <f>#REF!</f>
        <v>#REF!</v>
      </c>
      <c r="O2730" s="37" t="e">
        <f t="shared" si="69"/>
        <v>#REF!</v>
      </c>
    </row>
    <row r="2731" spans="2:15" ht="17.399999999999999">
      <c r="B2731" s="42" t="s">
        <v>76</v>
      </c>
      <c r="C2731" s="39" t="e">
        <f>#REF!</f>
        <v>#REF!</v>
      </c>
      <c r="D2731" s="31" t="e">
        <f>#REF!</f>
        <v>#REF!</v>
      </c>
      <c r="E2731" s="31" t="e">
        <f>#REF!</f>
        <v>#REF!</v>
      </c>
      <c r="F2731" s="31" t="e">
        <f>#REF!</f>
        <v>#REF!</v>
      </c>
      <c r="G2731" s="31" t="e">
        <f>#REF!</f>
        <v>#REF!</v>
      </c>
      <c r="H2731" s="31" t="e">
        <f>#REF!</f>
        <v>#REF!</v>
      </c>
      <c r="I2731" s="31">
        <f>'تقرير المصروفات حسب الشهر'!AA812</f>
        <v>0</v>
      </c>
      <c r="J2731" s="31">
        <f>'تقرير المصروفات حسب الشهر'!AA939</f>
        <v>0</v>
      </c>
      <c r="K2731" s="31">
        <f>'تقرير المصروفات حسب الشهر'!AA1066</f>
        <v>0</v>
      </c>
      <c r="L2731" s="292">
        <f>IFERROR(VLOOKUP(B2731,'تقرير المصروفات حسب الشهر'!$C$1143:$AD$1254,25,FALSE),0)</f>
        <v>0</v>
      </c>
      <c r="M2731" s="292">
        <f>IFERROR(VLOOKUP(B2731,'تقرير المصروفات حسب الشهر'!$C$1270:$AD$1381,25,FALSE),0)</f>
        <v>0</v>
      </c>
      <c r="N2731" s="31" t="e">
        <f>#REF!</f>
        <v>#REF!</v>
      </c>
      <c r="O2731" s="37" t="e">
        <f t="shared" si="69"/>
        <v>#REF!</v>
      </c>
    </row>
    <row r="2732" spans="2:15" ht="17.399999999999999">
      <c r="B2732" s="42" t="s">
        <v>77</v>
      </c>
      <c r="C2732" s="39" t="e">
        <f>#REF!</f>
        <v>#REF!</v>
      </c>
      <c r="D2732" s="31" t="e">
        <f>#REF!</f>
        <v>#REF!</v>
      </c>
      <c r="E2732" s="31" t="e">
        <f>#REF!</f>
        <v>#REF!</v>
      </c>
      <c r="F2732" s="31" t="e">
        <f>#REF!</f>
        <v>#REF!</v>
      </c>
      <c r="G2732" s="31" t="e">
        <f>#REF!</f>
        <v>#REF!</v>
      </c>
      <c r="H2732" s="31" t="e">
        <f>#REF!</f>
        <v>#REF!</v>
      </c>
      <c r="I2732" s="31">
        <f>'تقرير المصروفات حسب الشهر'!AA813</f>
        <v>0</v>
      </c>
      <c r="J2732" s="31">
        <f>'تقرير المصروفات حسب الشهر'!AA940</f>
        <v>0</v>
      </c>
      <c r="K2732" s="31">
        <f>'تقرير المصروفات حسب الشهر'!AA1067</f>
        <v>0</v>
      </c>
      <c r="L2732" s="292">
        <f>IFERROR(VLOOKUP(B2732,'تقرير المصروفات حسب الشهر'!$C$1143:$AD$1254,25,FALSE),0)</f>
        <v>0</v>
      </c>
      <c r="M2732" s="292">
        <f>IFERROR(VLOOKUP(B2732,'تقرير المصروفات حسب الشهر'!$C$1270:$AD$1381,25,FALSE),0)</f>
        <v>0</v>
      </c>
      <c r="N2732" s="31" t="e">
        <f>#REF!</f>
        <v>#REF!</v>
      </c>
      <c r="O2732" s="37" t="e">
        <f t="shared" si="69"/>
        <v>#REF!</v>
      </c>
    </row>
    <row r="2733" spans="2:15" ht="17.399999999999999">
      <c r="B2733" s="42" t="s">
        <v>78</v>
      </c>
      <c r="C2733" s="39" t="e">
        <f>#REF!</f>
        <v>#REF!</v>
      </c>
      <c r="D2733" s="31" t="e">
        <f>#REF!</f>
        <v>#REF!</v>
      </c>
      <c r="E2733" s="31" t="e">
        <f>#REF!</f>
        <v>#REF!</v>
      </c>
      <c r="F2733" s="31" t="e">
        <f>#REF!</f>
        <v>#REF!</v>
      </c>
      <c r="G2733" s="31" t="e">
        <f>#REF!</f>
        <v>#REF!</v>
      </c>
      <c r="H2733" s="31" t="e">
        <f>#REF!</f>
        <v>#REF!</v>
      </c>
      <c r="I2733" s="31">
        <f>'تقرير المصروفات حسب الشهر'!AA814</f>
        <v>0</v>
      </c>
      <c r="J2733" s="31">
        <f>'تقرير المصروفات حسب الشهر'!AA941</f>
        <v>0</v>
      </c>
      <c r="K2733" s="31">
        <f>'تقرير المصروفات حسب الشهر'!AA1068</f>
        <v>0</v>
      </c>
      <c r="L2733" s="292">
        <f>IFERROR(VLOOKUP(B2733,'تقرير المصروفات حسب الشهر'!$C$1143:$AD$1254,25,FALSE),0)</f>
        <v>0</v>
      </c>
      <c r="M2733" s="292">
        <f>IFERROR(VLOOKUP(B2733,'تقرير المصروفات حسب الشهر'!$C$1270:$AD$1381,25,FALSE),0)</f>
        <v>0</v>
      </c>
      <c r="N2733" s="31" t="e">
        <f>#REF!</f>
        <v>#REF!</v>
      </c>
      <c r="O2733" s="37" t="e">
        <f t="shared" si="69"/>
        <v>#REF!</v>
      </c>
    </row>
    <row r="2734" spans="2:15" ht="17.399999999999999">
      <c r="B2734" s="42" t="s">
        <v>79</v>
      </c>
      <c r="C2734" s="39" t="e">
        <f>#REF!</f>
        <v>#REF!</v>
      </c>
      <c r="D2734" s="31" t="e">
        <f>#REF!</f>
        <v>#REF!</v>
      </c>
      <c r="E2734" s="31" t="e">
        <f>#REF!</f>
        <v>#REF!</v>
      </c>
      <c r="F2734" s="31" t="e">
        <f>#REF!</f>
        <v>#REF!</v>
      </c>
      <c r="G2734" s="31" t="e">
        <f>#REF!</f>
        <v>#REF!</v>
      </c>
      <c r="H2734" s="31" t="e">
        <f>#REF!</f>
        <v>#REF!</v>
      </c>
      <c r="I2734" s="31">
        <f>'تقرير المصروفات حسب الشهر'!AA815</f>
        <v>0</v>
      </c>
      <c r="J2734" s="31">
        <f>'تقرير المصروفات حسب الشهر'!AA942</f>
        <v>0</v>
      </c>
      <c r="K2734" s="31">
        <f>'تقرير المصروفات حسب الشهر'!AA1069</f>
        <v>0</v>
      </c>
      <c r="L2734" s="292">
        <f>IFERROR(VLOOKUP(B2734,'تقرير المصروفات حسب الشهر'!$C$1143:$AD$1254,25,FALSE),0)</f>
        <v>0</v>
      </c>
      <c r="M2734" s="292">
        <f>IFERROR(VLOOKUP(B2734,'تقرير المصروفات حسب الشهر'!$C$1270:$AD$1381,25,FALSE),0)</f>
        <v>0</v>
      </c>
      <c r="N2734" s="31" t="e">
        <f>#REF!</f>
        <v>#REF!</v>
      </c>
      <c r="O2734" s="37" t="e">
        <f t="shared" si="69"/>
        <v>#REF!</v>
      </c>
    </row>
    <row r="2735" spans="2:15" ht="17.399999999999999">
      <c r="B2735" s="42" t="s">
        <v>80</v>
      </c>
      <c r="C2735" s="39" t="e">
        <f>#REF!</f>
        <v>#REF!</v>
      </c>
      <c r="D2735" s="31" t="e">
        <f>#REF!</f>
        <v>#REF!</v>
      </c>
      <c r="E2735" s="31" t="e">
        <f>#REF!</f>
        <v>#REF!</v>
      </c>
      <c r="F2735" s="31" t="e">
        <f>#REF!</f>
        <v>#REF!</v>
      </c>
      <c r="G2735" s="31" t="e">
        <f>#REF!</f>
        <v>#REF!</v>
      </c>
      <c r="H2735" s="31" t="e">
        <f>#REF!</f>
        <v>#REF!</v>
      </c>
      <c r="I2735" s="31">
        <f>'تقرير المصروفات حسب الشهر'!AA816</f>
        <v>0</v>
      </c>
      <c r="J2735" s="31">
        <f>'تقرير المصروفات حسب الشهر'!AA943</f>
        <v>0</v>
      </c>
      <c r="K2735" s="31">
        <f>'تقرير المصروفات حسب الشهر'!AA1070</f>
        <v>0</v>
      </c>
      <c r="L2735" s="292">
        <f>IFERROR(VLOOKUP(B2735,'تقرير المصروفات حسب الشهر'!$C$1143:$AD$1254,25,FALSE),0)</f>
        <v>0</v>
      </c>
      <c r="M2735" s="292">
        <f>IFERROR(VLOOKUP(B2735,'تقرير المصروفات حسب الشهر'!$C$1270:$AD$1381,25,FALSE),0)</f>
        <v>0</v>
      </c>
      <c r="N2735" s="31" t="e">
        <f>#REF!</f>
        <v>#REF!</v>
      </c>
      <c r="O2735" s="37" t="e">
        <f t="shared" si="69"/>
        <v>#REF!</v>
      </c>
    </row>
    <row r="2736" spans="2:15" ht="17.399999999999999">
      <c r="B2736" s="42" t="s">
        <v>81</v>
      </c>
      <c r="C2736" s="39" t="e">
        <f>#REF!</f>
        <v>#REF!</v>
      </c>
      <c r="D2736" s="31" t="e">
        <f>#REF!</f>
        <v>#REF!</v>
      </c>
      <c r="E2736" s="31" t="e">
        <f>#REF!</f>
        <v>#REF!</v>
      </c>
      <c r="F2736" s="31" t="e">
        <f>#REF!</f>
        <v>#REF!</v>
      </c>
      <c r="G2736" s="31" t="e">
        <f>#REF!</f>
        <v>#REF!</v>
      </c>
      <c r="H2736" s="31" t="e">
        <f>#REF!</f>
        <v>#REF!</v>
      </c>
      <c r="I2736" s="31">
        <f>'تقرير المصروفات حسب الشهر'!AA817</f>
        <v>0</v>
      </c>
      <c r="J2736" s="31">
        <f>'تقرير المصروفات حسب الشهر'!AA944</f>
        <v>0</v>
      </c>
      <c r="K2736" s="31">
        <f>'تقرير المصروفات حسب الشهر'!AA1071</f>
        <v>0</v>
      </c>
      <c r="L2736" s="292">
        <f>IFERROR(VLOOKUP(B2736,'تقرير المصروفات حسب الشهر'!$C$1143:$AD$1254,25,FALSE),0)</f>
        <v>0</v>
      </c>
      <c r="M2736" s="292">
        <f>IFERROR(VLOOKUP(B2736,'تقرير المصروفات حسب الشهر'!$C$1270:$AD$1381,25,FALSE),0)</f>
        <v>0</v>
      </c>
      <c r="N2736" s="31" t="e">
        <f>#REF!</f>
        <v>#REF!</v>
      </c>
      <c r="O2736" s="37" t="e">
        <f t="shared" si="69"/>
        <v>#REF!</v>
      </c>
    </row>
    <row r="2737" spans="2:15" ht="17.399999999999999">
      <c r="B2737" s="42" t="s">
        <v>82</v>
      </c>
      <c r="C2737" s="39" t="e">
        <f>#REF!</f>
        <v>#REF!</v>
      </c>
      <c r="D2737" s="31" t="e">
        <f>#REF!</f>
        <v>#REF!</v>
      </c>
      <c r="E2737" s="31" t="e">
        <f>#REF!</f>
        <v>#REF!</v>
      </c>
      <c r="F2737" s="31" t="e">
        <f>#REF!</f>
        <v>#REF!</v>
      </c>
      <c r="G2737" s="31" t="e">
        <f>#REF!</f>
        <v>#REF!</v>
      </c>
      <c r="H2737" s="31" t="e">
        <f>#REF!</f>
        <v>#REF!</v>
      </c>
      <c r="I2737" s="31">
        <f>'تقرير المصروفات حسب الشهر'!AA818</f>
        <v>0</v>
      </c>
      <c r="J2737" s="31">
        <f>'تقرير المصروفات حسب الشهر'!AA945</f>
        <v>0</v>
      </c>
      <c r="K2737" s="31">
        <f>'تقرير المصروفات حسب الشهر'!AA1072</f>
        <v>0</v>
      </c>
      <c r="L2737" s="292">
        <f>IFERROR(VLOOKUP(B2737,'تقرير المصروفات حسب الشهر'!$C$1143:$AD$1254,25,FALSE),0)</f>
        <v>0</v>
      </c>
      <c r="M2737" s="292">
        <f>IFERROR(VLOOKUP(B2737,'تقرير المصروفات حسب الشهر'!$C$1270:$AD$1381,25,FALSE),0)</f>
        <v>0</v>
      </c>
      <c r="N2737" s="31" t="e">
        <f>#REF!</f>
        <v>#REF!</v>
      </c>
      <c r="O2737" s="37" t="e">
        <f t="shared" si="69"/>
        <v>#REF!</v>
      </c>
    </row>
    <row r="2738" spans="2:15" ht="17.399999999999999">
      <c r="B2738" s="42" t="s">
        <v>83</v>
      </c>
      <c r="C2738" s="39" t="e">
        <f>#REF!</f>
        <v>#REF!</v>
      </c>
      <c r="D2738" s="31" t="e">
        <f>#REF!</f>
        <v>#REF!</v>
      </c>
      <c r="E2738" s="31" t="e">
        <f>#REF!</f>
        <v>#REF!</v>
      </c>
      <c r="F2738" s="31" t="e">
        <f>#REF!</f>
        <v>#REF!</v>
      </c>
      <c r="G2738" s="31" t="e">
        <f>#REF!</f>
        <v>#REF!</v>
      </c>
      <c r="H2738" s="31" t="e">
        <f>#REF!</f>
        <v>#REF!</v>
      </c>
      <c r="I2738" s="31">
        <f>'تقرير المصروفات حسب الشهر'!AA819</f>
        <v>0</v>
      </c>
      <c r="J2738" s="31">
        <f>'تقرير المصروفات حسب الشهر'!AA946</f>
        <v>0</v>
      </c>
      <c r="K2738" s="31">
        <f>'تقرير المصروفات حسب الشهر'!AA1073</f>
        <v>0</v>
      </c>
      <c r="L2738" s="292">
        <f>IFERROR(VLOOKUP(B2738,'تقرير المصروفات حسب الشهر'!$C$1143:$AD$1254,25,FALSE),0)</f>
        <v>0</v>
      </c>
      <c r="M2738" s="292">
        <f>IFERROR(VLOOKUP(B2738,'تقرير المصروفات حسب الشهر'!$C$1270:$AD$1381,25,FALSE),0)</f>
        <v>0</v>
      </c>
      <c r="N2738" s="31" t="e">
        <f>#REF!</f>
        <v>#REF!</v>
      </c>
      <c r="O2738" s="37" t="e">
        <f t="shared" si="69"/>
        <v>#REF!</v>
      </c>
    </row>
    <row r="2739" spans="2:15" ht="17.399999999999999">
      <c r="B2739" s="42" t="s">
        <v>84</v>
      </c>
      <c r="C2739" s="39" t="e">
        <f>#REF!</f>
        <v>#REF!</v>
      </c>
      <c r="D2739" s="31" t="e">
        <f>#REF!</f>
        <v>#REF!</v>
      </c>
      <c r="E2739" s="31" t="e">
        <f>#REF!</f>
        <v>#REF!</v>
      </c>
      <c r="F2739" s="31" t="e">
        <f>#REF!</f>
        <v>#REF!</v>
      </c>
      <c r="G2739" s="31" t="e">
        <f>#REF!</f>
        <v>#REF!</v>
      </c>
      <c r="H2739" s="31" t="e">
        <f>#REF!</f>
        <v>#REF!</v>
      </c>
      <c r="I2739" s="31">
        <f>'تقرير المصروفات حسب الشهر'!AA820</f>
        <v>0</v>
      </c>
      <c r="J2739" s="31">
        <f>'تقرير المصروفات حسب الشهر'!AA947</f>
        <v>0</v>
      </c>
      <c r="K2739" s="31">
        <f>'تقرير المصروفات حسب الشهر'!AA1074</f>
        <v>0</v>
      </c>
      <c r="L2739" s="292">
        <f>IFERROR(VLOOKUP(B2739,'تقرير المصروفات حسب الشهر'!$C$1143:$AD$1254,25,FALSE),0)</f>
        <v>0</v>
      </c>
      <c r="M2739" s="292">
        <f>IFERROR(VLOOKUP(B2739,'تقرير المصروفات حسب الشهر'!$C$1270:$AD$1381,25,FALSE),0)</f>
        <v>0</v>
      </c>
      <c r="N2739" s="31" t="e">
        <f>#REF!</f>
        <v>#REF!</v>
      </c>
      <c r="O2739" s="37" t="e">
        <f t="shared" si="69"/>
        <v>#REF!</v>
      </c>
    </row>
    <row r="2740" spans="2:15" ht="17.399999999999999">
      <c r="B2740" s="42" t="s">
        <v>85</v>
      </c>
      <c r="C2740" s="39" t="e">
        <f>#REF!</f>
        <v>#REF!</v>
      </c>
      <c r="D2740" s="31" t="e">
        <f>#REF!</f>
        <v>#REF!</v>
      </c>
      <c r="E2740" s="31" t="e">
        <f>#REF!</f>
        <v>#REF!</v>
      </c>
      <c r="F2740" s="31" t="e">
        <f>#REF!</f>
        <v>#REF!</v>
      </c>
      <c r="G2740" s="31" t="e">
        <f>#REF!</f>
        <v>#REF!</v>
      </c>
      <c r="H2740" s="31" t="e">
        <f>#REF!</f>
        <v>#REF!</v>
      </c>
      <c r="I2740" s="31">
        <f>'تقرير المصروفات حسب الشهر'!AA821</f>
        <v>0</v>
      </c>
      <c r="J2740" s="31">
        <f>'تقرير المصروفات حسب الشهر'!AA948</f>
        <v>300</v>
      </c>
      <c r="K2740" s="31">
        <f>'تقرير المصروفات حسب الشهر'!AA1075</f>
        <v>200</v>
      </c>
      <c r="L2740" s="292">
        <f>IFERROR(VLOOKUP(B2740,'تقرير المصروفات حسب الشهر'!$C$1143:$AD$1254,25,FALSE),0)</f>
        <v>200</v>
      </c>
      <c r="M2740" s="292">
        <f>IFERROR(VLOOKUP(B2740,'تقرير المصروفات حسب الشهر'!$C$1270:$AD$1381,25,FALSE),0)</f>
        <v>8585</v>
      </c>
      <c r="N2740" s="31" t="e">
        <f>#REF!</f>
        <v>#REF!</v>
      </c>
      <c r="O2740" s="37" t="e">
        <f t="shared" si="69"/>
        <v>#REF!</v>
      </c>
    </row>
    <row r="2741" spans="2:15" ht="17.399999999999999">
      <c r="B2741" s="42" t="s">
        <v>86</v>
      </c>
      <c r="C2741" s="39" t="e">
        <f>#REF!</f>
        <v>#REF!</v>
      </c>
      <c r="D2741" s="31" t="e">
        <f>#REF!</f>
        <v>#REF!</v>
      </c>
      <c r="E2741" s="31" t="e">
        <f>#REF!</f>
        <v>#REF!</v>
      </c>
      <c r="F2741" s="31" t="e">
        <f>#REF!</f>
        <v>#REF!</v>
      </c>
      <c r="G2741" s="31" t="e">
        <f>#REF!</f>
        <v>#REF!</v>
      </c>
      <c r="H2741" s="31" t="e">
        <f>#REF!</f>
        <v>#REF!</v>
      </c>
      <c r="I2741" s="31">
        <f>'تقرير المصروفات حسب الشهر'!AA822</f>
        <v>0</v>
      </c>
      <c r="J2741" s="31">
        <f>'تقرير المصروفات حسب الشهر'!AA949</f>
        <v>0</v>
      </c>
      <c r="K2741" s="31">
        <f>'تقرير المصروفات حسب الشهر'!AA1076</f>
        <v>0</v>
      </c>
      <c r="L2741" s="292">
        <f>IFERROR(VLOOKUP(B2741,'تقرير المصروفات حسب الشهر'!$C$1143:$AD$1254,25,FALSE),0)</f>
        <v>0</v>
      </c>
      <c r="M2741" s="292">
        <f>IFERROR(VLOOKUP(B2741,'تقرير المصروفات حسب الشهر'!$C$1270:$AD$1381,25,FALSE),0)</f>
        <v>0</v>
      </c>
      <c r="N2741" s="31" t="e">
        <f>#REF!</f>
        <v>#REF!</v>
      </c>
      <c r="O2741" s="37" t="e">
        <f t="shared" si="69"/>
        <v>#REF!</v>
      </c>
    </row>
    <row r="2742" spans="2:15" ht="17.399999999999999">
      <c r="B2742" s="42" t="s">
        <v>87</v>
      </c>
      <c r="C2742" s="39" t="e">
        <f>#REF!</f>
        <v>#REF!</v>
      </c>
      <c r="D2742" s="31" t="e">
        <f>#REF!</f>
        <v>#REF!</v>
      </c>
      <c r="E2742" s="31" t="e">
        <f>#REF!</f>
        <v>#REF!</v>
      </c>
      <c r="F2742" s="31" t="e">
        <f>#REF!</f>
        <v>#REF!</v>
      </c>
      <c r="G2742" s="31" t="e">
        <f>#REF!</f>
        <v>#REF!</v>
      </c>
      <c r="H2742" s="31" t="e">
        <f>#REF!</f>
        <v>#REF!</v>
      </c>
      <c r="I2742" s="31">
        <f>'تقرير المصروفات حسب الشهر'!AA823</f>
        <v>0</v>
      </c>
      <c r="J2742" s="31">
        <f>'تقرير المصروفات حسب الشهر'!AA950</f>
        <v>0</v>
      </c>
      <c r="K2742" s="31">
        <f>'تقرير المصروفات حسب الشهر'!AA1077</f>
        <v>0</v>
      </c>
      <c r="L2742" s="292">
        <f>IFERROR(VLOOKUP(B2742,'تقرير المصروفات حسب الشهر'!$C$1143:$AD$1254,25,FALSE),0)</f>
        <v>0</v>
      </c>
      <c r="M2742" s="292">
        <f>IFERROR(VLOOKUP(B2742,'تقرير المصروفات حسب الشهر'!$C$1270:$AD$1381,25,FALSE),0)</f>
        <v>0</v>
      </c>
      <c r="N2742" s="31" t="e">
        <f>#REF!</f>
        <v>#REF!</v>
      </c>
      <c r="O2742" s="37" t="e">
        <f t="shared" si="69"/>
        <v>#REF!</v>
      </c>
    </row>
    <row r="2743" spans="2:15" ht="17.399999999999999">
      <c r="B2743" s="42" t="s">
        <v>88</v>
      </c>
      <c r="C2743" s="39" t="e">
        <f>#REF!</f>
        <v>#REF!</v>
      </c>
      <c r="D2743" s="31" t="e">
        <f>#REF!</f>
        <v>#REF!</v>
      </c>
      <c r="E2743" s="31" t="e">
        <f>#REF!</f>
        <v>#REF!</v>
      </c>
      <c r="F2743" s="31" t="e">
        <f>#REF!</f>
        <v>#REF!</v>
      </c>
      <c r="G2743" s="31" t="e">
        <f>#REF!</f>
        <v>#REF!</v>
      </c>
      <c r="H2743" s="31" t="e">
        <f>#REF!</f>
        <v>#REF!</v>
      </c>
      <c r="I2743" s="31">
        <f>'تقرير المصروفات حسب الشهر'!AA824</f>
        <v>0</v>
      </c>
      <c r="J2743" s="31">
        <f>'تقرير المصروفات حسب الشهر'!AA951</f>
        <v>0</v>
      </c>
      <c r="K2743" s="31">
        <f>'تقرير المصروفات حسب الشهر'!AA1078</f>
        <v>0</v>
      </c>
      <c r="L2743" s="292">
        <f>IFERROR(VLOOKUP(B2743,'تقرير المصروفات حسب الشهر'!$C$1143:$AD$1254,25,FALSE),0)</f>
        <v>0</v>
      </c>
      <c r="M2743" s="292">
        <f>IFERROR(VLOOKUP(B2743,'تقرير المصروفات حسب الشهر'!$C$1270:$AD$1381,25,FALSE),0)</f>
        <v>0</v>
      </c>
      <c r="N2743" s="31" t="e">
        <f>#REF!</f>
        <v>#REF!</v>
      </c>
      <c r="O2743" s="37" t="e">
        <f t="shared" si="69"/>
        <v>#REF!</v>
      </c>
    </row>
    <row r="2744" spans="2:15" ht="17.399999999999999">
      <c r="B2744" s="42" t="s">
        <v>89</v>
      </c>
      <c r="C2744" s="39" t="e">
        <f>#REF!</f>
        <v>#REF!</v>
      </c>
      <c r="D2744" s="31" t="e">
        <f>#REF!</f>
        <v>#REF!</v>
      </c>
      <c r="E2744" s="31" t="e">
        <f>#REF!</f>
        <v>#REF!</v>
      </c>
      <c r="F2744" s="31" t="e">
        <f>#REF!</f>
        <v>#REF!</v>
      </c>
      <c r="G2744" s="31" t="e">
        <f>#REF!</f>
        <v>#REF!</v>
      </c>
      <c r="H2744" s="31" t="e">
        <f>#REF!</f>
        <v>#REF!</v>
      </c>
      <c r="I2744" s="31">
        <f>'تقرير المصروفات حسب الشهر'!AA825</f>
        <v>0</v>
      </c>
      <c r="J2744" s="31">
        <f>'تقرير المصروفات حسب الشهر'!AA952</f>
        <v>0</v>
      </c>
      <c r="K2744" s="31">
        <f>'تقرير المصروفات حسب الشهر'!AA1079</f>
        <v>0</v>
      </c>
      <c r="L2744" s="292">
        <f>IFERROR(VLOOKUP(B2744,'تقرير المصروفات حسب الشهر'!$C$1143:$AD$1254,25,FALSE),0)</f>
        <v>0</v>
      </c>
      <c r="M2744" s="292">
        <f>IFERROR(VLOOKUP(B2744,'تقرير المصروفات حسب الشهر'!$C$1270:$AD$1381,25,FALSE),0)</f>
        <v>0</v>
      </c>
      <c r="N2744" s="31" t="e">
        <f>#REF!</f>
        <v>#REF!</v>
      </c>
      <c r="O2744" s="37" t="e">
        <f t="shared" si="69"/>
        <v>#REF!</v>
      </c>
    </row>
    <row r="2745" spans="2:15" ht="17.399999999999999">
      <c r="B2745" s="42" t="s">
        <v>33</v>
      </c>
      <c r="C2745" s="39" t="e">
        <f>#REF!</f>
        <v>#REF!</v>
      </c>
      <c r="D2745" s="31" t="e">
        <f>#REF!</f>
        <v>#REF!</v>
      </c>
      <c r="E2745" s="31" t="e">
        <f>#REF!</f>
        <v>#REF!</v>
      </c>
      <c r="F2745" s="31" t="e">
        <f>#REF!</f>
        <v>#REF!</v>
      </c>
      <c r="G2745" s="31" t="e">
        <f>#REF!</f>
        <v>#REF!</v>
      </c>
      <c r="H2745" s="31" t="e">
        <f>#REF!</f>
        <v>#REF!</v>
      </c>
      <c r="I2745" s="31">
        <f>'تقرير المصروفات حسب الشهر'!AA826</f>
        <v>979</v>
      </c>
      <c r="J2745" s="31">
        <f>'تقرير المصروفات حسب الشهر'!AA953</f>
        <v>0</v>
      </c>
      <c r="K2745" s="31">
        <f>'تقرير المصروفات حسب الشهر'!AA1080</f>
        <v>0</v>
      </c>
      <c r="L2745" s="292">
        <f>IFERROR(VLOOKUP(B2745,'تقرير المصروفات حسب الشهر'!$C$1143:$AD$1254,25,FALSE),0)</f>
        <v>1075.76</v>
      </c>
      <c r="M2745" s="292">
        <f>IFERROR(VLOOKUP(B2745,'تقرير المصروفات حسب الشهر'!$C$1270:$AD$1381,25,FALSE),0)</f>
        <v>2207.5700000000002</v>
      </c>
      <c r="N2745" s="31" t="e">
        <f>#REF!</f>
        <v>#REF!</v>
      </c>
      <c r="O2745" s="37" t="e">
        <f t="shared" si="69"/>
        <v>#REF!</v>
      </c>
    </row>
    <row r="2746" spans="2:15" ht="17.399999999999999">
      <c r="B2746" s="42" t="s">
        <v>90</v>
      </c>
      <c r="C2746" s="39" t="e">
        <f>#REF!</f>
        <v>#REF!</v>
      </c>
      <c r="D2746" s="31" t="e">
        <f>#REF!</f>
        <v>#REF!</v>
      </c>
      <c r="E2746" s="31" t="e">
        <f>#REF!</f>
        <v>#REF!</v>
      </c>
      <c r="F2746" s="31" t="e">
        <f>#REF!</f>
        <v>#REF!</v>
      </c>
      <c r="G2746" s="31" t="e">
        <f>#REF!</f>
        <v>#REF!</v>
      </c>
      <c r="H2746" s="31" t="e">
        <f>#REF!</f>
        <v>#REF!</v>
      </c>
      <c r="I2746" s="31">
        <f>'تقرير المصروفات حسب الشهر'!AA827</f>
        <v>0</v>
      </c>
      <c r="J2746" s="31">
        <f>'تقرير المصروفات حسب الشهر'!AA954</f>
        <v>0</v>
      </c>
      <c r="K2746" s="31">
        <f>'تقرير المصروفات حسب الشهر'!AA1081</f>
        <v>0</v>
      </c>
      <c r="L2746" s="292">
        <f>IFERROR(VLOOKUP(B2746,'تقرير المصروفات حسب الشهر'!$C$1143:$AD$1254,25,FALSE),0)</f>
        <v>0</v>
      </c>
      <c r="M2746" s="292">
        <f>IFERROR(VLOOKUP(B2746,'تقرير المصروفات حسب الشهر'!$C$1270:$AD$1381,25,FALSE),0)</f>
        <v>0</v>
      </c>
      <c r="N2746" s="31" t="e">
        <f>#REF!</f>
        <v>#REF!</v>
      </c>
      <c r="O2746" s="37" t="e">
        <f t="shared" si="69"/>
        <v>#REF!</v>
      </c>
    </row>
    <row r="2747" spans="2:15" ht="17.399999999999999">
      <c r="B2747" s="42" t="s">
        <v>91</v>
      </c>
      <c r="C2747" s="39" t="e">
        <f>#REF!</f>
        <v>#REF!</v>
      </c>
      <c r="D2747" s="31" t="e">
        <f>#REF!</f>
        <v>#REF!</v>
      </c>
      <c r="E2747" s="31" t="e">
        <f>#REF!</f>
        <v>#REF!</v>
      </c>
      <c r="F2747" s="31" t="e">
        <f>#REF!</f>
        <v>#REF!</v>
      </c>
      <c r="G2747" s="31" t="e">
        <f>#REF!</f>
        <v>#REF!</v>
      </c>
      <c r="H2747" s="31" t="e">
        <f>#REF!</f>
        <v>#REF!</v>
      </c>
      <c r="I2747" s="31">
        <f>'تقرير المصروفات حسب الشهر'!AA828</f>
        <v>0</v>
      </c>
      <c r="J2747" s="31">
        <f>'تقرير المصروفات حسب الشهر'!AA955</f>
        <v>0</v>
      </c>
      <c r="K2747" s="31">
        <f>'تقرير المصروفات حسب الشهر'!AA1082</f>
        <v>0</v>
      </c>
      <c r="L2747" s="292">
        <f>IFERROR(VLOOKUP(B2747,'تقرير المصروفات حسب الشهر'!$C$1143:$AD$1254,25,FALSE),0)</f>
        <v>0</v>
      </c>
      <c r="M2747" s="292">
        <f>IFERROR(VLOOKUP(B2747,'تقرير المصروفات حسب الشهر'!$C$1270:$AD$1381,25,FALSE),0)</f>
        <v>0</v>
      </c>
      <c r="N2747" s="31" t="e">
        <f>#REF!</f>
        <v>#REF!</v>
      </c>
      <c r="O2747" s="37" t="e">
        <f t="shared" ref="O2747:O2790" si="70">SUM(C2747:N2747)</f>
        <v>#REF!</v>
      </c>
    </row>
    <row r="2748" spans="2:15" ht="17.399999999999999">
      <c r="B2748" s="42" t="s">
        <v>92</v>
      </c>
      <c r="C2748" s="39" t="e">
        <f>#REF!</f>
        <v>#REF!</v>
      </c>
      <c r="D2748" s="31" t="e">
        <f>#REF!</f>
        <v>#REF!</v>
      </c>
      <c r="E2748" s="31" t="e">
        <f>#REF!</f>
        <v>#REF!</v>
      </c>
      <c r="F2748" s="31" t="e">
        <f>#REF!</f>
        <v>#REF!</v>
      </c>
      <c r="G2748" s="31" t="e">
        <f>#REF!</f>
        <v>#REF!</v>
      </c>
      <c r="H2748" s="31" t="e">
        <f>#REF!</f>
        <v>#REF!</v>
      </c>
      <c r="I2748" s="31">
        <f>'تقرير المصروفات حسب الشهر'!AA829</f>
        <v>0</v>
      </c>
      <c r="J2748" s="31">
        <f>'تقرير المصروفات حسب الشهر'!AA956</f>
        <v>0</v>
      </c>
      <c r="K2748" s="31">
        <f>'تقرير المصروفات حسب الشهر'!AA1083</f>
        <v>0</v>
      </c>
      <c r="L2748" s="292">
        <f>IFERROR(VLOOKUP(B2748,'تقرير المصروفات حسب الشهر'!$C$1143:$AD$1254,25,FALSE),0)</f>
        <v>0</v>
      </c>
      <c r="M2748" s="292">
        <f>IFERROR(VLOOKUP(B2748,'تقرير المصروفات حسب الشهر'!$C$1270:$AD$1381,25,FALSE),0)</f>
        <v>0</v>
      </c>
      <c r="N2748" s="31" t="e">
        <f>#REF!</f>
        <v>#REF!</v>
      </c>
      <c r="O2748" s="37" t="e">
        <f t="shared" si="70"/>
        <v>#REF!</v>
      </c>
    </row>
    <row r="2749" spans="2:15" ht="17.399999999999999">
      <c r="B2749" s="42" t="s">
        <v>93</v>
      </c>
      <c r="C2749" s="39" t="e">
        <f>#REF!</f>
        <v>#REF!</v>
      </c>
      <c r="D2749" s="31" t="e">
        <f>#REF!</f>
        <v>#REF!</v>
      </c>
      <c r="E2749" s="31" t="e">
        <f>#REF!</f>
        <v>#REF!</v>
      </c>
      <c r="F2749" s="31" t="e">
        <f>#REF!</f>
        <v>#REF!</v>
      </c>
      <c r="G2749" s="31" t="e">
        <f>#REF!</f>
        <v>#REF!</v>
      </c>
      <c r="H2749" s="31" t="e">
        <f>#REF!</f>
        <v>#REF!</v>
      </c>
      <c r="I2749" s="31">
        <f>'تقرير المصروفات حسب الشهر'!AA830</f>
        <v>0</v>
      </c>
      <c r="J2749" s="31">
        <f>'تقرير المصروفات حسب الشهر'!AA957</f>
        <v>0</v>
      </c>
      <c r="K2749" s="31">
        <f>'تقرير المصروفات حسب الشهر'!AA1084</f>
        <v>0</v>
      </c>
      <c r="L2749" s="292">
        <f>IFERROR(VLOOKUP(B2749,'تقرير المصروفات حسب الشهر'!$C$1143:$AD$1254,25,FALSE),0)</f>
        <v>0</v>
      </c>
      <c r="M2749" s="292">
        <f>IFERROR(VLOOKUP(B2749,'تقرير المصروفات حسب الشهر'!$C$1270:$AD$1381,25,FALSE),0)</f>
        <v>0</v>
      </c>
      <c r="N2749" s="31" t="e">
        <f>#REF!</f>
        <v>#REF!</v>
      </c>
      <c r="O2749" s="37" t="e">
        <f t="shared" si="70"/>
        <v>#REF!</v>
      </c>
    </row>
    <row r="2750" spans="2:15" ht="17.399999999999999">
      <c r="B2750" s="42" t="s">
        <v>94</v>
      </c>
      <c r="C2750" s="39" t="e">
        <f>#REF!</f>
        <v>#REF!</v>
      </c>
      <c r="D2750" s="31" t="e">
        <f>#REF!</f>
        <v>#REF!</v>
      </c>
      <c r="E2750" s="31" t="e">
        <f>#REF!</f>
        <v>#REF!</v>
      </c>
      <c r="F2750" s="31" t="e">
        <f>#REF!</f>
        <v>#REF!</v>
      </c>
      <c r="G2750" s="31" t="e">
        <f>#REF!</f>
        <v>#REF!</v>
      </c>
      <c r="H2750" s="31" t="e">
        <f>#REF!</f>
        <v>#REF!</v>
      </c>
      <c r="I2750" s="31">
        <f>'تقرير المصروفات حسب الشهر'!AA831</f>
        <v>110</v>
      </c>
      <c r="J2750" s="31">
        <f>'تقرير المصروفات حسب الشهر'!AA958</f>
        <v>0</v>
      </c>
      <c r="K2750" s="31">
        <f>'تقرير المصروفات حسب الشهر'!AA1085</f>
        <v>0</v>
      </c>
      <c r="L2750" s="292">
        <f>IFERROR(VLOOKUP(B2750,'تقرير المصروفات حسب الشهر'!$C$1143:$AD$1254,25,FALSE),0)</f>
        <v>0</v>
      </c>
      <c r="M2750" s="292">
        <f>IFERROR(VLOOKUP(B2750,'تقرير المصروفات حسب الشهر'!$C$1270:$AD$1381,25,FALSE),0)</f>
        <v>0</v>
      </c>
      <c r="N2750" s="31" t="e">
        <f>#REF!</f>
        <v>#REF!</v>
      </c>
      <c r="O2750" s="37" t="e">
        <f t="shared" si="70"/>
        <v>#REF!</v>
      </c>
    </row>
    <row r="2751" spans="2:15" ht="17.399999999999999">
      <c r="B2751" s="42" t="s">
        <v>95</v>
      </c>
      <c r="C2751" s="39" t="e">
        <f>#REF!</f>
        <v>#REF!</v>
      </c>
      <c r="D2751" s="31" t="e">
        <f>#REF!</f>
        <v>#REF!</v>
      </c>
      <c r="E2751" s="31" t="e">
        <f>#REF!</f>
        <v>#REF!</v>
      </c>
      <c r="F2751" s="31" t="e">
        <f>#REF!</f>
        <v>#REF!</v>
      </c>
      <c r="G2751" s="31" t="e">
        <f>#REF!</f>
        <v>#REF!</v>
      </c>
      <c r="H2751" s="31" t="e">
        <f>#REF!</f>
        <v>#REF!</v>
      </c>
      <c r="I2751" s="31">
        <f>'تقرير المصروفات حسب الشهر'!AA832</f>
        <v>0</v>
      </c>
      <c r="J2751" s="31">
        <f>'تقرير المصروفات حسب الشهر'!AA959</f>
        <v>0</v>
      </c>
      <c r="K2751" s="31">
        <f>'تقرير المصروفات حسب الشهر'!AA1086</f>
        <v>0</v>
      </c>
      <c r="L2751" s="292">
        <f>IFERROR(VLOOKUP(B2751,'تقرير المصروفات حسب الشهر'!$C$1143:$AD$1254,25,FALSE),0)</f>
        <v>0</v>
      </c>
      <c r="M2751" s="292">
        <f>IFERROR(VLOOKUP(B2751,'تقرير المصروفات حسب الشهر'!$C$1270:$AD$1381,25,FALSE),0)</f>
        <v>0</v>
      </c>
      <c r="N2751" s="31" t="e">
        <f>#REF!</f>
        <v>#REF!</v>
      </c>
      <c r="O2751" s="37" t="e">
        <f t="shared" si="70"/>
        <v>#REF!</v>
      </c>
    </row>
    <row r="2752" spans="2:15" ht="17.399999999999999">
      <c r="B2752" s="42" t="s">
        <v>96</v>
      </c>
      <c r="C2752" s="39" t="e">
        <f>#REF!</f>
        <v>#REF!</v>
      </c>
      <c r="D2752" s="31" t="e">
        <f>#REF!</f>
        <v>#REF!</v>
      </c>
      <c r="E2752" s="31" t="e">
        <f>#REF!</f>
        <v>#REF!</v>
      </c>
      <c r="F2752" s="31" t="e">
        <f>#REF!</f>
        <v>#REF!</v>
      </c>
      <c r="G2752" s="31" t="e">
        <f>#REF!</f>
        <v>#REF!</v>
      </c>
      <c r="H2752" s="31" t="e">
        <f>#REF!</f>
        <v>#REF!</v>
      </c>
      <c r="I2752" s="31">
        <f>'تقرير المصروفات حسب الشهر'!AA833</f>
        <v>668</v>
      </c>
      <c r="J2752" s="31">
        <f>'تقرير المصروفات حسب الشهر'!AA960</f>
        <v>0</v>
      </c>
      <c r="K2752" s="31">
        <f>'تقرير المصروفات حسب الشهر'!AA1087</f>
        <v>0</v>
      </c>
      <c r="L2752" s="292">
        <f>IFERROR(VLOOKUP(B2752,'تقرير المصروفات حسب الشهر'!$C$1143:$AD$1254,25,FALSE),0)</f>
        <v>0</v>
      </c>
      <c r="M2752" s="292">
        <f>IFERROR(VLOOKUP(B2752,'تقرير المصروفات حسب الشهر'!$C$1270:$AD$1381,25,FALSE),0)</f>
        <v>0</v>
      </c>
      <c r="N2752" s="31" t="e">
        <f>#REF!</f>
        <v>#REF!</v>
      </c>
      <c r="O2752" s="37" t="e">
        <f t="shared" si="70"/>
        <v>#REF!</v>
      </c>
    </row>
    <row r="2753" spans="2:15" ht="17.399999999999999">
      <c r="B2753" s="42" t="s">
        <v>97</v>
      </c>
      <c r="C2753" s="39" t="e">
        <f>#REF!</f>
        <v>#REF!</v>
      </c>
      <c r="D2753" s="31" t="e">
        <f>#REF!</f>
        <v>#REF!</v>
      </c>
      <c r="E2753" s="31" t="e">
        <f>#REF!</f>
        <v>#REF!</v>
      </c>
      <c r="F2753" s="31" t="e">
        <f>#REF!</f>
        <v>#REF!</v>
      </c>
      <c r="G2753" s="31" t="e">
        <f>#REF!</f>
        <v>#REF!</v>
      </c>
      <c r="H2753" s="31" t="e">
        <f>#REF!</f>
        <v>#REF!</v>
      </c>
      <c r="I2753" s="31">
        <f>'تقرير المصروفات حسب الشهر'!AA834</f>
        <v>400.96</v>
      </c>
      <c r="J2753" s="31">
        <f>'تقرير المصروفات حسب الشهر'!AA961</f>
        <v>400.96</v>
      </c>
      <c r="K2753" s="31">
        <f>'تقرير المصروفات حسب الشهر'!AA1088</f>
        <v>400.96</v>
      </c>
      <c r="L2753" s="292">
        <f>IFERROR(VLOOKUP(B2753,'تقرير المصروفات حسب الشهر'!$C$1143:$AD$1254,25,FALSE),0)</f>
        <v>400.96</v>
      </c>
      <c r="M2753" s="292">
        <f>IFERROR(VLOOKUP(B2753,'تقرير المصروفات حسب الشهر'!$C$1270:$AD$1381,25,FALSE),0)</f>
        <v>400.96</v>
      </c>
      <c r="N2753" s="31" t="e">
        <f>#REF!</f>
        <v>#REF!</v>
      </c>
      <c r="O2753" s="37" t="e">
        <f t="shared" si="70"/>
        <v>#REF!</v>
      </c>
    </row>
    <row r="2754" spans="2:15" ht="17.399999999999999">
      <c r="B2754" s="42" t="s">
        <v>192</v>
      </c>
      <c r="C2754" s="39" t="e">
        <f>#REF!</f>
        <v>#REF!</v>
      </c>
      <c r="D2754" s="31" t="e">
        <f>#REF!</f>
        <v>#REF!</v>
      </c>
      <c r="E2754" s="31" t="e">
        <f>#REF!</f>
        <v>#REF!</v>
      </c>
      <c r="F2754" s="31" t="e">
        <f>#REF!</f>
        <v>#REF!</v>
      </c>
      <c r="G2754" s="31" t="e">
        <f>#REF!</f>
        <v>#REF!</v>
      </c>
      <c r="H2754" s="31" t="e">
        <f>#REF!</f>
        <v>#REF!</v>
      </c>
      <c r="I2754" s="31">
        <f>'تقرير المصروفات حسب الشهر'!AA835</f>
        <v>0</v>
      </c>
      <c r="J2754" s="31">
        <f>'تقرير المصروفات حسب الشهر'!AA962</f>
        <v>0</v>
      </c>
      <c r="K2754" s="31">
        <f>'تقرير المصروفات حسب الشهر'!AA1089</f>
        <v>2130</v>
      </c>
      <c r="L2754" s="292">
        <f>IFERROR(VLOOKUP(B2754,'تقرير المصروفات حسب الشهر'!$C$1143:$AD$1254,25,FALSE),0)</f>
        <v>1065</v>
      </c>
      <c r="M2754" s="292">
        <f>IFERROR(VLOOKUP(B2754,'تقرير المصروفات حسب الشهر'!$C$1270:$AD$1381,25,FALSE),0)</f>
        <v>1065</v>
      </c>
      <c r="N2754" s="31" t="e">
        <f>#REF!</f>
        <v>#REF!</v>
      </c>
      <c r="O2754" s="37" t="e">
        <f t="shared" si="70"/>
        <v>#REF!</v>
      </c>
    </row>
    <row r="2755" spans="2:15" ht="17.399999999999999">
      <c r="B2755" s="42" t="s">
        <v>98</v>
      </c>
      <c r="C2755" s="39" t="e">
        <f>#REF!</f>
        <v>#REF!</v>
      </c>
      <c r="D2755" s="31" t="e">
        <f>#REF!</f>
        <v>#REF!</v>
      </c>
      <c r="E2755" s="31" t="e">
        <f>#REF!</f>
        <v>#REF!</v>
      </c>
      <c r="F2755" s="31" t="e">
        <f>#REF!</f>
        <v>#REF!</v>
      </c>
      <c r="G2755" s="31" t="e">
        <f>#REF!</f>
        <v>#REF!</v>
      </c>
      <c r="H2755" s="31" t="e">
        <f>#REF!</f>
        <v>#REF!</v>
      </c>
      <c r="I2755" s="31">
        <f>'تقرير المصروفات حسب الشهر'!AA836</f>
        <v>0</v>
      </c>
      <c r="J2755" s="31">
        <f>'تقرير المصروفات حسب الشهر'!AA963</f>
        <v>0</v>
      </c>
      <c r="K2755" s="31">
        <f>'تقرير المصروفات حسب الشهر'!AA1090</f>
        <v>0</v>
      </c>
      <c r="L2755" s="292">
        <f>IFERROR(VLOOKUP(B2755,'تقرير المصروفات حسب الشهر'!$C$1143:$AD$1254,25,FALSE),0)</f>
        <v>0</v>
      </c>
      <c r="M2755" s="292">
        <f>IFERROR(VLOOKUP(B2755,'تقرير المصروفات حسب الشهر'!$C$1270:$AD$1381,25,FALSE),0)</f>
        <v>0</v>
      </c>
      <c r="N2755" s="31" t="e">
        <f>#REF!</f>
        <v>#REF!</v>
      </c>
      <c r="O2755" s="37" t="e">
        <f t="shared" si="70"/>
        <v>#REF!</v>
      </c>
    </row>
    <row r="2756" spans="2:15" ht="17.399999999999999">
      <c r="B2756" s="42" t="s">
        <v>99</v>
      </c>
      <c r="C2756" s="39" t="e">
        <f>#REF!</f>
        <v>#REF!</v>
      </c>
      <c r="D2756" s="31" t="e">
        <f>#REF!</f>
        <v>#REF!</v>
      </c>
      <c r="E2756" s="31" t="e">
        <f>#REF!</f>
        <v>#REF!</v>
      </c>
      <c r="F2756" s="31" t="e">
        <f>#REF!</f>
        <v>#REF!</v>
      </c>
      <c r="G2756" s="31" t="e">
        <f>#REF!</f>
        <v>#REF!</v>
      </c>
      <c r="H2756" s="31" t="e">
        <f>#REF!</f>
        <v>#REF!</v>
      </c>
      <c r="I2756" s="31">
        <f>'تقرير المصروفات حسب الشهر'!AA837</f>
        <v>0</v>
      </c>
      <c r="J2756" s="31">
        <f>'تقرير المصروفات حسب الشهر'!AA964</f>
        <v>0</v>
      </c>
      <c r="K2756" s="31">
        <f>'تقرير المصروفات حسب الشهر'!AA1091</f>
        <v>0</v>
      </c>
      <c r="L2756" s="292">
        <f>IFERROR(VLOOKUP(B2756,'تقرير المصروفات حسب الشهر'!$C$1143:$AD$1254,25,FALSE),0)</f>
        <v>0</v>
      </c>
      <c r="M2756" s="292">
        <f>IFERROR(VLOOKUP(B2756,'تقرير المصروفات حسب الشهر'!$C$1270:$AD$1381,25,FALSE),0)</f>
        <v>0</v>
      </c>
      <c r="N2756" s="31" t="e">
        <f>#REF!</f>
        <v>#REF!</v>
      </c>
      <c r="O2756" s="37" t="e">
        <f t="shared" si="70"/>
        <v>#REF!</v>
      </c>
    </row>
    <row r="2757" spans="2:15" ht="17.399999999999999">
      <c r="B2757" s="42" t="s">
        <v>100</v>
      </c>
      <c r="C2757" s="39" t="e">
        <f>#REF!</f>
        <v>#REF!</v>
      </c>
      <c r="D2757" s="31" t="e">
        <f>#REF!</f>
        <v>#REF!</v>
      </c>
      <c r="E2757" s="31" t="e">
        <f>#REF!</f>
        <v>#REF!</v>
      </c>
      <c r="F2757" s="31" t="e">
        <f>#REF!</f>
        <v>#REF!</v>
      </c>
      <c r="G2757" s="31" t="e">
        <f>#REF!</f>
        <v>#REF!</v>
      </c>
      <c r="H2757" s="31" t="e">
        <f>#REF!</f>
        <v>#REF!</v>
      </c>
      <c r="I2757" s="31">
        <f>'تقرير المصروفات حسب الشهر'!AA838</f>
        <v>176.5</v>
      </c>
      <c r="J2757" s="31">
        <f>'تقرير المصروفات حسب الشهر'!AA965</f>
        <v>176.5</v>
      </c>
      <c r="K2757" s="31">
        <f>'تقرير المصروفات حسب الشهر'!AA1092</f>
        <v>176.5</v>
      </c>
      <c r="L2757" s="292">
        <f>IFERROR(VLOOKUP(B2757,'تقرير المصروفات حسب الشهر'!$C$1143:$AD$1254,25,FALSE),0)</f>
        <v>176.5</v>
      </c>
      <c r="M2757" s="292">
        <f>IFERROR(VLOOKUP(B2757,'تقرير المصروفات حسب الشهر'!$C$1270:$AD$1381,25,FALSE),0)</f>
        <v>176.46</v>
      </c>
      <c r="N2757" s="31" t="e">
        <f>#REF!</f>
        <v>#REF!</v>
      </c>
      <c r="O2757" s="37" t="e">
        <f t="shared" si="70"/>
        <v>#REF!</v>
      </c>
    </row>
    <row r="2758" spans="2:15" ht="17.399999999999999">
      <c r="B2758" s="42" t="s">
        <v>101</v>
      </c>
      <c r="C2758" s="39" t="e">
        <f>#REF!</f>
        <v>#REF!</v>
      </c>
      <c r="D2758" s="31" t="e">
        <f>#REF!</f>
        <v>#REF!</v>
      </c>
      <c r="E2758" s="31" t="e">
        <f>#REF!</f>
        <v>#REF!</v>
      </c>
      <c r="F2758" s="31" t="e">
        <f>#REF!</f>
        <v>#REF!</v>
      </c>
      <c r="G2758" s="31" t="e">
        <f>#REF!</f>
        <v>#REF!</v>
      </c>
      <c r="H2758" s="31" t="e">
        <f>#REF!</f>
        <v>#REF!</v>
      </c>
      <c r="I2758" s="31">
        <f>'تقرير المصروفات حسب الشهر'!AA839</f>
        <v>0</v>
      </c>
      <c r="J2758" s="31">
        <f>'تقرير المصروفات حسب الشهر'!AA966</f>
        <v>0</v>
      </c>
      <c r="K2758" s="31">
        <f>'تقرير المصروفات حسب الشهر'!AA1093</f>
        <v>0</v>
      </c>
      <c r="L2758" s="292">
        <f>IFERROR(VLOOKUP(B2758,'تقرير المصروفات حسب الشهر'!$C$1143:$AD$1254,25,FALSE),0)</f>
        <v>0</v>
      </c>
      <c r="M2758" s="292">
        <f>IFERROR(VLOOKUP(B2758,'تقرير المصروفات حسب الشهر'!$C$1270:$AD$1381,25,FALSE),0)</f>
        <v>0</v>
      </c>
      <c r="N2758" s="31" t="e">
        <f>#REF!</f>
        <v>#REF!</v>
      </c>
      <c r="O2758" s="37" t="e">
        <f t="shared" si="70"/>
        <v>#REF!</v>
      </c>
    </row>
    <row r="2759" spans="2:15" ht="17.399999999999999">
      <c r="B2759" s="42" t="s">
        <v>102</v>
      </c>
      <c r="C2759" s="39" t="e">
        <f>#REF!</f>
        <v>#REF!</v>
      </c>
      <c r="D2759" s="31" t="e">
        <f>#REF!</f>
        <v>#REF!</v>
      </c>
      <c r="E2759" s="31" t="e">
        <f>#REF!</f>
        <v>#REF!</v>
      </c>
      <c r="F2759" s="31" t="e">
        <f>#REF!</f>
        <v>#REF!</v>
      </c>
      <c r="G2759" s="31" t="e">
        <f>#REF!</f>
        <v>#REF!</v>
      </c>
      <c r="H2759" s="31" t="e">
        <f>#REF!</f>
        <v>#REF!</v>
      </c>
      <c r="I2759" s="31">
        <f>'تقرير المصروفات حسب الشهر'!AA840</f>
        <v>168.76</v>
      </c>
      <c r="J2759" s="31">
        <f>'تقرير المصروفات حسب الشهر'!AA967</f>
        <v>112.04</v>
      </c>
      <c r="K2759" s="31">
        <f>'تقرير المصروفات حسب الشهر'!AA1094</f>
        <v>0</v>
      </c>
      <c r="L2759" s="292">
        <f>IFERROR(VLOOKUP(B2759,'تقرير المصروفات حسب الشهر'!$C$1143:$AD$1254,25,FALSE),0)</f>
        <v>0</v>
      </c>
      <c r="M2759" s="292">
        <f>IFERROR(VLOOKUP(B2759,'تقرير المصروفات حسب الشهر'!$C$1270:$AD$1381,25,FALSE),0)</f>
        <v>0</v>
      </c>
      <c r="N2759" s="31" t="e">
        <f>#REF!</f>
        <v>#REF!</v>
      </c>
      <c r="O2759" s="37" t="e">
        <f t="shared" si="70"/>
        <v>#REF!</v>
      </c>
    </row>
    <row r="2760" spans="2:15" ht="17.399999999999999">
      <c r="B2760" s="42" t="s">
        <v>103</v>
      </c>
      <c r="C2760" s="39" t="e">
        <f>#REF!</f>
        <v>#REF!</v>
      </c>
      <c r="D2760" s="31" t="e">
        <f>#REF!</f>
        <v>#REF!</v>
      </c>
      <c r="E2760" s="31" t="e">
        <f>#REF!</f>
        <v>#REF!</v>
      </c>
      <c r="F2760" s="31" t="e">
        <f>#REF!</f>
        <v>#REF!</v>
      </c>
      <c r="G2760" s="31" t="e">
        <f>#REF!</f>
        <v>#REF!</v>
      </c>
      <c r="H2760" s="31" t="e">
        <f>#REF!</f>
        <v>#REF!</v>
      </c>
      <c r="I2760" s="31">
        <f>'تقرير المصروفات حسب الشهر'!AA841</f>
        <v>331.54</v>
      </c>
      <c r="J2760" s="31">
        <f>'تقرير المصروفات حسب الشهر'!AA968</f>
        <v>242.13</v>
      </c>
      <c r="K2760" s="31">
        <f>'تقرير المصروفات حسب الشهر'!AA1095</f>
        <v>0</v>
      </c>
      <c r="L2760" s="292">
        <f>IFERROR(VLOOKUP(B2760,'تقرير المصروفات حسب الشهر'!$C$1143:$AD$1254,25,FALSE),0)</f>
        <v>0</v>
      </c>
      <c r="M2760" s="292">
        <f>IFERROR(VLOOKUP(B2760,'تقرير المصروفات حسب الشهر'!$C$1270:$AD$1381,25,FALSE),0)</f>
        <v>0</v>
      </c>
      <c r="N2760" s="31" t="e">
        <f>#REF!</f>
        <v>#REF!</v>
      </c>
      <c r="O2760" s="37" t="e">
        <f t="shared" si="70"/>
        <v>#REF!</v>
      </c>
    </row>
    <row r="2761" spans="2:15" ht="17.399999999999999">
      <c r="B2761" s="42" t="s">
        <v>104</v>
      </c>
      <c r="C2761" s="39" t="e">
        <f>#REF!</f>
        <v>#REF!</v>
      </c>
      <c r="D2761" s="31" t="e">
        <f>#REF!</f>
        <v>#REF!</v>
      </c>
      <c r="E2761" s="31" t="e">
        <f>#REF!</f>
        <v>#REF!</v>
      </c>
      <c r="F2761" s="31" t="e">
        <f>#REF!</f>
        <v>#REF!</v>
      </c>
      <c r="G2761" s="31" t="e">
        <f>#REF!</f>
        <v>#REF!</v>
      </c>
      <c r="H2761" s="31" t="e">
        <f>#REF!</f>
        <v>#REF!</v>
      </c>
      <c r="I2761" s="31">
        <f>'تقرير المصروفات حسب الشهر'!AA842</f>
        <v>112.5</v>
      </c>
      <c r="J2761" s="31">
        <f>'تقرير المصروفات حسب الشهر'!AA969</f>
        <v>94.03</v>
      </c>
      <c r="K2761" s="31">
        <f>'تقرير المصروفات حسب الشهر'!AA1096</f>
        <v>54.17</v>
      </c>
      <c r="L2761" s="292">
        <f>IFERROR(VLOOKUP(B2761,'تقرير المصروفات حسب الشهر'!$C$1143:$AD$1254,25,FALSE),0)</f>
        <v>54.17</v>
      </c>
      <c r="M2761" s="292">
        <f>IFERROR(VLOOKUP(B2761,'تقرير المصروفات حسب الشهر'!$C$1270:$AD$1381,25,FALSE),0)</f>
        <v>54.13</v>
      </c>
      <c r="N2761" s="31" t="e">
        <f>#REF!</f>
        <v>#REF!</v>
      </c>
      <c r="O2761" s="37" t="e">
        <f t="shared" si="70"/>
        <v>#REF!</v>
      </c>
    </row>
    <row r="2762" spans="2:15" ht="17.399999999999999">
      <c r="B2762" s="42" t="s">
        <v>105</v>
      </c>
      <c r="C2762" s="39" t="e">
        <f>#REF!</f>
        <v>#REF!</v>
      </c>
      <c r="D2762" s="31" t="e">
        <f>#REF!</f>
        <v>#REF!</v>
      </c>
      <c r="E2762" s="31" t="e">
        <f>#REF!</f>
        <v>#REF!</v>
      </c>
      <c r="F2762" s="31" t="e">
        <f>#REF!</f>
        <v>#REF!</v>
      </c>
      <c r="G2762" s="31" t="e">
        <f>#REF!</f>
        <v>#REF!</v>
      </c>
      <c r="H2762" s="31" t="e">
        <f>#REF!</f>
        <v>#REF!</v>
      </c>
      <c r="I2762" s="31">
        <f>'تقرير المصروفات حسب الشهر'!AA843</f>
        <v>12.5</v>
      </c>
      <c r="J2762" s="31">
        <f>'تقرير المصروفات حسب الشهر'!AA970</f>
        <v>12.5</v>
      </c>
      <c r="K2762" s="31">
        <f>'تقرير المصروفات حسب الشهر'!AA1097</f>
        <v>12.5</v>
      </c>
      <c r="L2762" s="292">
        <f>IFERROR(VLOOKUP(B2762,'تقرير المصروفات حسب الشهر'!$C$1143:$AD$1254,25,FALSE),0)</f>
        <v>12.5</v>
      </c>
      <c r="M2762" s="292">
        <f>IFERROR(VLOOKUP(B2762,'تقرير المصروفات حسب الشهر'!$C$1270:$AD$1381,25,FALSE),0)</f>
        <v>12.5</v>
      </c>
      <c r="N2762" s="31" t="e">
        <f>#REF!</f>
        <v>#REF!</v>
      </c>
      <c r="O2762" s="37" t="e">
        <f t="shared" si="70"/>
        <v>#REF!</v>
      </c>
    </row>
    <row r="2763" spans="2:15" ht="17.399999999999999">
      <c r="B2763" s="42" t="s">
        <v>106</v>
      </c>
      <c r="C2763" s="39" t="e">
        <f>#REF!</f>
        <v>#REF!</v>
      </c>
      <c r="D2763" s="31" t="e">
        <f>#REF!</f>
        <v>#REF!</v>
      </c>
      <c r="E2763" s="31" t="e">
        <f>#REF!</f>
        <v>#REF!</v>
      </c>
      <c r="F2763" s="31" t="e">
        <f>#REF!</f>
        <v>#REF!</v>
      </c>
      <c r="G2763" s="31" t="e">
        <f>#REF!</f>
        <v>#REF!</v>
      </c>
      <c r="H2763" s="31" t="e">
        <f>#REF!</f>
        <v>#REF!</v>
      </c>
      <c r="I2763" s="31">
        <f>'تقرير المصروفات حسب الشهر'!AA844</f>
        <v>0</v>
      </c>
      <c r="J2763" s="31">
        <f>'تقرير المصروفات حسب الشهر'!AA971</f>
        <v>0</v>
      </c>
      <c r="K2763" s="31">
        <f>'تقرير المصروفات حسب الشهر'!AA1098</f>
        <v>0</v>
      </c>
      <c r="L2763" s="292">
        <f>IFERROR(VLOOKUP(B2763,'تقرير المصروفات حسب الشهر'!$C$1143:$AD$1254,25,FALSE),0)</f>
        <v>0</v>
      </c>
      <c r="M2763" s="292">
        <f>IFERROR(VLOOKUP(B2763,'تقرير المصروفات حسب الشهر'!$C$1270:$AD$1381,25,FALSE),0)</f>
        <v>0</v>
      </c>
      <c r="N2763" s="31" t="e">
        <f>#REF!</f>
        <v>#REF!</v>
      </c>
      <c r="O2763" s="37" t="e">
        <f t="shared" si="70"/>
        <v>#REF!</v>
      </c>
    </row>
    <row r="2764" spans="2:15" ht="17.399999999999999">
      <c r="B2764" s="42" t="s">
        <v>107</v>
      </c>
      <c r="C2764" s="39" t="e">
        <f>#REF!</f>
        <v>#REF!</v>
      </c>
      <c r="D2764" s="31" t="e">
        <f>#REF!</f>
        <v>#REF!</v>
      </c>
      <c r="E2764" s="31" t="e">
        <f>#REF!</f>
        <v>#REF!</v>
      </c>
      <c r="F2764" s="31" t="e">
        <f>#REF!</f>
        <v>#REF!</v>
      </c>
      <c r="G2764" s="31" t="e">
        <f>#REF!</f>
        <v>#REF!</v>
      </c>
      <c r="H2764" s="31" t="e">
        <f>#REF!</f>
        <v>#REF!</v>
      </c>
      <c r="I2764" s="31">
        <f>'تقرير المصروفات حسب الشهر'!AA845</f>
        <v>0</v>
      </c>
      <c r="J2764" s="31">
        <f>'تقرير المصروفات حسب الشهر'!AA972</f>
        <v>0</v>
      </c>
      <c r="K2764" s="31">
        <f>'تقرير المصروفات حسب الشهر'!AA1099</f>
        <v>0</v>
      </c>
      <c r="L2764" s="292">
        <f>IFERROR(VLOOKUP(B2764,'تقرير المصروفات حسب الشهر'!$C$1143:$AD$1254,25,FALSE),0)</f>
        <v>0</v>
      </c>
      <c r="M2764" s="292">
        <f>IFERROR(VLOOKUP(B2764,'تقرير المصروفات حسب الشهر'!$C$1270:$AD$1381,25,FALSE),0)</f>
        <v>0</v>
      </c>
      <c r="N2764" s="31" t="e">
        <f>#REF!</f>
        <v>#REF!</v>
      </c>
      <c r="O2764" s="37" t="e">
        <f t="shared" si="70"/>
        <v>#REF!</v>
      </c>
    </row>
    <row r="2765" spans="2:15" ht="17.399999999999999">
      <c r="B2765" s="42" t="s">
        <v>108</v>
      </c>
      <c r="C2765" s="39" t="e">
        <f>#REF!</f>
        <v>#REF!</v>
      </c>
      <c r="D2765" s="31" t="e">
        <f>#REF!</f>
        <v>#REF!</v>
      </c>
      <c r="E2765" s="31" t="e">
        <f>#REF!</f>
        <v>#REF!</v>
      </c>
      <c r="F2765" s="31" t="e">
        <f>#REF!</f>
        <v>#REF!</v>
      </c>
      <c r="G2765" s="31" t="e">
        <f>#REF!</f>
        <v>#REF!</v>
      </c>
      <c r="H2765" s="31" t="e">
        <f>#REF!</f>
        <v>#REF!</v>
      </c>
      <c r="I2765" s="31">
        <f>'تقرير المصروفات حسب الشهر'!AA846</f>
        <v>0</v>
      </c>
      <c r="J2765" s="31">
        <f>'تقرير المصروفات حسب الشهر'!AA973</f>
        <v>0</v>
      </c>
      <c r="K2765" s="31">
        <f>'تقرير المصروفات حسب الشهر'!AA1100</f>
        <v>0</v>
      </c>
      <c r="L2765" s="292">
        <f>IFERROR(VLOOKUP(B2765,'تقرير المصروفات حسب الشهر'!$C$1143:$AD$1254,25,FALSE),0)</f>
        <v>0</v>
      </c>
      <c r="M2765" s="292">
        <f>IFERROR(VLOOKUP(B2765,'تقرير المصروفات حسب الشهر'!$C$1270:$AD$1381,25,FALSE),0)</f>
        <v>0</v>
      </c>
      <c r="N2765" s="31" t="e">
        <f>#REF!</f>
        <v>#REF!</v>
      </c>
      <c r="O2765" s="37" t="e">
        <f t="shared" si="70"/>
        <v>#REF!</v>
      </c>
    </row>
    <row r="2766" spans="2:15" ht="17.399999999999999">
      <c r="B2766" s="42" t="s">
        <v>109</v>
      </c>
      <c r="C2766" s="39" t="e">
        <f>#REF!</f>
        <v>#REF!</v>
      </c>
      <c r="D2766" s="31" t="e">
        <f>#REF!</f>
        <v>#REF!</v>
      </c>
      <c r="E2766" s="31" t="e">
        <f>#REF!</f>
        <v>#REF!</v>
      </c>
      <c r="F2766" s="31" t="e">
        <f>#REF!</f>
        <v>#REF!</v>
      </c>
      <c r="G2766" s="31" t="e">
        <f>#REF!</f>
        <v>#REF!</v>
      </c>
      <c r="H2766" s="31" t="e">
        <f>#REF!</f>
        <v>#REF!</v>
      </c>
      <c r="I2766" s="31">
        <f>'تقرير المصروفات حسب الشهر'!AA847</f>
        <v>0</v>
      </c>
      <c r="J2766" s="31">
        <f>'تقرير المصروفات حسب الشهر'!AA974</f>
        <v>0</v>
      </c>
      <c r="K2766" s="31">
        <f>'تقرير المصروفات حسب الشهر'!AA1101</f>
        <v>0</v>
      </c>
      <c r="L2766" s="292">
        <f>IFERROR(VLOOKUP(B2766,'تقرير المصروفات حسب الشهر'!$C$1143:$AD$1254,25,FALSE),0)</f>
        <v>0</v>
      </c>
      <c r="M2766" s="292">
        <f>IFERROR(VLOOKUP(B2766,'تقرير المصروفات حسب الشهر'!$C$1270:$AD$1381,25,FALSE),0)</f>
        <v>0</v>
      </c>
      <c r="N2766" s="31" t="e">
        <f>#REF!</f>
        <v>#REF!</v>
      </c>
      <c r="O2766" s="37" t="e">
        <f t="shared" si="70"/>
        <v>#REF!</v>
      </c>
    </row>
    <row r="2767" spans="2:15" ht="17.399999999999999">
      <c r="B2767" s="42" t="s">
        <v>110</v>
      </c>
      <c r="C2767" s="39" t="e">
        <f>#REF!</f>
        <v>#REF!</v>
      </c>
      <c r="D2767" s="31" t="e">
        <f>#REF!</f>
        <v>#REF!</v>
      </c>
      <c r="E2767" s="31" t="e">
        <f>#REF!</f>
        <v>#REF!</v>
      </c>
      <c r="F2767" s="31" t="e">
        <f>#REF!</f>
        <v>#REF!</v>
      </c>
      <c r="G2767" s="31" t="e">
        <f>#REF!</f>
        <v>#REF!</v>
      </c>
      <c r="H2767" s="31" t="e">
        <f>#REF!</f>
        <v>#REF!</v>
      </c>
      <c r="I2767" s="31">
        <f>'تقرير المصروفات حسب الشهر'!AA848</f>
        <v>0</v>
      </c>
      <c r="J2767" s="31">
        <f>'تقرير المصروفات حسب الشهر'!AA975</f>
        <v>0</v>
      </c>
      <c r="K2767" s="31">
        <f>'تقرير المصروفات حسب الشهر'!AA1102</f>
        <v>0</v>
      </c>
      <c r="L2767" s="292">
        <f>IFERROR(VLOOKUP(B2767,'تقرير المصروفات حسب الشهر'!$C$1143:$AD$1254,25,FALSE),0)</f>
        <v>0</v>
      </c>
      <c r="M2767" s="292">
        <f>IFERROR(VLOOKUP(B2767,'تقرير المصروفات حسب الشهر'!$C$1270:$AD$1381,25,FALSE),0)</f>
        <v>0</v>
      </c>
      <c r="N2767" s="31" t="e">
        <f>#REF!</f>
        <v>#REF!</v>
      </c>
      <c r="O2767" s="37" t="e">
        <f t="shared" si="70"/>
        <v>#REF!</v>
      </c>
    </row>
    <row r="2768" spans="2:15" ht="17.399999999999999">
      <c r="B2768" s="42" t="s">
        <v>112</v>
      </c>
      <c r="C2768" s="39" t="e">
        <f>#REF!</f>
        <v>#REF!</v>
      </c>
      <c r="D2768" s="31" t="e">
        <f>#REF!</f>
        <v>#REF!</v>
      </c>
      <c r="E2768" s="31" t="e">
        <f>#REF!</f>
        <v>#REF!</v>
      </c>
      <c r="F2768" s="31" t="e">
        <f>#REF!</f>
        <v>#REF!</v>
      </c>
      <c r="G2768" s="31" t="e">
        <f>#REF!</f>
        <v>#REF!</v>
      </c>
      <c r="H2768" s="31" t="e">
        <f>#REF!</f>
        <v>#REF!</v>
      </c>
      <c r="I2768" s="31">
        <f>'تقرير المصروفات حسب الشهر'!AA849</f>
        <v>0</v>
      </c>
      <c r="J2768" s="31">
        <f>'تقرير المصروفات حسب الشهر'!AA976</f>
        <v>0</v>
      </c>
      <c r="K2768" s="31">
        <f>'تقرير المصروفات حسب الشهر'!AA1103</f>
        <v>0</v>
      </c>
      <c r="L2768" s="292">
        <f>IFERROR(VLOOKUP(B2768,'تقرير المصروفات حسب الشهر'!$C$1143:$AD$1254,25,FALSE),0)</f>
        <v>0</v>
      </c>
      <c r="M2768" s="292">
        <f>IFERROR(VLOOKUP(B2768,'تقرير المصروفات حسب الشهر'!$C$1270:$AD$1381,25,FALSE),0)</f>
        <v>0</v>
      </c>
      <c r="N2768" s="31" t="e">
        <f>#REF!</f>
        <v>#REF!</v>
      </c>
      <c r="O2768" s="37" t="e">
        <f t="shared" si="70"/>
        <v>#REF!</v>
      </c>
    </row>
    <row r="2769" spans="2:15" ht="17.399999999999999">
      <c r="B2769" s="42" t="s">
        <v>113</v>
      </c>
      <c r="C2769" s="39" t="e">
        <f>#REF!</f>
        <v>#REF!</v>
      </c>
      <c r="D2769" s="31" t="e">
        <f>#REF!</f>
        <v>#REF!</v>
      </c>
      <c r="E2769" s="31" t="e">
        <f>#REF!</f>
        <v>#REF!</v>
      </c>
      <c r="F2769" s="31" t="e">
        <f>#REF!</f>
        <v>#REF!</v>
      </c>
      <c r="G2769" s="31" t="e">
        <f>#REF!</f>
        <v>#REF!</v>
      </c>
      <c r="H2769" s="31" t="e">
        <f>#REF!</f>
        <v>#REF!</v>
      </c>
      <c r="I2769" s="31">
        <f>'تقرير المصروفات حسب الشهر'!AA850</f>
        <v>0</v>
      </c>
      <c r="J2769" s="31">
        <f>'تقرير المصروفات حسب الشهر'!AA977</f>
        <v>0</v>
      </c>
      <c r="K2769" s="31">
        <f>'تقرير المصروفات حسب الشهر'!AA1104</f>
        <v>0</v>
      </c>
      <c r="L2769" s="292">
        <f>IFERROR(VLOOKUP(B2769,'تقرير المصروفات حسب الشهر'!$C$1143:$AD$1254,25,FALSE),0)</f>
        <v>0</v>
      </c>
      <c r="M2769" s="292">
        <f>IFERROR(VLOOKUP(B2769,'تقرير المصروفات حسب الشهر'!$C$1270:$AD$1381,25,FALSE),0)</f>
        <v>0</v>
      </c>
      <c r="N2769" s="31" t="e">
        <f>#REF!</f>
        <v>#REF!</v>
      </c>
      <c r="O2769" s="37" t="e">
        <f t="shared" si="70"/>
        <v>#REF!</v>
      </c>
    </row>
    <row r="2770" spans="2:15" ht="17.399999999999999">
      <c r="B2770" s="42" t="s">
        <v>137</v>
      </c>
      <c r="C2770" s="39" t="e">
        <f>#REF!</f>
        <v>#REF!</v>
      </c>
      <c r="D2770" s="31" t="e">
        <f>#REF!</f>
        <v>#REF!</v>
      </c>
      <c r="E2770" s="31" t="e">
        <f>#REF!</f>
        <v>#REF!</v>
      </c>
      <c r="F2770" s="31" t="e">
        <f>#REF!</f>
        <v>#REF!</v>
      </c>
      <c r="G2770" s="31" t="e">
        <f>#REF!</f>
        <v>#REF!</v>
      </c>
      <c r="H2770" s="31" t="e">
        <f>#REF!</f>
        <v>#REF!</v>
      </c>
      <c r="I2770" s="31">
        <f>'تقرير المصروفات حسب الشهر'!AA851</f>
        <v>0</v>
      </c>
      <c r="J2770" s="31">
        <f>'تقرير المصروفات حسب الشهر'!AA978</f>
        <v>0</v>
      </c>
      <c r="K2770" s="31">
        <f>'تقرير المصروفات حسب الشهر'!AA1105</f>
        <v>0</v>
      </c>
      <c r="L2770" s="292">
        <f>IFERROR(VLOOKUP(B2770,'تقرير المصروفات حسب الشهر'!$C$1143:$AD$1254,25,FALSE),0)</f>
        <v>0</v>
      </c>
      <c r="M2770" s="292">
        <f>IFERROR(VLOOKUP(B2770,'تقرير المصروفات حسب الشهر'!$C$1270:$AD$1381,25,FALSE),0)</f>
        <v>0</v>
      </c>
      <c r="N2770" s="31" t="e">
        <f>#REF!</f>
        <v>#REF!</v>
      </c>
      <c r="O2770" s="37" t="e">
        <f t="shared" si="70"/>
        <v>#REF!</v>
      </c>
    </row>
    <row r="2771" spans="2:15" ht="17.399999999999999">
      <c r="B2771" s="42" t="s">
        <v>140</v>
      </c>
      <c r="C2771" s="39" t="e">
        <f>#REF!</f>
        <v>#REF!</v>
      </c>
      <c r="D2771" s="31" t="e">
        <f>#REF!</f>
        <v>#REF!</v>
      </c>
      <c r="E2771" s="31" t="e">
        <f>#REF!</f>
        <v>#REF!</v>
      </c>
      <c r="F2771" s="31" t="e">
        <f>#REF!</f>
        <v>#REF!</v>
      </c>
      <c r="G2771" s="31" t="e">
        <f>#REF!</f>
        <v>#REF!</v>
      </c>
      <c r="H2771" s="31" t="e">
        <f>#REF!</f>
        <v>#REF!</v>
      </c>
      <c r="I2771" s="31">
        <f>'تقرير المصروفات حسب الشهر'!AA852</f>
        <v>0</v>
      </c>
      <c r="J2771" s="31">
        <f>'تقرير المصروفات حسب الشهر'!AA979</f>
        <v>0</v>
      </c>
      <c r="K2771" s="31">
        <f>'تقرير المصروفات حسب الشهر'!AA1106</f>
        <v>0</v>
      </c>
      <c r="L2771" s="292">
        <f>IFERROR(VLOOKUP(B2771,'تقرير المصروفات حسب الشهر'!$C$1143:$AD$1254,25,FALSE),0)</f>
        <v>0</v>
      </c>
      <c r="M2771" s="292">
        <f>IFERROR(VLOOKUP(B2771,'تقرير المصروفات حسب الشهر'!$C$1270:$AD$1381,25,FALSE),0)</f>
        <v>0</v>
      </c>
      <c r="N2771" s="31" t="e">
        <f>#REF!</f>
        <v>#REF!</v>
      </c>
      <c r="O2771" s="37" t="e">
        <f t="shared" si="70"/>
        <v>#REF!</v>
      </c>
    </row>
    <row r="2772" spans="2:15" ht="17.399999999999999">
      <c r="B2772" s="42" t="s">
        <v>141</v>
      </c>
      <c r="C2772" s="39" t="e">
        <f>#REF!</f>
        <v>#REF!</v>
      </c>
      <c r="D2772" s="31" t="e">
        <f>#REF!</f>
        <v>#REF!</v>
      </c>
      <c r="E2772" s="31" t="e">
        <f>#REF!</f>
        <v>#REF!</v>
      </c>
      <c r="F2772" s="31" t="e">
        <f>#REF!</f>
        <v>#REF!</v>
      </c>
      <c r="G2772" s="31" t="e">
        <f>#REF!</f>
        <v>#REF!</v>
      </c>
      <c r="H2772" s="31" t="e">
        <f>#REF!</f>
        <v>#REF!</v>
      </c>
      <c r="I2772" s="31">
        <f>'تقرير المصروفات حسب الشهر'!AA853</f>
        <v>0</v>
      </c>
      <c r="J2772" s="31">
        <f>'تقرير المصروفات حسب الشهر'!AA980</f>
        <v>0</v>
      </c>
      <c r="K2772" s="31">
        <f>'تقرير المصروفات حسب الشهر'!AA1107</f>
        <v>0</v>
      </c>
      <c r="L2772" s="292">
        <f>IFERROR(VLOOKUP(B2772,'تقرير المصروفات حسب الشهر'!$C$1143:$AD$1254,25,FALSE),0)</f>
        <v>0</v>
      </c>
      <c r="M2772" s="292">
        <f>IFERROR(VLOOKUP(B2772,'تقرير المصروفات حسب الشهر'!$C$1270:$AD$1381,25,FALSE),0)</f>
        <v>0</v>
      </c>
      <c r="N2772" s="31" t="e">
        <f>#REF!</f>
        <v>#REF!</v>
      </c>
      <c r="O2772" s="37" t="e">
        <f t="shared" si="70"/>
        <v>#REF!</v>
      </c>
    </row>
    <row r="2773" spans="2:15" ht="17.399999999999999">
      <c r="B2773" s="42" t="s">
        <v>193</v>
      </c>
      <c r="C2773" s="39" t="e">
        <f>#REF!</f>
        <v>#REF!</v>
      </c>
      <c r="D2773" s="31" t="e">
        <f>#REF!</f>
        <v>#REF!</v>
      </c>
      <c r="E2773" s="31" t="e">
        <f>#REF!</f>
        <v>#REF!</v>
      </c>
      <c r="F2773" s="31" t="e">
        <f>#REF!</f>
        <v>#REF!</v>
      </c>
      <c r="G2773" s="31" t="e">
        <f>#REF!</f>
        <v>#REF!</v>
      </c>
      <c r="H2773" s="31" t="e">
        <f>#REF!</f>
        <v>#REF!</v>
      </c>
      <c r="I2773" s="31">
        <f>'تقرير المصروفات حسب الشهر'!AA854</f>
        <v>0</v>
      </c>
      <c r="J2773" s="31">
        <f>'تقرير المصروفات حسب الشهر'!AA981</f>
        <v>0</v>
      </c>
      <c r="K2773" s="31">
        <f>'تقرير المصروفات حسب الشهر'!AA1108</f>
        <v>0</v>
      </c>
      <c r="L2773" s="292">
        <f>IFERROR(VLOOKUP(B2773,'تقرير المصروفات حسب الشهر'!$C$1143:$AD$1254,25,FALSE),0)</f>
        <v>0</v>
      </c>
      <c r="M2773" s="292">
        <f>IFERROR(VLOOKUP(B2773,'تقرير المصروفات حسب الشهر'!$C$1270:$AD$1381,25,FALSE),0)</f>
        <v>0</v>
      </c>
      <c r="N2773" s="31" t="e">
        <f>#REF!</f>
        <v>#REF!</v>
      </c>
      <c r="O2773" s="37" t="e">
        <f t="shared" si="70"/>
        <v>#REF!</v>
      </c>
    </row>
    <row r="2774" spans="2:15" ht="17.399999999999999">
      <c r="B2774" s="42" t="s">
        <v>148</v>
      </c>
      <c r="C2774" s="39" t="e">
        <f>#REF!</f>
        <v>#REF!</v>
      </c>
      <c r="D2774" s="31" t="e">
        <f>#REF!</f>
        <v>#REF!</v>
      </c>
      <c r="E2774" s="31" t="e">
        <f>#REF!</f>
        <v>#REF!</v>
      </c>
      <c r="F2774" s="31" t="e">
        <f>#REF!</f>
        <v>#REF!</v>
      </c>
      <c r="G2774" s="31" t="e">
        <f>#REF!</f>
        <v>#REF!</v>
      </c>
      <c r="H2774" s="31" t="e">
        <f>#REF!</f>
        <v>#REF!</v>
      </c>
      <c r="I2774" s="31">
        <f>'تقرير المصروفات حسب الشهر'!AA855</f>
        <v>0</v>
      </c>
      <c r="J2774" s="31">
        <f>'تقرير المصروفات حسب الشهر'!AA982</f>
        <v>0</v>
      </c>
      <c r="K2774" s="31">
        <f>'تقرير المصروفات حسب الشهر'!AA1109</f>
        <v>0</v>
      </c>
      <c r="L2774" s="292">
        <f>IFERROR(VLOOKUP(B2774,'تقرير المصروفات حسب الشهر'!$C$1143:$AD$1254,25,FALSE),0)</f>
        <v>0</v>
      </c>
      <c r="M2774" s="292">
        <f>IFERROR(VLOOKUP(B2774,'تقرير المصروفات حسب الشهر'!$C$1270:$AD$1381,25,FALSE),0)</f>
        <v>0</v>
      </c>
      <c r="N2774" s="31" t="e">
        <f>#REF!</f>
        <v>#REF!</v>
      </c>
      <c r="O2774" s="37" t="e">
        <f t="shared" si="70"/>
        <v>#REF!</v>
      </c>
    </row>
    <row r="2775" spans="2:15" ht="17.399999999999999">
      <c r="B2775" s="42" t="s">
        <v>186</v>
      </c>
      <c r="C2775" s="39" t="e">
        <f>#REF!</f>
        <v>#REF!</v>
      </c>
      <c r="D2775" s="31" t="e">
        <f>#REF!</f>
        <v>#REF!</v>
      </c>
      <c r="E2775" s="31" t="e">
        <f>#REF!</f>
        <v>#REF!</v>
      </c>
      <c r="F2775" s="31" t="e">
        <f>#REF!</f>
        <v>#REF!</v>
      </c>
      <c r="G2775" s="31" t="e">
        <f>#REF!</f>
        <v>#REF!</v>
      </c>
      <c r="H2775" s="31" t="e">
        <f>#REF!</f>
        <v>#REF!</v>
      </c>
      <c r="I2775" s="31">
        <f>'تقرير المصروفات حسب الشهر'!AA856</f>
        <v>0</v>
      </c>
      <c r="J2775" s="31">
        <f>'تقرير المصروفات حسب الشهر'!AA983</f>
        <v>0</v>
      </c>
      <c r="K2775" s="31">
        <f>'تقرير المصروفات حسب الشهر'!AA1110</f>
        <v>0</v>
      </c>
      <c r="L2775" s="292">
        <f>IFERROR(VLOOKUP(B2775,'تقرير المصروفات حسب الشهر'!$C$1143:$AD$1254,25,FALSE),0)</f>
        <v>0</v>
      </c>
      <c r="M2775" s="292">
        <f>IFERROR(VLOOKUP(B2775,'تقرير المصروفات حسب الشهر'!$C$1270:$AD$1381,25,FALSE),0)</f>
        <v>0</v>
      </c>
      <c r="N2775" s="31" t="e">
        <f>#REF!</f>
        <v>#REF!</v>
      </c>
      <c r="O2775" s="37" t="e">
        <f t="shared" si="70"/>
        <v>#REF!</v>
      </c>
    </row>
    <row r="2776" spans="2:15" ht="17.399999999999999">
      <c r="B2776" s="42" t="s">
        <v>171</v>
      </c>
      <c r="C2776" s="39" t="e">
        <f>#REF!</f>
        <v>#REF!</v>
      </c>
      <c r="D2776" s="31" t="e">
        <f>#REF!</f>
        <v>#REF!</v>
      </c>
      <c r="E2776" s="31" t="e">
        <f>#REF!</f>
        <v>#REF!</v>
      </c>
      <c r="F2776" s="31" t="e">
        <f>#REF!</f>
        <v>#REF!</v>
      </c>
      <c r="G2776" s="31" t="e">
        <f>#REF!</f>
        <v>#REF!</v>
      </c>
      <c r="H2776" s="31" t="e">
        <f>#REF!</f>
        <v>#REF!</v>
      </c>
      <c r="I2776" s="31">
        <f>'تقرير المصروفات حسب الشهر'!AA857</f>
        <v>0</v>
      </c>
      <c r="J2776" s="31">
        <f>'تقرير المصروفات حسب الشهر'!AA984</f>
        <v>0</v>
      </c>
      <c r="K2776" s="31">
        <f>'تقرير المصروفات حسب الشهر'!AA1111</f>
        <v>0</v>
      </c>
      <c r="L2776" s="292">
        <f>IFERROR(VLOOKUP(B2776,'تقرير المصروفات حسب الشهر'!$C$1143:$AD$1254,25,FALSE),0)</f>
        <v>0</v>
      </c>
      <c r="M2776" s="292">
        <f>IFERROR(VLOOKUP(B2776,'تقرير المصروفات حسب الشهر'!$C$1270:$AD$1381,25,FALSE),0)</f>
        <v>0</v>
      </c>
      <c r="N2776" s="31" t="e">
        <f>#REF!</f>
        <v>#REF!</v>
      </c>
      <c r="O2776" s="37" t="e">
        <f t="shared" si="70"/>
        <v>#REF!</v>
      </c>
    </row>
    <row r="2777" spans="2:15" ht="17.399999999999999">
      <c r="B2777" s="42" t="s">
        <v>180</v>
      </c>
      <c r="C2777" s="39" t="e">
        <f>#REF!</f>
        <v>#REF!</v>
      </c>
      <c r="D2777" s="31" t="e">
        <f>#REF!</f>
        <v>#REF!</v>
      </c>
      <c r="E2777" s="31" t="e">
        <f>#REF!</f>
        <v>#REF!</v>
      </c>
      <c r="F2777" s="31" t="e">
        <f>#REF!</f>
        <v>#REF!</v>
      </c>
      <c r="G2777" s="31" t="e">
        <f>#REF!</f>
        <v>#REF!</v>
      </c>
      <c r="H2777" s="31" t="e">
        <f>#REF!</f>
        <v>#REF!</v>
      </c>
      <c r="I2777" s="31">
        <f>'تقرير المصروفات حسب الشهر'!AA858</f>
        <v>0</v>
      </c>
      <c r="J2777" s="31">
        <f>'تقرير المصروفات حسب الشهر'!AA985</f>
        <v>0</v>
      </c>
      <c r="K2777" s="31">
        <f>'تقرير المصروفات حسب الشهر'!AA1112</f>
        <v>0</v>
      </c>
      <c r="L2777" s="292">
        <f>IFERROR(VLOOKUP(B2777,'تقرير المصروفات حسب الشهر'!$C$1143:$AD$1254,25,FALSE),0)</f>
        <v>0</v>
      </c>
      <c r="M2777" s="292">
        <f>IFERROR(VLOOKUP(B2777,'تقرير المصروفات حسب الشهر'!$C$1270:$AD$1381,25,FALSE),0)</f>
        <v>0</v>
      </c>
      <c r="N2777" s="31" t="e">
        <f>#REF!</f>
        <v>#REF!</v>
      </c>
      <c r="O2777" s="37" t="e">
        <f t="shared" si="70"/>
        <v>#REF!</v>
      </c>
    </row>
    <row r="2778" spans="2:15" ht="17.399999999999999">
      <c r="B2778" s="42" t="s">
        <v>183</v>
      </c>
      <c r="C2778" s="39" t="e">
        <f>#REF!</f>
        <v>#REF!</v>
      </c>
      <c r="D2778" s="31" t="e">
        <f>#REF!</f>
        <v>#REF!</v>
      </c>
      <c r="E2778" s="31" t="e">
        <f>#REF!</f>
        <v>#REF!</v>
      </c>
      <c r="F2778" s="31" t="e">
        <f>#REF!</f>
        <v>#REF!</v>
      </c>
      <c r="G2778" s="31" t="e">
        <f>#REF!</f>
        <v>#REF!</v>
      </c>
      <c r="H2778" s="31" t="e">
        <f>#REF!</f>
        <v>#REF!</v>
      </c>
      <c r="I2778" s="31">
        <f>'تقرير المصروفات حسب الشهر'!AA859</f>
        <v>0</v>
      </c>
      <c r="J2778" s="31">
        <f>'تقرير المصروفات حسب الشهر'!AA986</f>
        <v>0</v>
      </c>
      <c r="K2778" s="31">
        <f>'تقرير المصروفات حسب الشهر'!AA1113</f>
        <v>0</v>
      </c>
      <c r="L2778" s="292">
        <f>IFERROR(VLOOKUP(B2778,'تقرير المصروفات حسب الشهر'!$C$1143:$AD$1254,25,FALSE),0)</f>
        <v>0</v>
      </c>
      <c r="M2778" s="292">
        <f>IFERROR(VLOOKUP(B2778,'تقرير المصروفات حسب الشهر'!$C$1270:$AD$1381,25,FALSE),0)</f>
        <v>0</v>
      </c>
      <c r="N2778" s="31" t="e">
        <f>#REF!</f>
        <v>#REF!</v>
      </c>
      <c r="O2778" s="37" t="e">
        <f t="shared" si="70"/>
        <v>#REF!</v>
      </c>
    </row>
    <row r="2779" spans="2:15" ht="17.399999999999999">
      <c r="B2779" s="42" t="s">
        <v>195</v>
      </c>
      <c r="C2779" s="39" t="e">
        <f>#REF!</f>
        <v>#REF!</v>
      </c>
      <c r="D2779" s="31" t="e">
        <f>#REF!</f>
        <v>#REF!</v>
      </c>
      <c r="E2779" s="31" t="e">
        <f>#REF!</f>
        <v>#REF!</v>
      </c>
      <c r="F2779" s="31" t="e">
        <f>#REF!</f>
        <v>#REF!</v>
      </c>
      <c r="G2779" s="31" t="e">
        <f>#REF!</f>
        <v>#REF!</v>
      </c>
      <c r="H2779" s="31" t="e">
        <f>#REF!</f>
        <v>#REF!</v>
      </c>
      <c r="I2779" s="31">
        <f>'تقرير المصروفات حسب الشهر'!AA860</f>
        <v>0</v>
      </c>
      <c r="J2779" s="31">
        <f>'تقرير المصروفات حسب الشهر'!AA987</f>
        <v>0</v>
      </c>
      <c r="K2779" s="31">
        <f>'تقرير المصروفات حسب الشهر'!AA1114</f>
        <v>0</v>
      </c>
      <c r="L2779" s="292">
        <f>IFERROR(VLOOKUP(B2779,'تقرير المصروفات حسب الشهر'!$C$1143:$AD$1254,25,FALSE),0)</f>
        <v>0</v>
      </c>
      <c r="M2779" s="292">
        <f>IFERROR(VLOOKUP(B2779,'تقرير المصروفات حسب الشهر'!$C$1270:$AD$1381,25,FALSE),0)</f>
        <v>0</v>
      </c>
      <c r="N2779" s="31" t="e">
        <f>#REF!</f>
        <v>#REF!</v>
      </c>
      <c r="O2779" s="37" t="e">
        <f t="shared" si="70"/>
        <v>#REF!</v>
      </c>
    </row>
    <row r="2780" spans="2:15" ht="17.399999999999999">
      <c r="B2780" s="42" t="s">
        <v>189</v>
      </c>
      <c r="C2780" s="39" t="e">
        <f>#REF!</f>
        <v>#REF!</v>
      </c>
      <c r="D2780" s="31" t="e">
        <f>#REF!</f>
        <v>#REF!</v>
      </c>
      <c r="E2780" s="31" t="e">
        <f>#REF!</f>
        <v>#REF!</v>
      </c>
      <c r="F2780" s="31" t="e">
        <f>#REF!</f>
        <v>#REF!</v>
      </c>
      <c r="G2780" s="31" t="e">
        <f>#REF!</f>
        <v>#REF!</v>
      </c>
      <c r="H2780" s="31" t="e">
        <f>#REF!</f>
        <v>#REF!</v>
      </c>
      <c r="I2780" s="31">
        <f>'تقرير المصروفات حسب الشهر'!AA861</f>
        <v>0</v>
      </c>
      <c r="J2780" s="31">
        <f>'تقرير المصروفات حسب الشهر'!AA988</f>
        <v>0</v>
      </c>
      <c r="K2780" s="31">
        <f>'تقرير المصروفات حسب الشهر'!AA1115</f>
        <v>0</v>
      </c>
      <c r="L2780" s="292">
        <f>IFERROR(VLOOKUP(B2780,'تقرير المصروفات حسب الشهر'!$C$1143:$AD$1254,25,FALSE),0)</f>
        <v>0</v>
      </c>
      <c r="M2780" s="292">
        <f>IFERROR(VLOOKUP(B2780,'تقرير المصروفات حسب الشهر'!$C$1270:$AD$1381,25,FALSE),0)</f>
        <v>0</v>
      </c>
      <c r="N2780" s="31" t="e">
        <f>#REF!</f>
        <v>#REF!</v>
      </c>
      <c r="O2780" s="37" t="e">
        <f t="shared" si="70"/>
        <v>#REF!</v>
      </c>
    </row>
    <row r="2781" spans="2:15" ht="17.399999999999999">
      <c r="B2781" s="42" t="s">
        <v>188</v>
      </c>
      <c r="C2781" s="39" t="e">
        <f>#REF!</f>
        <v>#REF!</v>
      </c>
      <c r="D2781" s="31" t="e">
        <f>#REF!</f>
        <v>#REF!</v>
      </c>
      <c r="E2781" s="31" t="e">
        <f>#REF!</f>
        <v>#REF!</v>
      </c>
      <c r="F2781" s="31" t="e">
        <f>#REF!</f>
        <v>#REF!</v>
      </c>
      <c r="G2781" s="31" t="e">
        <f>#REF!</f>
        <v>#REF!</v>
      </c>
      <c r="H2781" s="31" t="e">
        <f>#REF!</f>
        <v>#REF!</v>
      </c>
      <c r="I2781" s="31">
        <f>'تقرير المصروفات حسب الشهر'!AA862</f>
        <v>0</v>
      </c>
      <c r="J2781" s="31">
        <f>'تقرير المصروفات حسب الشهر'!AA989</f>
        <v>0</v>
      </c>
      <c r="K2781" s="31">
        <f>'تقرير المصروفات حسب الشهر'!AA1116</f>
        <v>0</v>
      </c>
      <c r="L2781" s="292">
        <f>IFERROR(VLOOKUP(B2781,'تقرير المصروفات حسب الشهر'!$C$1143:$AD$1254,25,FALSE),0)</f>
        <v>0</v>
      </c>
      <c r="M2781" s="292">
        <f>IFERROR(VLOOKUP(B2781,'تقرير المصروفات حسب الشهر'!$C$1270:$AD$1381,25,FALSE),0)</f>
        <v>0</v>
      </c>
      <c r="N2781" s="31" t="e">
        <f>#REF!</f>
        <v>#REF!</v>
      </c>
      <c r="O2781" s="37" t="e">
        <f t="shared" si="70"/>
        <v>#REF!</v>
      </c>
    </row>
    <row r="2782" spans="2:15" ht="17.399999999999999">
      <c r="B2782" s="42" t="s">
        <v>196</v>
      </c>
      <c r="C2782" s="39" t="e">
        <f>#REF!</f>
        <v>#REF!</v>
      </c>
      <c r="D2782" s="31" t="e">
        <f>#REF!</f>
        <v>#REF!</v>
      </c>
      <c r="E2782" s="31" t="e">
        <f>#REF!</f>
        <v>#REF!</v>
      </c>
      <c r="F2782" s="31" t="e">
        <f>#REF!</f>
        <v>#REF!</v>
      </c>
      <c r="G2782" s="31" t="e">
        <f>#REF!</f>
        <v>#REF!</v>
      </c>
      <c r="H2782" s="31" t="e">
        <f>#REF!</f>
        <v>#REF!</v>
      </c>
      <c r="I2782" s="31">
        <f>'تقرير المصروفات حسب الشهر'!AA863</f>
        <v>0</v>
      </c>
      <c r="J2782" s="31">
        <f>'تقرير المصروفات حسب الشهر'!AA990</f>
        <v>0</v>
      </c>
      <c r="K2782" s="31">
        <f>'تقرير المصروفات حسب الشهر'!AA1117</f>
        <v>0</v>
      </c>
      <c r="L2782" s="292">
        <f>IFERROR(VLOOKUP(B2782,'تقرير المصروفات حسب الشهر'!$C$1143:$AD$1254,25,FALSE),0)</f>
        <v>0</v>
      </c>
      <c r="M2782" s="292">
        <f>IFERROR(VLOOKUP(B2782,'تقرير المصروفات حسب الشهر'!$C$1270:$AD$1381,25,FALSE),0)</f>
        <v>0</v>
      </c>
      <c r="N2782" s="31" t="e">
        <f>#REF!</f>
        <v>#REF!</v>
      </c>
      <c r="O2782" s="37" t="e">
        <f t="shared" si="70"/>
        <v>#REF!</v>
      </c>
    </row>
    <row r="2783" spans="2:15" ht="17.399999999999999">
      <c r="B2783" s="42" t="s">
        <v>197</v>
      </c>
      <c r="C2783" s="39" t="e">
        <f>#REF!</f>
        <v>#REF!</v>
      </c>
      <c r="D2783" s="31" t="e">
        <f>#REF!</f>
        <v>#REF!</v>
      </c>
      <c r="E2783" s="31" t="e">
        <f>#REF!</f>
        <v>#REF!</v>
      </c>
      <c r="F2783" s="31" t="e">
        <f>#REF!</f>
        <v>#REF!</v>
      </c>
      <c r="G2783" s="31" t="e">
        <f>#REF!</f>
        <v>#REF!</v>
      </c>
      <c r="H2783" s="31" t="e">
        <f>#REF!</f>
        <v>#REF!</v>
      </c>
      <c r="I2783" s="31">
        <f>'تقرير المصروفات حسب الشهر'!AA864</f>
        <v>0</v>
      </c>
      <c r="J2783" s="31">
        <f>'تقرير المصروفات حسب الشهر'!AA991</f>
        <v>0</v>
      </c>
      <c r="K2783" s="31">
        <f>'تقرير المصروفات حسب الشهر'!AA1118</f>
        <v>0</v>
      </c>
      <c r="L2783" s="292">
        <f>IFERROR(VLOOKUP(B2783,'تقرير المصروفات حسب الشهر'!$C$1143:$AD$1254,25,FALSE),0)</f>
        <v>0</v>
      </c>
      <c r="M2783" s="292">
        <f>IFERROR(VLOOKUP(B2783,'تقرير المصروفات حسب الشهر'!$C$1270:$AD$1381,25,FALSE),0)</f>
        <v>0</v>
      </c>
      <c r="N2783" s="31" t="e">
        <f>#REF!</f>
        <v>#REF!</v>
      </c>
      <c r="O2783" s="37" t="e">
        <f t="shared" si="70"/>
        <v>#REF!</v>
      </c>
    </row>
    <row r="2784" spans="2:15" ht="17.399999999999999">
      <c r="B2784" s="42" t="s">
        <v>198</v>
      </c>
      <c r="C2784" s="39" t="e">
        <f>#REF!</f>
        <v>#REF!</v>
      </c>
      <c r="D2784" s="31" t="e">
        <f>#REF!</f>
        <v>#REF!</v>
      </c>
      <c r="E2784" s="31" t="e">
        <f>#REF!</f>
        <v>#REF!</v>
      </c>
      <c r="F2784" s="31" t="e">
        <f>#REF!</f>
        <v>#REF!</v>
      </c>
      <c r="G2784" s="31" t="e">
        <f>#REF!</f>
        <v>#REF!</v>
      </c>
      <c r="H2784" s="31" t="e">
        <f>#REF!</f>
        <v>#REF!</v>
      </c>
      <c r="I2784" s="31">
        <f>'تقرير المصروفات حسب الشهر'!AA865</f>
        <v>0</v>
      </c>
      <c r="J2784" s="31">
        <f>'تقرير المصروفات حسب الشهر'!AA992</f>
        <v>0</v>
      </c>
      <c r="K2784" s="31">
        <f>'تقرير المصروفات حسب الشهر'!AA1119</f>
        <v>0</v>
      </c>
      <c r="L2784" s="292">
        <f>IFERROR(VLOOKUP(B2784,'تقرير المصروفات حسب الشهر'!$C$1143:$AD$1254,25,FALSE),0)</f>
        <v>0</v>
      </c>
      <c r="M2784" s="292">
        <f>IFERROR(VLOOKUP(B2784,'تقرير المصروفات حسب الشهر'!$C$1270:$AD$1381,25,FALSE),0)</f>
        <v>0</v>
      </c>
      <c r="N2784" s="31" t="e">
        <f>#REF!</f>
        <v>#REF!</v>
      </c>
      <c r="O2784" s="37" t="e">
        <f t="shared" si="70"/>
        <v>#REF!</v>
      </c>
    </row>
    <row r="2785" spans="2:15" ht="17.399999999999999">
      <c r="B2785" s="42" t="s">
        <v>201</v>
      </c>
      <c r="C2785" s="39" t="e">
        <f>#REF!</f>
        <v>#REF!</v>
      </c>
      <c r="D2785" s="31" t="e">
        <f>#REF!</f>
        <v>#REF!</v>
      </c>
      <c r="E2785" s="31" t="e">
        <f>#REF!</f>
        <v>#REF!</v>
      </c>
      <c r="F2785" s="31" t="e">
        <f>#REF!</f>
        <v>#REF!</v>
      </c>
      <c r="G2785" s="31" t="e">
        <f>#REF!</f>
        <v>#REF!</v>
      </c>
      <c r="H2785" s="31" t="e">
        <f>#REF!</f>
        <v>#REF!</v>
      </c>
      <c r="I2785" s="31">
        <f>'تقرير المصروفات حسب الشهر'!AA866</f>
        <v>0</v>
      </c>
      <c r="J2785" s="31">
        <f>'تقرير المصروفات حسب الشهر'!AA993</f>
        <v>0</v>
      </c>
      <c r="K2785" s="31">
        <f>'تقرير المصروفات حسب الشهر'!AA1120</f>
        <v>0</v>
      </c>
      <c r="L2785" s="292">
        <f>IFERROR(VLOOKUP(B2785,'تقرير المصروفات حسب الشهر'!$C$1143:$AD$1254,25,FALSE),0)</f>
        <v>0</v>
      </c>
      <c r="M2785" s="292">
        <f>IFERROR(VLOOKUP(B2785,'تقرير المصروفات حسب الشهر'!$C$1270:$AD$1381,25,FALSE),0)</f>
        <v>0</v>
      </c>
      <c r="N2785" s="31" t="e">
        <f>#REF!</f>
        <v>#REF!</v>
      </c>
      <c r="O2785" s="37" t="e">
        <f t="shared" si="70"/>
        <v>#REF!</v>
      </c>
    </row>
    <row r="2786" spans="2:15" ht="17.399999999999999">
      <c r="B2786" s="42" t="s">
        <v>202</v>
      </c>
      <c r="C2786" s="39" t="e">
        <f>#REF!</f>
        <v>#REF!</v>
      </c>
      <c r="D2786" s="31" t="e">
        <f>#REF!</f>
        <v>#REF!</v>
      </c>
      <c r="E2786" s="31" t="e">
        <f>#REF!</f>
        <v>#REF!</v>
      </c>
      <c r="F2786" s="31" t="e">
        <f>#REF!</f>
        <v>#REF!</v>
      </c>
      <c r="G2786" s="31" t="e">
        <f>#REF!</f>
        <v>#REF!</v>
      </c>
      <c r="H2786" s="31" t="e">
        <f>#REF!</f>
        <v>#REF!</v>
      </c>
      <c r="I2786" s="31">
        <f>'تقرير المصروفات حسب الشهر'!AA867</f>
        <v>0</v>
      </c>
      <c r="J2786" s="31">
        <f>'تقرير المصروفات حسب الشهر'!AA994</f>
        <v>0</v>
      </c>
      <c r="K2786" s="31">
        <f>'تقرير المصروفات حسب الشهر'!AA1121</f>
        <v>0</v>
      </c>
      <c r="L2786" s="292">
        <f>IFERROR(VLOOKUP(B2786,'تقرير المصروفات حسب الشهر'!$C$1143:$AD$1254,25,FALSE),0)</f>
        <v>0</v>
      </c>
      <c r="M2786" s="292">
        <f>IFERROR(VLOOKUP(B2786,'تقرير المصروفات حسب الشهر'!$C$1270:$AD$1381,25,FALSE),0)</f>
        <v>0</v>
      </c>
      <c r="N2786" s="31" t="e">
        <f>#REF!</f>
        <v>#REF!</v>
      </c>
      <c r="O2786" s="37" t="e">
        <f t="shared" si="70"/>
        <v>#REF!</v>
      </c>
    </row>
    <row r="2787" spans="2:15" ht="17.399999999999999">
      <c r="B2787" s="42" t="s">
        <v>206</v>
      </c>
      <c r="C2787" s="39" t="e">
        <f>#REF!</f>
        <v>#REF!</v>
      </c>
      <c r="D2787" s="31" t="e">
        <f>#REF!</f>
        <v>#REF!</v>
      </c>
      <c r="E2787" s="31" t="e">
        <f>#REF!</f>
        <v>#REF!</v>
      </c>
      <c r="F2787" s="31" t="e">
        <f>#REF!</f>
        <v>#REF!</v>
      </c>
      <c r="G2787" s="31" t="e">
        <f>#REF!</f>
        <v>#REF!</v>
      </c>
      <c r="H2787" s="31" t="e">
        <f>#REF!</f>
        <v>#REF!</v>
      </c>
      <c r="I2787" s="31">
        <f>'تقرير المصروفات حسب الشهر'!AA868</f>
        <v>0</v>
      </c>
      <c r="J2787" s="31">
        <f>'تقرير المصروفات حسب الشهر'!AA995</f>
        <v>0</v>
      </c>
      <c r="K2787" s="31">
        <f>'تقرير المصروفات حسب الشهر'!AA1122</f>
        <v>0</v>
      </c>
      <c r="L2787" s="292">
        <f>IFERROR(VLOOKUP(B2787,'تقرير المصروفات حسب الشهر'!$C$1143:$AD$1254,25,FALSE),0)</f>
        <v>0</v>
      </c>
      <c r="M2787" s="292">
        <f>IFERROR(VLOOKUP(B2787,'تقرير المصروفات حسب الشهر'!$C$1270:$AD$1381,25,FALSE),0)</f>
        <v>0</v>
      </c>
      <c r="N2787" s="31" t="e">
        <f>#REF!</f>
        <v>#REF!</v>
      </c>
      <c r="O2787" s="37" t="e">
        <f t="shared" si="70"/>
        <v>#REF!</v>
      </c>
    </row>
    <row r="2788" spans="2:15" ht="17.399999999999999">
      <c r="B2788" s="42" t="s">
        <v>207</v>
      </c>
      <c r="C2788" s="39" t="e">
        <f>#REF!</f>
        <v>#REF!</v>
      </c>
      <c r="D2788" s="31" t="e">
        <f>#REF!</f>
        <v>#REF!</v>
      </c>
      <c r="E2788" s="31" t="e">
        <f>#REF!</f>
        <v>#REF!</v>
      </c>
      <c r="F2788" s="31" t="e">
        <f>#REF!</f>
        <v>#REF!</v>
      </c>
      <c r="G2788" s="31" t="e">
        <f>#REF!</f>
        <v>#REF!</v>
      </c>
      <c r="H2788" s="31" t="e">
        <f>#REF!</f>
        <v>#REF!</v>
      </c>
      <c r="I2788" s="31">
        <f>'تقرير المصروفات حسب الشهر'!AA869</f>
        <v>431.25</v>
      </c>
      <c r="J2788" s="31">
        <f>'تقرير المصروفات حسب الشهر'!AA996</f>
        <v>431.25</v>
      </c>
      <c r="K2788" s="31">
        <f>'تقرير المصروفات حسب الشهر'!AA1123</f>
        <v>431.25</v>
      </c>
      <c r="L2788" s="292">
        <f>IFERROR(VLOOKUP(B2788,'تقرير المصروفات حسب الشهر'!$C$1143:$AD$1254,25,FALSE),0)</f>
        <v>431.25</v>
      </c>
      <c r="M2788" s="292">
        <f>IFERROR(VLOOKUP(B2788,'تقرير المصروفات حسب الشهر'!$C$1270:$AD$1381,25,FALSE),0)</f>
        <v>431.25</v>
      </c>
      <c r="N2788" s="31" t="e">
        <f>#REF!</f>
        <v>#REF!</v>
      </c>
      <c r="O2788" s="37" t="e">
        <f t="shared" si="70"/>
        <v>#REF!</v>
      </c>
    </row>
    <row r="2789" spans="2:15" ht="17.399999999999999">
      <c r="B2789" s="42" t="s">
        <v>208</v>
      </c>
      <c r="C2789" s="39" t="e">
        <f>#REF!</f>
        <v>#REF!</v>
      </c>
      <c r="D2789" s="31" t="e">
        <f>#REF!</f>
        <v>#REF!</v>
      </c>
      <c r="E2789" s="31" t="e">
        <f>#REF!</f>
        <v>#REF!</v>
      </c>
      <c r="F2789" s="31" t="e">
        <f>#REF!</f>
        <v>#REF!</v>
      </c>
      <c r="G2789" s="31" t="e">
        <f>#REF!</f>
        <v>#REF!</v>
      </c>
      <c r="H2789" s="31" t="e">
        <f>#REF!</f>
        <v>#REF!</v>
      </c>
      <c r="I2789" s="31">
        <f>'تقرير المصروفات حسب الشهر'!AA870</f>
        <v>0</v>
      </c>
      <c r="J2789" s="31">
        <f>'تقرير المصروفات حسب الشهر'!AA997</f>
        <v>0</v>
      </c>
      <c r="K2789" s="31">
        <f>'تقرير المصروفات حسب الشهر'!AA1124</f>
        <v>0</v>
      </c>
      <c r="L2789" s="292">
        <f>IFERROR(VLOOKUP(B2789,'تقرير المصروفات حسب الشهر'!$C$1143:$AD$1254,25,FALSE),0)</f>
        <v>0</v>
      </c>
      <c r="M2789" s="292">
        <f>IFERROR(VLOOKUP(B2789,'تقرير المصروفات حسب الشهر'!$C$1270:$AD$1381,25,FALSE),0)</f>
        <v>0</v>
      </c>
      <c r="N2789" s="31" t="e">
        <f>#REF!</f>
        <v>#REF!</v>
      </c>
      <c r="O2789" s="37" t="e">
        <f t="shared" si="70"/>
        <v>#REF!</v>
      </c>
    </row>
    <row r="2790" spans="2:15" ht="18" thickBot="1">
      <c r="B2790" s="43" t="s">
        <v>209</v>
      </c>
      <c r="C2790" s="39" t="e">
        <f>#REF!</f>
        <v>#REF!</v>
      </c>
      <c r="D2790" s="31" t="e">
        <f>#REF!</f>
        <v>#REF!</v>
      </c>
      <c r="E2790" s="31" t="e">
        <f>#REF!</f>
        <v>#REF!</v>
      </c>
      <c r="F2790" s="31" t="e">
        <f>#REF!</f>
        <v>#REF!</v>
      </c>
      <c r="G2790" s="31" t="e">
        <f>#REF!</f>
        <v>#REF!</v>
      </c>
      <c r="H2790" s="31">
        <v>0</v>
      </c>
      <c r="I2790" s="31">
        <f>'تقرير المصروفات حسب الشهر'!AA871</f>
        <v>0</v>
      </c>
      <c r="J2790" s="31">
        <f>'تقرير المصروفات حسب الشهر'!AA998</f>
        <v>0</v>
      </c>
      <c r="K2790" s="31">
        <f>'تقرير المصروفات حسب الشهر'!AA1125</f>
        <v>0</v>
      </c>
      <c r="L2790" s="292">
        <f>IFERROR(VLOOKUP(B2790,'تقرير المصروفات حسب الشهر'!$C$1143:$AD$1254,25,FALSE),0)</f>
        <v>0</v>
      </c>
      <c r="M2790" s="292">
        <f>IFERROR(VLOOKUP(B2790,'تقرير المصروفات حسب الشهر'!$C$1270:$AD$1381,25,FALSE),0)</f>
        <v>0</v>
      </c>
      <c r="N2790" s="31" t="e">
        <f>#REF!</f>
        <v>#REF!</v>
      </c>
      <c r="O2790" s="37" t="e">
        <f t="shared" si="70"/>
        <v>#REF!</v>
      </c>
    </row>
    <row r="2791" spans="2:15" ht="21.6" thickBot="1">
      <c r="B2791" s="29" t="s">
        <v>18</v>
      </c>
      <c r="C2791" s="41" t="e">
        <f>SUM(C2682:C2790)</f>
        <v>#REF!</v>
      </c>
      <c r="D2791" s="41" t="e">
        <f t="shared" ref="D2791:O2791" si="71">SUM(D2682:D2790)</f>
        <v>#REF!</v>
      </c>
      <c r="E2791" s="41" t="e">
        <f t="shared" si="71"/>
        <v>#REF!</v>
      </c>
      <c r="F2791" s="41" t="e">
        <f t="shared" si="71"/>
        <v>#REF!</v>
      </c>
      <c r="G2791" s="41" t="e">
        <f t="shared" si="71"/>
        <v>#REF!</v>
      </c>
      <c r="H2791" s="41" t="e">
        <f t="shared" si="71"/>
        <v>#REF!</v>
      </c>
      <c r="I2791" s="41">
        <f t="shared" si="71"/>
        <v>44022.880000000005</v>
      </c>
      <c r="J2791" s="41">
        <f t="shared" si="71"/>
        <v>12099.51</v>
      </c>
      <c r="K2791" s="41">
        <f t="shared" si="71"/>
        <v>12721.25</v>
      </c>
      <c r="L2791" s="41">
        <f t="shared" si="71"/>
        <v>34900.299999999996</v>
      </c>
      <c r="M2791" s="41">
        <f t="shared" si="71"/>
        <v>24035.5</v>
      </c>
      <c r="N2791" s="41" t="e">
        <f t="shared" si="71"/>
        <v>#REF!</v>
      </c>
      <c r="O2791" s="41" t="e">
        <f t="shared" si="71"/>
        <v>#REF!</v>
      </c>
    </row>
    <row r="2793" spans="2:15" ht="13.8" thickBot="1"/>
    <row r="2794" spans="2:15" ht="31.2" thickTop="1" thickBot="1">
      <c r="B2794" s="643" t="s">
        <v>237</v>
      </c>
      <c r="C2794" s="644"/>
      <c r="D2794" s="644"/>
      <c r="E2794" s="644"/>
      <c r="F2794" s="644"/>
      <c r="G2794" s="644"/>
      <c r="H2794" s="644"/>
      <c r="I2794" s="644"/>
      <c r="J2794" s="644"/>
      <c r="K2794" s="644"/>
      <c r="L2794" s="644"/>
      <c r="M2794" s="644"/>
      <c r="N2794" s="644"/>
      <c r="O2794" s="645"/>
    </row>
    <row r="2795" spans="2:15" ht="17.399999999999999">
      <c r="B2795" s="30" t="s">
        <v>23</v>
      </c>
      <c r="C2795" s="33" t="s">
        <v>0</v>
      </c>
      <c r="D2795" s="33" t="s">
        <v>1</v>
      </c>
      <c r="E2795" s="34" t="s">
        <v>2</v>
      </c>
      <c r="F2795" s="34" t="s">
        <v>3</v>
      </c>
      <c r="G2795" s="34" t="s">
        <v>4</v>
      </c>
      <c r="H2795" s="34" t="s">
        <v>5</v>
      </c>
      <c r="I2795" s="34" t="s">
        <v>6</v>
      </c>
      <c r="J2795" s="34" t="s">
        <v>7</v>
      </c>
      <c r="K2795" s="34" t="s">
        <v>8</v>
      </c>
      <c r="L2795" s="34" t="s">
        <v>9</v>
      </c>
      <c r="M2795" s="34" t="s">
        <v>10</v>
      </c>
      <c r="N2795" s="35" t="s">
        <v>11</v>
      </c>
      <c r="O2795" s="36" t="s">
        <v>18</v>
      </c>
    </row>
    <row r="2796" spans="2:15" ht="17.399999999999999">
      <c r="B2796" s="42" t="s">
        <v>40</v>
      </c>
      <c r="C2796" s="39" t="e">
        <f>#REF!</f>
        <v>#REF!</v>
      </c>
      <c r="D2796" s="31" t="e">
        <f>#REF!</f>
        <v>#REF!</v>
      </c>
      <c r="E2796" s="31" t="e">
        <f>#REF!</f>
        <v>#REF!</v>
      </c>
      <c r="F2796" s="31" t="e">
        <f>#REF!</f>
        <v>#REF!</v>
      </c>
      <c r="G2796" s="31" t="e">
        <f>#REF!</f>
        <v>#REF!</v>
      </c>
      <c r="H2796" s="31" t="e">
        <f>#REF!</f>
        <v>#REF!</v>
      </c>
      <c r="I2796" s="31">
        <f>'تقرير المصروفات حسب الشهر'!AB763</f>
        <v>0</v>
      </c>
      <c r="J2796" s="31">
        <f>'تقرير المصروفات حسب الشهر'!AB890</f>
        <v>0</v>
      </c>
      <c r="K2796" s="31">
        <f>'تقرير المصروفات حسب الشهر'!AB1017</f>
        <v>0</v>
      </c>
      <c r="L2796" s="292">
        <f>IFERROR(VLOOKUP(B2796,'تقرير المصروفات حسب الشهر'!$C$1143:$AD$1254,26,FALSE),0)</f>
        <v>0</v>
      </c>
      <c r="M2796" s="292">
        <f>IFERROR(VLOOKUP(B2796,'تقرير المصروفات حسب الشهر'!$C$1270:$AD$1381,26,FALSE),0)</f>
        <v>0</v>
      </c>
      <c r="N2796" s="31" t="e">
        <f>#REF!</f>
        <v>#REF!</v>
      </c>
      <c r="O2796" s="37" t="e">
        <f>SUM(C2796:N2796)</f>
        <v>#REF!</v>
      </c>
    </row>
    <row r="2797" spans="2:15" ht="17.399999999999999">
      <c r="B2797" s="42" t="s">
        <v>41</v>
      </c>
      <c r="C2797" s="39" t="e">
        <f>#REF!</f>
        <v>#REF!</v>
      </c>
      <c r="D2797" s="31" t="e">
        <f>#REF!</f>
        <v>#REF!</v>
      </c>
      <c r="E2797" s="31" t="e">
        <f>#REF!</f>
        <v>#REF!</v>
      </c>
      <c r="F2797" s="31" t="e">
        <f>#REF!</f>
        <v>#REF!</v>
      </c>
      <c r="G2797" s="31" t="e">
        <f>#REF!</f>
        <v>#REF!</v>
      </c>
      <c r="H2797" s="31" t="e">
        <f>#REF!</f>
        <v>#REF!</v>
      </c>
      <c r="I2797" s="31">
        <f>'تقرير المصروفات حسب الشهر'!AB764</f>
        <v>26809.85</v>
      </c>
      <c r="J2797" s="31">
        <f>'تقرير المصروفات حسب الشهر'!AB891</f>
        <v>40042.769999999997</v>
      </c>
      <c r="K2797" s="31">
        <f>'تقرير المصروفات حسب الشهر'!AB1018</f>
        <v>32484.949999999997</v>
      </c>
      <c r="L2797" s="292">
        <f>IFERROR(VLOOKUP(B2797,'تقرير المصروفات حسب الشهر'!$C$1143:$AD$1254,26,FALSE),0)</f>
        <v>35650.159999999996</v>
      </c>
      <c r="M2797" s="292">
        <f>IFERROR(VLOOKUP(B2797,'تقرير المصروفات حسب الشهر'!$C$1270:$AD$1381,26,FALSE),0)</f>
        <v>20045.32</v>
      </c>
      <c r="N2797" s="31" t="e">
        <f>#REF!</f>
        <v>#REF!</v>
      </c>
      <c r="O2797" s="37" t="e">
        <f t="shared" ref="O2797:O2860" si="72">SUM(C2797:N2797)</f>
        <v>#REF!</v>
      </c>
    </row>
    <row r="2798" spans="2:15" ht="17.399999999999999">
      <c r="B2798" s="42" t="s">
        <v>26</v>
      </c>
      <c r="C2798" s="39" t="e">
        <f>#REF!</f>
        <v>#REF!</v>
      </c>
      <c r="D2798" s="31" t="e">
        <f>#REF!</f>
        <v>#REF!</v>
      </c>
      <c r="E2798" s="31" t="e">
        <f>#REF!</f>
        <v>#REF!</v>
      </c>
      <c r="F2798" s="31" t="e">
        <f>#REF!</f>
        <v>#REF!</v>
      </c>
      <c r="G2798" s="31" t="e">
        <f>#REF!</f>
        <v>#REF!</v>
      </c>
      <c r="H2798" s="31" t="e">
        <f>#REF!</f>
        <v>#REF!</v>
      </c>
      <c r="I2798" s="31">
        <f>'تقرير المصروفات حسب الشهر'!AB765</f>
        <v>0</v>
      </c>
      <c r="J2798" s="31">
        <f>'تقرير المصروفات حسب الشهر'!AB892</f>
        <v>0</v>
      </c>
      <c r="K2798" s="31">
        <f>'تقرير المصروفات حسب الشهر'!AB1019</f>
        <v>0</v>
      </c>
      <c r="L2798" s="292">
        <f>IFERROR(VLOOKUP(B2798,'تقرير المصروفات حسب الشهر'!$C$1143:$AD$1254,26,FALSE),0)</f>
        <v>0</v>
      </c>
      <c r="M2798" s="292">
        <f>IFERROR(VLOOKUP(B2798,'تقرير المصروفات حسب الشهر'!$C$1270:$AD$1381,26,FALSE),0)</f>
        <v>0</v>
      </c>
      <c r="N2798" s="31" t="e">
        <f>#REF!</f>
        <v>#REF!</v>
      </c>
      <c r="O2798" s="37" t="e">
        <f t="shared" si="72"/>
        <v>#REF!</v>
      </c>
    </row>
    <row r="2799" spans="2:15" ht="17.399999999999999">
      <c r="B2799" s="42" t="s">
        <v>27</v>
      </c>
      <c r="C2799" s="39" t="e">
        <f>#REF!</f>
        <v>#REF!</v>
      </c>
      <c r="D2799" s="31" t="e">
        <f>#REF!</f>
        <v>#REF!</v>
      </c>
      <c r="E2799" s="31" t="e">
        <f>#REF!</f>
        <v>#REF!</v>
      </c>
      <c r="F2799" s="31" t="e">
        <f>#REF!</f>
        <v>#REF!</v>
      </c>
      <c r="G2799" s="31" t="e">
        <f>#REF!</f>
        <v>#REF!</v>
      </c>
      <c r="H2799" s="31" t="e">
        <f>#REF!</f>
        <v>#REF!</v>
      </c>
      <c r="I2799" s="31">
        <f>'تقرير المصروفات حسب الشهر'!AB766</f>
        <v>0</v>
      </c>
      <c r="J2799" s="31">
        <f>'تقرير المصروفات حسب الشهر'!AB893</f>
        <v>0</v>
      </c>
      <c r="K2799" s="31">
        <f>'تقرير المصروفات حسب الشهر'!AB1020</f>
        <v>0</v>
      </c>
      <c r="L2799" s="292">
        <f>IFERROR(VLOOKUP(B2799,'تقرير المصروفات حسب الشهر'!$C$1143:$AD$1254,26,FALSE),0)</f>
        <v>0</v>
      </c>
      <c r="M2799" s="292">
        <f>IFERROR(VLOOKUP(B2799,'تقرير المصروفات حسب الشهر'!$C$1270:$AD$1381,26,FALSE),0)</f>
        <v>0</v>
      </c>
      <c r="N2799" s="31" t="e">
        <f>#REF!</f>
        <v>#REF!</v>
      </c>
      <c r="O2799" s="37" t="e">
        <f t="shared" si="72"/>
        <v>#REF!</v>
      </c>
    </row>
    <row r="2800" spans="2:15" ht="17.399999999999999">
      <c r="B2800" s="42" t="s">
        <v>42</v>
      </c>
      <c r="C2800" s="39" t="e">
        <f>#REF!</f>
        <v>#REF!</v>
      </c>
      <c r="D2800" s="31" t="e">
        <f>#REF!</f>
        <v>#REF!</v>
      </c>
      <c r="E2800" s="31" t="e">
        <f>#REF!</f>
        <v>#REF!</v>
      </c>
      <c r="F2800" s="31" t="e">
        <f>#REF!</f>
        <v>#REF!</v>
      </c>
      <c r="G2800" s="31" t="e">
        <f>#REF!</f>
        <v>#REF!</v>
      </c>
      <c r="H2800" s="31" t="e">
        <f>#REF!</f>
        <v>#REF!</v>
      </c>
      <c r="I2800" s="31">
        <f>'تقرير المصروفات حسب الشهر'!AB767</f>
        <v>0</v>
      </c>
      <c r="J2800" s="31">
        <f>'تقرير المصروفات حسب الشهر'!AB894</f>
        <v>0</v>
      </c>
      <c r="K2800" s="31">
        <f>'تقرير المصروفات حسب الشهر'!AB1021</f>
        <v>0</v>
      </c>
      <c r="L2800" s="292">
        <f>IFERROR(VLOOKUP(B2800,'تقرير المصروفات حسب الشهر'!$C$1143:$AD$1254,26,FALSE),0)</f>
        <v>0</v>
      </c>
      <c r="M2800" s="292">
        <f>IFERROR(VLOOKUP(B2800,'تقرير المصروفات حسب الشهر'!$C$1270:$AD$1381,26,FALSE),0)</f>
        <v>0</v>
      </c>
      <c r="N2800" s="31" t="e">
        <f>#REF!</f>
        <v>#REF!</v>
      </c>
      <c r="O2800" s="37" t="e">
        <f t="shared" si="72"/>
        <v>#REF!</v>
      </c>
    </row>
    <row r="2801" spans="2:15" ht="17.399999999999999">
      <c r="B2801" s="42" t="s">
        <v>43</v>
      </c>
      <c r="C2801" s="39" t="e">
        <f>#REF!</f>
        <v>#REF!</v>
      </c>
      <c r="D2801" s="31" t="e">
        <f>#REF!</f>
        <v>#REF!</v>
      </c>
      <c r="E2801" s="31" t="e">
        <f>#REF!</f>
        <v>#REF!</v>
      </c>
      <c r="F2801" s="31" t="e">
        <f>#REF!</f>
        <v>#REF!</v>
      </c>
      <c r="G2801" s="31" t="e">
        <f>#REF!</f>
        <v>#REF!</v>
      </c>
      <c r="H2801" s="31" t="e">
        <f>#REF!</f>
        <v>#REF!</v>
      </c>
      <c r="I2801" s="31">
        <f>'تقرير المصروفات حسب الشهر'!AB768</f>
        <v>0</v>
      </c>
      <c r="J2801" s="31">
        <f>'تقرير المصروفات حسب الشهر'!AB895</f>
        <v>0</v>
      </c>
      <c r="K2801" s="31">
        <f>'تقرير المصروفات حسب الشهر'!AB1022</f>
        <v>0</v>
      </c>
      <c r="L2801" s="292">
        <f>IFERROR(VLOOKUP(B2801,'تقرير المصروفات حسب الشهر'!$C$1143:$AD$1254,26,FALSE),0)</f>
        <v>0</v>
      </c>
      <c r="M2801" s="292">
        <f>IFERROR(VLOOKUP(B2801,'تقرير المصروفات حسب الشهر'!$C$1270:$AD$1381,26,FALSE),0)</f>
        <v>0</v>
      </c>
      <c r="N2801" s="31" t="e">
        <f>#REF!</f>
        <v>#REF!</v>
      </c>
      <c r="O2801" s="37" t="e">
        <f t="shared" si="72"/>
        <v>#REF!</v>
      </c>
    </row>
    <row r="2802" spans="2:15" ht="17.399999999999999">
      <c r="B2802" s="42" t="s">
        <v>44</v>
      </c>
      <c r="C2802" s="39" t="e">
        <f>#REF!</f>
        <v>#REF!</v>
      </c>
      <c r="D2802" s="31" t="e">
        <f>#REF!</f>
        <v>#REF!</v>
      </c>
      <c r="E2802" s="31" t="e">
        <f>#REF!</f>
        <v>#REF!</v>
      </c>
      <c r="F2802" s="31" t="e">
        <f>#REF!</f>
        <v>#REF!</v>
      </c>
      <c r="G2802" s="31" t="e">
        <f>#REF!</f>
        <v>#REF!</v>
      </c>
      <c r="H2802" s="31" t="e">
        <f>#REF!</f>
        <v>#REF!</v>
      </c>
      <c r="I2802" s="31">
        <f>'تقرير المصروفات حسب الشهر'!AB769</f>
        <v>0</v>
      </c>
      <c r="J2802" s="31">
        <f>'تقرير المصروفات حسب الشهر'!AB896</f>
        <v>0</v>
      </c>
      <c r="K2802" s="31">
        <f>'تقرير المصروفات حسب الشهر'!AB1023</f>
        <v>0</v>
      </c>
      <c r="L2802" s="292">
        <f>IFERROR(VLOOKUP(B2802,'تقرير المصروفات حسب الشهر'!$C$1143:$AD$1254,26,FALSE),0)</f>
        <v>0</v>
      </c>
      <c r="M2802" s="292">
        <f>IFERROR(VLOOKUP(B2802,'تقرير المصروفات حسب الشهر'!$C$1270:$AD$1381,26,FALSE),0)</f>
        <v>0</v>
      </c>
      <c r="N2802" s="31" t="e">
        <f>#REF!</f>
        <v>#REF!</v>
      </c>
      <c r="O2802" s="37" t="e">
        <f t="shared" si="72"/>
        <v>#REF!</v>
      </c>
    </row>
    <row r="2803" spans="2:15" ht="17.399999999999999">
      <c r="B2803" s="42" t="s">
        <v>45</v>
      </c>
      <c r="C2803" s="39" t="e">
        <f>#REF!</f>
        <v>#REF!</v>
      </c>
      <c r="D2803" s="31" t="e">
        <f>#REF!</f>
        <v>#REF!</v>
      </c>
      <c r="E2803" s="31" t="e">
        <f>#REF!</f>
        <v>#REF!</v>
      </c>
      <c r="F2803" s="31" t="e">
        <f>#REF!</f>
        <v>#REF!</v>
      </c>
      <c r="G2803" s="31" t="e">
        <f>#REF!</f>
        <v>#REF!</v>
      </c>
      <c r="H2803" s="31" t="e">
        <f>#REF!</f>
        <v>#REF!</v>
      </c>
      <c r="I2803" s="31">
        <f>'تقرير المصروفات حسب الشهر'!AB770</f>
        <v>0</v>
      </c>
      <c r="J2803" s="31">
        <f>'تقرير المصروفات حسب الشهر'!AB897</f>
        <v>0</v>
      </c>
      <c r="K2803" s="31">
        <f>'تقرير المصروفات حسب الشهر'!AB1024</f>
        <v>0</v>
      </c>
      <c r="L2803" s="292">
        <f>IFERROR(VLOOKUP(B2803,'تقرير المصروفات حسب الشهر'!$C$1143:$AD$1254,26,FALSE),0)</f>
        <v>0</v>
      </c>
      <c r="M2803" s="292">
        <f>IFERROR(VLOOKUP(B2803,'تقرير المصروفات حسب الشهر'!$C$1270:$AD$1381,26,FALSE),0)</f>
        <v>0</v>
      </c>
      <c r="N2803" s="31" t="e">
        <f>#REF!</f>
        <v>#REF!</v>
      </c>
      <c r="O2803" s="37" t="e">
        <f t="shared" si="72"/>
        <v>#REF!</v>
      </c>
    </row>
    <row r="2804" spans="2:15" ht="17.399999999999999">
      <c r="B2804" s="42" t="s">
        <v>156</v>
      </c>
      <c r="C2804" s="39" t="e">
        <f>#REF!</f>
        <v>#REF!</v>
      </c>
      <c r="D2804" s="31" t="e">
        <f>#REF!</f>
        <v>#REF!</v>
      </c>
      <c r="E2804" s="31" t="e">
        <f>#REF!</f>
        <v>#REF!</v>
      </c>
      <c r="F2804" s="31" t="e">
        <f>#REF!</f>
        <v>#REF!</v>
      </c>
      <c r="G2804" s="31" t="e">
        <f>#REF!</f>
        <v>#REF!</v>
      </c>
      <c r="H2804" s="31" t="e">
        <f>#REF!</f>
        <v>#REF!</v>
      </c>
      <c r="I2804" s="31">
        <f>'تقرير المصروفات حسب الشهر'!AB771</f>
        <v>0</v>
      </c>
      <c r="J2804" s="31">
        <f>'تقرير المصروفات حسب الشهر'!AB898</f>
        <v>0</v>
      </c>
      <c r="K2804" s="31">
        <f>'تقرير المصروفات حسب الشهر'!AB1025</f>
        <v>0</v>
      </c>
      <c r="L2804" s="292">
        <f>IFERROR(VLOOKUP(B2804,'تقرير المصروفات حسب الشهر'!$C$1143:$AD$1254,26,FALSE),0)</f>
        <v>0</v>
      </c>
      <c r="M2804" s="292">
        <f>IFERROR(VLOOKUP(B2804,'تقرير المصروفات حسب الشهر'!$C$1270:$AD$1381,26,FALSE),0)</f>
        <v>0</v>
      </c>
      <c r="N2804" s="31" t="e">
        <f>#REF!</f>
        <v>#REF!</v>
      </c>
      <c r="O2804" s="37" t="e">
        <f t="shared" si="72"/>
        <v>#REF!</v>
      </c>
    </row>
    <row r="2805" spans="2:15" ht="17.399999999999999">
      <c r="B2805" s="42" t="s">
        <v>46</v>
      </c>
      <c r="C2805" s="39" t="e">
        <f>#REF!</f>
        <v>#REF!</v>
      </c>
      <c r="D2805" s="31" t="e">
        <f>#REF!</f>
        <v>#REF!</v>
      </c>
      <c r="E2805" s="31" t="e">
        <f>#REF!</f>
        <v>#REF!</v>
      </c>
      <c r="F2805" s="31" t="e">
        <f>#REF!</f>
        <v>#REF!</v>
      </c>
      <c r="G2805" s="31" t="e">
        <f>#REF!</f>
        <v>#REF!</v>
      </c>
      <c r="H2805" s="31" t="e">
        <f>#REF!</f>
        <v>#REF!</v>
      </c>
      <c r="I2805" s="31">
        <f>'تقرير المصروفات حسب الشهر'!AB772</f>
        <v>138.33000000000001</v>
      </c>
      <c r="J2805" s="31">
        <f>'تقرير المصروفات حسب الشهر'!AB899</f>
        <v>68.33</v>
      </c>
      <c r="K2805" s="31">
        <f>'تقرير المصروفات حسب الشهر'!AB1026</f>
        <v>68.33</v>
      </c>
      <c r="L2805" s="292">
        <f>IFERROR(VLOOKUP(B2805,'تقرير المصروفات حسب الشهر'!$C$1143:$AD$1254,26,FALSE),0)</f>
        <v>68.33</v>
      </c>
      <c r="M2805" s="292">
        <f>IFERROR(VLOOKUP(B2805,'تقرير المصروفات حسب الشهر'!$C$1270:$AD$1381,26,FALSE),0)</f>
        <v>68.33</v>
      </c>
      <c r="N2805" s="31" t="e">
        <f>#REF!</f>
        <v>#REF!</v>
      </c>
      <c r="O2805" s="37" t="e">
        <f t="shared" si="72"/>
        <v>#REF!</v>
      </c>
    </row>
    <row r="2806" spans="2:15" ht="17.399999999999999">
      <c r="B2806" s="42" t="s">
        <v>47</v>
      </c>
      <c r="C2806" s="39" t="e">
        <f>#REF!</f>
        <v>#REF!</v>
      </c>
      <c r="D2806" s="31" t="e">
        <f>#REF!</f>
        <v>#REF!</v>
      </c>
      <c r="E2806" s="31" t="e">
        <f>#REF!</f>
        <v>#REF!</v>
      </c>
      <c r="F2806" s="31" t="e">
        <f>#REF!</f>
        <v>#REF!</v>
      </c>
      <c r="G2806" s="31" t="e">
        <f>#REF!</f>
        <v>#REF!</v>
      </c>
      <c r="H2806" s="31" t="e">
        <f>#REF!</f>
        <v>#REF!</v>
      </c>
      <c r="I2806" s="31">
        <f>'تقرير المصروفات حسب الشهر'!AB773</f>
        <v>0</v>
      </c>
      <c r="J2806" s="31">
        <f>'تقرير المصروفات حسب الشهر'!AB900</f>
        <v>0</v>
      </c>
      <c r="K2806" s="31">
        <f>'تقرير المصروفات حسب الشهر'!AB1027</f>
        <v>0</v>
      </c>
      <c r="L2806" s="292">
        <f>IFERROR(VLOOKUP(B2806,'تقرير المصروفات حسب الشهر'!$C$1143:$AD$1254,26,FALSE),0)</f>
        <v>0</v>
      </c>
      <c r="M2806" s="292">
        <f>IFERROR(VLOOKUP(B2806,'تقرير المصروفات حسب الشهر'!$C$1270:$AD$1381,26,FALSE),0)</f>
        <v>0</v>
      </c>
      <c r="N2806" s="31" t="e">
        <f>#REF!</f>
        <v>#REF!</v>
      </c>
      <c r="O2806" s="37" t="e">
        <f t="shared" si="72"/>
        <v>#REF!</v>
      </c>
    </row>
    <row r="2807" spans="2:15" ht="17.399999999999999">
      <c r="B2807" s="42" t="s">
        <v>48</v>
      </c>
      <c r="C2807" s="39" t="e">
        <f>#REF!</f>
        <v>#REF!</v>
      </c>
      <c r="D2807" s="31" t="e">
        <f>#REF!</f>
        <v>#REF!</v>
      </c>
      <c r="E2807" s="31" t="e">
        <f>#REF!</f>
        <v>#REF!</v>
      </c>
      <c r="F2807" s="31" t="e">
        <f>#REF!</f>
        <v>#REF!</v>
      </c>
      <c r="G2807" s="31" t="e">
        <f>#REF!</f>
        <v>#REF!</v>
      </c>
      <c r="H2807" s="31" t="e">
        <f>#REF!</f>
        <v>#REF!</v>
      </c>
      <c r="I2807" s="31">
        <f>'تقرير المصروفات حسب الشهر'!AB774</f>
        <v>0</v>
      </c>
      <c r="J2807" s="31">
        <f>'تقرير المصروفات حسب الشهر'!AB901</f>
        <v>0</v>
      </c>
      <c r="K2807" s="31">
        <f>'تقرير المصروفات حسب الشهر'!AB1028</f>
        <v>0</v>
      </c>
      <c r="L2807" s="292">
        <f>IFERROR(VLOOKUP(B2807,'تقرير المصروفات حسب الشهر'!$C$1143:$AD$1254,26,FALSE),0)</f>
        <v>0</v>
      </c>
      <c r="M2807" s="292">
        <f>IFERROR(VLOOKUP(B2807,'تقرير المصروفات حسب الشهر'!$C$1270:$AD$1381,26,FALSE),0)</f>
        <v>0</v>
      </c>
      <c r="N2807" s="31" t="e">
        <f>#REF!</f>
        <v>#REF!</v>
      </c>
      <c r="O2807" s="37" t="e">
        <f t="shared" si="72"/>
        <v>#REF!</v>
      </c>
    </row>
    <row r="2808" spans="2:15" ht="17.399999999999999">
      <c r="B2808" s="42" t="s">
        <v>49</v>
      </c>
      <c r="C2808" s="39" t="e">
        <f>#REF!</f>
        <v>#REF!</v>
      </c>
      <c r="D2808" s="31" t="e">
        <f>#REF!</f>
        <v>#REF!</v>
      </c>
      <c r="E2808" s="31" t="e">
        <f>#REF!</f>
        <v>#REF!</v>
      </c>
      <c r="F2808" s="31" t="e">
        <f>#REF!</f>
        <v>#REF!</v>
      </c>
      <c r="G2808" s="31" t="e">
        <f>#REF!</f>
        <v>#REF!</v>
      </c>
      <c r="H2808" s="31" t="e">
        <f>#REF!</f>
        <v>#REF!</v>
      </c>
      <c r="I2808" s="31">
        <f>'تقرير المصروفات حسب الشهر'!AB775</f>
        <v>0</v>
      </c>
      <c r="J2808" s="31">
        <f>'تقرير المصروفات حسب الشهر'!AB902</f>
        <v>0</v>
      </c>
      <c r="K2808" s="31">
        <f>'تقرير المصروفات حسب الشهر'!AB1029</f>
        <v>0</v>
      </c>
      <c r="L2808" s="292">
        <f>IFERROR(VLOOKUP(B2808,'تقرير المصروفات حسب الشهر'!$C$1143:$AD$1254,26,FALSE),0)</f>
        <v>0</v>
      </c>
      <c r="M2808" s="292">
        <f>IFERROR(VLOOKUP(B2808,'تقرير المصروفات حسب الشهر'!$C$1270:$AD$1381,26,FALSE),0)</f>
        <v>0</v>
      </c>
      <c r="N2808" s="31" t="e">
        <f>#REF!</f>
        <v>#REF!</v>
      </c>
      <c r="O2808" s="37" t="e">
        <f t="shared" si="72"/>
        <v>#REF!</v>
      </c>
    </row>
    <row r="2809" spans="2:15" ht="17.399999999999999">
      <c r="B2809" s="42" t="s">
        <v>158</v>
      </c>
      <c r="C2809" s="39" t="e">
        <f>#REF!</f>
        <v>#REF!</v>
      </c>
      <c r="D2809" s="31" t="e">
        <f>#REF!</f>
        <v>#REF!</v>
      </c>
      <c r="E2809" s="31" t="e">
        <f>#REF!</f>
        <v>#REF!</v>
      </c>
      <c r="F2809" s="31" t="e">
        <f>#REF!</f>
        <v>#REF!</v>
      </c>
      <c r="G2809" s="31" t="e">
        <f>#REF!</f>
        <v>#REF!</v>
      </c>
      <c r="H2809" s="31" t="e">
        <f>#REF!</f>
        <v>#REF!</v>
      </c>
      <c r="I2809" s="31">
        <f>'تقرير المصروفات حسب الشهر'!AB776</f>
        <v>0</v>
      </c>
      <c r="J2809" s="31">
        <f>'تقرير المصروفات حسب الشهر'!AB903</f>
        <v>0</v>
      </c>
      <c r="K2809" s="31">
        <f>'تقرير المصروفات حسب الشهر'!AB1030</f>
        <v>0</v>
      </c>
      <c r="L2809" s="292">
        <f>IFERROR(VLOOKUP(B2809,'تقرير المصروفات حسب الشهر'!$C$1143:$AD$1254,26,FALSE),0)</f>
        <v>0</v>
      </c>
      <c r="M2809" s="292">
        <f>IFERROR(VLOOKUP(B2809,'تقرير المصروفات حسب الشهر'!$C$1270:$AD$1381,26,FALSE),0)</f>
        <v>0</v>
      </c>
      <c r="N2809" s="31" t="e">
        <f>#REF!</f>
        <v>#REF!</v>
      </c>
      <c r="O2809" s="37" t="e">
        <f t="shared" si="72"/>
        <v>#REF!</v>
      </c>
    </row>
    <row r="2810" spans="2:15" ht="17.399999999999999">
      <c r="B2810" s="42" t="s">
        <v>50</v>
      </c>
      <c r="C2810" s="39" t="e">
        <f>#REF!</f>
        <v>#REF!</v>
      </c>
      <c r="D2810" s="31" t="e">
        <f>#REF!</f>
        <v>#REF!</v>
      </c>
      <c r="E2810" s="31" t="e">
        <f>#REF!</f>
        <v>#REF!</v>
      </c>
      <c r="F2810" s="31" t="e">
        <f>#REF!</f>
        <v>#REF!</v>
      </c>
      <c r="G2810" s="31" t="e">
        <f>#REF!</f>
        <v>#REF!</v>
      </c>
      <c r="H2810" s="31" t="e">
        <f>#REF!</f>
        <v>#REF!</v>
      </c>
      <c r="I2810" s="31">
        <f>'تقرير المصروفات حسب الشهر'!AB777</f>
        <v>0</v>
      </c>
      <c r="J2810" s="31">
        <f>'تقرير المصروفات حسب الشهر'!AB904</f>
        <v>0</v>
      </c>
      <c r="K2810" s="31">
        <f>'تقرير المصروفات حسب الشهر'!AB1031</f>
        <v>0</v>
      </c>
      <c r="L2810" s="292">
        <f>IFERROR(VLOOKUP(B2810,'تقرير المصروفات حسب الشهر'!$C$1143:$AD$1254,26,FALSE),0)</f>
        <v>770</v>
      </c>
      <c r="M2810" s="292">
        <f>IFERROR(VLOOKUP(B2810,'تقرير المصروفات حسب الشهر'!$C$1270:$AD$1381,26,FALSE),0)</f>
        <v>0</v>
      </c>
      <c r="N2810" s="31" t="e">
        <f>#REF!</f>
        <v>#REF!</v>
      </c>
      <c r="O2810" s="37" t="e">
        <f t="shared" si="72"/>
        <v>#REF!</v>
      </c>
    </row>
    <row r="2811" spans="2:15" ht="17.399999999999999">
      <c r="B2811" s="42" t="s">
        <v>51</v>
      </c>
      <c r="C2811" s="39" t="e">
        <f>#REF!</f>
        <v>#REF!</v>
      </c>
      <c r="D2811" s="31" t="e">
        <f>#REF!</f>
        <v>#REF!</v>
      </c>
      <c r="E2811" s="31" t="e">
        <f>#REF!</f>
        <v>#REF!</v>
      </c>
      <c r="F2811" s="31" t="e">
        <f>#REF!</f>
        <v>#REF!</v>
      </c>
      <c r="G2811" s="31" t="e">
        <f>#REF!</f>
        <v>#REF!</v>
      </c>
      <c r="H2811" s="31" t="e">
        <f>#REF!</f>
        <v>#REF!</v>
      </c>
      <c r="I2811" s="31">
        <f>'تقرير المصروفات حسب الشهر'!AB778</f>
        <v>0</v>
      </c>
      <c r="J2811" s="31">
        <f>'تقرير المصروفات حسب الشهر'!AB905</f>
        <v>0</v>
      </c>
      <c r="K2811" s="31">
        <f>'تقرير المصروفات حسب الشهر'!AB1032</f>
        <v>0</v>
      </c>
      <c r="L2811" s="292">
        <f>IFERROR(VLOOKUP(B2811,'تقرير المصروفات حسب الشهر'!$C$1143:$AD$1254,26,FALSE),0)</f>
        <v>0</v>
      </c>
      <c r="M2811" s="292">
        <f>IFERROR(VLOOKUP(B2811,'تقرير المصروفات حسب الشهر'!$C$1270:$AD$1381,26,FALSE),0)</f>
        <v>0</v>
      </c>
      <c r="N2811" s="31" t="e">
        <f>#REF!</f>
        <v>#REF!</v>
      </c>
      <c r="O2811" s="37" t="e">
        <f t="shared" si="72"/>
        <v>#REF!</v>
      </c>
    </row>
    <row r="2812" spans="2:15" ht="17.399999999999999">
      <c r="B2812" s="42" t="s">
        <v>52</v>
      </c>
      <c r="C2812" s="39" t="e">
        <f>#REF!</f>
        <v>#REF!</v>
      </c>
      <c r="D2812" s="31" t="e">
        <f>#REF!</f>
        <v>#REF!</v>
      </c>
      <c r="E2812" s="31" t="e">
        <f>#REF!</f>
        <v>#REF!</v>
      </c>
      <c r="F2812" s="31" t="e">
        <f>#REF!</f>
        <v>#REF!</v>
      </c>
      <c r="G2812" s="31" t="e">
        <f>#REF!</f>
        <v>#REF!</v>
      </c>
      <c r="H2812" s="31" t="e">
        <f>#REF!</f>
        <v>#REF!</v>
      </c>
      <c r="I2812" s="31">
        <f>'تقرير المصروفات حسب الشهر'!AB779</f>
        <v>0</v>
      </c>
      <c r="J2812" s="31">
        <f>'تقرير المصروفات حسب الشهر'!AB906</f>
        <v>0</v>
      </c>
      <c r="K2812" s="31">
        <f>'تقرير المصروفات حسب الشهر'!AB1033</f>
        <v>0</v>
      </c>
      <c r="L2812" s="292">
        <f>IFERROR(VLOOKUP(B2812,'تقرير المصروفات حسب الشهر'!$C$1143:$AD$1254,26,FALSE),0)</f>
        <v>0</v>
      </c>
      <c r="M2812" s="292">
        <f>IFERROR(VLOOKUP(B2812,'تقرير المصروفات حسب الشهر'!$C$1270:$AD$1381,26,FALSE),0)</f>
        <v>0</v>
      </c>
      <c r="N2812" s="31" t="e">
        <f>#REF!</f>
        <v>#REF!</v>
      </c>
      <c r="O2812" s="37" t="e">
        <f t="shared" si="72"/>
        <v>#REF!</v>
      </c>
    </row>
    <row r="2813" spans="2:15" ht="17.399999999999999">
      <c r="B2813" s="42" t="s">
        <v>174</v>
      </c>
      <c r="C2813" s="39" t="e">
        <f>#REF!</f>
        <v>#REF!</v>
      </c>
      <c r="D2813" s="31" t="e">
        <f>#REF!</f>
        <v>#REF!</v>
      </c>
      <c r="E2813" s="31" t="e">
        <f>#REF!</f>
        <v>#REF!</v>
      </c>
      <c r="F2813" s="31" t="e">
        <f>#REF!</f>
        <v>#REF!</v>
      </c>
      <c r="G2813" s="31" t="e">
        <f>#REF!</f>
        <v>#REF!</v>
      </c>
      <c r="H2813" s="31" t="e">
        <f>#REF!</f>
        <v>#REF!</v>
      </c>
      <c r="I2813" s="31">
        <f>'تقرير المصروفات حسب الشهر'!AB780</f>
        <v>0</v>
      </c>
      <c r="J2813" s="31">
        <f>'تقرير المصروفات حسب الشهر'!AB907</f>
        <v>0</v>
      </c>
      <c r="K2813" s="31">
        <f>'تقرير المصروفات حسب الشهر'!AB1034</f>
        <v>0</v>
      </c>
      <c r="L2813" s="292">
        <f>IFERROR(VLOOKUP(B2813,'تقرير المصروفات حسب الشهر'!$C$1143:$AD$1254,26,FALSE),0)</f>
        <v>0</v>
      </c>
      <c r="M2813" s="292">
        <f>IFERROR(VLOOKUP(B2813,'تقرير المصروفات حسب الشهر'!$C$1270:$AD$1381,26,FALSE),0)</f>
        <v>506</v>
      </c>
      <c r="N2813" s="31" t="e">
        <f>#REF!</f>
        <v>#REF!</v>
      </c>
      <c r="O2813" s="37" t="e">
        <f t="shared" si="72"/>
        <v>#REF!</v>
      </c>
    </row>
    <row r="2814" spans="2:15" ht="17.399999999999999">
      <c r="B2814" s="42" t="s">
        <v>53</v>
      </c>
      <c r="C2814" s="39" t="e">
        <f>#REF!</f>
        <v>#REF!</v>
      </c>
      <c r="D2814" s="31" t="e">
        <f>#REF!</f>
        <v>#REF!</v>
      </c>
      <c r="E2814" s="31" t="e">
        <f>#REF!</f>
        <v>#REF!</v>
      </c>
      <c r="F2814" s="31" t="e">
        <f>#REF!</f>
        <v>#REF!</v>
      </c>
      <c r="G2814" s="31" t="e">
        <f>#REF!</f>
        <v>#REF!</v>
      </c>
      <c r="H2814" s="31" t="e">
        <f>#REF!</f>
        <v>#REF!</v>
      </c>
      <c r="I2814" s="31">
        <f>'تقرير المصروفات حسب الشهر'!AB781</f>
        <v>0</v>
      </c>
      <c r="J2814" s="31">
        <f>'تقرير المصروفات حسب الشهر'!AB908</f>
        <v>0</v>
      </c>
      <c r="K2814" s="31">
        <f>'تقرير المصروفات حسب الشهر'!AB1035</f>
        <v>0</v>
      </c>
      <c r="L2814" s="292">
        <f>IFERROR(VLOOKUP(B2814,'تقرير المصروفات حسب الشهر'!$C$1143:$AD$1254,26,FALSE),0)</f>
        <v>0</v>
      </c>
      <c r="M2814" s="292">
        <f>IFERROR(VLOOKUP(B2814,'تقرير المصروفات حسب الشهر'!$C$1270:$AD$1381,26,FALSE),0)</f>
        <v>0</v>
      </c>
      <c r="N2814" s="31" t="e">
        <f>#REF!</f>
        <v>#REF!</v>
      </c>
      <c r="O2814" s="37" t="e">
        <f t="shared" si="72"/>
        <v>#REF!</v>
      </c>
    </row>
    <row r="2815" spans="2:15" ht="17.399999999999999">
      <c r="B2815" s="42" t="s">
        <v>191</v>
      </c>
      <c r="C2815" s="39" t="e">
        <f>#REF!</f>
        <v>#REF!</v>
      </c>
      <c r="D2815" s="31" t="e">
        <f>#REF!</f>
        <v>#REF!</v>
      </c>
      <c r="E2815" s="31" t="e">
        <f>#REF!</f>
        <v>#REF!</v>
      </c>
      <c r="F2815" s="31" t="e">
        <f>#REF!</f>
        <v>#REF!</v>
      </c>
      <c r="G2815" s="31" t="e">
        <f>#REF!</f>
        <v>#REF!</v>
      </c>
      <c r="H2815" s="31" t="e">
        <f>#REF!</f>
        <v>#REF!</v>
      </c>
      <c r="I2815" s="31">
        <f>'تقرير المصروفات حسب الشهر'!AB782</f>
        <v>0</v>
      </c>
      <c r="J2815" s="31">
        <f>'تقرير المصروفات حسب الشهر'!AB909</f>
        <v>0</v>
      </c>
      <c r="K2815" s="31">
        <f>'تقرير المصروفات حسب الشهر'!AB1036</f>
        <v>0</v>
      </c>
      <c r="L2815" s="292">
        <f>IFERROR(VLOOKUP(B2815,'تقرير المصروفات حسب الشهر'!$C$1143:$AD$1254,26,FALSE),0)</f>
        <v>0</v>
      </c>
      <c r="M2815" s="292">
        <f>IFERROR(VLOOKUP(B2815,'تقرير المصروفات حسب الشهر'!$C$1270:$AD$1381,26,FALSE),0)</f>
        <v>0</v>
      </c>
      <c r="N2815" s="31" t="e">
        <f>#REF!</f>
        <v>#REF!</v>
      </c>
      <c r="O2815" s="37" t="e">
        <f t="shared" si="72"/>
        <v>#REF!</v>
      </c>
    </row>
    <row r="2816" spans="2:15" ht="17.399999999999999">
      <c r="B2816" s="42" t="s">
        <v>29</v>
      </c>
      <c r="C2816" s="39" t="e">
        <f>#REF!</f>
        <v>#REF!</v>
      </c>
      <c r="D2816" s="31" t="e">
        <f>#REF!</f>
        <v>#REF!</v>
      </c>
      <c r="E2816" s="31" t="e">
        <f>#REF!</f>
        <v>#REF!</v>
      </c>
      <c r="F2816" s="31" t="e">
        <f>#REF!</f>
        <v>#REF!</v>
      </c>
      <c r="G2816" s="31" t="e">
        <f>#REF!</f>
        <v>#REF!</v>
      </c>
      <c r="H2816" s="31" t="e">
        <f>#REF!</f>
        <v>#REF!</v>
      </c>
      <c r="I2816" s="31">
        <f>'تقرير المصروفات حسب الشهر'!AB783</f>
        <v>0</v>
      </c>
      <c r="J2816" s="31">
        <f>'تقرير المصروفات حسب الشهر'!AB910</f>
        <v>0</v>
      </c>
      <c r="K2816" s="31">
        <f>'تقرير المصروفات حسب الشهر'!AB1037</f>
        <v>0</v>
      </c>
      <c r="L2816" s="292">
        <f>IFERROR(VLOOKUP(B2816,'تقرير المصروفات حسب الشهر'!$C$1143:$AD$1254,26,FALSE),0)</f>
        <v>0</v>
      </c>
      <c r="M2816" s="292">
        <f>IFERROR(VLOOKUP(B2816,'تقرير المصروفات حسب الشهر'!$C$1270:$AD$1381,26,FALSE),0)</f>
        <v>0</v>
      </c>
      <c r="N2816" s="31" t="e">
        <f>#REF!</f>
        <v>#REF!</v>
      </c>
      <c r="O2816" s="37" t="e">
        <f t="shared" si="72"/>
        <v>#REF!</v>
      </c>
    </row>
    <row r="2817" spans="2:15" ht="17.399999999999999">
      <c r="B2817" s="42" t="s">
        <v>54</v>
      </c>
      <c r="C2817" s="39" t="e">
        <f>#REF!</f>
        <v>#REF!</v>
      </c>
      <c r="D2817" s="31" t="e">
        <f>#REF!</f>
        <v>#REF!</v>
      </c>
      <c r="E2817" s="31" t="e">
        <f>#REF!</f>
        <v>#REF!</v>
      </c>
      <c r="F2817" s="31" t="e">
        <f>#REF!</f>
        <v>#REF!</v>
      </c>
      <c r="G2817" s="31" t="e">
        <f>#REF!</f>
        <v>#REF!</v>
      </c>
      <c r="H2817" s="31" t="e">
        <f>#REF!</f>
        <v>#REF!</v>
      </c>
      <c r="I2817" s="31">
        <f>'تقرير المصروفات حسب الشهر'!AB784</f>
        <v>0</v>
      </c>
      <c r="J2817" s="31">
        <f>'تقرير المصروفات حسب الشهر'!AB911</f>
        <v>0</v>
      </c>
      <c r="K2817" s="31">
        <f>'تقرير المصروفات حسب الشهر'!AB1038</f>
        <v>0</v>
      </c>
      <c r="L2817" s="292">
        <f>IFERROR(VLOOKUP(B2817,'تقرير المصروفات حسب الشهر'!$C$1143:$AD$1254,26,FALSE),0)</f>
        <v>0</v>
      </c>
      <c r="M2817" s="292">
        <f>IFERROR(VLOOKUP(B2817,'تقرير المصروفات حسب الشهر'!$C$1270:$AD$1381,26,FALSE),0)</f>
        <v>0</v>
      </c>
      <c r="N2817" s="31" t="e">
        <f>#REF!</f>
        <v>#REF!</v>
      </c>
      <c r="O2817" s="37" t="e">
        <f t="shared" si="72"/>
        <v>#REF!</v>
      </c>
    </row>
    <row r="2818" spans="2:15" ht="17.399999999999999">
      <c r="B2818" s="42" t="s">
        <v>31</v>
      </c>
      <c r="C2818" s="39" t="e">
        <f>#REF!</f>
        <v>#REF!</v>
      </c>
      <c r="D2818" s="31" t="e">
        <f>#REF!</f>
        <v>#REF!</v>
      </c>
      <c r="E2818" s="31" t="e">
        <f>#REF!</f>
        <v>#REF!</v>
      </c>
      <c r="F2818" s="31" t="e">
        <f>#REF!</f>
        <v>#REF!</v>
      </c>
      <c r="G2818" s="31" t="e">
        <f>#REF!</f>
        <v>#REF!</v>
      </c>
      <c r="H2818" s="31" t="e">
        <f>#REF!</f>
        <v>#REF!</v>
      </c>
      <c r="I2818" s="31">
        <f>'تقرير المصروفات حسب الشهر'!AB785</f>
        <v>0</v>
      </c>
      <c r="J2818" s="31">
        <f>'تقرير المصروفات حسب الشهر'!AB912</f>
        <v>0</v>
      </c>
      <c r="K2818" s="31">
        <f>'تقرير المصروفات حسب الشهر'!AB1039</f>
        <v>0</v>
      </c>
      <c r="L2818" s="292">
        <f>IFERROR(VLOOKUP(B2818,'تقرير المصروفات حسب الشهر'!$C$1143:$AD$1254,26,FALSE),0)</f>
        <v>0</v>
      </c>
      <c r="M2818" s="292">
        <f>IFERROR(VLOOKUP(B2818,'تقرير المصروفات حسب الشهر'!$C$1270:$AD$1381,26,FALSE),0)</f>
        <v>0</v>
      </c>
      <c r="N2818" s="31" t="e">
        <f>#REF!</f>
        <v>#REF!</v>
      </c>
      <c r="O2818" s="37" t="e">
        <f t="shared" si="72"/>
        <v>#REF!</v>
      </c>
    </row>
    <row r="2819" spans="2:15" ht="17.399999999999999">
      <c r="B2819" s="42" t="s">
        <v>55</v>
      </c>
      <c r="C2819" s="39" t="e">
        <f>#REF!</f>
        <v>#REF!</v>
      </c>
      <c r="D2819" s="31" t="e">
        <f>#REF!</f>
        <v>#REF!</v>
      </c>
      <c r="E2819" s="31" t="e">
        <f>#REF!</f>
        <v>#REF!</v>
      </c>
      <c r="F2819" s="31" t="e">
        <f>#REF!</f>
        <v>#REF!</v>
      </c>
      <c r="G2819" s="31" t="e">
        <f>#REF!</f>
        <v>#REF!</v>
      </c>
      <c r="H2819" s="31" t="e">
        <f>#REF!</f>
        <v>#REF!</v>
      </c>
      <c r="I2819" s="31">
        <f>'تقرير المصروفات حسب الشهر'!AB786</f>
        <v>0</v>
      </c>
      <c r="J2819" s="31">
        <f>'تقرير المصروفات حسب الشهر'!AB913</f>
        <v>0</v>
      </c>
      <c r="K2819" s="31">
        <f>'تقرير المصروفات حسب الشهر'!AB1040</f>
        <v>0</v>
      </c>
      <c r="L2819" s="292">
        <f>IFERROR(VLOOKUP(B2819,'تقرير المصروفات حسب الشهر'!$C$1143:$AD$1254,26,FALSE),0)</f>
        <v>0</v>
      </c>
      <c r="M2819" s="292">
        <f>IFERROR(VLOOKUP(B2819,'تقرير المصروفات حسب الشهر'!$C$1270:$AD$1381,26,FALSE),0)</f>
        <v>0</v>
      </c>
      <c r="N2819" s="31" t="e">
        <f>#REF!</f>
        <v>#REF!</v>
      </c>
      <c r="O2819" s="37" t="e">
        <f t="shared" si="72"/>
        <v>#REF!</v>
      </c>
    </row>
    <row r="2820" spans="2:15" ht="17.399999999999999">
      <c r="B2820" s="42" t="s">
        <v>56</v>
      </c>
      <c r="C2820" s="39" t="e">
        <f>#REF!</f>
        <v>#REF!</v>
      </c>
      <c r="D2820" s="31" t="e">
        <f>#REF!</f>
        <v>#REF!</v>
      </c>
      <c r="E2820" s="31" t="e">
        <f>#REF!</f>
        <v>#REF!</v>
      </c>
      <c r="F2820" s="31" t="e">
        <f>#REF!</f>
        <v>#REF!</v>
      </c>
      <c r="G2820" s="31" t="e">
        <f>#REF!</f>
        <v>#REF!</v>
      </c>
      <c r="H2820" s="31" t="e">
        <f>#REF!</f>
        <v>#REF!</v>
      </c>
      <c r="I2820" s="31">
        <f>'تقرير المصروفات حسب الشهر'!AB787</f>
        <v>0</v>
      </c>
      <c r="J2820" s="31">
        <f>'تقرير المصروفات حسب الشهر'!AB914</f>
        <v>0</v>
      </c>
      <c r="K2820" s="31">
        <f>'تقرير المصروفات حسب الشهر'!AB1041</f>
        <v>0</v>
      </c>
      <c r="L2820" s="292">
        <f>IFERROR(VLOOKUP(B2820,'تقرير المصروفات حسب الشهر'!$C$1143:$AD$1254,26,FALSE),0)</f>
        <v>0</v>
      </c>
      <c r="M2820" s="292">
        <f>IFERROR(VLOOKUP(B2820,'تقرير المصروفات حسب الشهر'!$C$1270:$AD$1381,26,FALSE),0)</f>
        <v>0</v>
      </c>
      <c r="N2820" s="31" t="e">
        <f>#REF!</f>
        <v>#REF!</v>
      </c>
      <c r="O2820" s="37" t="e">
        <f t="shared" si="72"/>
        <v>#REF!</v>
      </c>
    </row>
    <row r="2821" spans="2:15" ht="17.399999999999999">
      <c r="B2821" s="42" t="s">
        <v>57</v>
      </c>
      <c r="C2821" s="39" t="e">
        <f>#REF!</f>
        <v>#REF!</v>
      </c>
      <c r="D2821" s="31" t="e">
        <f>#REF!</f>
        <v>#REF!</v>
      </c>
      <c r="E2821" s="31" t="e">
        <f>#REF!</f>
        <v>#REF!</v>
      </c>
      <c r="F2821" s="31" t="e">
        <f>#REF!</f>
        <v>#REF!</v>
      </c>
      <c r="G2821" s="31" t="e">
        <f>#REF!</f>
        <v>#REF!</v>
      </c>
      <c r="H2821" s="31" t="e">
        <f>#REF!</f>
        <v>#REF!</v>
      </c>
      <c r="I2821" s="31">
        <f>'تقرير المصروفات حسب الشهر'!AB788</f>
        <v>0</v>
      </c>
      <c r="J2821" s="31">
        <f>'تقرير المصروفات حسب الشهر'!AB915</f>
        <v>0</v>
      </c>
      <c r="K2821" s="31">
        <f>'تقرير المصروفات حسب الشهر'!AB1042</f>
        <v>0</v>
      </c>
      <c r="L2821" s="292">
        <f>IFERROR(VLOOKUP(B2821,'تقرير المصروفات حسب الشهر'!$C$1143:$AD$1254,26,FALSE),0)</f>
        <v>0</v>
      </c>
      <c r="M2821" s="292">
        <f>IFERROR(VLOOKUP(B2821,'تقرير المصروفات حسب الشهر'!$C$1270:$AD$1381,26,FALSE),0)</f>
        <v>0</v>
      </c>
      <c r="N2821" s="31" t="e">
        <f>#REF!</f>
        <v>#REF!</v>
      </c>
      <c r="O2821" s="37" t="e">
        <f t="shared" si="72"/>
        <v>#REF!</v>
      </c>
    </row>
    <row r="2822" spans="2:15" ht="17.399999999999999">
      <c r="B2822" s="42" t="s">
        <v>58</v>
      </c>
      <c r="C2822" s="39" t="e">
        <f>#REF!</f>
        <v>#REF!</v>
      </c>
      <c r="D2822" s="31" t="e">
        <f>#REF!</f>
        <v>#REF!</v>
      </c>
      <c r="E2822" s="31" t="e">
        <f>#REF!</f>
        <v>#REF!</v>
      </c>
      <c r="F2822" s="31" t="e">
        <f>#REF!</f>
        <v>#REF!</v>
      </c>
      <c r="G2822" s="31" t="e">
        <f>#REF!</f>
        <v>#REF!</v>
      </c>
      <c r="H2822" s="31" t="e">
        <f>#REF!</f>
        <v>#REF!</v>
      </c>
      <c r="I2822" s="31">
        <f>'تقرير المصروفات حسب الشهر'!AB789</f>
        <v>0</v>
      </c>
      <c r="J2822" s="31">
        <f>'تقرير المصروفات حسب الشهر'!AB916</f>
        <v>0</v>
      </c>
      <c r="K2822" s="31">
        <f>'تقرير المصروفات حسب الشهر'!AB1043</f>
        <v>0</v>
      </c>
      <c r="L2822" s="292">
        <f>IFERROR(VLOOKUP(B2822,'تقرير المصروفات حسب الشهر'!$C$1143:$AD$1254,26,FALSE),0)</f>
        <v>0</v>
      </c>
      <c r="M2822" s="292">
        <f>IFERROR(VLOOKUP(B2822,'تقرير المصروفات حسب الشهر'!$C$1270:$AD$1381,26,FALSE),0)</f>
        <v>0</v>
      </c>
      <c r="N2822" s="31" t="e">
        <f>#REF!</f>
        <v>#REF!</v>
      </c>
      <c r="O2822" s="37" t="e">
        <f t="shared" si="72"/>
        <v>#REF!</v>
      </c>
    </row>
    <row r="2823" spans="2:15" ht="17.399999999999999">
      <c r="B2823" s="42" t="s">
        <v>59</v>
      </c>
      <c r="C2823" s="39" t="e">
        <f>#REF!</f>
        <v>#REF!</v>
      </c>
      <c r="D2823" s="31" t="e">
        <f>#REF!</f>
        <v>#REF!</v>
      </c>
      <c r="E2823" s="31" t="e">
        <f>#REF!</f>
        <v>#REF!</v>
      </c>
      <c r="F2823" s="31" t="e">
        <f>#REF!</f>
        <v>#REF!</v>
      </c>
      <c r="G2823" s="31" t="e">
        <f>#REF!</f>
        <v>#REF!</v>
      </c>
      <c r="H2823" s="31" t="e">
        <f>#REF!</f>
        <v>#REF!</v>
      </c>
      <c r="I2823" s="31">
        <f>'تقرير المصروفات حسب الشهر'!AB790</f>
        <v>0</v>
      </c>
      <c r="J2823" s="31">
        <f>'تقرير المصروفات حسب الشهر'!AB917</f>
        <v>0</v>
      </c>
      <c r="K2823" s="31">
        <f>'تقرير المصروفات حسب الشهر'!AB1044</f>
        <v>0</v>
      </c>
      <c r="L2823" s="292">
        <f>IFERROR(VLOOKUP(B2823,'تقرير المصروفات حسب الشهر'!$C$1143:$AD$1254,26,FALSE),0)</f>
        <v>0</v>
      </c>
      <c r="M2823" s="292">
        <f>IFERROR(VLOOKUP(B2823,'تقرير المصروفات حسب الشهر'!$C$1270:$AD$1381,26,FALSE),0)</f>
        <v>0</v>
      </c>
      <c r="N2823" s="31" t="e">
        <f>#REF!</f>
        <v>#REF!</v>
      </c>
      <c r="O2823" s="37" t="e">
        <f t="shared" si="72"/>
        <v>#REF!</v>
      </c>
    </row>
    <row r="2824" spans="2:15" ht="17.399999999999999">
      <c r="B2824" s="42" t="s">
        <v>60</v>
      </c>
      <c r="C2824" s="39" t="e">
        <f>#REF!</f>
        <v>#REF!</v>
      </c>
      <c r="D2824" s="31" t="e">
        <f>#REF!</f>
        <v>#REF!</v>
      </c>
      <c r="E2824" s="31" t="e">
        <f>#REF!</f>
        <v>#REF!</v>
      </c>
      <c r="F2824" s="31" t="e">
        <f>#REF!</f>
        <v>#REF!</v>
      </c>
      <c r="G2824" s="31" t="e">
        <f>#REF!</f>
        <v>#REF!</v>
      </c>
      <c r="H2824" s="31" t="e">
        <f>#REF!</f>
        <v>#REF!</v>
      </c>
      <c r="I2824" s="31">
        <f>'تقرير المصروفات حسب الشهر'!AB791</f>
        <v>0</v>
      </c>
      <c r="J2824" s="31">
        <f>'تقرير المصروفات حسب الشهر'!AB918</f>
        <v>0</v>
      </c>
      <c r="K2824" s="31">
        <f>'تقرير المصروفات حسب الشهر'!AB1045</f>
        <v>0</v>
      </c>
      <c r="L2824" s="292">
        <f>IFERROR(VLOOKUP(B2824,'تقرير المصروفات حسب الشهر'!$C$1143:$AD$1254,26,FALSE),0)</f>
        <v>0</v>
      </c>
      <c r="M2824" s="292">
        <f>IFERROR(VLOOKUP(B2824,'تقرير المصروفات حسب الشهر'!$C$1270:$AD$1381,26,FALSE),0)</f>
        <v>0</v>
      </c>
      <c r="N2824" s="31" t="e">
        <f>#REF!</f>
        <v>#REF!</v>
      </c>
      <c r="O2824" s="37" t="e">
        <f t="shared" si="72"/>
        <v>#REF!</v>
      </c>
    </row>
    <row r="2825" spans="2:15" ht="17.399999999999999">
      <c r="B2825" s="42" t="s">
        <v>61</v>
      </c>
      <c r="C2825" s="39" t="e">
        <f>#REF!</f>
        <v>#REF!</v>
      </c>
      <c r="D2825" s="31" t="e">
        <f>#REF!</f>
        <v>#REF!</v>
      </c>
      <c r="E2825" s="31" t="e">
        <f>#REF!</f>
        <v>#REF!</v>
      </c>
      <c r="F2825" s="31" t="e">
        <f>#REF!</f>
        <v>#REF!</v>
      </c>
      <c r="G2825" s="31" t="e">
        <f>#REF!</f>
        <v>#REF!</v>
      </c>
      <c r="H2825" s="31" t="e">
        <f>#REF!</f>
        <v>#REF!</v>
      </c>
      <c r="I2825" s="31">
        <f>'تقرير المصروفات حسب الشهر'!AB792</f>
        <v>0</v>
      </c>
      <c r="J2825" s="31">
        <f>'تقرير المصروفات حسب الشهر'!AB919</f>
        <v>0</v>
      </c>
      <c r="K2825" s="31">
        <f>'تقرير المصروفات حسب الشهر'!AB1046</f>
        <v>0</v>
      </c>
      <c r="L2825" s="292">
        <f>IFERROR(VLOOKUP(B2825,'تقرير المصروفات حسب الشهر'!$C$1143:$AD$1254,26,FALSE),0)</f>
        <v>0</v>
      </c>
      <c r="M2825" s="292">
        <f>IFERROR(VLOOKUP(B2825,'تقرير المصروفات حسب الشهر'!$C$1270:$AD$1381,26,FALSE),0)</f>
        <v>0</v>
      </c>
      <c r="N2825" s="31" t="e">
        <f>#REF!</f>
        <v>#REF!</v>
      </c>
      <c r="O2825" s="37" t="e">
        <f t="shared" si="72"/>
        <v>#REF!</v>
      </c>
    </row>
    <row r="2826" spans="2:15" ht="17.399999999999999">
      <c r="B2826" s="42" t="s">
        <v>62</v>
      </c>
      <c r="C2826" s="39" t="e">
        <f>#REF!</f>
        <v>#REF!</v>
      </c>
      <c r="D2826" s="31" t="e">
        <f>#REF!</f>
        <v>#REF!</v>
      </c>
      <c r="E2826" s="31" t="e">
        <f>#REF!</f>
        <v>#REF!</v>
      </c>
      <c r="F2826" s="31" t="e">
        <f>#REF!</f>
        <v>#REF!</v>
      </c>
      <c r="G2826" s="31" t="e">
        <f>#REF!</f>
        <v>#REF!</v>
      </c>
      <c r="H2826" s="31" t="e">
        <f>#REF!</f>
        <v>#REF!</v>
      </c>
      <c r="I2826" s="31">
        <f>'تقرير المصروفات حسب الشهر'!AB793</f>
        <v>0</v>
      </c>
      <c r="J2826" s="31">
        <f>'تقرير المصروفات حسب الشهر'!AB920</f>
        <v>0</v>
      </c>
      <c r="K2826" s="31">
        <f>'تقرير المصروفات حسب الشهر'!AB1047</f>
        <v>0</v>
      </c>
      <c r="L2826" s="292">
        <f>IFERROR(VLOOKUP(B2826,'تقرير المصروفات حسب الشهر'!$C$1143:$AD$1254,26,FALSE),0)</f>
        <v>0</v>
      </c>
      <c r="M2826" s="292">
        <f>IFERROR(VLOOKUP(B2826,'تقرير المصروفات حسب الشهر'!$C$1270:$AD$1381,26,FALSE),0)</f>
        <v>0</v>
      </c>
      <c r="N2826" s="31" t="e">
        <f>#REF!</f>
        <v>#REF!</v>
      </c>
      <c r="O2826" s="37" t="e">
        <f t="shared" si="72"/>
        <v>#REF!</v>
      </c>
    </row>
    <row r="2827" spans="2:15" ht="17.399999999999999">
      <c r="B2827" s="42" t="s">
        <v>63</v>
      </c>
      <c r="C2827" s="39" t="e">
        <f>#REF!</f>
        <v>#REF!</v>
      </c>
      <c r="D2827" s="31" t="e">
        <f>#REF!</f>
        <v>#REF!</v>
      </c>
      <c r="E2827" s="31" t="e">
        <f>#REF!</f>
        <v>#REF!</v>
      </c>
      <c r="F2827" s="31" t="e">
        <f>#REF!</f>
        <v>#REF!</v>
      </c>
      <c r="G2827" s="31" t="e">
        <f>#REF!</f>
        <v>#REF!</v>
      </c>
      <c r="H2827" s="31" t="e">
        <f>#REF!</f>
        <v>#REF!</v>
      </c>
      <c r="I2827" s="31">
        <f>'تقرير المصروفات حسب الشهر'!AB794</f>
        <v>0</v>
      </c>
      <c r="J2827" s="31">
        <f>'تقرير المصروفات حسب الشهر'!AB921</f>
        <v>0</v>
      </c>
      <c r="K2827" s="31">
        <f>'تقرير المصروفات حسب الشهر'!AB1048</f>
        <v>0</v>
      </c>
      <c r="L2827" s="292">
        <f>IFERROR(VLOOKUP(B2827,'تقرير المصروفات حسب الشهر'!$C$1143:$AD$1254,26,FALSE),0)</f>
        <v>0</v>
      </c>
      <c r="M2827" s="292">
        <f>IFERROR(VLOOKUP(B2827,'تقرير المصروفات حسب الشهر'!$C$1270:$AD$1381,26,FALSE),0)</f>
        <v>0</v>
      </c>
      <c r="N2827" s="31" t="e">
        <f>#REF!</f>
        <v>#REF!</v>
      </c>
      <c r="O2827" s="37" t="e">
        <f t="shared" si="72"/>
        <v>#REF!</v>
      </c>
    </row>
    <row r="2828" spans="2:15" ht="17.399999999999999">
      <c r="B2828" s="42" t="s">
        <v>64</v>
      </c>
      <c r="C2828" s="39" t="e">
        <f>#REF!</f>
        <v>#REF!</v>
      </c>
      <c r="D2828" s="31" t="e">
        <f>#REF!</f>
        <v>#REF!</v>
      </c>
      <c r="E2828" s="31" t="e">
        <f>#REF!</f>
        <v>#REF!</v>
      </c>
      <c r="F2828" s="31" t="e">
        <f>#REF!</f>
        <v>#REF!</v>
      </c>
      <c r="G2828" s="31" t="e">
        <f>#REF!</f>
        <v>#REF!</v>
      </c>
      <c r="H2828" s="31" t="e">
        <f>#REF!</f>
        <v>#REF!</v>
      </c>
      <c r="I2828" s="31">
        <f>'تقرير المصروفات حسب الشهر'!AB795</f>
        <v>0</v>
      </c>
      <c r="J2828" s="31">
        <f>'تقرير المصروفات حسب الشهر'!AB922</f>
        <v>0</v>
      </c>
      <c r="K2828" s="31">
        <f>'تقرير المصروفات حسب الشهر'!AB1049</f>
        <v>0</v>
      </c>
      <c r="L2828" s="292">
        <f>IFERROR(VLOOKUP(B2828,'تقرير المصروفات حسب الشهر'!$C$1143:$AD$1254,26,FALSE),0)</f>
        <v>200</v>
      </c>
      <c r="M2828" s="292">
        <f>IFERROR(VLOOKUP(B2828,'تقرير المصروفات حسب الشهر'!$C$1270:$AD$1381,26,FALSE),0)</f>
        <v>0</v>
      </c>
      <c r="N2828" s="31" t="e">
        <f>#REF!</f>
        <v>#REF!</v>
      </c>
      <c r="O2828" s="37" t="e">
        <f t="shared" si="72"/>
        <v>#REF!</v>
      </c>
    </row>
    <row r="2829" spans="2:15" ht="17.399999999999999">
      <c r="B2829" s="42" t="s">
        <v>28</v>
      </c>
      <c r="C2829" s="39" t="e">
        <f>#REF!</f>
        <v>#REF!</v>
      </c>
      <c r="D2829" s="31" t="e">
        <f>#REF!</f>
        <v>#REF!</v>
      </c>
      <c r="E2829" s="31" t="e">
        <f>#REF!</f>
        <v>#REF!</v>
      </c>
      <c r="F2829" s="31" t="e">
        <f>#REF!</f>
        <v>#REF!</v>
      </c>
      <c r="G2829" s="31" t="e">
        <f>#REF!</f>
        <v>#REF!</v>
      </c>
      <c r="H2829" s="31" t="e">
        <f>#REF!</f>
        <v>#REF!</v>
      </c>
      <c r="I2829" s="31">
        <f>'تقرير المصروفات حسب الشهر'!AB796</f>
        <v>0</v>
      </c>
      <c r="J2829" s="31">
        <f>'تقرير المصروفات حسب الشهر'!AB923</f>
        <v>0</v>
      </c>
      <c r="K2829" s="31">
        <f>'تقرير المصروفات حسب الشهر'!AB1050</f>
        <v>0</v>
      </c>
      <c r="L2829" s="292">
        <f>IFERROR(VLOOKUP(B2829,'تقرير المصروفات حسب الشهر'!$C$1143:$AD$1254,26,FALSE),0)</f>
        <v>0</v>
      </c>
      <c r="M2829" s="292">
        <f>IFERROR(VLOOKUP(B2829,'تقرير المصروفات حسب الشهر'!$C$1270:$AD$1381,26,FALSE),0)</f>
        <v>0</v>
      </c>
      <c r="N2829" s="31" t="e">
        <f>#REF!</f>
        <v>#REF!</v>
      </c>
      <c r="O2829" s="37" t="e">
        <f t="shared" si="72"/>
        <v>#REF!</v>
      </c>
    </row>
    <row r="2830" spans="2:15" ht="17.399999999999999">
      <c r="B2830" s="42" t="s">
        <v>157</v>
      </c>
      <c r="C2830" s="39" t="e">
        <f>#REF!</f>
        <v>#REF!</v>
      </c>
      <c r="D2830" s="31" t="e">
        <f>#REF!</f>
        <v>#REF!</v>
      </c>
      <c r="E2830" s="31" t="e">
        <f>#REF!</f>
        <v>#REF!</v>
      </c>
      <c r="F2830" s="31" t="e">
        <f>#REF!</f>
        <v>#REF!</v>
      </c>
      <c r="G2830" s="31" t="e">
        <f>#REF!</f>
        <v>#REF!</v>
      </c>
      <c r="H2830" s="31" t="e">
        <f>#REF!</f>
        <v>#REF!</v>
      </c>
      <c r="I2830" s="31">
        <f>'تقرير المصروفات حسب الشهر'!AB797</f>
        <v>0</v>
      </c>
      <c r="J2830" s="31">
        <f>'تقرير المصروفات حسب الشهر'!AB924</f>
        <v>0</v>
      </c>
      <c r="K2830" s="31">
        <f>'تقرير المصروفات حسب الشهر'!AB1051</f>
        <v>0</v>
      </c>
      <c r="L2830" s="292">
        <f>IFERROR(VLOOKUP(B2830,'تقرير المصروفات حسب الشهر'!$C$1143:$AD$1254,26,FALSE),0)</f>
        <v>0</v>
      </c>
      <c r="M2830" s="292">
        <f>IFERROR(VLOOKUP(B2830,'تقرير المصروفات حسب الشهر'!$C$1270:$AD$1381,26,FALSE),0)</f>
        <v>0</v>
      </c>
      <c r="N2830" s="31" t="e">
        <f>#REF!</f>
        <v>#REF!</v>
      </c>
      <c r="O2830" s="37" t="e">
        <f t="shared" si="72"/>
        <v>#REF!</v>
      </c>
    </row>
    <row r="2831" spans="2:15" ht="17.399999999999999">
      <c r="B2831" s="42" t="s">
        <v>65</v>
      </c>
      <c r="C2831" s="39" t="e">
        <f>#REF!</f>
        <v>#REF!</v>
      </c>
      <c r="D2831" s="31" t="e">
        <f>#REF!</f>
        <v>#REF!</v>
      </c>
      <c r="E2831" s="31" t="e">
        <f>#REF!</f>
        <v>#REF!</v>
      </c>
      <c r="F2831" s="31" t="e">
        <f>#REF!</f>
        <v>#REF!</v>
      </c>
      <c r="G2831" s="31" t="e">
        <f>#REF!</f>
        <v>#REF!</v>
      </c>
      <c r="H2831" s="31" t="e">
        <f>#REF!</f>
        <v>#REF!</v>
      </c>
      <c r="I2831" s="31">
        <f>'تقرير المصروفات حسب الشهر'!AB798</f>
        <v>0</v>
      </c>
      <c r="J2831" s="31">
        <f>'تقرير المصروفات حسب الشهر'!AB925</f>
        <v>0</v>
      </c>
      <c r="K2831" s="31">
        <f>'تقرير المصروفات حسب الشهر'!AB1052</f>
        <v>0</v>
      </c>
      <c r="L2831" s="292">
        <f>IFERROR(VLOOKUP(B2831,'تقرير المصروفات حسب الشهر'!$C$1143:$AD$1254,26,FALSE),0)</f>
        <v>0</v>
      </c>
      <c r="M2831" s="292">
        <f>IFERROR(VLOOKUP(B2831,'تقرير المصروفات حسب الشهر'!$C$1270:$AD$1381,26,FALSE),0)</f>
        <v>0</v>
      </c>
      <c r="N2831" s="31" t="e">
        <f>#REF!</f>
        <v>#REF!</v>
      </c>
      <c r="O2831" s="37" t="e">
        <f t="shared" si="72"/>
        <v>#REF!</v>
      </c>
    </row>
    <row r="2832" spans="2:15" ht="17.399999999999999">
      <c r="B2832" s="42" t="s">
        <v>66</v>
      </c>
      <c r="C2832" s="39" t="e">
        <f>#REF!</f>
        <v>#REF!</v>
      </c>
      <c r="D2832" s="31" t="e">
        <f>#REF!</f>
        <v>#REF!</v>
      </c>
      <c r="E2832" s="31" t="e">
        <f>#REF!</f>
        <v>#REF!</v>
      </c>
      <c r="F2832" s="31" t="e">
        <f>#REF!</f>
        <v>#REF!</v>
      </c>
      <c r="G2832" s="31" t="e">
        <f>#REF!</f>
        <v>#REF!</v>
      </c>
      <c r="H2832" s="31" t="e">
        <f>#REF!</f>
        <v>#REF!</v>
      </c>
      <c r="I2832" s="31">
        <f>'تقرير المصروفات حسب الشهر'!AB799</f>
        <v>0</v>
      </c>
      <c r="J2832" s="31">
        <f>'تقرير المصروفات حسب الشهر'!AB926</f>
        <v>0</v>
      </c>
      <c r="K2832" s="31">
        <f>'تقرير المصروفات حسب الشهر'!AB1053</f>
        <v>0</v>
      </c>
      <c r="L2832" s="292">
        <f>IFERROR(VLOOKUP(B2832,'تقرير المصروفات حسب الشهر'!$C$1143:$AD$1254,26,FALSE),0)</f>
        <v>0</v>
      </c>
      <c r="M2832" s="292">
        <f>IFERROR(VLOOKUP(B2832,'تقرير المصروفات حسب الشهر'!$C$1270:$AD$1381,26,FALSE),0)</f>
        <v>0</v>
      </c>
      <c r="N2832" s="31" t="e">
        <f>#REF!</f>
        <v>#REF!</v>
      </c>
      <c r="O2832" s="37" t="e">
        <f t="shared" si="72"/>
        <v>#REF!</v>
      </c>
    </row>
    <row r="2833" spans="2:15" ht="17.399999999999999">
      <c r="B2833" s="42" t="s">
        <v>30</v>
      </c>
      <c r="C2833" s="39" t="e">
        <f>#REF!</f>
        <v>#REF!</v>
      </c>
      <c r="D2833" s="31" t="e">
        <f>#REF!</f>
        <v>#REF!</v>
      </c>
      <c r="E2833" s="31" t="e">
        <f>#REF!</f>
        <v>#REF!</v>
      </c>
      <c r="F2833" s="31" t="e">
        <f>#REF!</f>
        <v>#REF!</v>
      </c>
      <c r="G2833" s="31" t="e">
        <f>#REF!</f>
        <v>#REF!</v>
      </c>
      <c r="H2833" s="31" t="e">
        <f>#REF!</f>
        <v>#REF!</v>
      </c>
      <c r="I2833" s="31">
        <f>'تقرير المصروفات حسب الشهر'!AB800</f>
        <v>2223.25</v>
      </c>
      <c r="J2833" s="31">
        <f>'تقرير المصروفات حسب الشهر'!AB927</f>
        <v>0</v>
      </c>
      <c r="K2833" s="31">
        <f>'تقرير المصروفات حسب الشهر'!AB1054</f>
        <v>7333.35</v>
      </c>
      <c r="L2833" s="292">
        <f>IFERROR(VLOOKUP(B2833,'تقرير المصروفات حسب الشهر'!$C$1143:$AD$1254,26,FALSE),0)</f>
        <v>4999.25</v>
      </c>
      <c r="M2833" s="292">
        <f>IFERROR(VLOOKUP(B2833,'تقرير المصروفات حسب الشهر'!$C$1270:$AD$1381,26,FALSE),0)</f>
        <v>8777.25</v>
      </c>
      <c r="N2833" s="31" t="e">
        <f>#REF!</f>
        <v>#REF!</v>
      </c>
      <c r="O2833" s="37" t="e">
        <f t="shared" si="72"/>
        <v>#REF!</v>
      </c>
    </row>
    <row r="2834" spans="2:15" ht="17.399999999999999">
      <c r="B2834" s="42" t="s">
        <v>67</v>
      </c>
      <c r="C2834" s="39" t="e">
        <f>#REF!</f>
        <v>#REF!</v>
      </c>
      <c r="D2834" s="31" t="e">
        <f>#REF!</f>
        <v>#REF!</v>
      </c>
      <c r="E2834" s="31" t="e">
        <f>#REF!</f>
        <v>#REF!</v>
      </c>
      <c r="F2834" s="31" t="e">
        <f>#REF!</f>
        <v>#REF!</v>
      </c>
      <c r="G2834" s="31" t="e">
        <f>#REF!</f>
        <v>#REF!</v>
      </c>
      <c r="H2834" s="31" t="e">
        <f>#REF!</f>
        <v>#REF!</v>
      </c>
      <c r="I2834" s="31">
        <f>'تقرير المصروفات حسب الشهر'!AB801</f>
        <v>0</v>
      </c>
      <c r="J2834" s="31">
        <f>'تقرير المصروفات حسب الشهر'!AB928</f>
        <v>0</v>
      </c>
      <c r="K2834" s="31">
        <f>'تقرير المصروفات حسب الشهر'!AB1055</f>
        <v>0</v>
      </c>
      <c r="L2834" s="292">
        <f>IFERROR(VLOOKUP(B2834,'تقرير المصروفات حسب الشهر'!$C$1143:$AD$1254,26,FALSE),0)</f>
        <v>0</v>
      </c>
      <c r="M2834" s="292">
        <f>IFERROR(VLOOKUP(B2834,'تقرير المصروفات حسب الشهر'!$C$1270:$AD$1381,26,FALSE),0)</f>
        <v>0</v>
      </c>
      <c r="N2834" s="31" t="e">
        <f>#REF!</f>
        <v>#REF!</v>
      </c>
      <c r="O2834" s="37" t="e">
        <f t="shared" si="72"/>
        <v>#REF!</v>
      </c>
    </row>
    <row r="2835" spans="2:15" ht="17.399999999999999">
      <c r="B2835" s="42" t="s">
        <v>111</v>
      </c>
      <c r="C2835" s="39" t="e">
        <f>#REF!</f>
        <v>#REF!</v>
      </c>
      <c r="D2835" s="31" t="e">
        <f>#REF!</f>
        <v>#REF!</v>
      </c>
      <c r="E2835" s="31" t="e">
        <f>#REF!</f>
        <v>#REF!</v>
      </c>
      <c r="F2835" s="31" t="e">
        <f>#REF!</f>
        <v>#REF!</v>
      </c>
      <c r="G2835" s="31" t="e">
        <f>#REF!</f>
        <v>#REF!</v>
      </c>
      <c r="H2835" s="31" t="e">
        <f>#REF!</f>
        <v>#REF!</v>
      </c>
      <c r="I2835" s="31">
        <f>'تقرير المصروفات حسب الشهر'!AB802</f>
        <v>0</v>
      </c>
      <c r="J2835" s="31">
        <f>'تقرير المصروفات حسب الشهر'!AB929</f>
        <v>0</v>
      </c>
      <c r="K2835" s="31">
        <f>'تقرير المصروفات حسب الشهر'!AB1056</f>
        <v>350</v>
      </c>
      <c r="L2835" s="292">
        <f>IFERROR(VLOOKUP(B2835,'تقرير المصروفات حسب الشهر'!$C$1143:$AD$1254,26,FALSE),0)</f>
        <v>0</v>
      </c>
      <c r="M2835" s="292">
        <f>IFERROR(VLOOKUP(B2835,'تقرير المصروفات حسب الشهر'!$C$1270:$AD$1381,26,FALSE),0)</f>
        <v>0</v>
      </c>
      <c r="N2835" s="31" t="e">
        <f>#REF!</f>
        <v>#REF!</v>
      </c>
      <c r="O2835" s="37" t="e">
        <f t="shared" si="72"/>
        <v>#REF!</v>
      </c>
    </row>
    <row r="2836" spans="2:15" ht="17.399999999999999">
      <c r="B2836" s="42" t="s">
        <v>68</v>
      </c>
      <c r="C2836" s="39" t="e">
        <f>#REF!</f>
        <v>#REF!</v>
      </c>
      <c r="D2836" s="31" t="e">
        <f>#REF!</f>
        <v>#REF!</v>
      </c>
      <c r="E2836" s="31" t="e">
        <f>#REF!</f>
        <v>#REF!</v>
      </c>
      <c r="F2836" s="31" t="e">
        <f>#REF!</f>
        <v>#REF!</v>
      </c>
      <c r="G2836" s="31" t="e">
        <f>#REF!</f>
        <v>#REF!</v>
      </c>
      <c r="H2836" s="31" t="e">
        <f>#REF!</f>
        <v>#REF!</v>
      </c>
      <c r="I2836" s="31">
        <f>'تقرير المصروفات حسب الشهر'!AB803</f>
        <v>0</v>
      </c>
      <c r="J2836" s="31">
        <f>'تقرير المصروفات حسب الشهر'!AB930</f>
        <v>0</v>
      </c>
      <c r="K2836" s="31">
        <f>'تقرير المصروفات حسب الشهر'!AB1057</f>
        <v>0</v>
      </c>
      <c r="L2836" s="292">
        <f>IFERROR(VLOOKUP(B2836,'تقرير المصروفات حسب الشهر'!$C$1143:$AD$1254,26,FALSE),0)</f>
        <v>0</v>
      </c>
      <c r="M2836" s="292">
        <f>IFERROR(VLOOKUP(B2836,'تقرير المصروفات حسب الشهر'!$C$1270:$AD$1381,26,FALSE),0)</f>
        <v>0</v>
      </c>
      <c r="N2836" s="31" t="e">
        <f>#REF!</f>
        <v>#REF!</v>
      </c>
      <c r="O2836" s="37" t="e">
        <f t="shared" si="72"/>
        <v>#REF!</v>
      </c>
    </row>
    <row r="2837" spans="2:15" ht="17.399999999999999">
      <c r="B2837" s="42" t="s">
        <v>69</v>
      </c>
      <c r="C2837" s="39" t="e">
        <f>#REF!</f>
        <v>#REF!</v>
      </c>
      <c r="D2837" s="31" t="e">
        <f>#REF!</f>
        <v>#REF!</v>
      </c>
      <c r="E2837" s="31" t="e">
        <f>#REF!</f>
        <v>#REF!</v>
      </c>
      <c r="F2837" s="31" t="e">
        <f>#REF!</f>
        <v>#REF!</v>
      </c>
      <c r="G2837" s="31" t="e">
        <f>#REF!</f>
        <v>#REF!</v>
      </c>
      <c r="H2837" s="31" t="e">
        <f>#REF!</f>
        <v>#REF!</v>
      </c>
      <c r="I2837" s="31">
        <f>'تقرير المصروفات حسب الشهر'!AB804</f>
        <v>0</v>
      </c>
      <c r="J2837" s="31">
        <f>'تقرير المصروفات حسب الشهر'!AB931</f>
        <v>0</v>
      </c>
      <c r="K2837" s="31">
        <f>'تقرير المصروفات حسب الشهر'!AB1058</f>
        <v>0</v>
      </c>
      <c r="L2837" s="292">
        <f>IFERROR(VLOOKUP(B2837,'تقرير المصروفات حسب الشهر'!$C$1143:$AD$1254,26,FALSE),0)</f>
        <v>0</v>
      </c>
      <c r="M2837" s="292">
        <f>IFERROR(VLOOKUP(B2837,'تقرير المصروفات حسب الشهر'!$C$1270:$AD$1381,26,FALSE),0)</f>
        <v>0</v>
      </c>
      <c r="N2837" s="31" t="e">
        <f>#REF!</f>
        <v>#REF!</v>
      </c>
      <c r="O2837" s="37" t="e">
        <f t="shared" si="72"/>
        <v>#REF!</v>
      </c>
    </row>
    <row r="2838" spans="2:15" ht="17.399999999999999">
      <c r="B2838" s="42" t="s">
        <v>70</v>
      </c>
      <c r="C2838" s="39" t="e">
        <f>#REF!</f>
        <v>#REF!</v>
      </c>
      <c r="D2838" s="31" t="e">
        <f>#REF!</f>
        <v>#REF!</v>
      </c>
      <c r="E2838" s="31" t="e">
        <f>#REF!</f>
        <v>#REF!</v>
      </c>
      <c r="F2838" s="31" t="e">
        <f>#REF!</f>
        <v>#REF!</v>
      </c>
      <c r="G2838" s="31" t="e">
        <f>#REF!</f>
        <v>#REF!</v>
      </c>
      <c r="H2838" s="31" t="e">
        <f>#REF!</f>
        <v>#REF!</v>
      </c>
      <c r="I2838" s="31">
        <f>'تقرير المصروفات حسب الشهر'!AB805</f>
        <v>0</v>
      </c>
      <c r="J2838" s="31">
        <f>'تقرير المصروفات حسب الشهر'!AB932</f>
        <v>0</v>
      </c>
      <c r="K2838" s="31">
        <f>'تقرير المصروفات حسب الشهر'!AB1059</f>
        <v>0</v>
      </c>
      <c r="L2838" s="292">
        <f>IFERROR(VLOOKUP(B2838,'تقرير المصروفات حسب الشهر'!$C$1143:$AD$1254,26,FALSE),0)</f>
        <v>450</v>
      </c>
      <c r="M2838" s="292">
        <f>IFERROR(VLOOKUP(B2838,'تقرير المصروفات حسب الشهر'!$C$1270:$AD$1381,26,FALSE),0)</f>
        <v>1020</v>
      </c>
      <c r="N2838" s="31" t="e">
        <f>#REF!</f>
        <v>#REF!</v>
      </c>
      <c r="O2838" s="37" t="e">
        <f t="shared" si="72"/>
        <v>#REF!</v>
      </c>
    </row>
    <row r="2839" spans="2:15" ht="17.399999999999999">
      <c r="B2839" s="42" t="s">
        <v>71</v>
      </c>
      <c r="C2839" s="39" t="e">
        <f>#REF!</f>
        <v>#REF!</v>
      </c>
      <c r="D2839" s="31" t="e">
        <f>#REF!</f>
        <v>#REF!</v>
      </c>
      <c r="E2839" s="31" t="e">
        <f>#REF!</f>
        <v>#REF!</v>
      </c>
      <c r="F2839" s="31" t="e">
        <f>#REF!</f>
        <v>#REF!</v>
      </c>
      <c r="G2839" s="31" t="e">
        <f>#REF!</f>
        <v>#REF!</v>
      </c>
      <c r="H2839" s="31" t="e">
        <f>#REF!</f>
        <v>#REF!</v>
      </c>
      <c r="I2839" s="31">
        <f>'تقرير المصروفات حسب الشهر'!AB806</f>
        <v>0</v>
      </c>
      <c r="J2839" s="31">
        <f>'تقرير المصروفات حسب الشهر'!AB933</f>
        <v>0</v>
      </c>
      <c r="K2839" s="31">
        <f>'تقرير المصروفات حسب الشهر'!AB1060</f>
        <v>0</v>
      </c>
      <c r="L2839" s="292">
        <f>IFERROR(VLOOKUP(B2839,'تقرير المصروفات حسب الشهر'!$C$1143:$AD$1254,26,FALSE),0)</f>
        <v>0</v>
      </c>
      <c r="M2839" s="292">
        <f>IFERROR(VLOOKUP(B2839,'تقرير المصروفات حسب الشهر'!$C$1270:$AD$1381,26,FALSE),0)</f>
        <v>0</v>
      </c>
      <c r="N2839" s="31" t="e">
        <f>#REF!</f>
        <v>#REF!</v>
      </c>
      <c r="O2839" s="37" t="e">
        <f t="shared" si="72"/>
        <v>#REF!</v>
      </c>
    </row>
    <row r="2840" spans="2:15" ht="17.399999999999999">
      <c r="B2840" s="42" t="s">
        <v>159</v>
      </c>
      <c r="C2840" s="39" t="e">
        <f>#REF!</f>
        <v>#REF!</v>
      </c>
      <c r="D2840" s="31" t="e">
        <f>#REF!</f>
        <v>#REF!</v>
      </c>
      <c r="E2840" s="31" t="e">
        <f>#REF!</f>
        <v>#REF!</v>
      </c>
      <c r="F2840" s="31" t="e">
        <f>#REF!</f>
        <v>#REF!</v>
      </c>
      <c r="G2840" s="31" t="e">
        <f>#REF!</f>
        <v>#REF!</v>
      </c>
      <c r="H2840" s="31" t="e">
        <f>#REF!</f>
        <v>#REF!</v>
      </c>
      <c r="I2840" s="31">
        <f>'تقرير المصروفات حسب الشهر'!AB807</f>
        <v>0</v>
      </c>
      <c r="J2840" s="31">
        <f>'تقرير المصروفات حسب الشهر'!AB934</f>
        <v>0</v>
      </c>
      <c r="K2840" s="31">
        <f>'تقرير المصروفات حسب الشهر'!AB1061</f>
        <v>0</v>
      </c>
      <c r="L2840" s="292">
        <f>IFERROR(VLOOKUP(B2840,'تقرير المصروفات حسب الشهر'!$C$1143:$AD$1254,26,FALSE),0)</f>
        <v>0</v>
      </c>
      <c r="M2840" s="292">
        <f>IFERROR(VLOOKUP(B2840,'تقرير المصروفات حسب الشهر'!$C$1270:$AD$1381,26,FALSE),0)</f>
        <v>0</v>
      </c>
      <c r="N2840" s="31" t="e">
        <f>#REF!</f>
        <v>#REF!</v>
      </c>
      <c r="O2840" s="37" t="e">
        <f t="shared" si="72"/>
        <v>#REF!</v>
      </c>
    </row>
    <row r="2841" spans="2:15" ht="17.399999999999999">
      <c r="B2841" s="42" t="s">
        <v>72</v>
      </c>
      <c r="C2841" s="39" t="e">
        <f>#REF!</f>
        <v>#REF!</v>
      </c>
      <c r="D2841" s="31" t="e">
        <f>#REF!</f>
        <v>#REF!</v>
      </c>
      <c r="E2841" s="31" t="e">
        <f>#REF!</f>
        <v>#REF!</v>
      </c>
      <c r="F2841" s="31" t="e">
        <f>#REF!</f>
        <v>#REF!</v>
      </c>
      <c r="G2841" s="31" t="e">
        <f>#REF!</f>
        <v>#REF!</v>
      </c>
      <c r="H2841" s="31" t="e">
        <f>#REF!</f>
        <v>#REF!</v>
      </c>
      <c r="I2841" s="31">
        <f>'تقرير المصروفات حسب الشهر'!AB808</f>
        <v>0</v>
      </c>
      <c r="J2841" s="31">
        <f>'تقرير المصروفات حسب الشهر'!AB935</f>
        <v>0</v>
      </c>
      <c r="K2841" s="31">
        <f>'تقرير المصروفات حسب الشهر'!AB1062</f>
        <v>0</v>
      </c>
      <c r="L2841" s="292">
        <f>IFERROR(VLOOKUP(B2841,'تقرير المصروفات حسب الشهر'!$C$1143:$AD$1254,26,FALSE),0)</f>
        <v>0</v>
      </c>
      <c r="M2841" s="292">
        <f>IFERROR(VLOOKUP(B2841,'تقرير المصروفات حسب الشهر'!$C$1270:$AD$1381,26,FALSE),0)</f>
        <v>0</v>
      </c>
      <c r="N2841" s="31" t="e">
        <f>#REF!</f>
        <v>#REF!</v>
      </c>
      <c r="O2841" s="37" t="e">
        <f t="shared" si="72"/>
        <v>#REF!</v>
      </c>
    </row>
    <row r="2842" spans="2:15" ht="17.399999999999999">
      <c r="B2842" s="42" t="s">
        <v>73</v>
      </c>
      <c r="C2842" s="39" t="e">
        <f>#REF!</f>
        <v>#REF!</v>
      </c>
      <c r="D2842" s="31" t="e">
        <f>#REF!</f>
        <v>#REF!</v>
      </c>
      <c r="E2842" s="31" t="e">
        <f>#REF!</f>
        <v>#REF!</v>
      </c>
      <c r="F2842" s="31" t="e">
        <f>#REF!</f>
        <v>#REF!</v>
      </c>
      <c r="G2842" s="31" t="e">
        <f>#REF!</f>
        <v>#REF!</v>
      </c>
      <c r="H2842" s="31" t="e">
        <f>#REF!</f>
        <v>#REF!</v>
      </c>
      <c r="I2842" s="31">
        <f>'تقرير المصروفات حسب الشهر'!AB809</f>
        <v>0</v>
      </c>
      <c r="J2842" s="31">
        <f>'تقرير المصروفات حسب الشهر'!AB936</f>
        <v>0</v>
      </c>
      <c r="K2842" s="31">
        <f>'تقرير المصروفات حسب الشهر'!AB1063</f>
        <v>0</v>
      </c>
      <c r="L2842" s="292">
        <f>IFERROR(VLOOKUP(B2842,'تقرير المصروفات حسب الشهر'!$C$1143:$AD$1254,26,FALSE),0)</f>
        <v>0</v>
      </c>
      <c r="M2842" s="292">
        <f>IFERROR(VLOOKUP(B2842,'تقرير المصروفات حسب الشهر'!$C$1270:$AD$1381,26,FALSE),0)</f>
        <v>0</v>
      </c>
      <c r="N2842" s="31" t="e">
        <f>#REF!</f>
        <v>#REF!</v>
      </c>
      <c r="O2842" s="37" t="e">
        <f t="shared" si="72"/>
        <v>#REF!</v>
      </c>
    </row>
    <row r="2843" spans="2:15" ht="17.399999999999999">
      <c r="B2843" s="42" t="s">
        <v>74</v>
      </c>
      <c r="C2843" s="39" t="e">
        <f>#REF!</f>
        <v>#REF!</v>
      </c>
      <c r="D2843" s="31" t="e">
        <f>#REF!</f>
        <v>#REF!</v>
      </c>
      <c r="E2843" s="31" t="e">
        <f>#REF!</f>
        <v>#REF!</v>
      </c>
      <c r="F2843" s="31" t="e">
        <f>#REF!</f>
        <v>#REF!</v>
      </c>
      <c r="G2843" s="31" t="e">
        <f>#REF!</f>
        <v>#REF!</v>
      </c>
      <c r="H2843" s="31" t="e">
        <f>#REF!</f>
        <v>#REF!</v>
      </c>
      <c r="I2843" s="31">
        <f>'تقرير المصروفات حسب الشهر'!AB810</f>
        <v>0</v>
      </c>
      <c r="J2843" s="31">
        <f>'تقرير المصروفات حسب الشهر'!AB937</f>
        <v>0</v>
      </c>
      <c r="K2843" s="31">
        <f>'تقرير المصروفات حسب الشهر'!AB1064</f>
        <v>0</v>
      </c>
      <c r="L2843" s="292">
        <f>IFERROR(VLOOKUP(B2843,'تقرير المصروفات حسب الشهر'!$C$1143:$AD$1254,26,FALSE),0)</f>
        <v>0</v>
      </c>
      <c r="M2843" s="292">
        <f>IFERROR(VLOOKUP(B2843,'تقرير المصروفات حسب الشهر'!$C$1270:$AD$1381,26,FALSE),0)</f>
        <v>0</v>
      </c>
      <c r="N2843" s="31" t="e">
        <f>#REF!</f>
        <v>#REF!</v>
      </c>
      <c r="O2843" s="37" t="e">
        <f t="shared" si="72"/>
        <v>#REF!</v>
      </c>
    </row>
    <row r="2844" spans="2:15" ht="17.399999999999999">
      <c r="B2844" s="42" t="s">
        <v>75</v>
      </c>
      <c r="C2844" s="39" t="e">
        <f>#REF!</f>
        <v>#REF!</v>
      </c>
      <c r="D2844" s="31" t="e">
        <f>#REF!</f>
        <v>#REF!</v>
      </c>
      <c r="E2844" s="31" t="e">
        <f>#REF!</f>
        <v>#REF!</v>
      </c>
      <c r="F2844" s="31" t="e">
        <f>#REF!</f>
        <v>#REF!</v>
      </c>
      <c r="G2844" s="31" t="e">
        <f>#REF!</f>
        <v>#REF!</v>
      </c>
      <c r="H2844" s="31" t="e">
        <f>#REF!</f>
        <v>#REF!</v>
      </c>
      <c r="I2844" s="31">
        <f>'تقرير المصروفات حسب الشهر'!AB811</f>
        <v>0</v>
      </c>
      <c r="J2844" s="31">
        <f>'تقرير المصروفات حسب الشهر'!AB938</f>
        <v>0</v>
      </c>
      <c r="K2844" s="31">
        <f>'تقرير المصروفات حسب الشهر'!AB1065</f>
        <v>0</v>
      </c>
      <c r="L2844" s="292">
        <f>IFERROR(VLOOKUP(B2844,'تقرير المصروفات حسب الشهر'!$C$1143:$AD$1254,26,FALSE),0)</f>
        <v>0</v>
      </c>
      <c r="M2844" s="292">
        <f>IFERROR(VLOOKUP(B2844,'تقرير المصروفات حسب الشهر'!$C$1270:$AD$1381,26,FALSE),0)</f>
        <v>0</v>
      </c>
      <c r="N2844" s="31" t="e">
        <f>#REF!</f>
        <v>#REF!</v>
      </c>
      <c r="O2844" s="37" t="e">
        <f t="shared" si="72"/>
        <v>#REF!</v>
      </c>
    </row>
    <row r="2845" spans="2:15" ht="17.399999999999999">
      <c r="B2845" s="42" t="s">
        <v>76</v>
      </c>
      <c r="C2845" s="39" t="e">
        <f>#REF!</f>
        <v>#REF!</v>
      </c>
      <c r="D2845" s="31" t="e">
        <f>#REF!</f>
        <v>#REF!</v>
      </c>
      <c r="E2845" s="31" t="e">
        <f>#REF!</f>
        <v>#REF!</v>
      </c>
      <c r="F2845" s="31" t="e">
        <f>#REF!</f>
        <v>#REF!</v>
      </c>
      <c r="G2845" s="31" t="e">
        <f>#REF!</f>
        <v>#REF!</v>
      </c>
      <c r="H2845" s="31" t="e">
        <f>#REF!</f>
        <v>#REF!</v>
      </c>
      <c r="I2845" s="31">
        <f>'تقرير المصروفات حسب الشهر'!AB812</f>
        <v>0</v>
      </c>
      <c r="J2845" s="31">
        <f>'تقرير المصروفات حسب الشهر'!AB939</f>
        <v>0</v>
      </c>
      <c r="K2845" s="31">
        <f>'تقرير المصروفات حسب الشهر'!AB1066</f>
        <v>0</v>
      </c>
      <c r="L2845" s="292">
        <f>IFERROR(VLOOKUP(B2845,'تقرير المصروفات حسب الشهر'!$C$1143:$AD$1254,26,FALSE),0)</f>
        <v>0</v>
      </c>
      <c r="M2845" s="292">
        <f>IFERROR(VLOOKUP(B2845,'تقرير المصروفات حسب الشهر'!$C$1270:$AD$1381,26,FALSE),0)</f>
        <v>0</v>
      </c>
      <c r="N2845" s="31" t="e">
        <f>#REF!</f>
        <v>#REF!</v>
      </c>
      <c r="O2845" s="37" t="e">
        <f t="shared" si="72"/>
        <v>#REF!</v>
      </c>
    </row>
    <row r="2846" spans="2:15" ht="17.399999999999999">
      <c r="B2846" s="42" t="s">
        <v>77</v>
      </c>
      <c r="C2846" s="39" t="e">
        <f>#REF!</f>
        <v>#REF!</v>
      </c>
      <c r="D2846" s="31" t="e">
        <f>#REF!</f>
        <v>#REF!</v>
      </c>
      <c r="E2846" s="31" t="e">
        <f>#REF!</f>
        <v>#REF!</v>
      </c>
      <c r="F2846" s="31" t="e">
        <f>#REF!</f>
        <v>#REF!</v>
      </c>
      <c r="G2846" s="31" t="e">
        <f>#REF!</f>
        <v>#REF!</v>
      </c>
      <c r="H2846" s="31" t="e">
        <f>#REF!</f>
        <v>#REF!</v>
      </c>
      <c r="I2846" s="31">
        <f>'تقرير المصروفات حسب الشهر'!AB813</f>
        <v>0</v>
      </c>
      <c r="J2846" s="31">
        <f>'تقرير المصروفات حسب الشهر'!AB940</f>
        <v>0</v>
      </c>
      <c r="K2846" s="31">
        <f>'تقرير المصروفات حسب الشهر'!AB1067</f>
        <v>0</v>
      </c>
      <c r="L2846" s="292">
        <f>IFERROR(VLOOKUP(B2846,'تقرير المصروفات حسب الشهر'!$C$1143:$AD$1254,26,FALSE),0)</f>
        <v>0</v>
      </c>
      <c r="M2846" s="292">
        <f>IFERROR(VLOOKUP(B2846,'تقرير المصروفات حسب الشهر'!$C$1270:$AD$1381,26,FALSE),0)</f>
        <v>0</v>
      </c>
      <c r="N2846" s="31" t="e">
        <f>#REF!</f>
        <v>#REF!</v>
      </c>
      <c r="O2846" s="37" t="e">
        <f t="shared" si="72"/>
        <v>#REF!</v>
      </c>
    </row>
    <row r="2847" spans="2:15" ht="17.399999999999999">
      <c r="B2847" s="42" t="s">
        <v>78</v>
      </c>
      <c r="C2847" s="39" t="e">
        <f>#REF!</f>
        <v>#REF!</v>
      </c>
      <c r="D2847" s="31" t="e">
        <f>#REF!</f>
        <v>#REF!</v>
      </c>
      <c r="E2847" s="31" t="e">
        <f>#REF!</f>
        <v>#REF!</v>
      </c>
      <c r="F2847" s="31" t="e">
        <f>#REF!</f>
        <v>#REF!</v>
      </c>
      <c r="G2847" s="31" t="e">
        <f>#REF!</f>
        <v>#REF!</v>
      </c>
      <c r="H2847" s="31" t="e">
        <f>#REF!</f>
        <v>#REF!</v>
      </c>
      <c r="I2847" s="31">
        <f>'تقرير المصروفات حسب الشهر'!AB814</f>
        <v>0</v>
      </c>
      <c r="J2847" s="31">
        <f>'تقرير المصروفات حسب الشهر'!AB941</f>
        <v>0</v>
      </c>
      <c r="K2847" s="31">
        <f>'تقرير المصروفات حسب الشهر'!AB1068</f>
        <v>0</v>
      </c>
      <c r="L2847" s="292">
        <f>IFERROR(VLOOKUP(B2847,'تقرير المصروفات حسب الشهر'!$C$1143:$AD$1254,26,FALSE),0)</f>
        <v>0</v>
      </c>
      <c r="M2847" s="292">
        <f>IFERROR(VLOOKUP(B2847,'تقرير المصروفات حسب الشهر'!$C$1270:$AD$1381,26,FALSE),0)</f>
        <v>0</v>
      </c>
      <c r="N2847" s="31" t="e">
        <f>#REF!</f>
        <v>#REF!</v>
      </c>
      <c r="O2847" s="37" t="e">
        <f t="shared" si="72"/>
        <v>#REF!</v>
      </c>
    </row>
    <row r="2848" spans="2:15" ht="17.399999999999999">
      <c r="B2848" s="42" t="s">
        <v>79</v>
      </c>
      <c r="C2848" s="39" t="e">
        <f>#REF!</f>
        <v>#REF!</v>
      </c>
      <c r="D2848" s="31" t="e">
        <f>#REF!</f>
        <v>#REF!</v>
      </c>
      <c r="E2848" s="31" t="e">
        <f>#REF!</f>
        <v>#REF!</v>
      </c>
      <c r="F2848" s="31" t="e">
        <f>#REF!</f>
        <v>#REF!</v>
      </c>
      <c r="G2848" s="31" t="e">
        <f>#REF!</f>
        <v>#REF!</v>
      </c>
      <c r="H2848" s="31" t="e">
        <f>#REF!</f>
        <v>#REF!</v>
      </c>
      <c r="I2848" s="31">
        <f>'تقرير المصروفات حسب الشهر'!AB815</f>
        <v>0</v>
      </c>
      <c r="J2848" s="31">
        <f>'تقرير المصروفات حسب الشهر'!AB942</f>
        <v>0</v>
      </c>
      <c r="K2848" s="31">
        <f>'تقرير المصروفات حسب الشهر'!AB1069</f>
        <v>0</v>
      </c>
      <c r="L2848" s="292">
        <f>IFERROR(VLOOKUP(B2848,'تقرير المصروفات حسب الشهر'!$C$1143:$AD$1254,26,FALSE),0)</f>
        <v>0</v>
      </c>
      <c r="M2848" s="292">
        <f>IFERROR(VLOOKUP(B2848,'تقرير المصروفات حسب الشهر'!$C$1270:$AD$1381,26,FALSE),0)</f>
        <v>0</v>
      </c>
      <c r="N2848" s="31" t="e">
        <f>#REF!</f>
        <v>#REF!</v>
      </c>
      <c r="O2848" s="37" t="e">
        <f t="shared" si="72"/>
        <v>#REF!</v>
      </c>
    </row>
    <row r="2849" spans="2:15" ht="17.399999999999999">
      <c r="B2849" s="42" t="s">
        <v>80</v>
      </c>
      <c r="C2849" s="39" t="e">
        <f>#REF!</f>
        <v>#REF!</v>
      </c>
      <c r="D2849" s="31" t="e">
        <f>#REF!</f>
        <v>#REF!</v>
      </c>
      <c r="E2849" s="31" t="e">
        <f>#REF!</f>
        <v>#REF!</v>
      </c>
      <c r="F2849" s="31" t="e">
        <f>#REF!</f>
        <v>#REF!</v>
      </c>
      <c r="G2849" s="31" t="e">
        <f>#REF!</f>
        <v>#REF!</v>
      </c>
      <c r="H2849" s="31" t="e">
        <f>#REF!</f>
        <v>#REF!</v>
      </c>
      <c r="I2849" s="31">
        <f>'تقرير المصروفات حسب الشهر'!AB816</f>
        <v>0</v>
      </c>
      <c r="J2849" s="31">
        <f>'تقرير المصروفات حسب الشهر'!AB943</f>
        <v>0</v>
      </c>
      <c r="K2849" s="31">
        <f>'تقرير المصروفات حسب الشهر'!AB1070</f>
        <v>0</v>
      </c>
      <c r="L2849" s="292">
        <f>IFERROR(VLOOKUP(B2849,'تقرير المصروفات حسب الشهر'!$C$1143:$AD$1254,26,FALSE),0)</f>
        <v>0</v>
      </c>
      <c r="M2849" s="292">
        <f>IFERROR(VLOOKUP(B2849,'تقرير المصروفات حسب الشهر'!$C$1270:$AD$1381,26,FALSE),0)</f>
        <v>0</v>
      </c>
      <c r="N2849" s="31" t="e">
        <f>#REF!</f>
        <v>#REF!</v>
      </c>
      <c r="O2849" s="37" t="e">
        <f t="shared" si="72"/>
        <v>#REF!</v>
      </c>
    </row>
    <row r="2850" spans="2:15" ht="17.399999999999999">
      <c r="B2850" s="42" t="s">
        <v>81</v>
      </c>
      <c r="C2850" s="39" t="e">
        <f>#REF!</f>
        <v>#REF!</v>
      </c>
      <c r="D2850" s="31" t="e">
        <f>#REF!</f>
        <v>#REF!</v>
      </c>
      <c r="E2850" s="31" t="e">
        <f>#REF!</f>
        <v>#REF!</v>
      </c>
      <c r="F2850" s="31" t="e">
        <f>#REF!</f>
        <v>#REF!</v>
      </c>
      <c r="G2850" s="31" t="e">
        <f>#REF!</f>
        <v>#REF!</v>
      </c>
      <c r="H2850" s="31" t="e">
        <f>#REF!</f>
        <v>#REF!</v>
      </c>
      <c r="I2850" s="31">
        <f>'تقرير المصروفات حسب الشهر'!AB817</f>
        <v>0</v>
      </c>
      <c r="J2850" s="31">
        <f>'تقرير المصروفات حسب الشهر'!AB944</f>
        <v>0</v>
      </c>
      <c r="K2850" s="31">
        <f>'تقرير المصروفات حسب الشهر'!AB1071</f>
        <v>0</v>
      </c>
      <c r="L2850" s="292">
        <f>IFERROR(VLOOKUP(B2850,'تقرير المصروفات حسب الشهر'!$C$1143:$AD$1254,26,FALSE),0)</f>
        <v>0</v>
      </c>
      <c r="M2850" s="292">
        <f>IFERROR(VLOOKUP(B2850,'تقرير المصروفات حسب الشهر'!$C$1270:$AD$1381,26,FALSE),0)</f>
        <v>0</v>
      </c>
      <c r="N2850" s="31" t="e">
        <f>#REF!</f>
        <v>#REF!</v>
      </c>
      <c r="O2850" s="37" t="e">
        <f t="shared" si="72"/>
        <v>#REF!</v>
      </c>
    </row>
    <row r="2851" spans="2:15" ht="17.399999999999999">
      <c r="B2851" s="42" t="s">
        <v>82</v>
      </c>
      <c r="C2851" s="39" t="e">
        <f>#REF!</f>
        <v>#REF!</v>
      </c>
      <c r="D2851" s="31" t="e">
        <f>#REF!</f>
        <v>#REF!</v>
      </c>
      <c r="E2851" s="31" t="e">
        <f>#REF!</f>
        <v>#REF!</v>
      </c>
      <c r="F2851" s="31" t="e">
        <f>#REF!</f>
        <v>#REF!</v>
      </c>
      <c r="G2851" s="31" t="e">
        <f>#REF!</f>
        <v>#REF!</v>
      </c>
      <c r="H2851" s="31" t="e">
        <f>#REF!</f>
        <v>#REF!</v>
      </c>
      <c r="I2851" s="31">
        <f>'تقرير المصروفات حسب الشهر'!AB818</f>
        <v>0</v>
      </c>
      <c r="J2851" s="31">
        <f>'تقرير المصروفات حسب الشهر'!AB945</f>
        <v>0</v>
      </c>
      <c r="K2851" s="31">
        <f>'تقرير المصروفات حسب الشهر'!AB1072</f>
        <v>0</v>
      </c>
      <c r="L2851" s="292">
        <f>IFERROR(VLOOKUP(B2851,'تقرير المصروفات حسب الشهر'!$C$1143:$AD$1254,26,FALSE),0)</f>
        <v>0</v>
      </c>
      <c r="M2851" s="292">
        <f>IFERROR(VLOOKUP(B2851,'تقرير المصروفات حسب الشهر'!$C$1270:$AD$1381,26,FALSE),0)</f>
        <v>0</v>
      </c>
      <c r="N2851" s="31" t="e">
        <f>#REF!</f>
        <v>#REF!</v>
      </c>
      <c r="O2851" s="37" t="e">
        <f t="shared" si="72"/>
        <v>#REF!</v>
      </c>
    </row>
    <row r="2852" spans="2:15" ht="17.399999999999999">
      <c r="B2852" s="42" t="s">
        <v>83</v>
      </c>
      <c r="C2852" s="39" t="e">
        <f>#REF!</f>
        <v>#REF!</v>
      </c>
      <c r="D2852" s="31" t="e">
        <f>#REF!</f>
        <v>#REF!</v>
      </c>
      <c r="E2852" s="31" t="e">
        <f>#REF!</f>
        <v>#REF!</v>
      </c>
      <c r="F2852" s="31" t="e">
        <f>#REF!</f>
        <v>#REF!</v>
      </c>
      <c r="G2852" s="31" t="e">
        <f>#REF!</f>
        <v>#REF!</v>
      </c>
      <c r="H2852" s="31" t="e">
        <f>#REF!</f>
        <v>#REF!</v>
      </c>
      <c r="I2852" s="31">
        <f>'تقرير المصروفات حسب الشهر'!AB819</f>
        <v>0</v>
      </c>
      <c r="J2852" s="31">
        <f>'تقرير المصروفات حسب الشهر'!AB946</f>
        <v>0</v>
      </c>
      <c r="K2852" s="31">
        <f>'تقرير المصروفات حسب الشهر'!AB1073</f>
        <v>0</v>
      </c>
      <c r="L2852" s="292">
        <f>IFERROR(VLOOKUP(B2852,'تقرير المصروفات حسب الشهر'!$C$1143:$AD$1254,26,FALSE),0)</f>
        <v>0</v>
      </c>
      <c r="M2852" s="292">
        <f>IFERROR(VLOOKUP(B2852,'تقرير المصروفات حسب الشهر'!$C$1270:$AD$1381,26,FALSE),0)</f>
        <v>0</v>
      </c>
      <c r="N2852" s="31" t="e">
        <f>#REF!</f>
        <v>#REF!</v>
      </c>
      <c r="O2852" s="37" t="e">
        <f t="shared" si="72"/>
        <v>#REF!</v>
      </c>
    </row>
    <row r="2853" spans="2:15" ht="17.399999999999999">
      <c r="B2853" s="42" t="s">
        <v>84</v>
      </c>
      <c r="C2853" s="39" t="e">
        <f>#REF!</f>
        <v>#REF!</v>
      </c>
      <c r="D2853" s="31" t="e">
        <f>#REF!</f>
        <v>#REF!</v>
      </c>
      <c r="E2853" s="31" t="e">
        <f>#REF!</f>
        <v>#REF!</v>
      </c>
      <c r="F2853" s="31" t="e">
        <f>#REF!</f>
        <v>#REF!</v>
      </c>
      <c r="G2853" s="31" t="e">
        <f>#REF!</f>
        <v>#REF!</v>
      </c>
      <c r="H2853" s="31" t="e">
        <f>#REF!</f>
        <v>#REF!</v>
      </c>
      <c r="I2853" s="31">
        <f>'تقرير المصروفات حسب الشهر'!AB820</f>
        <v>0</v>
      </c>
      <c r="J2853" s="31">
        <f>'تقرير المصروفات حسب الشهر'!AB947</f>
        <v>0</v>
      </c>
      <c r="K2853" s="31">
        <f>'تقرير المصروفات حسب الشهر'!AB1074</f>
        <v>0</v>
      </c>
      <c r="L2853" s="292">
        <f>IFERROR(VLOOKUP(B2853,'تقرير المصروفات حسب الشهر'!$C$1143:$AD$1254,26,FALSE),0)</f>
        <v>0</v>
      </c>
      <c r="M2853" s="292">
        <f>IFERROR(VLOOKUP(B2853,'تقرير المصروفات حسب الشهر'!$C$1270:$AD$1381,26,FALSE),0)</f>
        <v>0</v>
      </c>
      <c r="N2853" s="31" t="e">
        <f>#REF!</f>
        <v>#REF!</v>
      </c>
      <c r="O2853" s="37" t="e">
        <f t="shared" si="72"/>
        <v>#REF!</v>
      </c>
    </row>
    <row r="2854" spans="2:15" ht="17.399999999999999">
      <c r="B2854" s="42" t="s">
        <v>85</v>
      </c>
      <c r="C2854" s="39" t="e">
        <f>#REF!</f>
        <v>#REF!</v>
      </c>
      <c r="D2854" s="31" t="e">
        <f>#REF!</f>
        <v>#REF!</v>
      </c>
      <c r="E2854" s="31" t="e">
        <f>#REF!</f>
        <v>#REF!</v>
      </c>
      <c r="F2854" s="31" t="e">
        <f>#REF!</f>
        <v>#REF!</v>
      </c>
      <c r="G2854" s="31" t="e">
        <f>#REF!</f>
        <v>#REF!</v>
      </c>
      <c r="H2854" s="31" t="e">
        <f>#REF!</f>
        <v>#REF!</v>
      </c>
      <c r="I2854" s="31">
        <f>'تقرير المصروفات حسب الشهر'!AB821</f>
        <v>0</v>
      </c>
      <c r="J2854" s="31">
        <f>'تقرير المصروفات حسب الشهر'!AB948</f>
        <v>300</v>
      </c>
      <c r="K2854" s="31">
        <f>'تقرير المصروفات حسب الشهر'!AB1075</f>
        <v>200</v>
      </c>
      <c r="L2854" s="292">
        <f>IFERROR(VLOOKUP(B2854,'تقرير المصروفات حسب الشهر'!$C$1143:$AD$1254,26,FALSE),0)</f>
        <v>0</v>
      </c>
      <c r="M2854" s="292">
        <f>IFERROR(VLOOKUP(B2854,'تقرير المصروفات حسب الشهر'!$C$1270:$AD$1381,26,FALSE),0)</f>
        <v>1370</v>
      </c>
      <c r="N2854" s="31" t="e">
        <f>#REF!</f>
        <v>#REF!</v>
      </c>
      <c r="O2854" s="37" t="e">
        <f t="shared" si="72"/>
        <v>#REF!</v>
      </c>
    </row>
    <row r="2855" spans="2:15" ht="17.399999999999999">
      <c r="B2855" s="42" t="s">
        <v>86</v>
      </c>
      <c r="C2855" s="39" t="e">
        <f>#REF!</f>
        <v>#REF!</v>
      </c>
      <c r="D2855" s="31" t="e">
        <f>#REF!</f>
        <v>#REF!</v>
      </c>
      <c r="E2855" s="31" t="e">
        <f>#REF!</f>
        <v>#REF!</v>
      </c>
      <c r="F2855" s="31" t="e">
        <f>#REF!</f>
        <v>#REF!</v>
      </c>
      <c r="G2855" s="31" t="e">
        <f>#REF!</f>
        <v>#REF!</v>
      </c>
      <c r="H2855" s="31" t="e">
        <f>#REF!</f>
        <v>#REF!</v>
      </c>
      <c r="I2855" s="31">
        <f>'تقرير المصروفات حسب الشهر'!AB822</f>
        <v>0</v>
      </c>
      <c r="J2855" s="31">
        <f>'تقرير المصروفات حسب الشهر'!AB949</f>
        <v>0</v>
      </c>
      <c r="K2855" s="31">
        <f>'تقرير المصروفات حسب الشهر'!AB1076</f>
        <v>0</v>
      </c>
      <c r="L2855" s="292">
        <f>IFERROR(VLOOKUP(B2855,'تقرير المصروفات حسب الشهر'!$C$1143:$AD$1254,26,FALSE),0)</f>
        <v>0</v>
      </c>
      <c r="M2855" s="292">
        <f>IFERROR(VLOOKUP(B2855,'تقرير المصروفات حسب الشهر'!$C$1270:$AD$1381,26,FALSE),0)</f>
        <v>0</v>
      </c>
      <c r="N2855" s="31" t="e">
        <f>#REF!</f>
        <v>#REF!</v>
      </c>
      <c r="O2855" s="37" t="e">
        <f t="shared" si="72"/>
        <v>#REF!</v>
      </c>
    </row>
    <row r="2856" spans="2:15" ht="17.399999999999999">
      <c r="B2856" s="42" t="s">
        <v>87</v>
      </c>
      <c r="C2856" s="39" t="e">
        <f>#REF!</f>
        <v>#REF!</v>
      </c>
      <c r="D2856" s="31" t="e">
        <f>#REF!</f>
        <v>#REF!</v>
      </c>
      <c r="E2856" s="31" t="e">
        <f>#REF!</f>
        <v>#REF!</v>
      </c>
      <c r="F2856" s="31" t="e">
        <f>#REF!</f>
        <v>#REF!</v>
      </c>
      <c r="G2856" s="31" t="e">
        <f>#REF!</f>
        <v>#REF!</v>
      </c>
      <c r="H2856" s="31" t="e">
        <f>#REF!</f>
        <v>#REF!</v>
      </c>
      <c r="I2856" s="31">
        <f>'تقرير المصروفات حسب الشهر'!AB823</f>
        <v>0</v>
      </c>
      <c r="J2856" s="31">
        <f>'تقرير المصروفات حسب الشهر'!AB950</f>
        <v>0</v>
      </c>
      <c r="K2856" s="31">
        <f>'تقرير المصروفات حسب الشهر'!AB1077</f>
        <v>0</v>
      </c>
      <c r="L2856" s="292">
        <f>IFERROR(VLOOKUP(B2856,'تقرير المصروفات حسب الشهر'!$C$1143:$AD$1254,26,FALSE),0)</f>
        <v>0</v>
      </c>
      <c r="M2856" s="292">
        <f>IFERROR(VLOOKUP(B2856,'تقرير المصروفات حسب الشهر'!$C$1270:$AD$1381,26,FALSE),0)</f>
        <v>0</v>
      </c>
      <c r="N2856" s="31" t="e">
        <f>#REF!</f>
        <v>#REF!</v>
      </c>
      <c r="O2856" s="37" t="e">
        <f t="shared" si="72"/>
        <v>#REF!</v>
      </c>
    </row>
    <row r="2857" spans="2:15" ht="17.399999999999999">
      <c r="B2857" s="42" t="s">
        <v>88</v>
      </c>
      <c r="C2857" s="39" t="e">
        <f>#REF!</f>
        <v>#REF!</v>
      </c>
      <c r="D2857" s="31" t="e">
        <f>#REF!</f>
        <v>#REF!</v>
      </c>
      <c r="E2857" s="31" t="e">
        <f>#REF!</f>
        <v>#REF!</v>
      </c>
      <c r="F2857" s="31" t="e">
        <f>#REF!</f>
        <v>#REF!</v>
      </c>
      <c r="G2857" s="31" t="e">
        <f>#REF!</f>
        <v>#REF!</v>
      </c>
      <c r="H2857" s="31" t="e">
        <f>#REF!</f>
        <v>#REF!</v>
      </c>
      <c r="I2857" s="31">
        <f>'تقرير المصروفات حسب الشهر'!AB824</f>
        <v>0</v>
      </c>
      <c r="J2857" s="31">
        <f>'تقرير المصروفات حسب الشهر'!AB951</f>
        <v>0</v>
      </c>
      <c r="K2857" s="31">
        <f>'تقرير المصروفات حسب الشهر'!AB1078</f>
        <v>0</v>
      </c>
      <c r="L2857" s="292">
        <f>IFERROR(VLOOKUP(B2857,'تقرير المصروفات حسب الشهر'!$C$1143:$AD$1254,26,FALSE),0)</f>
        <v>0</v>
      </c>
      <c r="M2857" s="292">
        <f>IFERROR(VLOOKUP(B2857,'تقرير المصروفات حسب الشهر'!$C$1270:$AD$1381,26,FALSE),0)</f>
        <v>0</v>
      </c>
      <c r="N2857" s="31" t="e">
        <f>#REF!</f>
        <v>#REF!</v>
      </c>
      <c r="O2857" s="37" t="e">
        <f t="shared" si="72"/>
        <v>#REF!</v>
      </c>
    </row>
    <row r="2858" spans="2:15" ht="17.399999999999999">
      <c r="B2858" s="42" t="s">
        <v>89</v>
      </c>
      <c r="C2858" s="39" t="e">
        <f>#REF!</f>
        <v>#REF!</v>
      </c>
      <c r="D2858" s="31" t="e">
        <f>#REF!</f>
        <v>#REF!</v>
      </c>
      <c r="E2858" s="31" t="e">
        <f>#REF!</f>
        <v>#REF!</v>
      </c>
      <c r="F2858" s="31" t="e">
        <f>#REF!</f>
        <v>#REF!</v>
      </c>
      <c r="G2858" s="31" t="e">
        <f>#REF!</f>
        <v>#REF!</v>
      </c>
      <c r="H2858" s="31" t="e">
        <f>#REF!</f>
        <v>#REF!</v>
      </c>
      <c r="I2858" s="31">
        <f>'تقرير المصروفات حسب الشهر'!AB825</f>
        <v>0</v>
      </c>
      <c r="J2858" s="31">
        <f>'تقرير المصروفات حسب الشهر'!AB952</f>
        <v>0</v>
      </c>
      <c r="K2858" s="31">
        <f>'تقرير المصروفات حسب الشهر'!AB1079</f>
        <v>0</v>
      </c>
      <c r="L2858" s="292">
        <f>IFERROR(VLOOKUP(B2858,'تقرير المصروفات حسب الشهر'!$C$1143:$AD$1254,26,FALSE),0)</f>
        <v>0</v>
      </c>
      <c r="M2858" s="292">
        <f>IFERROR(VLOOKUP(B2858,'تقرير المصروفات حسب الشهر'!$C$1270:$AD$1381,26,FALSE),0)</f>
        <v>0</v>
      </c>
      <c r="N2858" s="31" t="e">
        <f>#REF!</f>
        <v>#REF!</v>
      </c>
      <c r="O2858" s="37" t="e">
        <f t="shared" si="72"/>
        <v>#REF!</v>
      </c>
    </row>
    <row r="2859" spans="2:15" ht="17.399999999999999">
      <c r="B2859" s="42" t="s">
        <v>33</v>
      </c>
      <c r="C2859" s="39" t="e">
        <f>#REF!</f>
        <v>#REF!</v>
      </c>
      <c r="D2859" s="31" t="e">
        <f>#REF!</f>
        <v>#REF!</v>
      </c>
      <c r="E2859" s="31" t="e">
        <f>#REF!</f>
        <v>#REF!</v>
      </c>
      <c r="F2859" s="31" t="e">
        <f>#REF!</f>
        <v>#REF!</v>
      </c>
      <c r="G2859" s="31" t="e">
        <f>#REF!</f>
        <v>#REF!</v>
      </c>
      <c r="H2859" s="31" t="e">
        <f>#REF!</f>
        <v>#REF!</v>
      </c>
      <c r="I2859" s="31">
        <f>'تقرير المصروفات حسب الشهر'!AB826</f>
        <v>979</v>
      </c>
      <c r="J2859" s="31">
        <f>'تقرير المصروفات حسب الشهر'!AB953</f>
        <v>0</v>
      </c>
      <c r="K2859" s="31">
        <f>'تقرير المصروفات حسب الشهر'!AB1080</f>
        <v>0</v>
      </c>
      <c r="L2859" s="292">
        <f>IFERROR(VLOOKUP(B2859,'تقرير المصروفات حسب الشهر'!$C$1143:$AD$1254,26,FALSE),0)</f>
        <v>1075.76</v>
      </c>
      <c r="M2859" s="292">
        <f>IFERROR(VLOOKUP(B2859,'تقرير المصروفات حسب الشهر'!$C$1270:$AD$1381,26,FALSE),0)</f>
        <v>2207.5700000000002</v>
      </c>
      <c r="N2859" s="31" t="e">
        <f>#REF!</f>
        <v>#REF!</v>
      </c>
      <c r="O2859" s="37" t="e">
        <f t="shared" si="72"/>
        <v>#REF!</v>
      </c>
    </row>
    <row r="2860" spans="2:15" ht="17.399999999999999">
      <c r="B2860" s="42" t="s">
        <v>90</v>
      </c>
      <c r="C2860" s="39" t="e">
        <f>#REF!</f>
        <v>#REF!</v>
      </c>
      <c r="D2860" s="31" t="e">
        <f>#REF!</f>
        <v>#REF!</v>
      </c>
      <c r="E2860" s="31" t="e">
        <f>#REF!</f>
        <v>#REF!</v>
      </c>
      <c r="F2860" s="31" t="e">
        <f>#REF!</f>
        <v>#REF!</v>
      </c>
      <c r="G2860" s="31" t="e">
        <f>#REF!</f>
        <v>#REF!</v>
      </c>
      <c r="H2860" s="31" t="e">
        <f>#REF!</f>
        <v>#REF!</v>
      </c>
      <c r="I2860" s="31">
        <f>'تقرير المصروفات حسب الشهر'!AB827</f>
        <v>0</v>
      </c>
      <c r="J2860" s="31">
        <f>'تقرير المصروفات حسب الشهر'!AB954</f>
        <v>0</v>
      </c>
      <c r="K2860" s="31">
        <f>'تقرير المصروفات حسب الشهر'!AB1081</f>
        <v>0</v>
      </c>
      <c r="L2860" s="292">
        <f>IFERROR(VLOOKUP(B2860,'تقرير المصروفات حسب الشهر'!$C$1143:$AD$1254,26,FALSE),0)</f>
        <v>0</v>
      </c>
      <c r="M2860" s="292">
        <f>IFERROR(VLOOKUP(B2860,'تقرير المصروفات حسب الشهر'!$C$1270:$AD$1381,26,FALSE),0)</f>
        <v>0</v>
      </c>
      <c r="N2860" s="31" t="e">
        <f>#REF!</f>
        <v>#REF!</v>
      </c>
      <c r="O2860" s="37" t="e">
        <f t="shared" si="72"/>
        <v>#REF!</v>
      </c>
    </row>
    <row r="2861" spans="2:15" ht="17.399999999999999">
      <c r="B2861" s="42" t="s">
        <v>91</v>
      </c>
      <c r="C2861" s="39" t="e">
        <f>#REF!</f>
        <v>#REF!</v>
      </c>
      <c r="D2861" s="31" t="e">
        <f>#REF!</f>
        <v>#REF!</v>
      </c>
      <c r="E2861" s="31" t="e">
        <f>#REF!</f>
        <v>#REF!</v>
      </c>
      <c r="F2861" s="31" t="e">
        <f>#REF!</f>
        <v>#REF!</v>
      </c>
      <c r="G2861" s="31" t="e">
        <f>#REF!</f>
        <v>#REF!</v>
      </c>
      <c r="H2861" s="31" t="e">
        <f>#REF!</f>
        <v>#REF!</v>
      </c>
      <c r="I2861" s="31">
        <f>'تقرير المصروفات حسب الشهر'!AB828</f>
        <v>0</v>
      </c>
      <c r="J2861" s="31">
        <f>'تقرير المصروفات حسب الشهر'!AB955</f>
        <v>0</v>
      </c>
      <c r="K2861" s="31">
        <f>'تقرير المصروفات حسب الشهر'!AB1082</f>
        <v>0</v>
      </c>
      <c r="L2861" s="292">
        <f>IFERROR(VLOOKUP(B2861,'تقرير المصروفات حسب الشهر'!$C$1143:$AD$1254,26,FALSE),0)</f>
        <v>0</v>
      </c>
      <c r="M2861" s="292">
        <f>IFERROR(VLOOKUP(B2861,'تقرير المصروفات حسب الشهر'!$C$1270:$AD$1381,26,FALSE),0)</f>
        <v>0</v>
      </c>
      <c r="N2861" s="31" t="e">
        <f>#REF!</f>
        <v>#REF!</v>
      </c>
      <c r="O2861" s="37" t="e">
        <f t="shared" ref="O2861:O2904" si="73">SUM(C2861:N2861)</f>
        <v>#REF!</v>
      </c>
    </row>
    <row r="2862" spans="2:15" ht="17.399999999999999">
      <c r="B2862" s="42" t="s">
        <v>92</v>
      </c>
      <c r="C2862" s="39" t="e">
        <f>#REF!</f>
        <v>#REF!</v>
      </c>
      <c r="D2862" s="31" t="e">
        <f>#REF!</f>
        <v>#REF!</v>
      </c>
      <c r="E2862" s="31" t="e">
        <f>#REF!</f>
        <v>#REF!</v>
      </c>
      <c r="F2862" s="31" t="e">
        <f>#REF!</f>
        <v>#REF!</v>
      </c>
      <c r="G2862" s="31" t="e">
        <f>#REF!</f>
        <v>#REF!</v>
      </c>
      <c r="H2862" s="31" t="e">
        <f>#REF!</f>
        <v>#REF!</v>
      </c>
      <c r="I2862" s="31">
        <f>'تقرير المصروفات حسب الشهر'!AB829</f>
        <v>0</v>
      </c>
      <c r="J2862" s="31">
        <f>'تقرير المصروفات حسب الشهر'!AB956</f>
        <v>0</v>
      </c>
      <c r="K2862" s="31">
        <f>'تقرير المصروفات حسب الشهر'!AB1083</f>
        <v>0</v>
      </c>
      <c r="L2862" s="292">
        <f>IFERROR(VLOOKUP(B2862,'تقرير المصروفات حسب الشهر'!$C$1143:$AD$1254,26,FALSE),0)</f>
        <v>0</v>
      </c>
      <c r="M2862" s="292">
        <f>IFERROR(VLOOKUP(B2862,'تقرير المصروفات حسب الشهر'!$C$1270:$AD$1381,26,FALSE),0)</f>
        <v>0</v>
      </c>
      <c r="N2862" s="31" t="e">
        <f>#REF!</f>
        <v>#REF!</v>
      </c>
      <c r="O2862" s="37" t="e">
        <f t="shared" si="73"/>
        <v>#REF!</v>
      </c>
    </row>
    <row r="2863" spans="2:15" ht="17.399999999999999">
      <c r="B2863" s="42" t="s">
        <v>93</v>
      </c>
      <c r="C2863" s="39" t="e">
        <f>#REF!</f>
        <v>#REF!</v>
      </c>
      <c r="D2863" s="31" t="e">
        <f>#REF!</f>
        <v>#REF!</v>
      </c>
      <c r="E2863" s="31" t="e">
        <f>#REF!</f>
        <v>#REF!</v>
      </c>
      <c r="F2863" s="31" t="e">
        <f>#REF!</f>
        <v>#REF!</v>
      </c>
      <c r="G2863" s="31" t="e">
        <f>#REF!</f>
        <v>#REF!</v>
      </c>
      <c r="H2863" s="31" t="e">
        <f>#REF!</f>
        <v>#REF!</v>
      </c>
      <c r="I2863" s="31">
        <f>'تقرير المصروفات حسب الشهر'!AB830</f>
        <v>0</v>
      </c>
      <c r="J2863" s="31">
        <f>'تقرير المصروفات حسب الشهر'!AB957</f>
        <v>0</v>
      </c>
      <c r="K2863" s="31">
        <f>'تقرير المصروفات حسب الشهر'!AB1084</f>
        <v>0</v>
      </c>
      <c r="L2863" s="292">
        <f>IFERROR(VLOOKUP(B2863,'تقرير المصروفات حسب الشهر'!$C$1143:$AD$1254,26,FALSE),0)</f>
        <v>0</v>
      </c>
      <c r="M2863" s="292">
        <f>IFERROR(VLOOKUP(B2863,'تقرير المصروفات حسب الشهر'!$C$1270:$AD$1381,26,FALSE),0)</f>
        <v>0</v>
      </c>
      <c r="N2863" s="31" t="e">
        <f>#REF!</f>
        <v>#REF!</v>
      </c>
      <c r="O2863" s="37" t="e">
        <f t="shared" si="73"/>
        <v>#REF!</v>
      </c>
    </row>
    <row r="2864" spans="2:15" ht="17.399999999999999">
      <c r="B2864" s="42" t="s">
        <v>94</v>
      </c>
      <c r="C2864" s="39" t="e">
        <f>#REF!</f>
        <v>#REF!</v>
      </c>
      <c r="D2864" s="31" t="e">
        <f>#REF!</f>
        <v>#REF!</v>
      </c>
      <c r="E2864" s="31" t="e">
        <f>#REF!</f>
        <v>#REF!</v>
      </c>
      <c r="F2864" s="31" t="e">
        <f>#REF!</f>
        <v>#REF!</v>
      </c>
      <c r="G2864" s="31" t="e">
        <f>#REF!</f>
        <v>#REF!</v>
      </c>
      <c r="H2864" s="31" t="e">
        <f>#REF!</f>
        <v>#REF!</v>
      </c>
      <c r="I2864" s="31">
        <f>'تقرير المصروفات حسب الشهر'!AB831</f>
        <v>0</v>
      </c>
      <c r="J2864" s="31">
        <f>'تقرير المصروفات حسب الشهر'!AB958</f>
        <v>0</v>
      </c>
      <c r="K2864" s="31">
        <f>'تقرير المصروفات حسب الشهر'!AB1085</f>
        <v>0</v>
      </c>
      <c r="L2864" s="292">
        <f>IFERROR(VLOOKUP(B2864,'تقرير المصروفات حسب الشهر'!$C$1143:$AD$1254,26,FALSE),0)</f>
        <v>0</v>
      </c>
      <c r="M2864" s="292">
        <f>IFERROR(VLOOKUP(B2864,'تقرير المصروفات حسب الشهر'!$C$1270:$AD$1381,26,FALSE),0)</f>
        <v>0</v>
      </c>
      <c r="N2864" s="31" t="e">
        <f>#REF!</f>
        <v>#REF!</v>
      </c>
      <c r="O2864" s="37" t="e">
        <f t="shared" si="73"/>
        <v>#REF!</v>
      </c>
    </row>
    <row r="2865" spans="2:15" ht="17.399999999999999">
      <c r="B2865" s="42" t="s">
        <v>95</v>
      </c>
      <c r="C2865" s="39" t="e">
        <f>#REF!</f>
        <v>#REF!</v>
      </c>
      <c r="D2865" s="31" t="e">
        <f>#REF!</f>
        <v>#REF!</v>
      </c>
      <c r="E2865" s="31" t="e">
        <f>#REF!</f>
        <v>#REF!</v>
      </c>
      <c r="F2865" s="31" t="e">
        <f>#REF!</f>
        <v>#REF!</v>
      </c>
      <c r="G2865" s="31" t="e">
        <f>#REF!</f>
        <v>#REF!</v>
      </c>
      <c r="H2865" s="31" t="e">
        <f>#REF!</f>
        <v>#REF!</v>
      </c>
      <c r="I2865" s="31">
        <f>'تقرير المصروفات حسب الشهر'!AB832</f>
        <v>0</v>
      </c>
      <c r="J2865" s="31">
        <f>'تقرير المصروفات حسب الشهر'!AB959</f>
        <v>0</v>
      </c>
      <c r="K2865" s="31">
        <f>'تقرير المصروفات حسب الشهر'!AB1086</f>
        <v>0</v>
      </c>
      <c r="L2865" s="292">
        <f>IFERROR(VLOOKUP(B2865,'تقرير المصروفات حسب الشهر'!$C$1143:$AD$1254,26,FALSE),0)</f>
        <v>0</v>
      </c>
      <c r="M2865" s="292">
        <f>IFERROR(VLOOKUP(B2865,'تقرير المصروفات حسب الشهر'!$C$1270:$AD$1381,26,FALSE),0)</f>
        <v>0</v>
      </c>
      <c r="N2865" s="31" t="e">
        <f>#REF!</f>
        <v>#REF!</v>
      </c>
      <c r="O2865" s="37" t="e">
        <f t="shared" si="73"/>
        <v>#REF!</v>
      </c>
    </row>
    <row r="2866" spans="2:15" ht="17.399999999999999">
      <c r="B2866" s="42" t="s">
        <v>96</v>
      </c>
      <c r="C2866" s="39" t="e">
        <f>#REF!</f>
        <v>#REF!</v>
      </c>
      <c r="D2866" s="31" t="e">
        <f>#REF!</f>
        <v>#REF!</v>
      </c>
      <c r="E2866" s="31" t="e">
        <f>#REF!</f>
        <v>#REF!</v>
      </c>
      <c r="F2866" s="31" t="e">
        <f>#REF!</f>
        <v>#REF!</v>
      </c>
      <c r="G2866" s="31" t="e">
        <f>#REF!</f>
        <v>#REF!</v>
      </c>
      <c r="H2866" s="31" t="e">
        <f>#REF!</f>
        <v>#REF!</v>
      </c>
      <c r="I2866" s="31">
        <f>'تقرير المصروفات حسب الشهر'!AB833</f>
        <v>668</v>
      </c>
      <c r="J2866" s="31">
        <f>'تقرير المصروفات حسب الشهر'!AB960</f>
        <v>0</v>
      </c>
      <c r="K2866" s="31">
        <f>'تقرير المصروفات حسب الشهر'!AB1087</f>
        <v>0</v>
      </c>
      <c r="L2866" s="292">
        <f>IFERROR(VLOOKUP(B2866,'تقرير المصروفات حسب الشهر'!$C$1143:$AD$1254,26,FALSE),0)</f>
        <v>0</v>
      </c>
      <c r="M2866" s="292">
        <f>IFERROR(VLOOKUP(B2866,'تقرير المصروفات حسب الشهر'!$C$1270:$AD$1381,26,FALSE),0)</f>
        <v>0</v>
      </c>
      <c r="N2866" s="31" t="e">
        <f>#REF!</f>
        <v>#REF!</v>
      </c>
      <c r="O2866" s="37" t="e">
        <f t="shared" si="73"/>
        <v>#REF!</v>
      </c>
    </row>
    <row r="2867" spans="2:15" ht="17.399999999999999">
      <c r="B2867" s="42" t="s">
        <v>97</v>
      </c>
      <c r="C2867" s="39" t="e">
        <f>#REF!</f>
        <v>#REF!</v>
      </c>
      <c r="D2867" s="31" t="e">
        <f>#REF!</f>
        <v>#REF!</v>
      </c>
      <c r="E2867" s="31" t="e">
        <f>#REF!</f>
        <v>#REF!</v>
      </c>
      <c r="F2867" s="31" t="e">
        <f>#REF!</f>
        <v>#REF!</v>
      </c>
      <c r="G2867" s="31" t="e">
        <f>#REF!</f>
        <v>#REF!</v>
      </c>
      <c r="H2867" s="31" t="e">
        <f>#REF!</f>
        <v>#REF!</v>
      </c>
      <c r="I2867" s="31">
        <f>'تقرير المصروفات حسب الشهر'!AB834</f>
        <v>0</v>
      </c>
      <c r="J2867" s="31">
        <f>'تقرير المصروفات حسب الشهر'!AB961</f>
        <v>0</v>
      </c>
      <c r="K2867" s="31">
        <f>'تقرير المصروفات حسب الشهر'!AB1088</f>
        <v>0</v>
      </c>
      <c r="L2867" s="292">
        <f>IFERROR(VLOOKUP(B2867,'تقرير المصروفات حسب الشهر'!$C$1143:$AD$1254,26,FALSE),0)</f>
        <v>0</v>
      </c>
      <c r="M2867" s="292">
        <f>IFERROR(VLOOKUP(B2867,'تقرير المصروفات حسب الشهر'!$C$1270:$AD$1381,26,FALSE),0)</f>
        <v>0</v>
      </c>
      <c r="N2867" s="31" t="e">
        <f>#REF!</f>
        <v>#REF!</v>
      </c>
      <c r="O2867" s="37" t="e">
        <f t="shared" si="73"/>
        <v>#REF!</v>
      </c>
    </row>
    <row r="2868" spans="2:15" ht="17.399999999999999">
      <c r="B2868" s="42" t="s">
        <v>192</v>
      </c>
      <c r="C2868" s="39" t="e">
        <f>#REF!</f>
        <v>#REF!</v>
      </c>
      <c r="D2868" s="31" t="e">
        <f>#REF!</f>
        <v>#REF!</v>
      </c>
      <c r="E2868" s="31" t="e">
        <f>#REF!</f>
        <v>#REF!</v>
      </c>
      <c r="F2868" s="31" t="e">
        <f>#REF!</f>
        <v>#REF!</v>
      </c>
      <c r="G2868" s="31" t="e">
        <f>#REF!</f>
        <v>#REF!</v>
      </c>
      <c r="H2868" s="31" t="e">
        <f>#REF!</f>
        <v>#REF!</v>
      </c>
      <c r="I2868" s="31">
        <f>'تقرير المصروفات حسب الشهر'!AB835</f>
        <v>0</v>
      </c>
      <c r="J2868" s="31">
        <f>'تقرير المصروفات حسب الشهر'!AB962</f>
        <v>0</v>
      </c>
      <c r="K2868" s="31">
        <f>'تقرير المصروفات حسب الشهر'!AB1089</f>
        <v>2130</v>
      </c>
      <c r="L2868" s="292">
        <f>IFERROR(VLOOKUP(B2868,'تقرير المصروفات حسب الشهر'!$C$1143:$AD$1254,26,FALSE),0)</f>
        <v>1065</v>
      </c>
      <c r="M2868" s="292">
        <f>IFERROR(VLOOKUP(B2868,'تقرير المصروفات حسب الشهر'!$C$1270:$AD$1381,26,FALSE),0)</f>
        <v>1065</v>
      </c>
      <c r="N2868" s="31" t="e">
        <f>#REF!</f>
        <v>#REF!</v>
      </c>
      <c r="O2868" s="37" t="e">
        <f t="shared" si="73"/>
        <v>#REF!</v>
      </c>
    </row>
    <row r="2869" spans="2:15" ht="17.399999999999999">
      <c r="B2869" s="42" t="s">
        <v>98</v>
      </c>
      <c r="C2869" s="39" t="e">
        <f>#REF!</f>
        <v>#REF!</v>
      </c>
      <c r="D2869" s="31" t="e">
        <f>#REF!</f>
        <v>#REF!</v>
      </c>
      <c r="E2869" s="31" t="e">
        <f>#REF!</f>
        <v>#REF!</v>
      </c>
      <c r="F2869" s="31" t="e">
        <f>#REF!</f>
        <v>#REF!</v>
      </c>
      <c r="G2869" s="31" t="e">
        <f>#REF!</f>
        <v>#REF!</v>
      </c>
      <c r="H2869" s="31" t="e">
        <f>#REF!</f>
        <v>#REF!</v>
      </c>
      <c r="I2869" s="31">
        <f>'تقرير المصروفات حسب الشهر'!AB836</f>
        <v>0</v>
      </c>
      <c r="J2869" s="31">
        <f>'تقرير المصروفات حسب الشهر'!AB963</f>
        <v>0</v>
      </c>
      <c r="K2869" s="31">
        <f>'تقرير المصروفات حسب الشهر'!AB1090</f>
        <v>0</v>
      </c>
      <c r="L2869" s="292">
        <f>IFERROR(VLOOKUP(B2869,'تقرير المصروفات حسب الشهر'!$C$1143:$AD$1254,26,FALSE),0)</f>
        <v>0</v>
      </c>
      <c r="M2869" s="292">
        <f>IFERROR(VLOOKUP(B2869,'تقرير المصروفات حسب الشهر'!$C$1270:$AD$1381,26,FALSE),0)</f>
        <v>0</v>
      </c>
      <c r="N2869" s="31" t="e">
        <f>#REF!</f>
        <v>#REF!</v>
      </c>
      <c r="O2869" s="37" t="e">
        <f t="shared" si="73"/>
        <v>#REF!</v>
      </c>
    </row>
    <row r="2870" spans="2:15" ht="17.399999999999999">
      <c r="B2870" s="42" t="s">
        <v>99</v>
      </c>
      <c r="C2870" s="39" t="e">
        <f>#REF!</f>
        <v>#REF!</v>
      </c>
      <c r="D2870" s="31" t="e">
        <f>#REF!</f>
        <v>#REF!</v>
      </c>
      <c r="E2870" s="31" t="e">
        <f>#REF!</f>
        <v>#REF!</v>
      </c>
      <c r="F2870" s="31" t="e">
        <f>#REF!</f>
        <v>#REF!</v>
      </c>
      <c r="G2870" s="31" t="e">
        <f>#REF!</f>
        <v>#REF!</v>
      </c>
      <c r="H2870" s="31" t="e">
        <f>#REF!</f>
        <v>#REF!</v>
      </c>
      <c r="I2870" s="31">
        <f>'تقرير المصروفات حسب الشهر'!AB837</f>
        <v>0</v>
      </c>
      <c r="J2870" s="31">
        <f>'تقرير المصروفات حسب الشهر'!AB964</f>
        <v>0</v>
      </c>
      <c r="K2870" s="31">
        <f>'تقرير المصروفات حسب الشهر'!AB1091</f>
        <v>0</v>
      </c>
      <c r="L2870" s="292">
        <f>IFERROR(VLOOKUP(B2870,'تقرير المصروفات حسب الشهر'!$C$1143:$AD$1254,26,FALSE),0)</f>
        <v>0</v>
      </c>
      <c r="M2870" s="292">
        <f>IFERROR(VLOOKUP(B2870,'تقرير المصروفات حسب الشهر'!$C$1270:$AD$1381,26,FALSE),0)</f>
        <v>0</v>
      </c>
      <c r="N2870" s="31" t="e">
        <f>#REF!</f>
        <v>#REF!</v>
      </c>
      <c r="O2870" s="37" t="e">
        <f t="shared" si="73"/>
        <v>#REF!</v>
      </c>
    </row>
    <row r="2871" spans="2:15" ht="17.399999999999999">
      <c r="B2871" s="42" t="s">
        <v>100</v>
      </c>
      <c r="C2871" s="39" t="e">
        <f>#REF!</f>
        <v>#REF!</v>
      </c>
      <c r="D2871" s="31" t="e">
        <f>#REF!</f>
        <v>#REF!</v>
      </c>
      <c r="E2871" s="31" t="e">
        <f>#REF!</f>
        <v>#REF!</v>
      </c>
      <c r="F2871" s="31" t="e">
        <f>#REF!</f>
        <v>#REF!</v>
      </c>
      <c r="G2871" s="31" t="e">
        <f>#REF!</f>
        <v>#REF!</v>
      </c>
      <c r="H2871" s="31" t="e">
        <f>#REF!</f>
        <v>#REF!</v>
      </c>
      <c r="I2871" s="31">
        <f>'تقرير المصروفات حسب الشهر'!AB838</f>
        <v>0</v>
      </c>
      <c r="J2871" s="31">
        <f>'تقرير المصروفات حسب الشهر'!AB965</f>
        <v>0</v>
      </c>
      <c r="K2871" s="31">
        <f>'تقرير المصروفات حسب الشهر'!AB1092</f>
        <v>0</v>
      </c>
      <c r="L2871" s="292">
        <f>IFERROR(VLOOKUP(B2871,'تقرير المصروفات حسب الشهر'!$C$1143:$AD$1254,26,FALSE),0)</f>
        <v>0</v>
      </c>
      <c r="M2871" s="292">
        <f>IFERROR(VLOOKUP(B2871,'تقرير المصروفات حسب الشهر'!$C$1270:$AD$1381,26,FALSE),0)</f>
        <v>0</v>
      </c>
      <c r="N2871" s="31" t="e">
        <f>#REF!</f>
        <v>#REF!</v>
      </c>
      <c r="O2871" s="37" t="e">
        <f t="shared" si="73"/>
        <v>#REF!</v>
      </c>
    </row>
    <row r="2872" spans="2:15" ht="17.399999999999999">
      <c r="B2872" s="42" t="s">
        <v>101</v>
      </c>
      <c r="C2872" s="39" t="e">
        <f>#REF!</f>
        <v>#REF!</v>
      </c>
      <c r="D2872" s="31" t="e">
        <f>#REF!</f>
        <v>#REF!</v>
      </c>
      <c r="E2872" s="31" t="e">
        <f>#REF!</f>
        <v>#REF!</v>
      </c>
      <c r="F2872" s="31" t="e">
        <f>#REF!</f>
        <v>#REF!</v>
      </c>
      <c r="G2872" s="31" t="e">
        <f>#REF!</f>
        <v>#REF!</v>
      </c>
      <c r="H2872" s="31" t="e">
        <f>#REF!</f>
        <v>#REF!</v>
      </c>
      <c r="I2872" s="31">
        <f>'تقرير المصروفات حسب الشهر'!AB839</f>
        <v>0</v>
      </c>
      <c r="J2872" s="31">
        <f>'تقرير المصروفات حسب الشهر'!AB966</f>
        <v>0</v>
      </c>
      <c r="K2872" s="31">
        <f>'تقرير المصروفات حسب الشهر'!AB1093</f>
        <v>0</v>
      </c>
      <c r="L2872" s="292">
        <f>IFERROR(VLOOKUP(B2872,'تقرير المصروفات حسب الشهر'!$C$1143:$AD$1254,26,FALSE),0)</f>
        <v>0</v>
      </c>
      <c r="M2872" s="292">
        <f>IFERROR(VLOOKUP(B2872,'تقرير المصروفات حسب الشهر'!$C$1270:$AD$1381,26,FALSE),0)</f>
        <v>0</v>
      </c>
      <c r="N2872" s="31" t="e">
        <f>#REF!</f>
        <v>#REF!</v>
      </c>
      <c r="O2872" s="37" t="e">
        <f t="shared" si="73"/>
        <v>#REF!</v>
      </c>
    </row>
    <row r="2873" spans="2:15" ht="17.399999999999999">
      <c r="B2873" s="42" t="s">
        <v>102</v>
      </c>
      <c r="C2873" s="39" t="e">
        <f>#REF!</f>
        <v>#REF!</v>
      </c>
      <c r="D2873" s="31" t="e">
        <f>#REF!</f>
        <v>#REF!</v>
      </c>
      <c r="E2873" s="31" t="e">
        <f>#REF!</f>
        <v>#REF!</v>
      </c>
      <c r="F2873" s="31" t="e">
        <f>#REF!</f>
        <v>#REF!</v>
      </c>
      <c r="G2873" s="31" t="e">
        <f>#REF!</f>
        <v>#REF!</v>
      </c>
      <c r="H2873" s="31" t="e">
        <f>#REF!</f>
        <v>#REF!</v>
      </c>
      <c r="I2873" s="31">
        <f>'تقرير المصروفات حسب الشهر'!AB840</f>
        <v>457.9</v>
      </c>
      <c r="J2873" s="31">
        <f>'تقرير المصروفات حسب الشهر'!AB967</f>
        <v>457.9</v>
      </c>
      <c r="K2873" s="31">
        <f>'تقرير المصروفات حسب الشهر'!AB1094</f>
        <v>457.9</v>
      </c>
      <c r="L2873" s="292">
        <f>IFERROR(VLOOKUP(B2873,'تقرير المصروفات حسب الشهر'!$C$1143:$AD$1254,26,FALSE),0)</f>
        <v>457.9</v>
      </c>
      <c r="M2873" s="292">
        <f>IFERROR(VLOOKUP(B2873,'تقرير المصروفات حسب الشهر'!$C$1270:$AD$1381,26,FALSE),0)</f>
        <v>457.78</v>
      </c>
      <c r="N2873" s="31" t="e">
        <f>#REF!</f>
        <v>#REF!</v>
      </c>
      <c r="O2873" s="37" t="e">
        <f t="shared" si="73"/>
        <v>#REF!</v>
      </c>
    </row>
    <row r="2874" spans="2:15" ht="17.399999999999999">
      <c r="B2874" s="42" t="s">
        <v>103</v>
      </c>
      <c r="C2874" s="39" t="e">
        <f>#REF!</f>
        <v>#REF!</v>
      </c>
      <c r="D2874" s="31" t="e">
        <f>#REF!</f>
        <v>#REF!</v>
      </c>
      <c r="E2874" s="31" t="e">
        <f>#REF!</f>
        <v>#REF!</v>
      </c>
      <c r="F2874" s="31" t="e">
        <f>#REF!</f>
        <v>#REF!</v>
      </c>
      <c r="G2874" s="31" t="e">
        <f>#REF!</f>
        <v>#REF!</v>
      </c>
      <c r="H2874" s="31" t="e">
        <f>#REF!</f>
        <v>#REF!</v>
      </c>
      <c r="I2874" s="31">
        <f>'تقرير المصروفات حسب الشهر'!AB841</f>
        <v>0</v>
      </c>
      <c r="J2874" s="31">
        <f>'تقرير المصروفات حسب الشهر'!AB968</f>
        <v>0</v>
      </c>
      <c r="K2874" s="31">
        <f>'تقرير المصروفات حسب الشهر'!AB1095</f>
        <v>0</v>
      </c>
      <c r="L2874" s="292">
        <f>IFERROR(VLOOKUP(B2874,'تقرير المصروفات حسب الشهر'!$C$1143:$AD$1254,26,FALSE),0)</f>
        <v>0</v>
      </c>
      <c r="M2874" s="292">
        <f>IFERROR(VLOOKUP(B2874,'تقرير المصروفات حسب الشهر'!$C$1270:$AD$1381,26,FALSE),0)</f>
        <v>0</v>
      </c>
      <c r="N2874" s="31" t="e">
        <f>#REF!</f>
        <v>#REF!</v>
      </c>
      <c r="O2874" s="37" t="e">
        <f t="shared" si="73"/>
        <v>#REF!</v>
      </c>
    </row>
    <row r="2875" spans="2:15" ht="17.399999999999999">
      <c r="B2875" s="42" t="s">
        <v>104</v>
      </c>
      <c r="C2875" s="39" t="e">
        <f>#REF!</f>
        <v>#REF!</v>
      </c>
      <c r="D2875" s="31" t="e">
        <f>#REF!</f>
        <v>#REF!</v>
      </c>
      <c r="E2875" s="31" t="e">
        <f>#REF!</f>
        <v>#REF!</v>
      </c>
      <c r="F2875" s="31" t="e">
        <f>#REF!</f>
        <v>#REF!</v>
      </c>
      <c r="G2875" s="31" t="e">
        <f>#REF!</f>
        <v>#REF!</v>
      </c>
      <c r="H2875" s="31" t="e">
        <f>#REF!</f>
        <v>#REF!</v>
      </c>
      <c r="I2875" s="31">
        <f>'تقرير المصروفات حسب الشهر'!AB842</f>
        <v>110.42</v>
      </c>
      <c r="J2875" s="31">
        <f>'تقرير المصروفات حسب الشهر'!AB969</f>
        <v>110.42</v>
      </c>
      <c r="K2875" s="31">
        <f>'تقرير المصروفات حسب الشهر'!AB1096</f>
        <v>110.42</v>
      </c>
      <c r="L2875" s="292">
        <f>IFERROR(VLOOKUP(B2875,'تقرير المصروفات حسب الشهر'!$C$1143:$AD$1254,26,FALSE),0)</f>
        <v>110.42</v>
      </c>
      <c r="M2875" s="292">
        <f>IFERROR(VLOOKUP(B2875,'تقرير المصروفات حسب الشهر'!$C$1270:$AD$1381,26,FALSE),0)</f>
        <v>110.38</v>
      </c>
      <c r="N2875" s="31" t="e">
        <f>#REF!</f>
        <v>#REF!</v>
      </c>
      <c r="O2875" s="37" t="e">
        <f t="shared" si="73"/>
        <v>#REF!</v>
      </c>
    </row>
    <row r="2876" spans="2:15" ht="17.399999999999999">
      <c r="B2876" s="42" t="s">
        <v>105</v>
      </c>
      <c r="C2876" s="39" t="e">
        <f>#REF!</f>
        <v>#REF!</v>
      </c>
      <c r="D2876" s="31" t="e">
        <f>#REF!</f>
        <v>#REF!</v>
      </c>
      <c r="E2876" s="31" t="e">
        <f>#REF!</f>
        <v>#REF!</v>
      </c>
      <c r="F2876" s="31" t="e">
        <f>#REF!</f>
        <v>#REF!</v>
      </c>
      <c r="G2876" s="31" t="e">
        <f>#REF!</f>
        <v>#REF!</v>
      </c>
      <c r="H2876" s="31" t="e">
        <f>#REF!</f>
        <v>#REF!</v>
      </c>
      <c r="I2876" s="31">
        <f>'تقرير المصروفات حسب الشهر'!AB843</f>
        <v>225.58</v>
      </c>
      <c r="J2876" s="31">
        <f>'تقرير المصروفات حسب الشهر'!AB970</f>
        <v>225.58</v>
      </c>
      <c r="K2876" s="31">
        <f>'تقرير المصروفات حسب الشهر'!AB1097</f>
        <v>225.58</v>
      </c>
      <c r="L2876" s="292">
        <f>IFERROR(VLOOKUP(B2876,'تقرير المصروفات حسب الشهر'!$C$1143:$AD$1254,26,FALSE),0)</f>
        <v>225.58</v>
      </c>
      <c r="M2876" s="292">
        <f>IFERROR(VLOOKUP(B2876,'تقرير المصروفات حسب الشهر'!$C$1270:$AD$1381,26,FALSE),0)</f>
        <v>225.58</v>
      </c>
      <c r="N2876" s="31" t="e">
        <f>#REF!</f>
        <v>#REF!</v>
      </c>
      <c r="O2876" s="37" t="e">
        <f t="shared" si="73"/>
        <v>#REF!</v>
      </c>
    </row>
    <row r="2877" spans="2:15" ht="17.399999999999999">
      <c r="B2877" s="42" t="s">
        <v>106</v>
      </c>
      <c r="C2877" s="39" t="e">
        <f>#REF!</f>
        <v>#REF!</v>
      </c>
      <c r="D2877" s="31" t="e">
        <f>#REF!</f>
        <v>#REF!</v>
      </c>
      <c r="E2877" s="31" t="e">
        <f>#REF!</f>
        <v>#REF!</v>
      </c>
      <c r="F2877" s="31" t="e">
        <f>#REF!</f>
        <v>#REF!</v>
      </c>
      <c r="G2877" s="31" t="e">
        <f>#REF!</f>
        <v>#REF!</v>
      </c>
      <c r="H2877" s="31" t="e">
        <f>#REF!</f>
        <v>#REF!</v>
      </c>
      <c r="I2877" s="31">
        <f>'تقرير المصروفات حسب الشهر'!AB844</f>
        <v>0</v>
      </c>
      <c r="J2877" s="31">
        <f>'تقرير المصروفات حسب الشهر'!AB971</f>
        <v>0</v>
      </c>
      <c r="K2877" s="31">
        <f>'تقرير المصروفات حسب الشهر'!AB1098</f>
        <v>0</v>
      </c>
      <c r="L2877" s="292">
        <f>IFERROR(VLOOKUP(B2877,'تقرير المصروفات حسب الشهر'!$C$1143:$AD$1254,26,FALSE),0)</f>
        <v>0</v>
      </c>
      <c r="M2877" s="292">
        <f>IFERROR(VLOOKUP(B2877,'تقرير المصروفات حسب الشهر'!$C$1270:$AD$1381,26,FALSE),0)</f>
        <v>0</v>
      </c>
      <c r="N2877" s="31" t="e">
        <f>#REF!</f>
        <v>#REF!</v>
      </c>
      <c r="O2877" s="37" t="e">
        <f t="shared" si="73"/>
        <v>#REF!</v>
      </c>
    </row>
    <row r="2878" spans="2:15" ht="17.399999999999999">
      <c r="B2878" s="42" t="s">
        <v>107</v>
      </c>
      <c r="C2878" s="39" t="e">
        <f>#REF!</f>
        <v>#REF!</v>
      </c>
      <c r="D2878" s="31" t="e">
        <f>#REF!</f>
        <v>#REF!</v>
      </c>
      <c r="E2878" s="31" t="e">
        <f>#REF!</f>
        <v>#REF!</v>
      </c>
      <c r="F2878" s="31" t="e">
        <f>#REF!</f>
        <v>#REF!</v>
      </c>
      <c r="G2878" s="31" t="e">
        <f>#REF!</f>
        <v>#REF!</v>
      </c>
      <c r="H2878" s="31" t="e">
        <f>#REF!</f>
        <v>#REF!</v>
      </c>
      <c r="I2878" s="31">
        <f>'تقرير المصروفات حسب الشهر'!AB845</f>
        <v>0</v>
      </c>
      <c r="J2878" s="31">
        <f>'تقرير المصروفات حسب الشهر'!AB972</f>
        <v>0</v>
      </c>
      <c r="K2878" s="31">
        <f>'تقرير المصروفات حسب الشهر'!AB1099</f>
        <v>0</v>
      </c>
      <c r="L2878" s="292">
        <f>IFERROR(VLOOKUP(B2878,'تقرير المصروفات حسب الشهر'!$C$1143:$AD$1254,26,FALSE),0)</f>
        <v>0</v>
      </c>
      <c r="M2878" s="292">
        <f>IFERROR(VLOOKUP(B2878,'تقرير المصروفات حسب الشهر'!$C$1270:$AD$1381,26,FALSE),0)</f>
        <v>0</v>
      </c>
      <c r="N2878" s="31" t="e">
        <f>#REF!</f>
        <v>#REF!</v>
      </c>
      <c r="O2878" s="37" t="e">
        <f t="shared" si="73"/>
        <v>#REF!</v>
      </c>
    </row>
    <row r="2879" spans="2:15" ht="17.399999999999999">
      <c r="B2879" s="42" t="s">
        <v>108</v>
      </c>
      <c r="C2879" s="39" t="e">
        <f>#REF!</f>
        <v>#REF!</v>
      </c>
      <c r="D2879" s="31" t="e">
        <f>#REF!</f>
        <v>#REF!</v>
      </c>
      <c r="E2879" s="31" t="e">
        <f>#REF!</f>
        <v>#REF!</v>
      </c>
      <c r="F2879" s="31" t="e">
        <f>#REF!</f>
        <v>#REF!</v>
      </c>
      <c r="G2879" s="31" t="e">
        <f>#REF!</f>
        <v>#REF!</v>
      </c>
      <c r="H2879" s="31" t="e">
        <f>#REF!</f>
        <v>#REF!</v>
      </c>
      <c r="I2879" s="31">
        <f>'تقرير المصروفات حسب الشهر'!AB846</f>
        <v>0</v>
      </c>
      <c r="J2879" s="31">
        <f>'تقرير المصروفات حسب الشهر'!AB973</f>
        <v>0</v>
      </c>
      <c r="K2879" s="31">
        <f>'تقرير المصروفات حسب الشهر'!AB1100</f>
        <v>0</v>
      </c>
      <c r="L2879" s="292">
        <f>IFERROR(VLOOKUP(B2879,'تقرير المصروفات حسب الشهر'!$C$1143:$AD$1254,26,FALSE),0)</f>
        <v>0</v>
      </c>
      <c r="M2879" s="292">
        <f>IFERROR(VLOOKUP(B2879,'تقرير المصروفات حسب الشهر'!$C$1270:$AD$1381,26,FALSE),0)</f>
        <v>0</v>
      </c>
      <c r="N2879" s="31" t="e">
        <f>#REF!</f>
        <v>#REF!</v>
      </c>
      <c r="O2879" s="37" t="e">
        <f t="shared" si="73"/>
        <v>#REF!</v>
      </c>
    </row>
    <row r="2880" spans="2:15" ht="17.399999999999999">
      <c r="B2880" s="42" t="s">
        <v>109</v>
      </c>
      <c r="C2880" s="39" t="e">
        <f>#REF!</f>
        <v>#REF!</v>
      </c>
      <c r="D2880" s="31" t="e">
        <f>#REF!</f>
        <v>#REF!</v>
      </c>
      <c r="E2880" s="31" t="e">
        <f>#REF!</f>
        <v>#REF!</v>
      </c>
      <c r="F2880" s="31" t="e">
        <f>#REF!</f>
        <v>#REF!</v>
      </c>
      <c r="G2880" s="31" t="e">
        <f>#REF!</f>
        <v>#REF!</v>
      </c>
      <c r="H2880" s="31" t="e">
        <f>#REF!</f>
        <v>#REF!</v>
      </c>
      <c r="I2880" s="31">
        <f>'تقرير المصروفات حسب الشهر'!AB847</f>
        <v>0</v>
      </c>
      <c r="J2880" s="31">
        <f>'تقرير المصروفات حسب الشهر'!AB974</f>
        <v>0</v>
      </c>
      <c r="K2880" s="31">
        <f>'تقرير المصروفات حسب الشهر'!AB1101</f>
        <v>0</v>
      </c>
      <c r="L2880" s="292">
        <f>IFERROR(VLOOKUP(B2880,'تقرير المصروفات حسب الشهر'!$C$1143:$AD$1254,26,FALSE),0)</f>
        <v>0</v>
      </c>
      <c r="M2880" s="292">
        <f>IFERROR(VLOOKUP(B2880,'تقرير المصروفات حسب الشهر'!$C$1270:$AD$1381,26,FALSE),0)</f>
        <v>0</v>
      </c>
      <c r="N2880" s="31" t="e">
        <f>#REF!</f>
        <v>#REF!</v>
      </c>
      <c r="O2880" s="37" t="e">
        <f t="shared" si="73"/>
        <v>#REF!</v>
      </c>
    </row>
    <row r="2881" spans="2:15" ht="17.399999999999999">
      <c r="B2881" s="42" t="s">
        <v>110</v>
      </c>
      <c r="C2881" s="39" t="e">
        <f>#REF!</f>
        <v>#REF!</v>
      </c>
      <c r="D2881" s="31" t="e">
        <f>#REF!</f>
        <v>#REF!</v>
      </c>
      <c r="E2881" s="31" t="e">
        <f>#REF!</f>
        <v>#REF!</v>
      </c>
      <c r="F2881" s="31" t="e">
        <f>#REF!</f>
        <v>#REF!</v>
      </c>
      <c r="G2881" s="31" t="e">
        <f>#REF!</f>
        <v>#REF!</v>
      </c>
      <c r="H2881" s="31" t="e">
        <f>#REF!</f>
        <v>#REF!</v>
      </c>
      <c r="I2881" s="31">
        <f>'تقرير المصروفات حسب الشهر'!AB848</f>
        <v>0</v>
      </c>
      <c r="J2881" s="31">
        <f>'تقرير المصروفات حسب الشهر'!AB975</f>
        <v>0</v>
      </c>
      <c r="K2881" s="31">
        <f>'تقرير المصروفات حسب الشهر'!AB1102</f>
        <v>0</v>
      </c>
      <c r="L2881" s="292">
        <f>IFERROR(VLOOKUP(B2881,'تقرير المصروفات حسب الشهر'!$C$1143:$AD$1254,26,FALSE),0)</f>
        <v>0</v>
      </c>
      <c r="M2881" s="292">
        <f>IFERROR(VLOOKUP(B2881,'تقرير المصروفات حسب الشهر'!$C$1270:$AD$1381,26,FALSE),0)</f>
        <v>0</v>
      </c>
      <c r="N2881" s="31" t="e">
        <f>#REF!</f>
        <v>#REF!</v>
      </c>
      <c r="O2881" s="37" t="e">
        <f t="shared" si="73"/>
        <v>#REF!</v>
      </c>
    </row>
    <row r="2882" spans="2:15" ht="17.399999999999999">
      <c r="B2882" s="42" t="s">
        <v>112</v>
      </c>
      <c r="C2882" s="39" t="e">
        <f>#REF!</f>
        <v>#REF!</v>
      </c>
      <c r="D2882" s="31" t="e">
        <f>#REF!</f>
        <v>#REF!</v>
      </c>
      <c r="E2882" s="31" t="e">
        <f>#REF!</f>
        <v>#REF!</v>
      </c>
      <c r="F2882" s="31" t="e">
        <f>#REF!</f>
        <v>#REF!</v>
      </c>
      <c r="G2882" s="31" t="e">
        <f>#REF!</f>
        <v>#REF!</v>
      </c>
      <c r="H2882" s="31" t="e">
        <f>#REF!</f>
        <v>#REF!</v>
      </c>
      <c r="I2882" s="31">
        <f>'تقرير المصروفات حسب الشهر'!AB849</f>
        <v>0</v>
      </c>
      <c r="J2882" s="31">
        <f>'تقرير المصروفات حسب الشهر'!AB976</f>
        <v>0</v>
      </c>
      <c r="K2882" s="31">
        <f>'تقرير المصروفات حسب الشهر'!AB1103</f>
        <v>0</v>
      </c>
      <c r="L2882" s="292">
        <f>IFERROR(VLOOKUP(B2882,'تقرير المصروفات حسب الشهر'!$C$1143:$AD$1254,26,FALSE),0)</f>
        <v>0</v>
      </c>
      <c r="M2882" s="292">
        <f>IFERROR(VLOOKUP(B2882,'تقرير المصروفات حسب الشهر'!$C$1270:$AD$1381,26,FALSE),0)</f>
        <v>0</v>
      </c>
      <c r="N2882" s="31" t="e">
        <f>#REF!</f>
        <v>#REF!</v>
      </c>
      <c r="O2882" s="37" t="e">
        <f t="shared" si="73"/>
        <v>#REF!</v>
      </c>
    </row>
    <row r="2883" spans="2:15" ht="17.399999999999999">
      <c r="B2883" s="42" t="s">
        <v>113</v>
      </c>
      <c r="C2883" s="39" t="e">
        <f>#REF!</f>
        <v>#REF!</v>
      </c>
      <c r="D2883" s="31" t="e">
        <f>#REF!</f>
        <v>#REF!</v>
      </c>
      <c r="E2883" s="31" t="e">
        <f>#REF!</f>
        <v>#REF!</v>
      </c>
      <c r="F2883" s="31" t="e">
        <f>#REF!</f>
        <v>#REF!</v>
      </c>
      <c r="G2883" s="31" t="e">
        <f>#REF!</f>
        <v>#REF!</v>
      </c>
      <c r="H2883" s="31" t="e">
        <f>#REF!</f>
        <v>#REF!</v>
      </c>
      <c r="I2883" s="31">
        <f>'تقرير المصروفات حسب الشهر'!AB850</f>
        <v>5907.64</v>
      </c>
      <c r="J2883" s="31">
        <f>'تقرير المصروفات حسب الشهر'!AB977</f>
        <v>0</v>
      </c>
      <c r="K2883" s="31">
        <f>'تقرير المصروفات حسب الشهر'!AB1104</f>
        <v>0</v>
      </c>
      <c r="L2883" s="292">
        <f>IFERROR(VLOOKUP(B2883,'تقرير المصروفات حسب الشهر'!$C$1143:$AD$1254,26,FALSE),0)</f>
        <v>6363.18</v>
      </c>
      <c r="M2883" s="292">
        <f>IFERROR(VLOOKUP(B2883,'تقرير المصروفات حسب الشهر'!$C$1270:$AD$1381,26,FALSE),0)</f>
        <v>0</v>
      </c>
      <c r="N2883" s="31" t="e">
        <f>#REF!</f>
        <v>#REF!</v>
      </c>
      <c r="O2883" s="37" t="e">
        <f t="shared" si="73"/>
        <v>#REF!</v>
      </c>
    </row>
    <row r="2884" spans="2:15" ht="17.399999999999999">
      <c r="B2884" s="42" t="s">
        <v>137</v>
      </c>
      <c r="C2884" s="39" t="e">
        <f>#REF!</f>
        <v>#REF!</v>
      </c>
      <c r="D2884" s="31" t="e">
        <f>#REF!</f>
        <v>#REF!</v>
      </c>
      <c r="E2884" s="31" t="e">
        <f>#REF!</f>
        <v>#REF!</v>
      </c>
      <c r="F2884" s="31" t="e">
        <f>#REF!</f>
        <v>#REF!</v>
      </c>
      <c r="G2884" s="31" t="e">
        <f>#REF!</f>
        <v>#REF!</v>
      </c>
      <c r="H2884" s="31" t="e">
        <f>#REF!</f>
        <v>#REF!</v>
      </c>
      <c r="I2884" s="31">
        <f>'تقرير المصروفات حسب الشهر'!AB851</f>
        <v>0</v>
      </c>
      <c r="J2884" s="31">
        <f>'تقرير المصروفات حسب الشهر'!AB978</f>
        <v>0</v>
      </c>
      <c r="K2884" s="31">
        <f>'تقرير المصروفات حسب الشهر'!AB1105</f>
        <v>0</v>
      </c>
      <c r="L2884" s="292">
        <f>IFERROR(VLOOKUP(B2884,'تقرير المصروفات حسب الشهر'!$C$1143:$AD$1254,26,FALSE),0)</f>
        <v>0</v>
      </c>
      <c r="M2884" s="292">
        <f>IFERROR(VLOOKUP(B2884,'تقرير المصروفات حسب الشهر'!$C$1270:$AD$1381,26,FALSE),0)</f>
        <v>0</v>
      </c>
      <c r="N2884" s="31" t="e">
        <f>#REF!</f>
        <v>#REF!</v>
      </c>
      <c r="O2884" s="37" t="e">
        <f t="shared" si="73"/>
        <v>#REF!</v>
      </c>
    </row>
    <row r="2885" spans="2:15" ht="17.399999999999999">
      <c r="B2885" s="42" t="s">
        <v>140</v>
      </c>
      <c r="C2885" s="39" t="e">
        <f>#REF!</f>
        <v>#REF!</v>
      </c>
      <c r="D2885" s="31" t="e">
        <f>#REF!</f>
        <v>#REF!</v>
      </c>
      <c r="E2885" s="31" t="e">
        <f>#REF!</f>
        <v>#REF!</v>
      </c>
      <c r="F2885" s="31" t="e">
        <f>#REF!</f>
        <v>#REF!</v>
      </c>
      <c r="G2885" s="31" t="e">
        <f>#REF!</f>
        <v>#REF!</v>
      </c>
      <c r="H2885" s="31" t="e">
        <f>#REF!</f>
        <v>#REF!</v>
      </c>
      <c r="I2885" s="31">
        <f>'تقرير المصروفات حسب الشهر'!AB852</f>
        <v>560</v>
      </c>
      <c r="J2885" s="31">
        <f>'تقرير المصروفات حسب الشهر'!AB979</f>
        <v>29</v>
      </c>
      <c r="K2885" s="31">
        <f>'تقرير المصروفات حسب الشهر'!AB1106</f>
        <v>0</v>
      </c>
      <c r="L2885" s="292">
        <f>IFERROR(VLOOKUP(B2885,'تقرير المصروفات حسب الشهر'!$C$1143:$AD$1254,26,FALSE),0)</f>
        <v>700</v>
      </c>
      <c r="M2885" s="292">
        <f>IFERROR(VLOOKUP(B2885,'تقرير المصروفات حسب الشهر'!$C$1270:$AD$1381,26,FALSE),0)</f>
        <v>0</v>
      </c>
      <c r="N2885" s="31" t="e">
        <f>#REF!</f>
        <v>#REF!</v>
      </c>
      <c r="O2885" s="37" t="e">
        <f t="shared" si="73"/>
        <v>#REF!</v>
      </c>
    </row>
    <row r="2886" spans="2:15" ht="17.399999999999999">
      <c r="B2886" s="42" t="s">
        <v>141</v>
      </c>
      <c r="C2886" s="39" t="e">
        <f>#REF!</f>
        <v>#REF!</v>
      </c>
      <c r="D2886" s="31" t="e">
        <f>#REF!</f>
        <v>#REF!</v>
      </c>
      <c r="E2886" s="31" t="e">
        <f>#REF!</f>
        <v>#REF!</v>
      </c>
      <c r="F2886" s="31" t="e">
        <f>#REF!</f>
        <v>#REF!</v>
      </c>
      <c r="G2886" s="31" t="e">
        <f>#REF!</f>
        <v>#REF!</v>
      </c>
      <c r="H2886" s="31" t="e">
        <f>#REF!</f>
        <v>#REF!</v>
      </c>
      <c r="I2886" s="31">
        <f>'تقرير المصروفات حسب الشهر'!AB853</f>
        <v>0</v>
      </c>
      <c r="J2886" s="31">
        <f>'تقرير المصروفات حسب الشهر'!AB980</f>
        <v>0</v>
      </c>
      <c r="K2886" s="31">
        <f>'تقرير المصروفات حسب الشهر'!AB1107</f>
        <v>0</v>
      </c>
      <c r="L2886" s="292">
        <f>IFERROR(VLOOKUP(B2886,'تقرير المصروفات حسب الشهر'!$C$1143:$AD$1254,26,FALSE),0)</f>
        <v>0</v>
      </c>
      <c r="M2886" s="292">
        <f>IFERROR(VLOOKUP(B2886,'تقرير المصروفات حسب الشهر'!$C$1270:$AD$1381,26,FALSE),0)</f>
        <v>0</v>
      </c>
      <c r="N2886" s="31" t="e">
        <f>#REF!</f>
        <v>#REF!</v>
      </c>
      <c r="O2886" s="37" t="e">
        <f t="shared" si="73"/>
        <v>#REF!</v>
      </c>
    </row>
    <row r="2887" spans="2:15" ht="17.399999999999999">
      <c r="B2887" s="42" t="s">
        <v>193</v>
      </c>
      <c r="C2887" s="39" t="e">
        <f>#REF!</f>
        <v>#REF!</v>
      </c>
      <c r="D2887" s="31" t="e">
        <f>#REF!</f>
        <v>#REF!</v>
      </c>
      <c r="E2887" s="31" t="e">
        <f>#REF!</f>
        <v>#REF!</v>
      </c>
      <c r="F2887" s="31" t="e">
        <f>#REF!</f>
        <v>#REF!</v>
      </c>
      <c r="G2887" s="31" t="e">
        <f>#REF!</f>
        <v>#REF!</v>
      </c>
      <c r="H2887" s="31" t="e">
        <f>#REF!</f>
        <v>#REF!</v>
      </c>
      <c r="I2887" s="31">
        <f>'تقرير المصروفات حسب الشهر'!AB854</f>
        <v>0</v>
      </c>
      <c r="J2887" s="31">
        <f>'تقرير المصروفات حسب الشهر'!AB981</f>
        <v>0</v>
      </c>
      <c r="K2887" s="31">
        <f>'تقرير المصروفات حسب الشهر'!AB1108</f>
        <v>0</v>
      </c>
      <c r="L2887" s="292">
        <f>IFERROR(VLOOKUP(B2887,'تقرير المصروفات حسب الشهر'!$C$1143:$AD$1254,26,FALSE),0)</f>
        <v>0</v>
      </c>
      <c r="M2887" s="292">
        <f>IFERROR(VLOOKUP(B2887,'تقرير المصروفات حسب الشهر'!$C$1270:$AD$1381,26,FALSE),0)</f>
        <v>0</v>
      </c>
      <c r="N2887" s="31" t="e">
        <f>#REF!</f>
        <v>#REF!</v>
      </c>
      <c r="O2887" s="37" t="e">
        <f t="shared" si="73"/>
        <v>#REF!</v>
      </c>
    </row>
    <row r="2888" spans="2:15" ht="17.399999999999999">
      <c r="B2888" s="42" t="s">
        <v>148</v>
      </c>
      <c r="C2888" s="39" t="e">
        <f>#REF!</f>
        <v>#REF!</v>
      </c>
      <c r="D2888" s="31" t="e">
        <f>#REF!</f>
        <v>#REF!</v>
      </c>
      <c r="E2888" s="31" t="e">
        <f>#REF!</f>
        <v>#REF!</v>
      </c>
      <c r="F2888" s="31" t="e">
        <f>#REF!</f>
        <v>#REF!</v>
      </c>
      <c r="G2888" s="31" t="e">
        <f>#REF!</f>
        <v>#REF!</v>
      </c>
      <c r="H2888" s="31" t="e">
        <f>#REF!</f>
        <v>#REF!</v>
      </c>
      <c r="I2888" s="31">
        <f>'تقرير المصروفات حسب الشهر'!AB855</f>
        <v>0</v>
      </c>
      <c r="J2888" s="31">
        <f>'تقرير المصروفات حسب الشهر'!AB982</f>
        <v>0</v>
      </c>
      <c r="K2888" s="31">
        <f>'تقرير المصروفات حسب الشهر'!AB1109</f>
        <v>0</v>
      </c>
      <c r="L2888" s="292">
        <f>IFERROR(VLOOKUP(B2888,'تقرير المصروفات حسب الشهر'!$C$1143:$AD$1254,26,FALSE),0)</f>
        <v>0</v>
      </c>
      <c r="M2888" s="292">
        <f>IFERROR(VLOOKUP(B2888,'تقرير المصروفات حسب الشهر'!$C$1270:$AD$1381,26,FALSE),0)</f>
        <v>0</v>
      </c>
      <c r="N2888" s="31" t="e">
        <f>#REF!</f>
        <v>#REF!</v>
      </c>
      <c r="O2888" s="37" t="e">
        <f t="shared" si="73"/>
        <v>#REF!</v>
      </c>
    </row>
    <row r="2889" spans="2:15" ht="17.399999999999999">
      <c r="B2889" s="42" t="s">
        <v>186</v>
      </c>
      <c r="C2889" s="39" t="e">
        <f>#REF!</f>
        <v>#REF!</v>
      </c>
      <c r="D2889" s="31" t="e">
        <f>#REF!</f>
        <v>#REF!</v>
      </c>
      <c r="E2889" s="31" t="e">
        <f>#REF!</f>
        <v>#REF!</v>
      </c>
      <c r="F2889" s="31" t="e">
        <f>#REF!</f>
        <v>#REF!</v>
      </c>
      <c r="G2889" s="31" t="e">
        <f>#REF!</f>
        <v>#REF!</v>
      </c>
      <c r="H2889" s="31" t="e">
        <f>#REF!</f>
        <v>#REF!</v>
      </c>
      <c r="I2889" s="31">
        <f>'تقرير المصروفات حسب الشهر'!AB856</f>
        <v>0</v>
      </c>
      <c r="J2889" s="31">
        <f>'تقرير المصروفات حسب الشهر'!AB983</f>
        <v>0</v>
      </c>
      <c r="K2889" s="31">
        <f>'تقرير المصروفات حسب الشهر'!AB1110</f>
        <v>0</v>
      </c>
      <c r="L2889" s="292">
        <f>IFERROR(VLOOKUP(B2889,'تقرير المصروفات حسب الشهر'!$C$1143:$AD$1254,26,FALSE),0)</f>
        <v>0</v>
      </c>
      <c r="M2889" s="292">
        <f>IFERROR(VLOOKUP(B2889,'تقرير المصروفات حسب الشهر'!$C$1270:$AD$1381,26,FALSE),0)</f>
        <v>0</v>
      </c>
      <c r="N2889" s="31" t="e">
        <f>#REF!</f>
        <v>#REF!</v>
      </c>
      <c r="O2889" s="37" t="e">
        <f t="shared" si="73"/>
        <v>#REF!</v>
      </c>
    </row>
    <row r="2890" spans="2:15" ht="17.399999999999999">
      <c r="B2890" s="42" t="s">
        <v>171</v>
      </c>
      <c r="C2890" s="39" t="e">
        <f>#REF!</f>
        <v>#REF!</v>
      </c>
      <c r="D2890" s="31" t="e">
        <f>#REF!</f>
        <v>#REF!</v>
      </c>
      <c r="E2890" s="31" t="e">
        <f>#REF!</f>
        <v>#REF!</v>
      </c>
      <c r="F2890" s="31" t="e">
        <f>#REF!</f>
        <v>#REF!</v>
      </c>
      <c r="G2890" s="31" t="e">
        <f>#REF!</f>
        <v>#REF!</v>
      </c>
      <c r="H2890" s="31" t="e">
        <f>#REF!</f>
        <v>#REF!</v>
      </c>
      <c r="I2890" s="31">
        <f>'تقرير المصروفات حسب الشهر'!AB857</f>
        <v>0</v>
      </c>
      <c r="J2890" s="31">
        <f>'تقرير المصروفات حسب الشهر'!AB984</f>
        <v>0</v>
      </c>
      <c r="K2890" s="31">
        <f>'تقرير المصروفات حسب الشهر'!AB1111</f>
        <v>0</v>
      </c>
      <c r="L2890" s="292">
        <f>IFERROR(VLOOKUP(B2890,'تقرير المصروفات حسب الشهر'!$C$1143:$AD$1254,26,FALSE),0)</f>
        <v>0</v>
      </c>
      <c r="M2890" s="292">
        <f>IFERROR(VLOOKUP(B2890,'تقرير المصروفات حسب الشهر'!$C$1270:$AD$1381,26,FALSE),0)</f>
        <v>0</v>
      </c>
      <c r="N2890" s="31" t="e">
        <f>#REF!</f>
        <v>#REF!</v>
      </c>
      <c r="O2890" s="37" t="e">
        <f t="shared" si="73"/>
        <v>#REF!</v>
      </c>
    </row>
    <row r="2891" spans="2:15" ht="17.399999999999999">
      <c r="B2891" s="42" t="s">
        <v>180</v>
      </c>
      <c r="C2891" s="39" t="e">
        <f>#REF!</f>
        <v>#REF!</v>
      </c>
      <c r="D2891" s="31" t="e">
        <f>#REF!</f>
        <v>#REF!</v>
      </c>
      <c r="E2891" s="31" t="e">
        <f>#REF!</f>
        <v>#REF!</v>
      </c>
      <c r="F2891" s="31" t="e">
        <f>#REF!</f>
        <v>#REF!</v>
      </c>
      <c r="G2891" s="31" t="e">
        <f>#REF!</f>
        <v>#REF!</v>
      </c>
      <c r="H2891" s="31" t="e">
        <f>#REF!</f>
        <v>#REF!</v>
      </c>
      <c r="I2891" s="31">
        <f>'تقرير المصروفات حسب الشهر'!AB858</f>
        <v>0</v>
      </c>
      <c r="J2891" s="31">
        <f>'تقرير المصروفات حسب الشهر'!AB985</f>
        <v>0</v>
      </c>
      <c r="K2891" s="31">
        <f>'تقرير المصروفات حسب الشهر'!AB1112</f>
        <v>0</v>
      </c>
      <c r="L2891" s="292">
        <f>IFERROR(VLOOKUP(B2891,'تقرير المصروفات حسب الشهر'!$C$1143:$AD$1254,26,FALSE),0)</f>
        <v>0</v>
      </c>
      <c r="M2891" s="292">
        <f>IFERROR(VLOOKUP(B2891,'تقرير المصروفات حسب الشهر'!$C$1270:$AD$1381,26,FALSE),0)</f>
        <v>0</v>
      </c>
      <c r="N2891" s="31" t="e">
        <f>#REF!</f>
        <v>#REF!</v>
      </c>
      <c r="O2891" s="37" t="e">
        <f t="shared" si="73"/>
        <v>#REF!</v>
      </c>
    </row>
    <row r="2892" spans="2:15" ht="17.399999999999999">
      <c r="B2892" s="42" t="s">
        <v>183</v>
      </c>
      <c r="C2892" s="39" t="e">
        <f>#REF!</f>
        <v>#REF!</v>
      </c>
      <c r="D2892" s="31" t="e">
        <f>#REF!</f>
        <v>#REF!</v>
      </c>
      <c r="E2892" s="31" t="e">
        <f>#REF!</f>
        <v>#REF!</v>
      </c>
      <c r="F2892" s="31" t="e">
        <f>#REF!</f>
        <v>#REF!</v>
      </c>
      <c r="G2892" s="31" t="e">
        <f>#REF!</f>
        <v>#REF!</v>
      </c>
      <c r="H2892" s="31" t="e">
        <f>#REF!</f>
        <v>#REF!</v>
      </c>
      <c r="I2892" s="31">
        <f>'تقرير المصروفات حسب الشهر'!AB859</f>
        <v>0</v>
      </c>
      <c r="J2892" s="31">
        <f>'تقرير المصروفات حسب الشهر'!AB986</f>
        <v>0</v>
      </c>
      <c r="K2892" s="31">
        <f>'تقرير المصروفات حسب الشهر'!AB1113</f>
        <v>0</v>
      </c>
      <c r="L2892" s="292">
        <f>IFERROR(VLOOKUP(B2892,'تقرير المصروفات حسب الشهر'!$C$1143:$AD$1254,26,FALSE),0)</f>
        <v>0</v>
      </c>
      <c r="M2892" s="292">
        <f>IFERROR(VLOOKUP(B2892,'تقرير المصروفات حسب الشهر'!$C$1270:$AD$1381,26,FALSE),0)</f>
        <v>0</v>
      </c>
      <c r="N2892" s="31" t="e">
        <f>#REF!</f>
        <v>#REF!</v>
      </c>
      <c r="O2892" s="37" t="e">
        <f t="shared" si="73"/>
        <v>#REF!</v>
      </c>
    </row>
    <row r="2893" spans="2:15" ht="17.399999999999999">
      <c r="B2893" s="42" t="s">
        <v>195</v>
      </c>
      <c r="C2893" s="39" t="e">
        <f>#REF!</f>
        <v>#REF!</v>
      </c>
      <c r="D2893" s="31" t="e">
        <f>#REF!</f>
        <v>#REF!</v>
      </c>
      <c r="E2893" s="31" t="e">
        <f>#REF!</f>
        <v>#REF!</v>
      </c>
      <c r="F2893" s="31" t="e">
        <f>#REF!</f>
        <v>#REF!</v>
      </c>
      <c r="G2893" s="31" t="e">
        <f>#REF!</f>
        <v>#REF!</v>
      </c>
      <c r="H2893" s="31" t="e">
        <f>#REF!</f>
        <v>#REF!</v>
      </c>
      <c r="I2893" s="31">
        <f>'تقرير المصروفات حسب الشهر'!AB860</f>
        <v>0</v>
      </c>
      <c r="J2893" s="31">
        <f>'تقرير المصروفات حسب الشهر'!AB987</f>
        <v>0</v>
      </c>
      <c r="K2893" s="31">
        <f>'تقرير المصروفات حسب الشهر'!AB1114</f>
        <v>0</v>
      </c>
      <c r="L2893" s="292">
        <f>IFERROR(VLOOKUP(B2893,'تقرير المصروفات حسب الشهر'!$C$1143:$AD$1254,26,FALSE),0)</f>
        <v>0</v>
      </c>
      <c r="M2893" s="292">
        <f>IFERROR(VLOOKUP(B2893,'تقرير المصروفات حسب الشهر'!$C$1270:$AD$1381,26,FALSE),0)</f>
        <v>0</v>
      </c>
      <c r="N2893" s="31" t="e">
        <f>#REF!</f>
        <v>#REF!</v>
      </c>
      <c r="O2893" s="37" t="e">
        <f t="shared" si="73"/>
        <v>#REF!</v>
      </c>
    </row>
    <row r="2894" spans="2:15" ht="17.399999999999999">
      <c r="B2894" s="42" t="s">
        <v>189</v>
      </c>
      <c r="C2894" s="39" t="e">
        <f>#REF!</f>
        <v>#REF!</v>
      </c>
      <c r="D2894" s="31" t="e">
        <f>#REF!</f>
        <v>#REF!</v>
      </c>
      <c r="E2894" s="31" t="e">
        <f>#REF!</f>
        <v>#REF!</v>
      </c>
      <c r="F2894" s="31" t="e">
        <f>#REF!</f>
        <v>#REF!</v>
      </c>
      <c r="G2894" s="31" t="e">
        <f>#REF!</f>
        <v>#REF!</v>
      </c>
      <c r="H2894" s="31" t="e">
        <f>#REF!</f>
        <v>#REF!</v>
      </c>
      <c r="I2894" s="31">
        <f>'تقرير المصروفات حسب الشهر'!AB861</f>
        <v>0</v>
      </c>
      <c r="J2894" s="31">
        <f>'تقرير المصروفات حسب الشهر'!AB988</f>
        <v>0</v>
      </c>
      <c r="K2894" s="31">
        <f>'تقرير المصروفات حسب الشهر'!AB1115</f>
        <v>0</v>
      </c>
      <c r="L2894" s="292">
        <f>IFERROR(VLOOKUP(B2894,'تقرير المصروفات حسب الشهر'!$C$1143:$AD$1254,26,FALSE),0)</f>
        <v>0</v>
      </c>
      <c r="M2894" s="292">
        <f>IFERROR(VLOOKUP(B2894,'تقرير المصروفات حسب الشهر'!$C$1270:$AD$1381,26,FALSE),0)</f>
        <v>0</v>
      </c>
      <c r="N2894" s="31" t="e">
        <f>#REF!</f>
        <v>#REF!</v>
      </c>
      <c r="O2894" s="37" t="e">
        <f t="shared" si="73"/>
        <v>#REF!</v>
      </c>
    </row>
    <row r="2895" spans="2:15" ht="17.399999999999999">
      <c r="B2895" s="42" t="s">
        <v>188</v>
      </c>
      <c r="C2895" s="39" t="e">
        <f>#REF!</f>
        <v>#REF!</v>
      </c>
      <c r="D2895" s="31" t="e">
        <f>#REF!</f>
        <v>#REF!</v>
      </c>
      <c r="E2895" s="31" t="e">
        <f>#REF!</f>
        <v>#REF!</v>
      </c>
      <c r="F2895" s="31" t="e">
        <f>#REF!</f>
        <v>#REF!</v>
      </c>
      <c r="G2895" s="31" t="e">
        <f>#REF!</f>
        <v>#REF!</v>
      </c>
      <c r="H2895" s="31" t="e">
        <f>#REF!</f>
        <v>#REF!</v>
      </c>
      <c r="I2895" s="31">
        <f>'تقرير المصروفات حسب الشهر'!AB862</f>
        <v>0</v>
      </c>
      <c r="J2895" s="31">
        <f>'تقرير المصروفات حسب الشهر'!AB989</f>
        <v>0</v>
      </c>
      <c r="K2895" s="31">
        <f>'تقرير المصروفات حسب الشهر'!AB1116</f>
        <v>0</v>
      </c>
      <c r="L2895" s="292">
        <f>IFERROR(VLOOKUP(B2895,'تقرير المصروفات حسب الشهر'!$C$1143:$AD$1254,26,FALSE),0)</f>
        <v>0</v>
      </c>
      <c r="M2895" s="292">
        <f>IFERROR(VLOOKUP(B2895,'تقرير المصروفات حسب الشهر'!$C$1270:$AD$1381,26,FALSE),0)</f>
        <v>0</v>
      </c>
      <c r="N2895" s="31" t="e">
        <f>#REF!</f>
        <v>#REF!</v>
      </c>
      <c r="O2895" s="37" t="e">
        <f t="shared" si="73"/>
        <v>#REF!</v>
      </c>
    </row>
    <row r="2896" spans="2:15" ht="17.399999999999999">
      <c r="B2896" s="42" t="s">
        <v>196</v>
      </c>
      <c r="C2896" s="39" t="e">
        <f>#REF!</f>
        <v>#REF!</v>
      </c>
      <c r="D2896" s="31" t="e">
        <f>#REF!</f>
        <v>#REF!</v>
      </c>
      <c r="E2896" s="31" t="e">
        <f>#REF!</f>
        <v>#REF!</v>
      </c>
      <c r="F2896" s="31" t="e">
        <f>#REF!</f>
        <v>#REF!</v>
      </c>
      <c r="G2896" s="31" t="e">
        <f>#REF!</f>
        <v>#REF!</v>
      </c>
      <c r="H2896" s="31" t="e">
        <f>#REF!</f>
        <v>#REF!</v>
      </c>
      <c r="I2896" s="31">
        <f>'تقرير المصروفات حسب الشهر'!AB863</f>
        <v>0</v>
      </c>
      <c r="J2896" s="31">
        <f>'تقرير المصروفات حسب الشهر'!AB990</f>
        <v>0</v>
      </c>
      <c r="K2896" s="31">
        <f>'تقرير المصروفات حسب الشهر'!AB1117</f>
        <v>0</v>
      </c>
      <c r="L2896" s="292">
        <f>IFERROR(VLOOKUP(B2896,'تقرير المصروفات حسب الشهر'!$C$1143:$AD$1254,26,FALSE),0)</f>
        <v>0</v>
      </c>
      <c r="M2896" s="292">
        <f>IFERROR(VLOOKUP(B2896,'تقرير المصروفات حسب الشهر'!$C$1270:$AD$1381,26,FALSE),0)</f>
        <v>0</v>
      </c>
      <c r="N2896" s="31" t="e">
        <f>#REF!</f>
        <v>#REF!</v>
      </c>
      <c r="O2896" s="37" t="e">
        <f t="shared" si="73"/>
        <v>#REF!</v>
      </c>
    </row>
    <row r="2897" spans="2:15" ht="17.399999999999999">
      <c r="B2897" s="42" t="s">
        <v>197</v>
      </c>
      <c r="C2897" s="39" t="e">
        <f>#REF!</f>
        <v>#REF!</v>
      </c>
      <c r="D2897" s="31" t="e">
        <f>#REF!</f>
        <v>#REF!</v>
      </c>
      <c r="E2897" s="31" t="e">
        <f>#REF!</f>
        <v>#REF!</v>
      </c>
      <c r="F2897" s="31" t="e">
        <f>#REF!</f>
        <v>#REF!</v>
      </c>
      <c r="G2897" s="31" t="e">
        <f>#REF!</f>
        <v>#REF!</v>
      </c>
      <c r="H2897" s="31" t="e">
        <f>#REF!</f>
        <v>#REF!</v>
      </c>
      <c r="I2897" s="31">
        <f>'تقرير المصروفات حسب الشهر'!AB864</f>
        <v>0</v>
      </c>
      <c r="J2897" s="31">
        <f>'تقرير المصروفات حسب الشهر'!AB991</f>
        <v>0</v>
      </c>
      <c r="K2897" s="31">
        <f>'تقرير المصروفات حسب الشهر'!AB1118</f>
        <v>0</v>
      </c>
      <c r="L2897" s="292">
        <f>IFERROR(VLOOKUP(B2897,'تقرير المصروفات حسب الشهر'!$C$1143:$AD$1254,26,FALSE),0)</f>
        <v>0</v>
      </c>
      <c r="M2897" s="292">
        <f>IFERROR(VLOOKUP(B2897,'تقرير المصروفات حسب الشهر'!$C$1270:$AD$1381,26,FALSE),0)</f>
        <v>0</v>
      </c>
      <c r="N2897" s="31" t="e">
        <f>#REF!</f>
        <v>#REF!</v>
      </c>
      <c r="O2897" s="37" t="e">
        <f t="shared" si="73"/>
        <v>#REF!</v>
      </c>
    </row>
    <row r="2898" spans="2:15" ht="17.399999999999999">
      <c r="B2898" s="42" t="s">
        <v>198</v>
      </c>
      <c r="C2898" s="39" t="e">
        <f>#REF!</f>
        <v>#REF!</v>
      </c>
      <c r="D2898" s="31" t="e">
        <f>#REF!</f>
        <v>#REF!</v>
      </c>
      <c r="E2898" s="31" t="e">
        <f>#REF!</f>
        <v>#REF!</v>
      </c>
      <c r="F2898" s="31" t="e">
        <f>#REF!</f>
        <v>#REF!</v>
      </c>
      <c r="G2898" s="31" t="e">
        <f>#REF!</f>
        <v>#REF!</v>
      </c>
      <c r="H2898" s="31" t="e">
        <f>#REF!</f>
        <v>#REF!</v>
      </c>
      <c r="I2898" s="31">
        <f>'تقرير المصروفات حسب الشهر'!AB865</f>
        <v>0</v>
      </c>
      <c r="J2898" s="31">
        <f>'تقرير المصروفات حسب الشهر'!AB992</f>
        <v>0</v>
      </c>
      <c r="K2898" s="31">
        <f>'تقرير المصروفات حسب الشهر'!AB1119</f>
        <v>0</v>
      </c>
      <c r="L2898" s="292">
        <f>IFERROR(VLOOKUP(B2898,'تقرير المصروفات حسب الشهر'!$C$1143:$AD$1254,26,FALSE),0)</f>
        <v>0</v>
      </c>
      <c r="M2898" s="292">
        <f>IFERROR(VLOOKUP(B2898,'تقرير المصروفات حسب الشهر'!$C$1270:$AD$1381,26,FALSE),0)</f>
        <v>0</v>
      </c>
      <c r="N2898" s="31" t="e">
        <f>#REF!</f>
        <v>#REF!</v>
      </c>
      <c r="O2898" s="37" t="e">
        <f t="shared" si="73"/>
        <v>#REF!</v>
      </c>
    </row>
    <row r="2899" spans="2:15" ht="17.399999999999999">
      <c r="B2899" s="42" t="s">
        <v>201</v>
      </c>
      <c r="C2899" s="39" t="e">
        <f>#REF!</f>
        <v>#REF!</v>
      </c>
      <c r="D2899" s="31" t="e">
        <f>#REF!</f>
        <v>#REF!</v>
      </c>
      <c r="E2899" s="31" t="e">
        <f>#REF!</f>
        <v>#REF!</v>
      </c>
      <c r="F2899" s="31" t="e">
        <f>#REF!</f>
        <v>#REF!</v>
      </c>
      <c r="G2899" s="31" t="e">
        <f>#REF!</f>
        <v>#REF!</v>
      </c>
      <c r="H2899" s="31" t="e">
        <f>#REF!</f>
        <v>#REF!</v>
      </c>
      <c r="I2899" s="31">
        <f>'تقرير المصروفات حسب الشهر'!AB866</f>
        <v>0</v>
      </c>
      <c r="J2899" s="31">
        <f>'تقرير المصروفات حسب الشهر'!AB993</f>
        <v>0</v>
      </c>
      <c r="K2899" s="31">
        <f>'تقرير المصروفات حسب الشهر'!AB1120</f>
        <v>0</v>
      </c>
      <c r="L2899" s="292">
        <f>IFERROR(VLOOKUP(B2899,'تقرير المصروفات حسب الشهر'!$C$1143:$AD$1254,26,FALSE),0)</f>
        <v>0</v>
      </c>
      <c r="M2899" s="292">
        <f>IFERROR(VLOOKUP(B2899,'تقرير المصروفات حسب الشهر'!$C$1270:$AD$1381,26,FALSE),0)</f>
        <v>0</v>
      </c>
      <c r="N2899" s="31" t="e">
        <f>#REF!</f>
        <v>#REF!</v>
      </c>
      <c r="O2899" s="37" t="e">
        <f t="shared" si="73"/>
        <v>#REF!</v>
      </c>
    </row>
    <row r="2900" spans="2:15" ht="17.399999999999999">
      <c r="B2900" s="42" t="s">
        <v>202</v>
      </c>
      <c r="C2900" s="39" t="e">
        <f>#REF!</f>
        <v>#REF!</v>
      </c>
      <c r="D2900" s="31" t="e">
        <f>#REF!</f>
        <v>#REF!</v>
      </c>
      <c r="E2900" s="31" t="e">
        <f>#REF!</f>
        <v>#REF!</v>
      </c>
      <c r="F2900" s="31" t="e">
        <f>#REF!</f>
        <v>#REF!</v>
      </c>
      <c r="G2900" s="31" t="e">
        <f>#REF!</f>
        <v>#REF!</v>
      </c>
      <c r="H2900" s="31" t="e">
        <f>#REF!</f>
        <v>#REF!</v>
      </c>
      <c r="I2900" s="31">
        <f>'تقرير المصروفات حسب الشهر'!AB867</f>
        <v>0</v>
      </c>
      <c r="J2900" s="31">
        <f>'تقرير المصروفات حسب الشهر'!AB994</f>
        <v>0</v>
      </c>
      <c r="K2900" s="31">
        <f>'تقرير المصروفات حسب الشهر'!AB1121</f>
        <v>0</v>
      </c>
      <c r="L2900" s="292">
        <f>IFERROR(VLOOKUP(B2900,'تقرير المصروفات حسب الشهر'!$C$1143:$AD$1254,26,FALSE),0)</f>
        <v>0</v>
      </c>
      <c r="M2900" s="292">
        <f>IFERROR(VLOOKUP(B2900,'تقرير المصروفات حسب الشهر'!$C$1270:$AD$1381,26,FALSE),0)</f>
        <v>0</v>
      </c>
      <c r="N2900" s="31" t="e">
        <f>#REF!</f>
        <v>#REF!</v>
      </c>
      <c r="O2900" s="37" t="e">
        <f t="shared" si="73"/>
        <v>#REF!</v>
      </c>
    </row>
    <row r="2901" spans="2:15" ht="17.399999999999999">
      <c r="B2901" s="42" t="s">
        <v>206</v>
      </c>
      <c r="C2901" s="39" t="e">
        <f>#REF!</f>
        <v>#REF!</v>
      </c>
      <c r="D2901" s="31" t="e">
        <f>#REF!</f>
        <v>#REF!</v>
      </c>
      <c r="E2901" s="31" t="e">
        <f>#REF!</f>
        <v>#REF!</v>
      </c>
      <c r="F2901" s="31" t="e">
        <f>#REF!</f>
        <v>#REF!</v>
      </c>
      <c r="G2901" s="31" t="e">
        <f>#REF!</f>
        <v>#REF!</v>
      </c>
      <c r="H2901" s="31" t="e">
        <f>#REF!</f>
        <v>#REF!</v>
      </c>
      <c r="I2901" s="31">
        <f>'تقرير المصروفات حسب الشهر'!AB868</f>
        <v>0</v>
      </c>
      <c r="J2901" s="31">
        <f>'تقرير المصروفات حسب الشهر'!AB995</f>
        <v>0</v>
      </c>
      <c r="K2901" s="31">
        <f>'تقرير المصروفات حسب الشهر'!AB1122</f>
        <v>0</v>
      </c>
      <c r="L2901" s="292">
        <f>IFERROR(VLOOKUP(B2901,'تقرير المصروفات حسب الشهر'!$C$1143:$AD$1254,26,FALSE),0)</f>
        <v>0</v>
      </c>
      <c r="M2901" s="292">
        <f>IFERROR(VLOOKUP(B2901,'تقرير المصروفات حسب الشهر'!$C$1270:$AD$1381,26,FALSE),0)</f>
        <v>0</v>
      </c>
      <c r="N2901" s="31" t="e">
        <f>#REF!</f>
        <v>#REF!</v>
      </c>
      <c r="O2901" s="37" t="e">
        <f t="shared" si="73"/>
        <v>#REF!</v>
      </c>
    </row>
    <row r="2902" spans="2:15" ht="17.399999999999999">
      <c r="B2902" s="42" t="s">
        <v>207</v>
      </c>
      <c r="C2902" s="39" t="e">
        <f>#REF!</f>
        <v>#REF!</v>
      </c>
      <c r="D2902" s="31" t="e">
        <f>#REF!</f>
        <v>#REF!</v>
      </c>
      <c r="E2902" s="31" t="e">
        <f>#REF!</f>
        <v>#REF!</v>
      </c>
      <c r="F2902" s="31" t="e">
        <f>#REF!</f>
        <v>#REF!</v>
      </c>
      <c r="G2902" s="31" t="e">
        <f>#REF!</f>
        <v>#REF!</v>
      </c>
      <c r="H2902" s="31" t="e">
        <f>#REF!</f>
        <v>#REF!</v>
      </c>
      <c r="I2902" s="31">
        <f>'تقرير المصروفات حسب الشهر'!AB869</f>
        <v>0</v>
      </c>
      <c r="J2902" s="31">
        <f>'تقرير المصروفات حسب الشهر'!AB996</f>
        <v>0</v>
      </c>
      <c r="K2902" s="31">
        <f>'تقرير المصروفات حسب الشهر'!AB1123</f>
        <v>0</v>
      </c>
      <c r="L2902" s="292">
        <f>IFERROR(VLOOKUP(B2902,'تقرير المصروفات حسب الشهر'!$C$1143:$AD$1254,26,FALSE),0)</f>
        <v>0</v>
      </c>
      <c r="M2902" s="292">
        <f>IFERROR(VLOOKUP(B2902,'تقرير المصروفات حسب الشهر'!$C$1270:$AD$1381,26,FALSE),0)</f>
        <v>0</v>
      </c>
      <c r="N2902" s="31" t="e">
        <f>#REF!</f>
        <v>#REF!</v>
      </c>
      <c r="O2902" s="37" t="e">
        <f t="shared" si="73"/>
        <v>#REF!</v>
      </c>
    </row>
    <row r="2903" spans="2:15" ht="17.399999999999999">
      <c r="B2903" s="42" t="s">
        <v>208</v>
      </c>
      <c r="C2903" s="39" t="e">
        <f>#REF!</f>
        <v>#REF!</v>
      </c>
      <c r="D2903" s="31" t="e">
        <f>#REF!</f>
        <v>#REF!</v>
      </c>
      <c r="E2903" s="31" t="e">
        <f>#REF!</f>
        <v>#REF!</v>
      </c>
      <c r="F2903" s="31" t="e">
        <f>#REF!</f>
        <v>#REF!</v>
      </c>
      <c r="G2903" s="31" t="e">
        <f>#REF!</f>
        <v>#REF!</v>
      </c>
      <c r="H2903" s="31" t="e">
        <f>#REF!</f>
        <v>#REF!</v>
      </c>
      <c r="I2903" s="31">
        <f>'تقرير المصروفات حسب الشهر'!AB870</f>
        <v>0</v>
      </c>
      <c r="J2903" s="31">
        <f>'تقرير المصروفات حسب الشهر'!AB997</f>
        <v>0</v>
      </c>
      <c r="K2903" s="31">
        <f>'تقرير المصروفات حسب الشهر'!AB1124</f>
        <v>0</v>
      </c>
      <c r="L2903" s="292">
        <f>IFERROR(VLOOKUP(B2903,'تقرير المصروفات حسب الشهر'!$C$1143:$AD$1254,26,FALSE),0)</f>
        <v>0</v>
      </c>
      <c r="M2903" s="292">
        <f>IFERROR(VLOOKUP(B2903,'تقرير المصروفات حسب الشهر'!$C$1270:$AD$1381,26,FALSE),0)</f>
        <v>0</v>
      </c>
      <c r="N2903" s="31" t="e">
        <f>#REF!</f>
        <v>#REF!</v>
      </c>
      <c r="O2903" s="37" t="e">
        <f t="shared" si="73"/>
        <v>#REF!</v>
      </c>
    </row>
    <row r="2904" spans="2:15" ht="18" thickBot="1">
      <c r="B2904" s="43" t="s">
        <v>209</v>
      </c>
      <c r="C2904" s="39" t="e">
        <f>#REF!</f>
        <v>#REF!</v>
      </c>
      <c r="D2904" s="31" t="e">
        <f>#REF!</f>
        <v>#REF!</v>
      </c>
      <c r="E2904" s="31" t="e">
        <f>#REF!</f>
        <v>#REF!</v>
      </c>
      <c r="F2904" s="31" t="e">
        <f>#REF!</f>
        <v>#REF!</v>
      </c>
      <c r="G2904" s="31" t="e">
        <f>#REF!</f>
        <v>#REF!</v>
      </c>
      <c r="H2904" s="31"/>
      <c r="I2904" s="31">
        <f>'تقرير المصروفات حسب الشهر'!AB871</f>
        <v>0</v>
      </c>
      <c r="J2904" s="31">
        <f>'تقرير المصروفات حسب الشهر'!AB998</f>
        <v>0</v>
      </c>
      <c r="K2904" s="31">
        <f>'تقرير المصروفات حسب الشهر'!AB1125</f>
        <v>0</v>
      </c>
      <c r="L2904" s="292">
        <f>IFERROR(VLOOKUP(B2904,'تقرير المصروفات حسب الشهر'!$C$1143:$AD$1254,26,FALSE),0)</f>
        <v>0</v>
      </c>
      <c r="M2904" s="292">
        <f>IFERROR(VLOOKUP(B2904,'تقرير المصروفات حسب الشهر'!$C$1270:$AD$1381,26,FALSE),0)</f>
        <v>0</v>
      </c>
      <c r="N2904" s="31" t="e">
        <f>#REF!</f>
        <v>#REF!</v>
      </c>
      <c r="O2904" s="37" t="e">
        <f t="shared" si="73"/>
        <v>#REF!</v>
      </c>
    </row>
    <row r="2905" spans="2:15" ht="21.6" thickBot="1">
      <c r="B2905" s="29" t="s">
        <v>18</v>
      </c>
      <c r="C2905" s="41" t="e">
        <f>SUM(C2796:C2904)</f>
        <v>#REF!</v>
      </c>
      <c r="D2905" s="41" t="e">
        <f t="shared" ref="D2905:O2905" si="74">SUM(D2796:D2904)</f>
        <v>#REF!</v>
      </c>
      <c r="E2905" s="41" t="e">
        <f t="shared" si="74"/>
        <v>#REF!</v>
      </c>
      <c r="F2905" s="41" t="e">
        <f t="shared" si="74"/>
        <v>#REF!</v>
      </c>
      <c r="G2905" s="41" t="e">
        <f t="shared" si="74"/>
        <v>#REF!</v>
      </c>
      <c r="H2905" s="41" t="e">
        <f t="shared" si="74"/>
        <v>#REF!</v>
      </c>
      <c r="I2905" s="41">
        <f t="shared" si="74"/>
        <v>38079.97</v>
      </c>
      <c r="J2905" s="41">
        <f t="shared" si="74"/>
        <v>41234</v>
      </c>
      <c r="K2905" s="41">
        <f t="shared" si="74"/>
        <v>43360.53</v>
      </c>
      <c r="L2905" s="41">
        <f t="shared" si="74"/>
        <v>52135.58</v>
      </c>
      <c r="M2905" s="41">
        <f t="shared" si="74"/>
        <v>35853.21</v>
      </c>
      <c r="N2905" s="41" t="e">
        <f t="shared" si="74"/>
        <v>#REF!</v>
      </c>
      <c r="O2905" s="41" t="e">
        <f t="shared" si="74"/>
        <v>#REF!</v>
      </c>
    </row>
    <row r="2907" spans="2:15" ht="13.8" thickBot="1"/>
    <row r="2908" spans="2:15" ht="31.2" thickTop="1" thickBot="1">
      <c r="B2908" s="643" t="s">
        <v>242</v>
      </c>
      <c r="C2908" s="644"/>
      <c r="D2908" s="644"/>
      <c r="E2908" s="644"/>
      <c r="F2908" s="644"/>
      <c r="G2908" s="644"/>
      <c r="H2908" s="644"/>
      <c r="I2908" s="644"/>
      <c r="J2908" s="644"/>
      <c r="K2908" s="644"/>
      <c r="L2908" s="644"/>
      <c r="M2908" s="644"/>
      <c r="N2908" s="644"/>
      <c r="O2908" s="645"/>
    </row>
    <row r="2909" spans="2:15" ht="17.399999999999999">
      <c r="B2909" s="30" t="s">
        <v>23</v>
      </c>
      <c r="C2909" s="33" t="s">
        <v>0</v>
      </c>
      <c r="D2909" s="33" t="s">
        <v>1</v>
      </c>
      <c r="E2909" s="34" t="s">
        <v>2</v>
      </c>
      <c r="F2909" s="34" t="s">
        <v>3</v>
      </c>
      <c r="G2909" s="34" t="s">
        <v>4</v>
      </c>
      <c r="H2909" s="34" t="s">
        <v>5</v>
      </c>
      <c r="I2909" s="34" t="s">
        <v>6</v>
      </c>
      <c r="J2909" s="34" t="s">
        <v>7</v>
      </c>
      <c r="K2909" s="34" t="s">
        <v>8</v>
      </c>
      <c r="L2909" s="34" t="s">
        <v>9</v>
      </c>
      <c r="M2909" s="34" t="s">
        <v>10</v>
      </c>
      <c r="N2909" s="35" t="s">
        <v>11</v>
      </c>
      <c r="O2909" s="36" t="s">
        <v>18</v>
      </c>
    </row>
    <row r="2910" spans="2:15" ht="17.399999999999999">
      <c r="B2910" s="42" t="s">
        <v>40</v>
      </c>
      <c r="C2910" s="39" t="e">
        <f>#REF!</f>
        <v>#REF!</v>
      </c>
      <c r="D2910" s="31" t="e">
        <f>#REF!</f>
        <v>#REF!</v>
      </c>
      <c r="E2910" s="31" t="e">
        <f>#REF!</f>
        <v>#REF!</v>
      </c>
      <c r="F2910" s="31"/>
      <c r="G2910" s="31"/>
      <c r="H2910" s="31" t="e">
        <f>#REF!</f>
        <v>#REF!</v>
      </c>
      <c r="I2910" s="31">
        <f>'تقرير المصروفات حسب الشهر'!AC763</f>
        <v>0</v>
      </c>
      <c r="J2910" s="31">
        <f>'تقرير المصروفات حسب الشهر'!AC890</f>
        <v>0</v>
      </c>
      <c r="K2910" s="31">
        <f>'تقرير المصروفات حسب الشهر'!AC1017</f>
        <v>0</v>
      </c>
      <c r="L2910" s="292">
        <f>IFERROR(VLOOKUP(B2910,'تقرير المصروفات حسب الشهر'!$C$1143:$AD$1254,27,FALSE),0)</f>
        <v>0</v>
      </c>
      <c r="M2910" s="292">
        <f>IFERROR(VLOOKUP(B2910,'تقرير المصروفات حسب الشهر'!$C$1270:$AD$1381,27,FALSE),0)</f>
        <v>0</v>
      </c>
      <c r="N2910" s="31" t="e">
        <f>#REF!</f>
        <v>#REF!</v>
      </c>
      <c r="O2910" s="37" t="e">
        <f>SUM(C2910:N2910)</f>
        <v>#REF!</v>
      </c>
    </row>
    <row r="2911" spans="2:15" ht="17.399999999999999">
      <c r="B2911" s="42" t="s">
        <v>41</v>
      </c>
      <c r="C2911" s="39" t="e">
        <f>#REF!</f>
        <v>#REF!</v>
      </c>
      <c r="D2911" s="31" t="e">
        <f>#REF!</f>
        <v>#REF!</v>
      </c>
      <c r="E2911" s="31" t="e">
        <f>#REF!</f>
        <v>#REF!</v>
      </c>
      <c r="F2911" s="31"/>
      <c r="G2911" s="31"/>
      <c r="H2911" s="31" t="e">
        <f>#REF!</f>
        <v>#REF!</v>
      </c>
      <c r="I2911" s="31">
        <f>'تقرير المصروفات حسب الشهر'!AC764</f>
        <v>22505.48</v>
      </c>
      <c r="J2911" s="31">
        <f>'تقرير المصروفات حسب الشهر'!AC891</f>
        <v>23163.94</v>
      </c>
      <c r="K2911" s="31">
        <f>'تقرير المصروفات حسب الشهر'!AC1018</f>
        <v>20333.11</v>
      </c>
      <c r="L2911" s="292">
        <f>IFERROR(VLOOKUP(B2911,'تقرير المصروفات حسب الشهر'!$C$1143:$AD$1254,27,FALSE),0)</f>
        <v>23510.05</v>
      </c>
      <c r="M2911" s="292">
        <f>IFERROR(VLOOKUP(B2911,'تقرير المصروفات حسب الشهر'!$C$1270:$AD$1381,27,FALSE),0)</f>
        <v>28295.15</v>
      </c>
      <c r="N2911" s="31" t="e">
        <f>#REF!</f>
        <v>#REF!</v>
      </c>
      <c r="O2911" s="37" t="e">
        <f t="shared" ref="O2911:O2974" si="75">SUM(C2911:N2911)</f>
        <v>#REF!</v>
      </c>
    </row>
    <row r="2912" spans="2:15" ht="17.399999999999999">
      <c r="B2912" s="42" t="s">
        <v>26</v>
      </c>
      <c r="C2912" s="39" t="e">
        <f>#REF!</f>
        <v>#REF!</v>
      </c>
      <c r="D2912" s="31" t="e">
        <f>#REF!</f>
        <v>#REF!</v>
      </c>
      <c r="E2912" s="31" t="e">
        <f>#REF!</f>
        <v>#REF!</v>
      </c>
      <c r="F2912" s="31"/>
      <c r="G2912" s="31"/>
      <c r="H2912" s="31" t="e">
        <f>#REF!</f>
        <v>#REF!</v>
      </c>
      <c r="I2912" s="31">
        <f>'تقرير المصروفات حسب الشهر'!AC765</f>
        <v>0</v>
      </c>
      <c r="J2912" s="31">
        <f>'تقرير المصروفات حسب الشهر'!AC892</f>
        <v>0</v>
      </c>
      <c r="K2912" s="31">
        <f>'تقرير المصروفات حسب الشهر'!AC1019</f>
        <v>0</v>
      </c>
      <c r="L2912" s="292">
        <f>IFERROR(VLOOKUP(B2912,'تقرير المصروفات حسب الشهر'!$C$1143:$AD$1254,27,FALSE),0)</f>
        <v>0</v>
      </c>
      <c r="M2912" s="292">
        <f>IFERROR(VLOOKUP(B2912,'تقرير المصروفات حسب الشهر'!$C$1270:$AD$1381,27,FALSE),0)</f>
        <v>0</v>
      </c>
      <c r="N2912" s="31" t="e">
        <f>#REF!</f>
        <v>#REF!</v>
      </c>
      <c r="O2912" s="37" t="e">
        <f t="shared" si="75"/>
        <v>#REF!</v>
      </c>
    </row>
    <row r="2913" spans="2:15" ht="17.399999999999999">
      <c r="B2913" s="42" t="s">
        <v>27</v>
      </c>
      <c r="C2913" s="39" t="e">
        <f>#REF!</f>
        <v>#REF!</v>
      </c>
      <c r="D2913" s="31" t="e">
        <f>#REF!</f>
        <v>#REF!</v>
      </c>
      <c r="E2913" s="31" t="e">
        <f>#REF!</f>
        <v>#REF!</v>
      </c>
      <c r="F2913" s="31"/>
      <c r="G2913" s="31"/>
      <c r="H2913" s="31" t="e">
        <f>#REF!</f>
        <v>#REF!</v>
      </c>
      <c r="I2913" s="31">
        <f>'تقرير المصروفات حسب الشهر'!AC766</f>
        <v>0</v>
      </c>
      <c r="J2913" s="31">
        <f>'تقرير المصروفات حسب الشهر'!AC893</f>
        <v>0</v>
      </c>
      <c r="K2913" s="31">
        <f>'تقرير المصروفات حسب الشهر'!AC1020</f>
        <v>0</v>
      </c>
      <c r="L2913" s="292">
        <f>IFERROR(VLOOKUP(B2913,'تقرير المصروفات حسب الشهر'!$C$1143:$AD$1254,27,FALSE),0)</f>
        <v>0</v>
      </c>
      <c r="M2913" s="292">
        <f>IFERROR(VLOOKUP(B2913,'تقرير المصروفات حسب الشهر'!$C$1270:$AD$1381,27,FALSE),0)</f>
        <v>0</v>
      </c>
      <c r="N2913" s="31" t="e">
        <f>#REF!</f>
        <v>#REF!</v>
      </c>
      <c r="O2913" s="37" t="e">
        <f t="shared" si="75"/>
        <v>#REF!</v>
      </c>
    </row>
    <row r="2914" spans="2:15" ht="17.399999999999999">
      <c r="B2914" s="42" t="s">
        <v>42</v>
      </c>
      <c r="C2914" s="39" t="e">
        <f>#REF!</f>
        <v>#REF!</v>
      </c>
      <c r="D2914" s="31" t="e">
        <f>#REF!</f>
        <v>#REF!</v>
      </c>
      <c r="E2914" s="31" t="e">
        <f>#REF!</f>
        <v>#REF!</v>
      </c>
      <c r="F2914" s="31"/>
      <c r="G2914" s="31"/>
      <c r="H2914" s="31" t="e">
        <f>#REF!</f>
        <v>#REF!</v>
      </c>
      <c r="I2914" s="31">
        <f>'تقرير المصروفات حسب الشهر'!AC767</f>
        <v>0</v>
      </c>
      <c r="J2914" s="31">
        <f>'تقرير المصروفات حسب الشهر'!AC894</f>
        <v>0</v>
      </c>
      <c r="K2914" s="31">
        <f>'تقرير المصروفات حسب الشهر'!AC1021</f>
        <v>0</v>
      </c>
      <c r="L2914" s="292">
        <f>IFERROR(VLOOKUP(B2914,'تقرير المصروفات حسب الشهر'!$C$1143:$AD$1254,27,FALSE),0)</f>
        <v>0</v>
      </c>
      <c r="M2914" s="292">
        <f>IFERROR(VLOOKUP(B2914,'تقرير المصروفات حسب الشهر'!$C$1270:$AD$1381,27,FALSE),0)</f>
        <v>0</v>
      </c>
      <c r="N2914" s="31" t="e">
        <f>#REF!</f>
        <v>#REF!</v>
      </c>
      <c r="O2914" s="37" t="e">
        <f t="shared" si="75"/>
        <v>#REF!</v>
      </c>
    </row>
    <row r="2915" spans="2:15" ht="17.399999999999999">
      <c r="B2915" s="42" t="s">
        <v>43</v>
      </c>
      <c r="C2915" s="39" t="e">
        <f>#REF!</f>
        <v>#REF!</v>
      </c>
      <c r="D2915" s="31" t="e">
        <f>#REF!</f>
        <v>#REF!</v>
      </c>
      <c r="E2915" s="31" t="e">
        <f>#REF!</f>
        <v>#REF!</v>
      </c>
      <c r="F2915" s="31"/>
      <c r="G2915" s="31"/>
      <c r="H2915" s="31" t="e">
        <f>#REF!</f>
        <v>#REF!</v>
      </c>
      <c r="I2915" s="31">
        <f>'تقرير المصروفات حسب الشهر'!AC768</f>
        <v>0</v>
      </c>
      <c r="J2915" s="31">
        <f>'تقرير المصروفات حسب الشهر'!AC895</f>
        <v>0</v>
      </c>
      <c r="K2915" s="31">
        <f>'تقرير المصروفات حسب الشهر'!AC1022</f>
        <v>0</v>
      </c>
      <c r="L2915" s="292">
        <f>IFERROR(VLOOKUP(B2915,'تقرير المصروفات حسب الشهر'!$C$1143:$AD$1254,27,FALSE),0)</f>
        <v>0</v>
      </c>
      <c r="M2915" s="292">
        <f>IFERROR(VLOOKUP(B2915,'تقرير المصروفات حسب الشهر'!$C$1270:$AD$1381,27,FALSE),0)</f>
        <v>0</v>
      </c>
      <c r="N2915" s="31" t="e">
        <f>#REF!</f>
        <v>#REF!</v>
      </c>
      <c r="O2915" s="37" t="e">
        <f t="shared" si="75"/>
        <v>#REF!</v>
      </c>
    </row>
    <row r="2916" spans="2:15" ht="17.399999999999999">
      <c r="B2916" s="42" t="s">
        <v>44</v>
      </c>
      <c r="C2916" s="39" t="e">
        <f>#REF!</f>
        <v>#REF!</v>
      </c>
      <c r="D2916" s="31" t="e">
        <f>#REF!</f>
        <v>#REF!</v>
      </c>
      <c r="E2916" s="31" t="e">
        <f>#REF!</f>
        <v>#REF!</v>
      </c>
      <c r="F2916" s="31"/>
      <c r="G2916" s="31"/>
      <c r="H2916" s="31" t="e">
        <f>#REF!</f>
        <v>#REF!</v>
      </c>
      <c r="I2916" s="31">
        <f>'تقرير المصروفات حسب الشهر'!AC769</f>
        <v>0</v>
      </c>
      <c r="J2916" s="31">
        <f>'تقرير المصروفات حسب الشهر'!AC896</f>
        <v>0</v>
      </c>
      <c r="K2916" s="31">
        <f>'تقرير المصروفات حسب الشهر'!AC1023</f>
        <v>0</v>
      </c>
      <c r="L2916" s="292">
        <f>IFERROR(VLOOKUP(B2916,'تقرير المصروفات حسب الشهر'!$C$1143:$AD$1254,27,FALSE),0)</f>
        <v>0</v>
      </c>
      <c r="M2916" s="292">
        <f>IFERROR(VLOOKUP(B2916,'تقرير المصروفات حسب الشهر'!$C$1270:$AD$1381,27,FALSE),0)</f>
        <v>0</v>
      </c>
      <c r="N2916" s="31" t="e">
        <f>#REF!</f>
        <v>#REF!</v>
      </c>
      <c r="O2916" s="37" t="e">
        <f t="shared" si="75"/>
        <v>#REF!</v>
      </c>
    </row>
    <row r="2917" spans="2:15" ht="17.399999999999999">
      <c r="B2917" s="42" t="s">
        <v>45</v>
      </c>
      <c r="C2917" s="39" t="e">
        <f>#REF!</f>
        <v>#REF!</v>
      </c>
      <c r="D2917" s="31" t="e">
        <f>#REF!</f>
        <v>#REF!</v>
      </c>
      <c r="E2917" s="31" t="e">
        <f>#REF!</f>
        <v>#REF!</v>
      </c>
      <c r="F2917" s="31"/>
      <c r="G2917" s="31"/>
      <c r="H2917" s="31" t="e">
        <f>#REF!</f>
        <v>#REF!</v>
      </c>
      <c r="I2917" s="31">
        <f>'تقرير المصروفات حسب الشهر'!AC770</f>
        <v>0</v>
      </c>
      <c r="J2917" s="31">
        <f>'تقرير المصروفات حسب الشهر'!AC897</f>
        <v>0</v>
      </c>
      <c r="K2917" s="31">
        <f>'تقرير المصروفات حسب الشهر'!AC1024</f>
        <v>0</v>
      </c>
      <c r="L2917" s="292">
        <f>IFERROR(VLOOKUP(B2917,'تقرير المصروفات حسب الشهر'!$C$1143:$AD$1254,27,FALSE),0)</f>
        <v>0</v>
      </c>
      <c r="M2917" s="292">
        <f>IFERROR(VLOOKUP(B2917,'تقرير المصروفات حسب الشهر'!$C$1270:$AD$1381,27,FALSE),0)</f>
        <v>0</v>
      </c>
      <c r="N2917" s="31" t="e">
        <f>#REF!</f>
        <v>#REF!</v>
      </c>
      <c r="O2917" s="37" t="e">
        <f t="shared" si="75"/>
        <v>#REF!</v>
      </c>
    </row>
    <row r="2918" spans="2:15" ht="17.399999999999999">
      <c r="B2918" s="42" t="s">
        <v>156</v>
      </c>
      <c r="C2918" s="39" t="e">
        <f>#REF!</f>
        <v>#REF!</v>
      </c>
      <c r="D2918" s="31" t="e">
        <f>#REF!</f>
        <v>#REF!</v>
      </c>
      <c r="E2918" s="31" t="e">
        <f>#REF!</f>
        <v>#REF!</v>
      </c>
      <c r="F2918" s="31"/>
      <c r="G2918" s="31"/>
      <c r="H2918" s="31" t="e">
        <f>#REF!</f>
        <v>#REF!</v>
      </c>
      <c r="I2918" s="31">
        <f>'تقرير المصروفات حسب الشهر'!AC771</f>
        <v>0</v>
      </c>
      <c r="J2918" s="31">
        <f>'تقرير المصروفات حسب الشهر'!AC898</f>
        <v>0</v>
      </c>
      <c r="K2918" s="31">
        <f>'تقرير المصروفات حسب الشهر'!AC1025</f>
        <v>0</v>
      </c>
      <c r="L2918" s="292">
        <f>IFERROR(VLOOKUP(B2918,'تقرير المصروفات حسب الشهر'!$C$1143:$AD$1254,27,FALSE),0)</f>
        <v>0</v>
      </c>
      <c r="M2918" s="292">
        <f>IFERROR(VLOOKUP(B2918,'تقرير المصروفات حسب الشهر'!$C$1270:$AD$1381,27,FALSE),0)</f>
        <v>0</v>
      </c>
      <c r="N2918" s="31" t="e">
        <f>#REF!</f>
        <v>#REF!</v>
      </c>
      <c r="O2918" s="37" t="e">
        <f t="shared" si="75"/>
        <v>#REF!</v>
      </c>
    </row>
    <row r="2919" spans="2:15" ht="17.399999999999999">
      <c r="B2919" s="42" t="s">
        <v>46</v>
      </c>
      <c r="C2919" s="39" t="e">
        <f>#REF!</f>
        <v>#REF!</v>
      </c>
      <c r="D2919" s="31" t="e">
        <f>#REF!</f>
        <v>#REF!</v>
      </c>
      <c r="E2919" s="31" t="e">
        <f>#REF!</f>
        <v>#REF!</v>
      </c>
      <c r="F2919" s="31"/>
      <c r="G2919" s="31"/>
      <c r="H2919" s="31" t="e">
        <f>#REF!</f>
        <v>#REF!</v>
      </c>
      <c r="I2919" s="31">
        <f>'تقرير المصروفات حسب الشهر'!AC772</f>
        <v>62.18</v>
      </c>
      <c r="J2919" s="31">
        <f>'تقرير المصروفات حسب الشهر'!AC899</f>
        <v>62.18</v>
      </c>
      <c r="K2919" s="31">
        <f>'تقرير المصروفات حسب الشهر'!AC1026</f>
        <v>62.18</v>
      </c>
      <c r="L2919" s="292">
        <f>IFERROR(VLOOKUP(B2919,'تقرير المصروفات حسب الشهر'!$C$1143:$AD$1254,27,FALSE),0)</f>
        <v>62.18</v>
      </c>
      <c r="M2919" s="292">
        <f>IFERROR(VLOOKUP(B2919,'تقرير المصروفات حسب الشهر'!$C$1270:$AD$1381,27,FALSE),0)</f>
        <v>62.18</v>
      </c>
      <c r="N2919" s="31" t="e">
        <f>#REF!</f>
        <v>#REF!</v>
      </c>
      <c r="O2919" s="37" t="e">
        <f t="shared" si="75"/>
        <v>#REF!</v>
      </c>
    </row>
    <row r="2920" spans="2:15" ht="17.399999999999999">
      <c r="B2920" s="42" t="s">
        <v>47</v>
      </c>
      <c r="C2920" s="39" t="e">
        <f>#REF!</f>
        <v>#REF!</v>
      </c>
      <c r="D2920" s="31" t="e">
        <f>#REF!</f>
        <v>#REF!</v>
      </c>
      <c r="E2920" s="31" t="e">
        <f>#REF!</f>
        <v>#REF!</v>
      </c>
      <c r="F2920" s="31"/>
      <c r="G2920" s="31"/>
      <c r="H2920" s="31" t="e">
        <f>#REF!</f>
        <v>#REF!</v>
      </c>
      <c r="I2920" s="31">
        <f>'تقرير المصروفات حسب الشهر'!AC773</f>
        <v>0</v>
      </c>
      <c r="J2920" s="31">
        <f>'تقرير المصروفات حسب الشهر'!AC900</f>
        <v>0</v>
      </c>
      <c r="K2920" s="31">
        <f>'تقرير المصروفات حسب الشهر'!AC1027</f>
        <v>0</v>
      </c>
      <c r="L2920" s="292">
        <f>IFERROR(VLOOKUP(B2920,'تقرير المصروفات حسب الشهر'!$C$1143:$AD$1254,27,FALSE),0)</f>
        <v>0</v>
      </c>
      <c r="M2920" s="292">
        <f>IFERROR(VLOOKUP(B2920,'تقرير المصروفات حسب الشهر'!$C$1270:$AD$1381,27,FALSE),0)</f>
        <v>0</v>
      </c>
      <c r="N2920" s="31" t="e">
        <f>#REF!</f>
        <v>#REF!</v>
      </c>
      <c r="O2920" s="37" t="e">
        <f t="shared" si="75"/>
        <v>#REF!</v>
      </c>
    </row>
    <row r="2921" spans="2:15" ht="17.399999999999999">
      <c r="B2921" s="42" t="s">
        <v>48</v>
      </c>
      <c r="C2921" s="39" t="e">
        <f>#REF!</f>
        <v>#REF!</v>
      </c>
      <c r="D2921" s="31" t="e">
        <f>#REF!</f>
        <v>#REF!</v>
      </c>
      <c r="E2921" s="31" t="e">
        <f>#REF!</f>
        <v>#REF!</v>
      </c>
      <c r="F2921" s="31"/>
      <c r="G2921" s="31"/>
      <c r="H2921" s="31" t="e">
        <f>#REF!</f>
        <v>#REF!</v>
      </c>
      <c r="I2921" s="31">
        <f>'تقرير المصروفات حسب الشهر'!AC774</f>
        <v>0</v>
      </c>
      <c r="J2921" s="31">
        <f>'تقرير المصروفات حسب الشهر'!AC901</f>
        <v>0</v>
      </c>
      <c r="K2921" s="31">
        <f>'تقرير المصروفات حسب الشهر'!AC1028</f>
        <v>0</v>
      </c>
      <c r="L2921" s="292">
        <f>IFERROR(VLOOKUP(B2921,'تقرير المصروفات حسب الشهر'!$C$1143:$AD$1254,27,FALSE),0)</f>
        <v>0</v>
      </c>
      <c r="M2921" s="292">
        <f>IFERROR(VLOOKUP(B2921,'تقرير المصروفات حسب الشهر'!$C$1270:$AD$1381,27,FALSE),0)</f>
        <v>0</v>
      </c>
      <c r="N2921" s="31" t="e">
        <f>#REF!</f>
        <v>#REF!</v>
      </c>
      <c r="O2921" s="37" t="e">
        <f t="shared" si="75"/>
        <v>#REF!</v>
      </c>
    </row>
    <row r="2922" spans="2:15" ht="17.399999999999999">
      <c r="B2922" s="42" t="s">
        <v>49</v>
      </c>
      <c r="C2922" s="39" t="e">
        <f>#REF!</f>
        <v>#REF!</v>
      </c>
      <c r="D2922" s="31" t="e">
        <f>#REF!</f>
        <v>#REF!</v>
      </c>
      <c r="E2922" s="31" t="e">
        <f>#REF!</f>
        <v>#REF!</v>
      </c>
      <c r="F2922" s="31"/>
      <c r="G2922" s="31"/>
      <c r="H2922" s="31" t="e">
        <f>#REF!</f>
        <v>#REF!</v>
      </c>
      <c r="I2922" s="31">
        <f>'تقرير المصروفات حسب الشهر'!AC775</f>
        <v>0</v>
      </c>
      <c r="J2922" s="31">
        <f>'تقرير المصروفات حسب الشهر'!AC902</f>
        <v>0</v>
      </c>
      <c r="K2922" s="31">
        <f>'تقرير المصروفات حسب الشهر'!AC1029</f>
        <v>0</v>
      </c>
      <c r="L2922" s="292">
        <f>IFERROR(VLOOKUP(B2922,'تقرير المصروفات حسب الشهر'!$C$1143:$AD$1254,27,FALSE),0)</f>
        <v>0</v>
      </c>
      <c r="M2922" s="292">
        <f>IFERROR(VLOOKUP(B2922,'تقرير المصروفات حسب الشهر'!$C$1270:$AD$1381,27,FALSE),0)</f>
        <v>0</v>
      </c>
      <c r="N2922" s="31" t="e">
        <f>#REF!</f>
        <v>#REF!</v>
      </c>
      <c r="O2922" s="37" t="e">
        <f t="shared" si="75"/>
        <v>#REF!</v>
      </c>
    </row>
    <row r="2923" spans="2:15" ht="17.399999999999999">
      <c r="B2923" s="42" t="s">
        <v>158</v>
      </c>
      <c r="C2923" s="39" t="e">
        <f>#REF!</f>
        <v>#REF!</v>
      </c>
      <c r="D2923" s="31" t="e">
        <f>#REF!</f>
        <v>#REF!</v>
      </c>
      <c r="E2923" s="31" t="e">
        <f>#REF!</f>
        <v>#REF!</v>
      </c>
      <c r="F2923" s="31"/>
      <c r="G2923" s="31"/>
      <c r="H2923" s="31" t="e">
        <f>#REF!</f>
        <v>#REF!</v>
      </c>
      <c r="I2923" s="31">
        <f>'تقرير المصروفات حسب الشهر'!AC776</f>
        <v>0</v>
      </c>
      <c r="J2923" s="31">
        <f>'تقرير المصروفات حسب الشهر'!AC903</f>
        <v>0</v>
      </c>
      <c r="K2923" s="31">
        <f>'تقرير المصروفات حسب الشهر'!AC1030</f>
        <v>0</v>
      </c>
      <c r="L2923" s="292">
        <f>IFERROR(VLOOKUP(B2923,'تقرير المصروفات حسب الشهر'!$C$1143:$AD$1254,27,FALSE),0)</f>
        <v>0</v>
      </c>
      <c r="M2923" s="292">
        <f>IFERROR(VLOOKUP(B2923,'تقرير المصروفات حسب الشهر'!$C$1270:$AD$1381,27,FALSE),0)</f>
        <v>0</v>
      </c>
      <c r="N2923" s="31" t="e">
        <f>#REF!</f>
        <v>#REF!</v>
      </c>
      <c r="O2923" s="37" t="e">
        <f t="shared" si="75"/>
        <v>#REF!</v>
      </c>
    </row>
    <row r="2924" spans="2:15" ht="17.399999999999999">
      <c r="B2924" s="42" t="s">
        <v>50</v>
      </c>
      <c r="C2924" s="39" t="e">
        <f>#REF!</f>
        <v>#REF!</v>
      </c>
      <c r="D2924" s="31" t="e">
        <f>#REF!</f>
        <v>#REF!</v>
      </c>
      <c r="E2924" s="31" t="e">
        <f>#REF!</f>
        <v>#REF!</v>
      </c>
      <c r="F2924" s="31"/>
      <c r="G2924" s="31"/>
      <c r="H2924" s="31" t="e">
        <f>#REF!</f>
        <v>#REF!</v>
      </c>
      <c r="I2924" s="31">
        <f>'تقرير المصروفات حسب الشهر'!AC777</f>
        <v>0</v>
      </c>
      <c r="J2924" s="31">
        <f>'تقرير المصروفات حسب الشهر'!AC904</f>
        <v>770</v>
      </c>
      <c r="K2924" s="31">
        <f>'تقرير المصروفات حسب الشهر'!AC1031</f>
        <v>0</v>
      </c>
      <c r="L2924" s="292">
        <f>IFERROR(VLOOKUP(B2924,'تقرير المصروفات حسب الشهر'!$C$1143:$AD$1254,27,FALSE),0)</f>
        <v>0</v>
      </c>
      <c r="M2924" s="292">
        <f>IFERROR(VLOOKUP(B2924,'تقرير المصروفات حسب الشهر'!$C$1270:$AD$1381,27,FALSE),0)</f>
        <v>0</v>
      </c>
      <c r="N2924" s="31" t="e">
        <f>#REF!</f>
        <v>#REF!</v>
      </c>
      <c r="O2924" s="37" t="e">
        <f t="shared" si="75"/>
        <v>#REF!</v>
      </c>
    </row>
    <row r="2925" spans="2:15" ht="17.399999999999999">
      <c r="B2925" s="42" t="s">
        <v>51</v>
      </c>
      <c r="C2925" s="39" t="e">
        <f>#REF!</f>
        <v>#REF!</v>
      </c>
      <c r="D2925" s="31" t="e">
        <f>#REF!</f>
        <v>#REF!</v>
      </c>
      <c r="E2925" s="31" t="e">
        <f>#REF!</f>
        <v>#REF!</v>
      </c>
      <c r="F2925" s="31"/>
      <c r="G2925" s="31"/>
      <c r="H2925" s="31" t="e">
        <f>#REF!</f>
        <v>#REF!</v>
      </c>
      <c r="I2925" s="31">
        <f>'تقرير المصروفات حسب الشهر'!AC778</f>
        <v>0</v>
      </c>
      <c r="J2925" s="31">
        <f>'تقرير المصروفات حسب الشهر'!AC905</f>
        <v>2250</v>
      </c>
      <c r="K2925" s="31">
        <f>'تقرير المصروفات حسب الشهر'!AC1032</f>
        <v>0</v>
      </c>
      <c r="L2925" s="292">
        <f>IFERROR(VLOOKUP(B2925,'تقرير المصروفات حسب الشهر'!$C$1143:$AD$1254,27,FALSE),0)</f>
        <v>2250</v>
      </c>
      <c r="M2925" s="292">
        <f>IFERROR(VLOOKUP(B2925,'تقرير المصروفات حسب الشهر'!$C$1270:$AD$1381,27,FALSE),0)</f>
        <v>0</v>
      </c>
      <c r="N2925" s="31" t="e">
        <f>#REF!</f>
        <v>#REF!</v>
      </c>
      <c r="O2925" s="37" t="e">
        <f t="shared" si="75"/>
        <v>#REF!</v>
      </c>
    </row>
    <row r="2926" spans="2:15" ht="17.399999999999999">
      <c r="B2926" s="42" t="s">
        <v>52</v>
      </c>
      <c r="C2926" s="39" t="e">
        <f>#REF!</f>
        <v>#REF!</v>
      </c>
      <c r="D2926" s="31" t="e">
        <f>#REF!</f>
        <v>#REF!</v>
      </c>
      <c r="E2926" s="31" t="e">
        <f>#REF!</f>
        <v>#REF!</v>
      </c>
      <c r="F2926" s="31"/>
      <c r="G2926" s="31"/>
      <c r="H2926" s="31" t="e">
        <f>#REF!</f>
        <v>#REF!</v>
      </c>
      <c r="I2926" s="31">
        <f>'تقرير المصروفات حسب الشهر'!AC779</f>
        <v>0</v>
      </c>
      <c r="J2926" s="31">
        <f>'تقرير المصروفات حسب الشهر'!AC906</f>
        <v>0</v>
      </c>
      <c r="K2926" s="31">
        <f>'تقرير المصروفات حسب الشهر'!AC1033</f>
        <v>0</v>
      </c>
      <c r="L2926" s="292">
        <f>IFERROR(VLOOKUP(B2926,'تقرير المصروفات حسب الشهر'!$C$1143:$AD$1254,27,FALSE),0)</f>
        <v>0</v>
      </c>
      <c r="M2926" s="292">
        <f>IFERROR(VLOOKUP(B2926,'تقرير المصروفات حسب الشهر'!$C$1270:$AD$1381,27,FALSE),0)</f>
        <v>0</v>
      </c>
      <c r="N2926" s="31" t="e">
        <f>#REF!</f>
        <v>#REF!</v>
      </c>
      <c r="O2926" s="37" t="e">
        <f t="shared" si="75"/>
        <v>#REF!</v>
      </c>
    </row>
    <row r="2927" spans="2:15" ht="17.399999999999999">
      <c r="B2927" s="42" t="s">
        <v>174</v>
      </c>
      <c r="C2927" s="39" t="e">
        <f>#REF!</f>
        <v>#REF!</v>
      </c>
      <c r="D2927" s="31" t="e">
        <f>#REF!</f>
        <v>#REF!</v>
      </c>
      <c r="E2927" s="31" t="e">
        <f>#REF!</f>
        <v>#REF!</v>
      </c>
      <c r="F2927" s="31"/>
      <c r="G2927" s="31"/>
      <c r="H2927" s="31" t="e">
        <f>#REF!</f>
        <v>#REF!</v>
      </c>
      <c r="I2927" s="31">
        <f>'تقرير المصروفات حسب الشهر'!AC780</f>
        <v>0</v>
      </c>
      <c r="J2927" s="31">
        <f>'تقرير المصروفات حسب الشهر'!AC907</f>
        <v>0</v>
      </c>
      <c r="K2927" s="31">
        <f>'تقرير المصروفات حسب الشهر'!AC1034</f>
        <v>0</v>
      </c>
      <c r="L2927" s="292">
        <f>IFERROR(VLOOKUP(B2927,'تقرير المصروفات حسب الشهر'!$C$1143:$AD$1254,27,FALSE),0)</f>
        <v>25000</v>
      </c>
      <c r="M2927" s="292">
        <f>IFERROR(VLOOKUP(B2927,'تقرير المصروفات حسب الشهر'!$C$1270:$AD$1381,27,FALSE),0)</f>
        <v>506</v>
      </c>
      <c r="N2927" s="31" t="e">
        <f>#REF!</f>
        <v>#REF!</v>
      </c>
      <c r="O2927" s="37" t="e">
        <f t="shared" si="75"/>
        <v>#REF!</v>
      </c>
    </row>
    <row r="2928" spans="2:15" ht="17.399999999999999">
      <c r="B2928" s="42" t="s">
        <v>53</v>
      </c>
      <c r="C2928" s="39" t="e">
        <f>#REF!</f>
        <v>#REF!</v>
      </c>
      <c r="D2928" s="31" t="e">
        <f>#REF!</f>
        <v>#REF!</v>
      </c>
      <c r="E2928" s="31" t="e">
        <f>#REF!</f>
        <v>#REF!</v>
      </c>
      <c r="F2928" s="31"/>
      <c r="G2928" s="31"/>
      <c r="H2928" s="31" t="e">
        <f>#REF!</f>
        <v>#REF!</v>
      </c>
      <c r="I2928" s="31">
        <f>'تقرير المصروفات حسب الشهر'!AC781</f>
        <v>0</v>
      </c>
      <c r="J2928" s="31">
        <f>'تقرير المصروفات حسب الشهر'!AC908</f>
        <v>0</v>
      </c>
      <c r="K2928" s="31">
        <f>'تقرير المصروفات حسب الشهر'!AC1035</f>
        <v>0</v>
      </c>
      <c r="L2928" s="292">
        <f>IFERROR(VLOOKUP(B2928,'تقرير المصروفات حسب الشهر'!$C$1143:$AD$1254,27,FALSE),0)</f>
        <v>0</v>
      </c>
      <c r="M2928" s="292">
        <f>IFERROR(VLOOKUP(B2928,'تقرير المصروفات حسب الشهر'!$C$1270:$AD$1381,27,FALSE),0)</f>
        <v>0</v>
      </c>
      <c r="N2928" s="31" t="e">
        <f>#REF!</f>
        <v>#REF!</v>
      </c>
      <c r="O2928" s="37" t="e">
        <f t="shared" si="75"/>
        <v>#REF!</v>
      </c>
    </row>
    <row r="2929" spans="2:15" ht="17.399999999999999">
      <c r="B2929" s="42" t="s">
        <v>191</v>
      </c>
      <c r="C2929" s="39" t="e">
        <f>#REF!</f>
        <v>#REF!</v>
      </c>
      <c r="D2929" s="31" t="e">
        <f>#REF!</f>
        <v>#REF!</v>
      </c>
      <c r="E2929" s="31" t="e">
        <f>#REF!</f>
        <v>#REF!</v>
      </c>
      <c r="F2929" s="31"/>
      <c r="G2929" s="31"/>
      <c r="H2929" s="31" t="e">
        <f>#REF!</f>
        <v>#REF!</v>
      </c>
      <c r="I2929" s="31">
        <f>'تقرير المصروفات حسب الشهر'!AC782</f>
        <v>0</v>
      </c>
      <c r="J2929" s="31">
        <f>'تقرير المصروفات حسب الشهر'!AC909</f>
        <v>0</v>
      </c>
      <c r="K2929" s="31">
        <f>'تقرير المصروفات حسب الشهر'!AC1036</f>
        <v>0</v>
      </c>
      <c r="L2929" s="292">
        <f>IFERROR(VLOOKUP(B2929,'تقرير المصروفات حسب الشهر'!$C$1143:$AD$1254,27,FALSE),0)</f>
        <v>0</v>
      </c>
      <c r="M2929" s="292">
        <f>IFERROR(VLOOKUP(B2929,'تقرير المصروفات حسب الشهر'!$C$1270:$AD$1381,27,FALSE),0)</f>
        <v>0</v>
      </c>
      <c r="N2929" s="31" t="e">
        <f>#REF!</f>
        <v>#REF!</v>
      </c>
      <c r="O2929" s="37" t="e">
        <f t="shared" si="75"/>
        <v>#REF!</v>
      </c>
    </row>
    <row r="2930" spans="2:15" ht="17.399999999999999">
      <c r="B2930" s="42" t="s">
        <v>29</v>
      </c>
      <c r="C2930" s="39" t="e">
        <f>#REF!</f>
        <v>#REF!</v>
      </c>
      <c r="D2930" s="31" t="e">
        <f>#REF!</f>
        <v>#REF!</v>
      </c>
      <c r="E2930" s="31" t="e">
        <f>#REF!</f>
        <v>#REF!</v>
      </c>
      <c r="F2930" s="31"/>
      <c r="G2930" s="31"/>
      <c r="H2930" s="31" t="e">
        <f>#REF!</f>
        <v>#REF!</v>
      </c>
      <c r="I2930" s="31">
        <f>'تقرير المصروفات حسب الشهر'!AC783</f>
        <v>0</v>
      </c>
      <c r="J2930" s="31">
        <f>'تقرير المصروفات حسب الشهر'!AC910</f>
        <v>0</v>
      </c>
      <c r="K2930" s="31">
        <f>'تقرير المصروفات حسب الشهر'!AC1037</f>
        <v>0</v>
      </c>
      <c r="L2930" s="292">
        <f>IFERROR(VLOOKUP(B2930,'تقرير المصروفات حسب الشهر'!$C$1143:$AD$1254,27,FALSE),0)</f>
        <v>0</v>
      </c>
      <c r="M2930" s="292">
        <f>IFERROR(VLOOKUP(B2930,'تقرير المصروفات حسب الشهر'!$C$1270:$AD$1381,27,FALSE),0)</f>
        <v>0</v>
      </c>
      <c r="N2930" s="31" t="e">
        <f>#REF!</f>
        <v>#REF!</v>
      </c>
      <c r="O2930" s="37" t="e">
        <f t="shared" si="75"/>
        <v>#REF!</v>
      </c>
    </row>
    <row r="2931" spans="2:15" ht="17.399999999999999">
      <c r="B2931" s="42" t="s">
        <v>54</v>
      </c>
      <c r="C2931" s="39" t="e">
        <f>#REF!</f>
        <v>#REF!</v>
      </c>
      <c r="D2931" s="31" t="e">
        <f>#REF!</f>
        <v>#REF!</v>
      </c>
      <c r="E2931" s="31" t="e">
        <f>#REF!</f>
        <v>#REF!</v>
      </c>
      <c r="F2931" s="31"/>
      <c r="G2931" s="31"/>
      <c r="H2931" s="31" t="e">
        <f>#REF!</f>
        <v>#REF!</v>
      </c>
      <c r="I2931" s="31">
        <f>'تقرير المصروفات حسب الشهر'!AC784</f>
        <v>0</v>
      </c>
      <c r="J2931" s="31">
        <f>'تقرير المصروفات حسب الشهر'!AC911</f>
        <v>0</v>
      </c>
      <c r="K2931" s="31">
        <f>'تقرير المصروفات حسب الشهر'!AC1038</f>
        <v>0</v>
      </c>
      <c r="L2931" s="292">
        <f>IFERROR(VLOOKUP(B2931,'تقرير المصروفات حسب الشهر'!$C$1143:$AD$1254,27,FALSE),0)</f>
        <v>0</v>
      </c>
      <c r="M2931" s="292">
        <f>IFERROR(VLOOKUP(B2931,'تقرير المصروفات حسب الشهر'!$C$1270:$AD$1381,27,FALSE),0)</f>
        <v>0</v>
      </c>
      <c r="N2931" s="31" t="e">
        <f>#REF!</f>
        <v>#REF!</v>
      </c>
      <c r="O2931" s="37" t="e">
        <f t="shared" si="75"/>
        <v>#REF!</v>
      </c>
    </row>
    <row r="2932" spans="2:15" ht="17.399999999999999">
      <c r="B2932" s="42" t="s">
        <v>31</v>
      </c>
      <c r="C2932" s="39" t="e">
        <f>#REF!</f>
        <v>#REF!</v>
      </c>
      <c r="D2932" s="31" t="e">
        <f>#REF!</f>
        <v>#REF!</v>
      </c>
      <c r="E2932" s="31" t="e">
        <f>#REF!</f>
        <v>#REF!</v>
      </c>
      <c r="F2932" s="31"/>
      <c r="G2932" s="31"/>
      <c r="H2932" s="31" t="e">
        <f>#REF!</f>
        <v>#REF!</v>
      </c>
      <c r="I2932" s="31">
        <f>'تقرير المصروفات حسب الشهر'!AC785</f>
        <v>0</v>
      </c>
      <c r="J2932" s="31">
        <f>'تقرير المصروفات حسب الشهر'!AC912</f>
        <v>0</v>
      </c>
      <c r="K2932" s="31">
        <f>'تقرير المصروفات حسب الشهر'!AC1039</f>
        <v>0</v>
      </c>
      <c r="L2932" s="292">
        <f>IFERROR(VLOOKUP(B2932,'تقرير المصروفات حسب الشهر'!$C$1143:$AD$1254,27,FALSE),0)</f>
        <v>0</v>
      </c>
      <c r="M2932" s="292">
        <f>IFERROR(VLOOKUP(B2932,'تقرير المصروفات حسب الشهر'!$C$1270:$AD$1381,27,FALSE),0)</f>
        <v>0</v>
      </c>
      <c r="N2932" s="31" t="e">
        <f>#REF!</f>
        <v>#REF!</v>
      </c>
      <c r="O2932" s="37" t="e">
        <f t="shared" si="75"/>
        <v>#REF!</v>
      </c>
    </row>
    <row r="2933" spans="2:15" ht="17.399999999999999">
      <c r="B2933" s="42" t="s">
        <v>55</v>
      </c>
      <c r="C2933" s="39" t="e">
        <f>#REF!</f>
        <v>#REF!</v>
      </c>
      <c r="D2933" s="31" t="e">
        <f>#REF!</f>
        <v>#REF!</v>
      </c>
      <c r="E2933" s="31" t="e">
        <f>#REF!</f>
        <v>#REF!</v>
      </c>
      <c r="F2933" s="31"/>
      <c r="G2933" s="31"/>
      <c r="H2933" s="31" t="e">
        <f>#REF!</f>
        <v>#REF!</v>
      </c>
      <c r="I2933" s="31">
        <f>'تقرير المصروفات حسب الشهر'!AC786</f>
        <v>0</v>
      </c>
      <c r="J2933" s="31">
        <f>'تقرير المصروفات حسب الشهر'!AC913</f>
        <v>0</v>
      </c>
      <c r="K2933" s="31">
        <f>'تقرير المصروفات حسب الشهر'!AC1040</f>
        <v>0</v>
      </c>
      <c r="L2933" s="292">
        <f>IFERROR(VLOOKUP(B2933,'تقرير المصروفات حسب الشهر'!$C$1143:$AD$1254,27,FALSE),0)</f>
        <v>0</v>
      </c>
      <c r="M2933" s="292">
        <f>IFERROR(VLOOKUP(B2933,'تقرير المصروفات حسب الشهر'!$C$1270:$AD$1381,27,FALSE),0)</f>
        <v>0</v>
      </c>
      <c r="N2933" s="31" t="e">
        <f>#REF!</f>
        <v>#REF!</v>
      </c>
      <c r="O2933" s="37" t="e">
        <f t="shared" si="75"/>
        <v>#REF!</v>
      </c>
    </row>
    <row r="2934" spans="2:15" ht="17.399999999999999">
      <c r="B2934" s="42" t="s">
        <v>56</v>
      </c>
      <c r="C2934" s="39" t="e">
        <f>#REF!</f>
        <v>#REF!</v>
      </c>
      <c r="D2934" s="31" t="e">
        <f>#REF!</f>
        <v>#REF!</v>
      </c>
      <c r="E2934" s="31" t="e">
        <f>#REF!</f>
        <v>#REF!</v>
      </c>
      <c r="F2934" s="31"/>
      <c r="G2934" s="31"/>
      <c r="H2934" s="31" t="e">
        <f>#REF!</f>
        <v>#REF!</v>
      </c>
      <c r="I2934" s="31">
        <f>'تقرير المصروفات حسب الشهر'!AC787</f>
        <v>0</v>
      </c>
      <c r="J2934" s="31">
        <f>'تقرير المصروفات حسب الشهر'!AC914</f>
        <v>0</v>
      </c>
      <c r="K2934" s="31">
        <f>'تقرير المصروفات حسب الشهر'!AC1041</f>
        <v>0</v>
      </c>
      <c r="L2934" s="292">
        <f>IFERROR(VLOOKUP(B2934,'تقرير المصروفات حسب الشهر'!$C$1143:$AD$1254,27,FALSE),0)</f>
        <v>0</v>
      </c>
      <c r="M2934" s="292">
        <f>IFERROR(VLOOKUP(B2934,'تقرير المصروفات حسب الشهر'!$C$1270:$AD$1381,27,FALSE),0)</f>
        <v>0</v>
      </c>
      <c r="N2934" s="31" t="e">
        <f>#REF!</f>
        <v>#REF!</v>
      </c>
      <c r="O2934" s="37" t="e">
        <f t="shared" si="75"/>
        <v>#REF!</v>
      </c>
    </row>
    <row r="2935" spans="2:15" ht="17.399999999999999">
      <c r="B2935" s="42" t="s">
        <v>57</v>
      </c>
      <c r="C2935" s="39" t="e">
        <f>#REF!</f>
        <v>#REF!</v>
      </c>
      <c r="D2935" s="31" t="e">
        <f>#REF!</f>
        <v>#REF!</v>
      </c>
      <c r="E2935" s="31" t="e">
        <f>#REF!</f>
        <v>#REF!</v>
      </c>
      <c r="F2935" s="31"/>
      <c r="G2935" s="31"/>
      <c r="H2935" s="31" t="e">
        <f>#REF!</f>
        <v>#REF!</v>
      </c>
      <c r="I2935" s="31">
        <f>'تقرير المصروفات حسب الشهر'!AC788</f>
        <v>0</v>
      </c>
      <c r="J2935" s="31">
        <f>'تقرير المصروفات حسب الشهر'!AC915</f>
        <v>0</v>
      </c>
      <c r="K2935" s="31">
        <f>'تقرير المصروفات حسب الشهر'!AC1042</f>
        <v>0</v>
      </c>
      <c r="L2935" s="292">
        <f>IFERROR(VLOOKUP(B2935,'تقرير المصروفات حسب الشهر'!$C$1143:$AD$1254,27,FALSE),0)</f>
        <v>0</v>
      </c>
      <c r="M2935" s="292">
        <f>IFERROR(VLOOKUP(B2935,'تقرير المصروفات حسب الشهر'!$C$1270:$AD$1381,27,FALSE),0)</f>
        <v>0</v>
      </c>
      <c r="N2935" s="31" t="e">
        <f>#REF!</f>
        <v>#REF!</v>
      </c>
      <c r="O2935" s="37" t="e">
        <f t="shared" si="75"/>
        <v>#REF!</v>
      </c>
    </row>
    <row r="2936" spans="2:15" ht="17.399999999999999">
      <c r="B2936" s="42" t="s">
        <v>58</v>
      </c>
      <c r="C2936" s="39" t="e">
        <f>#REF!</f>
        <v>#REF!</v>
      </c>
      <c r="D2936" s="31" t="e">
        <f>#REF!</f>
        <v>#REF!</v>
      </c>
      <c r="E2936" s="31" t="e">
        <f>#REF!</f>
        <v>#REF!</v>
      </c>
      <c r="F2936" s="31"/>
      <c r="G2936" s="31"/>
      <c r="H2936" s="31" t="e">
        <f>#REF!</f>
        <v>#REF!</v>
      </c>
      <c r="I2936" s="31">
        <f>'تقرير المصروفات حسب الشهر'!AC789</f>
        <v>0</v>
      </c>
      <c r="J2936" s="31">
        <f>'تقرير المصروفات حسب الشهر'!AC916</f>
        <v>0</v>
      </c>
      <c r="K2936" s="31">
        <f>'تقرير المصروفات حسب الشهر'!AC1043</f>
        <v>0</v>
      </c>
      <c r="L2936" s="292">
        <f>IFERROR(VLOOKUP(B2936,'تقرير المصروفات حسب الشهر'!$C$1143:$AD$1254,27,FALSE),0)</f>
        <v>0</v>
      </c>
      <c r="M2936" s="292">
        <f>IFERROR(VLOOKUP(B2936,'تقرير المصروفات حسب الشهر'!$C$1270:$AD$1381,27,FALSE),0)</f>
        <v>0</v>
      </c>
      <c r="N2936" s="31" t="e">
        <f>#REF!</f>
        <v>#REF!</v>
      </c>
      <c r="O2936" s="37" t="e">
        <f t="shared" si="75"/>
        <v>#REF!</v>
      </c>
    </row>
    <row r="2937" spans="2:15" ht="17.399999999999999">
      <c r="B2937" s="42" t="s">
        <v>59</v>
      </c>
      <c r="C2937" s="39" t="e">
        <f>#REF!</f>
        <v>#REF!</v>
      </c>
      <c r="D2937" s="31" t="e">
        <f>#REF!</f>
        <v>#REF!</v>
      </c>
      <c r="E2937" s="31" t="e">
        <f>#REF!</f>
        <v>#REF!</v>
      </c>
      <c r="F2937" s="31"/>
      <c r="G2937" s="31"/>
      <c r="H2937" s="31" t="e">
        <f>#REF!</f>
        <v>#REF!</v>
      </c>
      <c r="I2937" s="31">
        <f>'تقرير المصروفات حسب الشهر'!AC790</f>
        <v>0</v>
      </c>
      <c r="J2937" s="31">
        <f>'تقرير المصروفات حسب الشهر'!AC917</f>
        <v>0</v>
      </c>
      <c r="K2937" s="31">
        <f>'تقرير المصروفات حسب الشهر'!AC1044</f>
        <v>0</v>
      </c>
      <c r="L2937" s="292">
        <f>IFERROR(VLOOKUP(B2937,'تقرير المصروفات حسب الشهر'!$C$1143:$AD$1254,27,FALSE),0)</f>
        <v>0</v>
      </c>
      <c r="M2937" s="292">
        <f>IFERROR(VLOOKUP(B2937,'تقرير المصروفات حسب الشهر'!$C$1270:$AD$1381,27,FALSE),0)</f>
        <v>0</v>
      </c>
      <c r="N2937" s="31" t="e">
        <f>#REF!</f>
        <v>#REF!</v>
      </c>
      <c r="O2937" s="37" t="e">
        <f t="shared" si="75"/>
        <v>#REF!</v>
      </c>
    </row>
    <row r="2938" spans="2:15" ht="17.399999999999999">
      <c r="B2938" s="42" t="s">
        <v>60</v>
      </c>
      <c r="C2938" s="39" t="e">
        <f>#REF!</f>
        <v>#REF!</v>
      </c>
      <c r="D2938" s="31" t="e">
        <f>#REF!</f>
        <v>#REF!</v>
      </c>
      <c r="E2938" s="31" t="e">
        <f>#REF!</f>
        <v>#REF!</v>
      </c>
      <c r="F2938" s="31"/>
      <c r="G2938" s="31"/>
      <c r="H2938" s="31" t="e">
        <f>#REF!</f>
        <v>#REF!</v>
      </c>
      <c r="I2938" s="31">
        <f>'تقرير المصروفات حسب الشهر'!AC791</f>
        <v>0</v>
      </c>
      <c r="J2938" s="31">
        <f>'تقرير المصروفات حسب الشهر'!AC918</f>
        <v>0</v>
      </c>
      <c r="K2938" s="31">
        <f>'تقرير المصروفات حسب الشهر'!AC1045</f>
        <v>0</v>
      </c>
      <c r="L2938" s="292">
        <f>IFERROR(VLOOKUP(B2938,'تقرير المصروفات حسب الشهر'!$C$1143:$AD$1254,27,FALSE),0)</f>
        <v>0</v>
      </c>
      <c r="M2938" s="292">
        <f>IFERROR(VLOOKUP(B2938,'تقرير المصروفات حسب الشهر'!$C$1270:$AD$1381,27,FALSE),0)</f>
        <v>0</v>
      </c>
      <c r="N2938" s="31" t="e">
        <f>#REF!</f>
        <v>#REF!</v>
      </c>
      <c r="O2938" s="37" t="e">
        <f t="shared" si="75"/>
        <v>#REF!</v>
      </c>
    </row>
    <row r="2939" spans="2:15" ht="17.399999999999999">
      <c r="B2939" s="42" t="s">
        <v>61</v>
      </c>
      <c r="C2939" s="39" t="e">
        <f>#REF!</f>
        <v>#REF!</v>
      </c>
      <c r="D2939" s="31" t="e">
        <f>#REF!</f>
        <v>#REF!</v>
      </c>
      <c r="E2939" s="31" t="e">
        <f>#REF!</f>
        <v>#REF!</v>
      </c>
      <c r="F2939" s="31"/>
      <c r="G2939" s="31"/>
      <c r="H2939" s="31" t="e">
        <f>#REF!</f>
        <v>#REF!</v>
      </c>
      <c r="I2939" s="31">
        <f>'تقرير المصروفات حسب الشهر'!AC792</f>
        <v>0</v>
      </c>
      <c r="J2939" s="31">
        <f>'تقرير المصروفات حسب الشهر'!AC919</f>
        <v>400</v>
      </c>
      <c r="K2939" s="31">
        <f>'تقرير المصروفات حسب الشهر'!AC1046</f>
        <v>0</v>
      </c>
      <c r="L2939" s="292">
        <f>IFERROR(VLOOKUP(B2939,'تقرير المصروفات حسب الشهر'!$C$1143:$AD$1254,27,FALSE),0)</f>
        <v>0</v>
      </c>
      <c r="M2939" s="292">
        <f>IFERROR(VLOOKUP(B2939,'تقرير المصروفات حسب الشهر'!$C$1270:$AD$1381,27,FALSE),0)</f>
        <v>0</v>
      </c>
      <c r="N2939" s="31" t="e">
        <f>#REF!</f>
        <v>#REF!</v>
      </c>
      <c r="O2939" s="37" t="e">
        <f t="shared" si="75"/>
        <v>#REF!</v>
      </c>
    </row>
    <row r="2940" spans="2:15" ht="17.399999999999999">
      <c r="B2940" s="42" t="s">
        <v>62</v>
      </c>
      <c r="C2940" s="39" t="e">
        <f>#REF!</f>
        <v>#REF!</v>
      </c>
      <c r="D2940" s="31" t="e">
        <f>#REF!</f>
        <v>#REF!</v>
      </c>
      <c r="E2940" s="31" t="e">
        <f>#REF!</f>
        <v>#REF!</v>
      </c>
      <c r="F2940" s="31"/>
      <c r="G2940" s="31"/>
      <c r="H2940" s="31" t="e">
        <f>#REF!</f>
        <v>#REF!</v>
      </c>
      <c r="I2940" s="31">
        <f>'تقرير المصروفات حسب الشهر'!AC793</f>
        <v>0</v>
      </c>
      <c r="J2940" s="31">
        <f>'تقرير المصروفات حسب الشهر'!AC920</f>
        <v>0</v>
      </c>
      <c r="K2940" s="31">
        <f>'تقرير المصروفات حسب الشهر'!AC1047</f>
        <v>0</v>
      </c>
      <c r="L2940" s="292">
        <f>IFERROR(VLOOKUP(B2940,'تقرير المصروفات حسب الشهر'!$C$1143:$AD$1254,27,FALSE),0)</f>
        <v>0</v>
      </c>
      <c r="M2940" s="292">
        <f>IFERROR(VLOOKUP(B2940,'تقرير المصروفات حسب الشهر'!$C$1270:$AD$1381,27,FALSE),0)</f>
        <v>0</v>
      </c>
      <c r="N2940" s="31" t="e">
        <f>#REF!</f>
        <v>#REF!</v>
      </c>
      <c r="O2940" s="37" t="e">
        <f t="shared" si="75"/>
        <v>#REF!</v>
      </c>
    </row>
    <row r="2941" spans="2:15" ht="17.399999999999999">
      <c r="B2941" s="42" t="s">
        <v>63</v>
      </c>
      <c r="C2941" s="39" t="e">
        <f>#REF!</f>
        <v>#REF!</v>
      </c>
      <c r="D2941" s="31" t="e">
        <f>#REF!</f>
        <v>#REF!</v>
      </c>
      <c r="E2941" s="31" t="e">
        <f>#REF!</f>
        <v>#REF!</v>
      </c>
      <c r="F2941" s="31"/>
      <c r="G2941" s="31"/>
      <c r="H2941" s="31" t="e">
        <f>#REF!</f>
        <v>#REF!</v>
      </c>
      <c r="I2941" s="31">
        <f>'تقرير المصروفات حسب الشهر'!AC794</f>
        <v>0</v>
      </c>
      <c r="J2941" s="31">
        <f>'تقرير المصروفات حسب الشهر'!AC921</f>
        <v>0</v>
      </c>
      <c r="K2941" s="31">
        <f>'تقرير المصروفات حسب الشهر'!AC1048</f>
        <v>0</v>
      </c>
      <c r="L2941" s="292">
        <f>IFERROR(VLOOKUP(B2941,'تقرير المصروفات حسب الشهر'!$C$1143:$AD$1254,27,FALSE),0)</f>
        <v>0</v>
      </c>
      <c r="M2941" s="292">
        <f>IFERROR(VLOOKUP(B2941,'تقرير المصروفات حسب الشهر'!$C$1270:$AD$1381,27,FALSE),0)</f>
        <v>0</v>
      </c>
      <c r="N2941" s="31" t="e">
        <f>#REF!</f>
        <v>#REF!</v>
      </c>
      <c r="O2941" s="37" t="e">
        <f t="shared" si="75"/>
        <v>#REF!</v>
      </c>
    </row>
    <row r="2942" spans="2:15" ht="17.399999999999999">
      <c r="B2942" s="42" t="s">
        <v>64</v>
      </c>
      <c r="C2942" s="39" t="e">
        <f>#REF!</f>
        <v>#REF!</v>
      </c>
      <c r="D2942" s="31" t="e">
        <f>#REF!</f>
        <v>#REF!</v>
      </c>
      <c r="E2942" s="31" t="e">
        <f>#REF!</f>
        <v>#REF!</v>
      </c>
      <c r="F2942" s="31"/>
      <c r="G2942" s="31"/>
      <c r="H2942" s="31" t="e">
        <f>#REF!</f>
        <v>#REF!</v>
      </c>
      <c r="I2942" s="31">
        <f>'تقرير المصروفات حسب الشهر'!AC795</f>
        <v>0</v>
      </c>
      <c r="J2942" s="31">
        <f>'تقرير المصروفات حسب الشهر'!AC922</f>
        <v>400</v>
      </c>
      <c r="K2942" s="31">
        <f>'تقرير المصروفات حسب الشهر'!AC1049</f>
        <v>0</v>
      </c>
      <c r="L2942" s="292">
        <f>IFERROR(VLOOKUP(B2942,'تقرير المصروفات حسب الشهر'!$C$1143:$AD$1254,27,FALSE),0)</f>
        <v>0</v>
      </c>
      <c r="M2942" s="292">
        <f>IFERROR(VLOOKUP(B2942,'تقرير المصروفات حسب الشهر'!$C$1270:$AD$1381,27,FALSE),0)</f>
        <v>400</v>
      </c>
      <c r="N2942" s="31" t="e">
        <f>#REF!</f>
        <v>#REF!</v>
      </c>
      <c r="O2942" s="37" t="e">
        <f t="shared" si="75"/>
        <v>#REF!</v>
      </c>
    </row>
    <row r="2943" spans="2:15" ht="17.399999999999999">
      <c r="B2943" s="42" t="s">
        <v>28</v>
      </c>
      <c r="C2943" s="39" t="e">
        <f>#REF!</f>
        <v>#REF!</v>
      </c>
      <c r="D2943" s="31" t="e">
        <f>#REF!</f>
        <v>#REF!</v>
      </c>
      <c r="E2943" s="31" t="e">
        <f>#REF!</f>
        <v>#REF!</v>
      </c>
      <c r="F2943" s="31"/>
      <c r="G2943" s="31"/>
      <c r="H2943" s="31" t="e">
        <f>#REF!</f>
        <v>#REF!</v>
      </c>
      <c r="I2943" s="31">
        <f>'تقرير المصروفات حسب الشهر'!AC796</f>
        <v>0</v>
      </c>
      <c r="J2943" s="31">
        <f>'تقرير المصروفات حسب الشهر'!AC923</f>
        <v>0</v>
      </c>
      <c r="K2943" s="31">
        <f>'تقرير المصروفات حسب الشهر'!AC1050</f>
        <v>0</v>
      </c>
      <c r="L2943" s="292">
        <f>IFERROR(VLOOKUP(B2943,'تقرير المصروفات حسب الشهر'!$C$1143:$AD$1254,27,FALSE),0)</f>
        <v>0</v>
      </c>
      <c r="M2943" s="292">
        <f>IFERROR(VLOOKUP(B2943,'تقرير المصروفات حسب الشهر'!$C$1270:$AD$1381,27,FALSE),0)</f>
        <v>0</v>
      </c>
      <c r="N2943" s="31" t="e">
        <f>#REF!</f>
        <v>#REF!</v>
      </c>
      <c r="O2943" s="37" t="e">
        <f t="shared" si="75"/>
        <v>#REF!</v>
      </c>
    </row>
    <row r="2944" spans="2:15" ht="17.399999999999999">
      <c r="B2944" s="42" t="s">
        <v>157</v>
      </c>
      <c r="C2944" s="39" t="e">
        <f>#REF!</f>
        <v>#REF!</v>
      </c>
      <c r="D2944" s="31" t="e">
        <f>#REF!</f>
        <v>#REF!</v>
      </c>
      <c r="E2944" s="31" t="e">
        <f>#REF!</f>
        <v>#REF!</v>
      </c>
      <c r="F2944" s="31"/>
      <c r="G2944" s="31"/>
      <c r="H2944" s="31" t="e">
        <f>#REF!</f>
        <v>#REF!</v>
      </c>
      <c r="I2944" s="31">
        <f>'تقرير المصروفات حسب الشهر'!AC797</f>
        <v>0</v>
      </c>
      <c r="J2944" s="31">
        <f>'تقرير المصروفات حسب الشهر'!AC924</f>
        <v>0</v>
      </c>
      <c r="K2944" s="31">
        <f>'تقرير المصروفات حسب الشهر'!AC1051</f>
        <v>0</v>
      </c>
      <c r="L2944" s="292">
        <f>IFERROR(VLOOKUP(B2944,'تقرير المصروفات حسب الشهر'!$C$1143:$AD$1254,27,FALSE),0)</f>
        <v>0</v>
      </c>
      <c r="M2944" s="292">
        <f>IFERROR(VLOOKUP(B2944,'تقرير المصروفات حسب الشهر'!$C$1270:$AD$1381,27,FALSE),0)</f>
        <v>0</v>
      </c>
      <c r="N2944" s="31" t="e">
        <f>#REF!</f>
        <v>#REF!</v>
      </c>
      <c r="O2944" s="37" t="e">
        <f t="shared" si="75"/>
        <v>#REF!</v>
      </c>
    </row>
    <row r="2945" spans="2:15" ht="17.399999999999999">
      <c r="B2945" s="42" t="s">
        <v>65</v>
      </c>
      <c r="C2945" s="39" t="e">
        <f>#REF!</f>
        <v>#REF!</v>
      </c>
      <c r="D2945" s="31" t="e">
        <f>#REF!</f>
        <v>#REF!</v>
      </c>
      <c r="E2945" s="31" t="e">
        <f>#REF!</f>
        <v>#REF!</v>
      </c>
      <c r="F2945" s="31"/>
      <c r="G2945" s="31"/>
      <c r="H2945" s="31" t="e">
        <f>#REF!</f>
        <v>#REF!</v>
      </c>
      <c r="I2945" s="31">
        <f>'تقرير المصروفات حسب الشهر'!AC798</f>
        <v>0</v>
      </c>
      <c r="J2945" s="31">
        <f>'تقرير المصروفات حسب الشهر'!AC925</f>
        <v>0</v>
      </c>
      <c r="K2945" s="31">
        <f>'تقرير المصروفات حسب الشهر'!AC1052</f>
        <v>0</v>
      </c>
      <c r="L2945" s="292">
        <f>IFERROR(VLOOKUP(B2945,'تقرير المصروفات حسب الشهر'!$C$1143:$AD$1254,27,FALSE),0)</f>
        <v>0</v>
      </c>
      <c r="M2945" s="292">
        <f>IFERROR(VLOOKUP(B2945,'تقرير المصروفات حسب الشهر'!$C$1270:$AD$1381,27,FALSE),0)</f>
        <v>0</v>
      </c>
      <c r="N2945" s="31" t="e">
        <f>#REF!</f>
        <v>#REF!</v>
      </c>
      <c r="O2945" s="37" t="e">
        <f t="shared" si="75"/>
        <v>#REF!</v>
      </c>
    </row>
    <row r="2946" spans="2:15" ht="17.399999999999999">
      <c r="B2946" s="42" t="s">
        <v>66</v>
      </c>
      <c r="C2946" s="39" t="e">
        <f>#REF!</f>
        <v>#REF!</v>
      </c>
      <c r="D2946" s="31" t="e">
        <f>#REF!</f>
        <v>#REF!</v>
      </c>
      <c r="E2946" s="31" t="e">
        <f>#REF!</f>
        <v>#REF!</v>
      </c>
      <c r="F2946" s="31"/>
      <c r="G2946" s="31"/>
      <c r="H2946" s="31" t="e">
        <f>#REF!</f>
        <v>#REF!</v>
      </c>
      <c r="I2946" s="31">
        <f>'تقرير المصروفات حسب الشهر'!AC799</f>
        <v>0</v>
      </c>
      <c r="J2946" s="31">
        <f>'تقرير المصروفات حسب الشهر'!AC926</f>
        <v>0</v>
      </c>
      <c r="K2946" s="31">
        <f>'تقرير المصروفات حسب الشهر'!AC1053</f>
        <v>0</v>
      </c>
      <c r="L2946" s="292">
        <f>IFERROR(VLOOKUP(B2946,'تقرير المصروفات حسب الشهر'!$C$1143:$AD$1254,27,FALSE),0)</f>
        <v>0</v>
      </c>
      <c r="M2946" s="292">
        <f>IFERROR(VLOOKUP(B2946,'تقرير المصروفات حسب الشهر'!$C$1270:$AD$1381,27,FALSE),0)</f>
        <v>0</v>
      </c>
      <c r="N2946" s="31" t="e">
        <f>#REF!</f>
        <v>#REF!</v>
      </c>
      <c r="O2946" s="37" t="e">
        <f t="shared" si="75"/>
        <v>#REF!</v>
      </c>
    </row>
    <row r="2947" spans="2:15" ht="17.399999999999999">
      <c r="B2947" s="42" t="s">
        <v>30</v>
      </c>
      <c r="C2947" s="39" t="e">
        <f>#REF!</f>
        <v>#REF!</v>
      </c>
      <c r="D2947" s="31" t="e">
        <f>#REF!</f>
        <v>#REF!</v>
      </c>
      <c r="E2947" s="31" t="e">
        <f>#REF!</f>
        <v>#REF!</v>
      </c>
      <c r="F2947" s="31"/>
      <c r="G2947" s="31"/>
      <c r="H2947" s="31" t="e">
        <f>#REF!</f>
        <v>#REF!</v>
      </c>
      <c r="I2947" s="31">
        <f>'تقرير المصروفات حسب الشهر'!AC800</f>
        <v>1600.25</v>
      </c>
      <c r="J2947" s="31">
        <f>'تقرير المصروفات حسب الشهر'!AC927</f>
        <v>0</v>
      </c>
      <c r="K2947" s="31">
        <f>'تقرير المصروفات حسب الشهر'!AC1054</f>
        <v>6900.25</v>
      </c>
      <c r="L2947" s="292">
        <f>IFERROR(VLOOKUP(B2947,'تقرير المصروفات حسب الشهر'!$C$1143:$AD$1254,27,FALSE),0)</f>
        <v>6888.9</v>
      </c>
      <c r="M2947" s="292">
        <f>IFERROR(VLOOKUP(B2947,'تقرير المصروفات حسب الشهر'!$C$1270:$AD$1381,27,FALSE),0)</f>
        <v>8888.25</v>
      </c>
      <c r="N2947" s="31" t="e">
        <f>#REF!</f>
        <v>#REF!</v>
      </c>
      <c r="O2947" s="37" t="e">
        <f t="shared" si="75"/>
        <v>#REF!</v>
      </c>
    </row>
    <row r="2948" spans="2:15" ht="17.399999999999999">
      <c r="B2948" s="42" t="s">
        <v>67</v>
      </c>
      <c r="C2948" s="39" t="e">
        <f>#REF!</f>
        <v>#REF!</v>
      </c>
      <c r="D2948" s="31" t="e">
        <f>#REF!</f>
        <v>#REF!</v>
      </c>
      <c r="E2948" s="31" t="e">
        <f>#REF!</f>
        <v>#REF!</v>
      </c>
      <c r="F2948" s="31"/>
      <c r="G2948" s="31"/>
      <c r="H2948" s="31" t="e">
        <f>#REF!</f>
        <v>#REF!</v>
      </c>
      <c r="I2948" s="31">
        <f>'تقرير المصروفات حسب الشهر'!AC801</f>
        <v>0</v>
      </c>
      <c r="J2948" s="31">
        <f>'تقرير المصروفات حسب الشهر'!AC928</f>
        <v>1650</v>
      </c>
      <c r="K2948" s="31">
        <f>'تقرير المصروفات حسب الشهر'!AC1055</f>
        <v>0</v>
      </c>
      <c r="L2948" s="292">
        <f>IFERROR(VLOOKUP(B2948,'تقرير المصروفات حسب الشهر'!$C$1143:$AD$1254,27,FALSE),0)</f>
        <v>990</v>
      </c>
      <c r="M2948" s="292">
        <f>IFERROR(VLOOKUP(B2948,'تقرير المصروفات حسب الشهر'!$C$1270:$AD$1381,27,FALSE),0)</f>
        <v>0</v>
      </c>
      <c r="N2948" s="31" t="e">
        <f>#REF!</f>
        <v>#REF!</v>
      </c>
      <c r="O2948" s="37" t="e">
        <f t="shared" si="75"/>
        <v>#REF!</v>
      </c>
    </row>
    <row r="2949" spans="2:15" ht="17.399999999999999">
      <c r="B2949" s="42" t="s">
        <v>111</v>
      </c>
      <c r="C2949" s="39" t="e">
        <f>#REF!</f>
        <v>#REF!</v>
      </c>
      <c r="D2949" s="31" t="e">
        <f>#REF!</f>
        <v>#REF!</v>
      </c>
      <c r="E2949" s="31" t="e">
        <f>#REF!</f>
        <v>#REF!</v>
      </c>
      <c r="F2949" s="31"/>
      <c r="G2949" s="31"/>
      <c r="H2949" s="31" t="e">
        <f>#REF!</f>
        <v>#REF!</v>
      </c>
      <c r="I2949" s="31">
        <f>'تقرير المصروفات حسب الشهر'!AC802</f>
        <v>0</v>
      </c>
      <c r="J2949" s="31">
        <f>'تقرير المصروفات حسب الشهر'!AC929</f>
        <v>0</v>
      </c>
      <c r="K2949" s="31">
        <f>'تقرير المصروفات حسب الشهر'!AC1056</f>
        <v>350</v>
      </c>
      <c r="L2949" s="292">
        <f>IFERROR(VLOOKUP(B2949,'تقرير المصروفات حسب الشهر'!$C$1143:$AD$1254,27,FALSE),0)</f>
        <v>0</v>
      </c>
      <c r="M2949" s="292">
        <f>IFERROR(VLOOKUP(B2949,'تقرير المصروفات حسب الشهر'!$C$1270:$AD$1381,27,FALSE),0)</f>
        <v>0</v>
      </c>
      <c r="N2949" s="31" t="e">
        <f>#REF!</f>
        <v>#REF!</v>
      </c>
      <c r="O2949" s="37" t="e">
        <f t="shared" si="75"/>
        <v>#REF!</v>
      </c>
    </row>
    <row r="2950" spans="2:15" ht="17.399999999999999">
      <c r="B2950" s="42" t="s">
        <v>68</v>
      </c>
      <c r="C2950" s="39" t="e">
        <f>#REF!</f>
        <v>#REF!</v>
      </c>
      <c r="D2950" s="31" t="e">
        <f>#REF!</f>
        <v>#REF!</v>
      </c>
      <c r="E2950" s="31" t="e">
        <f>#REF!</f>
        <v>#REF!</v>
      </c>
      <c r="F2950" s="31"/>
      <c r="G2950" s="31"/>
      <c r="H2950" s="31" t="e">
        <f>#REF!</f>
        <v>#REF!</v>
      </c>
      <c r="I2950" s="31">
        <f>'تقرير المصروفات حسب الشهر'!AC803</f>
        <v>0</v>
      </c>
      <c r="J2950" s="31">
        <f>'تقرير المصروفات حسب الشهر'!AC930</f>
        <v>0</v>
      </c>
      <c r="K2950" s="31">
        <f>'تقرير المصروفات حسب الشهر'!AC1057</f>
        <v>0</v>
      </c>
      <c r="L2950" s="292">
        <f>IFERROR(VLOOKUP(B2950,'تقرير المصروفات حسب الشهر'!$C$1143:$AD$1254,27,FALSE),0)</f>
        <v>0</v>
      </c>
      <c r="M2950" s="292">
        <f>IFERROR(VLOOKUP(B2950,'تقرير المصروفات حسب الشهر'!$C$1270:$AD$1381,27,FALSE),0)</f>
        <v>0</v>
      </c>
      <c r="N2950" s="31" t="e">
        <f>#REF!</f>
        <v>#REF!</v>
      </c>
      <c r="O2950" s="37" t="e">
        <f t="shared" si="75"/>
        <v>#REF!</v>
      </c>
    </row>
    <row r="2951" spans="2:15" ht="17.399999999999999">
      <c r="B2951" s="42" t="s">
        <v>69</v>
      </c>
      <c r="C2951" s="39" t="e">
        <f>#REF!</f>
        <v>#REF!</v>
      </c>
      <c r="D2951" s="31" t="e">
        <f>#REF!</f>
        <v>#REF!</v>
      </c>
      <c r="E2951" s="31" t="e">
        <f>#REF!</f>
        <v>#REF!</v>
      </c>
      <c r="F2951" s="31"/>
      <c r="G2951" s="31"/>
      <c r="H2951" s="31" t="e">
        <f>#REF!</f>
        <v>#REF!</v>
      </c>
      <c r="I2951" s="31">
        <f>'تقرير المصروفات حسب الشهر'!AC804</f>
        <v>0</v>
      </c>
      <c r="J2951" s="31">
        <f>'تقرير المصروفات حسب الشهر'!AC931</f>
        <v>0</v>
      </c>
      <c r="K2951" s="31">
        <f>'تقرير المصروفات حسب الشهر'!AC1058</f>
        <v>0</v>
      </c>
      <c r="L2951" s="292">
        <f>IFERROR(VLOOKUP(B2951,'تقرير المصروفات حسب الشهر'!$C$1143:$AD$1254,27,FALSE),0)</f>
        <v>0</v>
      </c>
      <c r="M2951" s="292">
        <f>IFERROR(VLOOKUP(B2951,'تقرير المصروفات حسب الشهر'!$C$1270:$AD$1381,27,FALSE),0)</f>
        <v>0</v>
      </c>
      <c r="N2951" s="31" t="e">
        <f>#REF!</f>
        <v>#REF!</v>
      </c>
      <c r="O2951" s="37" t="e">
        <f t="shared" si="75"/>
        <v>#REF!</v>
      </c>
    </row>
    <row r="2952" spans="2:15" ht="17.399999999999999">
      <c r="B2952" s="42" t="s">
        <v>70</v>
      </c>
      <c r="C2952" s="39" t="e">
        <f>#REF!</f>
        <v>#REF!</v>
      </c>
      <c r="D2952" s="31" t="e">
        <f>#REF!</f>
        <v>#REF!</v>
      </c>
      <c r="E2952" s="31" t="e">
        <f>#REF!</f>
        <v>#REF!</v>
      </c>
      <c r="F2952" s="31"/>
      <c r="G2952" s="31"/>
      <c r="H2952" s="31" t="e">
        <f>#REF!</f>
        <v>#REF!</v>
      </c>
      <c r="I2952" s="31">
        <f>'تقرير المصروفات حسب الشهر'!AC805</f>
        <v>0</v>
      </c>
      <c r="J2952" s="31">
        <f>'تقرير المصروفات حسب الشهر'!AC932</f>
        <v>0</v>
      </c>
      <c r="K2952" s="31">
        <f>'تقرير المصروفات حسب الشهر'!AC1059</f>
        <v>450</v>
      </c>
      <c r="L2952" s="292">
        <f>IFERROR(VLOOKUP(B2952,'تقرير المصروفات حسب الشهر'!$C$1143:$AD$1254,27,FALSE),0)</f>
        <v>0</v>
      </c>
      <c r="M2952" s="292">
        <f>IFERROR(VLOOKUP(B2952,'تقرير المصروفات حسب الشهر'!$C$1270:$AD$1381,27,FALSE),0)</f>
        <v>0</v>
      </c>
      <c r="N2952" s="31" t="e">
        <f>#REF!</f>
        <v>#REF!</v>
      </c>
      <c r="O2952" s="37" t="e">
        <f t="shared" si="75"/>
        <v>#REF!</v>
      </c>
    </row>
    <row r="2953" spans="2:15" ht="17.399999999999999">
      <c r="B2953" s="42" t="s">
        <v>71</v>
      </c>
      <c r="C2953" s="39" t="e">
        <f>#REF!</f>
        <v>#REF!</v>
      </c>
      <c r="D2953" s="31" t="e">
        <f>#REF!</f>
        <v>#REF!</v>
      </c>
      <c r="E2953" s="31" t="e">
        <f>#REF!</f>
        <v>#REF!</v>
      </c>
      <c r="F2953" s="31"/>
      <c r="G2953" s="31"/>
      <c r="H2953" s="31" t="e">
        <f>#REF!</f>
        <v>#REF!</v>
      </c>
      <c r="I2953" s="31">
        <f>'تقرير المصروفات حسب الشهر'!AC806</f>
        <v>0</v>
      </c>
      <c r="J2953" s="31">
        <f>'تقرير المصروفات حسب الشهر'!AC933</f>
        <v>0</v>
      </c>
      <c r="K2953" s="31">
        <f>'تقرير المصروفات حسب الشهر'!AC1060</f>
        <v>0</v>
      </c>
      <c r="L2953" s="292">
        <f>IFERROR(VLOOKUP(B2953,'تقرير المصروفات حسب الشهر'!$C$1143:$AD$1254,27,FALSE),0)</f>
        <v>0</v>
      </c>
      <c r="M2953" s="292">
        <f>IFERROR(VLOOKUP(B2953,'تقرير المصروفات حسب الشهر'!$C$1270:$AD$1381,27,FALSE),0)</f>
        <v>0</v>
      </c>
      <c r="N2953" s="31" t="e">
        <f>#REF!</f>
        <v>#REF!</v>
      </c>
      <c r="O2953" s="37" t="e">
        <f t="shared" si="75"/>
        <v>#REF!</v>
      </c>
    </row>
    <row r="2954" spans="2:15" ht="17.399999999999999">
      <c r="B2954" s="42" t="s">
        <v>159</v>
      </c>
      <c r="C2954" s="39" t="e">
        <f>#REF!</f>
        <v>#REF!</v>
      </c>
      <c r="D2954" s="31" t="e">
        <f>#REF!</f>
        <v>#REF!</v>
      </c>
      <c r="E2954" s="31" t="e">
        <f>#REF!</f>
        <v>#REF!</v>
      </c>
      <c r="F2954" s="31"/>
      <c r="G2954" s="31"/>
      <c r="H2954" s="31" t="e">
        <f>#REF!</f>
        <v>#REF!</v>
      </c>
      <c r="I2954" s="31">
        <f>'تقرير المصروفات حسب الشهر'!AC807</f>
        <v>0</v>
      </c>
      <c r="J2954" s="31">
        <f>'تقرير المصروفات حسب الشهر'!AC934</f>
        <v>0</v>
      </c>
      <c r="K2954" s="31">
        <f>'تقرير المصروفات حسب الشهر'!AC1061</f>
        <v>0</v>
      </c>
      <c r="L2954" s="292">
        <f>IFERROR(VLOOKUP(B2954,'تقرير المصروفات حسب الشهر'!$C$1143:$AD$1254,27,FALSE),0)</f>
        <v>0</v>
      </c>
      <c r="M2954" s="292">
        <f>IFERROR(VLOOKUP(B2954,'تقرير المصروفات حسب الشهر'!$C$1270:$AD$1381,27,FALSE),0)</f>
        <v>0</v>
      </c>
      <c r="N2954" s="31" t="e">
        <f>#REF!</f>
        <v>#REF!</v>
      </c>
      <c r="O2954" s="37" t="e">
        <f t="shared" si="75"/>
        <v>#REF!</v>
      </c>
    </row>
    <row r="2955" spans="2:15" ht="17.399999999999999">
      <c r="B2955" s="42" t="s">
        <v>72</v>
      </c>
      <c r="C2955" s="39" t="e">
        <f>#REF!</f>
        <v>#REF!</v>
      </c>
      <c r="D2955" s="31" t="e">
        <f>#REF!</f>
        <v>#REF!</v>
      </c>
      <c r="E2955" s="31" t="e">
        <f>#REF!</f>
        <v>#REF!</v>
      </c>
      <c r="F2955" s="31"/>
      <c r="G2955" s="31"/>
      <c r="H2955" s="31" t="e">
        <f>#REF!</f>
        <v>#REF!</v>
      </c>
      <c r="I2955" s="31">
        <f>'تقرير المصروفات حسب الشهر'!AC808</f>
        <v>0</v>
      </c>
      <c r="J2955" s="31">
        <f>'تقرير المصروفات حسب الشهر'!AC935</f>
        <v>0</v>
      </c>
      <c r="K2955" s="31">
        <f>'تقرير المصروفات حسب الشهر'!AC1062</f>
        <v>0</v>
      </c>
      <c r="L2955" s="292">
        <f>IFERROR(VLOOKUP(B2955,'تقرير المصروفات حسب الشهر'!$C$1143:$AD$1254,27,FALSE),0)</f>
        <v>0</v>
      </c>
      <c r="M2955" s="292">
        <f>IFERROR(VLOOKUP(B2955,'تقرير المصروفات حسب الشهر'!$C$1270:$AD$1381,27,FALSE),0)</f>
        <v>0</v>
      </c>
      <c r="N2955" s="31" t="e">
        <f>#REF!</f>
        <v>#REF!</v>
      </c>
      <c r="O2955" s="37" t="e">
        <f t="shared" si="75"/>
        <v>#REF!</v>
      </c>
    </row>
    <row r="2956" spans="2:15" ht="17.399999999999999">
      <c r="B2956" s="42" t="s">
        <v>73</v>
      </c>
      <c r="C2956" s="39" t="e">
        <f>#REF!</f>
        <v>#REF!</v>
      </c>
      <c r="D2956" s="31" t="e">
        <f>#REF!</f>
        <v>#REF!</v>
      </c>
      <c r="E2956" s="31" t="e">
        <f>#REF!</f>
        <v>#REF!</v>
      </c>
      <c r="F2956" s="31"/>
      <c r="G2956" s="31"/>
      <c r="H2956" s="31" t="e">
        <f>#REF!</f>
        <v>#REF!</v>
      </c>
      <c r="I2956" s="31">
        <f>'تقرير المصروفات حسب الشهر'!AC809</f>
        <v>0</v>
      </c>
      <c r="J2956" s="31">
        <f>'تقرير المصروفات حسب الشهر'!AC936</f>
        <v>0</v>
      </c>
      <c r="K2956" s="31">
        <f>'تقرير المصروفات حسب الشهر'!AC1063</f>
        <v>0</v>
      </c>
      <c r="L2956" s="292">
        <f>IFERROR(VLOOKUP(B2956,'تقرير المصروفات حسب الشهر'!$C$1143:$AD$1254,27,FALSE),0)</f>
        <v>0</v>
      </c>
      <c r="M2956" s="292">
        <f>IFERROR(VLOOKUP(B2956,'تقرير المصروفات حسب الشهر'!$C$1270:$AD$1381,27,FALSE),0)</f>
        <v>0</v>
      </c>
      <c r="N2956" s="31" t="e">
        <f>#REF!</f>
        <v>#REF!</v>
      </c>
      <c r="O2956" s="37" t="e">
        <f t="shared" si="75"/>
        <v>#REF!</v>
      </c>
    </row>
    <row r="2957" spans="2:15" ht="17.399999999999999">
      <c r="B2957" s="42" t="s">
        <v>74</v>
      </c>
      <c r="C2957" s="39" t="e">
        <f>#REF!</f>
        <v>#REF!</v>
      </c>
      <c r="D2957" s="31" t="e">
        <f>#REF!</f>
        <v>#REF!</v>
      </c>
      <c r="E2957" s="31" t="e">
        <f>#REF!</f>
        <v>#REF!</v>
      </c>
      <c r="F2957" s="31"/>
      <c r="G2957" s="31"/>
      <c r="H2957" s="31" t="e">
        <f>#REF!</f>
        <v>#REF!</v>
      </c>
      <c r="I2957" s="31">
        <f>'تقرير المصروفات حسب الشهر'!AC810</f>
        <v>0</v>
      </c>
      <c r="J2957" s="31">
        <f>'تقرير المصروفات حسب الشهر'!AC937</f>
        <v>0</v>
      </c>
      <c r="K2957" s="31">
        <f>'تقرير المصروفات حسب الشهر'!AC1064</f>
        <v>0</v>
      </c>
      <c r="L2957" s="292">
        <f>IFERROR(VLOOKUP(B2957,'تقرير المصروفات حسب الشهر'!$C$1143:$AD$1254,27,FALSE),0)</f>
        <v>0</v>
      </c>
      <c r="M2957" s="292">
        <f>IFERROR(VLOOKUP(B2957,'تقرير المصروفات حسب الشهر'!$C$1270:$AD$1381,27,FALSE),0)</f>
        <v>0</v>
      </c>
      <c r="N2957" s="31" t="e">
        <f>#REF!</f>
        <v>#REF!</v>
      </c>
      <c r="O2957" s="37" t="e">
        <f t="shared" si="75"/>
        <v>#REF!</v>
      </c>
    </row>
    <row r="2958" spans="2:15" ht="17.399999999999999">
      <c r="B2958" s="42" t="s">
        <v>75</v>
      </c>
      <c r="C2958" s="39" t="e">
        <f>#REF!</f>
        <v>#REF!</v>
      </c>
      <c r="D2958" s="31" t="e">
        <f>#REF!</f>
        <v>#REF!</v>
      </c>
      <c r="E2958" s="31" t="e">
        <f>#REF!</f>
        <v>#REF!</v>
      </c>
      <c r="F2958" s="31"/>
      <c r="G2958" s="31"/>
      <c r="H2958" s="31" t="e">
        <f>#REF!</f>
        <v>#REF!</v>
      </c>
      <c r="I2958" s="31">
        <f>'تقرير المصروفات حسب الشهر'!AC811</f>
        <v>0</v>
      </c>
      <c r="J2958" s="31">
        <f>'تقرير المصروفات حسب الشهر'!AC938</f>
        <v>0</v>
      </c>
      <c r="K2958" s="31">
        <f>'تقرير المصروفات حسب الشهر'!AC1065</f>
        <v>0</v>
      </c>
      <c r="L2958" s="292">
        <f>IFERROR(VLOOKUP(B2958,'تقرير المصروفات حسب الشهر'!$C$1143:$AD$1254,27,FALSE),0)</f>
        <v>0</v>
      </c>
      <c r="M2958" s="292">
        <f>IFERROR(VLOOKUP(B2958,'تقرير المصروفات حسب الشهر'!$C$1270:$AD$1381,27,FALSE),0)</f>
        <v>0</v>
      </c>
      <c r="N2958" s="31" t="e">
        <f>#REF!</f>
        <v>#REF!</v>
      </c>
      <c r="O2958" s="37" t="e">
        <f t="shared" si="75"/>
        <v>#REF!</v>
      </c>
    </row>
    <row r="2959" spans="2:15" ht="17.399999999999999">
      <c r="B2959" s="42" t="s">
        <v>76</v>
      </c>
      <c r="C2959" s="39" t="e">
        <f>#REF!</f>
        <v>#REF!</v>
      </c>
      <c r="D2959" s="31" t="e">
        <f>#REF!</f>
        <v>#REF!</v>
      </c>
      <c r="E2959" s="31" t="e">
        <f>#REF!</f>
        <v>#REF!</v>
      </c>
      <c r="F2959" s="31"/>
      <c r="G2959" s="31"/>
      <c r="H2959" s="31" t="e">
        <f>#REF!</f>
        <v>#REF!</v>
      </c>
      <c r="I2959" s="31">
        <f>'تقرير المصروفات حسب الشهر'!AC812</f>
        <v>0</v>
      </c>
      <c r="J2959" s="31">
        <f>'تقرير المصروفات حسب الشهر'!AC939</f>
        <v>0</v>
      </c>
      <c r="K2959" s="31">
        <f>'تقرير المصروفات حسب الشهر'!AC1066</f>
        <v>0</v>
      </c>
      <c r="L2959" s="292">
        <f>IFERROR(VLOOKUP(B2959,'تقرير المصروفات حسب الشهر'!$C$1143:$AD$1254,27,FALSE),0)</f>
        <v>0</v>
      </c>
      <c r="M2959" s="292">
        <f>IFERROR(VLOOKUP(B2959,'تقرير المصروفات حسب الشهر'!$C$1270:$AD$1381,27,FALSE),0)</f>
        <v>0</v>
      </c>
      <c r="N2959" s="31" t="e">
        <f>#REF!</f>
        <v>#REF!</v>
      </c>
      <c r="O2959" s="37" t="e">
        <f t="shared" si="75"/>
        <v>#REF!</v>
      </c>
    </row>
    <row r="2960" spans="2:15" ht="17.399999999999999">
      <c r="B2960" s="42" t="s">
        <v>77</v>
      </c>
      <c r="C2960" s="39" t="e">
        <f>#REF!</f>
        <v>#REF!</v>
      </c>
      <c r="D2960" s="31" t="e">
        <f>#REF!</f>
        <v>#REF!</v>
      </c>
      <c r="E2960" s="31" t="e">
        <f>#REF!</f>
        <v>#REF!</v>
      </c>
      <c r="F2960" s="31"/>
      <c r="G2960" s="31"/>
      <c r="H2960" s="31" t="e">
        <f>#REF!</f>
        <v>#REF!</v>
      </c>
      <c r="I2960" s="31">
        <f>'تقرير المصروفات حسب الشهر'!AC813</f>
        <v>0</v>
      </c>
      <c r="J2960" s="31">
        <f>'تقرير المصروفات حسب الشهر'!AC940</f>
        <v>0</v>
      </c>
      <c r="K2960" s="31">
        <f>'تقرير المصروفات حسب الشهر'!AC1067</f>
        <v>0</v>
      </c>
      <c r="L2960" s="292">
        <f>IFERROR(VLOOKUP(B2960,'تقرير المصروفات حسب الشهر'!$C$1143:$AD$1254,27,FALSE),0)</f>
        <v>0</v>
      </c>
      <c r="M2960" s="292">
        <f>IFERROR(VLOOKUP(B2960,'تقرير المصروفات حسب الشهر'!$C$1270:$AD$1381,27,FALSE),0)</f>
        <v>0</v>
      </c>
      <c r="N2960" s="31" t="e">
        <f>#REF!</f>
        <v>#REF!</v>
      </c>
      <c r="O2960" s="37" t="e">
        <f t="shared" si="75"/>
        <v>#REF!</v>
      </c>
    </row>
    <row r="2961" spans="2:15" ht="17.399999999999999">
      <c r="B2961" s="42" t="s">
        <v>78</v>
      </c>
      <c r="C2961" s="39" t="e">
        <f>#REF!</f>
        <v>#REF!</v>
      </c>
      <c r="D2961" s="31" t="e">
        <f>#REF!</f>
        <v>#REF!</v>
      </c>
      <c r="E2961" s="31" t="e">
        <f>#REF!</f>
        <v>#REF!</v>
      </c>
      <c r="F2961" s="31"/>
      <c r="G2961" s="31"/>
      <c r="H2961" s="31" t="e">
        <f>#REF!</f>
        <v>#REF!</v>
      </c>
      <c r="I2961" s="31">
        <f>'تقرير المصروفات حسب الشهر'!AC814</f>
        <v>0</v>
      </c>
      <c r="J2961" s="31">
        <f>'تقرير المصروفات حسب الشهر'!AC941</f>
        <v>0</v>
      </c>
      <c r="K2961" s="31">
        <f>'تقرير المصروفات حسب الشهر'!AC1068</f>
        <v>0</v>
      </c>
      <c r="L2961" s="292">
        <f>IFERROR(VLOOKUP(B2961,'تقرير المصروفات حسب الشهر'!$C$1143:$AD$1254,27,FALSE),0)</f>
        <v>0</v>
      </c>
      <c r="M2961" s="292">
        <f>IFERROR(VLOOKUP(B2961,'تقرير المصروفات حسب الشهر'!$C$1270:$AD$1381,27,FALSE),0)</f>
        <v>0</v>
      </c>
      <c r="N2961" s="31" t="e">
        <f>#REF!</f>
        <v>#REF!</v>
      </c>
      <c r="O2961" s="37" t="e">
        <f t="shared" si="75"/>
        <v>#REF!</v>
      </c>
    </row>
    <row r="2962" spans="2:15" ht="17.399999999999999">
      <c r="B2962" s="42" t="s">
        <v>79</v>
      </c>
      <c r="C2962" s="39" t="e">
        <f>#REF!</f>
        <v>#REF!</v>
      </c>
      <c r="D2962" s="31" t="e">
        <f>#REF!</f>
        <v>#REF!</v>
      </c>
      <c r="E2962" s="31" t="e">
        <f>#REF!</f>
        <v>#REF!</v>
      </c>
      <c r="F2962" s="31"/>
      <c r="G2962" s="31"/>
      <c r="H2962" s="31" t="e">
        <f>#REF!</f>
        <v>#REF!</v>
      </c>
      <c r="I2962" s="31">
        <f>'تقرير المصروفات حسب الشهر'!AC815</f>
        <v>0</v>
      </c>
      <c r="J2962" s="31">
        <f>'تقرير المصروفات حسب الشهر'!AC942</f>
        <v>0</v>
      </c>
      <c r="K2962" s="31">
        <f>'تقرير المصروفات حسب الشهر'!AC1069</f>
        <v>0</v>
      </c>
      <c r="L2962" s="292">
        <f>IFERROR(VLOOKUP(B2962,'تقرير المصروفات حسب الشهر'!$C$1143:$AD$1254,27,FALSE),0)</f>
        <v>0</v>
      </c>
      <c r="M2962" s="292">
        <f>IFERROR(VLOOKUP(B2962,'تقرير المصروفات حسب الشهر'!$C$1270:$AD$1381,27,FALSE),0)</f>
        <v>0</v>
      </c>
      <c r="N2962" s="31" t="e">
        <f>#REF!</f>
        <v>#REF!</v>
      </c>
      <c r="O2962" s="37" t="e">
        <f t="shared" si="75"/>
        <v>#REF!</v>
      </c>
    </row>
    <row r="2963" spans="2:15" ht="17.399999999999999">
      <c r="B2963" s="42" t="s">
        <v>80</v>
      </c>
      <c r="C2963" s="39" t="e">
        <f>#REF!</f>
        <v>#REF!</v>
      </c>
      <c r="D2963" s="31" t="e">
        <f>#REF!</f>
        <v>#REF!</v>
      </c>
      <c r="E2963" s="31" t="e">
        <f>#REF!</f>
        <v>#REF!</v>
      </c>
      <c r="F2963" s="31"/>
      <c r="G2963" s="31"/>
      <c r="H2963" s="31" t="e">
        <f>#REF!</f>
        <v>#REF!</v>
      </c>
      <c r="I2963" s="31">
        <f>'تقرير المصروفات حسب الشهر'!AC816</f>
        <v>0</v>
      </c>
      <c r="J2963" s="31">
        <f>'تقرير المصروفات حسب الشهر'!AC943</f>
        <v>0</v>
      </c>
      <c r="K2963" s="31">
        <f>'تقرير المصروفات حسب الشهر'!AC1070</f>
        <v>0</v>
      </c>
      <c r="L2963" s="292">
        <f>IFERROR(VLOOKUP(B2963,'تقرير المصروفات حسب الشهر'!$C$1143:$AD$1254,27,FALSE),0)</f>
        <v>0</v>
      </c>
      <c r="M2963" s="292">
        <f>IFERROR(VLOOKUP(B2963,'تقرير المصروفات حسب الشهر'!$C$1270:$AD$1381,27,FALSE),0)</f>
        <v>0</v>
      </c>
      <c r="N2963" s="31" t="e">
        <f>#REF!</f>
        <v>#REF!</v>
      </c>
      <c r="O2963" s="37" t="e">
        <f t="shared" si="75"/>
        <v>#REF!</v>
      </c>
    </row>
    <row r="2964" spans="2:15" ht="17.399999999999999">
      <c r="B2964" s="42" t="s">
        <v>81</v>
      </c>
      <c r="C2964" s="39" t="e">
        <f>#REF!</f>
        <v>#REF!</v>
      </c>
      <c r="D2964" s="31" t="e">
        <f>#REF!</f>
        <v>#REF!</v>
      </c>
      <c r="E2964" s="31" t="e">
        <f>#REF!</f>
        <v>#REF!</v>
      </c>
      <c r="F2964" s="31"/>
      <c r="G2964" s="31"/>
      <c r="H2964" s="31" t="e">
        <f>#REF!</f>
        <v>#REF!</v>
      </c>
      <c r="I2964" s="31">
        <f>'تقرير المصروفات حسب الشهر'!AC817</f>
        <v>0</v>
      </c>
      <c r="J2964" s="31">
        <f>'تقرير المصروفات حسب الشهر'!AC944</f>
        <v>0</v>
      </c>
      <c r="K2964" s="31">
        <f>'تقرير المصروفات حسب الشهر'!AC1071</f>
        <v>0</v>
      </c>
      <c r="L2964" s="292">
        <f>IFERROR(VLOOKUP(B2964,'تقرير المصروفات حسب الشهر'!$C$1143:$AD$1254,27,FALSE),0)</f>
        <v>0</v>
      </c>
      <c r="M2964" s="292">
        <f>IFERROR(VLOOKUP(B2964,'تقرير المصروفات حسب الشهر'!$C$1270:$AD$1381,27,FALSE),0)</f>
        <v>0</v>
      </c>
      <c r="N2964" s="31" t="e">
        <f>#REF!</f>
        <v>#REF!</v>
      </c>
      <c r="O2964" s="37" t="e">
        <f t="shared" si="75"/>
        <v>#REF!</v>
      </c>
    </row>
    <row r="2965" spans="2:15" ht="17.399999999999999">
      <c r="B2965" s="42" t="s">
        <v>82</v>
      </c>
      <c r="C2965" s="39" t="e">
        <f>#REF!</f>
        <v>#REF!</v>
      </c>
      <c r="D2965" s="31" t="e">
        <f>#REF!</f>
        <v>#REF!</v>
      </c>
      <c r="E2965" s="31" t="e">
        <f>#REF!</f>
        <v>#REF!</v>
      </c>
      <c r="F2965" s="31"/>
      <c r="G2965" s="31"/>
      <c r="H2965" s="31" t="e">
        <f>#REF!</f>
        <v>#REF!</v>
      </c>
      <c r="I2965" s="31">
        <f>'تقرير المصروفات حسب الشهر'!AC818</f>
        <v>0</v>
      </c>
      <c r="J2965" s="31">
        <f>'تقرير المصروفات حسب الشهر'!AC945</f>
        <v>0</v>
      </c>
      <c r="K2965" s="31">
        <f>'تقرير المصروفات حسب الشهر'!AC1072</f>
        <v>0</v>
      </c>
      <c r="L2965" s="292">
        <f>IFERROR(VLOOKUP(B2965,'تقرير المصروفات حسب الشهر'!$C$1143:$AD$1254,27,FALSE),0)</f>
        <v>0</v>
      </c>
      <c r="M2965" s="292">
        <f>IFERROR(VLOOKUP(B2965,'تقرير المصروفات حسب الشهر'!$C$1270:$AD$1381,27,FALSE),0)</f>
        <v>0</v>
      </c>
      <c r="N2965" s="31" t="e">
        <f>#REF!</f>
        <v>#REF!</v>
      </c>
      <c r="O2965" s="37" t="e">
        <f t="shared" si="75"/>
        <v>#REF!</v>
      </c>
    </row>
    <row r="2966" spans="2:15" ht="17.399999999999999">
      <c r="B2966" s="42" t="s">
        <v>83</v>
      </c>
      <c r="C2966" s="39" t="e">
        <f>#REF!</f>
        <v>#REF!</v>
      </c>
      <c r="D2966" s="31" t="e">
        <f>#REF!</f>
        <v>#REF!</v>
      </c>
      <c r="E2966" s="31" t="e">
        <f>#REF!</f>
        <v>#REF!</v>
      </c>
      <c r="F2966" s="31"/>
      <c r="G2966" s="31"/>
      <c r="H2966" s="31" t="e">
        <f>#REF!</f>
        <v>#REF!</v>
      </c>
      <c r="I2966" s="31">
        <f>'تقرير المصروفات حسب الشهر'!AC819</f>
        <v>0</v>
      </c>
      <c r="J2966" s="31">
        <f>'تقرير المصروفات حسب الشهر'!AC946</f>
        <v>0</v>
      </c>
      <c r="K2966" s="31">
        <f>'تقرير المصروفات حسب الشهر'!AC1073</f>
        <v>0</v>
      </c>
      <c r="L2966" s="292">
        <f>IFERROR(VLOOKUP(B2966,'تقرير المصروفات حسب الشهر'!$C$1143:$AD$1254,27,FALSE),0)</f>
        <v>0</v>
      </c>
      <c r="M2966" s="292">
        <f>IFERROR(VLOOKUP(B2966,'تقرير المصروفات حسب الشهر'!$C$1270:$AD$1381,27,FALSE),0)</f>
        <v>0</v>
      </c>
      <c r="N2966" s="31" t="e">
        <f>#REF!</f>
        <v>#REF!</v>
      </c>
      <c r="O2966" s="37" t="e">
        <f t="shared" si="75"/>
        <v>#REF!</v>
      </c>
    </row>
    <row r="2967" spans="2:15" ht="17.399999999999999">
      <c r="B2967" s="42" t="s">
        <v>84</v>
      </c>
      <c r="C2967" s="39" t="e">
        <f>#REF!</f>
        <v>#REF!</v>
      </c>
      <c r="D2967" s="31" t="e">
        <f>#REF!</f>
        <v>#REF!</v>
      </c>
      <c r="E2967" s="31" t="e">
        <f>#REF!</f>
        <v>#REF!</v>
      </c>
      <c r="F2967" s="31"/>
      <c r="G2967" s="31"/>
      <c r="H2967" s="31" t="e">
        <f>#REF!</f>
        <v>#REF!</v>
      </c>
      <c r="I2967" s="31">
        <f>'تقرير المصروفات حسب الشهر'!AC820</f>
        <v>0</v>
      </c>
      <c r="J2967" s="31">
        <f>'تقرير المصروفات حسب الشهر'!AC947</f>
        <v>0</v>
      </c>
      <c r="K2967" s="31">
        <f>'تقرير المصروفات حسب الشهر'!AC1074</f>
        <v>0</v>
      </c>
      <c r="L2967" s="292">
        <f>IFERROR(VLOOKUP(B2967,'تقرير المصروفات حسب الشهر'!$C$1143:$AD$1254,27,FALSE),0)</f>
        <v>0</v>
      </c>
      <c r="M2967" s="292">
        <f>IFERROR(VLOOKUP(B2967,'تقرير المصروفات حسب الشهر'!$C$1270:$AD$1381,27,FALSE),0)</f>
        <v>0</v>
      </c>
      <c r="N2967" s="31" t="e">
        <f>#REF!</f>
        <v>#REF!</v>
      </c>
      <c r="O2967" s="37" t="e">
        <f t="shared" si="75"/>
        <v>#REF!</v>
      </c>
    </row>
    <row r="2968" spans="2:15" ht="17.399999999999999">
      <c r="B2968" s="42" t="s">
        <v>85</v>
      </c>
      <c r="C2968" s="39" t="e">
        <f>#REF!</f>
        <v>#REF!</v>
      </c>
      <c r="D2968" s="31" t="e">
        <f>#REF!</f>
        <v>#REF!</v>
      </c>
      <c r="E2968" s="31" t="e">
        <f>#REF!</f>
        <v>#REF!</v>
      </c>
      <c r="F2968" s="31"/>
      <c r="G2968" s="31"/>
      <c r="H2968" s="31" t="e">
        <f>#REF!</f>
        <v>#REF!</v>
      </c>
      <c r="I2968" s="31">
        <f>'تقرير المصروفات حسب الشهر'!AC821</f>
        <v>0</v>
      </c>
      <c r="J2968" s="31">
        <f>'تقرير المصروفات حسب الشهر'!AC948</f>
        <v>300</v>
      </c>
      <c r="K2968" s="31">
        <f>'تقرير المصروفات حسب الشهر'!AC1075</f>
        <v>200</v>
      </c>
      <c r="L2968" s="292">
        <f>IFERROR(VLOOKUP(B2968,'تقرير المصروفات حسب الشهر'!$C$1143:$AD$1254,27,FALSE),0)</f>
        <v>200</v>
      </c>
      <c r="M2968" s="292">
        <f>IFERROR(VLOOKUP(B2968,'تقرير المصروفات حسب الشهر'!$C$1270:$AD$1381,27,FALSE),0)</f>
        <v>1150</v>
      </c>
      <c r="N2968" s="31" t="e">
        <f>#REF!</f>
        <v>#REF!</v>
      </c>
      <c r="O2968" s="37" t="e">
        <f t="shared" si="75"/>
        <v>#REF!</v>
      </c>
    </row>
    <row r="2969" spans="2:15" ht="17.399999999999999">
      <c r="B2969" s="42" t="s">
        <v>86</v>
      </c>
      <c r="C2969" s="39" t="e">
        <f>#REF!</f>
        <v>#REF!</v>
      </c>
      <c r="D2969" s="31" t="e">
        <f>#REF!</f>
        <v>#REF!</v>
      </c>
      <c r="E2969" s="31" t="e">
        <f>#REF!</f>
        <v>#REF!</v>
      </c>
      <c r="F2969" s="31"/>
      <c r="G2969" s="31"/>
      <c r="H2969" s="31" t="e">
        <f>#REF!</f>
        <v>#REF!</v>
      </c>
      <c r="I2969" s="31">
        <f>'تقرير المصروفات حسب الشهر'!AC822</f>
        <v>0</v>
      </c>
      <c r="J2969" s="31">
        <f>'تقرير المصروفات حسب الشهر'!AC949</f>
        <v>0</v>
      </c>
      <c r="K2969" s="31">
        <f>'تقرير المصروفات حسب الشهر'!AC1076</f>
        <v>0</v>
      </c>
      <c r="L2969" s="292">
        <f>IFERROR(VLOOKUP(B2969,'تقرير المصروفات حسب الشهر'!$C$1143:$AD$1254,27,FALSE),0)</f>
        <v>0</v>
      </c>
      <c r="M2969" s="292">
        <f>IFERROR(VLOOKUP(B2969,'تقرير المصروفات حسب الشهر'!$C$1270:$AD$1381,27,FALSE),0)</f>
        <v>0</v>
      </c>
      <c r="N2969" s="31" t="e">
        <f>#REF!</f>
        <v>#REF!</v>
      </c>
      <c r="O2969" s="37" t="e">
        <f t="shared" si="75"/>
        <v>#REF!</v>
      </c>
    </row>
    <row r="2970" spans="2:15" ht="17.399999999999999">
      <c r="B2970" s="42" t="s">
        <v>87</v>
      </c>
      <c r="C2970" s="39" t="e">
        <f>#REF!</f>
        <v>#REF!</v>
      </c>
      <c r="D2970" s="31" t="e">
        <f>#REF!</f>
        <v>#REF!</v>
      </c>
      <c r="E2970" s="31" t="e">
        <f>#REF!</f>
        <v>#REF!</v>
      </c>
      <c r="F2970" s="31"/>
      <c r="G2970" s="31"/>
      <c r="H2970" s="31" t="e">
        <f>#REF!</f>
        <v>#REF!</v>
      </c>
      <c r="I2970" s="31">
        <f>'تقرير المصروفات حسب الشهر'!AC823</f>
        <v>0</v>
      </c>
      <c r="J2970" s="31">
        <f>'تقرير المصروفات حسب الشهر'!AC950</f>
        <v>0</v>
      </c>
      <c r="K2970" s="31">
        <f>'تقرير المصروفات حسب الشهر'!AC1077</f>
        <v>0</v>
      </c>
      <c r="L2970" s="292">
        <f>IFERROR(VLOOKUP(B2970,'تقرير المصروفات حسب الشهر'!$C$1143:$AD$1254,27,FALSE),0)</f>
        <v>0</v>
      </c>
      <c r="M2970" s="292">
        <f>IFERROR(VLOOKUP(B2970,'تقرير المصروفات حسب الشهر'!$C$1270:$AD$1381,27,FALSE),0)</f>
        <v>0</v>
      </c>
      <c r="N2970" s="31" t="e">
        <f>#REF!</f>
        <v>#REF!</v>
      </c>
      <c r="O2970" s="37" t="e">
        <f t="shared" si="75"/>
        <v>#REF!</v>
      </c>
    </row>
    <row r="2971" spans="2:15" ht="17.399999999999999">
      <c r="B2971" s="42" t="s">
        <v>88</v>
      </c>
      <c r="C2971" s="39" t="e">
        <f>#REF!</f>
        <v>#REF!</v>
      </c>
      <c r="D2971" s="31" t="e">
        <f>#REF!</f>
        <v>#REF!</v>
      </c>
      <c r="E2971" s="31" t="e">
        <f>#REF!</f>
        <v>#REF!</v>
      </c>
      <c r="F2971" s="31"/>
      <c r="G2971" s="31"/>
      <c r="H2971" s="31" t="e">
        <f>#REF!</f>
        <v>#REF!</v>
      </c>
      <c r="I2971" s="31">
        <f>'تقرير المصروفات حسب الشهر'!AC824</f>
        <v>0</v>
      </c>
      <c r="J2971" s="31">
        <f>'تقرير المصروفات حسب الشهر'!AC951</f>
        <v>0</v>
      </c>
      <c r="K2971" s="31">
        <f>'تقرير المصروفات حسب الشهر'!AC1078</f>
        <v>0</v>
      </c>
      <c r="L2971" s="292">
        <f>IFERROR(VLOOKUP(B2971,'تقرير المصروفات حسب الشهر'!$C$1143:$AD$1254,27,FALSE),0)</f>
        <v>0</v>
      </c>
      <c r="M2971" s="292">
        <f>IFERROR(VLOOKUP(B2971,'تقرير المصروفات حسب الشهر'!$C$1270:$AD$1381,27,FALSE),0)</f>
        <v>0</v>
      </c>
      <c r="N2971" s="31" t="e">
        <f>#REF!</f>
        <v>#REF!</v>
      </c>
      <c r="O2971" s="37" t="e">
        <f t="shared" si="75"/>
        <v>#REF!</v>
      </c>
    </row>
    <row r="2972" spans="2:15" ht="17.399999999999999">
      <c r="B2972" s="42" t="s">
        <v>89</v>
      </c>
      <c r="C2972" s="39" t="e">
        <f>#REF!</f>
        <v>#REF!</v>
      </c>
      <c r="D2972" s="31" t="e">
        <f>#REF!</f>
        <v>#REF!</v>
      </c>
      <c r="E2972" s="31" t="e">
        <f>#REF!</f>
        <v>#REF!</v>
      </c>
      <c r="F2972" s="31"/>
      <c r="G2972" s="31"/>
      <c r="H2972" s="31" t="e">
        <f>#REF!</f>
        <v>#REF!</v>
      </c>
      <c r="I2972" s="31">
        <f>'تقرير المصروفات حسب الشهر'!AC825</f>
        <v>0</v>
      </c>
      <c r="J2972" s="31">
        <f>'تقرير المصروفات حسب الشهر'!AC952</f>
        <v>0</v>
      </c>
      <c r="K2972" s="31">
        <f>'تقرير المصروفات حسب الشهر'!AC1079</f>
        <v>0</v>
      </c>
      <c r="L2972" s="292">
        <f>IFERROR(VLOOKUP(B2972,'تقرير المصروفات حسب الشهر'!$C$1143:$AD$1254,27,FALSE),0)</f>
        <v>0</v>
      </c>
      <c r="M2972" s="292">
        <f>IFERROR(VLOOKUP(B2972,'تقرير المصروفات حسب الشهر'!$C$1270:$AD$1381,27,FALSE),0)</f>
        <v>0</v>
      </c>
      <c r="N2972" s="31" t="e">
        <f>#REF!</f>
        <v>#REF!</v>
      </c>
      <c r="O2972" s="37" t="e">
        <f t="shared" si="75"/>
        <v>#REF!</v>
      </c>
    </row>
    <row r="2973" spans="2:15" ht="17.399999999999999">
      <c r="B2973" s="42" t="s">
        <v>33</v>
      </c>
      <c r="C2973" s="39" t="e">
        <f>#REF!</f>
        <v>#REF!</v>
      </c>
      <c r="D2973" s="31" t="e">
        <f>#REF!</f>
        <v>#REF!</v>
      </c>
      <c r="E2973" s="31" t="e">
        <f>#REF!</f>
        <v>#REF!</v>
      </c>
      <c r="F2973" s="31"/>
      <c r="G2973" s="31"/>
      <c r="H2973" s="31" t="e">
        <f>#REF!</f>
        <v>#REF!</v>
      </c>
      <c r="I2973" s="31">
        <f>'تقرير المصروفات حسب الشهر'!AC826</f>
        <v>979</v>
      </c>
      <c r="J2973" s="31">
        <f>'تقرير المصروفات حسب الشهر'!AC953</f>
        <v>0</v>
      </c>
      <c r="K2973" s="31">
        <f>'تقرير المصروفات حسب الشهر'!AC1080</f>
        <v>0</v>
      </c>
      <c r="L2973" s="292">
        <f>IFERROR(VLOOKUP(B2973,'تقرير المصروفات حسب الشهر'!$C$1143:$AD$1254,27,FALSE),0)</f>
        <v>1075.76</v>
      </c>
      <c r="M2973" s="292">
        <f>IFERROR(VLOOKUP(B2973,'تقرير المصروفات حسب الشهر'!$C$1270:$AD$1381,27,FALSE),0)</f>
        <v>2574.8200000000002</v>
      </c>
      <c r="N2973" s="31" t="e">
        <f>#REF!</f>
        <v>#REF!</v>
      </c>
      <c r="O2973" s="37" t="e">
        <f t="shared" si="75"/>
        <v>#REF!</v>
      </c>
    </row>
    <row r="2974" spans="2:15" ht="17.399999999999999">
      <c r="B2974" s="42" t="s">
        <v>90</v>
      </c>
      <c r="C2974" s="39" t="e">
        <f>#REF!</f>
        <v>#REF!</v>
      </c>
      <c r="D2974" s="31" t="e">
        <f>#REF!</f>
        <v>#REF!</v>
      </c>
      <c r="E2974" s="31" t="e">
        <f>#REF!</f>
        <v>#REF!</v>
      </c>
      <c r="F2974" s="31"/>
      <c r="G2974" s="31"/>
      <c r="H2974" s="31" t="e">
        <f>#REF!</f>
        <v>#REF!</v>
      </c>
      <c r="I2974" s="31">
        <f>'تقرير المصروفات حسب الشهر'!AC827</f>
        <v>0</v>
      </c>
      <c r="J2974" s="31">
        <f>'تقرير المصروفات حسب الشهر'!AC954</f>
        <v>0</v>
      </c>
      <c r="K2974" s="31">
        <f>'تقرير المصروفات حسب الشهر'!AC1081</f>
        <v>0</v>
      </c>
      <c r="L2974" s="292">
        <f>IFERROR(VLOOKUP(B2974,'تقرير المصروفات حسب الشهر'!$C$1143:$AD$1254,27,FALSE),0)</f>
        <v>0</v>
      </c>
      <c r="M2974" s="292">
        <f>IFERROR(VLOOKUP(B2974,'تقرير المصروفات حسب الشهر'!$C$1270:$AD$1381,27,FALSE),0)</f>
        <v>0</v>
      </c>
      <c r="N2974" s="31" t="e">
        <f>#REF!</f>
        <v>#REF!</v>
      </c>
      <c r="O2974" s="37" t="e">
        <f t="shared" si="75"/>
        <v>#REF!</v>
      </c>
    </row>
    <row r="2975" spans="2:15" ht="17.399999999999999">
      <c r="B2975" s="42" t="s">
        <v>91</v>
      </c>
      <c r="C2975" s="39" t="e">
        <f>#REF!</f>
        <v>#REF!</v>
      </c>
      <c r="D2975" s="31" t="e">
        <f>#REF!</f>
        <v>#REF!</v>
      </c>
      <c r="E2975" s="31" t="e">
        <f>#REF!</f>
        <v>#REF!</v>
      </c>
      <c r="F2975" s="31"/>
      <c r="G2975" s="31"/>
      <c r="H2975" s="31" t="e">
        <f>#REF!</f>
        <v>#REF!</v>
      </c>
      <c r="I2975" s="31">
        <f>'تقرير المصروفات حسب الشهر'!AC828</f>
        <v>0</v>
      </c>
      <c r="J2975" s="31">
        <f>'تقرير المصروفات حسب الشهر'!AC955</f>
        <v>0</v>
      </c>
      <c r="K2975" s="31">
        <f>'تقرير المصروفات حسب الشهر'!AC1082</f>
        <v>0</v>
      </c>
      <c r="L2975" s="292">
        <f>IFERROR(VLOOKUP(B2975,'تقرير المصروفات حسب الشهر'!$C$1143:$AD$1254,27,FALSE),0)</f>
        <v>0</v>
      </c>
      <c r="M2975" s="292">
        <f>IFERROR(VLOOKUP(B2975,'تقرير المصروفات حسب الشهر'!$C$1270:$AD$1381,27,FALSE),0)</f>
        <v>0</v>
      </c>
      <c r="N2975" s="31" t="e">
        <f>#REF!</f>
        <v>#REF!</v>
      </c>
      <c r="O2975" s="37" t="e">
        <f t="shared" ref="O2975:O3008" si="76">SUM(C2975:N2975)</f>
        <v>#REF!</v>
      </c>
    </row>
    <row r="2976" spans="2:15" ht="17.399999999999999">
      <c r="B2976" s="42" t="s">
        <v>92</v>
      </c>
      <c r="C2976" s="39" t="e">
        <f>#REF!</f>
        <v>#REF!</v>
      </c>
      <c r="D2976" s="31" t="e">
        <f>#REF!</f>
        <v>#REF!</v>
      </c>
      <c r="E2976" s="31" t="e">
        <f>#REF!</f>
        <v>#REF!</v>
      </c>
      <c r="F2976" s="31"/>
      <c r="G2976" s="31"/>
      <c r="H2976" s="31" t="e">
        <f>#REF!</f>
        <v>#REF!</v>
      </c>
      <c r="I2976" s="31">
        <f>'تقرير المصروفات حسب الشهر'!AC829</f>
        <v>0</v>
      </c>
      <c r="J2976" s="31">
        <f>'تقرير المصروفات حسب الشهر'!AC956</f>
        <v>0</v>
      </c>
      <c r="K2976" s="31">
        <f>'تقرير المصروفات حسب الشهر'!AC1083</f>
        <v>0</v>
      </c>
      <c r="L2976" s="292">
        <f>IFERROR(VLOOKUP(B2976,'تقرير المصروفات حسب الشهر'!$C$1143:$AD$1254,27,FALSE),0)</f>
        <v>0</v>
      </c>
      <c r="M2976" s="292">
        <f>IFERROR(VLOOKUP(B2976,'تقرير المصروفات حسب الشهر'!$C$1270:$AD$1381,27,FALSE),0)</f>
        <v>0</v>
      </c>
      <c r="N2976" s="31" t="e">
        <f>#REF!</f>
        <v>#REF!</v>
      </c>
      <c r="O2976" s="37" t="e">
        <f t="shared" si="76"/>
        <v>#REF!</v>
      </c>
    </row>
    <row r="2977" spans="2:15" ht="17.399999999999999">
      <c r="B2977" s="42" t="s">
        <v>93</v>
      </c>
      <c r="C2977" s="39" t="e">
        <f>#REF!</f>
        <v>#REF!</v>
      </c>
      <c r="D2977" s="31" t="e">
        <f>#REF!</f>
        <v>#REF!</v>
      </c>
      <c r="E2977" s="31" t="e">
        <f>#REF!</f>
        <v>#REF!</v>
      </c>
      <c r="F2977" s="31"/>
      <c r="G2977" s="31"/>
      <c r="H2977" s="31" t="e">
        <f>#REF!</f>
        <v>#REF!</v>
      </c>
      <c r="I2977" s="31">
        <f>'تقرير المصروفات حسب الشهر'!AC830</f>
        <v>0</v>
      </c>
      <c r="J2977" s="31">
        <f>'تقرير المصروفات حسب الشهر'!AC957</f>
        <v>0</v>
      </c>
      <c r="K2977" s="31">
        <f>'تقرير المصروفات حسب الشهر'!AC1084</f>
        <v>0</v>
      </c>
      <c r="L2977" s="292">
        <f>IFERROR(VLOOKUP(B2977,'تقرير المصروفات حسب الشهر'!$C$1143:$AD$1254,27,FALSE),0)</f>
        <v>0</v>
      </c>
      <c r="M2977" s="292">
        <f>IFERROR(VLOOKUP(B2977,'تقرير المصروفات حسب الشهر'!$C$1270:$AD$1381,27,FALSE),0)</f>
        <v>0</v>
      </c>
      <c r="N2977" s="31" t="e">
        <f>#REF!</f>
        <v>#REF!</v>
      </c>
      <c r="O2977" s="37" t="e">
        <f t="shared" si="76"/>
        <v>#REF!</v>
      </c>
    </row>
    <row r="2978" spans="2:15" ht="17.399999999999999">
      <c r="B2978" s="42" t="s">
        <v>94</v>
      </c>
      <c r="C2978" s="39" t="e">
        <f>#REF!</f>
        <v>#REF!</v>
      </c>
      <c r="D2978" s="31" t="e">
        <f>#REF!</f>
        <v>#REF!</v>
      </c>
      <c r="E2978" s="31" t="e">
        <f>#REF!</f>
        <v>#REF!</v>
      </c>
      <c r="F2978" s="31"/>
      <c r="G2978" s="31"/>
      <c r="H2978" s="31" t="e">
        <f>#REF!</f>
        <v>#REF!</v>
      </c>
      <c r="I2978" s="31">
        <f>'تقرير المصروفات حسب الشهر'!AC831</f>
        <v>0</v>
      </c>
      <c r="J2978" s="31">
        <f>'تقرير المصروفات حسب الشهر'!AC958</f>
        <v>0</v>
      </c>
      <c r="K2978" s="31">
        <f>'تقرير المصروفات حسب الشهر'!AC1085</f>
        <v>0</v>
      </c>
      <c r="L2978" s="292">
        <f>IFERROR(VLOOKUP(B2978,'تقرير المصروفات حسب الشهر'!$C$1143:$AD$1254,27,FALSE),0)</f>
        <v>0</v>
      </c>
      <c r="M2978" s="292">
        <f>IFERROR(VLOOKUP(B2978,'تقرير المصروفات حسب الشهر'!$C$1270:$AD$1381,27,FALSE),0)</f>
        <v>0</v>
      </c>
      <c r="N2978" s="31" t="e">
        <f>#REF!</f>
        <v>#REF!</v>
      </c>
      <c r="O2978" s="37" t="e">
        <f t="shared" si="76"/>
        <v>#REF!</v>
      </c>
    </row>
    <row r="2979" spans="2:15" ht="17.399999999999999">
      <c r="B2979" s="42" t="s">
        <v>95</v>
      </c>
      <c r="C2979" s="39" t="e">
        <f>#REF!</f>
        <v>#REF!</v>
      </c>
      <c r="D2979" s="31" t="e">
        <f>#REF!</f>
        <v>#REF!</v>
      </c>
      <c r="E2979" s="31" t="e">
        <f>#REF!</f>
        <v>#REF!</v>
      </c>
      <c r="F2979" s="31"/>
      <c r="G2979" s="31"/>
      <c r="H2979" s="31" t="e">
        <f>#REF!</f>
        <v>#REF!</v>
      </c>
      <c r="I2979" s="31">
        <f>'تقرير المصروفات حسب الشهر'!AC832</f>
        <v>0</v>
      </c>
      <c r="J2979" s="31">
        <f>'تقرير المصروفات حسب الشهر'!AC959</f>
        <v>0</v>
      </c>
      <c r="K2979" s="31">
        <f>'تقرير المصروفات حسب الشهر'!AC1086</f>
        <v>0</v>
      </c>
      <c r="L2979" s="292">
        <f>IFERROR(VLOOKUP(B2979,'تقرير المصروفات حسب الشهر'!$C$1143:$AD$1254,27,FALSE),0)</f>
        <v>0</v>
      </c>
      <c r="M2979" s="292">
        <f>IFERROR(VLOOKUP(B2979,'تقرير المصروفات حسب الشهر'!$C$1270:$AD$1381,27,FALSE),0)</f>
        <v>0</v>
      </c>
      <c r="N2979" s="31" t="e">
        <f>#REF!</f>
        <v>#REF!</v>
      </c>
      <c r="O2979" s="37" t="e">
        <f t="shared" si="76"/>
        <v>#REF!</v>
      </c>
    </row>
    <row r="2980" spans="2:15" ht="17.399999999999999">
      <c r="B2980" s="42" t="s">
        <v>96</v>
      </c>
      <c r="C2980" s="39" t="e">
        <f>#REF!</f>
        <v>#REF!</v>
      </c>
      <c r="D2980" s="31" t="e">
        <f>#REF!</f>
        <v>#REF!</v>
      </c>
      <c r="E2980" s="31" t="e">
        <f>#REF!</f>
        <v>#REF!</v>
      </c>
      <c r="F2980" s="31"/>
      <c r="G2980" s="31"/>
      <c r="H2980" s="31" t="e">
        <f>#REF!</f>
        <v>#REF!</v>
      </c>
      <c r="I2980" s="31">
        <f>'تقرير المصروفات حسب الشهر'!AC833</f>
        <v>668</v>
      </c>
      <c r="J2980" s="31">
        <f>'تقرير المصروفات حسب الشهر'!AC960</f>
        <v>0</v>
      </c>
      <c r="K2980" s="31">
        <f>'تقرير المصروفات حسب الشهر'!AC1087</f>
        <v>0</v>
      </c>
      <c r="L2980" s="292">
        <f>IFERROR(VLOOKUP(B2980,'تقرير المصروفات حسب الشهر'!$C$1143:$AD$1254,27,FALSE),0)</f>
        <v>0</v>
      </c>
      <c r="M2980" s="292">
        <f>IFERROR(VLOOKUP(B2980,'تقرير المصروفات حسب الشهر'!$C$1270:$AD$1381,27,FALSE),0)</f>
        <v>0</v>
      </c>
      <c r="N2980" s="31" t="e">
        <f>#REF!</f>
        <v>#REF!</v>
      </c>
      <c r="O2980" s="37" t="e">
        <f t="shared" si="76"/>
        <v>#REF!</v>
      </c>
    </row>
    <row r="2981" spans="2:15" ht="17.399999999999999">
      <c r="B2981" s="42" t="s">
        <v>97</v>
      </c>
      <c r="C2981" s="39" t="e">
        <f>#REF!</f>
        <v>#REF!</v>
      </c>
      <c r="D2981" s="31" t="e">
        <f>#REF!</f>
        <v>#REF!</v>
      </c>
      <c r="E2981" s="31" t="e">
        <f>#REF!</f>
        <v>#REF!</v>
      </c>
      <c r="F2981" s="31"/>
      <c r="G2981" s="31"/>
      <c r="H2981" s="31" t="e">
        <f>#REF!</f>
        <v>#REF!</v>
      </c>
      <c r="I2981" s="31">
        <f>'تقرير المصروفات حسب الشهر'!AC834</f>
        <v>0</v>
      </c>
      <c r="J2981" s="31">
        <f>'تقرير المصروفات حسب الشهر'!AC961</f>
        <v>380</v>
      </c>
      <c r="K2981" s="31">
        <f>'تقرير المصروفات حسب الشهر'!AC1088</f>
        <v>609</v>
      </c>
      <c r="L2981" s="292">
        <f>IFERROR(VLOOKUP(B2981,'تقرير المصروفات حسب الشهر'!$C$1143:$AD$1254,27,FALSE),0)</f>
        <v>797</v>
      </c>
      <c r="M2981" s="292">
        <f>IFERROR(VLOOKUP(B2981,'تقرير المصروفات حسب الشهر'!$C$1270:$AD$1381,27,FALSE),0)</f>
        <v>400</v>
      </c>
      <c r="N2981" s="31" t="e">
        <f>#REF!</f>
        <v>#REF!</v>
      </c>
      <c r="O2981" s="37" t="e">
        <f t="shared" si="76"/>
        <v>#REF!</v>
      </c>
    </row>
    <row r="2982" spans="2:15" ht="17.399999999999999">
      <c r="B2982" s="42" t="s">
        <v>192</v>
      </c>
      <c r="C2982" s="39" t="e">
        <f>#REF!</f>
        <v>#REF!</v>
      </c>
      <c r="D2982" s="31" t="e">
        <f>#REF!</f>
        <v>#REF!</v>
      </c>
      <c r="E2982" s="31" t="e">
        <f>#REF!</f>
        <v>#REF!</v>
      </c>
      <c r="F2982" s="31"/>
      <c r="G2982" s="31"/>
      <c r="H2982" s="31" t="e">
        <f>#REF!</f>
        <v>#REF!</v>
      </c>
      <c r="I2982" s="31">
        <f>'تقرير المصروفات حسب الشهر'!AC835</f>
        <v>0</v>
      </c>
      <c r="J2982" s="31">
        <f>'تقرير المصروفات حسب الشهر'!AC962</f>
        <v>0</v>
      </c>
      <c r="K2982" s="31">
        <f>'تقرير المصروفات حسب الشهر'!AC1089</f>
        <v>2130</v>
      </c>
      <c r="L2982" s="292">
        <f>IFERROR(VLOOKUP(B2982,'تقرير المصروفات حسب الشهر'!$C$1143:$AD$1254,27,FALSE),0)</f>
        <v>1065</v>
      </c>
      <c r="M2982" s="292">
        <f>IFERROR(VLOOKUP(B2982,'تقرير المصروفات حسب الشهر'!$C$1270:$AD$1381,27,FALSE),0)</f>
        <v>1065</v>
      </c>
      <c r="N2982" s="31" t="e">
        <f>#REF!</f>
        <v>#REF!</v>
      </c>
      <c r="O2982" s="37" t="e">
        <f t="shared" si="76"/>
        <v>#REF!</v>
      </c>
    </row>
    <row r="2983" spans="2:15" ht="17.399999999999999">
      <c r="B2983" s="42" t="s">
        <v>98</v>
      </c>
      <c r="C2983" s="39" t="e">
        <f>#REF!</f>
        <v>#REF!</v>
      </c>
      <c r="D2983" s="31" t="e">
        <f>#REF!</f>
        <v>#REF!</v>
      </c>
      <c r="E2983" s="31" t="e">
        <f>#REF!</f>
        <v>#REF!</v>
      </c>
      <c r="F2983" s="31"/>
      <c r="G2983" s="31"/>
      <c r="H2983" s="31" t="e">
        <f>#REF!</f>
        <v>#REF!</v>
      </c>
      <c r="I2983" s="31">
        <f>'تقرير المصروفات حسب الشهر'!AC836</f>
        <v>0</v>
      </c>
      <c r="J2983" s="31">
        <f>'تقرير المصروفات حسب الشهر'!AC963</f>
        <v>0</v>
      </c>
      <c r="K2983" s="31">
        <f>'تقرير المصروفات حسب الشهر'!AC1090</f>
        <v>0</v>
      </c>
      <c r="L2983" s="292">
        <f>IFERROR(VLOOKUP(B2983,'تقرير المصروفات حسب الشهر'!$C$1143:$AD$1254,27,FALSE),0)</f>
        <v>0</v>
      </c>
      <c r="M2983" s="292">
        <f>IFERROR(VLOOKUP(B2983,'تقرير المصروفات حسب الشهر'!$C$1270:$AD$1381,27,FALSE),0)</f>
        <v>0</v>
      </c>
      <c r="N2983" s="31" t="e">
        <f>#REF!</f>
        <v>#REF!</v>
      </c>
      <c r="O2983" s="37" t="e">
        <f t="shared" si="76"/>
        <v>#REF!</v>
      </c>
    </row>
    <row r="2984" spans="2:15" ht="17.399999999999999">
      <c r="B2984" s="42" t="s">
        <v>99</v>
      </c>
      <c r="C2984" s="39" t="e">
        <f>#REF!</f>
        <v>#REF!</v>
      </c>
      <c r="D2984" s="31" t="e">
        <f>#REF!</f>
        <v>#REF!</v>
      </c>
      <c r="E2984" s="31" t="e">
        <f>#REF!</f>
        <v>#REF!</v>
      </c>
      <c r="F2984" s="31"/>
      <c r="G2984" s="31"/>
      <c r="H2984" s="31" t="e">
        <f>#REF!</f>
        <v>#REF!</v>
      </c>
      <c r="I2984" s="31">
        <f>'تقرير المصروفات حسب الشهر'!AC837</f>
        <v>0</v>
      </c>
      <c r="J2984" s="31">
        <f>'تقرير المصروفات حسب الشهر'!AC964</f>
        <v>0</v>
      </c>
      <c r="K2984" s="31">
        <f>'تقرير المصروفات حسب الشهر'!AC1091</f>
        <v>0</v>
      </c>
      <c r="L2984" s="292">
        <f>IFERROR(VLOOKUP(B2984,'تقرير المصروفات حسب الشهر'!$C$1143:$AD$1254,27,FALSE),0)</f>
        <v>0</v>
      </c>
      <c r="M2984" s="292">
        <f>IFERROR(VLOOKUP(B2984,'تقرير المصروفات حسب الشهر'!$C$1270:$AD$1381,27,FALSE),0)</f>
        <v>0</v>
      </c>
      <c r="N2984" s="31" t="e">
        <f>#REF!</f>
        <v>#REF!</v>
      </c>
      <c r="O2984" s="37" t="e">
        <f t="shared" si="76"/>
        <v>#REF!</v>
      </c>
    </row>
    <row r="2985" spans="2:15" ht="17.399999999999999">
      <c r="B2985" s="42" t="s">
        <v>100</v>
      </c>
      <c r="C2985" s="39" t="e">
        <f>#REF!</f>
        <v>#REF!</v>
      </c>
      <c r="D2985" s="31" t="e">
        <f>#REF!</f>
        <v>#REF!</v>
      </c>
      <c r="E2985" s="31" t="e">
        <f>#REF!</f>
        <v>#REF!</v>
      </c>
      <c r="F2985" s="31"/>
      <c r="G2985" s="31"/>
      <c r="H2985" s="31" t="e">
        <f>#REF!</f>
        <v>#REF!</v>
      </c>
      <c r="I2985" s="31">
        <f>'تقرير المصروفات حسب الشهر'!AC838</f>
        <v>0</v>
      </c>
      <c r="J2985" s="31">
        <f>'تقرير المصروفات حسب الشهر'!AC965</f>
        <v>0</v>
      </c>
      <c r="K2985" s="31">
        <f>'تقرير المصروفات حسب الشهر'!AC1092</f>
        <v>0</v>
      </c>
      <c r="L2985" s="292">
        <f>IFERROR(VLOOKUP(B2985,'تقرير المصروفات حسب الشهر'!$C$1143:$AD$1254,27,FALSE),0)</f>
        <v>0</v>
      </c>
      <c r="M2985" s="292">
        <f>IFERROR(VLOOKUP(B2985,'تقرير المصروفات حسب الشهر'!$C$1270:$AD$1381,27,FALSE),0)</f>
        <v>0</v>
      </c>
      <c r="N2985" s="31" t="e">
        <f>#REF!</f>
        <v>#REF!</v>
      </c>
      <c r="O2985" s="37" t="e">
        <f t="shared" si="76"/>
        <v>#REF!</v>
      </c>
    </row>
    <row r="2986" spans="2:15" ht="17.399999999999999">
      <c r="B2986" s="42" t="s">
        <v>101</v>
      </c>
      <c r="C2986" s="39" t="e">
        <f>#REF!</f>
        <v>#REF!</v>
      </c>
      <c r="D2986" s="31" t="e">
        <f>#REF!</f>
        <v>#REF!</v>
      </c>
      <c r="E2986" s="31" t="e">
        <f>#REF!</f>
        <v>#REF!</v>
      </c>
      <c r="F2986" s="31"/>
      <c r="G2986" s="31"/>
      <c r="H2986" s="31" t="e">
        <f>#REF!</f>
        <v>#REF!</v>
      </c>
      <c r="I2986" s="31">
        <f>'تقرير المصروفات حسب الشهر'!AC839</f>
        <v>0</v>
      </c>
      <c r="J2986" s="31">
        <f>'تقرير المصروفات حسب الشهر'!AC966</f>
        <v>0</v>
      </c>
      <c r="K2986" s="31">
        <f>'تقرير المصروفات حسب الشهر'!AC1093</f>
        <v>0</v>
      </c>
      <c r="L2986" s="292">
        <f>IFERROR(VLOOKUP(B2986,'تقرير المصروفات حسب الشهر'!$C$1143:$AD$1254,27,FALSE),0)</f>
        <v>0</v>
      </c>
      <c r="M2986" s="292">
        <f>IFERROR(VLOOKUP(B2986,'تقرير المصروفات حسب الشهر'!$C$1270:$AD$1381,27,FALSE),0)</f>
        <v>0</v>
      </c>
      <c r="N2986" s="31" t="e">
        <f>#REF!</f>
        <v>#REF!</v>
      </c>
      <c r="O2986" s="37" t="e">
        <f t="shared" si="76"/>
        <v>#REF!</v>
      </c>
    </row>
    <row r="2987" spans="2:15" ht="17.399999999999999">
      <c r="B2987" s="42" t="s">
        <v>102</v>
      </c>
      <c r="C2987" s="39" t="e">
        <f>#REF!</f>
        <v>#REF!</v>
      </c>
      <c r="D2987" s="31" t="e">
        <f>#REF!</f>
        <v>#REF!</v>
      </c>
      <c r="E2987" s="31" t="e">
        <f>#REF!</f>
        <v>#REF!</v>
      </c>
      <c r="F2987" s="31"/>
      <c r="G2987" s="31"/>
      <c r="H2987" s="31" t="e">
        <f>#REF!</f>
        <v>#REF!</v>
      </c>
      <c r="I2987" s="31">
        <f>'تقرير المصروفات حسب الشهر'!AC840</f>
        <v>399.77</v>
      </c>
      <c r="J2987" s="31">
        <f>'تقرير المصروفات حسب الشهر'!AC967</f>
        <v>434.35</v>
      </c>
      <c r="K2987" s="31">
        <f>'تقرير المصروفات حسب الشهر'!AC1094</f>
        <v>434.35</v>
      </c>
      <c r="L2987" s="292">
        <f>IFERROR(VLOOKUP(B2987,'تقرير المصروفات حسب الشهر'!$C$1143:$AD$1254,27,FALSE),0)</f>
        <v>434.35</v>
      </c>
      <c r="M2987" s="292">
        <f>IFERROR(VLOOKUP(B2987,'تقرير المصروفات حسب الشهر'!$C$1270:$AD$1381,27,FALSE),0)</f>
        <v>434.26</v>
      </c>
      <c r="N2987" s="31" t="e">
        <f>#REF!</f>
        <v>#REF!</v>
      </c>
      <c r="O2987" s="37" t="e">
        <f t="shared" si="76"/>
        <v>#REF!</v>
      </c>
    </row>
    <row r="2988" spans="2:15" ht="17.399999999999999">
      <c r="B2988" s="42" t="s">
        <v>103</v>
      </c>
      <c r="C2988" s="39" t="e">
        <f>#REF!</f>
        <v>#REF!</v>
      </c>
      <c r="D2988" s="31" t="e">
        <f>#REF!</f>
        <v>#REF!</v>
      </c>
      <c r="E2988" s="31" t="e">
        <f>#REF!</f>
        <v>#REF!</v>
      </c>
      <c r="F2988" s="31"/>
      <c r="G2988" s="31"/>
      <c r="H2988" s="31" t="e">
        <f>#REF!</f>
        <v>#REF!</v>
      </c>
      <c r="I2988" s="31">
        <f>'تقرير المصروفات حسب الشهر'!AC841</f>
        <v>0</v>
      </c>
      <c r="J2988" s="31">
        <f>'تقرير المصروفات حسب الشهر'!AC968</f>
        <v>0</v>
      </c>
      <c r="K2988" s="31">
        <f>'تقرير المصروفات حسب الشهر'!AC1095</f>
        <v>0</v>
      </c>
      <c r="L2988" s="292">
        <f>IFERROR(VLOOKUP(B2988,'تقرير المصروفات حسب الشهر'!$C$1143:$AD$1254,27,FALSE),0)</f>
        <v>0</v>
      </c>
      <c r="M2988" s="292">
        <f>IFERROR(VLOOKUP(B2988,'تقرير المصروفات حسب الشهر'!$C$1270:$AD$1381,27,FALSE),0)</f>
        <v>0</v>
      </c>
      <c r="N2988" s="31" t="e">
        <f>#REF!</f>
        <v>#REF!</v>
      </c>
      <c r="O2988" s="37" t="e">
        <f t="shared" si="76"/>
        <v>#REF!</v>
      </c>
    </row>
    <row r="2989" spans="2:15" ht="17.399999999999999">
      <c r="B2989" s="42" t="s">
        <v>104</v>
      </c>
      <c r="C2989" s="39" t="e">
        <f>#REF!</f>
        <v>#REF!</v>
      </c>
      <c r="D2989" s="31" t="e">
        <f>#REF!</f>
        <v>#REF!</v>
      </c>
      <c r="E2989" s="31" t="e">
        <f>#REF!</f>
        <v>#REF!</v>
      </c>
      <c r="F2989" s="31"/>
      <c r="G2989" s="31"/>
      <c r="H2989" s="31" t="e">
        <f>#REF!</f>
        <v>#REF!</v>
      </c>
      <c r="I2989" s="31">
        <f>'تقرير المصروفات حسب الشهر'!AC842</f>
        <v>244.38</v>
      </c>
      <c r="J2989" s="31">
        <f>'تقرير المصروفات حسب الشهر'!AC969</f>
        <v>244.38</v>
      </c>
      <c r="K2989" s="31">
        <f>'تقرير المصروفات حسب الشهر'!AC1096</f>
        <v>244.38</v>
      </c>
      <c r="L2989" s="292">
        <f>IFERROR(VLOOKUP(B2989,'تقرير المصروفات حسب الشهر'!$C$1143:$AD$1254,27,FALSE),0)</f>
        <v>244.38</v>
      </c>
      <c r="M2989" s="292">
        <f>IFERROR(VLOOKUP(B2989,'تقرير المصروفات حسب الشهر'!$C$1270:$AD$1381,27,FALSE),0)</f>
        <v>244.32</v>
      </c>
      <c r="N2989" s="31" t="e">
        <f>#REF!</f>
        <v>#REF!</v>
      </c>
      <c r="O2989" s="37" t="e">
        <f t="shared" si="76"/>
        <v>#REF!</v>
      </c>
    </row>
    <row r="2990" spans="2:15" ht="17.399999999999999">
      <c r="B2990" s="42" t="s">
        <v>105</v>
      </c>
      <c r="C2990" s="39" t="e">
        <f>#REF!</f>
        <v>#REF!</v>
      </c>
      <c r="D2990" s="31" t="e">
        <f>#REF!</f>
        <v>#REF!</v>
      </c>
      <c r="E2990" s="31" t="e">
        <f>#REF!</f>
        <v>#REF!</v>
      </c>
      <c r="F2990" s="31"/>
      <c r="G2990" s="31"/>
      <c r="H2990" s="31" t="e">
        <f>#REF!</f>
        <v>#REF!</v>
      </c>
      <c r="I2990" s="31">
        <f>'تقرير المصروفات حسب الشهر'!AC843</f>
        <v>59.33</v>
      </c>
      <c r="J2990" s="31">
        <f>'تقرير المصروفات حسب الشهر'!AC970</f>
        <v>59.33</v>
      </c>
      <c r="K2990" s="31">
        <f>'تقرير المصروفات حسب الشهر'!AC1097</f>
        <v>59.33</v>
      </c>
      <c r="L2990" s="292">
        <f>IFERROR(VLOOKUP(B2990,'تقرير المصروفات حسب الشهر'!$C$1143:$AD$1254,27,FALSE),0)</f>
        <v>59.33</v>
      </c>
      <c r="M2990" s="292">
        <f>IFERROR(VLOOKUP(B2990,'تقرير المصروفات حسب الشهر'!$C$1270:$AD$1381,27,FALSE),0)</f>
        <v>59.33</v>
      </c>
      <c r="N2990" s="31" t="e">
        <f>#REF!</f>
        <v>#REF!</v>
      </c>
      <c r="O2990" s="37" t="e">
        <f t="shared" si="76"/>
        <v>#REF!</v>
      </c>
    </row>
    <row r="2991" spans="2:15" ht="17.399999999999999">
      <c r="B2991" s="42" t="s">
        <v>106</v>
      </c>
      <c r="C2991" s="39" t="e">
        <f>#REF!</f>
        <v>#REF!</v>
      </c>
      <c r="D2991" s="31" t="e">
        <f>#REF!</f>
        <v>#REF!</v>
      </c>
      <c r="E2991" s="31" t="e">
        <f>#REF!</f>
        <v>#REF!</v>
      </c>
      <c r="F2991" s="31"/>
      <c r="G2991" s="31"/>
      <c r="H2991" s="31" t="e">
        <f>#REF!</f>
        <v>#REF!</v>
      </c>
      <c r="I2991" s="31">
        <f>'تقرير المصروفات حسب الشهر'!AC844</f>
        <v>0</v>
      </c>
      <c r="J2991" s="31">
        <f>'تقرير المصروفات حسب الشهر'!AC971</f>
        <v>0</v>
      </c>
      <c r="K2991" s="31">
        <f>'تقرير المصروفات حسب الشهر'!AC1098</f>
        <v>0</v>
      </c>
      <c r="L2991" s="292">
        <f>IFERROR(VLOOKUP(B2991,'تقرير المصروفات حسب الشهر'!$C$1143:$AD$1254,27,FALSE),0)</f>
        <v>0</v>
      </c>
      <c r="M2991" s="292">
        <f>IFERROR(VLOOKUP(B2991,'تقرير المصروفات حسب الشهر'!$C$1270:$AD$1381,27,FALSE),0)</f>
        <v>0</v>
      </c>
      <c r="N2991" s="31" t="e">
        <f>#REF!</f>
        <v>#REF!</v>
      </c>
      <c r="O2991" s="37" t="e">
        <f t="shared" si="76"/>
        <v>#REF!</v>
      </c>
    </row>
    <row r="2992" spans="2:15" ht="17.399999999999999">
      <c r="B2992" s="42" t="s">
        <v>107</v>
      </c>
      <c r="C2992" s="39" t="e">
        <f>#REF!</f>
        <v>#REF!</v>
      </c>
      <c r="D2992" s="31" t="e">
        <f>#REF!</f>
        <v>#REF!</v>
      </c>
      <c r="E2992" s="31" t="e">
        <f>#REF!</f>
        <v>#REF!</v>
      </c>
      <c r="F2992" s="31"/>
      <c r="G2992" s="31"/>
      <c r="H2992" s="31" t="e">
        <f>#REF!</f>
        <v>#REF!</v>
      </c>
      <c r="I2992" s="31">
        <f>'تقرير المصروفات حسب الشهر'!AC845</f>
        <v>0</v>
      </c>
      <c r="J2992" s="31">
        <f>'تقرير المصروفات حسب الشهر'!AC972</f>
        <v>0</v>
      </c>
      <c r="K2992" s="31">
        <f>'تقرير المصروفات حسب الشهر'!AC1099</f>
        <v>0</v>
      </c>
      <c r="L2992" s="292">
        <f>IFERROR(VLOOKUP(B2992,'تقرير المصروفات حسب الشهر'!$C$1143:$AD$1254,27,FALSE),0)</f>
        <v>0</v>
      </c>
      <c r="M2992" s="292">
        <f>IFERROR(VLOOKUP(B2992,'تقرير المصروفات حسب الشهر'!$C$1270:$AD$1381,27,FALSE),0)</f>
        <v>0</v>
      </c>
      <c r="N2992" s="31" t="e">
        <f>#REF!</f>
        <v>#REF!</v>
      </c>
      <c r="O2992" s="37" t="e">
        <f t="shared" si="76"/>
        <v>#REF!</v>
      </c>
    </row>
    <row r="2993" spans="2:15" ht="17.399999999999999">
      <c r="B2993" s="42" t="s">
        <v>108</v>
      </c>
      <c r="C2993" s="39" t="e">
        <f>#REF!</f>
        <v>#REF!</v>
      </c>
      <c r="D2993" s="31" t="e">
        <f>#REF!</f>
        <v>#REF!</v>
      </c>
      <c r="E2993" s="31" t="e">
        <f>#REF!</f>
        <v>#REF!</v>
      </c>
      <c r="F2993" s="31"/>
      <c r="G2993" s="31"/>
      <c r="H2993" s="31" t="e">
        <f>#REF!</f>
        <v>#REF!</v>
      </c>
      <c r="I2993" s="31">
        <f>'تقرير المصروفات حسب الشهر'!AC846</f>
        <v>0</v>
      </c>
      <c r="J2993" s="31">
        <f>'تقرير المصروفات حسب الشهر'!AC973</f>
        <v>0</v>
      </c>
      <c r="K2993" s="31">
        <f>'تقرير المصروفات حسب الشهر'!AC1100</f>
        <v>0</v>
      </c>
      <c r="L2993" s="292">
        <f>IFERROR(VLOOKUP(B2993,'تقرير المصروفات حسب الشهر'!$C$1143:$AD$1254,27,FALSE),0)</f>
        <v>0</v>
      </c>
      <c r="M2993" s="292">
        <f>IFERROR(VLOOKUP(B2993,'تقرير المصروفات حسب الشهر'!$C$1270:$AD$1381,27,FALSE),0)</f>
        <v>0</v>
      </c>
      <c r="N2993" s="31" t="e">
        <f>#REF!</f>
        <v>#REF!</v>
      </c>
      <c r="O2993" s="37" t="e">
        <f t="shared" si="76"/>
        <v>#REF!</v>
      </c>
    </row>
    <row r="2994" spans="2:15" ht="17.399999999999999">
      <c r="B2994" s="42" t="s">
        <v>109</v>
      </c>
      <c r="C2994" s="39" t="e">
        <f>#REF!</f>
        <v>#REF!</v>
      </c>
      <c r="D2994" s="31" t="e">
        <f>#REF!</f>
        <v>#REF!</v>
      </c>
      <c r="E2994" s="31" t="e">
        <f>#REF!</f>
        <v>#REF!</v>
      </c>
      <c r="F2994" s="31"/>
      <c r="G2994" s="31"/>
      <c r="H2994" s="31" t="e">
        <f>#REF!</f>
        <v>#REF!</v>
      </c>
      <c r="I2994" s="31">
        <f>'تقرير المصروفات حسب الشهر'!AC847</f>
        <v>0</v>
      </c>
      <c r="J2994" s="31">
        <f>'تقرير المصروفات حسب الشهر'!AC974</f>
        <v>0</v>
      </c>
      <c r="K2994" s="31">
        <f>'تقرير المصروفات حسب الشهر'!AC1101</f>
        <v>0</v>
      </c>
      <c r="L2994" s="292">
        <f>IFERROR(VLOOKUP(B2994,'تقرير المصروفات حسب الشهر'!$C$1143:$AD$1254,27,FALSE),0)</f>
        <v>0</v>
      </c>
      <c r="M2994" s="292">
        <f>IFERROR(VLOOKUP(B2994,'تقرير المصروفات حسب الشهر'!$C$1270:$AD$1381,27,FALSE),0)</f>
        <v>0</v>
      </c>
      <c r="N2994" s="31" t="e">
        <f>#REF!</f>
        <v>#REF!</v>
      </c>
      <c r="O2994" s="37" t="e">
        <f t="shared" si="76"/>
        <v>#REF!</v>
      </c>
    </row>
    <row r="2995" spans="2:15" ht="17.399999999999999">
      <c r="B2995" s="42" t="s">
        <v>110</v>
      </c>
      <c r="C2995" s="39" t="e">
        <f>#REF!</f>
        <v>#REF!</v>
      </c>
      <c r="D2995" s="31" t="e">
        <f>#REF!</f>
        <v>#REF!</v>
      </c>
      <c r="E2995" s="31" t="e">
        <f>#REF!</f>
        <v>#REF!</v>
      </c>
      <c r="F2995" s="31"/>
      <c r="G2995" s="31"/>
      <c r="H2995" s="31" t="e">
        <f>#REF!</f>
        <v>#REF!</v>
      </c>
      <c r="I2995" s="31">
        <f>'تقرير المصروفات حسب الشهر'!AC848</f>
        <v>0</v>
      </c>
      <c r="J2995" s="31">
        <f>'تقرير المصروفات حسب الشهر'!AC975</f>
        <v>0</v>
      </c>
      <c r="K2995" s="31">
        <f>'تقرير المصروفات حسب الشهر'!AC1102</f>
        <v>0</v>
      </c>
      <c r="L2995" s="292">
        <f>IFERROR(VLOOKUP(B2995,'تقرير المصروفات حسب الشهر'!$C$1143:$AD$1254,27,FALSE),0)</f>
        <v>0</v>
      </c>
      <c r="M2995" s="292">
        <f>IFERROR(VLOOKUP(B2995,'تقرير المصروفات حسب الشهر'!$C$1270:$AD$1381,27,FALSE),0)</f>
        <v>0</v>
      </c>
      <c r="N2995" s="31" t="e">
        <f>#REF!</f>
        <v>#REF!</v>
      </c>
      <c r="O2995" s="37" t="e">
        <f t="shared" si="76"/>
        <v>#REF!</v>
      </c>
    </row>
    <row r="2996" spans="2:15" ht="17.399999999999999">
      <c r="B2996" s="42" t="s">
        <v>112</v>
      </c>
      <c r="C2996" s="39" t="e">
        <f>#REF!</f>
        <v>#REF!</v>
      </c>
      <c r="D2996" s="31" t="e">
        <f>#REF!</f>
        <v>#REF!</v>
      </c>
      <c r="E2996" s="31" t="e">
        <f>#REF!</f>
        <v>#REF!</v>
      </c>
      <c r="F2996" s="31"/>
      <c r="G2996" s="31"/>
      <c r="H2996" s="31" t="e">
        <f>#REF!</f>
        <v>#REF!</v>
      </c>
      <c r="I2996" s="31">
        <f>'تقرير المصروفات حسب الشهر'!AC849</f>
        <v>0</v>
      </c>
      <c r="J2996" s="31">
        <f>'تقرير المصروفات حسب الشهر'!AC976</f>
        <v>0</v>
      </c>
      <c r="K2996" s="31">
        <f>'تقرير المصروفات حسب الشهر'!AC1103</f>
        <v>0</v>
      </c>
      <c r="L2996" s="292">
        <f>IFERROR(VLOOKUP(B2996,'تقرير المصروفات حسب الشهر'!$C$1143:$AD$1254,27,FALSE),0)</f>
        <v>0</v>
      </c>
      <c r="M2996" s="292">
        <f>IFERROR(VLOOKUP(B2996,'تقرير المصروفات حسب الشهر'!$C$1270:$AD$1381,27,FALSE),0)</f>
        <v>0</v>
      </c>
      <c r="N2996" s="31" t="e">
        <f>#REF!</f>
        <v>#REF!</v>
      </c>
      <c r="O2996" s="37" t="e">
        <f t="shared" si="76"/>
        <v>#REF!</v>
      </c>
    </row>
    <row r="2997" spans="2:15" ht="17.399999999999999">
      <c r="B2997" s="42" t="s">
        <v>113</v>
      </c>
      <c r="C2997" s="39" t="e">
        <f>#REF!</f>
        <v>#REF!</v>
      </c>
      <c r="D2997" s="31" t="e">
        <f>#REF!</f>
        <v>#REF!</v>
      </c>
      <c r="E2997" s="31" t="e">
        <f>#REF!</f>
        <v>#REF!</v>
      </c>
      <c r="F2997" s="31"/>
      <c r="G2997" s="31"/>
      <c r="H2997" s="31" t="e">
        <f>#REF!</f>
        <v>#REF!</v>
      </c>
      <c r="I2997" s="31">
        <f>'تقرير المصروفات حسب الشهر'!AC850</f>
        <v>0</v>
      </c>
      <c r="J2997" s="31">
        <f>'تقرير المصروفات حسب الشهر'!AC977</f>
        <v>0</v>
      </c>
      <c r="K2997" s="31">
        <f>'تقرير المصروفات حسب الشهر'!AC1104</f>
        <v>0</v>
      </c>
      <c r="L2997" s="292">
        <f>IFERROR(VLOOKUP(B2997,'تقرير المصروفات حسب الشهر'!$C$1143:$AD$1254,27,FALSE),0)</f>
        <v>0</v>
      </c>
      <c r="M2997" s="292">
        <f>IFERROR(VLOOKUP(B2997,'تقرير المصروفات حسب الشهر'!$C$1270:$AD$1381,27,FALSE),0)</f>
        <v>0</v>
      </c>
      <c r="N2997" s="31" t="e">
        <f>#REF!</f>
        <v>#REF!</v>
      </c>
      <c r="O2997" s="37" t="e">
        <f t="shared" si="76"/>
        <v>#REF!</v>
      </c>
    </row>
    <row r="2998" spans="2:15" ht="17.399999999999999">
      <c r="B2998" s="42" t="s">
        <v>137</v>
      </c>
      <c r="C2998" s="39" t="e">
        <f>#REF!</f>
        <v>#REF!</v>
      </c>
      <c r="D2998" s="31" t="e">
        <f>#REF!</f>
        <v>#REF!</v>
      </c>
      <c r="E2998" s="31" t="e">
        <f>#REF!</f>
        <v>#REF!</v>
      </c>
      <c r="F2998" s="31"/>
      <c r="G2998" s="31"/>
      <c r="H2998" s="31" t="e">
        <f>#REF!</f>
        <v>#REF!</v>
      </c>
      <c r="I2998" s="31">
        <f>'تقرير المصروفات حسب الشهر'!AC851</f>
        <v>0</v>
      </c>
      <c r="J2998" s="31">
        <f>'تقرير المصروفات حسب الشهر'!AC978</f>
        <v>0</v>
      </c>
      <c r="K2998" s="31">
        <f>'تقرير المصروفات حسب الشهر'!AC1105</f>
        <v>0</v>
      </c>
      <c r="L2998" s="292">
        <f>IFERROR(VLOOKUP(B2998,'تقرير المصروفات حسب الشهر'!$C$1143:$AD$1254,27,FALSE),0)</f>
        <v>0</v>
      </c>
      <c r="M2998" s="292">
        <f>IFERROR(VLOOKUP(B2998,'تقرير المصروفات حسب الشهر'!$C$1270:$AD$1381,27,FALSE),0)</f>
        <v>0</v>
      </c>
      <c r="N2998" s="31" t="e">
        <f>#REF!</f>
        <v>#REF!</v>
      </c>
      <c r="O2998" s="37" t="e">
        <f t="shared" si="76"/>
        <v>#REF!</v>
      </c>
    </row>
    <row r="2999" spans="2:15" ht="17.399999999999999">
      <c r="B2999" s="42" t="s">
        <v>140</v>
      </c>
      <c r="C2999" s="39" t="e">
        <f>#REF!</f>
        <v>#REF!</v>
      </c>
      <c r="D2999" s="31" t="e">
        <f>#REF!</f>
        <v>#REF!</v>
      </c>
      <c r="E2999" s="31" t="e">
        <f>#REF!</f>
        <v>#REF!</v>
      </c>
      <c r="F2999" s="31"/>
      <c r="G2999" s="31"/>
      <c r="H2999" s="31" t="e">
        <f>#REF!</f>
        <v>#REF!</v>
      </c>
      <c r="I2999" s="31">
        <f>'تقرير المصروفات حسب الشهر'!AC852</f>
        <v>0</v>
      </c>
      <c r="J2999" s="31">
        <f>'تقرير المصروفات حسب الشهر'!AC979</f>
        <v>0</v>
      </c>
      <c r="K2999" s="31">
        <f>'تقرير المصروفات حسب الشهر'!AC1106</f>
        <v>0</v>
      </c>
      <c r="L2999" s="292">
        <f>IFERROR(VLOOKUP(B2999,'تقرير المصروفات حسب الشهر'!$C$1143:$AD$1254,27,FALSE),0)</f>
        <v>0</v>
      </c>
      <c r="M2999" s="292">
        <f>IFERROR(VLOOKUP(B2999,'تقرير المصروفات حسب الشهر'!$C$1270:$AD$1381,27,FALSE),0)</f>
        <v>0</v>
      </c>
      <c r="N2999" s="31" t="e">
        <f>#REF!</f>
        <v>#REF!</v>
      </c>
      <c r="O2999" s="37" t="e">
        <f t="shared" si="76"/>
        <v>#REF!</v>
      </c>
    </row>
    <row r="3000" spans="2:15" ht="17.399999999999999">
      <c r="B3000" s="42" t="s">
        <v>141</v>
      </c>
      <c r="C3000" s="39" t="e">
        <f>#REF!</f>
        <v>#REF!</v>
      </c>
      <c r="D3000" s="31" t="e">
        <f>#REF!</f>
        <v>#REF!</v>
      </c>
      <c r="E3000" s="31" t="e">
        <f>#REF!</f>
        <v>#REF!</v>
      </c>
      <c r="F3000" s="31"/>
      <c r="G3000" s="31"/>
      <c r="H3000" s="31" t="e">
        <f>#REF!</f>
        <v>#REF!</v>
      </c>
      <c r="I3000" s="31">
        <f>'تقرير المصروفات حسب الشهر'!AC853</f>
        <v>0</v>
      </c>
      <c r="J3000" s="31">
        <f>'تقرير المصروفات حسب الشهر'!AC980</f>
        <v>0</v>
      </c>
      <c r="K3000" s="31">
        <f>'تقرير المصروفات حسب الشهر'!AC1107</f>
        <v>0</v>
      </c>
      <c r="L3000" s="292">
        <f>IFERROR(VLOOKUP(B3000,'تقرير المصروفات حسب الشهر'!$C$1143:$AD$1254,27,FALSE),0)</f>
        <v>0</v>
      </c>
      <c r="M3000" s="292">
        <f>IFERROR(VLOOKUP(B3000,'تقرير المصروفات حسب الشهر'!$C$1270:$AD$1381,27,FALSE),0)</f>
        <v>0</v>
      </c>
      <c r="N3000" s="31" t="e">
        <f>#REF!</f>
        <v>#REF!</v>
      </c>
      <c r="O3000" s="37" t="e">
        <f t="shared" si="76"/>
        <v>#REF!</v>
      </c>
    </row>
    <row r="3001" spans="2:15" ht="17.399999999999999">
      <c r="B3001" s="42" t="s">
        <v>193</v>
      </c>
      <c r="C3001" s="39" t="e">
        <f>#REF!</f>
        <v>#REF!</v>
      </c>
      <c r="D3001" s="31" t="e">
        <f>#REF!</f>
        <v>#REF!</v>
      </c>
      <c r="E3001" s="31" t="e">
        <f>#REF!</f>
        <v>#REF!</v>
      </c>
      <c r="F3001" s="31"/>
      <c r="G3001" s="31"/>
      <c r="H3001" s="31" t="e">
        <f>#REF!</f>
        <v>#REF!</v>
      </c>
      <c r="I3001" s="31">
        <f>'تقرير المصروفات حسب الشهر'!AC854</f>
        <v>0</v>
      </c>
      <c r="J3001" s="31">
        <f>'تقرير المصروفات حسب الشهر'!AC981</f>
        <v>0</v>
      </c>
      <c r="K3001" s="31">
        <f>'تقرير المصروفات حسب الشهر'!AC1108</f>
        <v>0</v>
      </c>
      <c r="L3001" s="292">
        <f>IFERROR(VLOOKUP(B3001,'تقرير المصروفات حسب الشهر'!$C$1143:$AD$1254,27,FALSE),0)</f>
        <v>0</v>
      </c>
      <c r="M3001" s="292">
        <f>IFERROR(VLOOKUP(B3001,'تقرير المصروفات حسب الشهر'!$C$1270:$AD$1381,27,FALSE),0)</f>
        <v>0</v>
      </c>
      <c r="N3001" s="31" t="e">
        <f>#REF!</f>
        <v>#REF!</v>
      </c>
      <c r="O3001" s="37" t="e">
        <f t="shared" si="76"/>
        <v>#REF!</v>
      </c>
    </row>
    <row r="3002" spans="2:15" ht="17.399999999999999">
      <c r="B3002" s="42" t="s">
        <v>148</v>
      </c>
      <c r="C3002" s="39" t="e">
        <f>#REF!</f>
        <v>#REF!</v>
      </c>
      <c r="D3002" s="31" t="e">
        <f>#REF!</f>
        <v>#REF!</v>
      </c>
      <c r="E3002" s="31" t="e">
        <f>#REF!</f>
        <v>#REF!</v>
      </c>
      <c r="F3002" s="31"/>
      <c r="G3002" s="31"/>
      <c r="H3002" s="31" t="e">
        <f>#REF!</f>
        <v>#REF!</v>
      </c>
      <c r="I3002" s="31">
        <f>'تقرير المصروفات حسب الشهر'!AC855</f>
        <v>0</v>
      </c>
      <c r="J3002" s="31">
        <f>'تقرير المصروفات حسب الشهر'!AC982</f>
        <v>0</v>
      </c>
      <c r="K3002" s="31">
        <f>'تقرير المصروفات حسب الشهر'!AC1109</f>
        <v>0</v>
      </c>
      <c r="L3002" s="292">
        <f>IFERROR(VLOOKUP(B3002,'تقرير المصروفات حسب الشهر'!$C$1143:$AD$1254,27,FALSE),0)</f>
        <v>0</v>
      </c>
      <c r="M3002" s="292">
        <f>IFERROR(VLOOKUP(B3002,'تقرير المصروفات حسب الشهر'!$C$1270:$AD$1381,27,FALSE),0)</f>
        <v>0</v>
      </c>
      <c r="N3002" s="31" t="e">
        <f>#REF!</f>
        <v>#REF!</v>
      </c>
      <c r="O3002" s="37" t="e">
        <f t="shared" si="76"/>
        <v>#REF!</v>
      </c>
    </row>
    <row r="3003" spans="2:15" ht="17.399999999999999">
      <c r="B3003" s="42" t="s">
        <v>186</v>
      </c>
      <c r="C3003" s="39" t="e">
        <f>#REF!</f>
        <v>#REF!</v>
      </c>
      <c r="D3003" s="31" t="e">
        <f>#REF!</f>
        <v>#REF!</v>
      </c>
      <c r="E3003" s="31" t="e">
        <f>#REF!</f>
        <v>#REF!</v>
      </c>
      <c r="F3003" s="31"/>
      <c r="G3003" s="31"/>
      <c r="H3003" s="31" t="e">
        <f>#REF!</f>
        <v>#REF!</v>
      </c>
      <c r="I3003" s="31">
        <f>'تقرير المصروفات حسب الشهر'!AC856</f>
        <v>0</v>
      </c>
      <c r="J3003" s="31">
        <f>'تقرير المصروفات حسب الشهر'!AC983</f>
        <v>0</v>
      </c>
      <c r="K3003" s="31">
        <f>'تقرير المصروفات حسب الشهر'!AC1110</f>
        <v>0</v>
      </c>
      <c r="L3003" s="292">
        <f>IFERROR(VLOOKUP(B3003,'تقرير المصروفات حسب الشهر'!$C$1143:$AD$1254,27,FALSE),0)</f>
        <v>0</v>
      </c>
      <c r="M3003" s="292">
        <f>IFERROR(VLOOKUP(B3003,'تقرير المصروفات حسب الشهر'!$C$1270:$AD$1381,27,FALSE),0)</f>
        <v>0</v>
      </c>
      <c r="N3003" s="31" t="e">
        <f>#REF!</f>
        <v>#REF!</v>
      </c>
      <c r="O3003" s="37" t="e">
        <f t="shared" si="76"/>
        <v>#REF!</v>
      </c>
    </row>
    <row r="3004" spans="2:15" ht="17.399999999999999">
      <c r="B3004" s="42" t="s">
        <v>171</v>
      </c>
      <c r="C3004" s="39" t="e">
        <f>#REF!</f>
        <v>#REF!</v>
      </c>
      <c r="D3004" s="31" t="e">
        <f>#REF!</f>
        <v>#REF!</v>
      </c>
      <c r="E3004" s="31" t="e">
        <f>#REF!</f>
        <v>#REF!</v>
      </c>
      <c r="F3004" s="31"/>
      <c r="G3004" s="31"/>
      <c r="H3004" s="31" t="e">
        <f>#REF!</f>
        <v>#REF!</v>
      </c>
      <c r="I3004" s="31">
        <f>'تقرير المصروفات حسب الشهر'!AC857</f>
        <v>0</v>
      </c>
      <c r="J3004" s="31">
        <f>'تقرير المصروفات حسب الشهر'!AC984</f>
        <v>0</v>
      </c>
      <c r="K3004" s="31">
        <f>'تقرير المصروفات حسب الشهر'!AC1111</f>
        <v>0</v>
      </c>
      <c r="L3004" s="292">
        <f>IFERROR(VLOOKUP(B3004,'تقرير المصروفات حسب الشهر'!$C$1143:$AD$1254,27,FALSE),0)</f>
        <v>0</v>
      </c>
      <c r="M3004" s="292">
        <f>IFERROR(VLOOKUP(B3004,'تقرير المصروفات حسب الشهر'!$C$1270:$AD$1381,27,FALSE),0)</f>
        <v>0</v>
      </c>
      <c r="N3004" s="31" t="e">
        <f>#REF!</f>
        <v>#REF!</v>
      </c>
      <c r="O3004" s="37" t="e">
        <f t="shared" si="76"/>
        <v>#REF!</v>
      </c>
    </row>
    <row r="3005" spans="2:15" ht="17.399999999999999">
      <c r="B3005" s="42" t="s">
        <v>180</v>
      </c>
      <c r="C3005" s="39" t="e">
        <f>#REF!</f>
        <v>#REF!</v>
      </c>
      <c r="D3005" s="31" t="e">
        <f>#REF!</f>
        <v>#REF!</v>
      </c>
      <c r="E3005" s="31" t="e">
        <f>#REF!</f>
        <v>#REF!</v>
      </c>
      <c r="F3005" s="31"/>
      <c r="G3005" s="31"/>
      <c r="H3005" s="31" t="e">
        <f>#REF!</f>
        <v>#REF!</v>
      </c>
      <c r="I3005" s="31">
        <f>'تقرير المصروفات حسب الشهر'!AC858</f>
        <v>0</v>
      </c>
      <c r="J3005" s="31">
        <f>'تقرير المصروفات حسب الشهر'!AC985</f>
        <v>0</v>
      </c>
      <c r="K3005" s="31">
        <f>'تقرير المصروفات حسب الشهر'!AC1112</f>
        <v>0</v>
      </c>
      <c r="L3005" s="292">
        <f>IFERROR(VLOOKUP(B3005,'تقرير المصروفات حسب الشهر'!$C$1143:$AD$1254,27,FALSE),0)</f>
        <v>0</v>
      </c>
      <c r="M3005" s="292">
        <f>IFERROR(VLOOKUP(B3005,'تقرير المصروفات حسب الشهر'!$C$1270:$AD$1381,27,FALSE),0)</f>
        <v>0</v>
      </c>
      <c r="N3005" s="31" t="e">
        <f>#REF!</f>
        <v>#REF!</v>
      </c>
      <c r="O3005" s="37" t="e">
        <f t="shared" si="76"/>
        <v>#REF!</v>
      </c>
    </row>
    <row r="3006" spans="2:15" ht="17.399999999999999">
      <c r="B3006" s="42" t="s">
        <v>183</v>
      </c>
      <c r="C3006" s="39" t="e">
        <f>#REF!</f>
        <v>#REF!</v>
      </c>
      <c r="D3006" s="31" t="e">
        <f>#REF!</f>
        <v>#REF!</v>
      </c>
      <c r="E3006" s="31" t="e">
        <f>#REF!</f>
        <v>#REF!</v>
      </c>
      <c r="F3006" s="31"/>
      <c r="G3006" s="31"/>
      <c r="H3006" s="31" t="e">
        <f>#REF!</f>
        <v>#REF!</v>
      </c>
      <c r="I3006" s="31">
        <f>'تقرير المصروفات حسب الشهر'!AC859</f>
        <v>0</v>
      </c>
      <c r="J3006" s="31">
        <f>'تقرير المصروفات حسب الشهر'!AC986</f>
        <v>0</v>
      </c>
      <c r="K3006" s="31">
        <f>'تقرير المصروفات حسب الشهر'!AC1113</f>
        <v>0</v>
      </c>
      <c r="L3006" s="292">
        <f>IFERROR(VLOOKUP(B3006,'تقرير المصروفات حسب الشهر'!$C$1143:$AD$1254,27,FALSE),0)</f>
        <v>0</v>
      </c>
      <c r="M3006" s="292">
        <f>IFERROR(VLOOKUP(B3006,'تقرير المصروفات حسب الشهر'!$C$1270:$AD$1381,27,FALSE),0)</f>
        <v>0</v>
      </c>
      <c r="N3006" s="31" t="e">
        <f>#REF!</f>
        <v>#REF!</v>
      </c>
      <c r="O3006" s="37" t="e">
        <f t="shared" si="76"/>
        <v>#REF!</v>
      </c>
    </row>
    <row r="3007" spans="2:15" ht="17.399999999999999">
      <c r="B3007" s="42" t="s">
        <v>195</v>
      </c>
      <c r="C3007" s="39" t="e">
        <f>#REF!</f>
        <v>#REF!</v>
      </c>
      <c r="D3007" s="31" t="e">
        <f>#REF!</f>
        <v>#REF!</v>
      </c>
      <c r="E3007" s="31" t="e">
        <f>#REF!</f>
        <v>#REF!</v>
      </c>
      <c r="F3007" s="31"/>
      <c r="G3007" s="31"/>
      <c r="H3007" s="31" t="e">
        <f>#REF!</f>
        <v>#REF!</v>
      </c>
      <c r="I3007" s="31">
        <f>'تقرير المصروفات حسب الشهر'!AC860</f>
        <v>0</v>
      </c>
      <c r="J3007" s="31">
        <f>'تقرير المصروفات حسب الشهر'!AC987</f>
        <v>0</v>
      </c>
      <c r="K3007" s="31">
        <f>'تقرير المصروفات حسب الشهر'!AC1114</f>
        <v>0</v>
      </c>
      <c r="L3007" s="292">
        <f>IFERROR(VLOOKUP(B3007,'تقرير المصروفات حسب الشهر'!$C$1143:$AD$1254,27,FALSE),0)</f>
        <v>0</v>
      </c>
      <c r="M3007" s="292">
        <f>IFERROR(VLOOKUP(B3007,'تقرير المصروفات حسب الشهر'!$C$1270:$AD$1381,27,FALSE),0)</f>
        <v>0</v>
      </c>
      <c r="N3007" s="31" t="e">
        <f>#REF!</f>
        <v>#REF!</v>
      </c>
      <c r="O3007" s="37" t="e">
        <f t="shared" si="76"/>
        <v>#REF!</v>
      </c>
    </row>
    <row r="3008" spans="2:15" ht="17.399999999999999">
      <c r="B3008" s="42" t="s">
        <v>189</v>
      </c>
      <c r="C3008" s="39" t="e">
        <f>#REF!</f>
        <v>#REF!</v>
      </c>
      <c r="D3008" s="31" t="e">
        <f>#REF!</f>
        <v>#REF!</v>
      </c>
      <c r="E3008" s="31" t="e">
        <f>#REF!</f>
        <v>#REF!</v>
      </c>
      <c r="F3008" s="31"/>
      <c r="G3008" s="31"/>
      <c r="H3008" s="31" t="e">
        <f>#REF!</f>
        <v>#REF!</v>
      </c>
      <c r="I3008" s="31">
        <f>'تقرير المصروفات حسب الشهر'!AC861</f>
        <v>0</v>
      </c>
      <c r="J3008" s="31">
        <f>'تقرير المصروفات حسب الشهر'!AC988</f>
        <v>0</v>
      </c>
      <c r="K3008" s="31">
        <f>'تقرير المصروفات حسب الشهر'!AC1115</f>
        <v>0</v>
      </c>
      <c r="L3008" s="292">
        <f>IFERROR(VLOOKUP(B3008,'تقرير المصروفات حسب الشهر'!$C$1143:$AD$1254,27,FALSE),0)</f>
        <v>0</v>
      </c>
      <c r="M3008" s="292">
        <f>IFERROR(VLOOKUP(B3008,'تقرير المصروفات حسب الشهر'!$C$1270:$AD$1381,27,FALSE),0)</f>
        <v>0</v>
      </c>
      <c r="N3008" s="31" t="e">
        <f>#REF!</f>
        <v>#REF!</v>
      </c>
      <c r="O3008" s="37" t="e">
        <f t="shared" si="76"/>
        <v>#REF!</v>
      </c>
    </row>
    <row r="3009" spans="2:15" ht="17.399999999999999">
      <c r="B3009" s="42" t="s">
        <v>188</v>
      </c>
      <c r="C3009" s="39" t="e">
        <f>#REF!</f>
        <v>#REF!</v>
      </c>
      <c r="D3009" s="31" t="e">
        <f>#REF!</f>
        <v>#REF!</v>
      </c>
      <c r="E3009" s="31" t="e">
        <f>#REF!</f>
        <v>#REF!</v>
      </c>
      <c r="F3009" s="31"/>
      <c r="G3009" s="31"/>
      <c r="H3009" s="31" t="e">
        <f>#REF!</f>
        <v>#REF!</v>
      </c>
      <c r="I3009" s="31">
        <f>'تقرير المصروفات حسب الشهر'!AC862</f>
        <v>0</v>
      </c>
      <c r="J3009" s="31">
        <f>'تقرير المصروفات حسب الشهر'!AC989</f>
        <v>0</v>
      </c>
      <c r="K3009" s="31">
        <f>'تقرير المصروفات حسب الشهر'!AC1116</f>
        <v>0</v>
      </c>
      <c r="L3009" s="292">
        <f>IFERROR(VLOOKUP(B3009,'تقرير المصروفات حسب الشهر'!$C$1143:$AD$1254,27,FALSE),0)</f>
        <v>0</v>
      </c>
      <c r="M3009" s="292">
        <f>IFERROR(VLOOKUP(B3009,'تقرير المصروفات حسب الشهر'!$C$1270:$AD$1381,27,FALSE),0)</f>
        <v>0</v>
      </c>
      <c r="N3009" s="31" t="e">
        <f>#REF!</f>
        <v>#REF!</v>
      </c>
      <c r="O3009" s="37"/>
    </row>
    <row r="3010" spans="2:15" ht="17.399999999999999">
      <c r="B3010" s="42" t="s">
        <v>196</v>
      </c>
      <c r="C3010" s="39" t="e">
        <f>#REF!</f>
        <v>#REF!</v>
      </c>
      <c r="D3010" s="31" t="e">
        <f>#REF!</f>
        <v>#REF!</v>
      </c>
      <c r="E3010" s="31" t="e">
        <f>#REF!</f>
        <v>#REF!</v>
      </c>
      <c r="F3010" s="31"/>
      <c r="G3010" s="31"/>
      <c r="H3010" s="31" t="e">
        <f>#REF!</f>
        <v>#REF!</v>
      </c>
      <c r="I3010" s="31">
        <f>'تقرير المصروفات حسب الشهر'!AC863</f>
        <v>0</v>
      </c>
      <c r="J3010" s="31">
        <f>'تقرير المصروفات حسب الشهر'!AC990</f>
        <v>0</v>
      </c>
      <c r="K3010" s="31">
        <f>'تقرير المصروفات حسب الشهر'!AC1117</f>
        <v>0</v>
      </c>
      <c r="L3010" s="292">
        <f>IFERROR(VLOOKUP(B3010,'تقرير المصروفات حسب الشهر'!$C$1143:$AD$1254,27,FALSE),0)</f>
        <v>0</v>
      </c>
      <c r="M3010" s="292">
        <f>IFERROR(VLOOKUP(B3010,'تقرير المصروفات حسب الشهر'!$C$1270:$AD$1381,27,FALSE),0)</f>
        <v>0</v>
      </c>
      <c r="N3010" s="31" t="e">
        <f>#REF!</f>
        <v>#REF!</v>
      </c>
      <c r="O3010" s="37"/>
    </row>
    <row r="3011" spans="2:15" ht="17.399999999999999">
      <c r="B3011" s="42" t="s">
        <v>197</v>
      </c>
      <c r="C3011" s="39" t="e">
        <f>#REF!</f>
        <v>#REF!</v>
      </c>
      <c r="D3011" s="31" t="e">
        <f>#REF!</f>
        <v>#REF!</v>
      </c>
      <c r="E3011" s="31" t="e">
        <f>#REF!</f>
        <v>#REF!</v>
      </c>
      <c r="F3011" s="31"/>
      <c r="G3011" s="31"/>
      <c r="H3011" s="31" t="e">
        <f>#REF!</f>
        <v>#REF!</v>
      </c>
      <c r="I3011" s="31">
        <f>'تقرير المصروفات حسب الشهر'!AC864</f>
        <v>0</v>
      </c>
      <c r="J3011" s="31">
        <f>'تقرير المصروفات حسب الشهر'!AC991</f>
        <v>0</v>
      </c>
      <c r="K3011" s="31">
        <f>'تقرير المصروفات حسب الشهر'!AC1118</f>
        <v>0</v>
      </c>
      <c r="L3011" s="292">
        <f>IFERROR(VLOOKUP(B3011,'تقرير المصروفات حسب الشهر'!$C$1143:$AD$1254,27,FALSE),0)</f>
        <v>0</v>
      </c>
      <c r="M3011" s="292">
        <f>IFERROR(VLOOKUP(B3011,'تقرير المصروفات حسب الشهر'!$C$1270:$AD$1381,27,FALSE),0)</f>
        <v>0</v>
      </c>
      <c r="N3011" s="31" t="e">
        <f>#REF!</f>
        <v>#REF!</v>
      </c>
      <c r="O3011" s="37"/>
    </row>
    <row r="3012" spans="2:15" ht="17.399999999999999">
      <c r="B3012" s="42" t="s">
        <v>198</v>
      </c>
      <c r="C3012" s="39" t="e">
        <f>#REF!</f>
        <v>#REF!</v>
      </c>
      <c r="D3012" s="31" t="e">
        <f>#REF!</f>
        <v>#REF!</v>
      </c>
      <c r="E3012" s="31" t="e">
        <f>#REF!</f>
        <v>#REF!</v>
      </c>
      <c r="F3012" s="31"/>
      <c r="G3012" s="31"/>
      <c r="H3012" s="31" t="e">
        <f>#REF!</f>
        <v>#REF!</v>
      </c>
      <c r="I3012" s="31">
        <f>'تقرير المصروفات حسب الشهر'!AC865</f>
        <v>0</v>
      </c>
      <c r="J3012" s="31">
        <f>'تقرير المصروفات حسب الشهر'!AC992</f>
        <v>0</v>
      </c>
      <c r="K3012" s="31">
        <f>'تقرير المصروفات حسب الشهر'!AC1119</f>
        <v>0</v>
      </c>
      <c r="L3012" s="292">
        <f>IFERROR(VLOOKUP(B3012,'تقرير المصروفات حسب الشهر'!$C$1143:$AD$1254,27,FALSE),0)</f>
        <v>0</v>
      </c>
      <c r="M3012" s="292">
        <f>IFERROR(VLOOKUP(B3012,'تقرير المصروفات حسب الشهر'!$C$1270:$AD$1381,27,FALSE),0)</f>
        <v>0</v>
      </c>
      <c r="N3012" s="31" t="e">
        <f>#REF!</f>
        <v>#REF!</v>
      </c>
      <c r="O3012" s="37"/>
    </row>
    <row r="3013" spans="2:15" ht="17.399999999999999">
      <c r="B3013" s="42" t="s">
        <v>201</v>
      </c>
      <c r="C3013" s="39" t="e">
        <f>#REF!</f>
        <v>#REF!</v>
      </c>
      <c r="D3013" s="31" t="e">
        <f>#REF!</f>
        <v>#REF!</v>
      </c>
      <c r="E3013" s="31" t="e">
        <f>#REF!</f>
        <v>#REF!</v>
      </c>
      <c r="F3013" s="31"/>
      <c r="G3013" s="31"/>
      <c r="H3013" s="31" t="e">
        <f>#REF!</f>
        <v>#REF!</v>
      </c>
      <c r="I3013" s="31">
        <f>'تقرير المصروفات حسب الشهر'!AC866</f>
        <v>0</v>
      </c>
      <c r="J3013" s="31">
        <f>'تقرير المصروفات حسب الشهر'!AC993</f>
        <v>0</v>
      </c>
      <c r="K3013" s="31">
        <f>'تقرير المصروفات حسب الشهر'!AC1120</f>
        <v>0</v>
      </c>
      <c r="L3013" s="292">
        <f>IFERROR(VLOOKUP(B3013,'تقرير المصروفات حسب الشهر'!$C$1143:$AD$1254,27,FALSE),0)</f>
        <v>0</v>
      </c>
      <c r="M3013" s="292">
        <f>IFERROR(VLOOKUP(B3013,'تقرير المصروفات حسب الشهر'!$C$1270:$AD$1381,27,FALSE),0)</f>
        <v>0</v>
      </c>
      <c r="N3013" s="31" t="e">
        <f>#REF!</f>
        <v>#REF!</v>
      </c>
      <c r="O3013" s="37"/>
    </row>
    <row r="3014" spans="2:15" ht="17.399999999999999">
      <c r="B3014" s="42" t="s">
        <v>202</v>
      </c>
      <c r="C3014" s="39" t="e">
        <f>#REF!</f>
        <v>#REF!</v>
      </c>
      <c r="D3014" s="31" t="e">
        <f>#REF!</f>
        <v>#REF!</v>
      </c>
      <c r="E3014" s="31" t="e">
        <f>#REF!</f>
        <v>#REF!</v>
      </c>
      <c r="F3014" s="31"/>
      <c r="G3014" s="31"/>
      <c r="H3014" s="31" t="e">
        <f>#REF!</f>
        <v>#REF!</v>
      </c>
      <c r="I3014" s="31">
        <f>'تقرير المصروفات حسب الشهر'!AC867</f>
        <v>0</v>
      </c>
      <c r="J3014" s="31">
        <f>'تقرير المصروفات حسب الشهر'!AC994</f>
        <v>0</v>
      </c>
      <c r="K3014" s="31">
        <f>'تقرير المصروفات حسب الشهر'!AC1121</f>
        <v>0</v>
      </c>
      <c r="L3014" s="292">
        <f>IFERROR(VLOOKUP(B3014,'تقرير المصروفات حسب الشهر'!$C$1143:$AD$1254,27,FALSE),0)</f>
        <v>0</v>
      </c>
      <c r="M3014" s="292">
        <f>IFERROR(VLOOKUP(B3014,'تقرير المصروفات حسب الشهر'!$C$1270:$AD$1381,27,FALSE),0)</f>
        <v>0</v>
      </c>
      <c r="N3014" s="31" t="e">
        <f>#REF!</f>
        <v>#REF!</v>
      </c>
      <c r="O3014" s="37"/>
    </row>
    <row r="3015" spans="2:15" ht="17.399999999999999">
      <c r="B3015" s="42" t="s">
        <v>206</v>
      </c>
      <c r="C3015" s="39" t="e">
        <f>#REF!</f>
        <v>#REF!</v>
      </c>
      <c r="D3015" s="31" t="e">
        <f>#REF!</f>
        <v>#REF!</v>
      </c>
      <c r="E3015" s="31" t="e">
        <f>#REF!</f>
        <v>#REF!</v>
      </c>
      <c r="F3015" s="31"/>
      <c r="G3015" s="31"/>
      <c r="H3015" s="31" t="e">
        <f>#REF!</f>
        <v>#REF!</v>
      </c>
      <c r="I3015" s="31">
        <f>'تقرير المصروفات حسب الشهر'!AC868</f>
        <v>0</v>
      </c>
      <c r="J3015" s="31">
        <f>'تقرير المصروفات حسب الشهر'!AC995</f>
        <v>0</v>
      </c>
      <c r="K3015" s="31">
        <f>'تقرير المصروفات حسب الشهر'!AC1122</f>
        <v>0</v>
      </c>
      <c r="L3015" s="292">
        <f>IFERROR(VLOOKUP(B3015,'تقرير المصروفات حسب الشهر'!$C$1143:$AD$1254,27,FALSE),0)</f>
        <v>0</v>
      </c>
      <c r="M3015" s="292">
        <f>IFERROR(VLOOKUP(B3015,'تقرير المصروفات حسب الشهر'!$C$1270:$AD$1381,27,FALSE),0)</f>
        <v>0</v>
      </c>
      <c r="N3015" s="31" t="e">
        <f>#REF!</f>
        <v>#REF!</v>
      </c>
      <c r="O3015" s="37"/>
    </row>
    <row r="3016" spans="2:15" ht="17.399999999999999">
      <c r="B3016" s="42" t="s">
        <v>207</v>
      </c>
      <c r="C3016" s="39" t="e">
        <f>#REF!</f>
        <v>#REF!</v>
      </c>
      <c r="D3016" s="31" t="e">
        <f>#REF!</f>
        <v>#REF!</v>
      </c>
      <c r="E3016" s="31" t="e">
        <f>#REF!</f>
        <v>#REF!</v>
      </c>
      <c r="F3016" s="31"/>
      <c r="G3016" s="31"/>
      <c r="H3016" s="31" t="e">
        <f>#REF!</f>
        <v>#REF!</v>
      </c>
      <c r="I3016" s="31">
        <f>'تقرير المصروفات حسب الشهر'!AC869</f>
        <v>862.5</v>
      </c>
      <c r="J3016" s="31">
        <f>'تقرير المصروفات حسب الشهر'!AC996</f>
        <v>862.5</v>
      </c>
      <c r="K3016" s="31">
        <f>'تقرير المصروفات حسب الشهر'!AC1123</f>
        <v>862.5</v>
      </c>
      <c r="L3016" s="292">
        <f>IFERROR(VLOOKUP(B3016,'تقرير المصروفات حسب الشهر'!$C$1143:$AD$1254,27,FALSE),0)</f>
        <v>862.5</v>
      </c>
      <c r="M3016" s="292">
        <f>IFERROR(VLOOKUP(B3016,'تقرير المصروفات حسب الشهر'!$C$1270:$AD$1381,27,FALSE),0)</f>
        <v>862.5</v>
      </c>
      <c r="N3016" s="31" t="e">
        <f>#REF!</f>
        <v>#REF!</v>
      </c>
      <c r="O3016" s="37"/>
    </row>
    <row r="3017" spans="2:15" ht="17.399999999999999">
      <c r="B3017" s="42" t="s">
        <v>208</v>
      </c>
      <c r="C3017" s="39" t="e">
        <f>#REF!</f>
        <v>#REF!</v>
      </c>
      <c r="D3017" s="31" t="e">
        <f>#REF!</f>
        <v>#REF!</v>
      </c>
      <c r="E3017" s="31" t="e">
        <f>#REF!</f>
        <v>#REF!</v>
      </c>
      <c r="F3017" s="31"/>
      <c r="G3017" s="31"/>
      <c r="H3017" s="31" t="e">
        <f>#REF!</f>
        <v>#REF!</v>
      </c>
      <c r="I3017" s="31">
        <f>'تقرير المصروفات حسب الشهر'!AC870</f>
        <v>0</v>
      </c>
      <c r="J3017" s="31">
        <f>'تقرير المصروفات حسب الشهر'!AC997</f>
        <v>0</v>
      </c>
      <c r="K3017" s="31">
        <f>'تقرير المصروفات حسب الشهر'!AC1124</f>
        <v>0</v>
      </c>
      <c r="L3017" s="292">
        <f>IFERROR(VLOOKUP(B3017,'تقرير المصروفات حسب الشهر'!$C$1143:$AD$1254,27,FALSE),0)</f>
        <v>0</v>
      </c>
      <c r="M3017" s="292">
        <f>IFERROR(VLOOKUP(B3017,'تقرير المصروفات حسب الشهر'!$C$1270:$AD$1381,27,FALSE),0)</f>
        <v>0</v>
      </c>
      <c r="N3017" s="31" t="e">
        <f>#REF!</f>
        <v>#REF!</v>
      </c>
      <c r="O3017" s="37"/>
    </row>
    <row r="3018" spans="2:15" ht="18" thickBot="1">
      <c r="B3018" s="43" t="s">
        <v>209</v>
      </c>
      <c r="C3018" s="39" t="e">
        <f>#REF!</f>
        <v>#REF!</v>
      </c>
      <c r="D3018" s="31" t="e">
        <f>#REF!</f>
        <v>#REF!</v>
      </c>
      <c r="E3018" s="31" t="e">
        <f>#REF!</f>
        <v>#REF!</v>
      </c>
      <c r="F3018" s="32"/>
      <c r="G3018" s="32"/>
      <c r="H3018" s="31" t="e">
        <f>#REF!</f>
        <v>#REF!</v>
      </c>
      <c r="I3018" s="31">
        <f>'تقرير المصروفات حسب الشهر'!AC871</f>
        <v>0</v>
      </c>
      <c r="J3018" s="31">
        <f>'تقرير المصروفات حسب الشهر'!AC998</f>
        <v>0</v>
      </c>
      <c r="K3018" s="31">
        <f>'تقرير المصروفات حسب الشهر'!AC1125</f>
        <v>0</v>
      </c>
      <c r="L3018" s="292">
        <f>IFERROR(VLOOKUP(B3018,'تقرير المصروفات حسب الشهر'!$C$1143:$AD$1254,27,FALSE),0)</f>
        <v>0</v>
      </c>
      <c r="M3018" s="292">
        <f>IFERROR(VLOOKUP(B3018,'تقرير المصروفات حسب الشهر'!$C$1270:$AD$1381,27,FALSE),0)</f>
        <v>0</v>
      </c>
      <c r="N3018" s="31" t="e">
        <f>#REF!</f>
        <v>#REF!</v>
      </c>
      <c r="O3018" s="38"/>
    </row>
    <row r="3019" spans="2:15" ht="21.6" thickBot="1">
      <c r="B3019" s="29" t="s">
        <v>18</v>
      </c>
      <c r="C3019" s="41" t="e">
        <f>SUM(C2910:C3018)</f>
        <v>#REF!</v>
      </c>
      <c r="D3019" s="41" t="e">
        <f t="shared" ref="D3019:O3019" si="77">SUM(D2910:D3018)</f>
        <v>#REF!</v>
      </c>
      <c r="E3019" s="41" t="e">
        <f t="shared" si="77"/>
        <v>#REF!</v>
      </c>
      <c r="F3019" s="41">
        <f t="shared" si="77"/>
        <v>0</v>
      </c>
      <c r="G3019" s="41">
        <f t="shared" si="77"/>
        <v>0</v>
      </c>
      <c r="H3019" s="41" t="e">
        <f t="shared" si="77"/>
        <v>#REF!</v>
      </c>
      <c r="I3019" s="41">
        <f t="shared" si="77"/>
        <v>27380.890000000003</v>
      </c>
      <c r="J3019" s="41">
        <f t="shared" si="77"/>
        <v>30976.68</v>
      </c>
      <c r="K3019" s="41">
        <f t="shared" si="77"/>
        <v>32635.100000000002</v>
      </c>
      <c r="L3019" s="41">
        <f t="shared" si="77"/>
        <v>63439.45</v>
      </c>
      <c r="M3019" s="41">
        <f t="shared" si="77"/>
        <v>44941.810000000005</v>
      </c>
      <c r="N3019" s="41" t="e">
        <f t="shared" si="77"/>
        <v>#REF!</v>
      </c>
      <c r="O3019" s="41" t="e">
        <f t="shared" si="77"/>
        <v>#REF!</v>
      </c>
    </row>
    <row r="3021" spans="2:15" ht="13.8" thickBot="1"/>
    <row r="3022" spans="2:15" ht="31.2" thickTop="1" thickBot="1">
      <c r="B3022" s="643" t="s">
        <v>247</v>
      </c>
      <c r="C3022" s="644"/>
      <c r="D3022" s="644"/>
      <c r="E3022" s="644"/>
      <c r="F3022" s="644"/>
      <c r="G3022" s="644"/>
      <c r="H3022" s="644"/>
      <c r="I3022" s="644"/>
      <c r="J3022" s="644"/>
      <c r="K3022" s="644"/>
      <c r="L3022" s="644"/>
      <c r="M3022" s="644"/>
      <c r="N3022" s="644"/>
      <c r="O3022" s="645"/>
    </row>
    <row r="3023" spans="2:15" ht="17.399999999999999">
      <c r="B3023" s="30" t="s">
        <v>23</v>
      </c>
      <c r="C3023" s="33" t="s">
        <v>0</v>
      </c>
      <c r="D3023" s="33" t="s">
        <v>1</v>
      </c>
      <c r="E3023" s="34" t="s">
        <v>2</v>
      </c>
      <c r="F3023" s="34" t="s">
        <v>3</v>
      </c>
      <c r="G3023" s="34" t="s">
        <v>4</v>
      </c>
      <c r="H3023" s="34" t="s">
        <v>5</v>
      </c>
      <c r="I3023" s="34" t="s">
        <v>6</v>
      </c>
      <c r="J3023" s="34" t="s">
        <v>7</v>
      </c>
      <c r="K3023" s="34" t="s">
        <v>8</v>
      </c>
      <c r="L3023" s="34" t="s">
        <v>9</v>
      </c>
      <c r="M3023" s="34" t="s">
        <v>10</v>
      </c>
      <c r="N3023" s="35" t="s">
        <v>11</v>
      </c>
      <c r="O3023" s="36" t="s">
        <v>18</v>
      </c>
    </row>
    <row r="3024" spans="2:15" ht="17.399999999999999">
      <c r="B3024" s="42" t="s">
        <v>40</v>
      </c>
      <c r="C3024" s="39"/>
      <c r="D3024" s="31"/>
      <c r="E3024" s="31"/>
      <c r="F3024" s="31"/>
      <c r="G3024" s="31"/>
      <c r="H3024" s="31" t="e">
        <f>#REF!</f>
        <v>#REF!</v>
      </c>
      <c r="I3024" s="31">
        <f>'تقرير المصروفات حسب الشهر'!AD763</f>
        <v>0</v>
      </c>
      <c r="J3024" s="31">
        <f>'تقرير المصروفات حسب الشهر'!AD890</f>
        <v>0</v>
      </c>
      <c r="K3024" s="31">
        <f>'تقرير المصروفات حسب الشهر'!AD1017</f>
        <v>0</v>
      </c>
      <c r="L3024" s="292">
        <f>IFERROR(VLOOKUP(B3024,'تقرير المصروفات حسب الشهر'!$C$1143:$AD$1254,28,FALSE),0)</f>
        <v>0</v>
      </c>
      <c r="M3024" s="292"/>
      <c r="N3024" s="31"/>
      <c r="O3024" s="37" t="e">
        <f>SUM(C3024:N3024)</f>
        <v>#REF!</v>
      </c>
    </row>
    <row r="3025" spans="2:15" ht="17.399999999999999">
      <c r="B3025" s="42" t="s">
        <v>41</v>
      </c>
      <c r="C3025" s="39"/>
      <c r="D3025" s="31"/>
      <c r="E3025" s="31"/>
      <c r="F3025" s="31"/>
      <c r="G3025" s="31"/>
      <c r="H3025" s="31" t="e">
        <f>#REF!</f>
        <v>#REF!</v>
      </c>
      <c r="I3025" s="31">
        <f>'تقرير المصروفات حسب الشهر'!AD764</f>
        <v>0</v>
      </c>
      <c r="J3025" s="31">
        <f>'تقرير المصروفات حسب الشهر'!AD891</f>
        <v>0</v>
      </c>
      <c r="K3025" s="31">
        <f>'تقرير المصروفات حسب الشهر'!AD1018</f>
        <v>0</v>
      </c>
      <c r="L3025" s="292">
        <f>IFERROR(VLOOKUP(B3025,'تقرير المصروفات حسب الشهر'!$C$1143:$AD$1254,28,FALSE),0)</f>
        <v>0</v>
      </c>
      <c r="M3025" s="31"/>
      <c r="N3025" s="31"/>
      <c r="O3025" s="37" t="e">
        <f t="shared" ref="O3025:O3088" si="78">SUM(C3025:N3025)</f>
        <v>#REF!</v>
      </c>
    </row>
    <row r="3026" spans="2:15" ht="17.399999999999999">
      <c r="B3026" s="42" t="s">
        <v>26</v>
      </c>
      <c r="C3026" s="39"/>
      <c r="D3026" s="31"/>
      <c r="E3026" s="31"/>
      <c r="F3026" s="31"/>
      <c r="G3026" s="31"/>
      <c r="H3026" s="31" t="e">
        <f>#REF!</f>
        <v>#REF!</v>
      </c>
      <c r="I3026" s="31">
        <f>'تقرير المصروفات حسب الشهر'!AD765</f>
        <v>0</v>
      </c>
      <c r="J3026" s="31">
        <f>'تقرير المصروفات حسب الشهر'!AD892</f>
        <v>0</v>
      </c>
      <c r="K3026" s="31">
        <f>'تقرير المصروفات حسب الشهر'!AD1019</f>
        <v>0</v>
      </c>
      <c r="L3026" s="292">
        <f>IFERROR(VLOOKUP(B3026,'تقرير المصروفات حسب الشهر'!$C$1143:$AD$1254,28,FALSE),0)</f>
        <v>0</v>
      </c>
      <c r="M3026" s="31"/>
      <c r="N3026" s="31"/>
      <c r="O3026" s="37" t="e">
        <f t="shared" si="78"/>
        <v>#REF!</v>
      </c>
    </row>
    <row r="3027" spans="2:15" ht="17.399999999999999">
      <c r="B3027" s="42" t="s">
        <v>27</v>
      </c>
      <c r="C3027" s="39"/>
      <c r="D3027" s="31"/>
      <c r="E3027" s="31"/>
      <c r="F3027" s="31"/>
      <c r="G3027" s="31"/>
      <c r="H3027" s="31" t="e">
        <f>#REF!</f>
        <v>#REF!</v>
      </c>
      <c r="I3027" s="31">
        <f>'تقرير المصروفات حسب الشهر'!AD766</f>
        <v>0</v>
      </c>
      <c r="J3027" s="31">
        <f>'تقرير المصروفات حسب الشهر'!AD893</f>
        <v>0</v>
      </c>
      <c r="K3027" s="31">
        <f>'تقرير المصروفات حسب الشهر'!AD1020</f>
        <v>0</v>
      </c>
      <c r="L3027" s="292">
        <f>IFERROR(VLOOKUP(B3027,'تقرير المصروفات حسب الشهر'!$C$1143:$AD$1254,28,FALSE),0)</f>
        <v>0</v>
      </c>
      <c r="M3027" s="31"/>
      <c r="N3027" s="31"/>
      <c r="O3027" s="37" t="e">
        <f t="shared" si="78"/>
        <v>#REF!</v>
      </c>
    </row>
    <row r="3028" spans="2:15" ht="17.399999999999999">
      <c r="B3028" s="42" t="s">
        <v>42</v>
      </c>
      <c r="C3028" s="39"/>
      <c r="D3028" s="31"/>
      <c r="E3028" s="31"/>
      <c r="F3028" s="31"/>
      <c r="G3028" s="31"/>
      <c r="H3028" s="31" t="e">
        <f>#REF!</f>
        <v>#REF!</v>
      </c>
      <c r="I3028" s="31">
        <f>'تقرير المصروفات حسب الشهر'!AD767</f>
        <v>0</v>
      </c>
      <c r="J3028" s="31">
        <f>'تقرير المصروفات حسب الشهر'!AD894</f>
        <v>0</v>
      </c>
      <c r="K3028" s="31">
        <f>'تقرير المصروفات حسب الشهر'!AD1021</f>
        <v>0</v>
      </c>
      <c r="L3028" s="292">
        <f>IFERROR(VLOOKUP(B3028,'تقرير المصروفات حسب الشهر'!$C$1143:$AD$1254,28,FALSE),0)</f>
        <v>0</v>
      </c>
      <c r="M3028" s="31"/>
      <c r="N3028" s="31"/>
      <c r="O3028" s="37" t="e">
        <f t="shared" si="78"/>
        <v>#REF!</v>
      </c>
    </row>
    <row r="3029" spans="2:15" ht="17.399999999999999">
      <c r="B3029" s="42" t="s">
        <v>43</v>
      </c>
      <c r="C3029" s="39"/>
      <c r="D3029" s="31"/>
      <c r="E3029" s="31"/>
      <c r="F3029" s="31"/>
      <c r="G3029" s="31"/>
      <c r="H3029" s="31" t="e">
        <f>#REF!</f>
        <v>#REF!</v>
      </c>
      <c r="I3029" s="31">
        <f>'تقرير المصروفات حسب الشهر'!AD768</f>
        <v>0</v>
      </c>
      <c r="J3029" s="31">
        <f>'تقرير المصروفات حسب الشهر'!AD895</f>
        <v>0</v>
      </c>
      <c r="K3029" s="31">
        <f>'تقرير المصروفات حسب الشهر'!AD1022</f>
        <v>0</v>
      </c>
      <c r="L3029" s="292">
        <f>IFERROR(VLOOKUP(B3029,'تقرير المصروفات حسب الشهر'!$C$1143:$AD$1254,28,FALSE),0)</f>
        <v>0</v>
      </c>
      <c r="M3029" s="31"/>
      <c r="N3029" s="31"/>
      <c r="O3029" s="37" t="e">
        <f t="shared" si="78"/>
        <v>#REF!</v>
      </c>
    </row>
    <row r="3030" spans="2:15" ht="17.399999999999999">
      <c r="B3030" s="42" t="s">
        <v>44</v>
      </c>
      <c r="C3030" s="39"/>
      <c r="D3030" s="31"/>
      <c r="E3030" s="31"/>
      <c r="F3030" s="31"/>
      <c r="G3030" s="31"/>
      <c r="H3030" s="31" t="e">
        <f>#REF!</f>
        <v>#REF!</v>
      </c>
      <c r="I3030" s="31">
        <f>'تقرير المصروفات حسب الشهر'!AD769</f>
        <v>0</v>
      </c>
      <c r="J3030" s="31">
        <f>'تقرير المصروفات حسب الشهر'!AD896</f>
        <v>0</v>
      </c>
      <c r="K3030" s="31">
        <f>'تقرير المصروفات حسب الشهر'!AD1023</f>
        <v>0</v>
      </c>
      <c r="L3030" s="292">
        <f>IFERROR(VLOOKUP(B3030,'تقرير المصروفات حسب الشهر'!$C$1143:$AD$1254,28,FALSE),0)</f>
        <v>0</v>
      </c>
      <c r="M3030" s="31"/>
      <c r="N3030" s="31"/>
      <c r="O3030" s="37" t="e">
        <f t="shared" si="78"/>
        <v>#REF!</v>
      </c>
    </row>
    <row r="3031" spans="2:15" ht="17.399999999999999">
      <c r="B3031" s="42" t="s">
        <v>45</v>
      </c>
      <c r="C3031" s="39"/>
      <c r="D3031" s="31"/>
      <c r="E3031" s="31"/>
      <c r="F3031" s="31"/>
      <c r="G3031" s="31"/>
      <c r="H3031" s="31" t="e">
        <f>#REF!</f>
        <v>#REF!</v>
      </c>
      <c r="I3031" s="31">
        <f>'تقرير المصروفات حسب الشهر'!AD770</f>
        <v>0</v>
      </c>
      <c r="J3031" s="31">
        <f>'تقرير المصروفات حسب الشهر'!AD897</f>
        <v>0</v>
      </c>
      <c r="K3031" s="31">
        <f>'تقرير المصروفات حسب الشهر'!AD1024</f>
        <v>0</v>
      </c>
      <c r="L3031" s="292">
        <f>IFERROR(VLOOKUP(B3031,'تقرير المصروفات حسب الشهر'!$C$1143:$AD$1254,28,FALSE),0)</f>
        <v>0</v>
      </c>
      <c r="M3031" s="31"/>
      <c r="N3031" s="31"/>
      <c r="O3031" s="37" t="e">
        <f t="shared" si="78"/>
        <v>#REF!</v>
      </c>
    </row>
    <row r="3032" spans="2:15" ht="17.399999999999999">
      <c r="B3032" s="42" t="s">
        <v>156</v>
      </c>
      <c r="C3032" s="39"/>
      <c r="D3032" s="31"/>
      <c r="E3032" s="31"/>
      <c r="F3032" s="31"/>
      <c r="G3032" s="31"/>
      <c r="H3032" s="31" t="e">
        <f>#REF!</f>
        <v>#REF!</v>
      </c>
      <c r="I3032" s="31">
        <f>'تقرير المصروفات حسب الشهر'!AD771</f>
        <v>0</v>
      </c>
      <c r="J3032" s="31">
        <f>'تقرير المصروفات حسب الشهر'!AD898</f>
        <v>0</v>
      </c>
      <c r="K3032" s="31">
        <f>'تقرير المصروفات حسب الشهر'!AD1025</f>
        <v>0</v>
      </c>
      <c r="L3032" s="292">
        <f>IFERROR(VLOOKUP(B3032,'تقرير المصروفات حسب الشهر'!$C$1143:$AD$1254,28,FALSE),0)</f>
        <v>0</v>
      </c>
      <c r="M3032" s="31"/>
      <c r="N3032" s="31"/>
      <c r="O3032" s="37" t="e">
        <f t="shared" si="78"/>
        <v>#REF!</v>
      </c>
    </row>
    <row r="3033" spans="2:15" ht="17.399999999999999">
      <c r="B3033" s="42" t="s">
        <v>46</v>
      </c>
      <c r="C3033" s="39"/>
      <c r="D3033" s="31"/>
      <c r="E3033" s="31"/>
      <c r="F3033" s="31"/>
      <c r="G3033" s="31"/>
      <c r="H3033" s="31" t="e">
        <f>#REF!</f>
        <v>#REF!</v>
      </c>
      <c r="I3033" s="31">
        <f>'تقرير المصروفات حسب الشهر'!AD772</f>
        <v>0</v>
      </c>
      <c r="J3033" s="31">
        <f>'تقرير المصروفات حسب الشهر'!AD899</f>
        <v>0</v>
      </c>
      <c r="K3033" s="31">
        <f>'تقرير المصروفات حسب الشهر'!AD1026</f>
        <v>0</v>
      </c>
      <c r="L3033" s="292">
        <f>IFERROR(VLOOKUP(B3033,'تقرير المصروفات حسب الشهر'!$C$1143:$AD$1254,28,FALSE),0)</f>
        <v>0</v>
      </c>
      <c r="M3033" s="31"/>
      <c r="N3033" s="31"/>
      <c r="O3033" s="37" t="e">
        <f t="shared" si="78"/>
        <v>#REF!</v>
      </c>
    </row>
    <row r="3034" spans="2:15" ht="17.399999999999999">
      <c r="B3034" s="42" t="s">
        <v>47</v>
      </c>
      <c r="C3034" s="39"/>
      <c r="D3034" s="31"/>
      <c r="E3034" s="31"/>
      <c r="F3034" s="31"/>
      <c r="G3034" s="31"/>
      <c r="H3034" s="31" t="e">
        <f>#REF!</f>
        <v>#REF!</v>
      </c>
      <c r="I3034" s="31">
        <f>'تقرير المصروفات حسب الشهر'!AD773</f>
        <v>0</v>
      </c>
      <c r="J3034" s="31">
        <f>'تقرير المصروفات حسب الشهر'!AD900</f>
        <v>0</v>
      </c>
      <c r="K3034" s="31">
        <f>'تقرير المصروفات حسب الشهر'!AD1027</f>
        <v>0</v>
      </c>
      <c r="L3034" s="292">
        <f>IFERROR(VLOOKUP(B3034,'تقرير المصروفات حسب الشهر'!$C$1143:$AD$1254,28,FALSE),0)</f>
        <v>0</v>
      </c>
      <c r="M3034" s="31"/>
      <c r="N3034" s="31"/>
      <c r="O3034" s="37" t="e">
        <f t="shared" si="78"/>
        <v>#REF!</v>
      </c>
    </row>
    <row r="3035" spans="2:15" ht="17.399999999999999">
      <c r="B3035" s="42" t="s">
        <v>48</v>
      </c>
      <c r="C3035" s="39"/>
      <c r="D3035" s="31"/>
      <c r="E3035" s="31"/>
      <c r="F3035" s="31"/>
      <c r="G3035" s="31"/>
      <c r="H3035" s="31" t="e">
        <f>#REF!</f>
        <v>#REF!</v>
      </c>
      <c r="I3035" s="31">
        <f>'تقرير المصروفات حسب الشهر'!AD774</f>
        <v>0</v>
      </c>
      <c r="J3035" s="31">
        <f>'تقرير المصروفات حسب الشهر'!AD901</f>
        <v>0</v>
      </c>
      <c r="K3035" s="31">
        <f>'تقرير المصروفات حسب الشهر'!AD1028</f>
        <v>0</v>
      </c>
      <c r="L3035" s="292">
        <f>IFERROR(VLOOKUP(B3035,'تقرير المصروفات حسب الشهر'!$C$1143:$AD$1254,28,FALSE),0)</f>
        <v>0</v>
      </c>
      <c r="M3035" s="31"/>
      <c r="N3035" s="31"/>
      <c r="O3035" s="37" t="e">
        <f t="shared" si="78"/>
        <v>#REF!</v>
      </c>
    </row>
    <row r="3036" spans="2:15" ht="17.399999999999999">
      <c r="B3036" s="42" t="s">
        <v>49</v>
      </c>
      <c r="C3036" s="39"/>
      <c r="D3036" s="31"/>
      <c r="E3036" s="31"/>
      <c r="F3036" s="31"/>
      <c r="G3036" s="31"/>
      <c r="H3036" s="31" t="e">
        <f>#REF!</f>
        <v>#REF!</v>
      </c>
      <c r="I3036" s="31">
        <f>'تقرير المصروفات حسب الشهر'!AD775</f>
        <v>0</v>
      </c>
      <c r="J3036" s="31">
        <f>'تقرير المصروفات حسب الشهر'!AD902</f>
        <v>0</v>
      </c>
      <c r="K3036" s="31">
        <f>'تقرير المصروفات حسب الشهر'!AD1029</f>
        <v>0</v>
      </c>
      <c r="L3036" s="292">
        <f>IFERROR(VLOOKUP(B3036,'تقرير المصروفات حسب الشهر'!$C$1143:$AD$1254,28,FALSE),0)</f>
        <v>0</v>
      </c>
      <c r="M3036" s="31"/>
      <c r="N3036" s="31"/>
      <c r="O3036" s="37" t="e">
        <f t="shared" si="78"/>
        <v>#REF!</v>
      </c>
    </row>
    <row r="3037" spans="2:15" ht="17.399999999999999">
      <c r="B3037" s="42" t="s">
        <v>158</v>
      </c>
      <c r="C3037" s="39"/>
      <c r="D3037" s="31"/>
      <c r="E3037" s="31"/>
      <c r="F3037" s="31"/>
      <c r="G3037" s="31"/>
      <c r="H3037" s="31" t="e">
        <f>#REF!</f>
        <v>#REF!</v>
      </c>
      <c r="I3037" s="31">
        <f>'تقرير المصروفات حسب الشهر'!AD776</f>
        <v>0</v>
      </c>
      <c r="J3037" s="31">
        <f>'تقرير المصروفات حسب الشهر'!AD903</f>
        <v>0</v>
      </c>
      <c r="K3037" s="31">
        <f>'تقرير المصروفات حسب الشهر'!AD1030</f>
        <v>0</v>
      </c>
      <c r="L3037" s="292">
        <f>IFERROR(VLOOKUP(B3037,'تقرير المصروفات حسب الشهر'!$C$1143:$AD$1254,28,FALSE),0)</f>
        <v>0</v>
      </c>
      <c r="M3037" s="31"/>
      <c r="N3037" s="31"/>
      <c r="O3037" s="37" t="e">
        <f t="shared" si="78"/>
        <v>#REF!</v>
      </c>
    </row>
    <row r="3038" spans="2:15" ht="17.399999999999999">
      <c r="B3038" s="42" t="s">
        <v>50</v>
      </c>
      <c r="C3038" s="39"/>
      <c r="D3038" s="31"/>
      <c r="E3038" s="31"/>
      <c r="F3038" s="31"/>
      <c r="G3038" s="31"/>
      <c r="H3038" s="31" t="e">
        <f>#REF!</f>
        <v>#REF!</v>
      </c>
      <c r="I3038" s="31">
        <f>'تقرير المصروفات حسب الشهر'!AD777</f>
        <v>0</v>
      </c>
      <c r="J3038" s="31">
        <f>'تقرير المصروفات حسب الشهر'!AD904</f>
        <v>0</v>
      </c>
      <c r="K3038" s="31">
        <f>'تقرير المصروفات حسب الشهر'!AD1031</f>
        <v>0</v>
      </c>
      <c r="L3038" s="292">
        <f>IFERROR(VLOOKUP(B3038,'تقرير المصروفات حسب الشهر'!$C$1143:$AD$1254,28,FALSE),0)</f>
        <v>0</v>
      </c>
      <c r="M3038" s="31"/>
      <c r="N3038" s="31"/>
      <c r="O3038" s="37" t="e">
        <f t="shared" si="78"/>
        <v>#REF!</v>
      </c>
    </row>
    <row r="3039" spans="2:15" ht="17.399999999999999">
      <c r="B3039" s="42" t="s">
        <v>51</v>
      </c>
      <c r="C3039" s="39"/>
      <c r="D3039" s="31"/>
      <c r="E3039" s="31"/>
      <c r="F3039" s="31"/>
      <c r="G3039" s="31"/>
      <c r="H3039" s="31" t="e">
        <f>#REF!</f>
        <v>#REF!</v>
      </c>
      <c r="I3039" s="31">
        <f>'تقرير المصروفات حسب الشهر'!AD778</f>
        <v>0</v>
      </c>
      <c r="J3039" s="31">
        <f>'تقرير المصروفات حسب الشهر'!AD905</f>
        <v>0</v>
      </c>
      <c r="K3039" s="31">
        <f>'تقرير المصروفات حسب الشهر'!AD1032</f>
        <v>0</v>
      </c>
      <c r="L3039" s="292">
        <f>IFERROR(VLOOKUP(B3039,'تقرير المصروفات حسب الشهر'!$C$1143:$AD$1254,28,FALSE),0)</f>
        <v>0</v>
      </c>
      <c r="M3039" s="31"/>
      <c r="N3039" s="31"/>
      <c r="O3039" s="37" t="e">
        <f t="shared" si="78"/>
        <v>#REF!</v>
      </c>
    </row>
    <row r="3040" spans="2:15" ht="17.399999999999999">
      <c r="B3040" s="42" t="s">
        <v>52</v>
      </c>
      <c r="C3040" s="39"/>
      <c r="D3040" s="31"/>
      <c r="E3040" s="31"/>
      <c r="F3040" s="31"/>
      <c r="G3040" s="31"/>
      <c r="H3040" s="31" t="e">
        <f>#REF!</f>
        <v>#REF!</v>
      </c>
      <c r="I3040" s="31">
        <f>'تقرير المصروفات حسب الشهر'!AD779</f>
        <v>0</v>
      </c>
      <c r="J3040" s="31">
        <f>'تقرير المصروفات حسب الشهر'!AD906</f>
        <v>0</v>
      </c>
      <c r="K3040" s="31">
        <f>'تقرير المصروفات حسب الشهر'!AD1033</f>
        <v>0</v>
      </c>
      <c r="L3040" s="292">
        <f>IFERROR(VLOOKUP(B3040,'تقرير المصروفات حسب الشهر'!$C$1143:$AD$1254,28,FALSE),0)</f>
        <v>0</v>
      </c>
      <c r="M3040" s="31"/>
      <c r="N3040" s="31"/>
      <c r="O3040" s="37" t="e">
        <f t="shared" si="78"/>
        <v>#REF!</v>
      </c>
    </row>
    <row r="3041" spans="2:15" ht="17.399999999999999">
      <c r="B3041" s="42" t="s">
        <v>174</v>
      </c>
      <c r="C3041" s="39"/>
      <c r="D3041" s="31"/>
      <c r="E3041" s="31"/>
      <c r="F3041" s="31"/>
      <c r="G3041" s="31"/>
      <c r="H3041" s="31" t="e">
        <f>#REF!</f>
        <v>#REF!</v>
      </c>
      <c r="I3041" s="31">
        <f>'تقرير المصروفات حسب الشهر'!AD780</f>
        <v>0</v>
      </c>
      <c r="J3041" s="31">
        <f>'تقرير المصروفات حسب الشهر'!AD907</f>
        <v>0</v>
      </c>
      <c r="K3041" s="31">
        <f>'تقرير المصروفات حسب الشهر'!AD1034</f>
        <v>0</v>
      </c>
      <c r="L3041" s="292">
        <f>IFERROR(VLOOKUP(B3041,'تقرير المصروفات حسب الشهر'!$C$1143:$AD$1254,28,FALSE),0)</f>
        <v>0</v>
      </c>
      <c r="M3041" s="31"/>
      <c r="N3041" s="31"/>
      <c r="O3041" s="37" t="e">
        <f t="shared" si="78"/>
        <v>#REF!</v>
      </c>
    </row>
    <row r="3042" spans="2:15" ht="17.399999999999999">
      <c r="B3042" s="42" t="s">
        <v>53</v>
      </c>
      <c r="C3042" s="39"/>
      <c r="D3042" s="31"/>
      <c r="E3042" s="31"/>
      <c r="F3042" s="31"/>
      <c r="G3042" s="31"/>
      <c r="H3042" s="31" t="e">
        <f>#REF!</f>
        <v>#REF!</v>
      </c>
      <c r="I3042" s="31">
        <f>'تقرير المصروفات حسب الشهر'!AD781</f>
        <v>0</v>
      </c>
      <c r="J3042" s="31">
        <f>'تقرير المصروفات حسب الشهر'!AD908</f>
        <v>0</v>
      </c>
      <c r="K3042" s="31">
        <f>'تقرير المصروفات حسب الشهر'!AD1035</f>
        <v>0</v>
      </c>
      <c r="L3042" s="292">
        <f>IFERROR(VLOOKUP(B3042,'تقرير المصروفات حسب الشهر'!$C$1143:$AD$1254,28,FALSE),0)</f>
        <v>0</v>
      </c>
      <c r="M3042" s="31"/>
      <c r="N3042" s="31"/>
      <c r="O3042" s="37" t="e">
        <f t="shared" si="78"/>
        <v>#REF!</v>
      </c>
    </row>
    <row r="3043" spans="2:15" ht="17.399999999999999">
      <c r="B3043" s="42" t="s">
        <v>191</v>
      </c>
      <c r="C3043" s="39"/>
      <c r="D3043" s="31"/>
      <c r="E3043" s="31"/>
      <c r="F3043" s="31"/>
      <c r="G3043" s="31"/>
      <c r="H3043" s="31" t="e">
        <f>#REF!</f>
        <v>#REF!</v>
      </c>
      <c r="I3043" s="31">
        <f>'تقرير المصروفات حسب الشهر'!AD782</f>
        <v>0</v>
      </c>
      <c r="J3043" s="31">
        <f>'تقرير المصروفات حسب الشهر'!AD909</f>
        <v>0</v>
      </c>
      <c r="K3043" s="31">
        <f>'تقرير المصروفات حسب الشهر'!AD1036</f>
        <v>0</v>
      </c>
      <c r="L3043" s="292">
        <f>IFERROR(VLOOKUP(B3043,'تقرير المصروفات حسب الشهر'!$C$1143:$AD$1254,28,FALSE),0)</f>
        <v>0</v>
      </c>
      <c r="M3043" s="31"/>
      <c r="N3043" s="31"/>
      <c r="O3043" s="37" t="e">
        <f t="shared" si="78"/>
        <v>#REF!</v>
      </c>
    </row>
    <row r="3044" spans="2:15" ht="17.399999999999999">
      <c r="B3044" s="42" t="s">
        <v>29</v>
      </c>
      <c r="C3044" s="39"/>
      <c r="D3044" s="31"/>
      <c r="E3044" s="31"/>
      <c r="F3044" s="31"/>
      <c r="G3044" s="31"/>
      <c r="H3044" s="31" t="e">
        <f>#REF!</f>
        <v>#REF!</v>
      </c>
      <c r="I3044" s="31">
        <f>'تقرير المصروفات حسب الشهر'!AD783</f>
        <v>0</v>
      </c>
      <c r="J3044" s="31">
        <f>'تقرير المصروفات حسب الشهر'!AD910</f>
        <v>0</v>
      </c>
      <c r="K3044" s="31">
        <f>'تقرير المصروفات حسب الشهر'!AD1037</f>
        <v>0</v>
      </c>
      <c r="L3044" s="292">
        <f>IFERROR(VLOOKUP(B3044,'تقرير المصروفات حسب الشهر'!$C$1143:$AD$1254,28,FALSE),0)</f>
        <v>0</v>
      </c>
      <c r="M3044" s="31"/>
      <c r="N3044" s="31"/>
      <c r="O3044" s="37" t="e">
        <f t="shared" si="78"/>
        <v>#REF!</v>
      </c>
    </row>
    <row r="3045" spans="2:15" ht="17.399999999999999">
      <c r="B3045" s="42" t="s">
        <v>54</v>
      </c>
      <c r="C3045" s="39"/>
      <c r="D3045" s="31"/>
      <c r="E3045" s="31"/>
      <c r="F3045" s="31"/>
      <c r="G3045" s="31"/>
      <c r="H3045" s="31" t="e">
        <f>#REF!</f>
        <v>#REF!</v>
      </c>
      <c r="I3045" s="31">
        <f>'تقرير المصروفات حسب الشهر'!AD784</f>
        <v>0</v>
      </c>
      <c r="J3045" s="31">
        <f>'تقرير المصروفات حسب الشهر'!AD911</f>
        <v>0</v>
      </c>
      <c r="K3045" s="31">
        <f>'تقرير المصروفات حسب الشهر'!AD1038</f>
        <v>0</v>
      </c>
      <c r="L3045" s="292">
        <f>IFERROR(VLOOKUP(B3045,'تقرير المصروفات حسب الشهر'!$C$1143:$AD$1254,28,FALSE),0)</f>
        <v>0</v>
      </c>
      <c r="M3045" s="31"/>
      <c r="N3045" s="31"/>
      <c r="O3045" s="37" t="e">
        <f t="shared" si="78"/>
        <v>#REF!</v>
      </c>
    </row>
    <row r="3046" spans="2:15" ht="17.399999999999999">
      <c r="B3046" s="42" t="s">
        <v>31</v>
      </c>
      <c r="C3046" s="39"/>
      <c r="D3046" s="31"/>
      <c r="E3046" s="31"/>
      <c r="F3046" s="31"/>
      <c r="G3046" s="31"/>
      <c r="H3046" s="31" t="e">
        <f>#REF!</f>
        <v>#REF!</v>
      </c>
      <c r="I3046" s="31">
        <f>'تقرير المصروفات حسب الشهر'!AD785</f>
        <v>0</v>
      </c>
      <c r="J3046" s="31">
        <f>'تقرير المصروفات حسب الشهر'!AD912</f>
        <v>0</v>
      </c>
      <c r="K3046" s="31">
        <f>'تقرير المصروفات حسب الشهر'!AD1039</f>
        <v>0</v>
      </c>
      <c r="L3046" s="292">
        <f>IFERROR(VLOOKUP(B3046,'تقرير المصروفات حسب الشهر'!$C$1143:$AD$1254,28,FALSE),0)</f>
        <v>0</v>
      </c>
      <c r="M3046" s="31"/>
      <c r="N3046" s="31"/>
      <c r="O3046" s="37" t="e">
        <f t="shared" si="78"/>
        <v>#REF!</v>
      </c>
    </row>
    <row r="3047" spans="2:15" ht="17.399999999999999">
      <c r="B3047" s="42" t="s">
        <v>55</v>
      </c>
      <c r="C3047" s="39"/>
      <c r="D3047" s="31"/>
      <c r="E3047" s="31"/>
      <c r="F3047" s="31"/>
      <c r="G3047" s="31"/>
      <c r="H3047" s="31" t="e">
        <f>#REF!</f>
        <v>#REF!</v>
      </c>
      <c r="I3047" s="31">
        <f>'تقرير المصروفات حسب الشهر'!AD786</f>
        <v>0</v>
      </c>
      <c r="J3047" s="31">
        <f>'تقرير المصروفات حسب الشهر'!AD913</f>
        <v>0</v>
      </c>
      <c r="K3047" s="31">
        <f>'تقرير المصروفات حسب الشهر'!AD1040</f>
        <v>0</v>
      </c>
      <c r="L3047" s="292">
        <f>IFERROR(VLOOKUP(B3047,'تقرير المصروفات حسب الشهر'!$C$1143:$AD$1254,28,FALSE),0)</f>
        <v>0</v>
      </c>
      <c r="M3047" s="31"/>
      <c r="N3047" s="31"/>
      <c r="O3047" s="37" t="e">
        <f t="shared" si="78"/>
        <v>#REF!</v>
      </c>
    </row>
    <row r="3048" spans="2:15" ht="17.399999999999999">
      <c r="B3048" s="42" t="s">
        <v>56</v>
      </c>
      <c r="C3048" s="39"/>
      <c r="D3048" s="31"/>
      <c r="E3048" s="31"/>
      <c r="F3048" s="31"/>
      <c r="G3048" s="31"/>
      <c r="H3048" s="31" t="e">
        <f>#REF!</f>
        <v>#REF!</v>
      </c>
      <c r="I3048" s="31">
        <f>'تقرير المصروفات حسب الشهر'!AD787</f>
        <v>0</v>
      </c>
      <c r="J3048" s="31">
        <f>'تقرير المصروفات حسب الشهر'!AD914</f>
        <v>0</v>
      </c>
      <c r="K3048" s="31">
        <f>'تقرير المصروفات حسب الشهر'!AD1041</f>
        <v>0</v>
      </c>
      <c r="L3048" s="292">
        <f>IFERROR(VLOOKUP(B3048,'تقرير المصروفات حسب الشهر'!$C$1143:$AD$1254,28,FALSE),0)</f>
        <v>0</v>
      </c>
      <c r="M3048" s="31"/>
      <c r="N3048" s="31"/>
      <c r="O3048" s="37" t="e">
        <f t="shared" si="78"/>
        <v>#REF!</v>
      </c>
    </row>
    <row r="3049" spans="2:15" ht="17.399999999999999">
      <c r="B3049" s="42" t="s">
        <v>57</v>
      </c>
      <c r="C3049" s="39"/>
      <c r="D3049" s="31"/>
      <c r="E3049" s="31"/>
      <c r="F3049" s="31"/>
      <c r="G3049" s="31"/>
      <c r="H3049" s="31" t="e">
        <f>#REF!</f>
        <v>#REF!</v>
      </c>
      <c r="I3049" s="31">
        <f>'تقرير المصروفات حسب الشهر'!AD788</f>
        <v>0</v>
      </c>
      <c r="J3049" s="31">
        <f>'تقرير المصروفات حسب الشهر'!AD915</f>
        <v>0</v>
      </c>
      <c r="K3049" s="31">
        <f>'تقرير المصروفات حسب الشهر'!AD1042</f>
        <v>0</v>
      </c>
      <c r="L3049" s="292">
        <f>IFERROR(VLOOKUP(B3049,'تقرير المصروفات حسب الشهر'!$C$1143:$AD$1254,28,FALSE),0)</f>
        <v>0</v>
      </c>
      <c r="M3049" s="31"/>
      <c r="N3049" s="31"/>
      <c r="O3049" s="37" t="e">
        <f t="shared" si="78"/>
        <v>#REF!</v>
      </c>
    </row>
    <row r="3050" spans="2:15" ht="17.399999999999999">
      <c r="B3050" s="42" t="s">
        <v>58</v>
      </c>
      <c r="C3050" s="39"/>
      <c r="D3050" s="31"/>
      <c r="E3050" s="31"/>
      <c r="F3050" s="31"/>
      <c r="G3050" s="31"/>
      <c r="H3050" s="31" t="e">
        <f>#REF!</f>
        <v>#REF!</v>
      </c>
      <c r="I3050" s="31">
        <f>'تقرير المصروفات حسب الشهر'!AD789</f>
        <v>0</v>
      </c>
      <c r="J3050" s="31">
        <f>'تقرير المصروفات حسب الشهر'!AD916</f>
        <v>0</v>
      </c>
      <c r="K3050" s="31">
        <f>'تقرير المصروفات حسب الشهر'!AD1043</f>
        <v>0</v>
      </c>
      <c r="L3050" s="292">
        <f>IFERROR(VLOOKUP(B3050,'تقرير المصروفات حسب الشهر'!$C$1143:$AD$1254,28,FALSE),0)</f>
        <v>0</v>
      </c>
      <c r="M3050" s="31"/>
      <c r="N3050" s="31"/>
      <c r="O3050" s="37" t="e">
        <f t="shared" si="78"/>
        <v>#REF!</v>
      </c>
    </row>
    <row r="3051" spans="2:15" ht="17.399999999999999">
      <c r="B3051" s="42" t="s">
        <v>59</v>
      </c>
      <c r="C3051" s="39"/>
      <c r="D3051" s="31"/>
      <c r="E3051" s="31"/>
      <c r="F3051" s="31"/>
      <c r="G3051" s="31"/>
      <c r="H3051" s="31" t="e">
        <f>#REF!</f>
        <v>#REF!</v>
      </c>
      <c r="I3051" s="31">
        <f>'تقرير المصروفات حسب الشهر'!AD790</f>
        <v>0</v>
      </c>
      <c r="J3051" s="31">
        <f>'تقرير المصروفات حسب الشهر'!AD917</f>
        <v>0</v>
      </c>
      <c r="K3051" s="31">
        <f>'تقرير المصروفات حسب الشهر'!AD1044</f>
        <v>0</v>
      </c>
      <c r="L3051" s="292">
        <f>IFERROR(VLOOKUP(B3051,'تقرير المصروفات حسب الشهر'!$C$1143:$AD$1254,28,FALSE),0)</f>
        <v>0</v>
      </c>
      <c r="M3051" s="31"/>
      <c r="N3051" s="31"/>
      <c r="O3051" s="37" t="e">
        <f t="shared" si="78"/>
        <v>#REF!</v>
      </c>
    </row>
    <row r="3052" spans="2:15" ht="17.399999999999999">
      <c r="B3052" s="42" t="s">
        <v>60</v>
      </c>
      <c r="C3052" s="39"/>
      <c r="D3052" s="31"/>
      <c r="E3052" s="31"/>
      <c r="F3052" s="31"/>
      <c r="G3052" s="31"/>
      <c r="H3052" s="31" t="e">
        <f>#REF!</f>
        <v>#REF!</v>
      </c>
      <c r="I3052" s="31">
        <f>'تقرير المصروفات حسب الشهر'!AD791</f>
        <v>0</v>
      </c>
      <c r="J3052" s="31">
        <f>'تقرير المصروفات حسب الشهر'!AD918</f>
        <v>0</v>
      </c>
      <c r="K3052" s="31">
        <f>'تقرير المصروفات حسب الشهر'!AD1045</f>
        <v>0</v>
      </c>
      <c r="L3052" s="292">
        <f>IFERROR(VLOOKUP(B3052,'تقرير المصروفات حسب الشهر'!$C$1143:$AD$1254,28,FALSE),0)</f>
        <v>0</v>
      </c>
      <c r="M3052" s="31"/>
      <c r="N3052" s="31"/>
      <c r="O3052" s="37" t="e">
        <f t="shared" si="78"/>
        <v>#REF!</v>
      </c>
    </row>
    <row r="3053" spans="2:15" ht="17.399999999999999">
      <c r="B3053" s="42" t="s">
        <v>61</v>
      </c>
      <c r="C3053" s="39"/>
      <c r="D3053" s="31"/>
      <c r="E3053" s="31"/>
      <c r="F3053" s="31"/>
      <c r="G3053" s="31"/>
      <c r="H3053" s="31" t="e">
        <f>#REF!</f>
        <v>#REF!</v>
      </c>
      <c r="I3053" s="31">
        <f>'تقرير المصروفات حسب الشهر'!AD792</f>
        <v>0</v>
      </c>
      <c r="J3053" s="31">
        <f>'تقرير المصروفات حسب الشهر'!AD919</f>
        <v>0</v>
      </c>
      <c r="K3053" s="31">
        <f>'تقرير المصروفات حسب الشهر'!AD1046</f>
        <v>0</v>
      </c>
      <c r="L3053" s="292">
        <f>IFERROR(VLOOKUP(B3053,'تقرير المصروفات حسب الشهر'!$C$1143:$AD$1254,28,FALSE),0)</f>
        <v>0</v>
      </c>
      <c r="M3053" s="31"/>
      <c r="N3053" s="31"/>
      <c r="O3053" s="37" t="e">
        <f t="shared" si="78"/>
        <v>#REF!</v>
      </c>
    </row>
    <row r="3054" spans="2:15" ht="17.399999999999999">
      <c r="B3054" s="42" t="s">
        <v>62</v>
      </c>
      <c r="C3054" s="39"/>
      <c r="D3054" s="31"/>
      <c r="E3054" s="31"/>
      <c r="F3054" s="31"/>
      <c r="G3054" s="31"/>
      <c r="H3054" s="31" t="e">
        <f>#REF!</f>
        <v>#REF!</v>
      </c>
      <c r="I3054" s="31">
        <f>'تقرير المصروفات حسب الشهر'!AD793</f>
        <v>0</v>
      </c>
      <c r="J3054" s="31">
        <f>'تقرير المصروفات حسب الشهر'!AD920</f>
        <v>0</v>
      </c>
      <c r="K3054" s="31">
        <f>'تقرير المصروفات حسب الشهر'!AD1047</f>
        <v>0</v>
      </c>
      <c r="L3054" s="292">
        <f>IFERROR(VLOOKUP(B3054,'تقرير المصروفات حسب الشهر'!$C$1143:$AD$1254,28,FALSE),0)</f>
        <v>0</v>
      </c>
      <c r="M3054" s="31"/>
      <c r="N3054" s="31"/>
      <c r="O3054" s="37" t="e">
        <f t="shared" si="78"/>
        <v>#REF!</v>
      </c>
    </row>
    <row r="3055" spans="2:15" ht="17.399999999999999">
      <c r="B3055" s="42" t="s">
        <v>63</v>
      </c>
      <c r="C3055" s="39"/>
      <c r="D3055" s="31"/>
      <c r="E3055" s="31"/>
      <c r="F3055" s="31"/>
      <c r="G3055" s="31"/>
      <c r="H3055" s="31" t="e">
        <f>#REF!</f>
        <v>#REF!</v>
      </c>
      <c r="I3055" s="31">
        <f>'تقرير المصروفات حسب الشهر'!AD794</f>
        <v>0</v>
      </c>
      <c r="J3055" s="31">
        <f>'تقرير المصروفات حسب الشهر'!AD921</f>
        <v>0</v>
      </c>
      <c r="K3055" s="31">
        <f>'تقرير المصروفات حسب الشهر'!AD1048</f>
        <v>0</v>
      </c>
      <c r="L3055" s="292">
        <f>IFERROR(VLOOKUP(B3055,'تقرير المصروفات حسب الشهر'!$C$1143:$AD$1254,28,FALSE),0)</f>
        <v>0</v>
      </c>
      <c r="M3055" s="31"/>
      <c r="N3055" s="31"/>
      <c r="O3055" s="37" t="e">
        <f t="shared" si="78"/>
        <v>#REF!</v>
      </c>
    </row>
    <row r="3056" spans="2:15" ht="17.399999999999999">
      <c r="B3056" s="42" t="s">
        <v>64</v>
      </c>
      <c r="C3056" s="39"/>
      <c r="D3056" s="31"/>
      <c r="E3056" s="31"/>
      <c r="F3056" s="31"/>
      <c r="G3056" s="31"/>
      <c r="H3056" s="31" t="e">
        <f>#REF!</f>
        <v>#REF!</v>
      </c>
      <c r="I3056" s="31">
        <f>'تقرير المصروفات حسب الشهر'!AD795</f>
        <v>0</v>
      </c>
      <c r="J3056" s="31">
        <f>'تقرير المصروفات حسب الشهر'!AD922</f>
        <v>0</v>
      </c>
      <c r="K3056" s="31">
        <f>'تقرير المصروفات حسب الشهر'!AD1049</f>
        <v>0</v>
      </c>
      <c r="L3056" s="292">
        <f>IFERROR(VLOOKUP(B3056,'تقرير المصروفات حسب الشهر'!$C$1143:$AD$1254,28,FALSE),0)</f>
        <v>0</v>
      </c>
      <c r="M3056" s="31"/>
      <c r="N3056" s="31"/>
      <c r="O3056" s="37" t="e">
        <f t="shared" si="78"/>
        <v>#REF!</v>
      </c>
    </row>
    <row r="3057" spans="2:15" ht="17.399999999999999">
      <c r="B3057" s="42" t="s">
        <v>28</v>
      </c>
      <c r="C3057" s="39"/>
      <c r="D3057" s="31"/>
      <c r="E3057" s="31"/>
      <c r="F3057" s="31"/>
      <c r="G3057" s="31"/>
      <c r="H3057" s="31" t="e">
        <f>#REF!</f>
        <v>#REF!</v>
      </c>
      <c r="I3057" s="31">
        <f>'تقرير المصروفات حسب الشهر'!AD796</f>
        <v>0</v>
      </c>
      <c r="J3057" s="31">
        <f>'تقرير المصروفات حسب الشهر'!AD923</f>
        <v>0</v>
      </c>
      <c r="K3057" s="31">
        <f>'تقرير المصروفات حسب الشهر'!AD1050</f>
        <v>0</v>
      </c>
      <c r="L3057" s="292">
        <f>IFERROR(VLOOKUP(B3057,'تقرير المصروفات حسب الشهر'!$C$1143:$AD$1254,28,FALSE),0)</f>
        <v>0</v>
      </c>
      <c r="M3057" s="31"/>
      <c r="N3057" s="31"/>
      <c r="O3057" s="37" t="e">
        <f t="shared" si="78"/>
        <v>#REF!</v>
      </c>
    </row>
    <row r="3058" spans="2:15" ht="17.399999999999999">
      <c r="B3058" s="42" t="s">
        <v>157</v>
      </c>
      <c r="C3058" s="39"/>
      <c r="D3058" s="31"/>
      <c r="E3058" s="31"/>
      <c r="F3058" s="31"/>
      <c r="G3058" s="31"/>
      <c r="H3058" s="31" t="e">
        <f>#REF!</f>
        <v>#REF!</v>
      </c>
      <c r="I3058" s="31">
        <f>'تقرير المصروفات حسب الشهر'!AD797</f>
        <v>0</v>
      </c>
      <c r="J3058" s="31">
        <f>'تقرير المصروفات حسب الشهر'!AD924</f>
        <v>0</v>
      </c>
      <c r="K3058" s="31">
        <f>'تقرير المصروفات حسب الشهر'!AD1051</f>
        <v>0</v>
      </c>
      <c r="L3058" s="292">
        <f>IFERROR(VLOOKUP(B3058,'تقرير المصروفات حسب الشهر'!$C$1143:$AD$1254,28,FALSE),0)</f>
        <v>0</v>
      </c>
      <c r="M3058" s="31"/>
      <c r="N3058" s="31"/>
      <c r="O3058" s="37" t="e">
        <f t="shared" si="78"/>
        <v>#REF!</v>
      </c>
    </row>
    <row r="3059" spans="2:15" ht="17.399999999999999">
      <c r="B3059" s="42" t="s">
        <v>65</v>
      </c>
      <c r="C3059" s="39"/>
      <c r="D3059" s="31"/>
      <c r="E3059" s="31"/>
      <c r="F3059" s="31"/>
      <c r="G3059" s="31"/>
      <c r="H3059" s="31" t="e">
        <f>#REF!</f>
        <v>#REF!</v>
      </c>
      <c r="I3059" s="31">
        <f>'تقرير المصروفات حسب الشهر'!AD798</f>
        <v>0</v>
      </c>
      <c r="J3059" s="31">
        <f>'تقرير المصروفات حسب الشهر'!AD925</f>
        <v>0</v>
      </c>
      <c r="K3059" s="31">
        <f>'تقرير المصروفات حسب الشهر'!AD1052</f>
        <v>0</v>
      </c>
      <c r="L3059" s="292">
        <f>IFERROR(VLOOKUP(B3059,'تقرير المصروفات حسب الشهر'!$C$1143:$AD$1254,28,FALSE),0)</f>
        <v>0</v>
      </c>
      <c r="M3059" s="31"/>
      <c r="N3059" s="31"/>
      <c r="O3059" s="37" t="e">
        <f t="shared" si="78"/>
        <v>#REF!</v>
      </c>
    </row>
    <row r="3060" spans="2:15" ht="17.399999999999999">
      <c r="B3060" s="42" t="s">
        <v>66</v>
      </c>
      <c r="C3060" s="39"/>
      <c r="D3060" s="31"/>
      <c r="E3060" s="31"/>
      <c r="F3060" s="31"/>
      <c r="G3060" s="31"/>
      <c r="H3060" s="31" t="e">
        <f>#REF!</f>
        <v>#REF!</v>
      </c>
      <c r="I3060" s="31">
        <f>'تقرير المصروفات حسب الشهر'!AD799</f>
        <v>0</v>
      </c>
      <c r="J3060" s="31">
        <f>'تقرير المصروفات حسب الشهر'!AD926</f>
        <v>0</v>
      </c>
      <c r="K3060" s="31">
        <f>'تقرير المصروفات حسب الشهر'!AD1053</f>
        <v>0</v>
      </c>
      <c r="L3060" s="292">
        <f>IFERROR(VLOOKUP(B3060,'تقرير المصروفات حسب الشهر'!$C$1143:$AD$1254,28,FALSE),0)</f>
        <v>0</v>
      </c>
      <c r="M3060" s="31"/>
      <c r="N3060" s="31"/>
      <c r="O3060" s="37" t="e">
        <f t="shared" si="78"/>
        <v>#REF!</v>
      </c>
    </row>
    <row r="3061" spans="2:15" ht="17.399999999999999">
      <c r="B3061" s="42" t="s">
        <v>30</v>
      </c>
      <c r="C3061" s="39"/>
      <c r="D3061" s="31"/>
      <c r="E3061" s="31"/>
      <c r="F3061" s="31"/>
      <c r="G3061" s="31"/>
      <c r="H3061" s="31" t="e">
        <f>#REF!</f>
        <v>#REF!</v>
      </c>
      <c r="I3061" s="31">
        <f>'تقرير المصروفات حسب الشهر'!AD800</f>
        <v>0</v>
      </c>
      <c r="J3061" s="31">
        <f>'تقرير المصروفات حسب الشهر'!AD927</f>
        <v>0</v>
      </c>
      <c r="K3061" s="31">
        <f>'تقرير المصروفات حسب الشهر'!AD1054</f>
        <v>0</v>
      </c>
      <c r="L3061" s="292">
        <f>IFERROR(VLOOKUP(B3061,'تقرير المصروفات حسب الشهر'!$C$1143:$AD$1254,28,FALSE),0)</f>
        <v>0</v>
      </c>
      <c r="M3061" s="31"/>
      <c r="N3061" s="31"/>
      <c r="O3061" s="37" t="e">
        <f t="shared" si="78"/>
        <v>#REF!</v>
      </c>
    </row>
    <row r="3062" spans="2:15" ht="17.399999999999999">
      <c r="B3062" s="42" t="s">
        <v>67</v>
      </c>
      <c r="C3062" s="39"/>
      <c r="D3062" s="31"/>
      <c r="E3062" s="31"/>
      <c r="F3062" s="31"/>
      <c r="G3062" s="31"/>
      <c r="H3062" s="31" t="e">
        <f>#REF!</f>
        <v>#REF!</v>
      </c>
      <c r="I3062" s="31">
        <f>'تقرير المصروفات حسب الشهر'!AD801</f>
        <v>0</v>
      </c>
      <c r="J3062" s="31">
        <f>'تقرير المصروفات حسب الشهر'!AD928</f>
        <v>0</v>
      </c>
      <c r="K3062" s="31">
        <f>'تقرير المصروفات حسب الشهر'!AD1055</f>
        <v>0</v>
      </c>
      <c r="L3062" s="292">
        <f>IFERROR(VLOOKUP(B3062,'تقرير المصروفات حسب الشهر'!$C$1143:$AD$1254,28,FALSE),0)</f>
        <v>0</v>
      </c>
      <c r="M3062" s="31"/>
      <c r="N3062" s="31"/>
      <c r="O3062" s="37" t="e">
        <f t="shared" si="78"/>
        <v>#REF!</v>
      </c>
    </row>
    <row r="3063" spans="2:15" ht="17.399999999999999">
      <c r="B3063" s="42" t="s">
        <v>111</v>
      </c>
      <c r="C3063" s="39"/>
      <c r="D3063" s="31"/>
      <c r="E3063" s="31"/>
      <c r="F3063" s="31"/>
      <c r="G3063" s="31"/>
      <c r="H3063" s="31" t="e">
        <f>#REF!</f>
        <v>#REF!</v>
      </c>
      <c r="I3063" s="31">
        <f>'تقرير المصروفات حسب الشهر'!AD802</f>
        <v>0</v>
      </c>
      <c r="J3063" s="31">
        <f>'تقرير المصروفات حسب الشهر'!AD929</f>
        <v>0</v>
      </c>
      <c r="K3063" s="31">
        <f>'تقرير المصروفات حسب الشهر'!AD1056</f>
        <v>0</v>
      </c>
      <c r="L3063" s="292">
        <f>IFERROR(VLOOKUP(B3063,'تقرير المصروفات حسب الشهر'!$C$1143:$AD$1254,28,FALSE),0)</f>
        <v>0</v>
      </c>
      <c r="M3063" s="31"/>
      <c r="N3063" s="31"/>
      <c r="O3063" s="37" t="e">
        <f t="shared" si="78"/>
        <v>#REF!</v>
      </c>
    </row>
    <row r="3064" spans="2:15" ht="17.399999999999999">
      <c r="B3064" s="42" t="s">
        <v>68</v>
      </c>
      <c r="C3064" s="39"/>
      <c r="D3064" s="31"/>
      <c r="E3064" s="31"/>
      <c r="F3064" s="31"/>
      <c r="G3064" s="31"/>
      <c r="H3064" s="31" t="e">
        <f>#REF!</f>
        <v>#REF!</v>
      </c>
      <c r="I3064" s="31">
        <f>'تقرير المصروفات حسب الشهر'!AD803</f>
        <v>0</v>
      </c>
      <c r="J3064" s="31">
        <f>'تقرير المصروفات حسب الشهر'!AD930</f>
        <v>0</v>
      </c>
      <c r="K3064" s="31">
        <f>'تقرير المصروفات حسب الشهر'!AD1057</f>
        <v>0</v>
      </c>
      <c r="L3064" s="292">
        <f>IFERROR(VLOOKUP(B3064,'تقرير المصروفات حسب الشهر'!$C$1143:$AD$1254,28,FALSE),0)</f>
        <v>0</v>
      </c>
      <c r="M3064" s="31"/>
      <c r="N3064" s="31"/>
      <c r="O3064" s="37" t="e">
        <f t="shared" si="78"/>
        <v>#REF!</v>
      </c>
    </row>
    <row r="3065" spans="2:15" ht="17.399999999999999">
      <c r="B3065" s="42" t="s">
        <v>69</v>
      </c>
      <c r="C3065" s="39"/>
      <c r="D3065" s="31"/>
      <c r="E3065" s="31"/>
      <c r="F3065" s="31"/>
      <c r="G3065" s="31"/>
      <c r="H3065" s="31" t="e">
        <f>#REF!</f>
        <v>#REF!</v>
      </c>
      <c r="I3065" s="31">
        <f>'تقرير المصروفات حسب الشهر'!AD804</f>
        <v>0</v>
      </c>
      <c r="J3065" s="31">
        <f>'تقرير المصروفات حسب الشهر'!AD931</f>
        <v>0</v>
      </c>
      <c r="K3065" s="31">
        <f>'تقرير المصروفات حسب الشهر'!AD1058</f>
        <v>0</v>
      </c>
      <c r="L3065" s="292">
        <f>IFERROR(VLOOKUP(B3065,'تقرير المصروفات حسب الشهر'!$C$1143:$AD$1254,28,FALSE),0)</f>
        <v>0</v>
      </c>
      <c r="M3065" s="31"/>
      <c r="N3065" s="31"/>
      <c r="O3065" s="37" t="e">
        <f t="shared" si="78"/>
        <v>#REF!</v>
      </c>
    </row>
    <row r="3066" spans="2:15" ht="17.399999999999999">
      <c r="B3066" s="42" t="s">
        <v>70</v>
      </c>
      <c r="C3066" s="39"/>
      <c r="D3066" s="31"/>
      <c r="E3066" s="31"/>
      <c r="F3066" s="31"/>
      <c r="G3066" s="31"/>
      <c r="H3066" s="31" t="e">
        <f>#REF!</f>
        <v>#REF!</v>
      </c>
      <c r="I3066" s="31">
        <f>'تقرير المصروفات حسب الشهر'!AD805</f>
        <v>0</v>
      </c>
      <c r="J3066" s="31">
        <f>'تقرير المصروفات حسب الشهر'!AD932</f>
        <v>0</v>
      </c>
      <c r="K3066" s="31">
        <f>'تقرير المصروفات حسب الشهر'!AD1059</f>
        <v>0</v>
      </c>
      <c r="L3066" s="292">
        <f>IFERROR(VLOOKUP(B3066,'تقرير المصروفات حسب الشهر'!$C$1143:$AD$1254,28,FALSE),0)</f>
        <v>0</v>
      </c>
      <c r="M3066" s="31"/>
      <c r="N3066" s="31"/>
      <c r="O3066" s="37" t="e">
        <f t="shared" si="78"/>
        <v>#REF!</v>
      </c>
    </row>
    <row r="3067" spans="2:15" ht="17.399999999999999">
      <c r="B3067" s="42" t="s">
        <v>71</v>
      </c>
      <c r="C3067" s="39"/>
      <c r="D3067" s="31"/>
      <c r="E3067" s="31"/>
      <c r="F3067" s="31"/>
      <c r="G3067" s="31"/>
      <c r="H3067" s="31" t="e">
        <f>#REF!</f>
        <v>#REF!</v>
      </c>
      <c r="I3067" s="31">
        <f>'تقرير المصروفات حسب الشهر'!AD806</f>
        <v>0</v>
      </c>
      <c r="J3067" s="31">
        <f>'تقرير المصروفات حسب الشهر'!AD933</f>
        <v>0</v>
      </c>
      <c r="K3067" s="31">
        <f>'تقرير المصروفات حسب الشهر'!AD1060</f>
        <v>0</v>
      </c>
      <c r="L3067" s="292">
        <f>IFERROR(VLOOKUP(B3067,'تقرير المصروفات حسب الشهر'!$C$1143:$AD$1254,28,FALSE),0)</f>
        <v>0</v>
      </c>
      <c r="M3067" s="31"/>
      <c r="N3067" s="31"/>
      <c r="O3067" s="37" t="e">
        <f t="shared" si="78"/>
        <v>#REF!</v>
      </c>
    </row>
    <row r="3068" spans="2:15" ht="17.399999999999999">
      <c r="B3068" s="42" t="s">
        <v>159</v>
      </c>
      <c r="C3068" s="39"/>
      <c r="D3068" s="31"/>
      <c r="E3068" s="31"/>
      <c r="F3068" s="31"/>
      <c r="G3068" s="31"/>
      <c r="H3068" s="31" t="e">
        <f>#REF!</f>
        <v>#REF!</v>
      </c>
      <c r="I3068" s="31">
        <f>'تقرير المصروفات حسب الشهر'!AD807</f>
        <v>0</v>
      </c>
      <c r="J3068" s="31">
        <f>'تقرير المصروفات حسب الشهر'!AD934</f>
        <v>0</v>
      </c>
      <c r="K3068" s="31">
        <f>'تقرير المصروفات حسب الشهر'!AD1061</f>
        <v>0</v>
      </c>
      <c r="L3068" s="292">
        <f>IFERROR(VLOOKUP(B3068,'تقرير المصروفات حسب الشهر'!$C$1143:$AD$1254,28,FALSE),0)</f>
        <v>0</v>
      </c>
      <c r="M3068" s="31"/>
      <c r="N3068" s="31"/>
      <c r="O3068" s="37" t="e">
        <f t="shared" si="78"/>
        <v>#REF!</v>
      </c>
    </row>
    <row r="3069" spans="2:15" ht="17.399999999999999">
      <c r="B3069" s="42" t="s">
        <v>72</v>
      </c>
      <c r="C3069" s="39"/>
      <c r="D3069" s="31"/>
      <c r="E3069" s="31"/>
      <c r="F3069" s="31"/>
      <c r="G3069" s="31"/>
      <c r="H3069" s="31" t="e">
        <f>#REF!</f>
        <v>#REF!</v>
      </c>
      <c r="I3069" s="31">
        <f>'تقرير المصروفات حسب الشهر'!AD808</f>
        <v>0</v>
      </c>
      <c r="J3069" s="31">
        <f>'تقرير المصروفات حسب الشهر'!AD935</f>
        <v>0</v>
      </c>
      <c r="K3069" s="31">
        <f>'تقرير المصروفات حسب الشهر'!AD1062</f>
        <v>0</v>
      </c>
      <c r="L3069" s="292">
        <f>IFERROR(VLOOKUP(B3069,'تقرير المصروفات حسب الشهر'!$C$1143:$AD$1254,28,FALSE),0)</f>
        <v>0</v>
      </c>
      <c r="M3069" s="31"/>
      <c r="N3069" s="31"/>
      <c r="O3069" s="37" t="e">
        <f t="shared" si="78"/>
        <v>#REF!</v>
      </c>
    </row>
    <row r="3070" spans="2:15" ht="17.399999999999999">
      <c r="B3070" s="42" t="s">
        <v>73</v>
      </c>
      <c r="C3070" s="39"/>
      <c r="D3070" s="31"/>
      <c r="E3070" s="31"/>
      <c r="F3070" s="31"/>
      <c r="G3070" s="31"/>
      <c r="H3070" s="31" t="e">
        <f>#REF!</f>
        <v>#REF!</v>
      </c>
      <c r="I3070" s="31">
        <f>'تقرير المصروفات حسب الشهر'!AD809</f>
        <v>0</v>
      </c>
      <c r="J3070" s="31">
        <f>'تقرير المصروفات حسب الشهر'!AD936</f>
        <v>0</v>
      </c>
      <c r="K3070" s="31">
        <f>'تقرير المصروفات حسب الشهر'!AD1063</f>
        <v>0</v>
      </c>
      <c r="L3070" s="292">
        <f>IFERROR(VLOOKUP(B3070,'تقرير المصروفات حسب الشهر'!$C$1143:$AD$1254,28,FALSE),0)</f>
        <v>0</v>
      </c>
      <c r="M3070" s="31"/>
      <c r="N3070" s="31"/>
      <c r="O3070" s="37" t="e">
        <f t="shared" si="78"/>
        <v>#REF!</v>
      </c>
    </row>
    <row r="3071" spans="2:15" ht="17.399999999999999">
      <c r="B3071" s="42" t="s">
        <v>74</v>
      </c>
      <c r="C3071" s="39"/>
      <c r="D3071" s="31"/>
      <c r="E3071" s="31"/>
      <c r="F3071" s="31"/>
      <c r="G3071" s="31"/>
      <c r="H3071" s="31" t="e">
        <f>#REF!</f>
        <v>#REF!</v>
      </c>
      <c r="I3071" s="31">
        <f>'تقرير المصروفات حسب الشهر'!AD810</f>
        <v>0</v>
      </c>
      <c r="J3071" s="31">
        <f>'تقرير المصروفات حسب الشهر'!AD937</f>
        <v>0</v>
      </c>
      <c r="K3071" s="31">
        <f>'تقرير المصروفات حسب الشهر'!AD1064</f>
        <v>0</v>
      </c>
      <c r="L3071" s="292">
        <f>IFERROR(VLOOKUP(B3071,'تقرير المصروفات حسب الشهر'!$C$1143:$AD$1254,28,FALSE),0)</f>
        <v>0</v>
      </c>
      <c r="M3071" s="31"/>
      <c r="N3071" s="31"/>
      <c r="O3071" s="37" t="e">
        <f t="shared" si="78"/>
        <v>#REF!</v>
      </c>
    </row>
    <row r="3072" spans="2:15" ht="17.399999999999999">
      <c r="B3072" s="42" t="s">
        <v>75</v>
      </c>
      <c r="C3072" s="39"/>
      <c r="D3072" s="31"/>
      <c r="E3072" s="31"/>
      <c r="F3072" s="31"/>
      <c r="G3072" s="31"/>
      <c r="H3072" s="31" t="e">
        <f>#REF!</f>
        <v>#REF!</v>
      </c>
      <c r="I3072" s="31">
        <f>'تقرير المصروفات حسب الشهر'!AD811</f>
        <v>0</v>
      </c>
      <c r="J3072" s="31">
        <f>'تقرير المصروفات حسب الشهر'!AD938</f>
        <v>0</v>
      </c>
      <c r="K3072" s="31">
        <f>'تقرير المصروفات حسب الشهر'!AD1065</f>
        <v>0</v>
      </c>
      <c r="L3072" s="292">
        <f>IFERROR(VLOOKUP(B3072,'تقرير المصروفات حسب الشهر'!$C$1143:$AD$1254,28,FALSE),0)</f>
        <v>0</v>
      </c>
      <c r="M3072" s="31"/>
      <c r="N3072" s="31"/>
      <c r="O3072" s="37" t="e">
        <f t="shared" si="78"/>
        <v>#REF!</v>
      </c>
    </row>
    <row r="3073" spans="2:15" ht="17.399999999999999">
      <c r="B3073" s="42" t="s">
        <v>76</v>
      </c>
      <c r="C3073" s="39"/>
      <c r="D3073" s="31"/>
      <c r="E3073" s="31"/>
      <c r="F3073" s="31"/>
      <c r="G3073" s="31"/>
      <c r="H3073" s="31" t="e">
        <f>#REF!</f>
        <v>#REF!</v>
      </c>
      <c r="I3073" s="31">
        <f>'تقرير المصروفات حسب الشهر'!AD812</f>
        <v>0</v>
      </c>
      <c r="J3073" s="31">
        <f>'تقرير المصروفات حسب الشهر'!AD939</f>
        <v>0</v>
      </c>
      <c r="K3073" s="31">
        <f>'تقرير المصروفات حسب الشهر'!AD1066</f>
        <v>0</v>
      </c>
      <c r="L3073" s="292">
        <f>IFERROR(VLOOKUP(B3073,'تقرير المصروفات حسب الشهر'!$C$1143:$AD$1254,28,FALSE),0)</f>
        <v>0</v>
      </c>
      <c r="M3073" s="31"/>
      <c r="N3073" s="31"/>
      <c r="O3073" s="37" t="e">
        <f t="shared" si="78"/>
        <v>#REF!</v>
      </c>
    </row>
    <row r="3074" spans="2:15" ht="17.399999999999999">
      <c r="B3074" s="42" t="s">
        <v>77</v>
      </c>
      <c r="C3074" s="39"/>
      <c r="D3074" s="31"/>
      <c r="E3074" s="31"/>
      <c r="F3074" s="31"/>
      <c r="G3074" s="31"/>
      <c r="H3074" s="31" t="e">
        <f>#REF!</f>
        <v>#REF!</v>
      </c>
      <c r="I3074" s="31">
        <f>'تقرير المصروفات حسب الشهر'!AD813</f>
        <v>0</v>
      </c>
      <c r="J3074" s="31">
        <f>'تقرير المصروفات حسب الشهر'!AD940</f>
        <v>0</v>
      </c>
      <c r="K3074" s="31">
        <f>'تقرير المصروفات حسب الشهر'!AD1067</f>
        <v>0</v>
      </c>
      <c r="L3074" s="292">
        <f>IFERROR(VLOOKUP(B3074,'تقرير المصروفات حسب الشهر'!$C$1143:$AD$1254,28,FALSE),0)</f>
        <v>0</v>
      </c>
      <c r="M3074" s="31"/>
      <c r="N3074" s="31"/>
      <c r="O3074" s="37" t="e">
        <f t="shared" si="78"/>
        <v>#REF!</v>
      </c>
    </row>
    <row r="3075" spans="2:15" ht="17.399999999999999">
      <c r="B3075" s="42" t="s">
        <v>78</v>
      </c>
      <c r="C3075" s="39"/>
      <c r="D3075" s="31"/>
      <c r="E3075" s="31"/>
      <c r="F3075" s="31"/>
      <c r="G3075" s="31"/>
      <c r="H3075" s="31" t="e">
        <f>#REF!</f>
        <v>#REF!</v>
      </c>
      <c r="I3075" s="31">
        <f>'تقرير المصروفات حسب الشهر'!AD814</f>
        <v>0</v>
      </c>
      <c r="J3075" s="31">
        <f>'تقرير المصروفات حسب الشهر'!AD941</f>
        <v>0</v>
      </c>
      <c r="K3075" s="31">
        <f>'تقرير المصروفات حسب الشهر'!AD1068</f>
        <v>0</v>
      </c>
      <c r="L3075" s="292">
        <f>IFERROR(VLOOKUP(B3075,'تقرير المصروفات حسب الشهر'!$C$1143:$AD$1254,28,FALSE),0)</f>
        <v>0</v>
      </c>
      <c r="M3075" s="31"/>
      <c r="N3075" s="31"/>
      <c r="O3075" s="37" t="e">
        <f t="shared" si="78"/>
        <v>#REF!</v>
      </c>
    </row>
    <row r="3076" spans="2:15" ht="17.399999999999999">
      <c r="B3076" s="42" t="s">
        <v>79</v>
      </c>
      <c r="C3076" s="39"/>
      <c r="D3076" s="31"/>
      <c r="E3076" s="31"/>
      <c r="F3076" s="31"/>
      <c r="G3076" s="31"/>
      <c r="H3076" s="31" t="e">
        <f>#REF!</f>
        <v>#REF!</v>
      </c>
      <c r="I3076" s="31">
        <f>'تقرير المصروفات حسب الشهر'!AD815</f>
        <v>0</v>
      </c>
      <c r="J3076" s="31">
        <f>'تقرير المصروفات حسب الشهر'!AD942</f>
        <v>0</v>
      </c>
      <c r="K3076" s="31">
        <f>'تقرير المصروفات حسب الشهر'!AD1069</f>
        <v>0</v>
      </c>
      <c r="L3076" s="292">
        <f>IFERROR(VLOOKUP(B3076,'تقرير المصروفات حسب الشهر'!$C$1143:$AD$1254,28,FALSE),0)</f>
        <v>0</v>
      </c>
      <c r="M3076" s="31"/>
      <c r="N3076" s="31"/>
      <c r="O3076" s="37" t="e">
        <f t="shared" si="78"/>
        <v>#REF!</v>
      </c>
    </row>
    <row r="3077" spans="2:15" ht="17.399999999999999">
      <c r="B3077" s="42" t="s">
        <v>80</v>
      </c>
      <c r="C3077" s="39"/>
      <c r="D3077" s="31"/>
      <c r="E3077" s="31"/>
      <c r="F3077" s="31"/>
      <c r="G3077" s="31"/>
      <c r="H3077" s="31" t="e">
        <f>#REF!</f>
        <v>#REF!</v>
      </c>
      <c r="I3077" s="31">
        <f>'تقرير المصروفات حسب الشهر'!AD816</f>
        <v>0</v>
      </c>
      <c r="J3077" s="31">
        <f>'تقرير المصروفات حسب الشهر'!AD943</f>
        <v>0</v>
      </c>
      <c r="K3077" s="31">
        <f>'تقرير المصروفات حسب الشهر'!AD1070</f>
        <v>0</v>
      </c>
      <c r="L3077" s="292">
        <f>IFERROR(VLOOKUP(B3077,'تقرير المصروفات حسب الشهر'!$C$1143:$AD$1254,28,FALSE),0)</f>
        <v>0</v>
      </c>
      <c r="M3077" s="31"/>
      <c r="N3077" s="31"/>
      <c r="O3077" s="37" t="e">
        <f t="shared" si="78"/>
        <v>#REF!</v>
      </c>
    </row>
    <row r="3078" spans="2:15" ht="17.399999999999999">
      <c r="B3078" s="42" t="s">
        <v>81</v>
      </c>
      <c r="C3078" s="39"/>
      <c r="D3078" s="31"/>
      <c r="E3078" s="31"/>
      <c r="F3078" s="31"/>
      <c r="G3078" s="31"/>
      <c r="H3078" s="31" t="e">
        <f>#REF!</f>
        <v>#REF!</v>
      </c>
      <c r="I3078" s="31">
        <f>'تقرير المصروفات حسب الشهر'!AD817</f>
        <v>0</v>
      </c>
      <c r="J3078" s="31">
        <f>'تقرير المصروفات حسب الشهر'!AD944</f>
        <v>0</v>
      </c>
      <c r="K3078" s="31">
        <f>'تقرير المصروفات حسب الشهر'!AD1071</f>
        <v>0</v>
      </c>
      <c r="L3078" s="292">
        <f>IFERROR(VLOOKUP(B3078,'تقرير المصروفات حسب الشهر'!$C$1143:$AD$1254,28,FALSE),0)</f>
        <v>0</v>
      </c>
      <c r="M3078" s="31"/>
      <c r="N3078" s="31"/>
      <c r="O3078" s="37" t="e">
        <f t="shared" si="78"/>
        <v>#REF!</v>
      </c>
    </row>
    <row r="3079" spans="2:15" ht="17.399999999999999">
      <c r="B3079" s="42" t="s">
        <v>82</v>
      </c>
      <c r="C3079" s="39"/>
      <c r="D3079" s="31"/>
      <c r="E3079" s="31"/>
      <c r="F3079" s="31"/>
      <c r="G3079" s="31"/>
      <c r="H3079" s="31" t="e">
        <f>#REF!</f>
        <v>#REF!</v>
      </c>
      <c r="I3079" s="31">
        <f>'تقرير المصروفات حسب الشهر'!AD818</f>
        <v>0</v>
      </c>
      <c r="J3079" s="31">
        <f>'تقرير المصروفات حسب الشهر'!AD945</f>
        <v>0</v>
      </c>
      <c r="K3079" s="31">
        <f>'تقرير المصروفات حسب الشهر'!AD1072</f>
        <v>0</v>
      </c>
      <c r="L3079" s="292">
        <f>IFERROR(VLOOKUP(B3079,'تقرير المصروفات حسب الشهر'!$C$1143:$AD$1254,28,FALSE),0)</f>
        <v>0</v>
      </c>
      <c r="M3079" s="31"/>
      <c r="N3079" s="31"/>
      <c r="O3079" s="37" t="e">
        <f t="shared" si="78"/>
        <v>#REF!</v>
      </c>
    </row>
    <row r="3080" spans="2:15" ht="17.399999999999999">
      <c r="B3080" s="42" t="s">
        <v>83</v>
      </c>
      <c r="C3080" s="39"/>
      <c r="D3080" s="31"/>
      <c r="E3080" s="31"/>
      <c r="F3080" s="31"/>
      <c r="G3080" s="31"/>
      <c r="H3080" s="31" t="e">
        <f>#REF!</f>
        <v>#REF!</v>
      </c>
      <c r="I3080" s="31">
        <f>'تقرير المصروفات حسب الشهر'!AD819</f>
        <v>0</v>
      </c>
      <c r="J3080" s="31">
        <f>'تقرير المصروفات حسب الشهر'!AD946</f>
        <v>0</v>
      </c>
      <c r="K3080" s="31">
        <f>'تقرير المصروفات حسب الشهر'!AD1073</f>
        <v>0</v>
      </c>
      <c r="L3080" s="292">
        <f>IFERROR(VLOOKUP(B3080,'تقرير المصروفات حسب الشهر'!$C$1143:$AD$1254,28,FALSE),0)</f>
        <v>0</v>
      </c>
      <c r="M3080" s="31"/>
      <c r="N3080" s="31"/>
      <c r="O3080" s="37" t="e">
        <f t="shared" si="78"/>
        <v>#REF!</v>
      </c>
    </row>
    <row r="3081" spans="2:15" ht="17.399999999999999">
      <c r="B3081" s="42" t="s">
        <v>84</v>
      </c>
      <c r="C3081" s="39"/>
      <c r="D3081" s="31"/>
      <c r="E3081" s="31"/>
      <c r="F3081" s="31"/>
      <c r="G3081" s="31"/>
      <c r="H3081" s="31" t="e">
        <f>#REF!</f>
        <v>#REF!</v>
      </c>
      <c r="I3081" s="31">
        <f>'تقرير المصروفات حسب الشهر'!AD820</f>
        <v>0</v>
      </c>
      <c r="J3081" s="31">
        <f>'تقرير المصروفات حسب الشهر'!AD947</f>
        <v>0</v>
      </c>
      <c r="K3081" s="31">
        <f>'تقرير المصروفات حسب الشهر'!AD1074</f>
        <v>0</v>
      </c>
      <c r="L3081" s="292">
        <f>IFERROR(VLOOKUP(B3081,'تقرير المصروفات حسب الشهر'!$C$1143:$AD$1254,28,FALSE),0)</f>
        <v>0</v>
      </c>
      <c r="M3081" s="31"/>
      <c r="N3081" s="31"/>
      <c r="O3081" s="37" t="e">
        <f t="shared" si="78"/>
        <v>#REF!</v>
      </c>
    </row>
    <row r="3082" spans="2:15" ht="17.399999999999999">
      <c r="B3082" s="42" t="s">
        <v>85</v>
      </c>
      <c r="C3082" s="39"/>
      <c r="D3082" s="31"/>
      <c r="E3082" s="31"/>
      <c r="F3082" s="31"/>
      <c r="G3082" s="31"/>
      <c r="H3082" s="31" t="e">
        <f>#REF!</f>
        <v>#REF!</v>
      </c>
      <c r="I3082" s="31">
        <f>'تقرير المصروفات حسب الشهر'!AD821</f>
        <v>0</v>
      </c>
      <c r="J3082" s="31">
        <f>'تقرير المصروفات حسب الشهر'!AD948</f>
        <v>0</v>
      </c>
      <c r="K3082" s="31">
        <f>'تقرير المصروفات حسب الشهر'!AD1075</f>
        <v>0</v>
      </c>
      <c r="L3082" s="292">
        <f>IFERROR(VLOOKUP(B3082,'تقرير المصروفات حسب الشهر'!$C$1143:$AD$1254,28,FALSE),0)</f>
        <v>0</v>
      </c>
      <c r="M3082" s="31"/>
      <c r="N3082" s="31"/>
      <c r="O3082" s="37" t="e">
        <f t="shared" si="78"/>
        <v>#REF!</v>
      </c>
    </row>
    <row r="3083" spans="2:15" ht="17.399999999999999">
      <c r="B3083" s="42" t="s">
        <v>86</v>
      </c>
      <c r="C3083" s="39"/>
      <c r="D3083" s="31"/>
      <c r="E3083" s="31"/>
      <c r="F3083" s="31"/>
      <c r="G3083" s="31"/>
      <c r="H3083" s="31" t="e">
        <f>#REF!</f>
        <v>#REF!</v>
      </c>
      <c r="I3083" s="31">
        <f>'تقرير المصروفات حسب الشهر'!AD822</f>
        <v>0</v>
      </c>
      <c r="J3083" s="31">
        <f>'تقرير المصروفات حسب الشهر'!AD949</f>
        <v>0</v>
      </c>
      <c r="K3083" s="31">
        <f>'تقرير المصروفات حسب الشهر'!AD1076</f>
        <v>0</v>
      </c>
      <c r="L3083" s="292">
        <f>IFERROR(VLOOKUP(B3083,'تقرير المصروفات حسب الشهر'!$C$1143:$AD$1254,28,FALSE),0)</f>
        <v>0</v>
      </c>
      <c r="M3083" s="31"/>
      <c r="N3083" s="31"/>
      <c r="O3083" s="37" t="e">
        <f t="shared" si="78"/>
        <v>#REF!</v>
      </c>
    </row>
    <row r="3084" spans="2:15" ht="17.399999999999999">
      <c r="B3084" s="42" t="s">
        <v>87</v>
      </c>
      <c r="C3084" s="39"/>
      <c r="D3084" s="31"/>
      <c r="E3084" s="31"/>
      <c r="F3084" s="31"/>
      <c r="G3084" s="31"/>
      <c r="H3084" s="31" t="e">
        <f>#REF!</f>
        <v>#REF!</v>
      </c>
      <c r="I3084" s="31">
        <f>'تقرير المصروفات حسب الشهر'!AD823</f>
        <v>0</v>
      </c>
      <c r="J3084" s="31">
        <f>'تقرير المصروفات حسب الشهر'!AD950</f>
        <v>0</v>
      </c>
      <c r="K3084" s="31">
        <f>'تقرير المصروفات حسب الشهر'!AD1077</f>
        <v>0</v>
      </c>
      <c r="L3084" s="292">
        <f>IFERROR(VLOOKUP(B3084,'تقرير المصروفات حسب الشهر'!$C$1143:$AD$1254,28,FALSE),0)</f>
        <v>0</v>
      </c>
      <c r="M3084" s="31"/>
      <c r="N3084" s="31"/>
      <c r="O3084" s="37" t="e">
        <f t="shared" si="78"/>
        <v>#REF!</v>
      </c>
    </row>
    <row r="3085" spans="2:15" ht="17.399999999999999">
      <c r="B3085" s="42" t="s">
        <v>88</v>
      </c>
      <c r="C3085" s="39"/>
      <c r="D3085" s="31"/>
      <c r="E3085" s="31"/>
      <c r="F3085" s="31"/>
      <c r="G3085" s="31"/>
      <c r="H3085" s="31" t="e">
        <f>#REF!</f>
        <v>#REF!</v>
      </c>
      <c r="I3085" s="31">
        <f>'تقرير المصروفات حسب الشهر'!AD824</f>
        <v>0</v>
      </c>
      <c r="J3085" s="31">
        <f>'تقرير المصروفات حسب الشهر'!AD951</f>
        <v>0</v>
      </c>
      <c r="K3085" s="31">
        <f>'تقرير المصروفات حسب الشهر'!AD1078</f>
        <v>0</v>
      </c>
      <c r="L3085" s="292">
        <f>IFERROR(VLOOKUP(B3085,'تقرير المصروفات حسب الشهر'!$C$1143:$AD$1254,28,FALSE),0)</f>
        <v>0</v>
      </c>
      <c r="M3085" s="31"/>
      <c r="N3085" s="31"/>
      <c r="O3085" s="37" t="e">
        <f t="shared" si="78"/>
        <v>#REF!</v>
      </c>
    </row>
    <row r="3086" spans="2:15" ht="17.399999999999999">
      <c r="B3086" s="42" t="s">
        <v>89</v>
      </c>
      <c r="C3086" s="39"/>
      <c r="D3086" s="31"/>
      <c r="E3086" s="31"/>
      <c r="F3086" s="31"/>
      <c r="G3086" s="31"/>
      <c r="H3086" s="31" t="e">
        <f>#REF!</f>
        <v>#REF!</v>
      </c>
      <c r="I3086" s="31">
        <f>'تقرير المصروفات حسب الشهر'!AD825</f>
        <v>0</v>
      </c>
      <c r="J3086" s="31">
        <f>'تقرير المصروفات حسب الشهر'!AD952</f>
        <v>0</v>
      </c>
      <c r="K3086" s="31">
        <f>'تقرير المصروفات حسب الشهر'!AD1079</f>
        <v>0</v>
      </c>
      <c r="L3086" s="292">
        <f>IFERROR(VLOOKUP(B3086,'تقرير المصروفات حسب الشهر'!$C$1143:$AD$1254,28,FALSE),0)</f>
        <v>0</v>
      </c>
      <c r="M3086" s="31"/>
      <c r="N3086" s="31"/>
      <c r="O3086" s="37" t="e">
        <f t="shared" si="78"/>
        <v>#REF!</v>
      </c>
    </row>
    <row r="3087" spans="2:15" ht="17.399999999999999">
      <c r="B3087" s="42" t="s">
        <v>33</v>
      </c>
      <c r="C3087" s="39"/>
      <c r="D3087" s="31"/>
      <c r="E3087" s="31"/>
      <c r="F3087" s="31"/>
      <c r="G3087" s="31"/>
      <c r="H3087" s="31" t="e">
        <f>#REF!</f>
        <v>#REF!</v>
      </c>
      <c r="I3087" s="31">
        <f>'تقرير المصروفات حسب الشهر'!AD826</f>
        <v>0</v>
      </c>
      <c r="J3087" s="31">
        <f>'تقرير المصروفات حسب الشهر'!AD953</f>
        <v>0</v>
      </c>
      <c r="K3087" s="31">
        <f>'تقرير المصروفات حسب الشهر'!AD1080</f>
        <v>0</v>
      </c>
      <c r="L3087" s="292">
        <f>IFERROR(VLOOKUP(B3087,'تقرير المصروفات حسب الشهر'!$C$1143:$AD$1254,28,FALSE),0)</f>
        <v>0</v>
      </c>
      <c r="M3087" s="31"/>
      <c r="N3087" s="31"/>
      <c r="O3087" s="37" t="e">
        <f t="shared" si="78"/>
        <v>#REF!</v>
      </c>
    </row>
    <row r="3088" spans="2:15" ht="17.399999999999999">
      <c r="B3088" s="42" t="s">
        <v>90</v>
      </c>
      <c r="C3088" s="39"/>
      <c r="D3088" s="31"/>
      <c r="E3088" s="31"/>
      <c r="F3088" s="31"/>
      <c r="G3088" s="31"/>
      <c r="H3088" s="31" t="e">
        <f>#REF!</f>
        <v>#REF!</v>
      </c>
      <c r="I3088" s="31">
        <f>'تقرير المصروفات حسب الشهر'!AD827</f>
        <v>0</v>
      </c>
      <c r="J3088" s="31">
        <f>'تقرير المصروفات حسب الشهر'!AD954</f>
        <v>0</v>
      </c>
      <c r="K3088" s="31">
        <f>'تقرير المصروفات حسب الشهر'!AD1081</f>
        <v>0</v>
      </c>
      <c r="L3088" s="292">
        <f>IFERROR(VLOOKUP(B3088,'تقرير المصروفات حسب الشهر'!$C$1143:$AD$1254,28,FALSE),0)</f>
        <v>0</v>
      </c>
      <c r="M3088" s="31"/>
      <c r="N3088" s="31"/>
      <c r="O3088" s="37" t="e">
        <f t="shared" si="78"/>
        <v>#REF!</v>
      </c>
    </row>
    <row r="3089" spans="2:15" ht="17.399999999999999">
      <c r="B3089" s="42" t="s">
        <v>91</v>
      </c>
      <c r="C3089" s="39"/>
      <c r="D3089" s="31"/>
      <c r="E3089" s="31"/>
      <c r="F3089" s="31"/>
      <c r="G3089" s="31"/>
      <c r="H3089" s="31" t="e">
        <f>#REF!</f>
        <v>#REF!</v>
      </c>
      <c r="I3089" s="31">
        <f>'تقرير المصروفات حسب الشهر'!AD828</f>
        <v>0</v>
      </c>
      <c r="J3089" s="31">
        <f>'تقرير المصروفات حسب الشهر'!AD955</f>
        <v>0</v>
      </c>
      <c r="K3089" s="31">
        <f>'تقرير المصروفات حسب الشهر'!AD1082</f>
        <v>0</v>
      </c>
      <c r="L3089" s="292">
        <f>IFERROR(VLOOKUP(B3089,'تقرير المصروفات حسب الشهر'!$C$1143:$AD$1254,28,FALSE),0)</f>
        <v>0</v>
      </c>
      <c r="M3089" s="31"/>
      <c r="N3089" s="31"/>
      <c r="O3089" s="37" t="e">
        <f t="shared" ref="O3089:O3122" si="79">SUM(C3089:N3089)</f>
        <v>#REF!</v>
      </c>
    </row>
    <row r="3090" spans="2:15" ht="17.399999999999999">
      <c r="B3090" s="42" t="s">
        <v>92</v>
      </c>
      <c r="C3090" s="39"/>
      <c r="D3090" s="31"/>
      <c r="E3090" s="31"/>
      <c r="F3090" s="31"/>
      <c r="G3090" s="31"/>
      <c r="H3090" s="31" t="e">
        <f>#REF!</f>
        <v>#REF!</v>
      </c>
      <c r="I3090" s="31">
        <f>'تقرير المصروفات حسب الشهر'!AD829</f>
        <v>0</v>
      </c>
      <c r="J3090" s="31">
        <f>'تقرير المصروفات حسب الشهر'!AD956</f>
        <v>0</v>
      </c>
      <c r="K3090" s="31">
        <f>'تقرير المصروفات حسب الشهر'!AD1083</f>
        <v>0</v>
      </c>
      <c r="L3090" s="292">
        <f>IFERROR(VLOOKUP(B3090,'تقرير المصروفات حسب الشهر'!$C$1143:$AD$1254,28,FALSE),0)</f>
        <v>0</v>
      </c>
      <c r="M3090" s="31"/>
      <c r="N3090" s="31"/>
      <c r="O3090" s="37" t="e">
        <f t="shared" si="79"/>
        <v>#REF!</v>
      </c>
    </row>
    <row r="3091" spans="2:15" ht="17.399999999999999">
      <c r="B3091" s="42" t="s">
        <v>93</v>
      </c>
      <c r="C3091" s="39"/>
      <c r="D3091" s="31"/>
      <c r="E3091" s="31"/>
      <c r="F3091" s="31"/>
      <c r="G3091" s="31"/>
      <c r="H3091" s="31" t="e">
        <f>#REF!</f>
        <v>#REF!</v>
      </c>
      <c r="I3091" s="31">
        <f>'تقرير المصروفات حسب الشهر'!AD830</f>
        <v>0</v>
      </c>
      <c r="J3091" s="31">
        <f>'تقرير المصروفات حسب الشهر'!AD957</f>
        <v>0</v>
      </c>
      <c r="K3091" s="31">
        <f>'تقرير المصروفات حسب الشهر'!AD1084</f>
        <v>0</v>
      </c>
      <c r="L3091" s="292">
        <f>IFERROR(VLOOKUP(B3091,'تقرير المصروفات حسب الشهر'!$C$1143:$AD$1254,28,FALSE),0)</f>
        <v>0</v>
      </c>
      <c r="M3091" s="31"/>
      <c r="N3091" s="31"/>
      <c r="O3091" s="37" t="e">
        <f t="shared" si="79"/>
        <v>#REF!</v>
      </c>
    </row>
    <row r="3092" spans="2:15" ht="17.399999999999999">
      <c r="B3092" s="42" t="s">
        <v>94</v>
      </c>
      <c r="C3092" s="39"/>
      <c r="D3092" s="31"/>
      <c r="E3092" s="31"/>
      <c r="F3092" s="31"/>
      <c r="G3092" s="31"/>
      <c r="H3092" s="31" t="e">
        <f>#REF!</f>
        <v>#REF!</v>
      </c>
      <c r="I3092" s="31">
        <f>'تقرير المصروفات حسب الشهر'!AD831</f>
        <v>0</v>
      </c>
      <c r="J3092" s="31">
        <f>'تقرير المصروفات حسب الشهر'!AD958</f>
        <v>0</v>
      </c>
      <c r="K3092" s="31">
        <f>'تقرير المصروفات حسب الشهر'!AD1085</f>
        <v>0</v>
      </c>
      <c r="L3092" s="292">
        <f>IFERROR(VLOOKUP(B3092,'تقرير المصروفات حسب الشهر'!$C$1143:$AD$1254,28,FALSE),0)</f>
        <v>0</v>
      </c>
      <c r="M3092" s="31"/>
      <c r="N3092" s="31"/>
      <c r="O3092" s="37" t="e">
        <f t="shared" si="79"/>
        <v>#REF!</v>
      </c>
    </row>
    <row r="3093" spans="2:15" ht="17.399999999999999">
      <c r="B3093" s="42" t="s">
        <v>95</v>
      </c>
      <c r="C3093" s="39"/>
      <c r="D3093" s="31"/>
      <c r="E3093" s="31"/>
      <c r="F3093" s="31"/>
      <c r="G3093" s="31"/>
      <c r="H3093" s="31" t="e">
        <f>#REF!</f>
        <v>#REF!</v>
      </c>
      <c r="I3093" s="31">
        <f>'تقرير المصروفات حسب الشهر'!AD832</f>
        <v>0</v>
      </c>
      <c r="J3093" s="31">
        <f>'تقرير المصروفات حسب الشهر'!AD959</f>
        <v>0</v>
      </c>
      <c r="K3093" s="31">
        <f>'تقرير المصروفات حسب الشهر'!AD1086</f>
        <v>0</v>
      </c>
      <c r="L3093" s="292">
        <f>IFERROR(VLOOKUP(B3093,'تقرير المصروفات حسب الشهر'!$C$1143:$AD$1254,28,FALSE),0)</f>
        <v>0</v>
      </c>
      <c r="M3093" s="31"/>
      <c r="N3093" s="31"/>
      <c r="O3093" s="37" t="e">
        <f t="shared" si="79"/>
        <v>#REF!</v>
      </c>
    </row>
    <row r="3094" spans="2:15" ht="17.399999999999999">
      <c r="B3094" s="42" t="s">
        <v>96</v>
      </c>
      <c r="C3094" s="39"/>
      <c r="D3094" s="31"/>
      <c r="E3094" s="31"/>
      <c r="F3094" s="31"/>
      <c r="G3094" s="31"/>
      <c r="H3094" s="31" t="e">
        <f>#REF!</f>
        <v>#REF!</v>
      </c>
      <c r="I3094" s="31">
        <f>'تقرير المصروفات حسب الشهر'!AD833</f>
        <v>0</v>
      </c>
      <c r="J3094" s="31">
        <f>'تقرير المصروفات حسب الشهر'!AD960</f>
        <v>0</v>
      </c>
      <c r="K3094" s="31">
        <f>'تقرير المصروفات حسب الشهر'!AD1087</f>
        <v>0</v>
      </c>
      <c r="L3094" s="292">
        <f>IFERROR(VLOOKUP(B3094,'تقرير المصروفات حسب الشهر'!$C$1143:$AD$1254,28,FALSE),0)</f>
        <v>0</v>
      </c>
      <c r="M3094" s="31"/>
      <c r="N3094" s="31"/>
      <c r="O3094" s="37" t="e">
        <f t="shared" si="79"/>
        <v>#REF!</v>
      </c>
    </row>
    <row r="3095" spans="2:15" ht="17.399999999999999">
      <c r="B3095" s="42" t="s">
        <v>97</v>
      </c>
      <c r="C3095" s="39"/>
      <c r="D3095" s="31"/>
      <c r="E3095" s="31"/>
      <c r="F3095" s="31"/>
      <c r="G3095" s="31"/>
      <c r="H3095" s="31" t="e">
        <f>#REF!</f>
        <v>#REF!</v>
      </c>
      <c r="I3095" s="31">
        <f>'تقرير المصروفات حسب الشهر'!AD834</f>
        <v>0</v>
      </c>
      <c r="J3095" s="31">
        <f>'تقرير المصروفات حسب الشهر'!AD961</f>
        <v>0</v>
      </c>
      <c r="K3095" s="31">
        <f>'تقرير المصروفات حسب الشهر'!AD1088</f>
        <v>0</v>
      </c>
      <c r="L3095" s="292">
        <f>IFERROR(VLOOKUP(B3095,'تقرير المصروفات حسب الشهر'!$C$1143:$AD$1254,28,FALSE),0)</f>
        <v>0</v>
      </c>
      <c r="M3095" s="31"/>
      <c r="N3095" s="31"/>
      <c r="O3095" s="37" t="e">
        <f t="shared" si="79"/>
        <v>#REF!</v>
      </c>
    </row>
    <row r="3096" spans="2:15" ht="17.399999999999999">
      <c r="B3096" s="42" t="s">
        <v>192</v>
      </c>
      <c r="C3096" s="39"/>
      <c r="D3096" s="31"/>
      <c r="E3096" s="31"/>
      <c r="F3096" s="31"/>
      <c r="G3096" s="31"/>
      <c r="H3096" s="31" t="e">
        <f>#REF!</f>
        <v>#REF!</v>
      </c>
      <c r="I3096" s="31">
        <f>'تقرير المصروفات حسب الشهر'!AD835</f>
        <v>0</v>
      </c>
      <c r="J3096" s="31">
        <f>'تقرير المصروفات حسب الشهر'!AD962</f>
        <v>0</v>
      </c>
      <c r="K3096" s="31">
        <f>'تقرير المصروفات حسب الشهر'!AD1089</f>
        <v>0</v>
      </c>
      <c r="L3096" s="292">
        <f>IFERROR(VLOOKUP(B3096,'تقرير المصروفات حسب الشهر'!$C$1143:$AD$1254,28,FALSE),0)</f>
        <v>0</v>
      </c>
      <c r="M3096" s="31"/>
      <c r="N3096" s="31"/>
      <c r="O3096" s="37" t="e">
        <f t="shared" si="79"/>
        <v>#REF!</v>
      </c>
    </row>
    <row r="3097" spans="2:15" ht="17.399999999999999">
      <c r="B3097" s="42" t="s">
        <v>98</v>
      </c>
      <c r="C3097" s="39"/>
      <c r="D3097" s="31"/>
      <c r="E3097" s="31"/>
      <c r="F3097" s="31"/>
      <c r="G3097" s="31"/>
      <c r="H3097" s="31" t="e">
        <f>#REF!</f>
        <v>#REF!</v>
      </c>
      <c r="I3097" s="31">
        <f>'تقرير المصروفات حسب الشهر'!AD836</f>
        <v>0</v>
      </c>
      <c r="J3097" s="31">
        <f>'تقرير المصروفات حسب الشهر'!AD963</f>
        <v>0</v>
      </c>
      <c r="K3097" s="31">
        <f>'تقرير المصروفات حسب الشهر'!AD1090</f>
        <v>0</v>
      </c>
      <c r="L3097" s="292">
        <f>IFERROR(VLOOKUP(B3097,'تقرير المصروفات حسب الشهر'!$C$1143:$AD$1254,28,FALSE),0)</f>
        <v>0</v>
      </c>
      <c r="M3097" s="31"/>
      <c r="N3097" s="31"/>
      <c r="O3097" s="37" t="e">
        <f t="shared" si="79"/>
        <v>#REF!</v>
      </c>
    </row>
    <row r="3098" spans="2:15" ht="17.399999999999999">
      <c r="B3098" s="42" t="s">
        <v>99</v>
      </c>
      <c r="C3098" s="39"/>
      <c r="D3098" s="31"/>
      <c r="E3098" s="31"/>
      <c r="F3098" s="31"/>
      <c r="G3098" s="31"/>
      <c r="H3098" s="31" t="e">
        <f>#REF!</f>
        <v>#REF!</v>
      </c>
      <c r="I3098" s="31">
        <f>'تقرير المصروفات حسب الشهر'!AD837</f>
        <v>0</v>
      </c>
      <c r="J3098" s="31">
        <f>'تقرير المصروفات حسب الشهر'!AD964</f>
        <v>0</v>
      </c>
      <c r="K3098" s="31">
        <f>'تقرير المصروفات حسب الشهر'!AD1091</f>
        <v>0</v>
      </c>
      <c r="L3098" s="292">
        <f>IFERROR(VLOOKUP(B3098,'تقرير المصروفات حسب الشهر'!$C$1143:$AD$1254,28,FALSE),0)</f>
        <v>0</v>
      </c>
      <c r="M3098" s="31"/>
      <c r="N3098" s="31"/>
      <c r="O3098" s="37" t="e">
        <f t="shared" si="79"/>
        <v>#REF!</v>
      </c>
    </row>
    <row r="3099" spans="2:15" ht="17.399999999999999">
      <c r="B3099" s="42" t="s">
        <v>100</v>
      </c>
      <c r="C3099" s="39"/>
      <c r="D3099" s="31"/>
      <c r="E3099" s="31"/>
      <c r="F3099" s="31"/>
      <c r="G3099" s="31"/>
      <c r="H3099" s="31" t="e">
        <f>#REF!</f>
        <v>#REF!</v>
      </c>
      <c r="I3099" s="31">
        <f>'تقرير المصروفات حسب الشهر'!AD838</f>
        <v>0</v>
      </c>
      <c r="J3099" s="31">
        <f>'تقرير المصروفات حسب الشهر'!AD965</f>
        <v>0</v>
      </c>
      <c r="K3099" s="31">
        <f>'تقرير المصروفات حسب الشهر'!AD1092</f>
        <v>0</v>
      </c>
      <c r="L3099" s="292">
        <f>IFERROR(VLOOKUP(B3099,'تقرير المصروفات حسب الشهر'!$C$1143:$AD$1254,28,FALSE),0)</f>
        <v>0</v>
      </c>
      <c r="M3099" s="31"/>
      <c r="N3099" s="31"/>
      <c r="O3099" s="37" t="e">
        <f t="shared" si="79"/>
        <v>#REF!</v>
      </c>
    </row>
    <row r="3100" spans="2:15" ht="17.399999999999999">
      <c r="B3100" s="42" t="s">
        <v>101</v>
      </c>
      <c r="C3100" s="39"/>
      <c r="D3100" s="31"/>
      <c r="E3100" s="31"/>
      <c r="F3100" s="31"/>
      <c r="G3100" s="31"/>
      <c r="H3100" s="31" t="e">
        <f>#REF!</f>
        <v>#REF!</v>
      </c>
      <c r="I3100" s="31">
        <f>'تقرير المصروفات حسب الشهر'!AD839</f>
        <v>0</v>
      </c>
      <c r="J3100" s="31">
        <f>'تقرير المصروفات حسب الشهر'!AD966</f>
        <v>0</v>
      </c>
      <c r="K3100" s="31">
        <f>'تقرير المصروفات حسب الشهر'!AD1093</f>
        <v>0</v>
      </c>
      <c r="L3100" s="292">
        <f>IFERROR(VLOOKUP(B3100,'تقرير المصروفات حسب الشهر'!$C$1143:$AD$1254,28,FALSE),0)</f>
        <v>0</v>
      </c>
      <c r="M3100" s="31"/>
      <c r="N3100" s="31"/>
      <c r="O3100" s="37" t="e">
        <f t="shared" si="79"/>
        <v>#REF!</v>
      </c>
    </row>
    <row r="3101" spans="2:15" ht="17.399999999999999">
      <c r="B3101" s="42" t="s">
        <v>102</v>
      </c>
      <c r="C3101" s="39"/>
      <c r="D3101" s="31"/>
      <c r="E3101" s="31"/>
      <c r="F3101" s="31"/>
      <c r="G3101" s="31"/>
      <c r="H3101" s="31" t="e">
        <f>#REF!</f>
        <v>#REF!</v>
      </c>
      <c r="I3101" s="31">
        <f>'تقرير المصروفات حسب الشهر'!AD840</f>
        <v>0</v>
      </c>
      <c r="J3101" s="31">
        <f>'تقرير المصروفات حسب الشهر'!AD967</f>
        <v>0</v>
      </c>
      <c r="K3101" s="31">
        <f>'تقرير المصروفات حسب الشهر'!AD1094</f>
        <v>0</v>
      </c>
      <c r="L3101" s="292">
        <f>IFERROR(VLOOKUP(B3101,'تقرير المصروفات حسب الشهر'!$C$1143:$AD$1254,28,FALSE),0)</f>
        <v>0</v>
      </c>
      <c r="M3101" s="31"/>
      <c r="N3101" s="31"/>
      <c r="O3101" s="37" t="e">
        <f t="shared" si="79"/>
        <v>#REF!</v>
      </c>
    </row>
    <row r="3102" spans="2:15" ht="17.399999999999999">
      <c r="B3102" s="42" t="s">
        <v>103</v>
      </c>
      <c r="C3102" s="39"/>
      <c r="D3102" s="31"/>
      <c r="E3102" s="31"/>
      <c r="F3102" s="31"/>
      <c r="G3102" s="31"/>
      <c r="H3102" s="31" t="e">
        <f>#REF!</f>
        <v>#REF!</v>
      </c>
      <c r="I3102" s="31">
        <f>'تقرير المصروفات حسب الشهر'!AD841</f>
        <v>0</v>
      </c>
      <c r="J3102" s="31">
        <f>'تقرير المصروفات حسب الشهر'!AD968</f>
        <v>0</v>
      </c>
      <c r="K3102" s="31">
        <f>'تقرير المصروفات حسب الشهر'!AD1095</f>
        <v>0</v>
      </c>
      <c r="L3102" s="292">
        <f>IFERROR(VLOOKUP(B3102,'تقرير المصروفات حسب الشهر'!$C$1143:$AD$1254,28,FALSE),0)</f>
        <v>0</v>
      </c>
      <c r="M3102" s="31"/>
      <c r="N3102" s="31"/>
      <c r="O3102" s="37" t="e">
        <f t="shared" si="79"/>
        <v>#REF!</v>
      </c>
    </row>
    <row r="3103" spans="2:15" ht="17.399999999999999">
      <c r="B3103" s="42" t="s">
        <v>104</v>
      </c>
      <c r="C3103" s="39"/>
      <c r="D3103" s="31"/>
      <c r="E3103" s="31"/>
      <c r="F3103" s="31"/>
      <c r="G3103" s="31"/>
      <c r="H3103" s="31" t="e">
        <f>#REF!</f>
        <v>#REF!</v>
      </c>
      <c r="I3103" s="31">
        <f>'تقرير المصروفات حسب الشهر'!AD842</f>
        <v>0</v>
      </c>
      <c r="J3103" s="31">
        <f>'تقرير المصروفات حسب الشهر'!AD969</f>
        <v>0</v>
      </c>
      <c r="K3103" s="31">
        <f>'تقرير المصروفات حسب الشهر'!AD1096</f>
        <v>0</v>
      </c>
      <c r="L3103" s="292">
        <f>IFERROR(VLOOKUP(B3103,'تقرير المصروفات حسب الشهر'!$C$1143:$AD$1254,28,FALSE),0)</f>
        <v>0</v>
      </c>
      <c r="M3103" s="31"/>
      <c r="N3103" s="31"/>
      <c r="O3103" s="37" t="e">
        <f t="shared" si="79"/>
        <v>#REF!</v>
      </c>
    </row>
    <row r="3104" spans="2:15" ht="17.399999999999999">
      <c r="B3104" s="42" t="s">
        <v>105</v>
      </c>
      <c r="C3104" s="39"/>
      <c r="D3104" s="31"/>
      <c r="E3104" s="31"/>
      <c r="F3104" s="31"/>
      <c r="G3104" s="31"/>
      <c r="H3104" s="31" t="e">
        <f>#REF!</f>
        <v>#REF!</v>
      </c>
      <c r="I3104" s="31">
        <f>'تقرير المصروفات حسب الشهر'!AD843</f>
        <v>0</v>
      </c>
      <c r="J3104" s="31">
        <f>'تقرير المصروفات حسب الشهر'!AD970</f>
        <v>0</v>
      </c>
      <c r="K3104" s="31">
        <f>'تقرير المصروفات حسب الشهر'!AD1097</f>
        <v>0</v>
      </c>
      <c r="L3104" s="292">
        <f>IFERROR(VLOOKUP(B3104,'تقرير المصروفات حسب الشهر'!$C$1143:$AD$1254,28,FALSE),0)</f>
        <v>0</v>
      </c>
      <c r="M3104" s="31"/>
      <c r="N3104" s="31"/>
      <c r="O3104" s="37" t="e">
        <f t="shared" si="79"/>
        <v>#REF!</v>
      </c>
    </row>
    <row r="3105" spans="2:15" ht="17.399999999999999">
      <c r="B3105" s="42" t="s">
        <v>106</v>
      </c>
      <c r="C3105" s="39"/>
      <c r="D3105" s="31"/>
      <c r="E3105" s="31"/>
      <c r="F3105" s="31"/>
      <c r="G3105" s="31"/>
      <c r="H3105" s="31" t="e">
        <f>#REF!</f>
        <v>#REF!</v>
      </c>
      <c r="I3105" s="31">
        <f>'تقرير المصروفات حسب الشهر'!AD844</f>
        <v>0</v>
      </c>
      <c r="J3105" s="31">
        <f>'تقرير المصروفات حسب الشهر'!AD971</f>
        <v>0</v>
      </c>
      <c r="K3105" s="31">
        <f>'تقرير المصروفات حسب الشهر'!AD1098</f>
        <v>0</v>
      </c>
      <c r="L3105" s="292">
        <f>IFERROR(VLOOKUP(B3105,'تقرير المصروفات حسب الشهر'!$C$1143:$AD$1254,28,FALSE),0)</f>
        <v>0</v>
      </c>
      <c r="M3105" s="31"/>
      <c r="N3105" s="31"/>
      <c r="O3105" s="37" t="e">
        <f t="shared" si="79"/>
        <v>#REF!</v>
      </c>
    </row>
    <row r="3106" spans="2:15" ht="17.399999999999999">
      <c r="B3106" s="42" t="s">
        <v>107</v>
      </c>
      <c r="C3106" s="39"/>
      <c r="D3106" s="31"/>
      <c r="E3106" s="31"/>
      <c r="F3106" s="31"/>
      <c r="G3106" s="31"/>
      <c r="H3106" s="31" t="e">
        <f>#REF!</f>
        <v>#REF!</v>
      </c>
      <c r="I3106" s="31">
        <f>'تقرير المصروفات حسب الشهر'!AD845</f>
        <v>0</v>
      </c>
      <c r="J3106" s="31">
        <f>'تقرير المصروفات حسب الشهر'!AD972</f>
        <v>0</v>
      </c>
      <c r="K3106" s="31">
        <f>'تقرير المصروفات حسب الشهر'!AD1099</f>
        <v>0</v>
      </c>
      <c r="L3106" s="292">
        <f>IFERROR(VLOOKUP(B3106,'تقرير المصروفات حسب الشهر'!$C$1143:$AD$1254,28,FALSE),0)</f>
        <v>0</v>
      </c>
      <c r="M3106" s="31"/>
      <c r="N3106" s="31"/>
      <c r="O3106" s="37" t="e">
        <f t="shared" si="79"/>
        <v>#REF!</v>
      </c>
    </row>
    <row r="3107" spans="2:15" ht="17.399999999999999">
      <c r="B3107" s="42" t="s">
        <v>108</v>
      </c>
      <c r="C3107" s="39"/>
      <c r="D3107" s="31"/>
      <c r="E3107" s="31"/>
      <c r="F3107" s="31"/>
      <c r="G3107" s="31"/>
      <c r="H3107" s="31" t="e">
        <f>#REF!</f>
        <v>#REF!</v>
      </c>
      <c r="I3107" s="31">
        <f>'تقرير المصروفات حسب الشهر'!AD846</f>
        <v>0</v>
      </c>
      <c r="J3107" s="31">
        <f>'تقرير المصروفات حسب الشهر'!AD973</f>
        <v>0</v>
      </c>
      <c r="K3107" s="31">
        <f>'تقرير المصروفات حسب الشهر'!AD1100</f>
        <v>0</v>
      </c>
      <c r="L3107" s="292">
        <f>IFERROR(VLOOKUP(B3107,'تقرير المصروفات حسب الشهر'!$C$1143:$AD$1254,28,FALSE),0)</f>
        <v>0</v>
      </c>
      <c r="M3107" s="31"/>
      <c r="N3107" s="31"/>
      <c r="O3107" s="37" t="e">
        <f t="shared" si="79"/>
        <v>#REF!</v>
      </c>
    </row>
    <row r="3108" spans="2:15" ht="17.399999999999999">
      <c r="B3108" s="42" t="s">
        <v>109</v>
      </c>
      <c r="C3108" s="39"/>
      <c r="D3108" s="31"/>
      <c r="E3108" s="31"/>
      <c r="F3108" s="31"/>
      <c r="G3108" s="31"/>
      <c r="H3108" s="31" t="e">
        <f>#REF!</f>
        <v>#REF!</v>
      </c>
      <c r="I3108" s="31">
        <f>'تقرير المصروفات حسب الشهر'!AD847</f>
        <v>0</v>
      </c>
      <c r="J3108" s="31">
        <f>'تقرير المصروفات حسب الشهر'!AD974</f>
        <v>0</v>
      </c>
      <c r="K3108" s="31">
        <f>'تقرير المصروفات حسب الشهر'!AD1101</f>
        <v>0</v>
      </c>
      <c r="L3108" s="292">
        <f>IFERROR(VLOOKUP(B3108,'تقرير المصروفات حسب الشهر'!$C$1143:$AD$1254,28,FALSE),0)</f>
        <v>0</v>
      </c>
      <c r="M3108" s="31"/>
      <c r="N3108" s="31"/>
      <c r="O3108" s="37" t="e">
        <f t="shared" si="79"/>
        <v>#REF!</v>
      </c>
    </row>
    <row r="3109" spans="2:15" ht="17.399999999999999">
      <c r="B3109" s="42" t="s">
        <v>110</v>
      </c>
      <c r="C3109" s="39"/>
      <c r="D3109" s="31"/>
      <c r="E3109" s="31"/>
      <c r="F3109" s="31"/>
      <c r="G3109" s="31"/>
      <c r="H3109" s="31" t="e">
        <f>#REF!</f>
        <v>#REF!</v>
      </c>
      <c r="I3109" s="31">
        <f>'تقرير المصروفات حسب الشهر'!AD848</f>
        <v>0</v>
      </c>
      <c r="J3109" s="31">
        <f>'تقرير المصروفات حسب الشهر'!AD975</f>
        <v>0</v>
      </c>
      <c r="K3109" s="31">
        <f>'تقرير المصروفات حسب الشهر'!AD1102</f>
        <v>0</v>
      </c>
      <c r="L3109" s="292">
        <f>IFERROR(VLOOKUP(B3109,'تقرير المصروفات حسب الشهر'!$C$1143:$AD$1254,28,FALSE),0)</f>
        <v>0</v>
      </c>
      <c r="M3109" s="31"/>
      <c r="N3109" s="31"/>
      <c r="O3109" s="37" t="e">
        <f t="shared" si="79"/>
        <v>#REF!</v>
      </c>
    </row>
    <row r="3110" spans="2:15" ht="17.399999999999999">
      <c r="B3110" s="42" t="s">
        <v>112</v>
      </c>
      <c r="C3110" s="39"/>
      <c r="D3110" s="31"/>
      <c r="E3110" s="31"/>
      <c r="F3110" s="31"/>
      <c r="G3110" s="31"/>
      <c r="H3110" s="31" t="e">
        <f>#REF!</f>
        <v>#REF!</v>
      </c>
      <c r="I3110" s="31">
        <f>'تقرير المصروفات حسب الشهر'!AD849</f>
        <v>0</v>
      </c>
      <c r="J3110" s="31">
        <f>'تقرير المصروفات حسب الشهر'!AD976</f>
        <v>0</v>
      </c>
      <c r="K3110" s="31">
        <f>'تقرير المصروفات حسب الشهر'!AD1103</f>
        <v>0</v>
      </c>
      <c r="L3110" s="292">
        <f>IFERROR(VLOOKUP(B3110,'تقرير المصروفات حسب الشهر'!$C$1143:$AD$1254,28,FALSE),0)</f>
        <v>0</v>
      </c>
      <c r="M3110" s="31"/>
      <c r="N3110" s="31"/>
      <c r="O3110" s="37" t="e">
        <f t="shared" si="79"/>
        <v>#REF!</v>
      </c>
    </row>
    <row r="3111" spans="2:15" ht="17.399999999999999">
      <c r="B3111" s="42" t="s">
        <v>113</v>
      </c>
      <c r="C3111" s="39"/>
      <c r="D3111" s="31"/>
      <c r="E3111" s="31"/>
      <c r="F3111" s="31"/>
      <c r="G3111" s="31"/>
      <c r="H3111" s="31" t="e">
        <f>#REF!</f>
        <v>#REF!</v>
      </c>
      <c r="I3111" s="31">
        <f>'تقرير المصروفات حسب الشهر'!AD850</f>
        <v>0</v>
      </c>
      <c r="J3111" s="31">
        <f>'تقرير المصروفات حسب الشهر'!AD977</f>
        <v>0</v>
      </c>
      <c r="K3111" s="31">
        <f>'تقرير المصروفات حسب الشهر'!AD1104</f>
        <v>0</v>
      </c>
      <c r="L3111" s="292">
        <f>IFERROR(VLOOKUP(B3111,'تقرير المصروفات حسب الشهر'!$C$1143:$AD$1254,28,FALSE),0)</f>
        <v>0</v>
      </c>
      <c r="M3111" s="31"/>
      <c r="N3111" s="31"/>
      <c r="O3111" s="37" t="e">
        <f t="shared" si="79"/>
        <v>#REF!</v>
      </c>
    </row>
    <row r="3112" spans="2:15" ht="17.399999999999999">
      <c r="B3112" s="42" t="s">
        <v>137</v>
      </c>
      <c r="C3112" s="39"/>
      <c r="D3112" s="31"/>
      <c r="E3112" s="31"/>
      <c r="F3112" s="31"/>
      <c r="G3112" s="31"/>
      <c r="H3112" s="31" t="e">
        <f>#REF!</f>
        <v>#REF!</v>
      </c>
      <c r="I3112" s="31">
        <f>'تقرير المصروفات حسب الشهر'!AD851</f>
        <v>0</v>
      </c>
      <c r="J3112" s="31">
        <f>'تقرير المصروفات حسب الشهر'!AD978</f>
        <v>0</v>
      </c>
      <c r="K3112" s="31">
        <f>'تقرير المصروفات حسب الشهر'!AD1105</f>
        <v>0</v>
      </c>
      <c r="L3112" s="292">
        <f>IFERROR(VLOOKUP(B3112,'تقرير المصروفات حسب الشهر'!$C$1143:$AD$1254,28,FALSE),0)</f>
        <v>0</v>
      </c>
      <c r="M3112" s="31"/>
      <c r="N3112" s="31"/>
      <c r="O3112" s="37" t="e">
        <f t="shared" si="79"/>
        <v>#REF!</v>
      </c>
    </row>
    <row r="3113" spans="2:15" ht="17.399999999999999">
      <c r="B3113" s="42" t="s">
        <v>140</v>
      </c>
      <c r="C3113" s="39"/>
      <c r="D3113" s="31"/>
      <c r="E3113" s="31"/>
      <c r="F3113" s="31"/>
      <c r="G3113" s="31"/>
      <c r="H3113" s="31" t="e">
        <f>#REF!</f>
        <v>#REF!</v>
      </c>
      <c r="I3113" s="31">
        <f>'تقرير المصروفات حسب الشهر'!AD852</f>
        <v>0</v>
      </c>
      <c r="J3113" s="31">
        <f>'تقرير المصروفات حسب الشهر'!AD979</f>
        <v>0</v>
      </c>
      <c r="K3113" s="31">
        <f>'تقرير المصروفات حسب الشهر'!AD1106</f>
        <v>0</v>
      </c>
      <c r="L3113" s="292">
        <f>IFERROR(VLOOKUP(B3113,'تقرير المصروفات حسب الشهر'!$C$1143:$AD$1254,28,FALSE),0)</f>
        <v>0</v>
      </c>
      <c r="M3113" s="31"/>
      <c r="N3113" s="31"/>
      <c r="O3113" s="37" t="e">
        <f t="shared" si="79"/>
        <v>#REF!</v>
      </c>
    </row>
    <row r="3114" spans="2:15" ht="17.399999999999999">
      <c r="B3114" s="42" t="s">
        <v>141</v>
      </c>
      <c r="C3114" s="39"/>
      <c r="D3114" s="31"/>
      <c r="E3114" s="31"/>
      <c r="F3114" s="31"/>
      <c r="G3114" s="31"/>
      <c r="H3114" s="31" t="e">
        <f>#REF!</f>
        <v>#REF!</v>
      </c>
      <c r="I3114" s="31">
        <f>'تقرير المصروفات حسب الشهر'!AD853</f>
        <v>0</v>
      </c>
      <c r="J3114" s="31">
        <f>'تقرير المصروفات حسب الشهر'!AD980</f>
        <v>0</v>
      </c>
      <c r="K3114" s="31">
        <f>'تقرير المصروفات حسب الشهر'!AD1107</f>
        <v>0</v>
      </c>
      <c r="L3114" s="292">
        <f>IFERROR(VLOOKUP(B3114,'تقرير المصروفات حسب الشهر'!$C$1143:$AD$1254,28,FALSE),0)</f>
        <v>0</v>
      </c>
      <c r="M3114" s="31"/>
      <c r="N3114" s="31"/>
      <c r="O3114" s="37" t="e">
        <f t="shared" si="79"/>
        <v>#REF!</v>
      </c>
    </row>
    <row r="3115" spans="2:15" ht="17.399999999999999">
      <c r="B3115" s="42" t="s">
        <v>193</v>
      </c>
      <c r="C3115" s="39"/>
      <c r="D3115" s="31"/>
      <c r="E3115" s="31"/>
      <c r="F3115" s="31"/>
      <c r="G3115" s="31"/>
      <c r="H3115" s="31" t="e">
        <f>#REF!</f>
        <v>#REF!</v>
      </c>
      <c r="I3115" s="31">
        <f>'تقرير المصروفات حسب الشهر'!AD854</f>
        <v>0</v>
      </c>
      <c r="J3115" s="31">
        <f>'تقرير المصروفات حسب الشهر'!AD981</f>
        <v>0</v>
      </c>
      <c r="K3115" s="31">
        <f>'تقرير المصروفات حسب الشهر'!AD1108</f>
        <v>0</v>
      </c>
      <c r="L3115" s="292">
        <f>IFERROR(VLOOKUP(B3115,'تقرير المصروفات حسب الشهر'!$C$1143:$AD$1254,28,FALSE),0)</f>
        <v>0</v>
      </c>
      <c r="M3115" s="31"/>
      <c r="N3115" s="31"/>
      <c r="O3115" s="37" t="e">
        <f t="shared" si="79"/>
        <v>#REF!</v>
      </c>
    </row>
    <row r="3116" spans="2:15" ht="17.399999999999999">
      <c r="B3116" s="42" t="s">
        <v>148</v>
      </c>
      <c r="C3116" s="39"/>
      <c r="D3116" s="31"/>
      <c r="E3116" s="31"/>
      <c r="F3116" s="31"/>
      <c r="G3116" s="31"/>
      <c r="H3116" s="31" t="e">
        <f>#REF!</f>
        <v>#REF!</v>
      </c>
      <c r="I3116" s="31">
        <f>'تقرير المصروفات حسب الشهر'!AD855</f>
        <v>0</v>
      </c>
      <c r="J3116" s="31">
        <f>'تقرير المصروفات حسب الشهر'!AD982</f>
        <v>0</v>
      </c>
      <c r="K3116" s="31">
        <f>'تقرير المصروفات حسب الشهر'!AD1109</f>
        <v>0</v>
      </c>
      <c r="L3116" s="292">
        <f>IFERROR(VLOOKUP(B3116,'تقرير المصروفات حسب الشهر'!$C$1143:$AD$1254,28,FALSE),0)</f>
        <v>0</v>
      </c>
      <c r="M3116" s="31"/>
      <c r="N3116" s="31"/>
      <c r="O3116" s="37" t="e">
        <f t="shared" si="79"/>
        <v>#REF!</v>
      </c>
    </row>
    <row r="3117" spans="2:15" ht="17.399999999999999">
      <c r="B3117" s="42" t="s">
        <v>186</v>
      </c>
      <c r="C3117" s="39"/>
      <c r="D3117" s="31"/>
      <c r="E3117" s="31"/>
      <c r="F3117" s="31"/>
      <c r="G3117" s="31"/>
      <c r="H3117" s="31" t="e">
        <f>#REF!</f>
        <v>#REF!</v>
      </c>
      <c r="I3117" s="31">
        <f>'تقرير المصروفات حسب الشهر'!AD856</f>
        <v>0</v>
      </c>
      <c r="J3117" s="31">
        <f>'تقرير المصروفات حسب الشهر'!AD983</f>
        <v>0</v>
      </c>
      <c r="K3117" s="31">
        <f>'تقرير المصروفات حسب الشهر'!AD1110</f>
        <v>0</v>
      </c>
      <c r="L3117" s="292">
        <f>IFERROR(VLOOKUP(B3117,'تقرير المصروفات حسب الشهر'!$C$1143:$AD$1254,28,FALSE),0)</f>
        <v>0</v>
      </c>
      <c r="M3117" s="31"/>
      <c r="N3117" s="31"/>
      <c r="O3117" s="37" t="e">
        <f t="shared" si="79"/>
        <v>#REF!</v>
      </c>
    </row>
    <row r="3118" spans="2:15" ht="17.399999999999999">
      <c r="B3118" s="42" t="s">
        <v>171</v>
      </c>
      <c r="C3118" s="39"/>
      <c r="D3118" s="31"/>
      <c r="E3118" s="31"/>
      <c r="F3118" s="31"/>
      <c r="G3118" s="31"/>
      <c r="H3118" s="31" t="e">
        <f>#REF!</f>
        <v>#REF!</v>
      </c>
      <c r="I3118" s="31">
        <f>'تقرير المصروفات حسب الشهر'!AD857</f>
        <v>0</v>
      </c>
      <c r="J3118" s="31">
        <f>'تقرير المصروفات حسب الشهر'!AD984</f>
        <v>0</v>
      </c>
      <c r="K3118" s="31">
        <f>'تقرير المصروفات حسب الشهر'!AD1111</f>
        <v>0</v>
      </c>
      <c r="L3118" s="292">
        <f>IFERROR(VLOOKUP(B3118,'تقرير المصروفات حسب الشهر'!$C$1143:$AD$1254,28,FALSE),0)</f>
        <v>0</v>
      </c>
      <c r="M3118" s="31"/>
      <c r="N3118" s="31"/>
      <c r="O3118" s="37" t="e">
        <f t="shared" si="79"/>
        <v>#REF!</v>
      </c>
    </row>
    <row r="3119" spans="2:15" ht="17.399999999999999">
      <c r="B3119" s="42" t="s">
        <v>180</v>
      </c>
      <c r="C3119" s="39"/>
      <c r="D3119" s="31"/>
      <c r="E3119" s="31"/>
      <c r="F3119" s="31"/>
      <c r="G3119" s="31"/>
      <c r="H3119" s="31" t="e">
        <f>#REF!</f>
        <v>#REF!</v>
      </c>
      <c r="I3119" s="31">
        <f>'تقرير المصروفات حسب الشهر'!AD858</f>
        <v>0</v>
      </c>
      <c r="J3119" s="31">
        <f>'تقرير المصروفات حسب الشهر'!AD985</f>
        <v>0</v>
      </c>
      <c r="K3119" s="31">
        <f>'تقرير المصروفات حسب الشهر'!AD1112</f>
        <v>0</v>
      </c>
      <c r="L3119" s="292">
        <f>IFERROR(VLOOKUP(B3119,'تقرير المصروفات حسب الشهر'!$C$1143:$AD$1254,28,FALSE),0)</f>
        <v>0</v>
      </c>
      <c r="M3119" s="31"/>
      <c r="N3119" s="31"/>
      <c r="O3119" s="37" t="e">
        <f t="shared" si="79"/>
        <v>#REF!</v>
      </c>
    </row>
    <row r="3120" spans="2:15" ht="17.399999999999999">
      <c r="B3120" s="42" t="s">
        <v>183</v>
      </c>
      <c r="C3120" s="39"/>
      <c r="D3120" s="31"/>
      <c r="E3120" s="31"/>
      <c r="F3120" s="31"/>
      <c r="G3120" s="31"/>
      <c r="H3120" s="31" t="e">
        <f>#REF!</f>
        <v>#REF!</v>
      </c>
      <c r="I3120" s="31">
        <f>'تقرير المصروفات حسب الشهر'!AD859</f>
        <v>0</v>
      </c>
      <c r="J3120" s="31">
        <f>'تقرير المصروفات حسب الشهر'!AD986</f>
        <v>0</v>
      </c>
      <c r="K3120" s="31">
        <f>'تقرير المصروفات حسب الشهر'!AD1113</f>
        <v>0</v>
      </c>
      <c r="L3120" s="292">
        <f>IFERROR(VLOOKUP(B3120,'تقرير المصروفات حسب الشهر'!$C$1143:$AD$1254,28,FALSE),0)</f>
        <v>0</v>
      </c>
      <c r="M3120" s="31"/>
      <c r="N3120" s="31"/>
      <c r="O3120" s="37" t="e">
        <f t="shared" si="79"/>
        <v>#REF!</v>
      </c>
    </row>
    <row r="3121" spans="2:15" ht="17.399999999999999">
      <c r="B3121" s="42" t="s">
        <v>195</v>
      </c>
      <c r="C3121" s="39"/>
      <c r="D3121" s="31"/>
      <c r="E3121" s="31"/>
      <c r="F3121" s="31"/>
      <c r="G3121" s="31"/>
      <c r="H3121" s="31" t="e">
        <f>#REF!</f>
        <v>#REF!</v>
      </c>
      <c r="I3121" s="31">
        <f>'تقرير المصروفات حسب الشهر'!AD860</f>
        <v>0</v>
      </c>
      <c r="J3121" s="31">
        <f>'تقرير المصروفات حسب الشهر'!AD987</f>
        <v>0</v>
      </c>
      <c r="K3121" s="31">
        <f>'تقرير المصروفات حسب الشهر'!AD1114</f>
        <v>0</v>
      </c>
      <c r="L3121" s="292">
        <f>IFERROR(VLOOKUP(B3121,'تقرير المصروفات حسب الشهر'!$C$1143:$AD$1254,28,FALSE),0)</f>
        <v>0</v>
      </c>
      <c r="M3121" s="31"/>
      <c r="N3121" s="31"/>
      <c r="O3121" s="37" t="e">
        <f t="shared" si="79"/>
        <v>#REF!</v>
      </c>
    </row>
    <row r="3122" spans="2:15" ht="17.399999999999999">
      <c r="B3122" s="42" t="s">
        <v>189</v>
      </c>
      <c r="C3122" s="39"/>
      <c r="D3122" s="31"/>
      <c r="E3122" s="31"/>
      <c r="F3122" s="31"/>
      <c r="G3122" s="31"/>
      <c r="H3122" s="31" t="e">
        <f>#REF!</f>
        <v>#REF!</v>
      </c>
      <c r="I3122" s="31">
        <f>'تقرير المصروفات حسب الشهر'!AD861</f>
        <v>0</v>
      </c>
      <c r="J3122" s="31">
        <f>'تقرير المصروفات حسب الشهر'!AD988</f>
        <v>0</v>
      </c>
      <c r="K3122" s="31">
        <f>'تقرير المصروفات حسب الشهر'!AD1115</f>
        <v>0</v>
      </c>
      <c r="L3122" s="292">
        <f>IFERROR(VLOOKUP(B3122,'تقرير المصروفات حسب الشهر'!$C$1143:$AD$1254,28,FALSE),0)</f>
        <v>0</v>
      </c>
      <c r="M3122" s="31"/>
      <c r="N3122" s="31"/>
      <c r="O3122" s="37" t="e">
        <f t="shared" si="79"/>
        <v>#REF!</v>
      </c>
    </row>
    <row r="3123" spans="2:15" ht="17.399999999999999">
      <c r="B3123" s="42" t="s">
        <v>188</v>
      </c>
      <c r="C3123" s="39"/>
      <c r="D3123" s="31"/>
      <c r="E3123" s="31"/>
      <c r="F3123" s="31"/>
      <c r="G3123" s="31"/>
      <c r="H3123" s="31" t="e">
        <f>#REF!</f>
        <v>#REF!</v>
      </c>
      <c r="I3123" s="31">
        <f>'تقرير المصروفات حسب الشهر'!AD862</f>
        <v>0</v>
      </c>
      <c r="J3123" s="31">
        <f>'تقرير المصروفات حسب الشهر'!AD989</f>
        <v>0</v>
      </c>
      <c r="K3123" s="31">
        <f>'تقرير المصروفات حسب الشهر'!AD1116</f>
        <v>0</v>
      </c>
      <c r="L3123" s="292">
        <f>IFERROR(VLOOKUP(B3123,'تقرير المصروفات حسب الشهر'!$C$1143:$AD$1254,28,FALSE),0)</f>
        <v>0</v>
      </c>
      <c r="M3123" s="31"/>
      <c r="N3123" s="31"/>
      <c r="O3123" s="37"/>
    </row>
    <row r="3124" spans="2:15" ht="17.399999999999999">
      <c r="B3124" s="42" t="s">
        <v>196</v>
      </c>
      <c r="C3124" s="39"/>
      <c r="D3124" s="31"/>
      <c r="E3124" s="31"/>
      <c r="F3124" s="31"/>
      <c r="G3124" s="31"/>
      <c r="H3124" s="31" t="e">
        <f>#REF!</f>
        <v>#REF!</v>
      </c>
      <c r="I3124" s="31">
        <f>'تقرير المصروفات حسب الشهر'!AD863</f>
        <v>0</v>
      </c>
      <c r="J3124" s="31">
        <f>'تقرير المصروفات حسب الشهر'!AD990</f>
        <v>0</v>
      </c>
      <c r="K3124" s="31">
        <f>'تقرير المصروفات حسب الشهر'!AD1117</f>
        <v>0</v>
      </c>
      <c r="L3124" s="292">
        <f>IFERROR(VLOOKUP(B3124,'تقرير المصروفات حسب الشهر'!$C$1143:$AD$1254,28,FALSE),0)</f>
        <v>0</v>
      </c>
      <c r="M3124" s="31"/>
      <c r="N3124" s="31"/>
      <c r="O3124" s="37"/>
    </row>
    <row r="3125" spans="2:15" ht="17.399999999999999">
      <c r="B3125" s="42" t="s">
        <v>197</v>
      </c>
      <c r="C3125" s="39"/>
      <c r="D3125" s="31"/>
      <c r="E3125" s="31"/>
      <c r="F3125" s="31"/>
      <c r="G3125" s="31"/>
      <c r="H3125" s="31" t="e">
        <f>#REF!</f>
        <v>#REF!</v>
      </c>
      <c r="I3125" s="31">
        <f>'تقرير المصروفات حسب الشهر'!AD864</f>
        <v>0</v>
      </c>
      <c r="J3125" s="31">
        <f>'تقرير المصروفات حسب الشهر'!AD991</f>
        <v>0</v>
      </c>
      <c r="K3125" s="31">
        <f>'تقرير المصروفات حسب الشهر'!AD1118</f>
        <v>0</v>
      </c>
      <c r="L3125" s="292">
        <f>IFERROR(VLOOKUP(B3125,'تقرير المصروفات حسب الشهر'!$C$1143:$AD$1254,28,FALSE),0)</f>
        <v>0</v>
      </c>
      <c r="M3125" s="31"/>
      <c r="N3125" s="31"/>
      <c r="O3125" s="37"/>
    </row>
    <row r="3126" spans="2:15" ht="17.399999999999999">
      <c r="B3126" s="42" t="s">
        <v>198</v>
      </c>
      <c r="C3126" s="39"/>
      <c r="D3126" s="31"/>
      <c r="E3126" s="31"/>
      <c r="F3126" s="31"/>
      <c r="G3126" s="31"/>
      <c r="H3126" s="31" t="e">
        <f>#REF!</f>
        <v>#REF!</v>
      </c>
      <c r="I3126" s="31">
        <f>'تقرير المصروفات حسب الشهر'!AD865</f>
        <v>0</v>
      </c>
      <c r="J3126" s="31">
        <f>'تقرير المصروفات حسب الشهر'!AD992</f>
        <v>0</v>
      </c>
      <c r="K3126" s="31">
        <f>'تقرير المصروفات حسب الشهر'!AD1119</f>
        <v>0</v>
      </c>
      <c r="L3126" s="292">
        <f>IFERROR(VLOOKUP(B3126,'تقرير المصروفات حسب الشهر'!$C$1143:$AD$1254,28,FALSE),0)</f>
        <v>0</v>
      </c>
      <c r="M3126" s="31"/>
      <c r="N3126" s="31"/>
      <c r="O3126" s="37"/>
    </row>
    <row r="3127" spans="2:15" ht="17.399999999999999">
      <c r="B3127" s="42" t="s">
        <v>201</v>
      </c>
      <c r="C3127" s="39"/>
      <c r="D3127" s="31"/>
      <c r="E3127" s="31"/>
      <c r="F3127" s="31"/>
      <c r="G3127" s="31"/>
      <c r="H3127" s="31" t="e">
        <f>#REF!</f>
        <v>#REF!</v>
      </c>
      <c r="I3127" s="31">
        <f>'تقرير المصروفات حسب الشهر'!AD866</f>
        <v>0</v>
      </c>
      <c r="J3127" s="31">
        <f>'تقرير المصروفات حسب الشهر'!AD993</f>
        <v>0</v>
      </c>
      <c r="K3127" s="31">
        <f>'تقرير المصروفات حسب الشهر'!AD1120</f>
        <v>0</v>
      </c>
      <c r="L3127" s="292">
        <f>IFERROR(VLOOKUP(B3127,'تقرير المصروفات حسب الشهر'!$C$1143:$AD$1254,28,FALSE),0)</f>
        <v>0</v>
      </c>
      <c r="M3127" s="31"/>
      <c r="N3127" s="31"/>
      <c r="O3127" s="37"/>
    </row>
    <row r="3128" spans="2:15" ht="17.399999999999999">
      <c r="B3128" s="42" t="s">
        <v>202</v>
      </c>
      <c r="C3128" s="39"/>
      <c r="D3128" s="31"/>
      <c r="E3128" s="31"/>
      <c r="F3128" s="31"/>
      <c r="G3128" s="31"/>
      <c r="H3128" s="31" t="e">
        <f>#REF!</f>
        <v>#REF!</v>
      </c>
      <c r="I3128" s="31">
        <f>'تقرير المصروفات حسب الشهر'!AD867</f>
        <v>0</v>
      </c>
      <c r="J3128" s="31">
        <f>'تقرير المصروفات حسب الشهر'!AD994</f>
        <v>0</v>
      </c>
      <c r="K3128" s="31">
        <f>'تقرير المصروفات حسب الشهر'!AD1121</f>
        <v>0</v>
      </c>
      <c r="L3128" s="292">
        <f>IFERROR(VLOOKUP(B3128,'تقرير المصروفات حسب الشهر'!$C$1143:$AD$1254,28,FALSE),0)</f>
        <v>0</v>
      </c>
      <c r="M3128" s="31"/>
      <c r="N3128" s="31"/>
      <c r="O3128" s="37"/>
    </row>
    <row r="3129" spans="2:15" ht="17.399999999999999">
      <c r="B3129" s="42" t="s">
        <v>206</v>
      </c>
      <c r="C3129" s="39"/>
      <c r="D3129" s="31"/>
      <c r="E3129" s="31"/>
      <c r="F3129" s="31"/>
      <c r="G3129" s="31"/>
      <c r="H3129" s="31" t="e">
        <f>#REF!</f>
        <v>#REF!</v>
      </c>
      <c r="I3129" s="31">
        <f>'تقرير المصروفات حسب الشهر'!AD868</f>
        <v>0</v>
      </c>
      <c r="J3129" s="31">
        <f>'تقرير المصروفات حسب الشهر'!AD995</f>
        <v>0</v>
      </c>
      <c r="K3129" s="31">
        <f>'تقرير المصروفات حسب الشهر'!AD1122</f>
        <v>0</v>
      </c>
      <c r="L3129" s="292">
        <f>IFERROR(VLOOKUP(B3129,'تقرير المصروفات حسب الشهر'!$C$1143:$AD$1254,28,FALSE),0)</f>
        <v>0</v>
      </c>
      <c r="M3129" s="31"/>
      <c r="N3129" s="31"/>
      <c r="O3129" s="37"/>
    </row>
    <row r="3130" spans="2:15" ht="17.399999999999999">
      <c r="B3130" s="42" t="s">
        <v>207</v>
      </c>
      <c r="C3130" s="39"/>
      <c r="D3130" s="31"/>
      <c r="E3130" s="31"/>
      <c r="F3130" s="31"/>
      <c r="G3130" s="31"/>
      <c r="H3130" s="31" t="e">
        <f>#REF!</f>
        <v>#REF!</v>
      </c>
      <c r="I3130" s="31">
        <f>'تقرير المصروفات حسب الشهر'!AD869</f>
        <v>0</v>
      </c>
      <c r="J3130" s="31">
        <f>'تقرير المصروفات حسب الشهر'!AD996</f>
        <v>0</v>
      </c>
      <c r="K3130" s="31">
        <f>'تقرير المصروفات حسب الشهر'!AD1123</f>
        <v>0</v>
      </c>
      <c r="L3130" s="292">
        <f>IFERROR(VLOOKUP(B3130,'تقرير المصروفات حسب الشهر'!$C$1143:$AD$1254,28,FALSE),0)</f>
        <v>0</v>
      </c>
      <c r="M3130" s="31"/>
      <c r="N3130" s="31"/>
      <c r="O3130" s="37"/>
    </row>
    <row r="3131" spans="2:15" ht="17.399999999999999">
      <c r="B3131" s="42" t="s">
        <v>208</v>
      </c>
      <c r="C3131" s="39"/>
      <c r="D3131" s="31"/>
      <c r="E3131" s="31"/>
      <c r="F3131" s="31"/>
      <c r="G3131" s="31"/>
      <c r="H3131" s="31" t="e">
        <f>#REF!</f>
        <v>#REF!</v>
      </c>
      <c r="I3131" s="31">
        <f>'تقرير المصروفات حسب الشهر'!AD870</f>
        <v>0</v>
      </c>
      <c r="J3131" s="31">
        <f>'تقرير المصروفات حسب الشهر'!AD997</f>
        <v>0</v>
      </c>
      <c r="K3131" s="31">
        <f>'تقرير المصروفات حسب الشهر'!AD1124</f>
        <v>0</v>
      </c>
      <c r="L3131" s="292">
        <f>IFERROR(VLOOKUP(B3131,'تقرير المصروفات حسب الشهر'!$C$1143:$AD$1254,28,FALSE),0)</f>
        <v>0</v>
      </c>
      <c r="M3131" s="31"/>
      <c r="N3131" s="31"/>
      <c r="O3131" s="37"/>
    </row>
    <row r="3132" spans="2:15" ht="18" thickBot="1">
      <c r="B3132" s="43" t="s">
        <v>209</v>
      </c>
      <c r="C3132" s="40"/>
      <c r="D3132" s="32"/>
      <c r="E3132" s="32"/>
      <c r="F3132" s="32"/>
      <c r="G3132" s="32"/>
      <c r="H3132" s="31" t="e">
        <f>#REF!</f>
        <v>#REF!</v>
      </c>
      <c r="I3132" s="31">
        <f>'تقرير المصروفات حسب الشهر'!AD871</f>
        <v>0</v>
      </c>
      <c r="J3132" s="31">
        <f>'تقرير المصروفات حسب الشهر'!AD998</f>
        <v>0</v>
      </c>
      <c r="K3132" s="31">
        <f>'تقرير المصروفات حسب الشهر'!AD1125</f>
        <v>0</v>
      </c>
      <c r="L3132" s="292">
        <f>IFERROR(VLOOKUP(B3132,'تقرير المصروفات حسب الشهر'!$C$1143:$AD$1254,28,FALSE),0)</f>
        <v>0</v>
      </c>
      <c r="M3132" s="32"/>
      <c r="N3132" s="32"/>
      <c r="O3132" s="38"/>
    </row>
    <row r="3133" spans="2:15" ht="21.6" thickBot="1">
      <c r="B3133" s="29" t="s">
        <v>18</v>
      </c>
      <c r="C3133" s="41">
        <f>SUM(C3024:C3132)</f>
        <v>0</v>
      </c>
      <c r="D3133" s="41">
        <f t="shared" ref="D3133:O3133" si="80">SUM(D3024:D3132)</f>
        <v>0</v>
      </c>
      <c r="E3133" s="41">
        <f t="shared" si="80"/>
        <v>0</v>
      </c>
      <c r="F3133" s="41">
        <f t="shared" si="80"/>
        <v>0</v>
      </c>
      <c r="G3133" s="41">
        <f t="shared" si="80"/>
        <v>0</v>
      </c>
      <c r="H3133" s="41" t="e">
        <f t="shared" si="80"/>
        <v>#REF!</v>
      </c>
      <c r="I3133" s="41">
        <f t="shared" si="80"/>
        <v>0</v>
      </c>
      <c r="J3133" s="41">
        <f t="shared" si="80"/>
        <v>0</v>
      </c>
      <c r="K3133" s="41">
        <f t="shared" si="80"/>
        <v>0</v>
      </c>
      <c r="L3133" s="41">
        <f t="shared" si="80"/>
        <v>0</v>
      </c>
      <c r="M3133" s="41">
        <f t="shared" si="80"/>
        <v>0</v>
      </c>
      <c r="N3133" s="41">
        <f t="shared" si="80"/>
        <v>0</v>
      </c>
      <c r="O3133" s="41" t="e">
        <f t="shared" si="80"/>
        <v>#REF!</v>
      </c>
    </row>
    <row r="3135" spans="2:15" ht="13.8" thickBot="1"/>
    <row r="3136" spans="2:15" ht="31.2" thickTop="1" thickBot="1">
      <c r="B3136" s="643" t="s">
        <v>359</v>
      </c>
      <c r="C3136" s="644"/>
      <c r="D3136" s="644"/>
      <c r="E3136" s="644"/>
      <c r="F3136" s="644"/>
      <c r="G3136" s="644"/>
      <c r="H3136" s="644"/>
      <c r="I3136" s="644"/>
      <c r="J3136" s="644"/>
      <c r="K3136" s="644"/>
      <c r="L3136" s="644"/>
      <c r="M3136" s="644"/>
      <c r="N3136" s="644"/>
      <c r="O3136" s="645"/>
    </row>
    <row r="3137" spans="2:15" ht="17.399999999999999">
      <c r="B3137" s="30" t="s">
        <v>23</v>
      </c>
      <c r="C3137" s="33" t="s">
        <v>0</v>
      </c>
      <c r="D3137" s="33" t="s">
        <v>1</v>
      </c>
      <c r="E3137" s="34" t="s">
        <v>2</v>
      </c>
      <c r="F3137" s="34" t="s">
        <v>3</v>
      </c>
      <c r="G3137" s="34" t="s">
        <v>4</v>
      </c>
      <c r="H3137" s="34" t="s">
        <v>5</v>
      </c>
      <c r="I3137" s="34" t="s">
        <v>6</v>
      </c>
      <c r="J3137" s="34" t="s">
        <v>7</v>
      </c>
      <c r="K3137" s="34" t="s">
        <v>8</v>
      </c>
      <c r="L3137" s="34" t="s">
        <v>9</v>
      </c>
      <c r="M3137" s="34" t="s">
        <v>10</v>
      </c>
      <c r="N3137" s="35" t="s">
        <v>11</v>
      </c>
      <c r="O3137" s="36" t="s">
        <v>18</v>
      </c>
    </row>
    <row r="3138" spans="2:15" ht="17.399999999999999">
      <c r="B3138" s="42" t="s">
        <v>40</v>
      </c>
      <c r="C3138" s="39"/>
      <c r="D3138" s="31"/>
      <c r="E3138" s="31"/>
      <c r="F3138" s="31"/>
      <c r="G3138" s="31"/>
      <c r="H3138" s="31"/>
      <c r="I3138" s="31"/>
      <c r="J3138" s="31"/>
      <c r="K3138" s="31"/>
      <c r="L3138" s="292"/>
      <c r="M3138" s="292">
        <f>IFERROR(VLOOKUP(B3138,'تقرير المصروفات حسب الشهر'!$C$1270:$AD$1381,28,FALSE),0)</f>
        <v>0</v>
      </c>
      <c r="N3138" s="31"/>
      <c r="O3138" s="37">
        <f>SUM(C3138:N3138)</f>
        <v>0</v>
      </c>
    </row>
    <row r="3139" spans="2:15" ht="17.399999999999999">
      <c r="B3139" s="42" t="s">
        <v>41</v>
      </c>
      <c r="C3139" s="39"/>
      <c r="D3139" s="31"/>
      <c r="E3139" s="31"/>
      <c r="F3139" s="31"/>
      <c r="G3139" s="31"/>
      <c r="H3139" s="31"/>
      <c r="I3139" s="31"/>
      <c r="J3139" s="31"/>
      <c r="K3139" s="31"/>
      <c r="L3139" s="292"/>
      <c r="M3139" s="292">
        <f>IFERROR(VLOOKUP(B3139,'تقرير المصروفات حسب الشهر'!$C$1270:$AD$1381,28,FALSE),0)</f>
        <v>0</v>
      </c>
      <c r="N3139" s="31"/>
      <c r="O3139" s="37">
        <f t="shared" ref="O3139:O3202" si="81">SUM(C3139:N3139)</f>
        <v>0</v>
      </c>
    </row>
    <row r="3140" spans="2:15" ht="17.399999999999999">
      <c r="B3140" s="42" t="s">
        <v>26</v>
      </c>
      <c r="C3140" s="39"/>
      <c r="D3140" s="31"/>
      <c r="E3140" s="31"/>
      <c r="F3140" s="31"/>
      <c r="G3140" s="31"/>
      <c r="H3140" s="31"/>
      <c r="I3140" s="31"/>
      <c r="J3140" s="31"/>
      <c r="K3140" s="31"/>
      <c r="L3140" s="292"/>
      <c r="M3140" s="292">
        <f>IFERROR(VLOOKUP(B3140,'تقرير المصروفات حسب الشهر'!$C$1270:$AD$1381,28,FALSE),0)</f>
        <v>0</v>
      </c>
      <c r="N3140" s="31"/>
      <c r="O3140" s="37">
        <f t="shared" si="81"/>
        <v>0</v>
      </c>
    </row>
    <row r="3141" spans="2:15" ht="17.399999999999999">
      <c r="B3141" s="42" t="s">
        <v>27</v>
      </c>
      <c r="C3141" s="39"/>
      <c r="D3141" s="31"/>
      <c r="E3141" s="31"/>
      <c r="F3141" s="31"/>
      <c r="G3141" s="31"/>
      <c r="H3141" s="31"/>
      <c r="I3141" s="31"/>
      <c r="J3141" s="31"/>
      <c r="K3141" s="31"/>
      <c r="L3141" s="292"/>
      <c r="M3141" s="292">
        <f>IFERROR(VLOOKUP(B3141,'تقرير المصروفات حسب الشهر'!$C$1270:$AD$1381,28,FALSE),0)</f>
        <v>0</v>
      </c>
      <c r="N3141" s="31"/>
      <c r="O3141" s="37">
        <f t="shared" si="81"/>
        <v>0</v>
      </c>
    </row>
    <row r="3142" spans="2:15" ht="17.399999999999999">
      <c r="B3142" s="42" t="s">
        <v>42</v>
      </c>
      <c r="C3142" s="39"/>
      <c r="D3142" s="31"/>
      <c r="E3142" s="31"/>
      <c r="F3142" s="31"/>
      <c r="G3142" s="31"/>
      <c r="H3142" s="31"/>
      <c r="I3142" s="31"/>
      <c r="J3142" s="31"/>
      <c r="K3142" s="31"/>
      <c r="L3142" s="292"/>
      <c r="M3142" s="292">
        <f>IFERROR(VLOOKUP(B3142,'تقرير المصروفات حسب الشهر'!$C$1270:$AD$1381,28,FALSE),0)</f>
        <v>0</v>
      </c>
      <c r="N3142" s="31"/>
      <c r="O3142" s="37">
        <f t="shared" si="81"/>
        <v>0</v>
      </c>
    </row>
    <row r="3143" spans="2:15" ht="17.399999999999999">
      <c r="B3143" s="42" t="s">
        <v>43</v>
      </c>
      <c r="C3143" s="39"/>
      <c r="D3143" s="31"/>
      <c r="E3143" s="31"/>
      <c r="F3143" s="31"/>
      <c r="G3143" s="31"/>
      <c r="H3143" s="31"/>
      <c r="I3143" s="31"/>
      <c r="J3143" s="31"/>
      <c r="K3143" s="31"/>
      <c r="L3143" s="292"/>
      <c r="M3143" s="292">
        <f>IFERROR(VLOOKUP(B3143,'تقرير المصروفات حسب الشهر'!$C$1270:$AD$1381,28,FALSE),0)</f>
        <v>0</v>
      </c>
      <c r="N3143" s="31"/>
      <c r="O3143" s="37">
        <f t="shared" si="81"/>
        <v>0</v>
      </c>
    </row>
    <row r="3144" spans="2:15" ht="17.399999999999999">
      <c r="B3144" s="42" t="s">
        <v>44</v>
      </c>
      <c r="C3144" s="39"/>
      <c r="D3144" s="31"/>
      <c r="E3144" s="31"/>
      <c r="F3144" s="31"/>
      <c r="G3144" s="31"/>
      <c r="H3144" s="31"/>
      <c r="I3144" s="31"/>
      <c r="J3144" s="31"/>
      <c r="K3144" s="31"/>
      <c r="L3144" s="292"/>
      <c r="M3144" s="292">
        <f>IFERROR(VLOOKUP(B3144,'تقرير المصروفات حسب الشهر'!$C$1270:$AD$1381,28,FALSE),0)</f>
        <v>0</v>
      </c>
      <c r="N3144" s="31"/>
      <c r="O3144" s="37">
        <f t="shared" si="81"/>
        <v>0</v>
      </c>
    </row>
    <row r="3145" spans="2:15" ht="17.399999999999999">
      <c r="B3145" s="42" t="s">
        <v>45</v>
      </c>
      <c r="C3145" s="39"/>
      <c r="D3145" s="31"/>
      <c r="E3145" s="31"/>
      <c r="F3145" s="31"/>
      <c r="G3145" s="31"/>
      <c r="H3145" s="31"/>
      <c r="I3145" s="31"/>
      <c r="J3145" s="31"/>
      <c r="K3145" s="31"/>
      <c r="L3145" s="292"/>
      <c r="M3145" s="292">
        <f>IFERROR(VLOOKUP(B3145,'تقرير المصروفات حسب الشهر'!$C$1270:$AD$1381,28,FALSE),0)</f>
        <v>0</v>
      </c>
      <c r="N3145" s="31"/>
      <c r="O3145" s="37">
        <f t="shared" si="81"/>
        <v>0</v>
      </c>
    </row>
    <row r="3146" spans="2:15" ht="17.399999999999999">
      <c r="B3146" s="42" t="s">
        <v>156</v>
      </c>
      <c r="C3146" s="39"/>
      <c r="D3146" s="31"/>
      <c r="E3146" s="31"/>
      <c r="F3146" s="31"/>
      <c r="G3146" s="31"/>
      <c r="H3146" s="31"/>
      <c r="I3146" s="31"/>
      <c r="J3146" s="31"/>
      <c r="K3146" s="31"/>
      <c r="L3146" s="292"/>
      <c r="M3146" s="292">
        <f>IFERROR(VLOOKUP(B3146,'تقرير المصروفات حسب الشهر'!$C$1270:$AD$1381,28,FALSE),0)</f>
        <v>0</v>
      </c>
      <c r="N3146" s="31"/>
      <c r="O3146" s="37">
        <f t="shared" si="81"/>
        <v>0</v>
      </c>
    </row>
    <row r="3147" spans="2:15" ht="17.399999999999999">
      <c r="B3147" s="42" t="s">
        <v>46</v>
      </c>
      <c r="C3147" s="39"/>
      <c r="D3147" s="31"/>
      <c r="E3147" s="31"/>
      <c r="F3147" s="31"/>
      <c r="G3147" s="31"/>
      <c r="H3147" s="31"/>
      <c r="I3147" s="31"/>
      <c r="J3147" s="31"/>
      <c r="K3147" s="31"/>
      <c r="L3147" s="292"/>
      <c r="M3147" s="292">
        <f>IFERROR(VLOOKUP(B3147,'تقرير المصروفات حسب الشهر'!$C$1270:$AD$1381,28,FALSE),0)</f>
        <v>0</v>
      </c>
      <c r="N3147" s="31"/>
      <c r="O3147" s="37">
        <f t="shared" si="81"/>
        <v>0</v>
      </c>
    </row>
    <row r="3148" spans="2:15" ht="17.399999999999999">
      <c r="B3148" s="42" t="s">
        <v>47</v>
      </c>
      <c r="C3148" s="39"/>
      <c r="D3148" s="31"/>
      <c r="E3148" s="31"/>
      <c r="F3148" s="31"/>
      <c r="G3148" s="31"/>
      <c r="H3148" s="31"/>
      <c r="I3148" s="31"/>
      <c r="J3148" s="31"/>
      <c r="K3148" s="31"/>
      <c r="L3148" s="292"/>
      <c r="M3148" s="292">
        <f>IFERROR(VLOOKUP(B3148,'تقرير المصروفات حسب الشهر'!$C$1270:$AD$1381,28,FALSE),0)</f>
        <v>0</v>
      </c>
      <c r="N3148" s="31"/>
      <c r="O3148" s="37">
        <f t="shared" si="81"/>
        <v>0</v>
      </c>
    </row>
    <row r="3149" spans="2:15" ht="17.399999999999999">
      <c r="B3149" s="42" t="s">
        <v>48</v>
      </c>
      <c r="C3149" s="39"/>
      <c r="D3149" s="31"/>
      <c r="E3149" s="31"/>
      <c r="F3149" s="31"/>
      <c r="G3149" s="31"/>
      <c r="H3149" s="31"/>
      <c r="I3149" s="31"/>
      <c r="J3149" s="31"/>
      <c r="K3149" s="31"/>
      <c r="L3149" s="292"/>
      <c r="M3149" s="292">
        <f>IFERROR(VLOOKUP(B3149,'تقرير المصروفات حسب الشهر'!$C$1270:$AD$1381,28,FALSE),0)</f>
        <v>0</v>
      </c>
      <c r="N3149" s="31"/>
      <c r="O3149" s="37">
        <f t="shared" si="81"/>
        <v>0</v>
      </c>
    </row>
    <row r="3150" spans="2:15" ht="17.399999999999999">
      <c r="B3150" s="42" t="s">
        <v>49</v>
      </c>
      <c r="C3150" s="39"/>
      <c r="D3150" s="31"/>
      <c r="E3150" s="31"/>
      <c r="F3150" s="31"/>
      <c r="G3150" s="31"/>
      <c r="H3150" s="31"/>
      <c r="I3150" s="31"/>
      <c r="J3150" s="31"/>
      <c r="K3150" s="31"/>
      <c r="L3150" s="292"/>
      <c r="M3150" s="292">
        <f>IFERROR(VLOOKUP(B3150,'تقرير المصروفات حسب الشهر'!$C$1270:$AD$1381,28,FALSE),0)</f>
        <v>0</v>
      </c>
      <c r="N3150" s="31"/>
      <c r="O3150" s="37">
        <f t="shared" si="81"/>
        <v>0</v>
      </c>
    </row>
    <row r="3151" spans="2:15" ht="17.399999999999999">
      <c r="B3151" s="42" t="s">
        <v>158</v>
      </c>
      <c r="C3151" s="39"/>
      <c r="D3151" s="31"/>
      <c r="E3151" s="31"/>
      <c r="F3151" s="31"/>
      <c r="G3151" s="31"/>
      <c r="H3151" s="31"/>
      <c r="I3151" s="31"/>
      <c r="J3151" s="31"/>
      <c r="K3151" s="31"/>
      <c r="L3151" s="292"/>
      <c r="M3151" s="292">
        <f>IFERROR(VLOOKUP(B3151,'تقرير المصروفات حسب الشهر'!$C$1270:$AD$1381,28,FALSE),0)</f>
        <v>0</v>
      </c>
      <c r="N3151" s="31"/>
      <c r="O3151" s="37">
        <f t="shared" si="81"/>
        <v>0</v>
      </c>
    </row>
    <row r="3152" spans="2:15" ht="17.399999999999999">
      <c r="B3152" s="42" t="s">
        <v>50</v>
      </c>
      <c r="C3152" s="39"/>
      <c r="D3152" s="31"/>
      <c r="E3152" s="31"/>
      <c r="F3152" s="31"/>
      <c r="G3152" s="31"/>
      <c r="H3152" s="31"/>
      <c r="I3152" s="31"/>
      <c r="J3152" s="31"/>
      <c r="K3152" s="31"/>
      <c r="L3152" s="292"/>
      <c r="M3152" s="292">
        <f>IFERROR(VLOOKUP(B3152,'تقرير المصروفات حسب الشهر'!$C$1270:$AD$1381,28,FALSE),0)</f>
        <v>0</v>
      </c>
      <c r="N3152" s="31"/>
      <c r="O3152" s="37">
        <f t="shared" si="81"/>
        <v>0</v>
      </c>
    </row>
    <row r="3153" spans="2:15" ht="17.399999999999999">
      <c r="B3153" s="42" t="s">
        <v>51</v>
      </c>
      <c r="C3153" s="39"/>
      <c r="D3153" s="31"/>
      <c r="E3153" s="31"/>
      <c r="F3153" s="31"/>
      <c r="G3153" s="31"/>
      <c r="H3153" s="31"/>
      <c r="I3153" s="31"/>
      <c r="J3153" s="31"/>
      <c r="K3153" s="31"/>
      <c r="L3153" s="292"/>
      <c r="M3153" s="292">
        <f>IFERROR(VLOOKUP(B3153,'تقرير المصروفات حسب الشهر'!$C$1270:$AD$1381,28,FALSE),0)</f>
        <v>0</v>
      </c>
      <c r="N3153" s="31"/>
      <c r="O3153" s="37">
        <f t="shared" si="81"/>
        <v>0</v>
      </c>
    </row>
    <row r="3154" spans="2:15" ht="17.399999999999999">
      <c r="B3154" s="42" t="s">
        <v>52</v>
      </c>
      <c r="C3154" s="39"/>
      <c r="D3154" s="31"/>
      <c r="E3154" s="31"/>
      <c r="F3154" s="31"/>
      <c r="G3154" s="31"/>
      <c r="H3154" s="31"/>
      <c r="I3154" s="31"/>
      <c r="J3154" s="31"/>
      <c r="K3154" s="31"/>
      <c r="L3154" s="292"/>
      <c r="M3154" s="292">
        <f>IFERROR(VLOOKUP(B3154,'تقرير المصروفات حسب الشهر'!$C$1270:$AD$1381,28,FALSE),0)</f>
        <v>0</v>
      </c>
      <c r="N3154" s="31"/>
      <c r="O3154" s="37">
        <f t="shared" si="81"/>
        <v>0</v>
      </c>
    </row>
    <row r="3155" spans="2:15" ht="17.399999999999999">
      <c r="B3155" s="42" t="s">
        <v>174</v>
      </c>
      <c r="C3155" s="39"/>
      <c r="D3155" s="31"/>
      <c r="E3155" s="31"/>
      <c r="F3155" s="31"/>
      <c r="G3155" s="31"/>
      <c r="H3155" s="31"/>
      <c r="I3155" s="31"/>
      <c r="J3155" s="31"/>
      <c r="K3155" s="31"/>
      <c r="L3155" s="292"/>
      <c r="M3155" s="292">
        <f>IFERROR(VLOOKUP(B3155,'تقرير المصروفات حسب الشهر'!$C$1270:$AD$1381,28,FALSE),0)</f>
        <v>0</v>
      </c>
      <c r="N3155" s="31"/>
      <c r="O3155" s="37">
        <f t="shared" si="81"/>
        <v>0</v>
      </c>
    </row>
    <row r="3156" spans="2:15" ht="17.399999999999999">
      <c r="B3156" s="42" t="s">
        <v>53</v>
      </c>
      <c r="C3156" s="39"/>
      <c r="D3156" s="31"/>
      <c r="E3156" s="31"/>
      <c r="F3156" s="31"/>
      <c r="G3156" s="31"/>
      <c r="H3156" s="31"/>
      <c r="I3156" s="31"/>
      <c r="J3156" s="31"/>
      <c r="K3156" s="31"/>
      <c r="L3156" s="292"/>
      <c r="M3156" s="292">
        <f>IFERROR(VLOOKUP(B3156,'تقرير المصروفات حسب الشهر'!$C$1270:$AD$1381,28,FALSE),0)</f>
        <v>0</v>
      </c>
      <c r="N3156" s="31"/>
      <c r="O3156" s="37">
        <f t="shared" si="81"/>
        <v>0</v>
      </c>
    </row>
    <row r="3157" spans="2:15" ht="17.399999999999999">
      <c r="B3157" s="42" t="s">
        <v>191</v>
      </c>
      <c r="C3157" s="39"/>
      <c r="D3157" s="31"/>
      <c r="E3157" s="31"/>
      <c r="F3157" s="31"/>
      <c r="G3157" s="31"/>
      <c r="H3157" s="31"/>
      <c r="I3157" s="31"/>
      <c r="J3157" s="31"/>
      <c r="K3157" s="31"/>
      <c r="L3157" s="292"/>
      <c r="M3157" s="292">
        <f>IFERROR(VLOOKUP(B3157,'تقرير المصروفات حسب الشهر'!$C$1270:$AD$1381,28,FALSE),0)</f>
        <v>0</v>
      </c>
      <c r="N3157" s="31"/>
      <c r="O3157" s="37">
        <f t="shared" si="81"/>
        <v>0</v>
      </c>
    </row>
    <row r="3158" spans="2:15" ht="17.399999999999999">
      <c r="B3158" s="42" t="s">
        <v>29</v>
      </c>
      <c r="C3158" s="39"/>
      <c r="D3158" s="31"/>
      <c r="E3158" s="31"/>
      <c r="F3158" s="31"/>
      <c r="G3158" s="31"/>
      <c r="H3158" s="31"/>
      <c r="I3158" s="31"/>
      <c r="J3158" s="31"/>
      <c r="K3158" s="31"/>
      <c r="L3158" s="292"/>
      <c r="M3158" s="292">
        <f>IFERROR(VLOOKUP(B3158,'تقرير المصروفات حسب الشهر'!$C$1270:$AD$1381,28,FALSE),0)</f>
        <v>0</v>
      </c>
      <c r="N3158" s="31"/>
      <c r="O3158" s="37">
        <f t="shared" si="81"/>
        <v>0</v>
      </c>
    </row>
    <row r="3159" spans="2:15" ht="17.399999999999999">
      <c r="B3159" s="42" t="s">
        <v>54</v>
      </c>
      <c r="C3159" s="39"/>
      <c r="D3159" s="31"/>
      <c r="E3159" s="31"/>
      <c r="F3159" s="31"/>
      <c r="G3159" s="31"/>
      <c r="H3159" s="31"/>
      <c r="I3159" s="31"/>
      <c r="J3159" s="31"/>
      <c r="K3159" s="31"/>
      <c r="L3159" s="292"/>
      <c r="M3159" s="292">
        <f>IFERROR(VLOOKUP(B3159,'تقرير المصروفات حسب الشهر'!$C$1270:$AD$1381,28,FALSE),0)</f>
        <v>0</v>
      </c>
      <c r="N3159" s="31"/>
      <c r="O3159" s="37">
        <f t="shared" si="81"/>
        <v>0</v>
      </c>
    </row>
    <row r="3160" spans="2:15" ht="17.399999999999999">
      <c r="B3160" s="42" t="s">
        <v>31</v>
      </c>
      <c r="C3160" s="39"/>
      <c r="D3160" s="31"/>
      <c r="E3160" s="31"/>
      <c r="F3160" s="31"/>
      <c r="G3160" s="31"/>
      <c r="H3160" s="31"/>
      <c r="I3160" s="31"/>
      <c r="J3160" s="31"/>
      <c r="K3160" s="31"/>
      <c r="L3160" s="292"/>
      <c r="M3160" s="292">
        <f>IFERROR(VLOOKUP(B3160,'تقرير المصروفات حسب الشهر'!$C$1270:$AD$1381,28,FALSE),0)</f>
        <v>0</v>
      </c>
      <c r="N3160" s="31"/>
      <c r="O3160" s="37">
        <f t="shared" si="81"/>
        <v>0</v>
      </c>
    </row>
    <row r="3161" spans="2:15" ht="17.399999999999999">
      <c r="B3161" s="42" t="s">
        <v>55</v>
      </c>
      <c r="C3161" s="39"/>
      <c r="D3161" s="31"/>
      <c r="E3161" s="31"/>
      <c r="F3161" s="31"/>
      <c r="G3161" s="31"/>
      <c r="H3161" s="31"/>
      <c r="I3161" s="31"/>
      <c r="J3161" s="31"/>
      <c r="K3161" s="31"/>
      <c r="L3161" s="292"/>
      <c r="M3161" s="292">
        <f>IFERROR(VLOOKUP(B3161,'تقرير المصروفات حسب الشهر'!$C$1270:$AD$1381,28,FALSE),0)</f>
        <v>0</v>
      </c>
      <c r="N3161" s="31"/>
      <c r="O3161" s="37">
        <f t="shared" si="81"/>
        <v>0</v>
      </c>
    </row>
    <row r="3162" spans="2:15" ht="17.399999999999999">
      <c r="B3162" s="42" t="s">
        <v>56</v>
      </c>
      <c r="C3162" s="39"/>
      <c r="D3162" s="31"/>
      <c r="E3162" s="31"/>
      <c r="F3162" s="31"/>
      <c r="G3162" s="31"/>
      <c r="H3162" s="31"/>
      <c r="I3162" s="31"/>
      <c r="J3162" s="31"/>
      <c r="K3162" s="31"/>
      <c r="L3162" s="292"/>
      <c r="M3162" s="292">
        <f>IFERROR(VLOOKUP(B3162,'تقرير المصروفات حسب الشهر'!$C$1270:$AD$1381,28,FALSE),0)</f>
        <v>0</v>
      </c>
      <c r="N3162" s="31"/>
      <c r="O3162" s="37">
        <f t="shared" si="81"/>
        <v>0</v>
      </c>
    </row>
    <row r="3163" spans="2:15" ht="17.399999999999999">
      <c r="B3163" s="42" t="s">
        <v>57</v>
      </c>
      <c r="C3163" s="39"/>
      <c r="D3163" s="31"/>
      <c r="E3163" s="31"/>
      <c r="F3163" s="31"/>
      <c r="G3163" s="31"/>
      <c r="H3163" s="31"/>
      <c r="I3163" s="31"/>
      <c r="J3163" s="31"/>
      <c r="K3163" s="31"/>
      <c r="L3163" s="292"/>
      <c r="M3163" s="292">
        <f>IFERROR(VLOOKUP(B3163,'تقرير المصروفات حسب الشهر'!$C$1270:$AD$1381,28,FALSE),0)</f>
        <v>0</v>
      </c>
      <c r="N3163" s="31"/>
      <c r="O3163" s="37">
        <f t="shared" si="81"/>
        <v>0</v>
      </c>
    </row>
    <row r="3164" spans="2:15" ht="17.399999999999999">
      <c r="B3164" s="42" t="s">
        <v>58</v>
      </c>
      <c r="C3164" s="39"/>
      <c r="D3164" s="31"/>
      <c r="E3164" s="31"/>
      <c r="F3164" s="31"/>
      <c r="G3164" s="31"/>
      <c r="H3164" s="31"/>
      <c r="I3164" s="31"/>
      <c r="J3164" s="31"/>
      <c r="K3164" s="31"/>
      <c r="L3164" s="292"/>
      <c r="M3164" s="292">
        <f>IFERROR(VLOOKUP(B3164,'تقرير المصروفات حسب الشهر'!$C$1270:$AD$1381,28,FALSE),0)</f>
        <v>0</v>
      </c>
      <c r="N3164" s="31"/>
      <c r="O3164" s="37">
        <f t="shared" si="81"/>
        <v>0</v>
      </c>
    </row>
    <row r="3165" spans="2:15" ht="17.399999999999999">
      <c r="B3165" s="42" t="s">
        <v>59</v>
      </c>
      <c r="C3165" s="39"/>
      <c r="D3165" s="31"/>
      <c r="E3165" s="31"/>
      <c r="F3165" s="31"/>
      <c r="G3165" s="31"/>
      <c r="H3165" s="31"/>
      <c r="I3165" s="31"/>
      <c r="J3165" s="31"/>
      <c r="K3165" s="31"/>
      <c r="L3165" s="292"/>
      <c r="M3165" s="292">
        <f>IFERROR(VLOOKUP(B3165,'تقرير المصروفات حسب الشهر'!$C$1270:$AD$1381,28,FALSE),0)</f>
        <v>0</v>
      </c>
      <c r="N3165" s="31"/>
      <c r="O3165" s="37">
        <f t="shared" si="81"/>
        <v>0</v>
      </c>
    </row>
    <row r="3166" spans="2:15" ht="17.399999999999999">
      <c r="B3166" s="42" t="s">
        <v>60</v>
      </c>
      <c r="C3166" s="39"/>
      <c r="D3166" s="31"/>
      <c r="E3166" s="31"/>
      <c r="F3166" s="31"/>
      <c r="G3166" s="31"/>
      <c r="H3166" s="31"/>
      <c r="I3166" s="31"/>
      <c r="J3166" s="31"/>
      <c r="K3166" s="31"/>
      <c r="L3166" s="292"/>
      <c r="M3166" s="292">
        <f>IFERROR(VLOOKUP(B3166,'تقرير المصروفات حسب الشهر'!$C$1270:$AD$1381,28,FALSE),0)</f>
        <v>0</v>
      </c>
      <c r="N3166" s="31"/>
      <c r="O3166" s="37">
        <f t="shared" si="81"/>
        <v>0</v>
      </c>
    </row>
    <row r="3167" spans="2:15" ht="17.399999999999999">
      <c r="B3167" s="42" t="s">
        <v>61</v>
      </c>
      <c r="C3167" s="39"/>
      <c r="D3167" s="31"/>
      <c r="E3167" s="31"/>
      <c r="F3167" s="31"/>
      <c r="G3167" s="31"/>
      <c r="H3167" s="31"/>
      <c r="I3167" s="31"/>
      <c r="J3167" s="31"/>
      <c r="K3167" s="31"/>
      <c r="L3167" s="292"/>
      <c r="M3167" s="292">
        <f>IFERROR(VLOOKUP(B3167,'تقرير المصروفات حسب الشهر'!$C$1270:$AD$1381,28,FALSE),0)</f>
        <v>0</v>
      </c>
      <c r="N3167" s="31"/>
      <c r="O3167" s="37">
        <f t="shared" si="81"/>
        <v>0</v>
      </c>
    </row>
    <row r="3168" spans="2:15" ht="17.399999999999999">
      <c r="B3168" s="42" t="s">
        <v>62</v>
      </c>
      <c r="C3168" s="39"/>
      <c r="D3168" s="31"/>
      <c r="E3168" s="31"/>
      <c r="F3168" s="31"/>
      <c r="G3168" s="31"/>
      <c r="H3168" s="31"/>
      <c r="I3168" s="31"/>
      <c r="J3168" s="31"/>
      <c r="K3168" s="31"/>
      <c r="L3168" s="292"/>
      <c r="M3168" s="292">
        <f>IFERROR(VLOOKUP(B3168,'تقرير المصروفات حسب الشهر'!$C$1270:$AD$1381,28,FALSE),0)</f>
        <v>0</v>
      </c>
      <c r="N3168" s="31"/>
      <c r="O3168" s="37">
        <f t="shared" si="81"/>
        <v>0</v>
      </c>
    </row>
    <row r="3169" spans="2:15" ht="17.399999999999999">
      <c r="B3169" s="42" t="s">
        <v>63</v>
      </c>
      <c r="C3169" s="39"/>
      <c r="D3169" s="31"/>
      <c r="E3169" s="31"/>
      <c r="F3169" s="31"/>
      <c r="G3169" s="31"/>
      <c r="H3169" s="31"/>
      <c r="I3169" s="31"/>
      <c r="J3169" s="31"/>
      <c r="K3169" s="31"/>
      <c r="L3169" s="292"/>
      <c r="M3169" s="292">
        <f>IFERROR(VLOOKUP(B3169,'تقرير المصروفات حسب الشهر'!$C$1270:$AD$1381,28,FALSE),0)</f>
        <v>0</v>
      </c>
      <c r="N3169" s="31"/>
      <c r="O3169" s="37">
        <f t="shared" si="81"/>
        <v>0</v>
      </c>
    </row>
    <row r="3170" spans="2:15" ht="17.399999999999999">
      <c r="B3170" s="42" t="s">
        <v>64</v>
      </c>
      <c r="C3170" s="39"/>
      <c r="D3170" s="31"/>
      <c r="E3170" s="31"/>
      <c r="F3170" s="31"/>
      <c r="G3170" s="31"/>
      <c r="H3170" s="31"/>
      <c r="I3170" s="31"/>
      <c r="J3170" s="31"/>
      <c r="K3170" s="31"/>
      <c r="L3170" s="292"/>
      <c r="M3170" s="292">
        <f>IFERROR(VLOOKUP(B3170,'تقرير المصروفات حسب الشهر'!$C$1270:$AD$1381,28,FALSE),0)</f>
        <v>0</v>
      </c>
      <c r="N3170" s="31"/>
      <c r="O3170" s="37">
        <f t="shared" si="81"/>
        <v>0</v>
      </c>
    </row>
    <row r="3171" spans="2:15" ht="17.399999999999999">
      <c r="B3171" s="42" t="s">
        <v>28</v>
      </c>
      <c r="C3171" s="39"/>
      <c r="D3171" s="31"/>
      <c r="E3171" s="31"/>
      <c r="F3171" s="31"/>
      <c r="G3171" s="31"/>
      <c r="H3171" s="31"/>
      <c r="I3171" s="31"/>
      <c r="J3171" s="31"/>
      <c r="K3171" s="31"/>
      <c r="L3171" s="292"/>
      <c r="M3171" s="292">
        <f>IFERROR(VLOOKUP(B3171,'تقرير المصروفات حسب الشهر'!$C$1270:$AD$1381,28,FALSE),0)</f>
        <v>0</v>
      </c>
      <c r="N3171" s="31"/>
      <c r="O3171" s="37">
        <f t="shared" si="81"/>
        <v>0</v>
      </c>
    </row>
    <row r="3172" spans="2:15" ht="17.399999999999999">
      <c r="B3172" s="42" t="s">
        <v>157</v>
      </c>
      <c r="C3172" s="39"/>
      <c r="D3172" s="31"/>
      <c r="E3172" s="31"/>
      <c r="F3172" s="31"/>
      <c r="G3172" s="31"/>
      <c r="H3172" s="31"/>
      <c r="I3172" s="31"/>
      <c r="J3172" s="31"/>
      <c r="K3172" s="31"/>
      <c r="L3172" s="292"/>
      <c r="M3172" s="292">
        <f>IFERROR(VLOOKUP(B3172,'تقرير المصروفات حسب الشهر'!$C$1270:$AD$1381,28,FALSE),0)</f>
        <v>0</v>
      </c>
      <c r="N3172" s="31"/>
      <c r="O3172" s="37">
        <f t="shared" si="81"/>
        <v>0</v>
      </c>
    </row>
    <row r="3173" spans="2:15" ht="17.399999999999999">
      <c r="B3173" s="42" t="s">
        <v>65</v>
      </c>
      <c r="C3173" s="39"/>
      <c r="D3173" s="31"/>
      <c r="E3173" s="31"/>
      <c r="F3173" s="31"/>
      <c r="G3173" s="31"/>
      <c r="H3173" s="31"/>
      <c r="I3173" s="31"/>
      <c r="J3173" s="31"/>
      <c r="K3173" s="31"/>
      <c r="L3173" s="292"/>
      <c r="M3173" s="292">
        <f>IFERROR(VLOOKUP(B3173,'تقرير المصروفات حسب الشهر'!$C$1270:$AD$1381,28,FALSE),0)</f>
        <v>0</v>
      </c>
      <c r="N3173" s="31"/>
      <c r="O3173" s="37">
        <f t="shared" si="81"/>
        <v>0</v>
      </c>
    </row>
    <row r="3174" spans="2:15" ht="17.399999999999999">
      <c r="B3174" s="42" t="s">
        <v>66</v>
      </c>
      <c r="C3174" s="39"/>
      <c r="D3174" s="31"/>
      <c r="E3174" s="31"/>
      <c r="F3174" s="31"/>
      <c r="G3174" s="31"/>
      <c r="H3174" s="31"/>
      <c r="I3174" s="31"/>
      <c r="J3174" s="31"/>
      <c r="K3174" s="31"/>
      <c r="L3174" s="292"/>
      <c r="M3174" s="292">
        <f>IFERROR(VLOOKUP(B3174,'تقرير المصروفات حسب الشهر'!$C$1270:$AD$1381,28,FALSE),0)</f>
        <v>0</v>
      </c>
      <c r="N3174" s="31"/>
      <c r="O3174" s="37">
        <f t="shared" si="81"/>
        <v>0</v>
      </c>
    </row>
    <row r="3175" spans="2:15" ht="17.399999999999999">
      <c r="B3175" s="42" t="s">
        <v>30</v>
      </c>
      <c r="C3175" s="39"/>
      <c r="D3175" s="31"/>
      <c r="E3175" s="31"/>
      <c r="F3175" s="31"/>
      <c r="G3175" s="31"/>
      <c r="H3175" s="31"/>
      <c r="I3175" s="31"/>
      <c r="J3175" s="31"/>
      <c r="K3175" s="31"/>
      <c r="L3175" s="292"/>
      <c r="M3175" s="292">
        <f>IFERROR(VLOOKUP(B3175,'تقرير المصروفات حسب الشهر'!$C$1270:$AD$1381,28,FALSE),0)</f>
        <v>0</v>
      </c>
      <c r="N3175" s="31"/>
      <c r="O3175" s="37">
        <f t="shared" si="81"/>
        <v>0</v>
      </c>
    </row>
    <row r="3176" spans="2:15" ht="17.399999999999999">
      <c r="B3176" s="42" t="s">
        <v>67</v>
      </c>
      <c r="C3176" s="39"/>
      <c r="D3176" s="31"/>
      <c r="E3176" s="31"/>
      <c r="F3176" s="31"/>
      <c r="G3176" s="31"/>
      <c r="H3176" s="31"/>
      <c r="I3176" s="31"/>
      <c r="J3176" s="31"/>
      <c r="K3176" s="31"/>
      <c r="L3176" s="292"/>
      <c r="M3176" s="292">
        <f>IFERROR(VLOOKUP(B3176,'تقرير المصروفات حسب الشهر'!$C$1270:$AD$1381,28,FALSE),0)</f>
        <v>0</v>
      </c>
      <c r="N3176" s="31"/>
      <c r="O3176" s="37">
        <f t="shared" si="81"/>
        <v>0</v>
      </c>
    </row>
    <row r="3177" spans="2:15" ht="17.399999999999999">
      <c r="B3177" s="42" t="s">
        <v>111</v>
      </c>
      <c r="C3177" s="39"/>
      <c r="D3177" s="31"/>
      <c r="E3177" s="31"/>
      <c r="F3177" s="31"/>
      <c r="G3177" s="31"/>
      <c r="H3177" s="31"/>
      <c r="I3177" s="31"/>
      <c r="J3177" s="31"/>
      <c r="K3177" s="31"/>
      <c r="L3177" s="292"/>
      <c r="M3177" s="292">
        <f>IFERROR(VLOOKUP(B3177,'تقرير المصروفات حسب الشهر'!$C$1270:$AD$1381,28,FALSE),0)</f>
        <v>0</v>
      </c>
      <c r="N3177" s="31"/>
      <c r="O3177" s="37">
        <f t="shared" si="81"/>
        <v>0</v>
      </c>
    </row>
    <row r="3178" spans="2:15" ht="17.399999999999999">
      <c r="B3178" s="42" t="s">
        <v>68</v>
      </c>
      <c r="C3178" s="39"/>
      <c r="D3178" s="31"/>
      <c r="E3178" s="31"/>
      <c r="F3178" s="31"/>
      <c r="G3178" s="31"/>
      <c r="H3178" s="31"/>
      <c r="I3178" s="31"/>
      <c r="J3178" s="31"/>
      <c r="K3178" s="31"/>
      <c r="L3178" s="292"/>
      <c r="M3178" s="292">
        <f>IFERROR(VLOOKUP(B3178,'تقرير المصروفات حسب الشهر'!$C$1270:$AD$1381,28,FALSE),0)</f>
        <v>0</v>
      </c>
      <c r="N3178" s="31"/>
      <c r="O3178" s="37">
        <f t="shared" si="81"/>
        <v>0</v>
      </c>
    </row>
    <row r="3179" spans="2:15" ht="17.399999999999999">
      <c r="B3179" s="42" t="s">
        <v>69</v>
      </c>
      <c r="C3179" s="39"/>
      <c r="D3179" s="31"/>
      <c r="E3179" s="31"/>
      <c r="F3179" s="31"/>
      <c r="G3179" s="31"/>
      <c r="H3179" s="31"/>
      <c r="I3179" s="31"/>
      <c r="J3179" s="31"/>
      <c r="K3179" s="31"/>
      <c r="L3179" s="292"/>
      <c r="M3179" s="292">
        <f>IFERROR(VLOOKUP(B3179,'تقرير المصروفات حسب الشهر'!$C$1270:$AD$1381,28,FALSE),0)</f>
        <v>0</v>
      </c>
      <c r="N3179" s="31"/>
      <c r="O3179" s="37">
        <f t="shared" si="81"/>
        <v>0</v>
      </c>
    </row>
    <row r="3180" spans="2:15" ht="17.399999999999999">
      <c r="B3180" s="42" t="s">
        <v>70</v>
      </c>
      <c r="C3180" s="39"/>
      <c r="D3180" s="31"/>
      <c r="E3180" s="31"/>
      <c r="F3180" s="31"/>
      <c r="G3180" s="31"/>
      <c r="H3180" s="31"/>
      <c r="I3180" s="31"/>
      <c r="J3180" s="31"/>
      <c r="K3180" s="31"/>
      <c r="L3180" s="292"/>
      <c r="M3180" s="292">
        <f>IFERROR(VLOOKUP(B3180,'تقرير المصروفات حسب الشهر'!$C$1270:$AD$1381,28,FALSE),0)</f>
        <v>0</v>
      </c>
      <c r="N3180" s="31"/>
      <c r="O3180" s="37">
        <f t="shared" si="81"/>
        <v>0</v>
      </c>
    </row>
    <row r="3181" spans="2:15" ht="17.399999999999999">
      <c r="B3181" s="42" t="s">
        <v>71</v>
      </c>
      <c r="C3181" s="39"/>
      <c r="D3181" s="31"/>
      <c r="E3181" s="31"/>
      <c r="F3181" s="31"/>
      <c r="G3181" s="31"/>
      <c r="H3181" s="31"/>
      <c r="I3181" s="31"/>
      <c r="J3181" s="31"/>
      <c r="K3181" s="31"/>
      <c r="L3181" s="292"/>
      <c r="M3181" s="292">
        <f>IFERROR(VLOOKUP(B3181,'تقرير المصروفات حسب الشهر'!$C$1270:$AD$1381,28,FALSE),0)</f>
        <v>0</v>
      </c>
      <c r="N3181" s="31"/>
      <c r="O3181" s="37">
        <f t="shared" si="81"/>
        <v>0</v>
      </c>
    </row>
    <row r="3182" spans="2:15" ht="17.399999999999999">
      <c r="B3182" s="42" t="s">
        <v>159</v>
      </c>
      <c r="C3182" s="39"/>
      <c r="D3182" s="31"/>
      <c r="E3182" s="31"/>
      <c r="F3182" s="31"/>
      <c r="G3182" s="31"/>
      <c r="H3182" s="31"/>
      <c r="I3182" s="31"/>
      <c r="J3182" s="31"/>
      <c r="K3182" s="31"/>
      <c r="L3182" s="292"/>
      <c r="M3182" s="292">
        <f>IFERROR(VLOOKUP(B3182,'تقرير المصروفات حسب الشهر'!$C$1270:$AD$1381,28,FALSE),0)</f>
        <v>0</v>
      </c>
      <c r="N3182" s="31"/>
      <c r="O3182" s="37">
        <f t="shared" si="81"/>
        <v>0</v>
      </c>
    </row>
    <row r="3183" spans="2:15" ht="17.399999999999999">
      <c r="B3183" s="42" t="s">
        <v>72</v>
      </c>
      <c r="C3183" s="39"/>
      <c r="D3183" s="31"/>
      <c r="E3183" s="31"/>
      <c r="F3183" s="31"/>
      <c r="G3183" s="31"/>
      <c r="H3183" s="31"/>
      <c r="I3183" s="31"/>
      <c r="J3183" s="31"/>
      <c r="K3183" s="31"/>
      <c r="L3183" s="292"/>
      <c r="M3183" s="292">
        <f>IFERROR(VLOOKUP(B3183,'تقرير المصروفات حسب الشهر'!$C$1270:$AD$1381,28,FALSE),0)</f>
        <v>0</v>
      </c>
      <c r="N3183" s="31"/>
      <c r="O3183" s="37">
        <f t="shared" si="81"/>
        <v>0</v>
      </c>
    </row>
    <row r="3184" spans="2:15" ht="17.399999999999999">
      <c r="B3184" s="42" t="s">
        <v>73</v>
      </c>
      <c r="C3184" s="39"/>
      <c r="D3184" s="31"/>
      <c r="E3184" s="31"/>
      <c r="F3184" s="31"/>
      <c r="G3184" s="31"/>
      <c r="H3184" s="31"/>
      <c r="I3184" s="31"/>
      <c r="J3184" s="31"/>
      <c r="K3184" s="31"/>
      <c r="L3184" s="292"/>
      <c r="M3184" s="292">
        <f>IFERROR(VLOOKUP(B3184,'تقرير المصروفات حسب الشهر'!$C$1270:$AD$1381,28,FALSE),0)</f>
        <v>0</v>
      </c>
      <c r="N3184" s="31"/>
      <c r="O3184" s="37">
        <f t="shared" si="81"/>
        <v>0</v>
      </c>
    </row>
    <row r="3185" spans="2:15" ht="17.399999999999999">
      <c r="B3185" s="42" t="s">
        <v>74</v>
      </c>
      <c r="C3185" s="39"/>
      <c r="D3185" s="31"/>
      <c r="E3185" s="31"/>
      <c r="F3185" s="31"/>
      <c r="G3185" s="31"/>
      <c r="H3185" s="31"/>
      <c r="I3185" s="31"/>
      <c r="J3185" s="31"/>
      <c r="K3185" s="31"/>
      <c r="L3185" s="292"/>
      <c r="M3185" s="292">
        <f>IFERROR(VLOOKUP(B3185,'تقرير المصروفات حسب الشهر'!$C$1270:$AD$1381,28,FALSE),0)</f>
        <v>0</v>
      </c>
      <c r="N3185" s="31"/>
      <c r="O3185" s="37">
        <f t="shared" si="81"/>
        <v>0</v>
      </c>
    </row>
    <row r="3186" spans="2:15" ht="17.399999999999999">
      <c r="B3186" s="42" t="s">
        <v>75</v>
      </c>
      <c r="C3186" s="39"/>
      <c r="D3186" s="31"/>
      <c r="E3186" s="31"/>
      <c r="F3186" s="31"/>
      <c r="G3186" s="31"/>
      <c r="H3186" s="31"/>
      <c r="I3186" s="31"/>
      <c r="J3186" s="31"/>
      <c r="K3186" s="31"/>
      <c r="L3186" s="292"/>
      <c r="M3186" s="292">
        <f>IFERROR(VLOOKUP(B3186,'تقرير المصروفات حسب الشهر'!$C$1270:$AD$1381,28,FALSE),0)</f>
        <v>0</v>
      </c>
      <c r="N3186" s="31"/>
      <c r="O3186" s="37">
        <f t="shared" si="81"/>
        <v>0</v>
      </c>
    </row>
    <row r="3187" spans="2:15" ht="17.399999999999999">
      <c r="B3187" s="42" t="s">
        <v>76</v>
      </c>
      <c r="C3187" s="39"/>
      <c r="D3187" s="31"/>
      <c r="E3187" s="31"/>
      <c r="F3187" s="31"/>
      <c r="G3187" s="31"/>
      <c r="H3187" s="31"/>
      <c r="I3187" s="31"/>
      <c r="J3187" s="31"/>
      <c r="K3187" s="31"/>
      <c r="L3187" s="292"/>
      <c r="M3187" s="292">
        <f>IFERROR(VLOOKUP(B3187,'تقرير المصروفات حسب الشهر'!$C$1270:$AD$1381,28,FALSE),0)</f>
        <v>0</v>
      </c>
      <c r="N3187" s="31"/>
      <c r="O3187" s="37">
        <f t="shared" si="81"/>
        <v>0</v>
      </c>
    </row>
    <row r="3188" spans="2:15" ht="17.399999999999999">
      <c r="B3188" s="42" t="s">
        <v>77</v>
      </c>
      <c r="C3188" s="39"/>
      <c r="D3188" s="31"/>
      <c r="E3188" s="31"/>
      <c r="F3188" s="31"/>
      <c r="G3188" s="31"/>
      <c r="H3188" s="31"/>
      <c r="I3188" s="31"/>
      <c r="J3188" s="31"/>
      <c r="K3188" s="31"/>
      <c r="L3188" s="292"/>
      <c r="M3188" s="292">
        <f>IFERROR(VLOOKUP(B3188,'تقرير المصروفات حسب الشهر'!$C$1270:$AD$1381,28,FALSE),0)</f>
        <v>0</v>
      </c>
      <c r="N3188" s="31"/>
      <c r="O3188" s="37">
        <f t="shared" si="81"/>
        <v>0</v>
      </c>
    </row>
    <row r="3189" spans="2:15" ht="17.399999999999999">
      <c r="B3189" s="42" t="s">
        <v>78</v>
      </c>
      <c r="C3189" s="39"/>
      <c r="D3189" s="31"/>
      <c r="E3189" s="31"/>
      <c r="F3189" s="31"/>
      <c r="G3189" s="31"/>
      <c r="H3189" s="31"/>
      <c r="I3189" s="31"/>
      <c r="J3189" s="31"/>
      <c r="K3189" s="31"/>
      <c r="L3189" s="292"/>
      <c r="M3189" s="292">
        <f>IFERROR(VLOOKUP(B3189,'تقرير المصروفات حسب الشهر'!$C$1270:$AD$1381,28,FALSE),0)</f>
        <v>0</v>
      </c>
      <c r="N3189" s="31"/>
      <c r="O3189" s="37">
        <f t="shared" si="81"/>
        <v>0</v>
      </c>
    </row>
    <row r="3190" spans="2:15" ht="17.399999999999999">
      <c r="B3190" s="42" t="s">
        <v>79</v>
      </c>
      <c r="C3190" s="39"/>
      <c r="D3190" s="31"/>
      <c r="E3190" s="31"/>
      <c r="F3190" s="31"/>
      <c r="G3190" s="31"/>
      <c r="H3190" s="31"/>
      <c r="I3190" s="31"/>
      <c r="J3190" s="31"/>
      <c r="K3190" s="31"/>
      <c r="L3190" s="292"/>
      <c r="M3190" s="292">
        <f>IFERROR(VLOOKUP(B3190,'تقرير المصروفات حسب الشهر'!$C$1270:$AD$1381,28,FALSE),0)</f>
        <v>0</v>
      </c>
      <c r="N3190" s="31"/>
      <c r="O3190" s="37">
        <f t="shared" si="81"/>
        <v>0</v>
      </c>
    </row>
    <row r="3191" spans="2:15" ht="17.399999999999999">
      <c r="B3191" s="42" t="s">
        <v>80</v>
      </c>
      <c r="C3191" s="39"/>
      <c r="D3191" s="31"/>
      <c r="E3191" s="31"/>
      <c r="F3191" s="31"/>
      <c r="G3191" s="31"/>
      <c r="H3191" s="31"/>
      <c r="I3191" s="31"/>
      <c r="J3191" s="31"/>
      <c r="K3191" s="31"/>
      <c r="L3191" s="292"/>
      <c r="M3191" s="292">
        <f>IFERROR(VLOOKUP(B3191,'تقرير المصروفات حسب الشهر'!$C$1270:$AD$1381,28,FALSE),0)</f>
        <v>0</v>
      </c>
      <c r="N3191" s="31"/>
      <c r="O3191" s="37">
        <f t="shared" si="81"/>
        <v>0</v>
      </c>
    </row>
    <row r="3192" spans="2:15" ht="17.399999999999999">
      <c r="B3192" s="42" t="s">
        <v>81</v>
      </c>
      <c r="C3192" s="39"/>
      <c r="D3192" s="31"/>
      <c r="E3192" s="31"/>
      <c r="F3192" s="31"/>
      <c r="G3192" s="31"/>
      <c r="H3192" s="31"/>
      <c r="I3192" s="31"/>
      <c r="J3192" s="31"/>
      <c r="K3192" s="31"/>
      <c r="L3192" s="292"/>
      <c r="M3192" s="292">
        <f>IFERROR(VLOOKUP(B3192,'تقرير المصروفات حسب الشهر'!$C$1270:$AD$1381,28,FALSE),0)</f>
        <v>0</v>
      </c>
      <c r="N3192" s="31"/>
      <c r="O3192" s="37">
        <f t="shared" si="81"/>
        <v>0</v>
      </c>
    </row>
    <row r="3193" spans="2:15" ht="17.399999999999999">
      <c r="B3193" s="42" t="s">
        <v>82</v>
      </c>
      <c r="C3193" s="39"/>
      <c r="D3193" s="31"/>
      <c r="E3193" s="31"/>
      <c r="F3193" s="31"/>
      <c r="G3193" s="31"/>
      <c r="H3193" s="31"/>
      <c r="I3193" s="31"/>
      <c r="J3193" s="31"/>
      <c r="K3193" s="31"/>
      <c r="L3193" s="292"/>
      <c r="M3193" s="292">
        <f>IFERROR(VLOOKUP(B3193,'تقرير المصروفات حسب الشهر'!$C$1270:$AD$1381,28,FALSE),0)</f>
        <v>0</v>
      </c>
      <c r="N3193" s="31"/>
      <c r="O3193" s="37">
        <f t="shared" si="81"/>
        <v>0</v>
      </c>
    </row>
    <row r="3194" spans="2:15" ht="17.399999999999999">
      <c r="B3194" s="42" t="s">
        <v>83</v>
      </c>
      <c r="C3194" s="39"/>
      <c r="D3194" s="31"/>
      <c r="E3194" s="31"/>
      <c r="F3194" s="31"/>
      <c r="G3194" s="31"/>
      <c r="H3194" s="31"/>
      <c r="I3194" s="31"/>
      <c r="J3194" s="31"/>
      <c r="K3194" s="31"/>
      <c r="L3194" s="292"/>
      <c r="M3194" s="292">
        <f>IFERROR(VLOOKUP(B3194,'تقرير المصروفات حسب الشهر'!$C$1270:$AD$1381,28,FALSE),0)</f>
        <v>0</v>
      </c>
      <c r="N3194" s="31"/>
      <c r="O3194" s="37">
        <f t="shared" si="81"/>
        <v>0</v>
      </c>
    </row>
    <row r="3195" spans="2:15" ht="17.399999999999999">
      <c r="B3195" s="42" t="s">
        <v>84</v>
      </c>
      <c r="C3195" s="39"/>
      <c r="D3195" s="31"/>
      <c r="E3195" s="31"/>
      <c r="F3195" s="31"/>
      <c r="G3195" s="31"/>
      <c r="H3195" s="31"/>
      <c r="I3195" s="31"/>
      <c r="J3195" s="31"/>
      <c r="K3195" s="31"/>
      <c r="L3195" s="292"/>
      <c r="M3195" s="292">
        <f>IFERROR(VLOOKUP(B3195,'تقرير المصروفات حسب الشهر'!$C$1270:$AD$1381,28,FALSE),0)</f>
        <v>0</v>
      </c>
      <c r="N3195" s="31"/>
      <c r="O3195" s="37">
        <f t="shared" si="81"/>
        <v>0</v>
      </c>
    </row>
    <row r="3196" spans="2:15" ht="17.399999999999999">
      <c r="B3196" s="42" t="s">
        <v>85</v>
      </c>
      <c r="C3196" s="39"/>
      <c r="D3196" s="31"/>
      <c r="E3196" s="31"/>
      <c r="F3196" s="31"/>
      <c r="G3196" s="31"/>
      <c r="H3196" s="31"/>
      <c r="I3196" s="31"/>
      <c r="J3196" s="31"/>
      <c r="K3196" s="31"/>
      <c r="L3196" s="292"/>
      <c r="M3196" s="292">
        <f>IFERROR(VLOOKUP(B3196,'تقرير المصروفات حسب الشهر'!$C$1270:$AD$1381,28,FALSE),0)</f>
        <v>0</v>
      </c>
      <c r="N3196" s="31"/>
      <c r="O3196" s="37">
        <f t="shared" si="81"/>
        <v>0</v>
      </c>
    </row>
    <row r="3197" spans="2:15" ht="17.399999999999999">
      <c r="B3197" s="42" t="s">
        <v>86</v>
      </c>
      <c r="C3197" s="39"/>
      <c r="D3197" s="31"/>
      <c r="E3197" s="31"/>
      <c r="F3197" s="31"/>
      <c r="G3197" s="31"/>
      <c r="H3197" s="31"/>
      <c r="I3197" s="31"/>
      <c r="J3197" s="31"/>
      <c r="K3197" s="31"/>
      <c r="L3197" s="292"/>
      <c r="M3197" s="292">
        <f>IFERROR(VLOOKUP(B3197,'تقرير المصروفات حسب الشهر'!$C$1270:$AD$1381,28,FALSE),0)</f>
        <v>0</v>
      </c>
      <c r="N3197" s="31"/>
      <c r="O3197" s="37">
        <f t="shared" si="81"/>
        <v>0</v>
      </c>
    </row>
    <row r="3198" spans="2:15" ht="17.399999999999999">
      <c r="B3198" s="42" t="s">
        <v>87</v>
      </c>
      <c r="C3198" s="39"/>
      <c r="D3198" s="31"/>
      <c r="E3198" s="31"/>
      <c r="F3198" s="31"/>
      <c r="G3198" s="31"/>
      <c r="H3198" s="31"/>
      <c r="I3198" s="31"/>
      <c r="J3198" s="31"/>
      <c r="K3198" s="31"/>
      <c r="L3198" s="292"/>
      <c r="M3198" s="292">
        <f>IFERROR(VLOOKUP(B3198,'تقرير المصروفات حسب الشهر'!$C$1270:$AD$1381,28,FALSE),0)</f>
        <v>0</v>
      </c>
      <c r="N3198" s="31"/>
      <c r="O3198" s="37">
        <f t="shared" si="81"/>
        <v>0</v>
      </c>
    </row>
    <row r="3199" spans="2:15" ht="17.399999999999999">
      <c r="B3199" s="42" t="s">
        <v>88</v>
      </c>
      <c r="C3199" s="39"/>
      <c r="D3199" s="31"/>
      <c r="E3199" s="31"/>
      <c r="F3199" s="31"/>
      <c r="G3199" s="31"/>
      <c r="H3199" s="31"/>
      <c r="I3199" s="31"/>
      <c r="J3199" s="31"/>
      <c r="K3199" s="31"/>
      <c r="L3199" s="292"/>
      <c r="M3199" s="292">
        <f>IFERROR(VLOOKUP(B3199,'تقرير المصروفات حسب الشهر'!$C$1270:$AD$1381,28,FALSE),0)</f>
        <v>0</v>
      </c>
      <c r="N3199" s="31"/>
      <c r="O3199" s="37">
        <f t="shared" si="81"/>
        <v>0</v>
      </c>
    </row>
    <row r="3200" spans="2:15" ht="17.399999999999999">
      <c r="B3200" s="42" t="s">
        <v>89</v>
      </c>
      <c r="C3200" s="39"/>
      <c r="D3200" s="31"/>
      <c r="E3200" s="31"/>
      <c r="F3200" s="31"/>
      <c r="G3200" s="31"/>
      <c r="H3200" s="31"/>
      <c r="I3200" s="31"/>
      <c r="J3200" s="31"/>
      <c r="K3200" s="31"/>
      <c r="L3200" s="292"/>
      <c r="M3200" s="292">
        <f>IFERROR(VLOOKUP(B3200,'تقرير المصروفات حسب الشهر'!$C$1270:$AD$1381,28,FALSE),0)</f>
        <v>0</v>
      </c>
      <c r="N3200" s="31"/>
      <c r="O3200" s="37">
        <f t="shared" si="81"/>
        <v>0</v>
      </c>
    </row>
    <row r="3201" spans="2:15" ht="17.399999999999999">
      <c r="B3201" s="42" t="s">
        <v>33</v>
      </c>
      <c r="C3201" s="39"/>
      <c r="D3201" s="31"/>
      <c r="E3201" s="31"/>
      <c r="F3201" s="31"/>
      <c r="G3201" s="31"/>
      <c r="H3201" s="31"/>
      <c r="I3201" s="31"/>
      <c r="J3201" s="31"/>
      <c r="K3201" s="31"/>
      <c r="L3201" s="292"/>
      <c r="M3201" s="292">
        <f>IFERROR(VLOOKUP(B3201,'تقرير المصروفات حسب الشهر'!$C$1270:$AD$1381,28,FALSE),0)</f>
        <v>0</v>
      </c>
      <c r="N3201" s="31"/>
      <c r="O3201" s="37">
        <f t="shared" si="81"/>
        <v>0</v>
      </c>
    </row>
    <row r="3202" spans="2:15" ht="17.399999999999999">
      <c r="B3202" s="42" t="s">
        <v>90</v>
      </c>
      <c r="C3202" s="39"/>
      <c r="D3202" s="31"/>
      <c r="E3202" s="31"/>
      <c r="F3202" s="31"/>
      <c r="G3202" s="31"/>
      <c r="H3202" s="31"/>
      <c r="I3202" s="31"/>
      <c r="J3202" s="31"/>
      <c r="K3202" s="31"/>
      <c r="L3202" s="292"/>
      <c r="M3202" s="292">
        <f>IFERROR(VLOOKUP(B3202,'تقرير المصروفات حسب الشهر'!$C$1270:$AD$1381,28,FALSE),0)</f>
        <v>0</v>
      </c>
      <c r="N3202" s="31"/>
      <c r="O3202" s="37">
        <f t="shared" si="81"/>
        <v>0</v>
      </c>
    </row>
    <row r="3203" spans="2:15" ht="17.399999999999999">
      <c r="B3203" s="42" t="s">
        <v>91</v>
      </c>
      <c r="C3203" s="39"/>
      <c r="D3203" s="31"/>
      <c r="E3203" s="31"/>
      <c r="F3203" s="31"/>
      <c r="G3203" s="31"/>
      <c r="H3203" s="31"/>
      <c r="I3203" s="31"/>
      <c r="J3203" s="31"/>
      <c r="K3203" s="31"/>
      <c r="L3203" s="292"/>
      <c r="M3203" s="292">
        <f>IFERROR(VLOOKUP(B3203,'تقرير المصروفات حسب الشهر'!$C$1270:$AD$1381,28,FALSE),0)</f>
        <v>0</v>
      </c>
      <c r="N3203" s="31"/>
      <c r="O3203" s="37">
        <f t="shared" ref="O3203:O3236" si="82">SUM(C3203:N3203)</f>
        <v>0</v>
      </c>
    </row>
    <row r="3204" spans="2:15" ht="17.399999999999999">
      <c r="B3204" s="42" t="s">
        <v>92</v>
      </c>
      <c r="C3204" s="39"/>
      <c r="D3204" s="31"/>
      <c r="E3204" s="31"/>
      <c r="F3204" s="31"/>
      <c r="G3204" s="31"/>
      <c r="H3204" s="31"/>
      <c r="I3204" s="31"/>
      <c r="J3204" s="31"/>
      <c r="K3204" s="31"/>
      <c r="L3204" s="292"/>
      <c r="M3204" s="292">
        <f>IFERROR(VLOOKUP(B3204,'تقرير المصروفات حسب الشهر'!$C$1270:$AD$1381,28,FALSE),0)</f>
        <v>0</v>
      </c>
      <c r="N3204" s="31"/>
      <c r="O3204" s="37">
        <f t="shared" si="82"/>
        <v>0</v>
      </c>
    </row>
    <row r="3205" spans="2:15" ht="17.399999999999999">
      <c r="B3205" s="42" t="s">
        <v>93</v>
      </c>
      <c r="C3205" s="39"/>
      <c r="D3205" s="31"/>
      <c r="E3205" s="31"/>
      <c r="F3205" s="31"/>
      <c r="G3205" s="31"/>
      <c r="H3205" s="31"/>
      <c r="I3205" s="31"/>
      <c r="J3205" s="31"/>
      <c r="K3205" s="31"/>
      <c r="L3205" s="292"/>
      <c r="M3205" s="292">
        <f>IFERROR(VLOOKUP(B3205,'تقرير المصروفات حسب الشهر'!$C$1270:$AD$1381,28,FALSE),0)</f>
        <v>0</v>
      </c>
      <c r="N3205" s="31"/>
      <c r="O3205" s="37">
        <f t="shared" si="82"/>
        <v>0</v>
      </c>
    </row>
    <row r="3206" spans="2:15" ht="17.399999999999999">
      <c r="B3206" s="42" t="s">
        <v>94</v>
      </c>
      <c r="C3206" s="39"/>
      <c r="D3206" s="31"/>
      <c r="E3206" s="31"/>
      <c r="F3206" s="31"/>
      <c r="G3206" s="31"/>
      <c r="H3206" s="31"/>
      <c r="I3206" s="31"/>
      <c r="J3206" s="31"/>
      <c r="K3206" s="31"/>
      <c r="L3206" s="292"/>
      <c r="M3206" s="292">
        <f>IFERROR(VLOOKUP(B3206,'تقرير المصروفات حسب الشهر'!$C$1270:$AD$1381,28,FALSE),0)</f>
        <v>0</v>
      </c>
      <c r="N3206" s="31"/>
      <c r="O3206" s="37">
        <f t="shared" si="82"/>
        <v>0</v>
      </c>
    </row>
    <row r="3207" spans="2:15" ht="17.399999999999999">
      <c r="B3207" s="42" t="s">
        <v>95</v>
      </c>
      <c r="C3207" s="39"/>
      <c r="D3207" s="31"/>
      <c r="E3207" s="31"/>
      <c r="F3207" s="31"/>
      <c r="G3207" s="31"/>
      <c r="H3207" s="31"/>
      <c r="I3207" s="31"/>
      <c r="J3207" s="31"/>
      <c r="K3207" s="31"/>
      <c r="L3207" s="292"/>
      <c r="M3207" s="292">
        <f>IFERROR(VLOOKUP(B3207,'تقرير المصروفات حسب الشهر'!$C$1270:$AD$1381,28,FALSE),0)</f>
        <v>0</v>
      </c>
      <c r="N3207" s="31"/>
      <c r="O3207" s="37">
        <f t="shared" si="82"/>
        <v>0</v>
      </c>
    </row>
    <row r="3208" spans="2:15" ht="17.399999999999999">
      <c r="B3208" s="42" t="s">
        <v>96</v>
      </c>
      <c r="C3208" s="39"/>
      <c r="D3208" s="31"/>
      <c r="E3208" s="31"/>
      <c r="F3208" s="31"/>
      <c r="G3208" s="31"/>
      <c r="H3208" s="31"/>
      <c r="I3208" s="31"/>
      <c r="J3208" s="31"/>
      <c r="K3208" s="31"/>
      <c r="L3208" s="292"/>
      <c r="M3208" s="292">
        <f>IFERROR(VLOOKUP(B3208,'تقرير المصروفات حسب الشهر'!$C$1270:$AD$1381,28,FALSE),0)</f>
        <v>0</v>
      </c>
      <c r="N3208" s="31"/>
      <c r="O3208" s="37">
        <f t="shared" si="82"/>
        <v>0</v>
      </c>
    </row>
    <row r="3209" spans="2:15" ht="17.399999999999999">
      <c r="B3209" s="42" t="s">
        <v>97</v>
      </c>
      <c r="C3209" s="39"/>
      <c r="D3209" s="31"/>
      <c r="E3209" s="31"/>
      <c r="F3209" s="31"/>
      <c r="G3209" s="31"/>
      <c r="H3209" s="31"/>
      <c r="I3209" s="31"/>
      <c r="J3209" s="31"/>
      <c r="K3209" s="31"/>
      <c r="L3209" s="292"/>
      <c r="M3209" s="292">
        <f>IFERROR(VLOOKUP(B3209,'تقرير المصروفات حسب الشهر'!$C$1270:$AD$1381,28,FALSE),0)</f>
        <v>0</v>
      </c>
      <c r="N3209" s="31"/>
      <c r="O3209" s="37">
        <f t="shared" si="82"/>
        <v>0</v>
      </c>
    </row>
    <row r="3210" spans="2:15" ht="17.399999999999999">
      <c r="B3210" s="42" t="s">
        <v>192</v>
      </c>
      <c r="C3210" s="39"/>
      <c r="D3210" s="31"/>
      <c r="E3210" s="31"/>
      <c r="F3210" s="31"/>
      <c r="G3210" s="31"/>
      <c r="H3210" s="31"/>
      <c r="I3210" s="31"/>
      <c r="J3210" s="31"/>
      <c r="K3210" s="31"/>
      <c r="L3210" s="292"/>
      <c r="M3210" s="292">
        <f>IFERROR(VLOOKUP(B3210,'تقرير المصروفات حسب الشهر'!$C$1270:$AD$1381,28,FALSE),0)</f>
        <v>0</v>
      </c>
      <c r="N3210" s="31"/>
      <c r="O3210" s="37">
        <f t="shared" si="82"/>
        <v>0</v>
      </c>
    </row>
    <row r="3211" spans="2:15" ht="17.399999999999999">
      <c r="B3211" s="42" t="s">
        <v>98</v>
      </c>
      <c r="C3211" s="39"/>
      <c r="D3211" s="31"/>
      <c r="E3211" s="31"/>
      <c r="F3211" s="31"/>
      <c r="G3211" s="31"/>
      <c r="H3211" s="31"/>
      <c r="I3211" s="31"/>
      <c r="J3211" s="31"/>
      <c r="K3211" s="31"/>
      <c r="L3211" s="292"/>
      <c r="M3211" s="292">
        <f>IFERROR(VLOOKUP(B3211,'تقرير المصروفات حسب الشهر'!$C$1270:$AD$1381,28,FALSE),0)</f>
        <v>0</v>
      </c>
      <c r="N3211" s="31"/>
      <c r="O3211" s="37">
        <f t="shared" si="82"/>
        <v>0</v>
      </c>
    </row>
    <row r="3212" spans="2:15" ht="17.399999999999999">
      <c r="B3212" s="42" t="s">
        <v>99</v>
      </c>
      <c r="C3212" s="39"/>
      <c r="D3212" s="31"/>
      <c r="E3212" s="31"/>
      <c r="F3212" s="31"/>
      <c r="G3212" s="31"/>
      <c r="H3212" s="31"/>
      <c r="I3212" s="31"/>
      <c r="J3212" s="31"/>
      <c r="K3212" s="31"/>
      <c r="L3212" s="292"/>
      <c r="M3212" s="292">
        <f>IFERROR(VLOOKUP(B3212,'تقرير المصروفات حسب الشهر'!$C$1270:$AD$1381,28,FALSE),0)</f>
        <v>0</v>
      </c>
      <c r="N3212" s="31"/>
      <c r="O3212" s="37">
        <f t="shared" si="82"/>
        <v>0</v>
      </c>
    </row>
    <row r="3213" spans="2:15" ht="17.399999999999999">
      <c r="B3213" s="42" t="s">
        <v>100</v>
      </c>
      <c r="C3213" s="39"/>
      <c r="D3213" s="31"/>
      <c r="E3213" s="31"/>
      <c r="F3213" s="31"/>
      <c r="G3213" s="31"/>
      <c r="H3213" s="31"/>
      <c r="I3213" s="31"/>
      <c r="J3213" s="31"/>
      <c r="K3213" s="31"/>
      <c r="L3213" s="292"/>
      <c r="M3213" s="292">
        <f>IFERROR(VLOOKUP(B3213,'تقرير المصروفات حسب الشهر'!$C$1270:$AD$1381,28,FALSE),0)</f>
        <v>0</v>
      </c>
      <c r="N3213" s="31"/>
      <c r="O3213" s="37">
        <f t="shared" si="82"/>
        <v>0</v>
      </c>
    </row>
    <row r="3214" spans="2:15" ht="17.399999999999999">
      <c r="B3214" s="42" t="s">
        <v>101</v>
      </c>
      <c r="C3214" s="39"/>
      <c r="D3214" s="31"/>
      <c r="E3214" s="31"/>
      <c r="F3214" s="31"/>
      <c r="G3214" s="31"/>
      <c r="H3214" s="31"/>
      <c r="I3214" s="31"/>
      <c r="J3214" s="31"/>
      <c r="K3214" s="31"/>
      <c r="L3214" s="292"/>
      <c r="M3214" s="292">
        <f>IFERROR(VLOOKUP(B3214,'تقرير المصروفات حسب الشهر'!$C$1270:$AD$1381,28,FALSE),0)</f>
        <v>0</v>
      </c>
      <c r="N3214" s="31"/>
      <c r="O3214" s="37">
        <f t="shared" si="82"/>
        <v>0</v>
      </c>
    </row>
    <row r="3215" spans="2:15" ht="17.399999999999999">
      <c r="B3215" s="42" t="s">
        <v>102</v>
      </c>
      <c r="C3215" s="39"/>
      <c r="D3215" s="31"/>
      <c r="E3215" s="31"/>
      <c r="F3215" s="31"/>
      <c r="G3215" s="31"/>
      <c r="H3215" s="31"/>
      <c r="I3215" s="31"/>
      <c r="J3215" s="31"/>
      <c r="K3215" s="31"/>
      <c r="L3215" s="292"/>
      <c r="M3215" s="292">
        <f>IFERROR(VLOOKUP(B3215,'تقرير المصروفات حسب الشهر'!$C$1270:$AD$1381,28,FALSE),0)</f>
        <v>0</v>
      </c>
      <c r="N3215" s="31"/>
      <c r="O3215" s="37">
        <f t="shared" si="82"/>
        <v>0</v>
      </c>
    </row>
    <row r="3216" spans="2:15" ht="17.399999999999999">
      <c r="B3216" s="42" t="s">
        <v>103</v>
      </c>
      <c r="C3216" s="39"/>
      <c r="D3216" s="31"/>
      <c r="E3216" s="31"/>
      <c r="F3216" s="31"/>
      <c r="G3216" s="31"/>
      <c r="H3216" s="31"/>
      <c r="I3216" s="31"/>
      <c r="J3216" s="31"/>
      <c r="K3216" s="31"/>
      <c r="L3216" s="292"/>
      <c r="M3216" s="292">
        <f>IFERROR(VLOOKUP(B3216,'تقرير المصروفات حسب الشهر'!$C$1270:$AD$1381,28,FALSE),0)</f>
        <v>0</v>
      </c>
      <c r="N3216" s="31"/>
      <c r="O3216" s="37">
        <f t="shared" si="82"/>
        <v>0</v>
      </c>
    </row>
    <row r="3217" spans="2:15" ht="17.399999999999999">
      <c r="B3217" s="42" t="s">
        <v>104</v>
      </c>
      <c r="C3217" s="39"/>
      <c r="D3217" s="31"/>
      <c r="E3217" s="31"/>
      <c r="F3217" s="31"/>
      <c r="G3217" s="31"/>
      <c r="H3217" s="31"/>
      <c r="I3217" s="31"/>
      <c r="J3217" s="31"/>
      <c r="K3217" s="31"/>
      <c r="L3217" s="292"/>
      <c r="M3217" s="292">
        <f>IFERROR(VLOOKUP(B3217,'تقرير المصروفات حسب الشهر'!$C$1270:$AD$1381,28,FALSE),0)</f>
        <v>0</v>
      </c>
      <c r="N3217" s="31"/>
      <c r="O3217" s="37">
        <f t="shared" si="82"/>
        <v>0</v>
      </c>
    </row>
    <row r="3218" spans="2:15" ht="17.399999999999999">
      <c r="B3218" s="42" t="s">
        <v>105</v>
      </c>
      <c r="C3218" s="39"/>
      <c r="D3218" s="31"/>
      <c r="E3218" s="31"/>
      <c r="F3218" s="31"/>
      <c r="G3218" s="31"/>
      <c r="H3218" s="31"/>
      <c r="I3218" s="31"/>
      <c r="J3218" s="31"/>
      <c r="K3218" s="31"/>
      <c r="L3218" s="292"/>
      <c r="M3218" s="292">
        <f>IFERROR(VLOOKUP(B3218,'تقرير المصروفات حسب الشهر'!$C$1270:$AD$1381,28,FALSE),0)</f>
        <v>0</v>
      </c>
      <c r="N3218" s="31"/>
      <c r="O3218" s="37">
        <f t="shared" si="82"/>
        <v>0</v>
      </c>
    </row>
    <row r="3219" spans="2:15" ht="17.399999999999999">
      <c r="B3219" s="42" t="s">
        <v>106</v>
      </c>
      <c r="C3219" s="39"/>
      <c r="D3219" s="31"/>
      <c r="E3219" s="31"/>
      <c r="F3219" s="31"/>
      <c r="G3219" s="31"/>
      <c r="H3219" s="31"/>
      <c r="I3219" s="31"/>
      <c r="J3219" s="31"/>
      <c r="K3219" s="31"/>
      <c r="L3219" s="292"/>
      <c r="M3219" s="292">
        <f>IFERROR(VLOOKUP(B3219,'تقرير المصروفات حسب الشهر'!$C$1270:$AD$1381,28,FALSE),0)</f>
        <v>0</v>
      </c>
      <c r="N3219" s="31"/>
      <c r="O3219" s="37">
        <f t="shared" si="82"/>
        <v>0</v>
      </c>
    </row>
    <row r="3220" spans="2:15" ht="17.399999999999999">
      <c r="B3220" s="42" t="s">
        <v>107</v>
      </c>
      <c r="C3220" s="39"/>
      <c r="D3220" s="31"/>
      <c r="E3220" s="31"/>
      <c r="F3220" s="31"/>
      <c r="G3220" s="31"/>
      <c r="H3220" s="31"/>
      <c r="I3220" s="31"/>
      <c r="J3220" s="31"/>
      <c r="K3220" s="31"/>
      <c r="L3220" s="292"/>
      <c r="M3220" s="292">
        <f>IFERROR(VLOOKUP(B3220,'تقرير المصروفات حسب الشهر'!$C$1270:$AD$1381,28,FALSE),0)</f>
        <v>0</v>
      </c>
      <c r="N3220" s="31"/>
      <c r="O3220" s="37">
        <f t="shared" si="82"/>
        <v>0</v>
      </c>
    </row>
    <row r="3221" spans="2:15" ht="17.399999999999999">
      <c r="B3221" s="42" t="s">
        <v>108</v>
      </c>
      <c r="C3221" s="39"/>
      <c r="D3221" s="31"/>
      <c r="E3221" s="31"/>
      <c r="F3221" s="31"/>
      <c r="G3221" s="31"/>
      <c r="H3221" s="31"/>
      <c r="I3221" s="31"/>
      <c r="J3221" s="31"/>
      <c r="K3221" s="31"/>
      <c r="L3221" s="292"/>
      <c r="M3221" s="292">
        <f>IFERROR(VLOOKUP(B3221,'تقرير المصروفات حسب الشهر'!$C$1270:$AD$1381,28,FALSE),0)</f>
        <v>0</v>
      </c>
      <c r="N3221" s="31"/>
      <c r="O3221" s="37">
        <f t="shared" si="82"/>
        <v>0</v>
      </c>
    </row>
    <row r="3222" spans="2:15" ht="17.399999999999999">
      <c r="B3222" s="42" t="s">
        <v>109</v>
      </c>
      <c r="C3222" s="39"/>
      <c r="D3222" s="31"/>
      <c r="E3222" s="31"/>
      <c r="F3222" s="31"/>
      <c r="G3222" s="31"/>
      <c r="H3222" s="31"/>
      <c r="I3222" s="31"/>
      <c r="J3222" s="31"/>
      <c r="K3222" s="31"/>
      <c r="L3222" s="292"/>
      <c r="M3222" s="292">
        <f>IFERROR(VLOOKUP(B3222,'تقرير المصروفات حسب الشهر'!$C$1270:$AD$1381,28,FALSE),0)</f>
        <v>0</v>
      </c>
      <c r="N3222" s="31"/>
      <c r="O3222" s="37">
        <f t="shared" si="82"/>
        <v>0</v>
      </c>
    </row>
    <row r="3223" spans="2:15" ht="17.399999999999999">
      <c r="B3223" s="42" t="s">
        <v>110</v>
      </c>
      <c r="C3223" s="39"/>
      <c r="D3223" s="31"/>
      <c r="E3223" s="31"/>
      <c r="F3223" s="31"/>
      <c r="G3223" s="31"/>
      <c r="H3223" s="31"/>
      <c r="I3223" s="31"/>
      <c r="J3223" s="31"/>
      <c r="K3223" s="31"/>
      <c r="L3223" s="292"/>
      <c r="M3223" s="292">
        <f>IFERROR(VLOOKUP(B3223,'تقرير المصروفات حسب الشهر'!$C$1270:$AD$1381,28,FALSE),0)</f>
        <v>0</v>
      </c>
      <c r="N3223" s="31"/>
      <c r="O3223" s="37">
        <f t="shared" si="82"/>
        <v>0</v>
      </c>
    </row>
    <row r="3224" spans="2:15" ht="17.399999999999999">
      <c r="B3224" s="42" t="s">
        <v>112</v>
      </c>
      <c r="C3224" s="39"/>
      <c r="D3224" s="31"/>
      <c r="E3224" s="31"/>
      <c r="F3224" s="31"/>
      <c r="G3224" s="31"/>
      <c r="H3224" s="31"/>
      <c r="I3224" s="31"/>
      <c r="J3224" s="31"/>
      <c r="K3224" s="31"/>
      <c r="L3224" s="292"/>
      <c r="M3224" s="292">
        <f>IFERROR(VLOOKUP(B3224,'تقرير المصروفات حسب الشهر'!$C$1270:$AD$1381,28,FALSE),0)</f>
        <v>0</v>
      </c>
      <c r="N3224" s="31"/>
      <c r="O3224" s="37">
        <f t="shared" si="82"/>
        <v>0</v>
      </c>
    </row>
    <row r="3225" spans="2:15" ht="17.399999999999999">
      <c r="B3225" s="42" t="s">
        <v>113</v>
      </c>
      <c r="C3225" s="39"/>
      <c r="D3225" s="31"/>
      <c r="E3225" s="31"/>
      <c r="F3225" s="31"/>
      <c r="G3225" s="31"/>
      <c r="H3225" s="31"/>
      <c r="I3225" s="31"/>
      <c r="J3225" s="31"/>
      <c r="K3225" s="31"/>
      <c r="L3225" s="292"/>
      <c r="M3225" s="292">
        <f>IFERROR(VLOOKUP(B3225,'تقرير المصروفات حسب الشهر'!$C$1270:$AD$1381,28,FALSE),0)</f>
        <v>0</v>
      </c>
      <c r="N3225" s="31"/>
      <c r="O3225" s="37">
        <f t="shared" si="82"/>
        <v>0</v>
      </c>
    </row>
    <row r="3226" spans="2:15" ht="17.399999999999999">
      <c r="B3226" s="42" t="s">
        <v>137</v>
      </c>
      <c r="C3226" s="39"/>
      <c r="D3226" s="31"/>
      <c r="E3226" s="31"/>
      <c r="F3226" s="31"/>
      <c r="G3226" s="31"/>
      <c r="H3226" s="31"/>
      <c r="I3226" s="31"/>
      <c r="J3226" s="31"/>
      <c r="K3226" s="31"/>
      <c r="L3226" s="292"/>
      <c r="M3226" s="292">
        <f>IFERROR(VLOOKUP(B3226,'تقرير المصروفات حسب الشهر'!$C$1270:$AD$1381,28,FALSE),0)</f>
        <v>0</v>
      </c>
      <c r="N3226" s="31"/>
      <c r="O3226" s="37">
        <f t="shared" si="82"/>
        <v>0</v>
      </c>
    </row>
    <row r="3227" spans="2:15" ht="17.399999999999999">
      <c r="B3227" s="42" t="s">
        <v>140</v>
      </c>
      <c r="C3227" s="39"/>
      <c r="D3227" s="31"/>
      <c r="E3227" s="31"/>
      <c r="F3227" s="31"/>
      <c r="G3227" s="31"/>
      <c r="H3227" s="31"/>
      <c r="I3227" s="31"/>
      <c r="J3227" s="31"/>
      <c r="K3227" s="31"/>
      <c r="L3227" s="292"/>
      <c r="M3227" s="292">
        <f>IFERROR(VLOOKUP(B3227,'تقرير المصروفات حسب الشهر'!$C$1270:$AD$1381,28,FALSE),0)</f>
        <v>0</v>
      </c>
      <c r="N3227" s="31"/>
      <c r="O3227" s="37">
        <f t="shared" si="82"/>
        <v>0</v>
      </c>
    </row>
    <row r="3228" spans="2:15" ht="17.399999999999999">
      <c r="B3228" s="42" t="s">
        <v>141</v>
      </c>
      <c r="C3228" s="39"/>
      <c r="D3228" s="31"/>
      <c r="E3228" s="31"/>
      <c r="F3228" s="31"/>
      <c r="G3228" s="31"/>
      <c r="H3228" s="31"/>
      <c r="I3228" s="31"/>
      <c r="J3228" s="31"/>
      <c r="K3228" s="31"/>
      <c r="L3228" s="292"/>
      <c r="M3228" s="292">
        <f>IFERROR(VLOOKUP(B3228,'تقرير المصروفات حسب الشهر'!$C$1270:$AD$1381,28,FALSE),0)</f>
        <v>0</v>
      </c>
      <c r="N3228" s="31"/>
      <c r="O3228" s="37">
        <f t="shared" si="82"/>
        <v>0</v>
      </c>
    </row>
    <row r="3229" spans="2:15" ht="17.399999999999999">
      <c r="B3229" s="42" t="s">
        <v>193</v>
      </c>
      <c r="C3229" s="39"/>
      <c r="D3229" s="31"/>
      <c r="E3229" s="31"/>
      <c r="F3229" s="31"/>
      <c r="G3229" s="31"/>
      <c r="H3229" s="31"/>
      <c r="I3229" s="31"/>
      <c r="J3229" s="31"/>
      <c r="K3229" s="31"/>
      <c r="L3229" s="292"/>
      <c r="M3229" s="292">
        <f>IFERROR(VLOOKUP(B3229,'تقرير المصروفات حسب الشهر'!$C$1270:$AD$1381,28,FALSE),0)</f>
        <v>0</v>
      </c>
      <c r="N3229" s="31"/>
      <c r="O3229" s="37">
        <f t="shared" si="82"/>
        <v>0</v>
      </c>
    </row>
    <row r="3230" spans="2:15" ht="17.399999999999999">
      <c r="B3230" s="42" t="s">
        <v>148</v>
      </c>
      <c r="C3230" s="39"/>
      <c r="D3230" s="31"/>
      <c r="E3230" s="31"/>
      <c r="F3230" s="31"/>
      <c r="G3230" s="31"/>
      <c r="H3230" s="31"/>
      <c r="I3230" s="31"/>
      <c r="J3230" s="31"/>
      <c r="K3230" s="31"/>
      <c r="L3230" s="292"/>
      <c r="M3230" s="292">
        <f>IFERROR(VLOOKUP(B3230,'تقرير المصروفات حسب الشهر'!$C$1270:$AD$1381,28,FALSE),0)</f>
        <v>0</v>
      </c>
      <c r="N3230" s="31"/>
      <c r="O3230" s="37">
        <f t="shared" si="82"/>
        <v>0</v>
      </c>
    </row>
    <row r="3231" spans="2:15" ht="17.399999999999999">
      <c r="B3231" s="42" t="s">
        <v>186</v>
      </c>
      <c r="C3231" s="39"/>
      <c r="D3231" s="31"/>
      <c r="E3231" s="31"/>
      <c r="F3231" s="31"/>
      <c r="G3231" s="31"/>
      <c r="H3231" s="31"/>
      <c r="I3231" s="31"/>
      <c r="J3231" s="31"/>
      <c r="K3231" s="31"/>
      <c r="L3231" s="292"/>
      <c r="M3231" s="292">
        <f>IFERROR(VLOOKUP(B3231,'تقرير المصروفات حسب الشهر'!$C$1270:$AD$1381,28,FALSE),0)</f>
        <v>0</v>
      </c>
      <c r="N3231" s="31"/>
      <c r="O3231" s="37">
        <f t="shared" si="82"/>
        <v>0</v>
      </c>
    </row>
    <row r="3232" spans="2:15" ht="17.399999999999999">
      <c r="B3232" s="42" t="s">
        <v>171</v>
      </c>
      <c r="C3232" s="39"/>
      <c r="D3232" s="31"/>
      <c r="E3232" s="31"/>
      <c r="F3232" s="31"/>
      <c r="G3232" s="31"/>
      <c r="H3232" s="31"/>
      <c r="I3232" s="31"/>
      <c r="J3232" s="31"/>
      <c r="K3232" s="31"/>
      <c r="L3232" s="292"/>
      <c r="M3232" s="292">
        <f>IFERROR(VLOOKUP(B3232,'تقرير المصروفات حسب الشهر'!$C$1270:$AD$1381,28,FALSE),0)</f>
        <v>0</v>
      </c>
      <c r="N3232" s="31"/>
      <c r="O3232" s="37">
        <f t="shared" si="82"/>
        <v>0</v>
      </c>
    </row>
    <row r="3233" spans="2:15" ht="17.399999999999999">
      <c r="B3233" s="42" t="s">
        <v>180</v>
      </c>
      <c r="C3233" s="39"/>
      <c r="D3233" s="31"/>
      <c r="E3233" s="31"/>
      <c r="F3233" s="31"/>
      <c r="G3233" s="31"/>
      <c r="H3233" s="31"/>
      <c r="I3233" s="31"/>
      <c r="J3233" s="31"/>
      <c r="K3233" s="31"/>
      <c r="L3233" s="292"/>
      <c r="M3233" s="292">
        <f>IFERROR(VLOOKUP(B3233,'تقرير المصروفات حسب الشهر'!$C$1270:$AD$1381,28,FALSE),0)</f>
        <v>0</v>
      </c>
      <c r="N3233" s="31"/>
      <c r="O3233" s="37">
        <f t="shared" si="82"/>
        <v>0</v>
      </c>
    </row>
    <row r="3234" spans="2:15" ht="17.399999999999999">
      <c r="B3234" s="42" t="s">
        <v>183</v>
      </c>
      <c r="C3234" s="39"/>
      <c r="D3234" s="31"/>
      <c r="E3234" s="31"/>
      <c r="F3234" s="31"/>
      <c r="G3234" s="31"/>
      <c r="H3234" s="31"/>
      <c r="I3234" s="31"/>
      <c r="J3234" s="31"/>
      <c r="K3234" s="31"/>
      <c r="L3234" s="292"/>
      <c r="M3234" s="292">
        <f>IFERROR(VLOOKUP(B3234,'تقرير المصروفات حسب الشهر'!$C$1270:$AD$1381,28,FALSE),0)</f>
        <v>0</v>
      </c>
      <c r="N3234" s="31"/>
      <c r="O3234" s="37">
        <f t="shared" si="82"/>
        <v>0</v>
      </c>
    </row>
    <row r="3235" spans="2:15" ht="17.399999999999999">
      <c r="B3235" s="42" t="s">
        <v>195</v>
      </c>
      <c r="C3235" s="39"/>
      <c r="D3235" s="31"/>
      <c r="E3235" s="31"/>
      <c r="F3235" s="31"/>
      <c r="G3235" s="31"/>
      <c r="H3235" s="31"/>
      <c r="I3235" s="31"/>
      <c r="J3235" s="31"/>
      <c r="K3235" s="31"/>
      <c r="L3235" s="292"/>
      <c r="M3235" s="292">
        <f>IFERROR(VLOOKUP(B3235,'تقرير المصروفات حسب الشهر'!$C$1270:$AD$1381,28,FALSE),0)</f>
        <v>0</v>
      </c>
      <c r="N3235" s="31"/>
      <c r="O3235" s="37">
        <f t="shared" si="82"/>
        <v>0</v>
      </c>
    </row>
    <row r="3236" spans="2:15" ht="17.399999999999999">
      <c r="B3236" s="42" t="s">
        <v>189</v>
      </c>
      <c r="C3236" s="39"/>
      <c r="D3236" s="31"/>
      <c r="E3236" s="31"/>
      <c r="F3236" s="31"/>
      <c r="G3236" s="31"/>
      <c r="H3236" s="31"/>
      <c r="I3236" s="31"/>
      <c r="J3236" s="31"/>
      <c r="K3236" s="31"/>
      <c r="L3236" s="292"/>
      <c r="M3236" s="292">
        <f>IFERROR(VLOOKUP(B3236,'تقرير المصروفات حسب الشهر'!$C$1270:$AD$1381,28,FALSE),0)</f>
        <v>0</v>
      </c>
      <c r="N3236" s="31"/>
      <c r="O3236" s="37">
        <f t="shared" si="82"/>
        <v>0</v>
      </c>
    </row>
    <row r="3237" spans="2:15" ht="17.399999999999999">
      <c r="B3237" s="42" t="s">
        <v>188</v>
      </c>
      <c r="C3237" s="39"/>
      <c r="D3237" s="31"/>
      <c r="E3237" s="31"/>
      <c r="F3237" s="31"/>
      <c r="G3237" s="31"/>
      <c r="H3237" s="31"/>
      <c r="I3237" s="31"/>
      <c r="J3237" s="31"/>
      <c r="K3237" s="31"/>
      <c r="L3237" s="292"/>
      <c r="M3237" s="292">
        <f>IFERROR(VLOOKUP(B3237,'تقرير المصروفات حسب الشهر'!$C$1270:$AD$1381,28,FALSE),0)</f>
        <v>0</v>
      </c>
      <c r="N3237" s="31"/>
      <c r="O3237" s="37"/>
    </row>
    <row r="3238" spans="2:15" ht="17.399999999999999">
      <c r="B3238" s="42" t="s">
        <v>196</v>
      </c>
      <c r="C3238" s="39"/>
      <c r="D3238" s="31"/>
      <c r="E3238" s="31"/>
      <c r="F3238" s="31"/>
      <c r="G3238" s="31"/>
      <c r="H3238" s="31"/>
      <c r="I3238" s="31"/>
      <c r="J3238" s="31"/>
      <c r="K3238" s="31"/>
      <c r="L3238" s="292"/>
      <c r="M3238" s="292">
        <f>IFERROR(VLOOKUP(B3238,'تقرير المصروفات حسب الشهر'!$C$1270:$AD$1381,28,FALSE),0)</f>
        <v>0</v>
      </c>
      <c r="N3238" s="31"/>
      <c r="O3238" s="37"/>
    </row>
    <row r="3239" spans="2:15" ht="17.399999999999999">
      <c r="B3239" s="42" t="s">
        <v>197</v>
      </c>
      <c r="C3239" s="39"/>
      <c r="D3239" s="31"/>
      <c r="E3239" s="31"/>
      <c r="F3239" s="31"/>
      <c r="G3239" s="31"/>
      <c r="H3239" s="31"/>
      <c r="I3239" s="31"/>
      <c r="J3239" s="31"/>
      <c r="K3239" s="31"/>
      <c r="L3239" s="292"/>
      <c r="M3239" s="292">
        <f>IFERROR(VLOOKUP(B3239,'تقرير المصروفات حسب الشهر'!$C$1270:$AD$1381,28,FALSE),0)</f>
        <v>0</v>
      </c>
      <c r="N3239" s="31"/>
      <c r="O3239" s="37"/>
    </row>
    <row r="3240" spans="2:15" ht="17.399999999999999">
      <c r="B3240" s="42" t="s">
        <v>198</v>
      </c>
      <c r="C3240" s="39"/>
      <c r="D3240" s="31"/>
      <c r="E3240" s="31"/>
      <c r="F3240" s="31"/>
      <c r="G3240" s="31"/>
      <c r="H3240" s="31"/>
      <c r="I3240" s="31"/>
      <c r="J3240" s="31"/>
      <c r="K3240" s="31"/>
      <c r="L3240" s="292"/>
      <c r="M3240" s="292">
        <f>IFERROR(VLOOKUP(B3240,'تقرير المصروفات حسب الشهر'!$C$1270:$AD$1381,28,FALSE),0)</f>
        <v>0</v>
      </c>
      <c r="N3240" s="31"/>
      <c r="O3240" s="37"/>
    </row>
    <row r="3241" spans="2:15" ht="17.399999999999999">
      <c r="B3241" s="42" t="s">
        <v>201</v>
      </c>
      <c r="C3241" s="39"/>
      <c r="D3241" s="31"/>
      <c r="E3241" s="31"/>
      <c r="F3241" s="31"/>
      <c r="G3241" s="31"/>
      <c r="H3241" s="31"/>
      <c r="I3241" s="31"/>
      <c r="J3241" s="31"/>
      <c r="K3241" s="31"/>
      <c r="L3241" s="292"/>
      <c r="M3241" s="292">
        <f>IFERROR(VLOOKUP(B3241,'تقرير المصروفات حسب الشهر'!$C$1270:$AD$1381,28,FALSE),0)</f>
        <v>0</v>
      </c>
      <c r="N3241" s="31"/>
      <c r="O3241" s="37"/>
    </row>
    <row r="3242" spans="2:15" ht="17.399999999999999">
      <c r="B3242" s="42" t="s">
        <v>202</v>
      </c>
      <c r="C3242" s="39"/>
      <c r="D3242" s="31"/>
      <c r="E3242" s="31"/>
      <c r="F3242" s="31"/>
      <c r="G3242" s="31"/>
      <c r="H3242" s="31"/>
      <c r="I3242" s="31"/>
      <c r="J3242" s="31"/>
      <c r="K3242" s="31"/>
      <c r="L3242" s="292"/>
      <c r="M3242" s="292">
        <f>IFERROR(VLOOKUP(B3242,'تقرير المصروفات حسب الشهر'!$C$1270:$AD$1381,28,FALSE),0)</f>
        <v>0</v>
      </c>
      <c r="N3242" s="31"/>
      <c r="O3242" s="37"/>
    </row>
    <row r="3243" spans="2:15" ht="17.399999999999999">
      <c r="B3243" s="42" t="s">
        <v>206</v>
      </c>
      <c r="C3243" s="39"/>
      <c r="D3243" s="31"/>
      <c r="E3243" s="31"/>
      <c r="F3243" s="31"/>
      <c r="G3243" s="31"/>
      <c r="H3243" s="31"/>
      <c r="I3243" s="31"/>
      <c r="J3243" s="31"/>
      <c r="K3243" s="31"/>
      <c r="L3243" s="292"/>
      <c r="M3243" s="292">
        <f>IFERROR(VLOOKUP(B3243,'تقرير المصروفات حسب الشهر'!$C$1270:$AD$1381,28,FALSE),0)</f>
        <v>0</v>
      </c>
      <c r="N3243" s="31"/>
      <c r="O3243" s="37"/>
    </row>
    <row r="3244" spans="2:15" ht="17.399999999999999">
      <c r="B3244" s="42" t="s">
        <v>207</v>
      </c>
      <c r="C3244" s="39"/>
      <c r="D3244" s="31"/>
      <c r="E3244" s="31"/>
      <c r="F3244" s="31"/>
      <c r="G3244" s="31"/>
      <c r="H3244" s="31"/>
      <c r="I3244" s="31"/>
      <c r="J3244" s="31"/>
      <c r="K3244" s="31"/>
      <c r="L3244" s="292"/>
      <c r="M3244" s="292">
        <f>IFERROR(VLOOKUP(B3244,'تقرير المصروفات حسب الشهر'!$C$1270:$AD$1381,28,FALSE),0)</f>
        <v>0</v>
      </c>
      <c r="N3244" s="31"/>
      <c r="O3244" s="37"/>
    </row>
    <row r="3245" spans="2:15" ht="17.399999999999999">
      <c r="B3245" s="42" t="s">
        <v>208</v>
      </c>
      <c r="C3245" s="39"/>
      <c r="D3245" s="31"/>
      <c r="E3245" s="31"/>
      <c r="F3245" s="31"/>
      <c r="G3245" s="31"/>
      <c r="H3245" s="31"/>
      <c r="I3245" s="31"/>
      <c r="J3245" s="31"/>
      <c r="K3245" s="31"/>
      <c r="L3245" s="292"/>
      <c r="M3245" s="292">
        <f>IFERROR(VLOOKUP(B3245,'تقرير المصروفات حسب الشهر'!$C$1270:$AD$1381,28,FALSE),0)</f>
        <v>0</v>
      </c>
      <c r="N3245" s="31"/>
      <c r="O3245" s="37"/>
    </row>
    <row r="3246" spans="2:15" ht="18" thickBot="1">
      <c r="B3246" s="43" t="s">
        <v>209</v>
      </c>
      <c r="C3246" s="40"/>
      <c r="D3246" s="32"/>
      <c r="E3246" s="32"/>
      <c r="F3246" s="32"/>
      <c r="G3246" s="32"/>
      <c r="H3246" s="31"/>
      <c r="I3246" s="31"/>
      <c r="J3246" s="31"/>
      <c r="K3246" s="31"/>
      <c r="L3246" s="292"/>
      <c r="M3246" s="292">
        <f>IFERROR(VLOOKUP(B3246,'تقرير المصروفات حسب الشهر'!$C$1270:$AD$1381,28,FALSE),0)</f>
        <v>0</v>
      </c>
      <c r="N3246" s="32"/>
      <c r="O3246" s="38"/>
    </row>
    <row r="3247" spans="2:15" ht="21.6" thickBot="1">
      <c r="B3247" s="29" t="s">
        <v>18</v>
      </c>
      <c r="C3247" s="41">
        <f>SUM(C3138:C3246)</f>
        <v>0</v>
      </c>
      <c r="D3247" s="41">
        <f t="shared" ref="D3247:O3247" si="83">SUM(D3138:D3246)</f>
        <v>0</v>
      </c>
      <c r="E3247" s="41">
        <f t="shared" si="83"/>
        <v>0</v>
      </c>
      <c r="F3247" s="41">
        <f t="shared" si="83"/>
        <v>0</v>
      </c>
      <c r="G3247" s="41">
        <f t="shared" si="83"/>
        <v>0</v>
      </c>
      <c r="H3247" s="41">
        <f t="shared" si="83"/>
        <v>0</v>
      </c>
      <c r="I3247" s="41">
        <f t="shared" si="83"/>
        <v>0</v>
      </c>
      <c r="J3247" s="41">
        <f t="shared" si="83"/>
        <v>0</v>
      </c>
      <c r="K3247" s="41">
        <f t="shared" si="83"/>
        <v>0</v>
      </c>
      <c r="L3247" s="41">
        <f t="shared" si="83"/>
        <v>0</v>
      </c>
      <c r="M3247" s="41">
        <f t="shared" si="83"/>
        <v>0</v>
      </c>
      <c r="N3247" s="41">
        <f t="shared" si="83"/>
        <v>0</v>
      </c>
      <c r="O3247" s="41">
        <f t="shared" si="83"/>
        <v>0</v>
      </c>
    </row>
  </sheetData>
  <autoFilter ref="B5:O118" xr:uid="{00000000-0001-0000-4100-000000000000}"/>
  <mergeCells count="28">
    <mergeCell ref="B2566:O2566"/>
    <mergeCell ref="B2680:O2680"/>
    <mergeCell ref="B2794:O2794"/>
    <mergeCell ref="B2908:O2908"/>
    <mergeCell ref="B3022:O3022"/>
    <mergeCell ref="B2452:O2452"/>
    <mergeCell ref="B1408:O1408"/>
    <mergeCell ref="B1525:O1525"/>
    <mergeCell ref="B1642:O1642"/>
    <mergeCell ref="B1759:O1759"/>
    <mergeCell ref="B1876:O1876"/>
    <mergeCell ref="B2110:O2110"/>
    <mergeCell ref="B3136:O3136"/>
    <mergeCell ref="B1291:O1291"/>
    <mergeCell ref="B1057:O1057"/>
    <mergeCell ref="B1174:O1174"/>
    <mergeCell ref="B4:O4"/>
    <mergeCell ref="B121:O121"/>
    <mergeCell ref="B238:O238"/>
    <mergeCell ref="B355:O355"/>
    <mergeCell ref="B472:O472"/>
    <mergeCell ref="B589:O589"/>
    <mergeCell ref="B706:O706"/>
    <mergeCell ref="B823:O823"/>
    <mergeCell ref="B940:O940"/>
    <mergeCell ref="B1993:O1993"/>
    <mergeCell ref="B2224:O2224"/>
    <mergeCell ref="B2338:O2338"/>
  </mergeCells>
  <phoneticPr fontId="8" type="noConversion"/>
  <pageMargins left="0.74803149606299213" right="0.74803149606299213" top="0.98425196850393704" bottom="0.98425196850393704" header="0.51181102362204722" footer="0.51181102362204722"/>
  <pageSetup scale="35" orientation="portrait" horizontalDpi="300" verticalDpi="30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7">
    <tabColor rgb="FFFFC000"/>
    <pageSetUpPr fitToPage="1"/>
  </sheetPr>
  <dimension ref="A1:R445"/>
  <sheetViews>
    <sheetView rightToLeft="1" topLeftCell="B23" workbookViewId="0">
      <selection activeCell="F43" sqref="F43"/>
    </sheetView>
  </sheetViews>
  <sheetFormatPr defaultColWidth="9.109375" defaultRowHeight="13.2"/>
  <cols>
    <col min="1" max="1" width="4.109375" style="2" customWidth="1"/>
    <col min="2" max="2" width="6" style="66" customWidth="1"/>
    <col min="3" max="3" width="25" style="66" bestFit="1" customWidth="1"/>
    <col min="4" max="4" width="18.88671875" style="66" customWidth="1"/>
    <col min="5" max="5" width="20.6640625" style="66" customWidth="1"/>
    <col min="6" max="6" width="21.109375" style="66" customWidth="1"/>
    <col min="7" max="7" width="22.33203125" style="66" customWidth="1"/>
    <col min="8" max="8" width="16.88671875" style="66" customWidth="1"/>
    <col min="9" max="9" width="22.33203125" style="66" customWidth="1"/>
    <col min="10" max="10" width="21.109375" style="66" customWidth="1"/>
    <col min="11" max="11" width="24.33203125" style="66" customWidth="1"/>
    <col min="12" max="12" width="23.33203125" style="66" hidden="1" customWidth="1"/>
    <col min="13" max="13" width="19.5546875" style="66" customWidth="1"/>
    <col min="14" max="14" width="18.88671875" style="66" customWidth="1"/>
    <col min="15" max="15" width="12.88671875" style="2" hidden="1" customWidth="1"/>
    <col min="16" max="16" width="9.5546875" style="453" hidden="1" customWidth="1"/>
    <col min="17" max="17" width="19.6640625" style="2" bestFit="1" customWidth="1"/>
    <col min="18" max="18" width="14.33203125" style="2" customWidth="1"/>
    <col min="19" max="20" width="6" style="2" bestFit="1" customWidth="1"/>
    <col min="21" max="21" width="6.33203125" style="2" bestFit="1" customWidth="1"/>
    <col min="22" max="16384" width="9.109375" style="2"/>
  </cols>
  <sheetData>
    <row r="1" spans="2:16" ht="18.75" customHeight="1" thickBot="1"/>
    <row r="2" spans="2:16" ht="16.8" thickTop="1" thickBot="1">
      <c r="B2" s="308" t="s">
        <v>39</v>
      </c>
      <c r="C2" s="308" t="s">
        <v>34</v>
      </c>
      <c r="D2" s="309" t="s">
        <v>20</v>
      </c>
      <c r="E2" s="310" t="s">
        <v>21</v>
      </c>
      <c r="F2" s="310" t="s">
        <v>22</v>
      </c>
      <c r="G2" s="308" t="s">
        <v>19</v>
      </c>
      <c r="H2" s="308" t="s">
        <v>12</v>
      </c>
      <c r="I2" s="308" t="s">
        <v>13</v>
      </c>
      <c r="J2" s="308" t="s">
        <v>14</v>
      </c>
      <c r="K2" s="308" t="s">
        <v>15</v>
      </c>
      <c r="L2" s="308" t="s">
        <v>32</v>
      </c>
      <c r="M2" s="311" t="s">
        <v>16</v>
      </c>
      <c r="N2" s="306" t="s">
        <v>17</v>
      </c>
    </row>
    <row r="3" spans="2:16" customFormat="1" ht="14.4" thickTop="1" thickBot="1">
      <c r="P3" s="454"/>
    </row>
    <row r="4" spans="2:16" ht="30.6" thickBot="1">
      <c r="B4" s="649" t="s">
        <v>369</v>
      </c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1"/>
    </row>
    <row r="5" spans="2:16" ht="16.8" thickTop="1" thickBot="1">
      <c r="B5" s="308" t="s">
        <v>39</v>
      </c>
      <c r="C5" s="308" t="s">
        <v>34</v>
      </c>
      <c r="D5" s="309" t="s">
        <v>20</v>
      </c>
      <c r="E5" s="310" t="s">
        <v>21</v>
      </c>
      <c r="F5" s="310" t="s">
        <v>22</v>
      </c>
      <c r="G5" s="308" t="s">
        <v>19</v>
      </c>
      <c r="H5" s="308" t="s">
        <v>12</v>
      </c>
      <c r="I5" s="308" t="s">
        <v>13</v>
      </c>
      <c r="J5" s="308" t="s">
        <v>14</v>
      </c>
      <c r="K5" s="308" t="s">
        <v>15</v>
      </c>
      <c r="L5" s="308" t="s">
        <v>32</v>
      </c>
      <c r="M5" s="311" t="s">
        <v>16</v>
      </c>
      <c r="N5" s="306" t="s">
        <v>17</v>
      </c>
    </row>
    <row r="6" spans="2:16" ht="16.8" thickTop="1" thickBot="1">
      <c r="B6" s="312">
        <v>1</v>
      </c>
      <c r="C6" s="313" t="s">
        <v>184</v>
      </c>
      <c r="D6" s="327">
        <f>IFERROR(VLOOKUP($C$6,'تقرير إحصائية بحجم المبيعات'!$B$7:$L$37,2,FALSE),0)</f>
        <v>0</v>
      </c>
      <c r="E6" s="327">
        <f>IFERROR(VLOOKUP($C$6,'تقرير إحصائية بحجم المبيعات'!$B$7:$L$37,3,FALSE),0)</f>
        <v>0</v>
      </c>
      <c r="F6" s="327">
        <f>IFERROR(VLOOKUP($C$6,'تقرير إحصائية بحجم المبيعات'!$B$7:$L$37,4,FALSE),0)</f>
        <v>0</v>
      </c>
      <c r="G6" s="317">
        <f>+D6+E6+F6</f>
        <v>0</v>
      </c>
      <c r="H6" s="318"/>
      <c r="I6" s="326">
        <f>IFERROR(VLOOKUP($C$6,'تقرير إحصائية بحجم المبيعات'!$B$7:$L$37,11,FALSE),0)</f>
        <v>0</v>
      </c>
      <c r="J6" s="321">
        <f>+G6-I6</f>
        <v>0</v>
      </c>
      <c r="K6" s="322">
        <f>HLOOKUP(C6,'تقرير المصروفات حسب الشهر'!$D$9:$AH$123,115,FALSE)</f>
        <v>2115892.6399999992</v>
      </c>
      <c r="L6" s="96"/>
      <c r="M6" s="323">
        <f>HQ!D18</f>
        <v>303660.38</v>
      </c>
      <c r="N6" s="307">
        <f>J6-K6-L6+M6</f>
        <v>-1812232.2599999993</v>
      </c>
      <c r="O6" s="2">
        <f>-1811838.29</f>
        <v>-1811838.29</v>
      </c>
      <c r="P6" s="453">
        <f>O6-N6</f>
        <v>393.96999999927357</v>
      </c>
    </row>
    <row r="7" spans="2:16" ht="16.8" thickTop="1" thickBot="1">
      <c r="B7" s="312">
        <v>2</v>
      </c>
      <c r="C7" s="314" t="s">
        <v>36</v>
      </c>
      <c r="D7" s="327">
        <f>VLOOKUP(C7,'تقرير إحصائية بحجم المبيعات'!$B$7:$L$37,2,FALSE)</f>
        <v>3046708.67</v>
      </c>
      <c r="E7" s="327">
        <f>VLOOKUP(C7,'تقرير إحصائية بحجم المبيعات'!$B$7:$L$37,3,FALSE)</f>
        <v>686579.51</v>
      </c>
      <c r="F7" s="327">
        <f>VLOOKUP(C7,'تقرير إحصائية بحجم المبيعات'!B7:L37,4,FALSE)</f>
        <v>1219804.1299999999</v>
      </c>
      <c r="G7" s="319">
        <f>+D7+E7+F7</f>
        <v>4953092.3099999996</v>
      </c>
      <c r="H7" s="318">
        <f>+G7/31</f>
        <v>159777.17129032256</v>
      </c>
      <c r="I7" s="326">
        <f>VLOOKUP(C7,'تقرير إحصائية بحجم المبيعات'!$B$7:$L$37,11,FALSE)</f>
        <v>3962640.35</v>
      </c>
      <c r="J7" s="321">
        <f>+G7-I7</f>
        <v>990451.9599999995</v>
      </c>
      <c r="K7" s="322">
        <f>HLOOKUP(C7,'تقرير المصروفات حسب الشهر'!$D$9:$AH$123,115,FALSE)</f>
        <v>702776.08999999985</v>
      </c>
      <c r="L7" s="97"/>
      <c r="M7" s="323">
        <f>Aguza!D18</f>
        <v>16005.5</v>
      </c>
      <c r="N7" s="307">
        <f t="shared" ref="N7:N36" si="0">J7-K7-L7+M7</f>
        <v>303681.36999999965</v>
      </c>
      <c r="O7" s="2">
        <v>303955.63</v>
      </c>
      <c r="P7" s="453">
        <f t="shared" ref="P7:P37" si="1">O7-N7</f>
        <v>274.26000000035856</v>
      </c>
    </row>
    <row r="8" spans="2:16" ht="16.8" thickTop="1" thickBot="1">
      <c r="B8" s="312">
        <v>3</v>
      </c>
      <c r="C8" s="314" t="s">
        <v>9</v>
      </c>
      <c r="D8" s="327">
        <f>VLOOKUP(C8,'تقرير إحصائية بحجم المبيعات'!$B$7:$L$37,2,FALSE)</f>
        <v>2376097.8600000003</v>
      </c>
      <c r="E8" s="327">
        <f>VLOOKUP(C8,'تقرير إحصائية بحجم المبيعات'!$B$7:$L$37,3,FALSE)</f>
        <v>1229205.71</v>
      </c>
      <c r="F8" s="327">
        <f>VLOOKUP(C8,'تقرير إحصائية بحجم المبيعات'!B8:L38,4,FALSE)</f>
        <v>445762.32</v>
      </c>
      <c r="G8" s="319">
        <f>+D8+E8+F8</f>
        <v>4051065.89</v>
      </c>
      <c r="H8" s="318">
        <f>+G8/31</f>
        <v>130679.54483870968</v>
      </c>
      <c r="I8" s="326">
        <f>VLOOKUP(C8,'تقرير إحصائية بحجم المبيعات'!$B$7:$L$37,11,FALSE)</f>
        <v>3164590.35</v>
      </c>
      <c r="J8" s="321">
        <f t="shared" ref="J8:J31" si="2">+G8-I8</f>
        <v>886475.54</v>
      </c>
      <c r="K8" s="322">
        <f>HLOOKUP(C8,'تقرير المصروفات حسب الشهر'!$D$9:$AH$123,115,FALSE)</f>
        <v>591189.68999999994</v>
      </c>
      <c r="L8" s="97"/>
      <c r="M8" s="324">
        <f>October!D18</f>
        <v>337.98</v>
      </c>
      <c r="N8" s="307">
        <f t="shared" si="0"/>
        <v>295623.83000000007</v>
      </c>
      <c r="O8" s="2">
        <v>295788.42</v>
      </c>
      <c r="P8" s="453">
        <f t="shared" si="1"/>
        <v>164.5899999999092</v>
      </c>
    </row>
    <row r="9" spans="2:16" ht="16.8" thickTop="1" thickBot="1">
      <c r="B9" s="312">
        <v>4</v>
      </c>
      <c r="C9" s="314" t="s">
        <v>25</v>
      </c>
      <c r="D9" s="327">
        <f>VLOOKUP(C9,'تقرير إحصائية بحجم المبيعات'!$B$7:$L$37,2,FALSE)</f>
        <v>1287434.93</v>
      </c>
      <c r="E9" s="327">
        <f>VLOOKUP(C9,'تقرير إحصائية بحجم المبيعات'!$B$7:$L$37,3,FALSE)</f>
        <v>413419.76</v>
      </c>
      <c r="F9" s="327">
        <f>VLOOKUP(C9,'تقرير إحصائية بحجم المبيعات'!B9:L39,4,FALSE)</f>
        <v>1761862.46</v>
      </c>
      <c r="G9" s="319">
        <f>+D9+E9+F9</f>
        <v>3462717.15</v>
      </c>
      <c r="H9" s="318">
        <f t="shared" ref="H9:H30" si="3">+G9/31</f>
        <v>111700.55322580645</v>
      </c>
      <c r="I9" s="326">
        <f>VLOOKUP(C9,'تقرير إحصائية بحجم المبيعات'!$B$7:$L$37,11,FALSE)</f>
        <v>2792022.81</v>
      </c>
      <c r="J9" s="321">
        <f t="shared" si="2"/>
        <v>670694.33999999985</v>
      </c>
      <c r="K9" s="322">
        <f>HLOOKUP(C9,'تقرير المصروفات حسب الشهر'!$D$9:$AH$123,115,FALSE)</f>
        <v>442745.70999999996</v>
      </c>
      <c r="L9" s="97"/>
      <c r="M9" s="324">
        <f>Batal!D18</f>
        <v>44797.26</v>
      </c>
      <c r="N9" s="307">
        <f t="shared" si="0"/>
        <v>272745.8899999999</v>
      </c>
      <c r="O9" s="2">
        <v>272881.73</v>
      </c>
      <c r="P9" s="453">
        <f t="shared" si="1"/>
        <v>135.84000000008382</v>
      </c>
    </row>
    <row r="10" spans="2:16" ht="16.8" thickTop="1" thickBot="1">
      <c r="B10" s="312">
        <v>5</v>
      </c>
      <c r="C10" s="314" t="s">
        <v>160</v>
      </c>
      <c r="D10" s="327">
        <f>VLOOKUP(C10,'تقرير إحصائية بحجم المبيعات'!$B$7:$L$37,2,FALSE)</f>
        <v>2968127.5900000008</v>
      </c>
      <c r="E10" s="327">
        <f>VLOOKUP(C10,'تقرير إحصائية بحجم المبيعات'!$B$7:$L$37,3,FALSE)</f>
        <v>26884.18</v>
      </c>
      <c r="F10" s="327">
        <f>VLOOKUP(C10,'تقرير إحصائية بحجم المبيعات'!B10:L40,4,FALSE)</f>
        <v>3052101.44</v>
      </c>
      <c r="G10" s="319">
        <f t="shared" ref="G10:G31" si="4">+D10+E10+F10</f>
        <v>6047113.2100000009</v>
      </c>
      <c r="H10" s="318">
        <f t="shared" si="3"/>
        <v>195068.16806451615</v>
      </c>
      <c r="I10" s="326">
        <f>VLOOKUP(C10,'تقرير إحصائية بحجم المبيعات'!$B$7:$L$37,11,FALSE)</f>
        <v>4964163.03</v>
      </c>
      <c r="J10" s="321">
        <f t="shared" si="2"/>
        <v>1082950.1800000006</v>
      </c>
      <c r="K10" s="322">
        <f>HLOOKUP(C10,'تقرير المصروفات حسب الشهر'!$D$9:$AH$123,115,FALSE)</f>
        <v>511847.77</v>
      </c>
      <c r="L10" s="97"/>
      <c r="M10" s="324">
        <f>'Nasr City'!D18</f>
        <v>0</v>
      </c>
      <c r="N10" s="307">
        <f t="shared" si="0"/>
        <v>571102.41000000061</v>
      </c>
      <c r="O10" s="2">
        <v>571207.46</v>
      </c>
      <c r="P10" s="453">
        <f t="shared" si="1"/>
        <v>105.04999999934807</v>
      </c>
    </row>
    <row r="11" spans="2:16" ht="16.8" thickTop="1" thickBot="1">
      <c r="B11" s="312">
        <v>6</v>
      </c>
      <c r="C11" s="314" t="s">
        <v>139</v>
      </c>
      <c r="D11" s="327">
        <f>VLOOKUP(C11,'تقرير إحصائية بحجم المبيعات'!$B$7:$L$37,2,FALSE)</f>
        <v>38601.799999999937</v>
      </c>
      <c r="E11" s="327">
        <f>VLOOKUP(C11,'تقرير إحصائية بحجم المبيعات'!$B$7:$L$37,3,FALSE)</f>
        <v>0</v>
      </c>
      <c r="F11" s="327">
        <f>VLOOKUP(C11,'تقرير إحصائية بحجم المبيعات'!B11:L41,4,FALSE)</f>
        <v>1908938.22</v>
      </c>
      <c r="G11" s="319">
        <f t="shared" si="4"/>
        <v>1947540.02</v>
      </c>
      <c r="H11" s="318">
        <f t="shared" si="3"/>
        <v>62823.871612903225</v>
      </c>
      <c r="I11" s="326">
        <f>VLOOKUP(C11,'تقرير إحصائية بحجم المبيعات'!$B$7:$L$37,11,FALSE)</f>
        <v>1655785.68</v>
      </c>
      <c r="J11" s="321">
        <f t="shared" si="2"/>
        <v>291754.34000000008</v>
      </c>
      <c r="K11" s="322">
        <f>HLOOKUP(C11,'تقرير المصروفات حسب الشهر'!$D$9:$AH$123,115,FALSE)</f>
        <v>95193.369999999981</v>
      </c>
      <c r="L11" s="97"/>
      <c r="M11" s="324">
        <f>Sweedy!D18</f>
        <v>83139.27</v>
      </c>
      <c r="N11" s="307">
        <f t="shared" si="0"/>
        <v>279700.24000000011</v>
      </c>
      <c r="O11" s="2">
        <v>279700.24</v>
      </c>
      <c r="P11" s="453">
        <f t="shared" si="1"/>
        <v>0</v>
      </c>
    </row>
    <row r="12" spans="2:16" ht="16.8" thickTop="1" thickBot="1">
      <c r="B12" s="312">
        <v>7</v>
      </c>
      <c r="C12" s="314" t="s">
        <v>37</v>
      </c>
      <c r="D12" s="327">
        <f>VLOOKUP(C12,'تقرير إحصائية بحجم المبيعات'!$B$7:$L$37,2,FALSE)</f>
        <v>49347.64</v>
      </c>
      <c r="E12" s="327">
        <f>VLOOKUP(C12,'تقرير إحصائية بحجم المبيعات'!$B$7:$L$37,3,FALSE)</f>
        <v>0</v>
      </c>
      <c r="F12" s="327">
        <f>VLOOKUP(C12,'تقرير إحصائية بحجم المبيعات'!B12:L42,4,FALSE)</f>
        <v>179888.31</v>
      </c>
      <c r="G12" s="319">
        <f t="shared" si="4"/>
        <v>229235.95</v>
      </c>
      <c r="H12" s="318">
        <f t="shared" si="3"/>
        <v>7394.7080645161295</v>
      </c>
      <c r="I12" s="326">
        <f>VLOOKUP(C12,'تقرير إحصائية بحجم المبيعات'!$B$7:$L$37,11,FALSE)</f>
        <v>197826.25</v>
      </c>
      <c r="J12" s="321">
        <f t="shared" si="2"/>
        <v>31409.700000000012</v>
      </c>
      <c r="K12" s="322">
        <f>HLOOKUP(C12,'تقرير المصروفات حسب الشهر'!$D$9:$AH$123,115,FALSE)</f>
        <v>16530.760000000002</v>
      </c>
      <c r="L12" s="97"/>
      <c r="M12" s="324">
        <f>NTRA!D18</f>
        <v>41.23</v>
      </c>
      <c r="N12" s="307">
        <f t="shared" si="0"/>
        <v>14920.170000000009</v>
      </c>
      <c r="O12" s="2">
        <v>14920.17</v>
      </c>
      <c r="P12" s="453">
        <f t="shared" si="1"/>
        <v>0</v>
      </c>
    </row>
    <row r="13" spans="2:16" ht="16.8" thickTop="1" thickBot="1">
      <c r="B13" s="312">
        <v>8</v>
      </c>
      <c r="C13" s="314" t="s">
        <v>133</v>
      </c>
      <c r="D13" s="327">
        <f>VLOOKUP(C13,'تقرير إحصائية بحجم المبيعات'!$B$7:$L$37,2,FALSE)</f>
        <v>14146.210000000012</v>
      </c>
      <c r="E13" s="327">
        <f>VLOOKUP(C13,'تقرير إحصائية بحجم المبيعات'!$B$7:$L$37,3,FALSE)</f>
        <v>0</v>
      </c>
      <c r="F13" s="327">
        <f>VLOOKUP(C13,'تقرير إحصائية بحجم المبيعات'!B13:L43,4,FALSE)</f>
        <v>354610</v>
      </c>
      <c r="G13" s="319">
        <f t="shared" si="4"/>
        <v>368756.21</v>
      </c>
      <c r="H13" s="318">
        <f t="shared" si="3"/>
        <v>11895.361612903227</v>
      </c>
      <c r="I13" s="326">
        <f>VLOOKUP(C13,'تقرير إحصائية بحجم المبيعات'!$B$7:$L$37,11,FALSE)</f>
        <v>308590.09999999998</v>
      </c>
      <c r="J13" s="321">
        <f t="shared" si="2"/>
        <v>60166.110000000044</v>
      </c>
      <c r="K13" s="322">
        <f>HLOOKUP(C13,'تقرير المصروفات حسب الشهر'!$D$9:$AH$123,115,FALSE)</f>
        <v>16765.349999999999</v>
      </c>
      <c r="L13" s="97"/>
      <c r="M13" s="324">
        <f>Etisalat!D18</f>
        <v>37.78</v>
      </c>
      <c r="N13" s="307">
        <f t="shared" si="0"/>
        <v>43438.540000000045</v>
      </c>
      <c r="O13" s="2">
        <v>43438.54</v>
      </c>
      <c r="P13" s="453">
        <f t="shared" si="1"/>
        <v>0</v>
      </c>
    </row>
    <row r="14" spans="2:16" ht="16.8" thickTop="1" thickBot="1">
      <c r="B14" s="312">
        <v>9</v>
      </c>
      <c r="C14" s="314" t="s">
        <v>203</v>
      </c>
      <c r="D14" s="327">
        <f>VLOOKUP(C14,'تقرير إحصائية بحجم المبيعات'!$B$7:$L$37,2,FALSE)</f>
        <v>1393484.69</v>
      </c>
      <c r="E14" s="327">
        <f>VLOOKUP(C14,'تقرير إحصائية بحجم المبيعات'!$B$7:$L$37,3,FALSE)</f>
        <v>63734.45</v>
      </c>
      <c r="F14" s="327">
        <f>VLOOKUP(C14,'تقرير إحصائية بحجم المبيعات'!B14:L44,4,FALSE)</f>
        <v>495932</v>
      </c>
      <c r="G14" s="319">
        <f t="shared" si="4"/>
        <v>1953151.14</v>
      </c>
      <c r="H14" s="318">
        <f t="shared" si="3"/>
        <v>63004.875483870965</v>
      </c>
      <c r="I14" s="326">
        <f>VLOOKUP(C14,'تقرير إحصائية بحجم المبيعات'!$B$7:$L$37,11,FALSE)</f>
        <v>1567628.82</v>
      </c>
      <c r="J14" s="321">
        <f t="shared" si="2"/>
        <v>385522.31999999983</v>
      </c>
      <c r="K14" s="322">
        <f>HLOOKUP(C14,'تقرير المصروفات حسب الشهر'!$D$9:$AH$123,115,FALSE)</f>
        <v>349935.47</v>
      </c>
      <c r="L14" s="97"/>
      <c r="M14" s="324">
        <f>Alamya!D18</f>
        <v>2451.2199999999998</v>
      </c>
      <c r="N14" s="307">
        <f t="shared" si="0"/>
        <v>38038.069999999861</v>
      </c>
      <c r="O14" s="2">
        <v>38038.07</v>
      </c>
      <c r="P14" s="453">
        <f t="shared" si="1"/>
        <v>1.3824319466948509E-10</v>
      </c>
    </row>
    <row r="15" spans="2:16" ht="16.8" thickTop="1" thickBot="1">
      <c r="B15" s="312">
        <v>10</v>
      </c>
      <c r="C15" s="314" t="s">
        <v>233</v>
      </c>
      <c r="D15" s="327">
        <f>VLOOKUP(C15,'تقرير إحصائية بحجم المبيعات'!$B$7:$L$37,2,FALSE)</f>
        <v>38721.559999999976</v>
      </c>
      <c r="E15" s="327">
        <f>VLOOKUP(C15,'تقرير إحصائية بحجم المبيعات'!$B$7:$L$37,3,FALSE)</f>
        <v>0</v>
      </c>
      <c r="F15" s="327">
        <f>VLOOKUP(C15,'تقرير إحصائية بحجم المبيعات'!B15:L45,4,FALSE)</f>
        <v>502143.68</v>
      </c>
      <c r="G15" s="319">
        <f t="shared" si="4"/>
        <v>540865.24</v>
      </c>
      <c r="H15" s="318">
        <f t="shared" si="3"/>
        <v>17447.265806451611</v>
      </c>
      <c r="I15" s="326">
        <f>VLOOKUP(C15,'تقرير إحصائية بحجم المبيعات'!$B$7:$L$37,11,FALSE)</f>
        <v>459820.05</v>
      </c>
      <c r="J15" s="321">
        <f t="shared" si="2"/>
        <v>81045.19</v>
      </c>
      <c r="K15" s="322">
        <f>HLOOKUP(C15,'تقرير المصروفات حسب الشهر'!$D$9:$AH$123,115,FALSE)</f>
        <v>23345.090000000004</v>
      </c>
      <c r="L15" s="97"/>
      <c r="M15" s="324">
        <f>Etisalat.Katamya!D18</f>
        <v>951.26</v>
      </c>
      <c r="N15" s="307">
        <f t="shared" si="0"/>
        <v>58651.360000000001</v>
      </c>
      <c r="O15" s="2">
        <v>58651.360000000001</v>
      </c>
      <c r="P15" s="453">
        <f t="shared" si="1"/>
        <v>0</v>
      </c>
    </row>
    <row r="16" spans="2:16" ht="16.8" thickTop="1" thickBot="1">
      <c r="B16" s="312">
        <v>11</v>
      </c>
      <c r="C16" s="314" t="s">
        <v>123</v>
      </c>
      <c r="D16" s="327">
        <f>VLOOKUP(C16,'تقرير إحصائية بحجم المبيعات'!$B$7:$L$37,2,FALSE)</f>
        <v>16012.399999999974</v>
      </c>
      <c r="E16" s="327">
        <f>VLOOKUP(C16,'تقرير إحصائية بحجم المبيعات'!$B$7:$L$37,3,FALSE)</f>
        <v>0</v>
      </c>
      <c r="F16" s="327">
        <f>VLOOKUP(C16,'تقرير إحصائية بحجم المبيعات'!B7:G38,4,0)</f>
        <v>511376.06</v>
      </c>
      <c r="G16" s="319">
        <f t="shared" si="4"/>
        <v>527388.46</v>
      </c>
      <c r="H16" s="318">
        <f t="shared" si="3"/>
        <v>17012.530967741935</v>
      </c>
      <c r="I16" s="326">
        <f>VLOOKUP(C16,'تقرير إحصائية بحجم المبيعات'!$B$7:$L$37,11,FALSE)</f>
        <v>446682.03</v>
      </c>
      <c r="J16" s="321">
        <f t="shared" si="2"/>
        <v>80706.429999999935</v>
      </c>
      <c r="K16" s="322">
        <f>HLOOKUP(C16,'تقرير المصروفات حسب الشهر'!$D$9:$AH$123,115,FALSE)</f>
        <v>24960.77</v>
      </c>
      <c r="L16" s="97"/>
      <c r="M16" s="324">
        <f>'Hazzem Hassan'!D18</f>
        <v>9131.9699999999993</v>
      </c>
      <c r="N16" s="307">
        <f t="shared" si="0"/>
        <v>64877.629999999932</v>
      </c>
      <c r="O16" s="2">
        <v>64877.63</v>
      </c>
      <c r="P16" s="453">
        <f t="shared" si="1"/>
        <v>6.5483618527650833E-11</v>
      </c>
    </row>
    <row r="17" spans="2:16" ht="16.8" thickTop="1" thickBot="1">
      <c r="B17" s="312">
        <v>12</v>
      </c>
      <c r="C17" s="314" t="s">
        <v>145</v>
      </c>
      <c r="D17" s="327">
        <f>VLOOKUP(C17,'تقرير إحصائية بحجم المبيعات'!$B$7:$L$37,2,FALSE)</f>
        <v>593135.84</v>
      </c>
      <c r="E17" s="327">
        <f>VLOOKUP(C17,'تقرير إحصائية بحجم المبيعات'!$B$7:$L$37,3,FALSE)</f>
        <v>5654.05</v>
      </c>
      <c r="F17" s="327">
        <f>VLOOKUP(C17,'تقرير إحصائية بحجم المبيعات'!B8:G39,4,0)</f>
        <v>1175156.1299999999</v>
      </c>
      <c r="G17" s="319">
        <f t="shared" si="4"/>
        <v>1773946.02</v>
      </c>
      <c r="H17" s="318">
        <f t="shared" si="3"/>
        <v>57224.065161290324</v>
      </c>
      <c r="I17" s="326">
        <f>VLOOKUP(C17,'تقرير إحصائية بحجم المبيعات'!$B$7:$L$37,11,FALSE)</f>
        <v>1451170.22</v>
      </c>
      <c r="J17" s="321">
        <f t="shared" si="2"/>
        <v>322775.80000000005</v>
      </c>
      <c r="K17" s="322">
        <f>HLOOKUP(C17,'تقرير المصروفات حسب الشهر'!$D$9:$AH$123,115,FALSE)</f>
        <v>214956.22000000003</v>
      </c>
      <c r="L17" s="97"/>
      <c r="M17" s="324">
        <f>Sena3ia!D18</f>
        <v>0</v>
      </c>
      <c r="N17" s="307">
        <f t="shared" si="0"/>
        <v>107819.58000000002</v>
      </c>
      <c r="O17" s="2">
        <v>107576.58</v>
      </c>
      <c r="P17" s="453">
        <f t="shared" si="1"/>
        <v>-243.00000000001455</v>
      </c>
    </row>
    <row r="18" spans="2:16" ht="16.8" thickTop="1" thickBot="1">
      <c r="B18" s="312">
        <v>13</v>
      </c>
      <c r="C18" s="314" t="s">
        <v>124</v>
      </c>
      <c r="D18" s="327">
        <f>VLOOKUP(C18,'تقرير إحصائية بحجم المبيعات'!$B$7:$L$37,2,FALSE)</f>
        <v>155535.79999999999</v>
      </c>
      <c r="E18" s="327">
        <f>VLOOKUP(C18,'تقرير إحصائية بحجم المبيعات'!$B$7:$L$37,3,FALSE)</f>
        <v>0</v>
      </c>
      <c r="F18" s="327">
        <f>VLOOKUP(C18,'تقرير إحصائية بحجم المبيعات'!B9:G40,4,0)</f>
        <v>111644.74</v>
      </c>
      <c r="G18" s="319">
        <f t="shared" si="4"/>
        <v>267180.53999999998</v>
      </c>
      <c r="H18" s="318">
        <f t="shared" si="3"/>
        <v>8618.7270967741933</v>
      </c>
      <c r="I18" s="326">
        <f>VLOOKUP(C18,'تقرير إحصائية بحجم المبيعات'!$B$7:$L$37,11,FALSE)</f>
        <v>225877.03</v>
      </c>
      <c r="J18" s="321">
        <f t="shared" si="2"/>
        <v>41303.50999999998</v>
      </c>
      <c r="K18" s="322">
        <f>HLOOKUP(C18,'تقرير المصروفات حسب الشهر'!$D$9:$AH$123,115,FALSE)</f>
        <v>37334.65</v>
      </c>
      <c r="L18" s="98"/>
      <c r="M18" s="324">
        <f>Khargia!D18</f>
        <v>0</v>
      </c>
      <c r="N18" s="307">
        <f t="shared" si="0"/>
        <v>3968.8599999999788</v>
      </c>
      <c r="O18" s="2">
        <v>4033.27</v>
      </c>
      <c r="P18" s="453">
        <f t="shared" si="1"/>
        <v>64.410000000021228</v>
      </c>
    </row>
    <row r="19" spans="2:16" ht="16.8" thickTop="1" thickBot="1">
      <c r="B19" s="312">
        <v>14</v>
      </c>
      <c r="C19" s="314" t="s">
        <v>169</v>
      </c>
      <c r="D19" s="327">
        <f>VLOOKUP(C19,'تقرير إحصائية بحجم المبيعات'!$B$7:$L$37,2,FALSE)</f>
        <v>1756828.6799999997</v>
      </c>
      <c r="E19" s="327">
        <f>VLOOKUP(C19,'تقرير إحصائية بحجم المبيعات'!$B$7:$L$37,3,FALSE)</f>
        <v>6124.97</v>
      </c>
      <c r="F19" s="327">
        <f>VLOOKUP(C19,'تقرير إحصائية بحجم المبيعات'!B10:G41,4,0)</f>
        <v>1492346.45</v>
      </c>
      <c r="G19" s="319">
        <f t="shared" si="4"/>
        <v>3255300.0999999996</v>
      </c>
      <c r="H19" s="318">
        <f t="shared" si="3"/>
        <v>105009.68064516128</v>
      </c>
      <c r="I19" s="326">
        <f>VLOOKUP(C19,'تقرير إحصائية بحجم المبيعات'!$B$7:$L$37,11,FALSE)</f>
        <v>2529532.62</v>
      </c>
      <c r="J19" s="321">
        <f t="shared" si="2"/>
        <v>725767.47999999952</v>
      </c>
      <c r="K19" s="322">
        <f>HLOOKUP(C19,'تقرير المصروفات حسب الشهر'!$D$9:$AH$123,115,FALSE)</f>
        <v>455951.65999999992</v>
      </c>
      <c r="L19" s="97"/>
      <c r="M19" s="324">
        <f>Tagmou3!D18</f>
        <v>0</v>
      </c>
      <c r="N19" s="307">
        <f t="shared" si="0"/>
        <v>269815.8199999996</v>
      </c>
      <c r="O19" s="2">
        <v>270052.44</v>
      </c>
      <c r="P19" s="453">
        <f t="shared" si="1"/>
        <v>236.6200000004028</v>
      </c>
    </row>
    <row r="20" spans="2:16" ht="16.8" thickTop="1" thickBot="1">
      <c r="B20" s="312">
        <v>15</v>
      </c>
      <c r="C20" s="314" t="s">
        <v>243</v>
      </c>
      <c r="D20" s="327">
        <f>VLOOKUP(C20,'تقرير إحصائية بحجم المبيعات'!$B$7:$L$37,2,FALSE)</f>
        <v>797760.2</v>
      </c>
      <c r="E20" s="327">
        <f>VLOOKUP(C20,'تقرير إحصائية بحجم المبيعات'!$B$7:$L$37,3,FALSE)</f>
        <v>29646.77</v>
      </c>
      <c r="F20" s="327">
        <f>VLOOKUP(C20,'تقرير إحصائية بحجم المبيعات'!B11:G42,4,0)</f>
        <v>642900.55000000005</v>
      </c>
      <c r="G20" s="319">
        <f t="shared" si="4"/>
        <v>1470307.52</v>
      </c>
      <c r="H20" s="318">
        <f t="shared" si="3"/>
        <v>47429.27483870968</v>
      </c>
      <c r="I20" s="326">
        <f>VLOOKUP(C20,'تقرير إحصائية بحجم المبيعات'!$B$7:$L$37,11,FALSE)</f>
        <v>1129358.6000000001</v>
      </c>
      <c r="J20" s="321">
        <f t="shared" si="2"/>
        <v>340948.91999999993</v>
      </c>
      <c r="K20" s="322">
        <f>HLOOKUP(C20,'تقرير المصروفات حسب الشهر'!$D$9:$AH$123,115,FALSE)</f>
        <v>274870.72000000003</v>
      </c>
      <c r="L20" s="97"/>
      <c r="M20" s="324">
        <f>Maadi!D18</f>
        <v>3102.72</v>
      </c>
      <c r="N20" s="307">
        <f t="shared" si="0"/>
        <v>69180.919999999896</v>
      </c>
      <c r="O20" s="2">
        <v>69180.92</v>
      </c>
      <c r="P20" s="453">
        <f t="shared" si="1"/>
        <v>0</v>
      </c>
    </row>
    <row r="21" spans="2:16" ht="16.8" thickTop="1" thickBot="1">
      <c r="B21" s="312">
        <v>16</v>
      </c>
      <c r="C21" s="314" t="s">
        <v>175</v>
      </c>
      <c r="D21" s="327">
        <f>VLOOKUP(C21,'تقرير إحصائية بحجم المبيعات'!$B$7:$L$37,2,FALSE)</f>
        <v>2673575.81</v>
      </c>
      <c r="E21" s="327">
        <f>VLOOKUP(C21,'تقرير إحصائية بحجم المبيعات'!$B$7:$L$37,3,FALSE)</f>
        <v>697477.14</v>
      </c>
      <c r="F21" s="327">
        <f>VLOOKUP(C21,'تقرير إحصائية بحجم المبيعات'!B12:G43,4,0)</f>
        <v>1057643.06</v>
      </c>
      <c r="G21" s="319">
        <f t="shared" si="4"/>
        <v>4428696.01</v>
      </c>
      <c r="H21" s="318">
        <f t="shared" si="3"/>
        <v>142861.1616129032</v>
      </c>
      <c r="I21" s="326">
        <f>VLOOKUP(C21,'تقرير إحصائية بحجم المبيعات'!$B$7:$L$37,11,FALSE)</f>
        <v>3515177</v>
      </c>
      <c r="J21" s="321">
        <f t="shared" si="2"/>
        <v>913519.00999999978</v>
      </c>
      <c r="K21" s="322">
        <f>HLOOKUP(C21,'تقرير المصروفات حسب الشهر'!$D$9:$AH$123,115,FALSE)</f>
        <v>642499.96000000008</v>
      </c>
      <c r="L21" s="97"/>
      <c r="M21" s="324">
        <f>Zaid!D18</f>
        <v>27.720000000000002</v>
      </c>
      <c r="N21" s="307">
        <f t="shared" si="0"/>
        <v>271046.76999999967</v>
      </c>
      <c r="O21" s="2">
        <v>271139.96000000002</v>
      </c>
      <c r="P21" s="453">
        <f t="shared" si="1"/>
        <v>93.190000000351574</v>
      </c>
    </row>
    <row r="22" spans="2:16" ht="16.8" thickTop="1" thickBot="1">
      <c r="B22" s="312">
        <v>17</v>
      </c>
      <c r="C22" s="314" t="s">
        <v>170</v>
      </c>
      <c r="D22" s="327">
        <f>VLOOKUP(C22,'تقرير إحصائية بحجم المبيعات'!$B$7:$L$37,2,FALSE)</f>
        <v>435832.74</v>
      </c>
      <c r="E22" s="327">
        <f>VLOOKUP(C22,'تقرير إحصائية بحجم المبيعات'!$B$7:$L$37,3,FALSE)</f>
        <v>29868.73</v>
      </c>
      <c r="F22" s="327">
        <f>VLOOKUP(C22,'تقرير إحصائية بحجم المبيعات'!B13:G44,4,0)</f>
        <v>31635.95</v>
      </c>
      <c r="G22" s="319">
        <f t="shared" si="4"/>
        <v>497337.42</v>
      </c>
      <c r="H22" s="318">
        <f t="shared" si="3"/>
        <v>16043.142580645161</v>
      </c>
      <c r="I22" s="326">
        <f>VLOOKUP(C22,'تقرير إحصائية بحجم المبيعات'!$B$7:$L$37,11,FALSE)</f>
        <v>373251.78</v>
      </c>
      <c r="J22" s="321">
        <f t="shared" si="2"/>
        <v>124085.63999999996</v>
      </c>
      <c r="K22" s="322">
        <f>HLOOKUP(C22,'تقرير المصروفات حسب الشهر'!$D$9:$AH$123,115,FALSE)</f>
        <v>90131.67</v>
      </c>
      <c r="L22" s="97"/>
      <c r="M22" s="324">
        <f>'Sand Beach'!D18</f>
        <v>0</v>
      </c>
      <c r="N22" s="307">
        <f t="shared" si="0"/>
        <v>33953.969999999958</v>
      </c>
      <c r="O22" s="2">
        <v>34484.97</v>
      </c>
      <c r="P22" s="453">
        <f t="shared" si="1"/>
        <v>531.00000000004366</v>
      </c>
    </row>
    <row r="23" spans="2:16" ht="16.8" thickTop="1" thickBot="1">
      <c r="B23" s="312">
        <v>18</v>
      </c>
      <c r="C23" s="314" t="s">
        <v>172</v>
      </c>
      <c r="D23" s="327">
        <f>VLOOKUP(C23,'تقرير إحصائية بحجم المبيعات'!$B$7:$L$37,2,FALSE)</f>
        <v>166143.39000000001</v>
      </c>
      <c r="E23" s="327">
        <f>VLOOKUP(C23,'تقرير إحصائية بحجم المبيعات'!$B$7:$L$37,3,FALSE)</f>
        <v>0</v>
      </c>
      <c r="F23" s="327">
        <f>VLOOKUP(C23,'تقرير إحصائية بحجم المبيعات'!B14:G45,4,0)</f>
        <v>0</v>
      </c>
      <c r="G23" s="319">
        <f t="shared" si="4"/>
        <v>166143.39000000001</v>
      </c>
      <c r="H23" s="318">
        <f t="shared" si="3"/>
        <v>5359.4641935483878</v>
      </c>
      <c r="I23" s="326">
        <f>VLOOKUP(C23,'تقرير إحصائية بحجم المبيعات'!$B$7:$L$37,11,FALSE)</f>
        <v>131173.42000000001</v>
      </c>
      <c r="J23" s="321">
        <f t="shared" si="2"/>
        <v>34969.97</v>
      </c>
      <c r="K23" s="322">
        <f>HLOOKUP(C23,'تقرير المصروفات حسب الشهر'!$D$9:$AH$123,115,FALSE)</f>
        <v>10628.91</v>
      </c>
      <c r="L23" s="97"/>
      <c r="M23" s="324">
        <f>Online!D18</f>
        <v>0</v>
      </c>
      <c r="N23" s="307">
        <f t="shared" si="0"/>
        <v>24341.06</v>
      </c>
      <c r="O23" s="2">
        <v>24341.06</v>
      </c>
      <c r="P23" s="453">
        <f t="shared" si="1"/>
        <v>0</v>
      </c>
    </row>
    <row r="24" spans="2:16" ht="16.8" thickTop="1" thickBot="1">
      <c r="B24" s="312">
        <v>19</v>
      </c>
      <c r="C24" s="314" t="s">
        <v>176</v>
      </c>
      <c r="D24" s="327">
        <f>VLOOKUP(C24,'تقرير إحصائية بحجم المبيعات'!$B$7:$L$37,2,FALSE)</f>
        <v>96664.060000000012</v>
      </c>
      <c r="E24" s="327">
        <f>VLOOKUP(C24,'تقرير إحصائية بحجم المبيعات'!$B$7:$L$37,3,FALSE)</f>
        <v>0</v>
      </c>
      <c r="F24" s="327">
        <f>VLOOKUP(C24,'تقرير إحصائية بحجم المبيعات'!B15:G46,4,0)</f>
        <v>326794.43</v>
      </c>
      <c r="G24" s="319">
        <f t="shared" si="4"/>
        <v>423458.49</v>
      </c>
      <c r="H24" s="318">
        <f t="shared" si="3"/>
        <v>13659.95129032258</v>
      </c>
      <c r="I24" s="326">
        <f>VLOOKUP(C24,'تقرير إحصائية بحجم المبيعات'!$B$7:$L$37,11,FALSE)</f>
        <v>358880.97</v>
      </c>
      <c r="J24" s="321">
        <f t="shared" si="2"/>
        <v>64577.520000000019</v>
      </c>
      <c r="K24" s="322">
        <f>HLOOKUP(C24,'تقرير المصروفات حسب الشهر'!$D$9:$AH$123,115,FALSE)</f>
        <v>22401.61</v>
      </c>
      <c r="L24" s="97"/>
      <c r="M24" s="324">
        <f>Orange!D18</f>
        <v>0</v>
      </c>
      <c r="N24" s="307">
        <f t="shared" si="0"/>
        <v>42175.910000000018</v>
      </c>
      <c r="O24" s="2">
        <v>42175.91</v>
      </c>
      <c r="P24" s="453">
        <f t="shared" si="1"/>
        <v>0</v>
      </c>
    </row>
    <row r="25" spans="2:16" ht="16.8" thickTop="1" thickBot="1">
      <c r="B25" s="312">
        <v>20</v>
      </c>
      <c r="C25" s="314" t="s">
        <v>177</v>
      </c>
      <c r="D25" s="327">
        <f>VLOOKUP(C25,'تقرير إحصائية بحجم المبيعات'!$B$7:$L$37,2,FALSE)</f>
        <v>113765.15000000004</v>
      </c>
      <c r="E25" s="327">
        <f>VLOOKUP(C25,'تقرير إحصائية بحجم المبيعات'!$B$7:$L$37,3,FALSE)</f>
        <v>0</v>
      </c>
      <c r="F25" s="327">
        <f>VLOOKUP(C25,'تقرير إحصائية بحجم المبيعات'!B16:G47,4,0)</f>
        <v>492815.14</v>
      </c>
      <c r="G25" s="319">
        <f t="shared" si="4"/>
        <v>606580.29</v>
      </c>
      <c r="H25" s="318">
        <f t="shared" si="3"/>
        <v>19567.106129032258</v>
      </c>
      <c r="I25" s="326">
        <f>VLOOKUP(C25,'تقرير إحصائية بحجم المبيعات'!$B$7:$L$37,11,FALSE)</f>
        <v>518002.47</v>
      </c>
      <c r="J25" s="321">
        <f t="shared" si="2"/>
        <v>88577.820000000065</v>
      </c>
      <c r="K25" s="322">
        <f>HLOOKUP(C25,'تقرير المصروفات حسب الشهر'!$D$9:$AH$123,115,FALSE)</f>
        <v>30373.89</v>
      </c>
      <c r="L25" s="97"/>
      <c r="M25" s="324">
        <f>Vod.Smart!D18</f>
        <v>0</v>
      </c>
      <c r="N25" s="307">
        <f t="shared" si="0"/>
        <v>58203.930000000066</v>
      </c>
      <c r="O25" s="2">
        <v>58203.93</v>
      </c>
      <c r="P25" s="453">
        <f t="shared" si="1"/>
        <v>-6.5483618527650833E-11</v>
      </c>
    </row>
    <row r="26" spans="2:16" ht="16.8" thickTop="1" thickBot="1">
      <c r="B26" s="312">
        <v>21</v>
      </c>
      <c r="C26" s="314" t="s">
        <v>178</v>
      </c>
      <c r="D26" s="327">
        <f>VLOOKUP(C26,'تقرير إحصائية بحجم المبيعات'!$B$7:$L$37,2,FALSE)</f>
        <v>23438.01</v>
      </c>
      <c r="E26" s="327">
        <f>VLOOKUP(C26,'تقرير إحصائية بحجم المبيعات'!$B$7:$L$37,3,FALSE)</f>
        <v>0</v>
      </c>
      <c r="F26" s="327">
        <f>VLOOKUP(C26,'تقرير إحصائية بحجم المبيعات'!B17:G48,4,0)</f>
        <v>216632.29</v>
      </c>
      <c r="G26" s="319">
        <f t="shared" si="4"/>
        <v>240070.30000000002</v>
      </c>
      <c r="H26" s="318">
        <f t="shared" si="3"/>
        <v>7744.2032258064519</v>
      </c>
      <c r="I26" s="326">
        <f>VLOOKUP(C26,'تقرير إحصائية بحجم المبيعات'!$B$7:$L$37,11,FALSE)</f>
        <v>204460.02</v>
      </c>
      <c r="J26" s="321">
        <f t="shared" si="2"/>
        <v>35610.280000000028</v>
      </c>
      <c r="K26" s="322">
        <f>HLOOKUP(C26,'تقرير المصروفات حسب الشهر'!$D$9:$AH$123,115,FALSE)</f>
        <v>10238.779999999999</v>
      </c>
      <c r="L26" s="97"/>
      <c r="M26" s="324">
        <f>Vod.Zahraa!D18</f>
        <v>0</v>
      </c>
      <c r="N26" s="307">
        <f t="shared" si="0"/>
        <v>25371.500000000029</v>
      </c>
      <c r="O26" s="2">
        <v>25371.5</v>
      </c>
      <c r="P26" s="453">
        <f t="shared" si="1"/>
        <v>-2.9103830456733704E-11</v>
      </c>
    </row>
    <row r="27" spans="2:16" ht="16.8" thickTop="1" thickBot="1">
      <c r="B27" s="312">
        <v>22</v>
      </c>
      <c r="C27" s="314" t="s">
        <v>179</v>
      </c>
      <c r="D27" s="327">
        <f>VLOOKUP(C27,'تقرير إحصائية بحجم المبيعات'!$B$7:$L$37,2,FALSE)</f>
        <v>0</v>
      </c>
      <c r="E27" s="327">
        <f>VLOOKUP(C27,'تقرير إحصائية بحجم المبيعات'!$B$7:$L$37,3,FALSE)</f>
        <v>0</v>
      </c>
      <c r="F27" s="327">
        <f>VLOOKUP(C27,'تقرير إحصائية بحجم المبيعات'!B27:L57,4,FALSE)</f>
        <v>410087.76999999996</v>
      </c>
      <c r="G27" s="319">
        <f t="shared" si="4"/>
        <v>410087.76999999996</v>
      </c>
      <c r="H27" s="318">
        <f t="shared" si="3"/>
        <v>13228.637741935483</v>
      </c>
      <c r="I27" s="326">
        <f>VLOOKUP(C27,'تقرير إحصائية بحجم المبيعات'!$B$7:$L$37,11,FALSE)</f>
        <v>345316.84</v>
      </c>
      <c r="J27" s="321">
        <f t="shared" si="2"/>
        <v>64770.929999999935</v>
      </c>
      <c r="K27" s="322">
        <f>HLOOKUP(C27,'تقرير المصروفات حسب الشهر'!$D$9:$AH$123,115,FALSE)</f>
        <v>43990.37999999999</v>
      </c>
      <c r="L27" s="97"/>
      <c r="M27" s="324">
        <f>Mo7awelat!D18</f>
        <v>32079.41</v>
      </c>
      <c r="N27" s="307">
        <f t="shared" si="0"/>
        <v>52859.959999999948</v>
      </c>
      <c r="O27" s="2">
        <v>52859.96</v>
      </c>
      <c r="P27" s="453">
        <f t="shared" si="1"/>
        <v>0</v>
      </c>
    </row>
    <row r="28" spans="2:16" ht="16.8" thickTop="1" thickBot="1">
      <c r="B28" s="312">
        <v>23</v>
      </c>
      <c r="C28" s="314" t="s">
        <v>181</v>
      </c>
      <c r="D28" s="327">
        <f>VLOOKUP(C28,'تقرير إحصائية بحجم المبيعات'!$B$7:$L$37,2,FALSE)</f>
        <v>10193.440000000004</v>
      </c>
      <c r="E28" s="327">
        <f>VLOOKUP(C28,'تقرير إحصائية بحجم المبيعات'!$B$7:$L$37,3,FALSE)</f>
        <v>0</v>
      </c>
      <c r="F28" s="327">
        <f>VLOOKUP(C28,'تقرير إحصائية بحجم المبيعات'!B28:L58,4,FALSE)</f>
        <v>230410.27</v>
      </c>
      <c r="G28" s="319">
        <f t="shared" si="4"/>
        <v>240603.71</v>
      </c>
      <c r="H28" s="318">
        <f t="shared" si="3"/>
        <v>7761.41</v>
      </c>
      <c r="I28" s="326">
        <f>VLOOKUP(C28,'تقرير إحصائية بحجم المبيعات'!$B$7:$L$37,11,FALSE)</f>
        <v>205876.84</v>
      </c>
      <c r="J28" s="321">
        <f t="shared" si="2"/>
        <v>34726.869999999995</v>
      </c>
      <c r="K28" s="322">
        <f>HLOOKUP(C28,'تقرير المصروفات حسب الشهر'!$D$9:$AH$123,115,FALSE)</f>
        <v>14503.05</v>
      </c>
      <c r="L28" s="97"/>
      <c r="M28" s="324">
        <f>Electric!D18</f>
        <v>3611.25</v>
      </c>
      <c r="N28" s="307">
        <f t="shared" si="0"/>
        <v>23835.069999999996</v>
      </c>
      <c r="O28" s="2">
        <v>23835.07</v>
      </c>
      <c r="P28" s="453">
        <f t="shared" si="1"/>
        <v>0</v>
      </c>
    </row>
    <row r="29" spans="2:16" ht="16.8" thickTop="1" thickBot="1">
      <c r="B29" s="312">
        <v>24</v>
      </c>
      <c r="C29" s="314" t="s">
        <v>182</v>
      </c>
      <c r="D29" s="327">
        <f>VLOOKUP(C29,'تقرير إحصائية بحجم المبيعات'!$B$7:$L$37,2,FALSE)</f>
        <v>17428.849999999999</v>
      </c>
      <c r="E29" s="327">
        <f>VLOOKUP(C29,'تقرير إحصائية بحجم المبيعات'!$B$7:$L$37,3,FALSE)</f>
        <v>0</v>
      </c>
      <c r="F29" s="327">
        <f>VLOOKUP(C29,'تقرير إحصائية بحجم المبيعات'!B29:L59,4,FALSE)</f>
        <v>119392.69</v>
      </c>
      <c r="G29" s="319">
        <f t="shared" si="4"/>
        <v>136821.54</v>
      </c>
      <c r="H29" s="318">
        <f t="shared" si="3"/>
        <v>4413.5980645161289</v>
      </c>
      <c r="I29" s="326">
        <f>VLOOKUP(C29,'تقرير إحصائية بحجم المبيعات'!$B$7:$L$37,11,FALSE)</f>
        <v>115712.54</v>
      </c>
      <c r="J29" s="321">
        <f t="shared" si="2"/>
        <v>21109.000000000015</v>
      </c>
      <c r="K29" s="322">
        <f>HLOOKUP(C29,'تقرير المصروفات حسب الشهر'!$D$9:$AH$123,115,FALSE)</f>
        <v>13239.8</v>
      </c>
      <c r="L29" s="97"/>
      <c r="M29" s="324">
        <f>'M.C.V'!D18</f>
        <v>0</v>
      </c>
      <c r="N29" s="307">
        <f t="shared" si="0"/>
        <v>7869.2000000000153</v>
      </c>
      <c r="O29" s="2">
        <v>7869.2</v>
      </c>
      <c r="P29" s="453">
        <f t="shared" si="1"/>
        <v>-1.546140993013978E-11</v>
      </c>
    </row>
    <row r="30" spans="2:16" ht="16.8" thickTop="1" thickBot="1">
      <c r="B30" s="312">
        <v>25</v>
      </c>
      <c r="C30" s="314" t="s">
        <v>187</v>
      </c>
      <c r="D30" s="327">
        <f>VLOOKUP(C30,'تقرير إحصائية بحجم المبيعات'!$B$7:$L$37,2,FALSE)</f>
        <v>74853.75</v>
      </c>
      <c r="E30" s="327">
        <f>VLOOKUP(C30,'تقرير إحصائية بحجم المبيعات'!$B$7:$L$37,3,FALSE)</f>
        <v>0</v>
      </c>
      <c r="F30" s="327">
        <f>VLOOKUP(C30,'تقرير إحصائية بحجم المبيعات'!B30:L60,4,FALSE)</f>
        <v>215755.79</v>
      </c>
      <c r="G30" s="319">
        <f t="shared" si="4"/>
        <v>290609.54000000004</v>
      </c>
      <c r="H30" s="318">
        <f t="shared" si="3"/>
        <v>9374.5012903225816</v>
      </c>
      <c r="I30" s="326">
        <f>VLOOKUP(C30,'تقرير إحصائية بحجم المبيعات'!$B$7:$L$37,11,FALSE)</f>
        <v>249994.36</v>
      </c>
      <c r="J30" s="321">
        <f t="shared" si="2"/>
        <v>40615.180000000051</v>
      </c>
      <c r="K30" s="322">
        <f>HLOOKUP(C30,'تقرير المصروفات حسب الشهر'!$D$9:$AH$123,115,FALSE)</f>
        <v>43629.43</v>
      </c>
      <c r="L30" s="97"/>
      <c r="M30" s="324">
        <f>Egyplast!D18</f>
        <v>0</v>
      </c>
      <c r="N30" s="307">
        <f t="shared" si="0"/>
        <v>-3014.2499999999491</v>
      </c>
      <c r="O30" s="2">
        <v>-3014.25</v>
      </c>
      <c r="P30" s="453">
        <f t="shared" si="1"/>
        <v>-5.0931703299283981E-11</v>
      </c>
    </row>
    <row r="31" spans="2:16" ht="16.8" thickTop="1" thickBot="1">
      <c r="B31" s="312">
        <v>26</v>
      </c>
      <c r="C31" s="314" t="s">
        <v>240</v>
      </c>
      <c r="D31" s="327">
        <f>VLOOKUP(C31,'تقرير إحصائية بحجم المبيعات'!$B$7:$L$37,2,FALSE)</f>
        <v>121003.99000000002</v>
      </c>
      <c r="E31" s="327">
        <f>VLOOKUP(C31,'تقرير إحصائية بحجم المبيعات'!$B$7:$L$37,3,FALSE)</f>
        <v>0</v>
      </c>
      <c r="F31" s="327">
        <f>VLOOKUP(C31,'تقرير إحصائية بحجم المبيعات'!B31:L61,4,FALSE)</f>
        <v>600772.67000000004</v>
      </c>
      <c r="G31" s="320">
        <f t="shared" si="4"/>
        <v>721776.66</v>
      </c>
      <c r="H31" s="318"/>
      <c r="I31" s="326">
        <f>VLOOKUP(C31,'تقرير إحصائية بحجم المبيعات'!$B$7:$L$37,11,FALSE)</f>
        <v>621799.9</v>
      </c>
      <c r="J31" s="321">
        <f t="shared" si="2"/>
        <v>99976.760000000009</v>
      </c>
      <c r="K31" s="322">
        <f>HLOOKUP(C31,'تقرير المصروفات حسب الشهر'!$D$9:$AH$123,115,FALSE)</f>
        <v>20293.170000000002</v>
      </c>
      <c r="L31" s="99"/>
      <c r="M31" s="325">
        <f>CFC!D18</f>
        <v>0</v>
      </c>
      <c r="N31" s="307">
        <f t="shared" si="0"/>
        <v>79683.590000000011</v>
      </c>
      <c r="O31" s="2">
        <v>79683.59</v>
      </c>
      <c r="P31" s="453">
        <f t="shared" si="1"/>
        <v>0</v>
      </c>
    </row>
    <row r="32" spans="2:16" ht="16.8" thickTop="1" thickBot="1">
      <c r="B32" s="312">
        <v>27</v>
      </c>
      <c r="C32" s="314" t="s">
        <v>245</v>
      </c>
      <c r="D32" s="327">
        <f>VLOOKUP(C32,'تقرير إحصائية بحجم المبيعات'!$B$7:$L$37,2,FALSE)</f>
        <v>0</v>
      </c>
      <c r="E32" s="327">
        <f>VLOOKUP(C32,'تقرير إحصائية بحجم المبيعات'!$B$7:$L$37,3,FALSE)</f>
        <v>0</v>
      </c>
      <c r="F32" s="327">
        <f>VLOOKUP(C32,'تقرير إحصائية بحجم المبيعات'!B32:L62,4,FALSE)</f>
        <v>0</v>
      </c>
      <c r="G32" s="320">
        <f>+D32+E32+F32</f>
        <v>0</v>
      </c>
      <c r="H32" s="318"/>
      <c r="I32" s="326">
        <f>VLOOKUP(C32,'تقرير إحصائية بحجم المبيعات'!$B$7:$L$37,11,FALSE)</f>
        <v>0</v>
      </c>
      <c r="J32" s="321">
        <f>+G32-I32</f>
        <v>0</v>
      </c>
      <c r="K32" s="322">
        <f>HLOOKUP(C32,'تقرير المصروفات حسب الشهر'!$D$9:$AH$123,115,FALSE)</f>
        <v>0</v>
      </c>
      <c r="L32" s="99"/>
      <c r="M32" s="325">
        <f>North.Coast!D18</f>
        <v>0</v>
      </c>
      <c r="N32" s="307">
        <f t="shared" si="0"/>
        <v>0</v>
      </c>
      <c r="O32" s="2">
        <v>0</v>
      </c>
      <c r="P32" s="453">
        <f t="shared" si="1"/>
        <v>0</v>
      </c>
    </row>
    <row r="33" spans="1:16" ht="16.8" thickTop="1" thickBot="1">
      <c r="B33" s="312">
        <v>28</v>
      </c>
      <c r="C33" s="314" t="s">
        <v>357</v>
      </c>
      <c r="D33" s="327">
        <f>VLOOKUP(C33,'تقرير إحصائية بحجم المبيعات'!$B$7:$L$37,2,FALSE)</f>
        <v>1503024.24</v>
      </c>
      <c r="E33" s="327">
        <f>VLOOKUP(C33,'تقرير إحصائية بحجم المبيعات'!$B$7:$L$37,3,FALSE)</f>
        <v>41649.01</v>
      </c>
      <c r="F33" s="327">
        <f>VLOOKUP(C33,'تقرير إحصائية بحجم المبيعات'!B33:L63,4,FALSE)</f>
        <v>92890.57</v>
      </c>
      <c r="G33" s="320">
        <f>+D33+E33+F33</f>
        <v>1637563.82</v>
      </c>
      <c r="H33" s="318"/>
      <c r="I33" s="326">
        <f>VLOOKUP(C33,'تقرير إحصائية بحجم المبيعات'!$B$7:$L$37,11,FALSE)</f>
        <v>1257821.1499999999</v>
      </c>
      <c r="J33" s="321">
        <f>+G33-I33</f>
        <v>379742.67000000016</v>
      </c>
      <c r="K33" s="322">
        <f>HLOOKUP(C33,'تقرير المصروفات حسب الشهر'!$D$9:$AH$123,115,FALSE)</f>
        <v>366211.54</v>
      </c>
      <c r="L33" s="99"/>
      <c r="M33" s="325">
        <f>Rehab!D18</f>
        <v>0</v>
      </c>
      <c r="N33" s="307">
        <f t="shared" si="0"/>
        <v>13531.130000000179</v>
      </c>
      <c r="O33" s="2">
        <v>13531.13</v>
      </c>
      <c r="P33" s="453">
        <f t="shared" si="1"/>
        <v>-1.8007995095103979E-10</v>
      </c>
    </row>
    <row r="34" spans="1:16" ht="16.8" thickTop="1" thickBot="1">
      <c r="B34" s="312">
        <v>29</v>
      </c>
      <c r="C34" s="314" t="s">
        <v>362</v>
      </c>
      <c r="D34" s="327">
        <f>VLOOKUP(C34,'تقرير إحصائية بحجم المبيعات'!$B$7:$L$37,2,FALSE)</f>
        <v>3502.940000000006</v>
      </c>
      <c r="E34" s="327">
        <f>VLOOKUP(C34,'تقرير إحصائية بحجم المبيعات'!$B$7:$L$37,3,FALSE)</f>
        <v>0</v>
      </c>
      <c r="F34" s="327">
        <f>VLOOKUP(C34,'تقرير إحصائية بحجم المبيعات'!B34:L64,4,FALSE)</f>
        <v>125538.4</v>
      </c>
      <c r="G34" s="320">
        <f>+D34+E34+F34</f>
        <v>129041.34</v>
      </c>
      <c r="H34" s="318"/>
      <c r="I34" s="326">
        <f>VLOOKUP(C34,'تقرير إحصائية بحجم المبيعات'!$B$7:$L$37,11,FALSE)</f>
        <v>105495.96</v>
      </c>
      <c r="J34" s="321">
        <f>+G34-I34</f>
        <v>23545.37999999999</v>
      </c>
      <c r="K34" s="322">
        <f>HLOOKUP(C34,'تقرير المصروفات حسب الشهر'!$D$9:$AH$123,115,FALSE)</f>
        <v>13013.84</v>
      </c>
      <c r="L34" s="99"/>
      <c r="M34" s="325">
        <f>'HSBC MAADI'!D18</f>
        <v>0</v>
      </c>
      <c r="N34" s="307">
        <f t="shared" si="0"/>
        <v>10531.53999999999</v>
      </c>
      <c r="O34" s="2">
        <v>10532.69</v>
      </c>
      <c r="P34" s="453">
        <f t="shared" si="1"/>
        <v>1.1500000000105501</v>
      </c>
    </row>
    <row r="35" spans="1:16" ht="16.8" thickTop="1" thickBot="1">
      <c r="B35" s="312">
        <v>30</v>
      </c>
      <c r="C35" s="314" t="s">
        <v>361</v>
      </c>
      <c r="D35" s="327">
        <f>VLOOKUP(C35,'تقرير إحصائية بحجم المبيعات'!$B$7:$L$37,2,FALSE)</f>
        <v>4930.3899999999994</v>
      </c>
      <c r="E35" s="327">
        <f>VLOOKUP(C35,'تقرير إحصائية بحجم المبيعات'!$B$7:$L$37,3,FALSE)</f>
        <v>0</v>
      </c>
      <c r="F35" s="327">
        <f>VLOOKUP(C35,'تقرير إحصائية بحجم المبيعات'!B35:L65,4,FALSE)</f>
        <v>25301.439999999999</v>
      </c>
      <c r="G35" s="320">
        <f>+D35+E35+F35</f>
        <v>30231.829999999998</v>
      </c>
      <c r="H35" s="318"/>
      <c r="I35" s="326">
        <f>VLOOKUP(C35,'تقرير إحصائية بحجم المبيعات'!$B$7:$L$37,11,FALSE)</f>
        <v>26565.63</v>
      </c>
      <c r="J35" s="321">
        <f>+G35-I35</f>
        <v>3666.1999999999971</v>
      </c>
      <c r="K35" s="322">
        <f>HLOOKUP(C35,'تقرير المصروفات حسب الشهر'!$D$9:$AH$123,115,FALSE)</f>
        <v>10637.66</v>
      </c>
      <c r="L35" s="99"/>
      <c r="M35" s="325">
        <f>'HSBC SMART'!D18</f>
        <v>0</v>
      </c>
      <c r="N35" s="307">
        <f t="shared" si="0"/>
        <v>-6971.4600000000028</v>
      </c>
      <c r="O35" s="2">
        <v>-6972.46</v>
      </c>
      <c r="P35" s="453">
        <f t="shared" si="1"/>
        <v>-0.99999999999727152</v>
      </c>
    </row>
    <row r="36" spans="1:16" ht="16.8" thickTop="1" thickBot="1">
      <c r="B36" s="312">
        <v>31</v>
      </c>
      <c r="C36" s="314" t="s">
        <v>234</v>
      </c>
      <c r="D36" s="327">
        <f>VLOOKUP(C36,'تقرير إحصائية بحجم المبيعات'!$B$7:$L$37,2,FALSE)</f>
        <v>0</v>
      </c>
      <c r="E36" s="327">
        <f>VLOOKUP(C36,'تقرير إحصائية بحجم المبيعات'!$B$7:$L$37,3,FALSE)</f>
        <v>0</v>
      </c>
      <c r="F36" s="327">
        <f>VLOOKUP(C36,'تقرير إحصائية بحجم المبيعات'!B36:L66,4,FALSE)</f>
        <v>0</v>
      </c>
      <c r="G36" s="320">
        <f>+D36+E36+F36</f>
        <v>0</v>
      </c>
      <c r="H36" s="318"/>
      <c r="I36" s="326">
        <f>VLOOKUP(C36,'تقرير إحصائية بحجم المبيعات'!$B$7:$L$37,11,FALSE)</f>
        <v>0</v>
      </c>
      <c r="J36" s="321">
        <f>+G36-I36</f>
        <v>0</v>
      </c>
      <c r="K36" s="322">
        <f>HLOOKUP(C36,'تقرير المصروفات حسب الشهر'!$D$9:$AH$123,115,FALSE)</f>
        <v>0</v>
      </c>
      <c r="L36" s="99"/>
      <c r="M36" s="325">
        <f>Vois!D18</f>
        <v>0</v>
      </c>
      <c r="N36" s="307">
        <f t="shared" si="0"/>
        <v>0</v>
      </c>
      <c r="O36" s="2">
        <v>0</v>
      </c>
      <c r="P36" s="453">
        <f t="shared" si="1"/>
        <v>0</v>
      </c>
    </row>
    <row r="37" spans="1:16" ht="21" customHeight="1" thickBot="1">
      <c r="B37" s="312"/>
      <c r="C37" s="312" t="s">
        <v>18</v>
      </c>
      <c r="D37" s="322">
        <f t="shared" ref="D37:N37" si="5">SUM(D6:D36)</f>
        <v>19776300.630000003</v>
      </c>
      <c r="E37" s="322">
        <f t="shared" si="5"/>
        <v>3230244.2800000003</v>
      </c>
      <c r="F37" s="322">
        <f t="shared" si="5"/>
        <v>17800136.960000001</v>
      </c>
      <c r="G37" s="322">
        <f t="shared" si="5"/>
        <v>40806681.870000005</v>
      </c>
      <c r="H37" s="322">
        <f t="shared" si="5"/>
        <v>1235098.9748387092</v>
      </c>
      <c r="I37" s="322">
        <f t="shared" si="5"/>
        <v>32885216.82</v>
      </c>
      <c r="J37" s="322">
        <f t="shared" si="5"/>
        <v>7921465.0499999989</v>
      </c>
      <c r="K37" s="322">
        <f t="shared" si="5"/>
        <v>7206089.6499999966</v>
      </c>
      <c r="L37" s="322">
        <f t="shared" si="5"/>
        <v>0</v>
      </c>
      <c r="M37" s="322">
        <f t="shared" si="5"/>
        <v>499374.9499999999</v>
      </c>
      <c r="N37" s="307">
        <f t="shared" si="5"/>
        <v>1214750.3500000003</v>
      </c>
      <c r="O37" s="2">
        <f>1216506.43</f>
        <v>1216506.43</v>
      </c>
      <c r="P37" s="453">
        <f t="shared" si="1"/>
        <v>1756.0799999996088</v>
      </c>
    </row>
    <row r="38" spans="1:16" ht="13.8" thickBo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94"/>
      <c r="O38" s="444"/>
    </row>
    <row r="39" spans="1:16" ht="30.6" thickBot="1">
      <c r="B39" s="649" t="s">
        <v>376</v>
      </c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1"/>
    </row>
    <row r="40" spans="1:16" ht="16.8" thickTop="1" thickBot="1">
      <c r="A40"/>
      <c r="B40" s="308" t="s">
        <v>39</v>
      </c>
      <c r="C40" s="308" t="s">
        <v>34</v>
      </c>
      <c r="D40" s="309" t="s">
        <v>20</v>
      </c>
      <c r="E40" s="310" t="s">
        <v>21</v>
      </c>
      <c r="F40" s="310" t="s">
        <v>22</v>
      </c>
      <c r="G40" s="308" t="s">
        <v>19</v>
      </c>
      <c r="H40" s="308" t="s">
        <v>12</v>
      </c>
      <c r="I40" s="308" t="s">
        <v>13</v>
      </c>
      <c r="J40" s="308" t="s">
        <v>14</v>
      </c>
      <c r="K40" s="308" t="s">
        <v>15</v>
      </c>
      <c r="L40" s="308" t="s">
        <v>32</v>
      </c>
      <c r="M40" s="311" t="s">
        <v>16</v>
      </c>
      <c r="N40" s="306" t="s">
        <v>17</v>
      </c>
    </row>
    <row r="41" spans="1:16" ht="16.8" thickTop="1" thickBot="1">
      <c r="A41"/>
      <c r="B41" s="312">
        <v>1</v>
      </c>
      <c r="C41" s="313" t="s">
        <v>184</v>
      </c>
      <c r="D41" s="327">
        <f>IFERROR(VLOOKUP(C41,'تقرير إحصائية بحجم المبيعات'!$B$42:$L$73,2,FALSE),0)</f>
        <v>0</v>
      </c>
      <c r="E41" s="327">
        <f>IFERROR(VLOOKUP(C41,'تقرير إحصائية بحجم المبيعات'!$B$42:$L$73,3,FALSE),0)</f>
        <v>0</v>
      </c>
      <c r="F41" s="327">
        <f>IFERROR(VLOOKUP(C41,'تقرير إحصائية بحجم المبيعات'!$B$42:$L$73,4,FALSE),0)</f>
        <v>0</v>
      </c>
      <c r="G41" s="317">
        <f>+D41+E41+F41</f>
        <v>0</v>
      </c>
      <c r="H41" s="318"/>
      <c r="I41" s="326">
        <f>IFERROR(VLOOKUP(C41,'تقرير إحصائية بحجم المبيعات'!$B$42:$L$73,11,FALSE),0)</f>
        <v>0</v>
      </c>
      <c r="J41" s="321">
        <f>+G41-I41</f>
        <v>0</v>
      </c>
      <c r="K41" s="322">
        <f>HLOOKUP(C41,'تقرير المصروفات حسب الشهر'!$D$134:$AH$248,115,FALSE)</f>
        <v>2113613.2999999998</v>
      </c>
      <c r="L41" s="96"/>
      <c r="M41" s="323">
        <f>HQ!E18</f>
        <v>451521.76999999996</v>
      </c>
      <c r="N41" s="307">
        <f>J41-K41-L41+M41</f>
        <v>-1662091.5299999998</v>
      </c>
    </row>
    <row r="42" spans="1:16" ht="17.25" customHeight="1" thickTop="1" thickBot="1">
      <c r="A42"/>
      <c r="B42" s="312">
        <v>2</v>
      </c>
      <c r="C42" s="314" t="s">
        <v>36</v>
      </c>
      <c r="D42" s="327">
        <f>IFERROR(VLOOKUP(C42,'تقرير إحصائية بحجم المبيعات'!$B$42:$L$73,2,FALSE),0)</f>
        <v>2960938.6800000011</v>
      </c>
      <c r="E42" s="327">
        <f>IFERROR(VLOOKUP(C42,'تقرير إحصائية بحجم المبيعات'!$B$42:$L$73,3,FALSE),0)</f>
        <v>664076.68999999994</v>
      </c>
      <c r="F42" s="327">
        <f>IFERROR(VLOOKUP(C42,'تقرير إحصائية بحجم المبيعات'!$B$42:$L$73,4,FALSE),0)</f>
        <v>1194066.8999999999</v>
      </c>
      <c r="G42" s="317">
        <f t="shared" ref="G42:G71" si="6">+D42+E42+F42</f>
        <v>4819082.2700000014</v>
      </c>
      <c r="H42" s="318">
        <f>+G42/31</f>
        <v>155454.26677419359</v>
      </c>
      <c r="I42" s="326">
        <f>IFERROR(VLOOKUP(C42,'تقرير إحصائية بحجم المبيعات'!$B$42:$L$73,11,FALSE),0)</f>
        <v>3883690.99</v>
      </c>
      <c r="J42" s="321">
        <f t="shared" ref="J42:J71" si="7">+G42-I42</f>
        <v>935391.28000000119</v>
      </c>
      <c r="K42" s="322">
        <f>HLOOKUP(C42,'تقرير المصروفات حسب الشهر'!$D$134:$AH$248,115,FALSE)</f>
        <v>682847.5199999999</v>
      </c>
      <c r="L42" s="97"/>
      <c r="M42" s="324">
        <f>Aguza!E18</f>
        <v>1777.12</v>
      </c>
      <c r="N42" s="307">
        <f t="shared" ref="N42:N71" si="8">J42-K42-L42+M42</f>
        <v>254320.88000000129</v>
      </c>
    </row>
    <row r="43" spans="1:16" ht="16.8" thickTop="1" thickBot="1">
      <c r="A43"/>
      <c r="B43" s="312">
        <v>3</v>
      </c>
      <c r="C43" s="314" t="s">
        <v>9</v>
      </c>
      <c r="D43" s="327">
        <f>IFERROR(VLOOKUP(C43,'تقرير إحصائية بحجم المبيعات'!$B$42:$L$73,2,FALSE),0)</f>
        <v>2119720.5299999998</v>
      </c>
      <c r="E43" s="327">
        <f>IFERROR(VLOOKUP(C43,'تقرير إحصائية بحجم المبيعات'!$B$42:$L$73,3,FALSE),0)</f>
        <v>1203639.72</v>
      </c>
      <c r="F43" s="327">
        <f>IFERROR(VLOOKUP(C43,'تقرير إحصائية بحجم المبيعات'!$B$42:$L$73,4,FALSE),0)</f>
        <v>320548.27</v>
      </c>
      <c r="G43" s="317">
        <f t="shared" si="6"/>
        <v>3643908.52</v>
      </c>
      <c r="H43" s="318">
        <f>+G43/31</f>
        <v>117545.43612903226</v>
      </c>
      <c r="I43" s="326">
        <f>IFERROR(VLOOKUP(C43,'تقرير إحصائية بحجم المبيعات'!$B$42:$L$73,11,FALSE),0)</f>
        <v>2887679.77</v>
      </c>
      <c r="J43" s="321">
        <f t="shared" si="7"/>
        <v>756228.75</v>
      </c>
      <c r="K43" s="322">
        <f>HLOOKUP(C43,'تقرير المصروفات حسب الشهر'!$D$134:$AH$248,115,FALSE)</f>
        <v>711587.53999999992</v>
      </c>
      <c r="L43" s="97"/>
      <c r="M43" s="324">
        <f>October!E18</f>
        <v>109.58999999999999</v>
      </c>
      <c r="N43" s="307">
        <f t="shared" si="8"/>
        <v>44750.800000000076</v>
      </c>
    </row>
    <row r="44" spans="1:16" ht="16.8" thickTop="1" thickBot="1">
      <c r="A44"/>
      <c r="B44" s="312">
        <v>4</v>
      </c>
      <c r="C44" s="314" t="s">
        <v>25</v>
      </c>
      <c r="D44" s="327">
        <f>IFERROR(VLOOKUP(C44,'تقرير إحصائية بحجم المبيعات'!$B$42:$L$73,2,FALSE),0)</f>
        <v>1349164.68</v>
      </c>
      <c r="E44" s="327">
        <f>IFERROR(VLOOKUP(C44,'تقرير إحصائية بحجم المبيعات'!$B$42:$L$73,3,FALSE),0)</f>
        <v>346016.26</v>
      </c>
      <c r="F44" s="327">
        <f>IFERROR(VLOOKUP(C44,'تقرير إحصائية بحجم المبيعات'!$B$42:$L$73,4,FALSE),0)</f>
        <v>1598760.39</v>
      </c>
      <c r="G44" s="317">
        <f t="shared" si="6"/>
        <v>3293941.33</v>
      </c>
      <c r="H44" s="318">
        <f t="shared" ref="H44:H65" si="9">+G44/31</f>
        <v>106256.17193548387</v>
      </c>
      <c r="I44" s="326">
        <f>IFERROR(VLOOKUP(C44,'تقرير إحصائية بحجم المبيعات'!$B$42:$L$73,11,FALSE),0)</f>
        <v>2737775.84</v>
      </c>
      <c r="J44" s="321">
        <f t="shared" si="7"/>
        <v>556165.49000000022</v>
      </c>
      <c r="K44" s="322">
        <f>HLOOKUP(C44,'تقرير المصروفات حسب الشهر'!$D$134:$AH$248,115,FALSE)</f>
        <v>443477.98999999987</v>
      </c>
      <c r="L44" s="97"/>
      <c r="M44" s="324">
        <f>Batal!E18</f>
        <v>57205.100000000006</v>
      </c>
      <c r="N44" s="307">
        <f t="shared" si="8"/>
        <v>169892.60000000036</v>
      </c>
    </row>
    <row r="45" spans="1:16" ht="16.8" thickTop="1" thickBot="1">
      <c r="A45"/>
      <c r="B45" s="312">
        <v>5</v>
      </c>
      <c r="C45" s="314" t="s">
        <v>160</v>
      </c>
      <c r="D45" s="327">
        <f>IFERROR(VLOOKUP(C45,'تقرير إحصائية بحجم المبيعات'!$B$42:$L$73,2,FALSE),0)</f>
        <v>2907073.9400000009</v>
      </c>
      <c r="E45" s="327">
        <f>IFERROR(VLOOKUP(C45,'تقرير إحصائية بحجم المبيعات'!$B$42:$L$73,3,FALSE),0)</f>
        <v>22099.3</v>
      </c>
      <c r="F45" s="327">
        <f>IFERROR(VLOOKUP(C45,'تقرير إحصائية بحجم المبيعات'!$B$42:$L$73,4,FALSE),0)</f>
        <v>2822337.19</v>
      </c>
      <c r="G45" s="317">
        <f t="shared" si="6"/>
        <v>5751510.4300000006</v>
      </c>
      <c r="H45" s="318">
        <f t="shared" si="9"/>
        <v>185532.59451612906</v>
      </c>
      <c r="I45" s="326">
        <f>IFERROR(VLOOKUP(C45,'تقرير إحصائية بحجم المبيعات'!$B$42:$L$73,11,FALSE),0)</f>
        <v>4732710.17</v>
      </c>
      <c r="J45" s="321">
        <f t="shared" si="7"/>
        <v>1018800.2600000007</v>
      </c>
      <c r="K45" s="322">
        <f>HLOOKUP(C45,'تقرير المصروفات حسب الشهر'!$D$134:$AH$248,115,FALSE)</f>
        <v>715488.69</v>
      </c>
      <c r="L45" s="97"/>
      <c r="M45" s="324">
        <f>'Nasr City'!E18</f>
        <v>109100.70000000001</v>
      </c>
      <c r="N45" s="307">
        <f t="shared" si="8"/>
        <v>412412.27000000078</v>
      </c>
    </row>
    <row r="46" spans="1:16" ht="16.8" thickTop="1" thickBot="1">
      <c r="A46"/>
      <c r="B46" s="312">
        <v>6</v>
      </c>
      <c r="C46" s="314" t="s">
        <v>139</v>
      </c>
      <c r="D46" s="327">
        <f>IFERROR(VLOOKUP(C46,'تقرير إحصائية بحجم المبيعات'!$B$42:$L$73,2,FALSE),0)</f>
        <v>10047.090000000084</v>
      </c>
      <c r="E46" s="327">
        <f>IFERROR(VLOOKUP(C46,'تقرير إحصائية بحجم المبيعات'!$B$42:$L$73,3,FALSE),0)</f>
        <v>0</v>
      </c>
      <c r="F46" s="327">
        <f>IFERROR(VLOOKUP(C46,'تقرير إحصائية بحجم المبيعات'!$B$42:$L$73,4,FALSE),0)</f>
        <v>1765210.34</v>
      </c>
      <c r="G46" s="317">
        <f t="shared" si="6"/>
        <v>1775257.4300000002</v>
      </c>
      <c r="H46" s="318">
        <f t="shared" si="9"/>
        <v>57266.368709677423</v>
      </c>
      <c r="I46" s="326">
        <f>IFERROR(VLOOKUP(C46,'تقرير إحصائية بحجم المبيعات'!$B$42:$L$73,11,FALSE),0)</f>
        <v>1524135.87</v>
      </c>
      <c r="J46" s="321">
        <f t="shared" si="7"/>
        <v>251121.56000000006</v>
      </c>
      <c r="K46" s="322">
        <f>HLOOKUP(C46,'تقرير المصروفات حسب الشهر'!$D$134:$AH$248,115,FALSE)</f>
        <v>60400.119999999995</v>
      </c>
      <c r="L46" s="97"/>
      <c r="M46" s="324">
        <f>Sweedy!E18</f>
        <v>167078.41999999998</v>
      </c>
      <c r="N46" s="307">
        <f t="shared" si="8"/>
        <v>357799.86000000004</v>
      </c>
    </row>
    <row r="47" spans="1:16" ht="16.8" thickTop="1" thickBot="1">
      <c r="A47"/>
      <c r="B47" s="312">
        <v>7</v>
      </c>
      <c r="C47" s="314" t="s">
        <v>37</v>
      </c>
      <c r="D47" s="327">
        <f>IFERROR(VLOOKUP(C47,'تقرير إحصائية بحجم المبيعات'!$B$42:$L$73,2,FALSE),0)</f>
        <v>46537.910000000018</v>
      </c>
      <c r="E47" s="327">
        <f>IFERROR(VLOOKUP(C47,'تقرير إحصائية بحجم المبيعات'!$B$42:$L$73,3,FALSE),0)</f>
        <v>0</v>
      </c>
      <c r="F47" s="327">
        <f>IFERROR(VLOOKUP(C47,'تقرير إحصائية بحجم المبيعات'!$B$42:$L$73,4,FALSE),0)</f>
        <v>125494.05</v>
      </c>
      <c r="G47" s="317">
        <f t="shared" si="6"/>
        <v>172031.96000000002</v>
      </c>
      <c r="H47" s="318">
        <f t="shared" si="9"/>
        <v>5549.4180645161296</v>
      </c>
      <c r="I47" s="326">
        <f>IFERROR(VLOOKUP(C47,'تقرير إحصائية بحجم المبيعات'!$B$42:$L$73,11,FALSE),0)</f>
        <v>148205.42000000001</v>
      </c>
      <c r="J47" s="321">
        <f t="shared" si="7"/>
        <v>23826.540000000008</v>
      </c>
      <c r="K47" s="322">
        <f>HLOOKUP(C47,'تقرير المصروفات حسب الشهر'!$D$134:$AH$248,115,FALSE)</f>
        <v>18256.579999999998</v>
      </c>
      <c r="L47" s="97"/>
      <c r="M47" s="324">
        <f>NTRA!E18</f>
        <v>46.329999999999927</v>
      </c>
      <c r="N47" s="307">
        <f t="shared" si="8"/>
        <v>5616.29000000001</v>
      </c>
    </row>
    <row r="48" spans="1:16" ht="16.8" thickTop="1" thickBot="1">
      <c r="A48"/>
      <c r="B48" s="312">
        <v>8</v>
      </c>
      <c r="C48" s="314" t="s">
        <v>133</v>
      </c>
      <c r="D48" s="327">
        <f>IFERROR(VLOOKUP(C48,'تقرير إحصائية بحجم المبيعات'!$B$42:$L$73,2,FALSE),0)</f>
        <v>16888.799999999977</v>
      </c>
      <c r="E48" s="327">
        <f>IFERROR(VLOOKUP(C48,'تقرير إحصائية بحجم المبيعات'!$B$42:$L$73,3,FALSE),0)</f>
        <v>0</v>
      </c>
      <c r="F48" s="327">
        <f>IFERROR(VLOOKUP(C48,'تقرير إحصائية بحجم المبيعات'!$B$42:$L$73,4,FALSE),0)</f>
        <v>322634.96000000002</v>
      </c>
      <c r="G48" s="317">
        <f t="shared" si="6"/>
        <v>339523.76</v>
      </c>
      <c r="H48" s="318">
        <f t="shared" si="9"/>
        <v>10952.379354838709</v>
      </c>
      <c r="I48" s="326">
        <f>IFERROR(VLOOKUP(C48,'تقرير إحصائية بحجم المبيعات'!$B$42:$L$73,11,FALSE),0)</f>
        <v>292936.43</v>
      </c>
      <c r="J48" s="321">
        <f t="shared" si="7"/>
        <v>46587.330000000016</v>
      </c>
      <c r="K48" s="322">
        <f>HLOOKUP(C48,'تقرير المصروفات حسب الشهر'!$D$134:$AH$248,115,FALSE)</f>
        <v>23819.240000000005</v>
      </c>
      <c r="L48" s="97"/>
      <c r="M48" s="324">
        <f>Etisalat!E18</f>
        <v>19.260000000000002</v>
      </c>
      <c r="N48" s="307">
        <f t="shared" si="8"/>
        <v>22787.350000000009</v>
      </c>
    </row>
    <row r="49" spans="1:14" ht="16.8" thickTop="1" thickBot="1">
      <c r="A49"/>
      <c r="B49" s="312">
        <v>9</v>
      </c>
      <c r="C49" s="314" t="s">
        <v>203</v>
      </c>
      <c r="D49" s="327">
        <f>IFERROR(VLOOKUP(C49,'تقرير إحصائية بحجم المبيعات'!$B$42:$L$73,2,FALSE),0)</f>
        <v>1219973.8700000001</v>
      </c>
      <c r="E49" s="327">
        <f>IFERROR(VLOOKUP(C49,'تقرير إحصائية بحجم المبيعات'!$B$42:$L$73,3,FALSE),0)</f>
        <v>56680.33</v>
      </c>
      <c r="F49" s="327">
        <f>IFERROR(VLOOKUP(C49,'تقرير إحصائية بحجم المبيعات'!$B$42:$L$73,4,FALSE),0)</f>
        <v>571856.34</v>
      </c>
      <c r="G49" s="317">
        <f t="shared" si="6"/>
        <v>1848510.54</v>
      </c>
      <c r="H49" s="318">
        <f t="shared" si="9"/>
        <v>59629.372258064519</v>
      </c>
      <c r="I49" s="326">
        <f>IFERROR(VLOOKUP(C49,'تقرير إحصائية بحجم المبيعات'!$B$42:$L$73,11,FALSE),0)</f>
        <v>1492408.02</v>
      </c>
      <c r="J49" s="321">
        <f t="shared" si="7"/>
        <v>356102.52</v>
      </c>
      <c r="K49" s="322">
        <f>HLOOKUP(C49,'تقرير المصروفات حسب الشهر'!$D$134:$AH$248,115,FALSE)</f>
        <v>304391.83000000007</v>
      </c>
      <c r="L49" s="97"/>
      <c r="M49" s="324">
        <f>Alamya!E18</f>
        <v>43856.67</v>
      </c>
      <c r="N49" s="307">
        <f t="shared" si="8"/>
        <v>95567.359999999942</v>
      </c>
    </row>
    <row r="50" spans="1:14" ht="16.8" thickTop="1" thickBot="1">
      <c r="A50"/>
      <c r="B50" s="312">
        <v>10</v>
      </c>
      <c r="C50" s="314" t="s">
        <v>233</v>
      </c>
      <c r="D50" s="327">
        <f>IFERROR(VLOOKUP(C50,'تقرير إحصائية بحجم المبيعات'!$B$42:$L$73,2,FALSE),0)</f>
        <v>42696.349999999977</v>
      </c>
      <c r="E50" s="327">
        <f>IFERROR(VLOOKUP(C50,'تقرير إحصائية بحجم المبيعات'!$B$42:$L$73,3,FALSE),0)</f>
        <v>0</v>
      </c>
      <c r="F50" s="327">
        <f>IFERROR(VLOOKUP(C50,'تقرير إحصائية بحجم المبيعات'!$B$42:$L$73,4,FALSE),0)</f>
        <v>602793.93000000005</v>
      </c>
      <c r="G50" s="317">
        <f t="shared" si="6"/>
        <v>645490.28</v>
      </c>
      <c r="H50" s="318">
        <f t="shared" si="9"/>
        <v>20822.267096774194</v>
      </c>
      <c r="I50" s="326">
        <f>IFERROR(VLOOKUP(C50,'تقرير إحصائية بحجم المبيعات'!$B$42:$L$73,11,FALSE),0)</f>
        <v>544480.55000000005</v>
      </c>
      <c r="J50" s="321">
        <f t="shared" si="7"/>
        <v>101009.72999999998</v>
      </c>
      <c r="K50" s="322">
        <f>HLOOKUP(C50,'تقرير المصروفات حسب الشهر'!$D$134:$AH$248,115,FALSE)</f>
        <v>46827.630000000005</v>
      </c>
      <c r="L50" s="97"/>
      <c r="M50" s="324">
        <f>Etisalat.Katamya!E18</f>
        <v>0</v>
      </c>
      <c r="N50" s="307">
        <f t="shared" si="8"/>
        <v>54182.099999999977</v>
      </c>
    </row>
    <row r="51" spans="1:14" ht="16.8" thickTop="1" thickBot="1">
      <c r="A51"/>
      <c r="B51" s="312">
        <v>11</v>
      </c>
      <c r="C51" s="314" t="s">
        <v>123</v>
      </c>
      <c r="D51" s="327">
        <f>IFERROR(VLOOKUP(C51,'تقرير إحصائية بحجم المبيعات'!$B$42:$L$73,2,FALSE),0)</f>
        <v>1727.5099999999929</v>
      </c>
      <c r="E51" s="327">
        <f>IFERROR(VLOOKUP(C51,'تقرير إحصائية بحجم المبيعات'!$B$42:$L$73,3,FALSE),0)</f>
        <v>117.92</v>
      </c>
      <c r="F51" s="327">
        <f>IFERROR(VLOOKUP(C51,'تقرير إحصائية بحجم المبيعات'!$B$42:$L$73,4,FALSE),0)</f>
        <v>482268.28</v>
      </c>
      <c r="G51" s="317">
        <f t="shared" si="6"/>
        <v>484113.71</v>
      </c>
      <c r="H51" s="318">
        <f t="shared" si="9"/>
        <v>15616.571290322581</v>
      </c>
      <c r="I51" s="326">
        <f>IFERROR(VLOOKUP(C51,'تقرير إحصائية بحجم المبيعات'!$B$42:$L$73,11,FALSE),0)</f>
        <v>412638.59</v>
      </c>
      <c r="J51" s="321">
        <f t="shared" si="7"/>
        <v>71475.12</v>
      </c>
      <c r="K51" s="322">
        <f>HLOOKUP(C51,'تقرير المصروفات حسب الشهر'!$D$134:$AH$248,115,FALSE)</f>
        <v>23322.829999999998</v>
      </c>
      <c r="L51" s="97"/>
      <c r="M51" s="324">
        <f>'Hazzem Hassan'!E18</f>
        <v>-1.9</v>
      </c>
      <c r="N51" s="307">
        <f t="shared" si="8"/>
        <v>48150.389999999992</v>
      </c>
    </row>
    <row r="52" spans="1:14" ht="16.8" thickTop="1" thickBot="1">
      <c r="A52"/>
      <c r="B52" s="312">
        <v>12</v>
      </c>
      <c r="C52" s="314" t="s">
        <v>145</v>
      </c>
      <c r="D52" s="327">
        <f>IFERROR(VLOOKUP(C52,'تقرير إحصائية بحجم المبيعات'!$B$42:$L$73,2,FALSE),0)</f>
        <v>535492.08000000054</v>
      </c>
      <c r="E52" s="327">
        <f>IFERROR(VLOOKUP(C52,'تقرير إحصائية بحجم المبيعات'!$B$42:$L$73,3,FALSE),0)</f>
        <v>3291.84</v>
      </c>
      <c r="F52" s="327">
        <f>IFERROR(VLOOKUP(C52,'تقرير إحصائية بحجم المبيعات'!$B$42:$L$73,4,FALSE),0)</f>
        <v>1554593.88</v>
      </c>
      <c r="G52" s="317">
        <f t="shared" si="6"/>
        <v>2093377.8000000003</v>
      </c>
      <c r="H52" s="318">
        <f t="shared" si="9"/>
        <v>67528.316129032261</v>
      </c>
      <c r="I52" s="326">
        <f>IFERROR(VLOOKUP(C52,'تقرير إحصائية بحجم المبيعات'!$B$42:$L$73,11,FALSE),0)</f>
        <v>1757485.23</v>
      </c>
      <c r="J52" s="321">
        <f t="shared" si="7"/>
        <v>335892.5700000003</v>
      </c>
      <c r="K52" s="322">
        <f>HLOOKUP(C52,'تقرير المصروفات حسب الشهر'!$D$134:$AH$248,115,FALSE)</f>
        <v>259484.60000000003</v>
      </c>
      <c r="L52" s="97"/>
      <c r="M52" s="324">
        <f>Sena3ia!E18</f>
        <v>0</v>
      </c>
      <c r="N52" s="307">
        <f t="shared" si="8"/>
        <v>76407.970000000263</v>
      </c>
    </row>
    <row r="53" spans="1:14" ht="16.8" thickTop="1" thickBot="1">
      <c r="A53"/>
      <c r="B53" s="312">
        <v>13</v>
      </c>
      <c r="C53" s="314" t="s">
        <v>124</v>
      </c>
      <c r="D53" s="327">
        <f>IFERROR(VLOOKUP(C53,'تقرير إحصائية بحجم المبيعات'!$B$42:$L$73,2,FALSE),0)</f>
        <v>169764.96999999997</v>
      </c>
      <c r="E53" s="327">
        <f>IFERROR(VLOOKUP(C53,'تقرير إحصائية بحجم المبيعات'!$B$42:$L$73,3,FALSE),0)</f>
        <v>436.07</v>
      </c>
      <c r="F53" s="327">
        <f>IFERROR(VLOOKUP(C53,'تقرير إحصائية بحجم المبيعات'!$B$42:$L$73,4,FALSE),0)</f>
        <v>109839.44</v>
      </c>
      <c r="G53" s="317">
        <f t="shared" si="6"/>
        <v>280040.48</v>
      </c>
      <c r="H53" s="318">
        <f t="shared" si="9"/>
        <v>9033.5638709677405</v>
      </c>
      <c r="I53" s="326">
        <f>IFERROR(VLOOKUP(C53,'تقرير إحصائية بحجم المبيعات'!$B$42:$L$73,11,FALSE),0)</f>
        <v>238321.56</v>
      </c>
      <c r="J53" s="321">
        <f t="shared" si="7"/>
        <v>41718.919999999984</v>
      </c>
      <c r="K53" s="322">
        <f>HLOOKUP(C53,'تقرير المصروفات حسب الشهر'!$D$134:$AH$248,115,FALSE)</f>
        <v>36893.94999999999</v>
      </c>
      <c r="L53" s="98"/>
      <c r="M53" s="324">
        <f>Khargia!E18</f>
        <v>0</v>
      </c>
      <c r="N53" s="307">
        <f t="shared" si="8"/>
        <v>4824.9699999999939</v>
      </c>
    </row>
    <row r="54" spans="1:14" ht="16.8" thickTop="1" thickBot="1">
      <c r="A54"/>
      <c r="B54" s="312">
        <v>14</v>
      </c>
      <c r="C54" s="314" t="s">
        <v>169</v>
      </c>
      <c r="D54" s="327">
        <f>IFERROR(VLOOKUP(C54,'تقرير إحصائية بحجم المبيعات'!$B$42:$L$73,2,FALSE),0)</f>
        <v>1834383.6</v>
      </c>
      <c r="E54" s="327">
        <f>IFERROR(VLOOKUP(C54,'تقرير إحصائية بحجم المبيعات'!$B$42:$L$73,3,FALSE),0)</f>
        <v>7235.97</v>
      </c>
      <c r="F54" s="327">
        <f>IFERROR(VLOOKUP(C54,'تقرير إحصائية بحجم المبيعات'!$B$42:$L$73,4,FALSE),0)</f>
        <v>1159547.17</v>
      </c>
      <c r="G54" s="317">
        <f t="shared" si="6"/>
        <v>3001166.74</v>
      </c>
      <c r="H54" s="318">
        <f t="shared" si="9"/>
        <v>96811.830322580659</v>
      </c>
      <c r="I54" s="326">
        <f>IFERROR(VLOOKUP(C54,'تقرير إحصائية بحجم المبيعات'!$B$42:$L$73,11,FALSE),0)</f>
        <v>2423019.5550000002</v>
      </c>
      <c r="J54" s="321">
        <f t="shared" si="7"/>
        <v>578147.18500000006</v>
      </c>
      <c r="K54" s="322">
        <f>HLOOKUP(C54,'تقرير المصروفات حسب الشهر'!$D$134:$AH$248,115,FALSE)</f>
        <v>504929.01999999996</v>
      </c>
      <c r="L54" s="97"/>
      <c r="M54" s="324">
        <f>Tagmou3!E18</f>
        <v>0</v>
      </c>
      <c r="N54" s="307">
        <f t="shared" si="8"/>
        <v>73218.165000000095</v>
      </c>
    </row>
    <row r="55" spans="1:14" ht="16.8" thickTop="1" thickBot="1">
      <c r="A55"/>
      <c r="B55" s="312">
        <v>15</v>
      </c>
      <c r="C55" s="314" t="s">
        <v>243</v>
      </c>
      <c r="D55" s="327">
        <f>IFERROR(VLOOKUP(C55,'تقرير إحصائية بحجم المبيعات'!$B$42:$L$73,2,FALSE),0)</f>
        <v>846953.54999999993</v>
      </c>
      <c r="E55" s="327">
        <f>IFERROR(VLOOKUP(C55,'تقرير إحصائية بحجم المبيعات'!$B$42:$L$73,3,FALSE),0)</f>
        <v>57173.27</v>
      </c>
      <c r="F55" s="327">
        <f>IFERROR(VLOOKUP(C55,'تقرير إحصائية بحجم المبيعات'!$B$42:$L$73,4,FALSE),0)</f>
        <v>526785.06999999995</v>
      </c>
      <c r="G55" s="317">
        <f t="shared" si="6"/>
        <v>1430911.89</v>
      </c>
      <c r="H55" s="318">
        <f t="shared" si="9"/>
        <v>46158.448064516124</v>
      </c>
      <c r="I55" s="326">
        <f>IFERROR(VLOOKUP(C55,'تقرير إحصائية بحجم المبيعات'!$B$42:$L$73,11,FALSE),0)</f>
        <v>1131153.03</v>
      </c>
      <c r="J55" s="321">
        <f t="shared" si="7"/>
        <v>299758.85999999987</v>
      </c>
      <c r="K55" s="322">
        <f>HLOOKUP(C55,'تقرير المصروفات حسب الشهر'!$D$134:$AH$248,115,FALSE)</f>
        <v>315798.69</v>
      </c>
      <c r="L55" s="97"/>
      <c r="M55" s="324">
        <f>Maadi!E18</f>
        <v>45.1</v>
      </c>
      <c r="N55" s="307">
        <f t="shared" si="8"/>
        <v>-15994.730000000132</v>
      </c>
    </row>
    <row r="56" spans="1:14" ht="16.8" thickTop="1" thickBot="1">
      <c r="A56"/>
      <c r="B56" s="312">
        <v>16</v>
      </c>
      <c r="C56" s="314" t="s">
        <v>175</v>
      </c>
      <c r="D56" s="327">
        <f>IFERROR(VLOOKUP(C56,'تقرير إحصائية بحجم المبيعات'!$B$42:$L$73,2,FALSE),0)</f>
        <v>2386322.75</v>
      </c>
      <c r="E56" s="327">
        <f>IFERROR(VLOOKUP(C56,'تقرير إحصائية بحجم المبيعات'!$B$42:$L$73,3,FALSE),0)</f>
        <v>714134.81</v>
      </c>
      <c r="F56" s="327">
        <f>IFERROR(VLOOKUP(C56,'تقرير إحصائية بحجم المبيعات'!$B$42:$L$73,4,FALSE),0)</f>
        <v>712710.92</v>
      </c>
      <c r="G56" s="317">
        <f t="shared" si="6"/>
        <v>3813168.48</v>
      </c>
      <c r="H56" s="318">
        <f t="shared" si="9"/>
        <v>123005.43483870968</v>
      </c>
      <c r="I56" s="326">
        <f>IFERROR(VLOOKUP(C56,'تقرير إحصائية بحجم المبيعات'!$B$42:$L$73,11,FALSE),0)</f>
        <v>2984451.71</v>
      </c>
      <c r="J56" s="321">
        <f t="shared" si="7"/>
        <v>828716.77</v>
      </c>
      <c r="K56" s="322">
        <f>HLOOKUP(C56,'تقرير المصروفات حسب الشهر'!$D$134:$AH$248,115,FALSE)</f>
        <v>714617.02999999968</v>
      </c>
      <c r="L56" s="97"/>
      <c r="M56" s="324">
        <f>Zaid!E18</f>
        <v>0.56999999999999995</v>
      </c>
      <c r="N56" s="307">
        <f t="shared" si="8"/>
        <v>114100.31000000035</v>
      </c>
    </row>
    <row r="57" spans="1:14" ht="16.8" thickTop="1" thickBot="1">
      <c r="A57"/>
      <c r="B57" s="312">
        <v>17</v>
      </c>
      <c r="C57" s="314" t="s">
        <v>170</v>
      </c>
      <c r="D57" s="327">
        <f>IFERROR(VLOOKUP(C57,'تقرير إحصائية بحجم المبيعات'!$B$42:$L$73,2,FALSE),0)</f>
        <v>419067.88000000012</v>
      </c>
      <c r="E57" s="327">
        <f>IFERROR(VLOOKUP(C57,'تقرير إحصائية بحجم المبيعات'!$B$42:$L$73,3,FALSE),0)</f>
        <v>12363.55</v>
      </c>
      <c r="F57" s="327">
        <f>IFERROR(VLOOKUP(C57,'تقرير إحصائية بحجم المبيعات'!$B$42:$L$73,4,FALSE),0)</f>
        <v>179338.76</v>
      </c>
      <c r="G57" s="317">
        <f t="shared" si="6"/>
        <v>610770.19000000018</v>
      </c>
      <c r="H57" s="318">
        <f t="shared" si="9"/>
        <v>19702.264193548392</v>
      </c>
      <c r="I57" s="326">
        <f>IFERROR(VLOOKUP(C57,'تقرير إحصائية بحجم المبيعات'!$B$42:$L$73,11,FALSE),0)</f>
        <v>466132.05</v>
      </c>
      <c r="J57" s="321">
        <f t="shared" si="7"/>
        <v>144638.14000000019</v>
      </c>
      <c r="K57" s="322">
        <f>HLOOKUP(C57,'تقرير المصروفات حسب الشهر'!$D$134:$AH$248,115,FALSE)</f>
        <v>66761.440000000002</v>
      </c>
      <c r="L57" s="97"/>
      <c r="M57" s="324">
        <f>'Sand Beach'!E18</f>
        <v>-9.2200000000000006</v>
      </c>
      <c r="N57" s="307">
        <f t="shared" si="8"/>
        <v>77867.480000000185</v>
      </c>
    </row>
    <row r="58" spans="1:14" ht="16.8" thickTop="1" thickBot="1">
      <c r="A58"/>
      <c r="B58" s="312">
        <v>18</v>
      </c>
      <c r="C58" s="314" t="s">
        <v>172</v>
      </c>
      <c r="D58" s="327">
        <f>IFERROR(VLOOKUP(C58,'تقرير إحصائية بحجم المبيعات'!$B$42:$L$73,2,FALSE),0)</f>
        <v>144909.00999999998</v>
      </c>
      <c r="E58" s="327">
        <f>IFERROR(VLOOKUP(C58,'تقرير إحصائية بحجم المبيعات'!$B$42:$L$73,3,FALSE),0)</f>
        <v>0</v>
      </c>
      <c r="F58" s="327">
        <f>IFERROR(VLOOKUP(C58,'تقرير إحصائية بحجم المبيعات'!$B$42:$L$73,4,FALSE),0)</f>
        <v>0</v>
      </c>
      <c r="G58" s="317">
        <f t="shared" si="6"/>
        <v>144909.00999999998</v>
      </c>
      <c r="H58" s="318">
        <f t="shared" si="9"/>
        <v>4674.4841935483864</v>
      </c>
      <c r="I58" s="326">
        <f>IFERROR(VLOOKUP(C58,'تقرير إحصائية بحجم المبيعات'!$B$42:$L$73,11,FALSE),0)</f>
        <v>115882.15</v>
      </c>
      <c r="J58" s="321">
        <f t="shared" si="7"/>
        <v>29026.859999999986</v>
      </c>
      <c r="K58" s="322">
        <f>HLOOKUP(C58,'تقرير المصروفات حسب الشهر'!$D$134:$AH$248,115,FALSE)</f>
        <v>17650.11</v>
      </c>
      <c r="L58" s="97"/>
      <c r="M58" s="324">
        <f>Online!E18</f>
        <v>0</v>
      </c>
      <c r="N58" s="307">
        <f t="shared" si="8"/>
        <v>11376.749999999985</v>
      </c>
    </row>
    <row r="59" spans="1:14" ht="16.8" thickTop="1" thickBot="1">
      <c r="A59"/>
      <c r="B59" s="312">
        <v>19</v>
      </c>
      <c r="C59" s="314" t="s">
        <v>176</v>
      </c>
      <c r="D59" s="327">
        <f>IFERROR(VLOOKUP(C59,'تقرير إحصائية بحجم المبيعات'!$B$42:$L$73,2,FALSE),0)</f>
        <v>64549.090000000026</v>
      </c>
      <c r="E59" s="327">
        <f>IFERROR(VLOOKUP(C59,'تقرير إحصائية بحجم المبيعات'!$B$42:$L$73,3,FALSE),0)</f>
        <v>0</v>
      </c>
      <c r="F59" s="327">
        <f>IFERROR(VLOOKUP(C59,'تقرير إحصائية بحجم المبيعات'!$B$42:$L$73,4,FALSE),0)</f>
        <v>309698.46999999997</v>
      </c>
      <c r="G59" s="317">
        <f t="shared" si="6"/>
        <v>374247.56</v>
      </c>
      <c r="H59" s="318">
        <f t="shared" si="9"/>
        <v>12072.501935483871</v>
      </c>
      <c r="I59" s="326">
        <f>IFERROR(VLOOKUP(C59,'تقرير إحصائية بحجم المبيعات'!$B$42:$L$73,11,FALSE),0)</f>
        <v>323936.90999999997</v>
      </c>
      <c r="J59" s="321">
        <f t="shared" si="7"/>
        <v>50310.650000000023</v>
      </c>
      <c r="K59" s="322">
        <f>HLOOKUP(C59,'تقرير المصروفات حسب الشهر'!$D$134:$AH$248,115,FALSE)</f>
        <v>22424.28</v>
      </c>
      <c r="L59" s="97"/>
      <c r="M59" s="324">
        <f>Orange!E18</f>
        <v>0</v>
      </c>
      <c r="N59" s="307">
        <f t="shared" si="8"/>
        <v>27886.370000000024</v>
      </c>
    </row>
    <row r="60" spans="1:14" ht="16.8" thickTop="1" thickBot="1">
      <c r="A60"/>
      <c r="B60" s="312">
        <v>20</v>
      </c>
      <c r="C60" s="314" t="s">
        <v>177</v>
      </c>
      <c r="D60" s="327">
        <f>IFERROR(VLOOKUP(C60,'تقرير إحصائية بحجم المبيعات'!$B$42:$L$73,2,FALSE),0)</f>
        <v>120485.17000000004</v>
      </c>
      <c r="E60" s="327">
        <f>IFERROR(VLOOKUP(C60,'تقرير إحصائية بحجم المبيعات'!$B$42:$L$73,3,FALSE),0)</f>
        <v>0</v>
      </c>
      <c r="F60" s="327">
        <f>IFERROR(VLOOKUP(C60,'تقرير إحصائية بحجم المبيعات'!$B$42:$L$73,4,FALSE),0)</f>
        <v>528412.94999999995</v>
      </c>
      <c r="G60" s="317">
        <f t="shared" si="6"/>
        <v>648898.12</v>
      </c>
      <c r="H60" s="318">
        <f t="shared" si="9"/>
        <v>20932.197419354838</v>
      </c>
      <c r="I60" s="326">
        <f>IFERROR(VLOOKUP(C60,'تقرير إحصائية بحجم المبيعات'!$B$42:$L$73,11,FALSE),0)</f>
        <v>552572.82999999996</v>
      </c>
      <c r="J60" s="321">
        <f t="shared" si="7"/>
        <v>96325.290000000037</v>
      </c>
      <c r="K60" s="322">
        <f>HLOOKUP(C60,'تقرير المصروفات حسب الشهر'!$D$134:$AH$248,115,FALSE)</f>
        <v>25526.090000000004</v>
      </c>
      <c r="L60" s="97"/>
      <c r="M60" s="324">
        <f>Vod.Smart!E18</f>
        <v>0</v>
      </c>
      <c r="N60" s="307">
        <f t="shared" si="8"/>
        <v>70799.200000000041</v>
      </c>
    </row>
    <row r="61" spans="1:14" ht="16.8" thickTop="1" thickBot="1">
      <c r="A61"/>
      <c r="B61" s="312">
        <v>21</v>
      </c>
      <c r="C61" s="314" t="s">
        <v>178</v>
      </c>
      <c r="D61" s="327">
        <f>IFERROR(VLOOKUP(C61,'تقرير إحصائية بحجم المبيعات'!$B$42:$L$73,2,FALSE),0)</f>
        <v>19413.430000000022</v>
      </c>
      <c r="E61" s="327">
        <f>IFERROR(VLOOKUP(C61,'تقرير إحصائية بحجم المبيعات'!$B$42:$L$73,3,FALSE),0)</f>
        <v>0</v>
      </c>
      <c r="F61" s="327">
        <f>IFERROR(VLOOKUP(C61,'تقرير إحصائية بحجم المبيعات'!$B$42:$L$73,4,FALSE),0)</f>
        <v>216465.78</v>
      </c>
      <c r="G61" s="317">
        <f t="shared" si="6"/>
        <v>235879.21000000002</v>
      </c>
      <c r="H61" s="318">
        <f t="shared" si="9"/>
        <v>7609.0067741935491</v>
      </c>
      <c r="I61" s="326">
        <f>IFERROR(VLOOKUP(C61,'تقرير إحصائية بحجم المبيعات'!$B$42:$L$73,11,FALSE),0)</f>
        <v>202246.44</v>
      </c>
      <c r="J61" s="321">
        <f t="shared" si="7"/>
        <v>33632.770000000019</v>
      </c>
      <c r="K61" s="322">
        <f>HLOOKUP(C61,'تقرير المصروفات حسب الشهر'!$D$134:$AH$248,115,FALSE)</f>
        <v>9886.8399999999983</v>
      </c>
      <c r="L61" s="97"/>
      <c r="M61" s="324">
        <f>Vod.Zahraa!E18</f>
        <v>-294.8</v>
      </c>
      <c r="N61" s="307">
        <f t="shared" si="8"/>
        <v>23451.130000000023</v>
      </c>
    </row>
    <row r="62" spans="1:14" ht="17.25" customHeight="1" thickTop="1" thickBot="1">
      <c r="A62"/>
      <c r="B62" s="312">
        <v>22</v>
      </c>
      <c r="C62" s="314" t="s">
        <v>179</v>
      </c>
      <c r="D62" s="327">
        <f>IFERROR(VLOOKUP(C62,'تقرير إحصائية بحجم المبيعات'!$B$42:$L$73,2,FALSE),0)</f>
        <v>2633.539999999979</v>
      </c>
      <c r="E62" s="327">
        <f>IFERROR(VLOOKUP(C62,'تقرير إحصائية بحجم المبيعات'!$B$42:$L$73,3,FALSE),0)</f>
        <v>0</v>
      </c>
      <c r="F62" s="327">
        <f>IFERROR(VLOOKUP(C62,'تقرير إحصائية بحجم المبيعات'!$B$42:$L$73,4,FALSE),0)</f>
        <v>426644.82</v>
      </c>
      <c r="G62" s="317">
        <f t="shared" si="6"/>
        <v>429278.36</v>
      </c>
      <c r="H62" s="318">
        <f t="shared" si="9"/>
        <v>13847.689032258064</v>
      </c>
      <c r="I62" s="326">
        <f>IFERROR(VLOOKUP(C62,'تقرير إحصائية بحجم المبيعات'!$B$42:$L$73,11,FALSE),0)</f>
        <v>366654.83</v>
      </c>
      <c r="J62" s="321">
        <f t="shared" si="7"/>
        <v>62623.52999999997</v>
      </c>
      <c r="K62" s="322">
        <f>HLOOKUP(C62,'تقرير المصروفات حسب الشهر'!$D$134:$AH$248,115,FALSE)</f>
        <v>31265.800000000003</v>
      </c>
      <c r="L62" s="97"/>
      <c r="M62" s="324">
        <f>Mo7awelat!E18</f>
        <v>0</v>
      </c>
      <c r="N62" s="307">
        <f t="shared" si="8"/>
        <v>31357.729999999967</v>
      </c>
    </row>
    <row r="63" spans="1:14" ht="16.8" thickTop="1" thickBot="1">
      <c r="A63"/>
      <c r="B63" s="312">
        <v>23</v>
      </c>
      <c r="C63" s="314" t="s">
        <v>181</v>
      </c>
      <c r="D63" s="327">
        <f>IFERROR(VLOOKUP(C63,'تقرير إحصائية بحجم المبيعات'!$B$42:$L$73,2,FALSE),0)</f>
        <v>12631.849999999977</v>
      </c>
      <c r="E63" s="327">
        <f>IFERROR(VLOOKUP(C63,'تقرير إحصائية بحجم المبيعات'!$B$42:$L$73,3,FALSE),0)</f>
        <v>0</v>
      </c>
      <c r="F63" s="327">
        <f>IFERROR(VLOOKUP(C63,'تقرير إحصائية بحجم المبيعات'!$B$42:$L$73,4,FALSE),0)</f>
        <v>291623.01</v>
      </c>
      <c r="G63" s="317">
        <f t="shared" si="6"/>
        <v>304254.86</v>
      </c>
      <c r="H63" s="318">
        <f t="shared" si="9"/>
        <v>9814.6729032258063</v>
      </c>
      <c r="I63" s="326">
        <f>IFERROR(VLOOKUP(C63,'تقرير إحصائية بحجم المبيعات'!$B$42:$L$73,11,FALSE),0)</f>
        <v>265746.45</v>
      </c>
      <c r="J63" s="321">
        <f t="shared" si="7"/>
        <v>38508.409999999974</v>
      </c>
      <c r="K63" s="322">
        <f>HLOOKUP(C63,'تقرير المصروفات حسب الشهر'!$D$134:$AH$248,115,FALSE)</f>
        <v>16778.53</v>
      </c>
      <c r="L63" s="97"/>
      <c r="M63" s="324">
        <f>Electric!E18</f>
        <v>0</v>
      </c>
      <c r="N63" s="307">
        <f t="shared" si="8"/>
        <v>21729.879999999976</v>
      </c>
    </row>
    <row r="64" spans="1:14" ht="16.8" thickTop="1" thickBot="1">
      <c r="A64"/>
      <c r="B64" s="312">
        <v>24</v>
      </c>
      <c r="C64" s="314" t="s">
        <v>182</v>
      </c>
      <c r="D64" s="327">
        <f>IFERROR(VLOOKUP(C64,'تقرير إحصائية بحجم المبيعات'!$B$42:$L$73,2,FALSE),0)</f>
        <v>42099.170000000013</v>
      </c>
      <c r="E64" s="327">
        <f>IFERROR(VLOOKUP(C64,'تقرير إحصائية بحجم المبيعات'!$B$42:$L$73,3,FALSE),0)</f>
        <v>0</v>
      </c>
      <c r="F64" s="327">
        <f>IFERROR(VLOOKUP(C64,'تقرير إحصائية بحجم المبيعات'!$B$42:$L$73,4,FALSE),0)</f>
        <v>113316.25</v>
      </c>
      <c r="G64" s="317">
        <f t="shared" si="6"/>
        <v>155415.42000000001</v>
      </c>
      <c r="H64" s="318">
        <f t="shared" si="9"/>
        <v>5013.4006451612904</v>
      </c>
      <c r="I64" s="326">
        <f>IFERROR(VLOOKUP(C64,'تقرير إحصائية بحجم المبيعات'!$B$42:$L$73,11,FALSE),0)</f>
        <v>133696.04999999999</v>
      </c>
      <c r="J64" s="321">
        <f t="shared" si="7"/>
        <v>21719.370000000024</v>
      </c>
      <c r="K64" s="322">
        <f>HLOOKUP(C64,'تقرير المصروفات حسب الشهر'!$D$134:$AH$248,115,FALSE)</f>
        <v>12843.55</v>
      </c>
      <c r="L64" s="97"/>
      <c r="M64" s="324">
        <f>'M.C.V'!E18</f>
        <v>0</v>
      </c>
      <c r="N64" s="307">
        <f t="shared" si="8"/>
        <v>8875.8200000000252</v>
      </c>
    </row>
    <row r="65" spans="1:15" ht="16.8" thickTop="1" thickBot="1">
      <c r="A65"/>
      <c r="B65" s="312">
        <v>25</v>
      </c>
      <c r="C65" s="314" t="s">
        <v>187</v>
      </c>
      <c r="D65" s="327">
        <f>IFERROR(VLOOKUP(C65,'تقرير إحصائية بحجم المبيعات'!$B$42:$L$73,2,FALSE),0)</f>
        <v>73260.149999999994</v>
      </c>
      <c r="E65" s="327">
        <f>IFERROR(VLOOKUP(C65,'تقرير إحصائية بحجم المبيعات'!$B$42:$L$73,3,FALSE),0)</f>
        <v>0</v>
      </c>
      <c r="F65" s="327">
        <f>IFERROR(VLOOKUP(C65,'تقرير إحصائية بحجم المبيعات'!$B$42:$L$73,4,FALSE),0)</f>
        <v>199666.33</v>
      </c>
      <c r="G65" s="317">
        <f t="shared" si="6"/>
        <v>272926.48</v>
      </c>
      <c r="H65" s="318">
        <f t="shared" si="9"/>
        <v>8804.08</v>
      </c>
      <c r="I65" s="326">
        <f>IFERROR(VLOOKUP(C65,'تقرير إحصائية بحجم المبيعات'!$B$42:$L$73,11,FALSE),0)</f>
        <v>228616.11</v>
      </c>
      <c r="J65" s="321">
        <f t="shared" si="7"/>
        <v>44310.369999999995</v>
      </c>
      <c r="K65" s="322">
        <f>HLOOKUP(C65,'تقرير المصروفات حسب الشهر'!$D$134:$AH$248,115,FALSE)</f>
        <v>21840.510000000002</v>
      </c>
      <c r="L65" s="97"/>
      <c r="M65" s="324">
        <f>Egyplast!E18</f>
        <v>0</v>
      </c>
      <c r="N65" s="307">
        <f t="shared" si="8"/>
        <v>22469.859999999993</v>
      </c>
    </row>
    <row r="66" spans="1:15" ht="16.8" thickTop="1" thickBot="1">
      <c r="A66"/>
      <c r="B66" s="312">
        <v>26</v>
      </c>
      <c r="C66" s="314" t="s">
        <v>240</v>
      </c>
      <c r="D66" s="327">
        <f>IFERROR(VLOOKUP(C66,'تقرير إحصائية بحجم المبيعات'!$B$42:$L$73,2,FALSE),0)</f>
        <v>142412.97000000009</v>
      </c>
      <c r="E66" s="327">
        <f>IFERROR(VLOOKUP(C66,'تقرير إحصائية بحجم المبيعات'!$B$42:$L$73,3,FALSE),0)</f>
        <v>0</v>
      </c>
      <c r="F66" s="327">
        <f>IFERROR(VLOOKUP(C66,'تقرير إحصائية بحجم المبيعات'!$B$42:$L$73,4,FALSE),0)</f>
        <v>441261.86</v>
      </c>
      <c r="G66" s="317">
        <f t="shared" si="6"/>
        <v>583674.83000000007</v>
      </c>
      <c r="H66" s="318"/>
      <c r="I66" s="326">
        <f>IFERROR(VLOOKUP(C66,'تقرير إحصائية بحجم المبيعات'!$B$42:$L$73,11,FALSE),0)</f>
        <v>504597.07</v>
      </c>
      <c r="J66" s="321">
        <f t="shared" si="7"/>
        <v>79077.760000000068</v>
      </c>
      <c r="K66" s="322">
        <f>HLOOKUP(C66,'تقرير المصروفات حسب الشهر'!$D$134:$AH$248,115,FALSE)</f>
        <v>25807.400000000005</v>
      </c>
      <c r="L66" s="97"/>
      <c r="M66" s="324">
        <f>CFC!E18</f>
        <v>0</v>
      </c>
      <c r="N66" s="307">
        <f t="shared" si="8"/>
        <v>53270.360000000059</v>
      </c>
    </row>
    <row r="67" spans="1:15" ht="16.8" thickTop="1" thickBot="1">
      <c r="A67"/>
      <c r="B67" s="312">
        <v>27</v>
      </c>
      <c r="C67" s="314" t="s">
        <v>245</v>
      </c>
      <c r="D67" s="327">
        <f>IFERROR(VLOOKUP(C67,'تقرير إحصائية بحجم المبيعات'!$B$42:$L$73,2,FALSE),0)</f>
        <v>0</v>
      </c>
      <c r="E67" s="327">
        <f>IFERROR(VLOOKUP(C67,'تقرير إحصائية بحجم المبيعات'!$B$42:$L$73,3,FALSE),0)</f>
        <v>0</v>
      </c>
      <c r="F67" s="327">
        <f>IFERROR(VLOOKUP(C67,'تقرير إحصائية بحجم المبيعات'!$B$42:$L$73,4,FALSE),0)</f>
        <v>0</v>
      </c>
      <c r="G67" s="317">
        <f t="shared" si="6"/>
        <v>0</v>
      </c>
      <c r="H67" s="318"/>
      <c r="I67" s="326">
        <f>IFERROR(VLOOKUP(C67,'تقرير إحصائية بحجم المبيعات'!$B$42:$L$73,11,FALSE),0)</f>
        <v>0</v>
      </c>
      <c r="J67" s="321">
        <f t="shared" si="7"/>
        <v>0</v>
      </c>
      <c r="K67" s="322">
        <f>HLOOKUP(C67,'تقرير المصروفات حسب الشهر'!$D$134:$AH$248,115,FALSE)</f>
        <v>0</v>
      </c>
      <c r="L67" s="97"/>
      <c r="M67" s="324">
        <f>North.Coast!E18</f>
        <v>0</v>
      </c>
      <c r="N67" s="307">
        <f t="shared" si="8"/>
        <v>0</v>
      </c>
    </row>
    <row r="68" spans="1:15" ht="16.8" thickTop="1" thickBot="1">
      <c r="A68"/>
      <c r="B68" s="312">
        <v>28</v>
      </c>
      <c r="C68" s="314" t="s">
        <v>357</v>
      </c>
      <c r="D68" s="327">
        <f>IFERROR(VLOOKUP(C68,'تقرير إحصائية بحجم المبيعات'!$B$42:$L$73,2,FALSE),0)</f>
        <v>1825580.88</v>
      </c>
      <c r="E68" s="327">
        <f>IFERROR(VLOOKUP(C68,'تقرير إحصائية بحجم المبيعات'!$B$42:$L$73,3,FALSE),0)</f>
        <v>48357.09</v>
      </c>
      <c r="F68" s="327">
        <f>IFERROR(VLOOKUP(C68,'تقرير إحصائية بحجم المبيعات'!$B$42:$L$73,4,FALSE),0)</f>
        <v>98172.28</v>
      </c>
      <c r="G68" s="317">
        <f t="shared" si="6"/>
        <v>1972110.25</v>
      </c>
      <c r="H68" s="318"/>
      <c r="I68" s="326">
        <f>IFERROR(VLOOKUP(C68,'تقرير إحصائية بحجم المبيعات'!$B$42:$L$73,11,FALSE),0)</f>
        <v>1515775.01</v>
      </c>
      <c r="J68" s="321">
        <f t="shared" si="7"/>
        <v>456335.24</v>
      </c>
      <c r="K68" s="322">
        <f>HLOOKUP(C68,'تقرير المصروفات حسب الشهر'!$D$134:$AH$248,115,FALSE)</f>
        <v>536175.47</v>
      </c>
      <c r="L68" s="97"/>
      <c r="M68" s="324">
        <f>Rehab!E18</f>
        <v>0</v>
      </c>
      <c r="N68" s="307">
        <f t="shared" si="8"/>
        <v>-79840.229999999981</v>
      </c>
    </row>
    <row r="69" spans="1:15" ht="16.8" thickTop="1" thickBot="1">
      <c r="A69"/>
      <c r="B69" s="312">
        <v>29</v>
      </c>
      <c r="C69" s="314" t="s">
        <v>362</v>
      </c>
      <c r="D69" s="327">
        <f>IFERROR(VLOOKUP(C69,'تقرير إحصائية بحجم المبيعات'!$B$42:$L$73,2,FALSE),0)</f>
        <v>37936.899999999965</v>
      </c>
      <c r="E69" s="327">
        <f>IFERROR(VLOOKUP(C69,'تقرير إحصائية بحجم المبيعات'!$B$42:$L$73,3,FALSE),0)</f>
        <v>0</v>
      </c>
      <c r="F69" s="327">
        <f>IFERROR(VLOOKUP(C69,'تقرير إحصائية بحجم المبيعات'!$B$42:$L$73,4,FALSE),0)</f>
        <v>358777.7</v>
      </c>
      <c r="G69" s="317">
        <f t="shared" si="6"/>
        <v>396714.6</v>
      </c>
      <c r="H69" s="318"/>
      <c r="I69" s="326">
        <f>IFERROR(VLOOKUP(C69,'تقرير إحصائية بحجم المبيعات'!$B$42:$L$73,11,FALSE),0)</f>
        <v>338948.78</v>
      </c>
      <c r="J69" s="321">
        <f t="shared" si="7"/>
        <v>57765.819999999949</v>
      </c>
      <c r="K69" s="322">
        <f>HLOOKUP(C69,'تقرير المصروفات حسب الشهر'!$D$134:$AH$248,115,FALSE)</f>
        <v>21512</v>
      </c>
      <c r="L69" s="97"/>
      <c r="M69" s="324">
        <f>'HSBC MAADI'!E18</f>
        <v>0</v>
      </c>
      <c r="N69" s="307">
        <f t="shared" si="8"/>
        <v>36253.819999999949</v>
      </c>
    </row>
    <row r="70" spans="1:15" ht="16.8" thickTop="1" thickBot="1">
      <c r="A70"/>
      <c r="B70" s="312">
        <v>30</v>
      </c>
      <c r="C70" s="314" t="s">
        <v>361</v>
      </c>
      <c r="D70" s="327">
        <f>IFERROR(VLOOKUP(C70,'تقرير إحصائية بحجم المبيعات'!$B$42:$L$73,2,FALSE),0)</f>
        <v>50249.06</v>
      </c>
      <c r="E70" s="327">
        <f>IFERROR(VLOOKUP(C70,'تقرير إحصائية بحجم المبيعات'!$B$42:$L$73,3,FALSE),0)</f>
        <v>0</v>
      </c>
      <c r="F70" s="327">
        <f>IFERROR(VLOOKUP(C70,'تقرير إحصائية بحجم المبيعات'!$B$42:$L$73,4,FALSE),0)</f>
        <v>372076.59</v>
      </c>
      <c r="G70" s="317">
        <f t="shared" si="6"/>
        <v>422325.65</v>
      </c>
      <c r="H70" s="318"/>
      <c r="I70" s="326">
        <f>IFERROR(VLOOKUP(C70,'تقرير إحصائية بحجم المبيعات'!$B$42:$L$73,11,FALSE),0)</f>
        <v>366164.08</v>
      </c>
      <c r="J70" s="321">
        <f t="shared" si="7"/>
        <v>56161.570000000007</v>
      </c>
      <c r="K70" s="322">
        <f>HLOOKUP(C70,'تقرير المصروفات حسب الشهر'!$D$134:$AH$248,115,FALSE)</f>
        <v>30612.43</v>
      </c>
      <c r="L70" s="97"/>
      <c r="M70" s="324">
        <f>'HSBC SMART'!E18</f>
        <v>262.02300000000002</v>
      </c>
      <c r="N70" s="307">
        <f t="shared" si="8"/>
        <v>25811.163000000008</v>
      </c>
    </row>
    <row r="71" spans="1:15" ht="16.8" thickTop="1" thickBot="1">
      <c r="A71"/>
      <c r="B71" s="312">
        <v>31</v>
      </c>
      <c r="C71" s="314" t="s">
        <v>234</v>
      </c>
      <c r="D71" s="327">
        <f>IFERROR(VLOOKUP(C71,'تقرير إحصائية بحجم المبيعات'!$B$42:$L$73,2,FALSE),0)</f>
        <v>0</v>
      </c>
      <c r="E71" s="327">
        <f>IFERROR(VLOOKUP(C71,'تقرير إحصائية بحجم المبيعات'!$B$42:$L$73,3,FALSE),0)</f>
        <v>0</v>
      </c>
      <c r="F71" s="327">
        <f>IFERROR(VLOOKUP(C71,'تقرير إحصائية بحجم المبيعات'!$B$42:$L$73,4,FALSE),0)</f>
        <v>0</v>
      </c>
      <c r="G71" s="317">
        <f t="shared" si="6"/>
        <v>0</v>
      </c>
      <c r="H71" s="318"/>
      <c r="I71" s="326">
        <f>IFERROR(VLOOKUP(C71,'تقرير إحصائية بحجم المبيعات'!$B$42:$L$73,11,FALSE),0)</f>
        <v>0</v>
      </c>
      <c r="J71" s="321">
        <f t="shared" si="7"/>
        <v>0</v>
      </c>
      <c r="K71" s="322">
        <f>HLOOKUP(C71,'تقرير المصروفات حسب الشهر'!$D$134:$AH$248,115,FALSE)</f>
        <v>0</v>
      </c>
      <c r="L71" s="97"/>
      <c r="M71" s="324">
        <f>Vois!E18</f>
        <v>0</v>
      </c>
      <c r="N71" s="307">
        <f t="shared" si="8"/>
        <v>0</v>
      </c>
    </row>
    <row r="72" spans="1:15" ht="24" customHeight="1" thickBot="1">
      <c r="A72"/>
      <c r="B72" s="312"/>
      <c r="C72" s="312" t="s">
        <v>18</v>
      </c>
      <c r="D72" s="327">
        <f>SUM(D41:D71)</f>
        <v>19402915.410000004</v>
      </c>
      <c r="E72" s="327">
        <f t="shared" ref="E72:M72" si="10">SUM(E41:E71)</f>
        <v>3135622.8199999994</v>
      </c>
      <c r="F72" s="327">
        <f t="shared" si="10"/>
        <v>17404901.929999996</v>
      </c>
      <c r="G72" s="327">
        <f t="shared" si="10"/>
        <v>39943440.160000004</v>
      </c>
      <c r="H72" s="327">
        <f t="shared" si="10"/>
        <v>1179632.736451613</v>
      </c>
      <c r="I72" s="327">
        <f t="shared" si="10"/>
        <v>32572061.495000001</v>
      </c>
      <c r="J72" s="327">
        <f t="shared" si="10"/>
        <v>7371378.6650000038</v>
      </c>
      <c r="K72" s="322">
        <f>SUM(K41:K71)</f>
        <v>7814841.0099999988</v>
      </c>
      <c r="L72" s="327">
        <f t="shared" si="10"/>
        <v>0</v>
      </c>
      <c r="M72" s="327">
        <f t="shared" si="10"/>
        <v>830716.73299999989</v>
      </c>
      <c r="N72" s="327">
        <f>SUM(N41:N71)</f>
        <v>387254.38800000335</v>
      </c>
      <c r="O72" s="445"/>
    </row>
    <row r="73" spans="1:15" ht="16.2" thickBot="1">
      <c r="A73"/>
      <c r="B73"/>
      <c r="C73"/>
      <c r="D73"/>
      <c r="E73"/>
      <c r="F73"/>
      <c r="G73"/>
      <c r="H73"/>
      <c r="I73"/>
      <c r="J73"/>
      <c r="K73" s="322"/>
      <c r="L73"/>
      <c r="M73"/>
      <c r="N73" s="17"/>
    </row>
    <row r="74" spans="1:15" ht="13.8" thickBot="1"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94"/>
    </row>
    <row r="75" spans="1:15" ht="30.6" thickBot="1">
      <c r="B75" s="649" t="s">
        <v>375</v>
      </c>
      <c r="C75" s="650"/>
      <c r="D75" s="650"/>
      <c r="E75" s="650"/>
      <c r="F75" s="650"/>
      <c r="G75" s="650"/>
      <c r="H75" s="650"/>
      <c r="I75" s="650"/>
      <c r="J75" s="650"/>
      <c r="K75" s="650"/>
      <c r="L75" s="650"/>
      <c r="M75" s="650"/>
      <c r="N75" s="651"/>
    </row>
    <row r="76" spans="1:15" ht="16.8" thickTop="1" thickBot="1">
      <c r="A76"/>
      <c r="B76" s="308" t="s">
        <v>39</v>
      </c>
      <c r="C76" s="308" t="s">
        <v>34</v>
      </c>
      <c r="D76" s="309" t="s">
        <v>20</v>
      </c>
      <c r="E76" s="310" t="s">
        <v>21</v>
      </c>
      <c r="F76" s="310" t="s">
        <v>22</v>
      </c>
      <c r="G76" s="308" t="s">
        <v>19</v>
      </c>
      <c r="H76" s="308" t="s">
        <v>12</v>
      </c>
      <c r="I76" s="308" t="s">
        <v>13</v>
      </c>
      <c r="J76" s="308" t="s">
        <v>14</v>
      </c>
      <c r="K76" s="308" t="s">
        <v>15</v>
      </c>
      <c r="L76" s="308" t="s">
        <v>32</v>
      </c>
      <c r="M76" s="311" t="s">
        <v>16</v>
      </c>
      <c r="N76" s="306" t="s">
        <v>17</v>
      </c>
    </row>
    <row r="77" spans="1:15" ht="16.8" thickTop="1" thickBot="1">
      <c r="A77"/>
      <c r="B77" s="312">
        <v>1</v>
      </c>
      <c r="C77" s="313" t="s">
        <v>184</v>
      </c>
      <c r="D77" s="327">
        <f>IFERROR(VLOOKUP(C77,'تقرير إحصائية بحجم المبيعات'!$B$78:$E$103,2,FALSE),0)</f>
        <v>0</v>
      </c>
      <c r="E77" s="327">
        <f>IFERROR(VLOOKUP(C77,'تقرير إحصائية بحجم المبيعات'!$B$78:$E$103,3,FALSE),0)</f>
        <v>0</v>
      </c>
      <c r="F77" s="327">
        <f>IFERROR(VLOOKUP(C77,'تقرير إحصائية بحجم المبيعات'!$B$78:$E$103,4,FALSE),0)</f>
        <v>0</v>
      </c>
      <c r="G77" s="317">
        <f>+D77+E77+F77</f>
        <v>0</v>
      </c>
      <c r="H77" s="318"/>
      <c r="I77" s="326">
        <f>IFERROR(VLOOKUP(C77,'تقرير إحصائية بحجم المبيعات'!$B$78:$L$103,11,FALSE),0)</f>
        <v>0</v>
      </c>
      <c r="J77" s="321">
        <f>+G77-I77</f>
        <v>0</v>
      </c>
      <c r="K77" s="322">
        <f>IFERROR(HLOOKUP(C77,'تقرير المصروفات حسب الشهر'!$D$260:$AI$374,115,FALSE),0)</f>
        <v>2233776.5099999998</v>
      </c>
      <c r="L77" s="96"/>
      <c r="M77" s="323">
        <f>[5]HQ!F18</f>
        <v>463914.75999999983</v>
      </c>
      <c r="N77" s="307">
        <f>J77-K77-L77+M77</f>
        <v>-1769861.75</v>
      </c>
    </row>
    <row r="78" spans="1:15" ht="17.25" customHeight="1" thickTop="1" thickBot="1">
      <c r="A78"/>
      <c r="B78" s="312">
        <v>2</v>
      </c>
      <c r="C78" s="314" t="s">
        <v>36</v>
      </c>
      <c r="D78" s="327">
        <f>IFERROR(VLOOKUP(C78,'تقرير إحصائية بحجم المبيعات'!$B$78:$E$103,2,FALSE),0)</f>
        <v>3363349.7699999996</v>
      </c>
      <c r="E78" s="327">
        <f>IFERROR(VLOOKUP(C78,'تقرير إحصائية بحجم المبيعات'!$B$78:$E$103,3,FALSE),0)</f>
        <v>531594.93000000005</v>
      </c>
      <c r="F78" s="327">
        <f>IFERROR(VLOOKUP(C78,'تقرير إحصائية بحجم المبيعات'!$B$78:$E$103,4,FALSE),0)</f>
        <v>1263717.51</v>
      </c>
      <c r="G78" s="319">
        <f>+D78+E78+F78</f>
        <v>5158662.21</v>
      </c>
      <c r="H78" s="318">
        <f>+G78/31</f>
        <v>166408.45838709676</v>
      </c>
      <c r="I78" s="326">
        <f>IFERROR(VLOOKUP(C78,'تقرير إحصائية بحجم المبيعات'!$B$78:$L$103,11,FALSE),0)</f>
        <v>4146557.42</v>
      </c>
      <c r="J78" s="321">
        <f>+G78-I78</f>
        <v>1012104.79</v>
      </c>
      <c r="K78" s="322">
        <f>IFERROR(HLOOKUP(C78,'تقرير المصروفات حسب الشهر'!$D$260:$AI$374,115,FALSE),0)</f>
        <v>756739.52</v>
      </c>
      <c r="L78" s="97"/>
      <c r="M78" s="324">
        <f>[5]Aguza!F18</f>
        <v>-0.21</v>
      </c>
      <c r="N78" s="307">
        <f t="shared" ref="N78:N107" si="11">J78-K78-L78+M78</f>
        <v>255365.06000000003</v>
      </c>
    </row>
    <row r="79" spans="1:15" ht="16.8" thickTop="1" thickBot="1">
      <c r="A79"/>
      <c r="B79" s="312">
        <v>3</v>
      </c>
      <c r="C79" s="314" t="s">
        <v>9</v>
      </c>
      <c r="D79" s="327">
        <f>IFERROR(VLOOKUP(C79,'تقرير إحصائية بحجم المبيعات'!$B$78:$E$103,2,FALSE),0)</f>
        <v>2517859.1300000004</v>
      </c>
      <c r="E79" s="327">
        <f>IFERROR(VLOOKUP(C79,'تقرير إحصائية بحجم المبيعات'!$B$78:$E$103,3,FALSE),0)</f>
        <v>1324102.6100000001</v>
      </c>
      <c r="F79" s="327">
        <f>IFERROR(VLOOKUP(C79,'تقرير إحصائية بحجم المبيعات'!$B$78:$E$103,4,FALSE),0)</f>
        <v>392914.6</v>
      </c>
      <c r="G79" s="319">
        <f>+D79+E79+F79</f>
        <v>4234876.34</v>
      </c>
      <c r="H79" s="318">
        <f>+G79/31</f>
        <v>136608.91419354838</v>
      </c>
      <c r="I79" s="326">
        <f>IFERROR(VLOOKUP(C79,'تقرير إحصائية بحجم المبيعات'!$B$78:$L$103,11,FALSE),0)</f>
        <v>3356743.41</v>
      </c>
      <c r="J79" s="321">
        <f t="shared" ref="J79:J102" si="12">+G79-I79</f>
        <v>878132.9299999997</v>
      </c>
      <c r="K79" s="322">
        <f>IFERROR(HLOOKUP(C79,'تقرير المصروفات حسب الشهر'!$D$260:$AI$374,115,FALSE),0)</f>
        <v>650128.34000000008</v>
      </c>
      <c r="L79" s="97"/>
      <c r="M79" s="324">
        <f>[5]October!F18</f>
        <v>2.19</v>
      </c>
      <c r="N79" s="307">
        <f t="shared" si="11"/>
        <v>228006.77999999962</v>
      </c>
    </row>
    <row r="80" spans="1:15" ht="16.8" thickTop="1" thickBot="1">
      <c r="A80"/>
      <c r="B80" s="312">
        <v>4</v>
      </c>
      <c r="C80" s="314" t="s">
        <v>25</v>
      </c>
      <c r="D80" s="327">
        <f>IFERROR(VLOOKUP(C80,'تقرير إحصائية بحجم المبيعات'!$B$78:$E$103,2,FALSE),0)</f>
        <v>979038.99999999953</v>
      </c>
      <c r="E80" s="327">
        <f>IFERROR(VLOOKUP(C80,'تقرير إحصائية بحجم المبيعات'!$B$78:$E$103,3,FALSE),0)</f>
        <v>402991.56</v>
      </c>
      <c r="F80" s="327">
        <f>IFERROR(VLOOKUP(C80,'تقرير إحصائية بحجم المبيعات'!$B$78:$E$103,4,FALSE),0)</f>
        <v>2306132.66</v>
      </c>
      <c r="G80" s="319">
        <f>+D80+E80+F80</f>
        <v>3688163.2199999997</v>
      </c>
      <c r="H80" s="318">
        <f t="shared" ref="H80:H107" si="13">+G80/31</f>
        <v>118973.00709677419</v>
      </c>
      <c r="I80" s="326">
        <f>IFERROR(VLOOKUP(C80,'تقرير إحصائية بحجم المبيعات'!$B$78:$L$103,11,FALSE),0)</f>
        <v>3060625.54</v>
      </c>
      <c r="J80" s="321">
        <f t="shared" si="12"/>
        <v>627537.6799999997</v>
      </c>
      <c r="K80" s="322">
        <f>IFERROR(HLOOKUP(C80,'تقرير المصروفات حسب الشهر'!$D$260:$AI$374,115,FALSE),0)</f>
        <v>488095.27999999997</v>
      </c>
      <c r="L80" s="97"/>
      <c r="M80" s="324">
        <f>[5]Batal!F18</f>
        <v>43626.530000000006</v>
      </c>
      <c r="N80" s="307">
        <f t="shared" si="11"/>
        <v>183068.92999999973</v>
      </c>
    </row>
    <row r="81" spans="1:14" ht="16.8" thickTop="1" thickBot="1">
      <c r="A81"/>
      <c r="B81" s="312">
        <v>5</v>
      </c>
      <c r="C81" s="314" t="s">
        <v>160</v>
      </c>
      <c r="D81" s="327">
        <f>IFERROR(VLOOKUP(C81,'تقرير إحصائية بحجم المبيعات'!$B$78:$E$103,2,FALSE),0)</f>
        <v>3477752.72</v>
      </c>
      <c r="E81" s="327">
        <f>IFERROR(VLOOKUP(C81,'تقرير إحصائية بحجم المبيعات'!$B$78:$E$103,3,FALSE),0)</f>
        <v>25190.37</v>
      </c>
      <c r="F81" s="327">
        <f>IFERROR(VLOOKUP(C81,'تقرير إحصائية بحجم المبيعات'!$B$78:$E$103,4,FALSE),0)</f>
        <v>3501516.52</v>
      </c>
      <c r="G81" s="319">
        <f t="shared" ref="G81:G102" si="14">+D81+E81+F81</f>
        <v>7004459.6100000003</v>
      </c>
      <c r="H81" s="318">
        <f t="shared" si="13"/>
        <v>225950.31</v>
      </c>
      <c r="I81" s="326">
        <f>IFERROR(VLOOKUP(C81,'تقرير إحصائية بحجم المبيعات'!$B$78:$L$103,11,FALSE),0)</f>
        <v>5757854.1900000004</v>
      </c>
      <c r="J81" s="321">
        <f t="shared" si="12"/>
        <v>1246605.42</v>
      </c>
      <c r="K81" s="322">
        <f>IFERROR(HLOOKUP(C81,'تقرير المصروفات حسب الشهر'!$D$260:$AI$374,115,FALSE),0)</f>
        <v>768276.94000000006</v>
      </c>
      <c r="L81" s="97"/>
      <c r="M81" s="324">
        <f>'[5]Nasr City'!F18</f>
        <v>0.01</v>
      </c>
      <c r="N81" s="307">
        <f t="shared" si="11"/>
        <v>478328.48999999987</v>
      </c>
    </row>
    <row r="82" spans="1:14" ht="16.8" thickTop="1" thickBot="1">
      <c r="A82"/>
      <c r="B82" s="312">
        <v>6</v>
      </c>
      <c r="C82" s="314" t="s">
        <v>139</v>
      </c>
      <c r="D82" s="327">
        <f>IFERROR(VLOOKUP(C82,'تقرير إحصائية بحجم المبيعات'!$B$78:$E$103,2,FALSE),0)</f>
        <v>29421.010000000009</v>
      </c>
      <c r="E82" s="327">
        <f>IFERROR(VLOOKUP(C82,'تقرير إحصائية بحجم المبيعات'!$B$78:$E$103,3,FALSE),0)</f>
        <v>0</v>
      </c>
      <c r="F82" s="327">
        <f>IFERROR(VLOOKUP(C82,'تقرير إحصائية بحجم المبيعات'!$B$78:$E$103,4,FALSE),0)</f>
        <v>1766152.64</v>
      </c>
      <c r="G82" s="319">
        <f t="shared" si="14"/>
        <v>1795573.65</v>
      </c>
      <c r="H82" s="318">
        <f t="shared" si="13"/>
        <v>57921.730645161289</v>
      </c>
      <c r="I82" s="326">
        <f>IFERROR(VLOOKUP(C82,'تقرير إحصائية بحجم المبيعات'!$B$78:$L$103,11,FALSE),0)</f>
        <v>1550681.32</v>
      </c>
      <c r="J82" s="321">
        <f t="shared" si="12"/>
        <v>244892.32999999984</v>
      </c>
      <c r="K82" s="322">
        <f>IFERROR(HLOOKUP(C82,'تقرير المصروفات حسب الشهر'!$D$260:$AI$374,115,FALSE),0)</f>
        <v>60003.259999999995</v>
      </c>
      <c r="L82" s="97"/>
      <c r="M82" s="324">
        <f>[5]Sweedy!F18</f>
        <v>170152.52</v>
      </c>
      <c r="N82" s="307">
        <f t="shared" si="11"/>
        <v>355041.58999999985</v>
      </c>
    </row>
    <row r="83" spans="1:14" ht="16.8" thickTop="1" thickBot="1">
      <c r="A83"/>
      <c r="B83" s="312">
        <v>7</v>
      </c>
      <c r="C83" s="314" t="s">
        <v>37</v>
      </c>
      <c r="D83" s="327">
        <f>IFERROR(VLOOKUP(C83,'تقرير إحصائية بحجم المبيعات'!$B$78:$E$103,2,FALSE),0)</f>
        <v>42975.229999999996</v>
      </c>
      <c r="E83" s="327">
        <f>IFERROR(VLOOKUP(C83,'تقرير إحصائية بحجم المبيعات'!$B$78:$E$103,3,FALSE),0)</f>
        <v>0</v>
      </c>
      <c r="F83" s="327">
        <f>IFERROR(VLOOKUP(C83,'تقرير إحصائية بحجم المبيعات'!$B$78:$E$103,4,FALSE),0)</f>
        <v>108918.48</v>
      </c>
      <c r="G83" s="319">
        <f t="shared" si="14"/>
        <v>151893.71</v>
      </c>
      <c r="H83" s="318">
        <f t="shared" si="13"/>
        <v>4899.7970967741931</v>
      </c>
      <c r="I83" s="326">
        <f>IFERROR(VLOOKUP(C83,'تقرير إحصائية بحجم المبيعات'!$B$78:$L$103,11,FALSE),0)</f>
        <v>132498.17000000001</v>
      </c>
      <c r="J83" s="321">
        <f t="shared" si="12"/>
        <v>19395.539999999979</v>
      </c>
      <c r="K83" s="322">
        <f>IFERROR(HLOOKUP(C83,'تقرير المصروفات حسب الشهر'!$D$260:$AI$374,115,FALSE),0)</f>
        <v>17558.499999999996</v>
      </c>
      <c r="L83" s="97"/>
      <c r="M83" s="324">
        <f>[5]Raya!F18</f>
        <v>439.60000000000036</v>
      </c>
      <c r="N83" s="307">
        <f t="shared" si="11"/>
        <v>2276.639999999983</v>
      </c>
    </row>
    <row r="84" spans="1:14" ht="16.8" thickTop="1" thickBot="1">
      <c r="A84"/>
      <c r="B84" s="312">
        <v>8</v>
      </c>
      <c r="C84" s="314" t="s">
        <v>133</v>
      </c>
      <c r="D84" s="327">
        <f>IFERROR(VLOOKUP(C84,'تقرير إحصائية بحجم المبيعات'!$B$78:$E$103,2,FALSE),0)</f>
        <v>11908.510000000009</v>
      </c>
      <c r="E84" s="327">
        <f>IFERROR(VLOOKUP(C84,'تقرير إحصائية بحجم المبيعات'!$B$78:$E$103,3,FALSE),0)</f>
        <v>0</v>
      </c>
      <c r="F84" s="327">
        <f>IFERROR(VLOOKUP(C84,'تقرير إحصائية بحجم المبيعات'!$B$78:$E$103,4,FALSE),0)</f>
        <v>208239.47</v>
      </c>
      <c r="G84" s="319">
        <f t="shared" si="14"/>
        <v>220147.98</v>
      </c>
      <c r="H84" s="318">
        <f t="shared" si="13"/>
        <v>7101.5477419354838</v>
      </c>
      <c r="I84" s="326">
        <f>IFERROR(VLOOKUP(C84,'تقرير إحصائية بحجم المبيعات'!$B$78:$L$103,11,FALSE),0)</f>
        <v>189444.04</v>
      </c>
      <c r="J84" s="321">
        <f t="shared" si="12"/>
        <v>30703.940000000002</v>
      </c>
      <c r="K84" s="322">
        <f>IFERROR(HLOOKUP(C84,'تقرير المصروفات حسب الشهر'!$D$260:$AI$374,115,FALSE),0)</f>
        <v>24438.47</v>
      </c>
      <c r="L84" s="97"/>
      <c r="M84" s="324">
        <f>[5]Etisalat!F18</f>
        <v>235.26</v>
      </c>
      <c r="N84" s="307">
        <f t="shared" si="11"/>
        <v>6500.7300000000014</v>
      </c>
    </row>
    <row r="85" spans="1:14" ht="16.8" thickTop="1" thickBot="1">
      <c r="A85"/>
      <c r="B85" s="312">
        <v>9</v>
      </c>
      <c r="C85" s="314" t="s">
        <v>203</v>
      </c>
      <c r="D85" s="327">
        <f>IFERROR(VLOOKUP(C85,'تقرير إحصائية بحجم المبيعات'!$B$78:$E$103,2,FALSE),0)</f>
        <v>1203388.9999999998</v>
      </c>
      <c r="E85" s="327">
        <f>IFERROR(VLOOKUP(C85,'تقرير إحصائية بحجم المبيعات'!$B$78:$E$103,3,FALSE),0)</f>
        <v>56329.35</v>
      </c>
      <c r="F85" s="327">
        <f>IFERROR(VLOOKUP(C85,'تقرير إحصائية بحجم المبيعات'!$B$78:$E$103,4,FALSE),0)</f>
        <v>734339.46</v>
      </c>
      <c r="G85" s="319">
        <f t="shared" si="14"/>
        <v>1994057.8099999998</v>
      </c>
      <c r="H85" s="318">
        <f t="shared" si="13"/>
        <v>64324.445483870964</v>
      </c>
      <c r="I85" s="326">
        <f>IFERROR(VLOOKUP(C85,'تقرير إحصائية بحجم المبيعات'!$B$78:$L$103,11,FALSE),0)</f>
        <v>1615595.68</v>
      </c>
      <c r="J85" s="321">
        <f t="shared" si="12"/>
        <v>378462.12999999989</v>
      </c>
      <c r="K85" s="322">
        <f>IFERROR(HLOOKUP(C85,'تقرير المصروفات حسب الشهر'!$D$260:$AI$374,115,FALSE),0)</f>
        <v>313511.89</v>
      </c>
      <c r="L85" s="97"/>
      <c r="M85" s="324">
        <f>[5]Alamya!F18</f>
        <v>2</v>
      </c>
      <c r="N85" s="307">
        <f t="shared" si="11"/>
        <v>64952.239999999874</v>
      </c>
    </row>
    <row r="86" spans="1:14" ht="16.8" thickTop="1" thickBot="1">
      <c r="A86"/>
      <c r="B86" s="312">
        <v>10</v>
      </c>
      <c r="C86" s="314" t="s">
        <v>233</v>
      </c>
      <c r="D86" s="327">
        <f>IFERROR(VLOOKUP(C86,'تقرير إحصائية بحجم المبيعات'!$B$78:$E$103,2,FALSE),0)</f>
        <v>30861.130000000005</v>
      </c>
      <c r="E86" s="327">
        <f>IFERROR(VLOOKUP(C86,'تقرير إحصائية بحجم المبيعات'!$B$78:$E$103,3,FALSE),0)</f>
        <v>0</v>
      </c>
      <c r="F86" s="327">
        <f>IFERROR(VLOOKUP(C86,'تقرير إحصائية بحجم المبيعات'!$B$78:$E$103,4,FALSE),0)</f>
        <v>333930.19</v>
      </c>
      <c r="G86" s="319">
        <f t="shared" si="14"/>
        <v>364791.32</v>
      </c>
      <c r="H86" s="318">
        <f t="shared" si="13"/>
        <v>11767.461935483871</v>
      </c>
      <c r="I86" s="326">
        <f>IFERROR(VLOOKUP(C86,'تقرير إحصائية بحجم المبيعات'!$B$78:$L$103,11,FALSE),0)</f>
        <v>314272.56</v>
      </c>
      <c r="J86" s="321">
        <f t="shared" si="12"/>
        <v>50518.760000000009</v>
      </c>
      <c r="K86" s="322">
        <f>IFERROR(HLOOKUP(C86,'تقرير المصروفات حسب الشهر'!$D$260:$AI$374,115,FALSE),0)</f>
        <v>31535.989999999998</v>
      </c>
      <c r="L86" s="97"/>
      <c r="M86" s="324">
        <f>[5]Etisalat.Katamya!F18</f>
        <v>0</v>
      </c>
      <c r="N86" s="307">
        <f t="shared" si="11"/>
        <v>18982.770000000011</v>
      </c>
    </row>
    <row r="87" spans="1:14" ht="16.8" thickTop="1" thickBot="1">
      <c r="A87"/>
      <c r="B87" s="312">
        <v>11</v>
      </c>
      <c r="C87" s="314" t="s">
        <v>123</v>
      </c>
      <c r="D87" s="327">
        <f>IFERROR(VLOOKUP(C87,'تقرير إحصائية بحجم المبيعات'!$B$78:$E$103,2,FALSE),0)</f>
        <v>-943.89999999996508</v>
      </c>
      <c r="E87" s="327">
        <f>IFERROR(VLOOKUP(C87,'تقرير إحصائية بحجم المبيعات'!$B$78:$E$103,3,FALSE),0)</f>
        <v>0</v>
      </c>
      <c r="F87" s="327">
        <f>IFERROR(VLOOKUP(C87,'تقرير إحصائية بحجم المبيعات'!$B$78:$E$103,4,FALSE),0)</f>
        <v>466406.18</v>
      </c>
      <c r="G87" s="319">
        <f t="shared" si="14"/>
        <v>465462.28</v>
      </c>
      <c r="H87" s="318">
        <f t="shared" si="13"/>
        <v>15014.912258064516</v>
      </c>
      <c r="I87" s="326">
        <f>IFERROR(VLOOKUP(C87,'تقرير إحصائية بحجم المبيعات'!$B$78:$L$103,11,FALSE),0)</f>
        <v>394941.15</v>
      </c>
      <c r="J87" s="321">
        <f t="shared" si="12"/>
        <v>70521.13</v>
      </c>
      <c r="K87" s="322">
        <f>IFERROR(HLOOKUP(C87,'تقرير المصروفات حسب الشهر'!$D$260:$AI$374,115,FALSE),0)</f>
        <v>26315.769999999997</v>
      </c>
      <c r="L87" s="97"/>
      <c r="M87" s="324">
        <f>'[5]Hazzem Hassan'!F18</f>
        <v>2859.1599999999989</v>
      </c>
      <c r="N87" s="307">
        <f t="shared" si="11"/>
        <v>47064.520000000004</v>
      </c>
    </row>
    <row r="88" spans="1:14" ht="16.8" thickTop="1" thickBot="1">
      <c r="A88"/>
      <c r="B88" s="312">
        <v>12</v>
      </c>
      <c r="C88" s="314" t="s">
        <v>145</v>
      </c>
      <c r="D88" s="327">
        <f>IFERROR(VLOOKUP(C88,'تقرير إحصائية بحجم المبيعات'!$B$78:$E$103,2,FALSE),0)</f>
        <v>603524.36000000034</v>
      </c>
      <c r="E88" s="327">
        <f>IFERROR(VLOOKUP(C88,'تقرير إحصائية بحجم المبيعات'!$B$78:$E$103,3,FALSE),0)</f>
        <v>3291.98</v>
      </c>
      <c r="F88" s="327">
        <f>IFERROR(VLOOKUP(C88,'تقرير إحصائية بحجم المبيعات'!$B$78:$E$103,4,FALSE),0)</f>
        <v>1397712.88</v>
      </c>
      <c r="G88" s="319">
        <f t="shared" si="14"/>
        <v>2004529.2200000002</v>
      </c>
      <c r="H88" s="318">
        <f t="shared" si="13"/>
        <v>64662.232903225813</v>
      </c>
      <c r="I88" s="326">
        <f>IFERROR(VLOOKUP(C88,'تقرير إحصائية بحجم المبيعات'!$B$78:$L$103,11,FALSE),0)</f>
        <v>1670161.09</v>
      </c>
      <c r="J88" s="321">
        <f t="shared" si="12"/>
        <v>334368.13000000012</v>
      </c>
      <c r="K88" s="322">
        <f>IFERROR(HLOOKUP(C88,'تقرير المصروفات حسب الشهر'!$D$260:$AI$374,115,FALSE),0)</f>
        <v>285679.71000000002</v>
      </c>
      <c r="L88" s="97"/>
      <c r="M88" s="324">
        <f>[5]Sena3ia!F18</f>
        <v>-757.65999999999985</v>
      </c>
      <c r="N88" s="307">
        <f t="shared" si="11"/>
        <v>47930.760000000097</v>
      </c>
    </row>
    <row r="89" spans="1:14" ht="16.8" thickTop="1" thickBot="1">
      <c r="A89"/>
      <c r="B89" s="312">
        <v>13</v>
      </c>
      <c r="C89" s="314" t="s">
        <v>124</v>
      </c>
      <c r="D89" s="327">
        <f>IFERROR(VLOOKUP(C89,'تقرير إحصائية بحجم المبيعات'!$B$78:$E$103,2,FALSE),0)</f>
        <v>127288.46999999999</v>
      </c>
      <c r="E89" s="327">
        <f>IFERROR(VLOOKUP(C89,'تقرير إحصائية بحجم المبيعات'!$B$78:$E$103,3,FALSE),0)</f>
        <v>177.13</v>
      </c>
      <c r="F89" s="327">
        <f>IFERROR(VLOOKUP(C89,'تقرير إحصائية بحجم المبيعات'!$B$78:$E$103,4,FALSE),0)</f>
        <v>111608.33</v>
      </c>
      <c r="G89" s="319">
        <f t="shared" si="14"/>
        <v>239073.93</v>
      </c>
      <c r="H89" s="318">
        <f t="shared" si="13"/>
        <v>7712.0622580645158</v>
      </c>
      <c r="I89" s="326">
        <f>IFERROR(VLOOKUP(C89,'تقرير إحصائية بحجم المبيعات'!$B$78:$L$103,11,FALSE),0)</f>
        <v>204191.43</v>
      </c>
      <c r="J89" s="321">
        <f t="shared" si="12"/>
        <v>34882.5</v>
      </c>
      <c r="K89" s="322">
        <f>IFERROR(HLOOKUP(C89,'تقرير المصروفات حسب الشهر'!$D$260:$AI$374,115,FALSE),0)</f>
        <v>41480.06</v>
      </c>
      <c r="L89" s="98"/>
      <c r="M89" s="324">
        <f>[5]Khargia!F18</f>
        <v>0</v>
      </c>
      <c r="N89" s="307">
        <f t="shared" si="11"/>
        <v>-6597.5599999999977</v>
      </c>
    </row>
    <row r="90" spans="1:14" ht="16.8" thickTop="1" thickBot="1">
      <c r="A90"/>
      <c r="B90" s="312">
        <v>14</v>
      </c>
      <c r="C90" s="314" t="s">
        <v>169</v>
      </c>
      <c r="D90" s="327">
        <f>IFERROR(VLOOKUP(C90,'تقرير إحصائية بحجم المبيعات'!$B$78:$E$103,2,FALSE),0)</f>
        <v>2352474.88</v>
      </c>
      <c r="E90" s="327">
        <f>IFERROR(VLOOKUP(C90,'تقرير إحصائية بحجم المبيعات'!$B$78:$E$103,3,FALSE),0)</f>
        <v>5486.91</v>
      </c>
      <c r="F90" s="327">
        <f>IFERROR(VLOOKUP(C90,'تقرير إحصائية بحجم المبيعات'!$B$78:$E$103,4,FALSE),0)</f>
        <v>1149303.1200000001</v>
      </c>
      <c r="G90" s="319">
        <f t="shared" si="14"/>
        <v>3507264.91</v>
      </c>
      <c r="H90" s="318">
        <f t="shared" si="13"/>
        <v>113137.57774193549</v>
      </c>
      <c r="I90" s="326">
        <f>IFERROR(VLOOKUP(C90,'تقرير إحصائية بحجم المبيعات'!$B$78:$L$103,11,FALSE),0)</f>
        <v>2770651.91</v>
      </c>
      <c r="J90" s="321">
        <f t="shared" si="12"/>
        <v>736613</v>
      </c>
      <c r="K90" s="322">
        <f>IFERROR(HLOOKUP(C90,'تقرير المصروفات حسب الشهر'!$D$260:$AI$374,115,FALSE),0)</f>
        <v>558693.26</v>
      </c>
      <c r="L90" s="97"/>
      <c r="M90" s="324">
        <f>[5]Tagmou3!F18</f>
        <v>24.999999999995339</v>
      </c>
      <c r="N90" s="307">
        <f t="shared" si="11"/>
        <v>177944.74</v>
      </c>
    </row>
    <row r="91" spans="1:14" ht="16.8" thickTop="1" thickBot="1">
      <c r="A91"/>
      <c r="B91" s="312">
        <v>15</v>
      </c>
      <c r="C91" s="314" t="s">
        <v>243</v>
      </c>
      <c r="D91" s="327">
        <f>IFERROR(VLOOKUP(C91,'تقرير إحصائية بحجم المبيعات'!$B$78:$E$103,2,FALSE),0)</f>
        <v>1003508.3400000002</v>
      </c>
      <c r="E91" s="327">
        <f>IFERROR(VLOOKUP(C91,'تقرير إحصائية بحجم المبيعات'!$B$78:$E$103,3,FALSE),0)</f>
        <v>89832.26</v>
      </c>
      <c r="F91" s="327">
        <f>IFERROR(VLOOKUP(C91,'تقرير إحصائية بحجم المبيعات'!$B$78:$E$103,4,FALSE),0)</f>
        <v>639955.31999999995</v>
      </c>
      <c r="G91" s="319">
        <f t="shared" si="14"/>
        <v>1733295.92</v>
      </c>
      <c r="H91" s="318">
        <f t="shared" si="13"/>
        <v>55912.771612903227</v>
      </c>
      <c r="I91" s="326">
        <f>IFERROR(VLOOKUP(C91,'تقرير إحصائية بحجم المبيعات'!$B$78:$L$103,11,FALSE),0)</f>
        <v>1383631.32</v>
      </c>
      <c r="J91" s="321">
        <f t="shared" si="12"/>
        <v>349664.59999999986</v>
      </c>
      <c r="K91" s="322">
        <f>IFERROR(HLOOKUP(C91,'تقرير المصروفات حسب الشهر'!$D$260:$AI$374,115,FALSE),0)</f>
        <v>313326.64</v>
      </c>
      <c r="L91" s="97"/>
      <c r="M91" s="324">
        <f>[5]Maadi!F18</f>
        <v>13409.160000000002</v>
      </c>
      <c r="N91" s="307">
        <f t="shared" si="11"/>
        <v>49747.11999999985</v>
      </c>
    </row>
    <row r="92" spans="1:14" ht="16.8" thickTop="1" thickBot="1">
      <c r="A92"/>
      <c r="B92" s="312">
        <v>16</v>
      </c>
      <c r="C92" s="314" t="s">
        <v>175</v>
      </c>
      <c r="D92" s="327">
        <f>IFERROR(VLOOKUP(C92,'تقرير إحصائية بحجم المبيعات'!$B$78:$E$103,2,FALSE),0)</f>
        <v>2837223.81</v>
      </c>
      <c r="E92" s="327">
        <f>IFERROR(VLOOKUP(C92,'تقرير إحصائية بحجم المبيعات'!$B$78:$E$103,3,FALSE),0)</f>
        <v>829599.18</v>
      </c>
      <c r="F92" s="327">
        <f>IFERROR(VLOOKUP(C92,'تقرير إحصائية بحجم المبيعات'!$B$78:$E$103,4,FALSE),0)</f>
        <v>961807.38</v>
      </c>
      <c r="G92" s="319">
        <f t="shared" si="14"/>
        <v>4628630.37</v>
      </c>
      <c r="H92" s="318">
        <f t="shared" si="13"/>
        <v>149310.6570967742</v>
      </c>
      <c r="I92" s="326">
        <f>IFERROR(VLOOKUP(C92,'تقرير إحصائية بحجم المبيعات'!$B$78:$L$103,11,FALSE),0)</f>
        <v>3669554.91</v>
      </c>
      <c r="J92" s="321">
        <f t="shared" si="12"/>
        <v>959075.46</v>
      </c>
      <c r="K92" s="322">
        <f>IFERROR(HLOOKUP(C92,'تقرير المصروفات حسب الشهر'!$D$260:$AI$374,115,FALSE),0)</f>
        <v>744688.40999999992</v>
      </c>
      <c r="L92" s="97"/>
      <c r="M92" s="324">
        <f>[5]Zaid!F18</f>
        <v>411.14000000000237</v>
      </c>
      <c r="N92" s="307">
        <f t="shared" si="11"/>
        <v>214798.19000000006</v>
      </c>
    </row>
    <row r="93" spans="1:14" ht="16.8" thickTop="1" thickBot="1">
      <c r="A93"/>
      <c r="B93" s="312">
        <v>17</v>
      </c>
      <c r="C93" s="314" t="s">
        <v>170</v>
      </c>
      <c r="D93" s="327">
        <f>IFERROR(VLOOKUP(C93,'تقرير إحصائية بحجم المبيعات'!$B$78:$E$103,2,FALSE),0)</f>
        <v>462699.32</v>
      </c>
      <c r="E93" s="327">
        <f>IFERROR(VLOOKUP(C93,'تقرير إحصائية بحجم المبيعات'!$B$78:$E$103,3,FALSE),0)</f>
        <v>37337.67</v>
      </c>
      <c r="F93" s="327">
        <f>IFERROR(VLOOKUP(C93,'تقرير إحصائية بحجم المبيعات'!$B$78:$E$103,4,FALSE),0)</f>
        <v>26873.87</v>
      </c>
      <c r="G93" s="319">
        <f t="shared" si="14"/>
        <v>526910.86</v>
      </c>
      <c r="H93" s="318">
        <f t="shared" si="13"/>
        <v>16997.124516129032</v>
      </c>
      <c r="I93" s="326">
        <f>IFERROR(VLOOKUP(C93,'تقرير إحصائية بحجم المبيعات'!$B$78:$L$103,11,FALSE),0)</f>
        <v>395755.08</v>
      </c>
      <c r="J93" s="321">
        <f t="shared" si="12"/>
        <v>131155.77999999997</v>
      </c>
      <c r="K93" s="322">
        <f>IFERROR(HLOOKUP(C93,'تقرير المصروفات حسب الشهر'!$D$260:$AI$374,115,FALSE),0)</f>
        <v>111160.83000000002</v>
      </c>
      <c r="L93" s="97"/>
      <c r="M93" s="324">
        <f>'[5]Sand Beach'!F18</f>
        <v>-11.109999999998763</v>
      </c>
      <c r="N93" s="307">
        <f t="shared" si="11"/>
        <v>19983.839999999953</v>
      </c>
    </row>
    <row r="94" spans="1:14" ht="16.8" thickTop="1" thickBot="1">
      <c r="A94"/>
      <c r="B94" s="312">
        <v>18</v>
      </c>
      <c r="C94" s="314" t="s">
        <v>172</v>
      </c>
      <c r="D94" s="327">
        <f>IFERROR(VLOOKUP(C94,'تقرير إحصائية بحجم المبيعات'!$B$78:$E$103,2,FALSE),0)</f>
        <v>217530.25</v>
      </c>
      <c r="E94" s="327">
        <f>IFERROR(VLOOKUP(C94,'تقرير إحصائية بحجم المبيعات'!$B$78:$E$103,3,FALSE),0)</f>
        <v>0</v>
      </c>
      <c r="F94" s="327">
        <f>IFERROR(VLOOKUP(C94,'تقرير إحصائية بحجم المبيعات'!$B$78:$E$103,4,FALSE),0)</f>
        <v>0</v>
      </c>
      <c r="G94" s="319">
        <f t="shared" si="14"/>
        <v>217530.25</v>
      </c>
      <c r="H94" s="318">
        <f t="shared" si="13"/>
        <v>7017.1048387096771</v>
      </c>
      <c r="I94" s="326">
        <f>IFERROR(VLOOKUP(C94,'تقرير إحصائية بحجم المبيعات'!$B$78:$L$103,11,FALSE),0)</f>
        <v>179305.95</v>
      </c>
      <c r="J94" s="321">
        <f t="shared" si="12"/>
        <v>38224.299999999988</v>
      </c>
      <c r="K94" s="322">
        <f>IFERROR(HLOOKUP(C94,'تقرير المصروفات حسب الشهر'!$D$260:$AI$374,115,FALSE),0)</f>
        <v>15954.91</v>
      </c>
      <c r="L94" s="97"/>
      <c r="M94" s="324">
        <f>[5]Online!F18</f>
        <v>0</v>
      </c>
      <c r="N94" s="307">
        <f t="shared" si="11"/>
        <v>22269.389999999989</v>
      </c>
    </row>
    <row r="95" spans="1:14" ht="16.8" thickTop="1" thickBot="1">
      <c r="A95"/>
      <c r="B95" s="312">
        <v>19</v>
      </c>
      <c r="C95" s="314" t="s">
        <v>176</v>
      </c>
      <c r="D95" s="327">
        <f>IFERROR(VLOOKUP(C95,'تقرير إحصائية بحجم المبيعات'!$B$78:$E$103,2,FALSE),0)</f>
        <v>52193.719999999972</v>
      </c>
      <c r="E95" s="327">
        <f>IFERROR(VLOOKUP(C95,'تقرير إحصائية بحجم المبيعات'!$B$78:$E$103,3,FALSE),0)</f>
        <v>0</v>
      </c>
      <c r="F95" s="327">
        <f>IFERROR(VLOOKUP(C95,'تقرير إحصائية بحجم المبيعات'!$B$78:$E$103,4,FALSE),0)</f>
        <v>359661.03</v>
      </c>
      <c r="G95" s="319">
        <f t="shared" si="14"/>
        <v>411854.75</v>
      </c>
      <c r="H95" s="318">
        <f t="shared" si="13"/>
        <v>13285.637096774193</v>
      </c>
      <c r="I95" s="326">
        <f>IFERROR(VLOOKUP(C95,'تقرير إحصائية بحجم المبيعات'!$B$78:$L$103,11,FALSE),0)</f>
        <v>357142.31</v>
      </c>
      <c r="J95" s="321">
        <f t="shared" si="12"/>
        <v>54712.44</v>
      </c>
      <c r="K95" s="322">
        <f>IFERROR(HLOOKUP(C95,'تقرير المصروفات حسب الشهر'!$D$260:$AI$374,115,FALSE),0)</f>
        <v>18993.019999999997</v>
      </c>
      <c r="L95" s="97"/>
      <c r="M95" s="324">
        <f>[5]Orange!F18</f>
        <v>0</v>
      </c>
      <c r="N95" s="307">
        <f t="shared" si="11"/>
        <v>35719.420000000006</v>
      </c>
    </row>
    <row r="96" spans="1:14" ht="16.8" thickTop="1" thickBot="1">
      <c r="A96"/>
      <c r="B96" s="312">
        <v>20</v>
      </c>
      <c r="C96" s="314" t="s">
        <v>177</v>
      </c>
      <c r="D96" s="327">
        <f>IFERROR(VLOOKUP(C96,'تقرير إحصائية بحجم المبيعات'!$B$78:$E$103,2,FALSE),0)</f>
        <v>87697.89000000013</v>
      </c>
      <c r="E96" s="327">
        <f>IFERROR(VLOOKUP(C96,'تقرير إحصائية بحجم المبيعات'!$B$78:$E$103,3,FALSE),0)</f>
        <v>0</v>
      </c>
      <c r="F96" s="327">
        <f>IFERROR(VLOOKUP(C96,'تقرير إحصائية بحجم المبيعات'!$B$78:$E$103,4,FALSE),0)</f>
        <v>574580.71</v>
      </c>
      <c r="G96" s="319">
        <f t="shared" si="14"/>
        <v>662278.60000000009</v>
      </c>
      <c r="H96" s="318">
        <f t="shared" si="13"/>
        <v>21363.825806451616</v>
      </c>
      <c r="I96" s="326">
        <f>IFERROR(VLOOKUP(C96,'تقرير إحصائية بحجم المبيعات'!$B$78:$L$103,11,FALSE),0)</f>
        <v>545005.15</v>
      </c>
      <c r="J96" s="321">
        <f t="shared" si="12"/>
        <v>117273.45000000007</v>
      </c>
      <c r="K96" s="322">
        <f>IFERROR(HLOOKUP(C96,'تقرير المصروفات حسب الشهر'!$D$260:$AI$374,115,FALSE),0)</f>
        <v>21847.119999999999</v>
      </c>
      <c r="L96" s="97"/>
      <c r="M96" s="324">
        <f>[5]Vod.Smart!F18</f>
        <v>0</v>
      </c>
      <c r="N96" s="307">
        <f t="shared" si="11"/>
        <v>95426.330000000075</v>
      </c>
    </row>
    <row r="97" spans="1:14" ht="16.8" thickTop="1" thickBot="1">
      <c r="A97"/>
      <c r="B97" s="312">
        <v>21</v>
      </c>
      <c r="C97" s="314" t="s">
        <v>178</v>
      </c>
      <c r="D97" s="327">
        <f>IFERROR(VLOOKUP(C97,'تقرير إحصائية بحجم المبيعات'!$B$78:$E$103,2,FALSE),0)</f>
        <v>15243.390000000014</v>
      </c>
      <c r="E97" s="327">
        <f>IFERROR(VLOOKUP(C97,'تقرير إحصائية بحجم المبيعات'!$B$78:$E$103,3,FALSE),0)</f>
        <v>0</v>
      </c>
      <c r="F97" s="327">
        <f>IFERROR(VLOOKUP(C97,'تقرير إحصائية بحجم المبيعات'!$B$78:$E$103,4,FALSE),0)</f>
        <v>156877.37</v>
      </c>
      <c r="G97" s="319">
        <f t="shared" si="14"/>
        <v>172120.76</v>
      </c>
      <c r="H97" s="318">
        <f t="shared" si="13"/>
        <v>5552.2825806451619</v>
      </c>
      <c r="I97" s="326">
        <f>IFERROR(VLOOKUP(C97,'تقرير إحصائية بحجم المبيعات'!$B$78:$L$103,11,FALSE),0)</f>
        <v>146490.82999999999</v>
      </c>
      <c r="J97" s="321">
        <f t="shared" si="12"/>
        <v>25629.930000000022</v>
      </c>
      <c r="K97" s="322">
        <f>IFERROR(HLOOKUP(C97,'تقرير المصروفات حسب الشهر'!$D$260:$AI$374,115,FALSE),0)</f>
        <v>9782.7900000000009</v>
      </c>
      <c r="L97" s="97"/>
      <c r="M97" s="324">
        <f>[5]Vod.Zahraa!F18</f>
        <v>3.75</v>
      </c>
      <c r="N97" s="307">
        <f t="shared" si="11"/>
        <v>15850.890000000021</v>
      </c>
    </row>
    <row r="98" spans="1:14" ht="17.25" customHeight="1" thickTop="1" thickBot="1">
      <c r="A98"/>
      <c r="B98" s="312">
        <v>22</v>
      </c>
      <c r="C98" s="314" t="s">
        <v>179</v>
      </c>
      <c r="D98" s="327">
        <f>IFERROR(VLOOKUP(C98,'تقرير إحصائية بحجم المبيعات'!$B$78:$E$103,2,FALSE),0)</f>
        <v>1025.640000000014</v>
      </c>
      <c r="E98" s="327">
        <f>IFERROR(VLOOKUP(C98,'تقرير إحصائية بحجم المبيعات'!$B$78:$E$103,3,FALSE),0)</f>
        <v>0</v>
      </c>
      <c r="F98" s="327">
        <f>IFERROR(VLOOKUP(C98,'تقرير إحصائية بحجم المبيعات'!$B$78:$E$103,4,FALSE),0)</f>
        <v>490690.42</v>
      </c>
      <c r="G98" s="319">
        <f t="shared" si="14"/>
        <v>491716.06</v>
      </c>
      <c r="H98" s="318">
        <f t="shared" si="13"/>
        <v>15861.808387096775</v>
      </c>
      <c r="I98" s="326">
        <f>IFERROR(VLOOKUP(C98,'تقرير إحصائية بحجم المبيعات'!$B$78:$L$103,11,FALSE),0)</f>
        <v>421096.09</v>
      </c>
      <c r="J98" s="321">
        <f t="shared" si="12"/>
        <v>70619.969999999972</v>
      </c>
      <c r="K98" s="322">
        <f>IFERROR(HLOOKUP(C98,'تقرير المصروفات حسب الشهر'!$D$260:$AI$374,115,FALSE),0)</f>
        <v>16571.400000000001</v>
      </c>
      <c r="L98" s="97"/>
      <c r="M98" s="324">
        <f>[5]Mo7awelat!F18</f>
        <v>63025.33</v>
      </c>
      <c r="N98" s="307">
        <f t="shared" si="11"/>
        <v>117073.89999999997</v>
      </c>
    </row>
    <row r="99" spans="1:14" ht="16.8" thickTop="1" thickBot="1">
      <c r="A99"/>
      <c r="B99" s="312">
        <v>23</v>
      </c>
      <c r="C99" s="314" t="s">
        <v>181</v>
      </c>
      <c r="D99" s="327">
        <f>IFERROR(VLOOKUP(C99,'تقرير إحصائية بحجم المبيعات'!$B$78:$E$103,2,FALSE),0)</f>
        <v>14610.61</v>
      </c>
      <c r="E99" s="327">
        <f>IFERROR(VLOOKUP(C99,'تقرير إحصائية بحجم المبيعات'!$B$78:$E$103,3,FALSE),0)</f>
        <v>0</v>
      </c>
      <c r="F99" s="327">
        <f>IFERROR(VLOOKUP(C99,'تقرير إحصائية بحجم المبيعات'!$B$78:$E$103,4,FALSE),0)</f>
        <v>130206.04</v>
      </c>
      <c r="G99" s="319">
        <f t="shared" si="14"/>
        <v>144816.65</v>
      </c>
      <c r="H99" s="318">
        <f t="shared" si="13"/>
        <v>4671.5048387096776</v>
      </c>
      <c r="I99" s="326">
        <f>IFERROR(VLOOKUP(C99,'تقرير إحصائية بحجم المبيعات'!$B$78:$L$103,11,FALSE),0)</f>
        <v>126109.77</v>
      </c>
      <c r="J99" s="321">
        <f t="shared" si="12"/>
        <v>18706.87999999999</v>
      </c>
      <c r="K99" s="322">
        <f>IFERROR(HLOOKUP(C99,'تقرير المصروفات حسب الشهر'!$D$260:$AI$374,115,FALSE),0)</f>
        <v>13491.65</v>
      </c>
      <c r="L99" s="97"/>
      <c r="M99" s="324">
        <f>[5]Electric!F18</f>
        <v>0</v>
      </c>
      <c r="N99" s="307">
        <f t="shared" si="11"/>
        <v>5215.2299999999905</v>
      </c>
    </row>
    <row r="100" spans="1:14" ht="16.8" thickTop="1" thickBot="1">
      <c r="A100"/>
      <c r="B100" s="312">
        <v>24</v>
      </c>
      <c r="C100" s="314" t="s">
        <v>182</v>
      </c>
      <c r="D100" s="327">
        <f>IFERROR(VLOOKUP(C100,'تقرير إحصائية بحجم المبيعات'!$B$78:$E$103,2,FALSE),0)</f>
        <v>20229.040000000008</v>
      </c>
      <c r="E100" s="327">
        <f>IFERROR(VLOOKUP(C100,'تقرير إحصائية بحجم المبيعات'!$B$78:$E$103,3,FALSE),0)</f>
        <v>0</v>
      </c>
      <c r="F100" s="327">
        <f>IFERROR(VLOOKUP(C100,'تقرير إحصائية بحجم المبيعات'!$B$78:$E$103,4,FALSE),0)</f>
        <v>123292.53</v>
      </c>
      <c r="G100" s="319">
        <f t="shared" si="14"/>
        <v>143521.57</v>
      </c>
      <c r="H100" s="318">
        <f t="shared" si="13"/>
        <v>4629.7280645161291</v>
      </c>
      <c r="I100" s="326">
        <f>IFERROR(VLOOKUP(C100,'تقرير إحصائية بحجم المبيعات'!$B$78:$L$103,11,FALSE),0)</f>
        <v>123168.96000000001</v>
      </c>
      <c r="J100" s="321">
        <f t="shared" si="12"/>
        <v>20352.61</v>
      </c>
      <c r="K100" s="322">
        <f>IFERROR(HLOOKUP(C100,'تقرير المصروفات حسب الشهر'!$D$260:$AI$374,115,FALSE),0)</f>
        <v>10234.09</v>
      </c>
      <c r="L100" s="97"/>
      <c r="M100" s="324">
        <f>'[5]M.C.V'!F18</f>
        <v>0</v>
      </c>
      <c r="N100" s="307">
        <f t="shared" si="11"/>
        <v>10118.52</v>
      </c>
    </row>
    <row r="101" spans="1:14" ht="16.8" thickTop="1" thickBot="1">
      <c r="A101"/>
      <c r="B101" s="312">
        <v>25</v>
      </c>
      <c r="C101" s="314" t="s">
        <v>187</v>
      </c>
      <c r="D101" s="327">
        <f>IFERROR(VLOOKUP(C101,'تقرير إحصائية بحجم المبيعات'!$B$78:$E$103,2,FALSE),0)</f>
        <v>73189.840000000026</v>
      </c>
      <c r="E101" s="327">
        <f>IFERROR(VLOOKUP(C101,'تقرير إحصائية بحجم المبيعات'!$B$78:$E$103,3,FALSE),0)</f>
        <v>0</v>
      </c>
      <c r="F101" s="327">
        <f>IFERROR(VLOOKUP(C101,'تقرير إحصائية بحجم المبيعات'!$B$78:$E$103,4,FALSE),0)</f>
        <v>194713.37</v>
      </c>
      <c r="G101" s="319">
        <f t="shared" si="14"/>
        <v>267903.21000000002</v>
      </c>
      <c r="H101" s="318">
        <f t="shared" si="13"/>
        <v>8642.0390322580661</v>
      </c>
      <c r="I101" s="326">
        <f>IFERROR(VLOOKUP(C101,'تقرير إحصائية بحجم المبيعات'!$B$78:$L$103,11,FALSE),0)</f>
        <v>225520.82</v>
      </c>
      <c r="J101" s="321">
        <f t="shared" si="12"/>
        <v>42382.390000000014</v>
      </c>
      <c r="K101" s="322">
        <f>IFERROR(HLOOKUP(C101,'تقرير المصروفات حسب الشهر'!$D$260:$AI$374,115,FALSE),0)</f>
        <v>10999.03</v>
      </c>
      <c r="L101" s="97"/>
      <c r="M101" s="324">
        <f>[5]Egyplast!F18</f>
        <v>0</v>
      </c>
      <c r="N101" s="307">
        <f t="shared" si="11"/>
        <v>31383.360000000015</v>
      </c>
    </row>
    <row r="102" spans="1:14" ht="16.8" thickTop="1" thickBot="1">
      <c r="A102"/>
      <c r="B102" s="312">
        <v>26</v>
      </c>
      <c r="C102" s="315" t="s">
        <v>240</v>
      </c>
      <c r="D102" s="327">
        <f>IFERROR(VLOOKUP(C102,'تقرير إحصائية بحجم المبيعات'!$B$78:$E$103,2,FALSE),0)</f>
        <v>108385.59999999998</v>
      </c>
      <c r="E102" s="327">
        <f>IFERROR(VLOOKUP(C102,'تقرير إحصائية بحجم المبيعات'!$B$80:$E$130,3,FALSE),0)</f>
        <v>0</v>
      </c>
      <c r="F102" s="327">
        <f>IFERROR(VLOOKUP(C102,'تقرير إحصائية بحجم المبيعات'!$B$80:$E$130,4,FALSE),0)</f>
        <v>476526.64</v>
      </c>
      <c r="G102" s="320">
        <f t="shared" si="14"/>
        <v>584912.24</v>
      </c>
      <c r="H102" s="318">
        <f t="shared" si="13"/>
        <v>18868.136774193546</v>
      </c>
      <c r="I102" s="326">
        <f>IFERROR(VLOOKUP(C102,'تقرير إحصائية بحجم المبيعات'!$B$80:$L$130,11,FALSE),0)</f>
        <v>504359.54</v>
      </c>
      <c r="J102" s="321">
        <f t="shared" si="12"/>
        <v>80552.700000000012</v>
      </c>
      <c r="K102" s="322">
        <f>IFERROR(HLOOKUP(C102,'تقرير المصروفات حسب الشهر'!$D$260:$AI$374,115,FALSE),0)</f>
        <v>21023.180000000004</v>
      </c>
      <c r="L102" s="99"/>
      <c r="M102" s="324">
        <f>[5]CFC!F18</f>
        <v>0</v>
      </c>
      <c r="N102" s="307">
        <f t="shared" si="11"/>
        <v>59529.520000000004</v>
      </c>
    </row>
    <row r="103" spans="1:14" ht="16.8" thickTop="1" thickBot="1">
      <c r="A103"/>
      <c r="B103" s="312">
        <v>27</v>
      </c>
      <c r="C103" s="316" t="s">
        <v>245</v>
      </c>
      <c r="D103" s="327">
        <f>IFERROR(VLOOKUP(C103,'تقرير إحصائية بحجم المبيعات'!$B$78:$E$103,2,FALSE),0)</f>
        <v>0</v>
      </c>
      <c r="E103" s="327">
        <f>IFERROR(VLOOKUP(C103,'تقرير إحصائية بحجم المبيعات'!$B$80:$E$130,3,FALSE),0)</f>
        <v>0</v>
      </c>
      <c r="F103" s="327">
        <f>IFERROR(VLOOKUP(C103,'تقرير إحصائية بحجم المبيعات'!$B$80:$E$130,4,FALSE),0)</f>
        <v>0</v>
      </c>
      <c r="G103" s="320">
        <f>+D103+E103+F103</f>
        <v>0</v>
      </c>
      <c r="H103" s="318">
        <f t="shared" si="13"/>
        <v>0</v>
      </c>
      <c r="I103" s="326">
        <f>IFERROR(VLOOKUP(C103,'تقرير إحصائية بحجم المبيعات'!$B$80:$L$130,11,FALSE),0)</f>
        <v>0</v>
      </c>
      <c r="J103" s="321">
        <f>+G103-I103</f>
        <v>0</v>
      </c>
      <c r="K103" s="322">
        <f>IFERROR(HLOOKUP(C103,'تقرير المصروفات حسب الشهر'!$D$260:$AI$374,115,FALSE),0)</f>
        <v>0</v>
      </c>
      <c r="L103" s="99"/>
      <c r="M103" s="324">
        <f>[5]North.Coast!F18</f>
        <v>0</v>
      </c>
      <c r="N103" s="307">
        <f t="shared" si="11"/>
        <v>0</v>
      </c>
    </row>
    <row r="104" spans="1:14" ht="16.8" thickTop="1" thickBot="1">
      <c r="A104"/>
      <c r="B104" s="312">
        <v>28</v>
      </c>
      <c r="C104" s="316" t="s">
        <v>357</v>
      </c>
      <c r="D104" s="327">
        <f>IFERROR(VLOOKUP(C104,'تقرير إحصائية بحجم المبيعات'!$B$78:$E$135,2,FALSE),0)</f>
        <v>2612974.33</v>
      </c>
      <c r="E104" s="327">
        <f>IFERROR(VLOOKUP(C104,'تقرير إحصائية بحجم المبيعات'!$B$80:$E$130,3,FALSE),0)</f>
        <v>45376.38</v>
      </c>
      <c r="F104" s="327">
        <f>IFERROR(VLOOKUP(C104,'تقرير إحصائية بحجم المبيعات'!$B$80:$E$130,4,FALSE),0)</f>
        <v>130110.54</v>
      </c>
      <c r="G104" s="320">
        <f>+D104+E104+F104</f>
        <v>2788461.25</v>
      </c>
      <c r="H104" s="318">
        <f t="shared" si="13"/>
        <v>89950.362903225803</v>
      </c>
      <c r="I104" s="326">
        <f>IFERROR(VLOOKUP(C104,'تقرير إحصائية بحجم المبيعات'!$B$80:$L$130,11,FALSE),0)</f>
        <v>2141396.33</v>
      </c>
      <c r="J104" s="321">
        <f>+G104-I104</f>
        <v>647064.91999999993</v>
      </c>
      <c r="K104" s="322">
        <f>IFERROR(HLOOKUP(C104,'تقرير المصروفات حسب الشهر'!$D$260:$AI$374,115,FALSE),0)</f>
        <v>633254.75</v>
      </c>
      <c r="L104" s="99"/>
      <c r="M104" s="324">
        <f>[5]Rehab!F18</f>
        <v>0</v>
      </c>
      <c r="N104" s="307">
        <f t="shared" si="11"/>
        <v>13810.169999999925</v>
      </c>
    </row>
    <row r="105" spans="1:14" ht="16.8" thickTop="1" thickBot="1">
      <c r="A105"/>
      <c r="B105" s="312">
        <v>29</v>
      </c>
      <c r="C105" s="316" t="s">
        <v>362</v>
      </c>
      <c r="D105" s="327">
        <f>IFERROR(VLOOKUP(C105,'تقرير إحصائية بحجم المبيعات'!$B$78:$E$135,2,FALSE),0)</f>
        <v>24456.839999999967</v>
      </c>
      <c r="E105" s="327">
        <f>IFERROR(VLOOKUP(C105,'تقرير إحصائية بحجم المبيعات'!$B$80:$E$130,3,FALSE),0)</f>
        <v>0</v>
      </c>
      <c r="F105" s="327">
        <f>IFERROR(VLOOKUP(C105,'تقرير إحصائية بحجم المبيعات'!$B$80:$E$130,4,FALSE),0)</f>
        <v>293891.08</v>
      </c>
      <c r="G105" s="320">
        <f>+D105+E105+F105</f>
        <v>318347.92</v>
      </c>
      <c r="H105" s="318">
        <f t="shared" si="13"/>
        <v>10269.287741935483</v>
      </c>
      <c r="I105" s="326">
        <f>IFERROR(VLOOKUP(C105,'تقرير إحصائية بحجم المبيعات'!$B$80:$L$130,11,FALSE),0)</f>
        <v>275586.96000000002</v>
      </c>
      <c r="J105" s="321">
        <f>+G105-I105</f>
        <v>42760.959999999963</v>
      </c>
      <c r="K105" s="322">
        <f>IFERROR(HLOOKUP(C105,'تقرير المصروفات حسب الشهر'!$D$260:$AI$374,115,FALSE),0)</f>
        <v>21013.89</v>
      </c>
      <c r="L105" s="99"/>
      <c r="M105" s="324">
        <f>'[5]HSBC MAADI'!F18</f>
        <v>3.51</v>
      </c>
      <c r="N105" s="307">
        <f t="shared" si="11"/>
        <v>21750.579999999962</v>
      </c>
    </row>
    <row r="106" spans="1:14" ht="16.8" thickTop="1" thickBot="1">
      <c r="A106"/>
      <c r="B106" s="312">
        <v>30</v>
      </c>
      <c r="C106" s="316" t="s">
        <v>361</v>
      </c>
      <c r="D106" s="327">
        <f>IFERROR(VLOOKUP(C106,'تقرير إحصائية بحجم المبيعات'!$B$78:$E$135,2,FALSE),0)</f>
        <v>58874.350000000035</v>
      </c>
      <c r="E106" s="327">
        <f>IFERROR(VLOOKUP(C106,'تقرير إحصائية بحجم المبيعات'!$B$80:$E$130,3,FALSE),0)</f>
        <v>0</v>
      </c>
      <c r="F106" s="327">
        <f>IFERROR(VLOOKUP(C106,'تقرير إحصائية بحجم المبيعات'!$B$80:$E$130,4,FALSE),0)</f>
        <v>411628.12</v>
      </c>
      <c r="G106" s="320">
        <f>+D106+E106+F106</f>
        <v>470502.47000000003</v>
      </c>
      <c r="H106" s="318">
        <f t="shared" si="13"/>
        <v>15177.499032258065</v>
      </c>
      <c r="I106" s="326">
        <f>IFERROR(VLOOKUP(C106,'تقرير إحصائية بحجم المبيعات'!$B$80:$L$130,11,FALSE),0)</f>
        <v>404515.94</v>
      </c>
      <c r="J106" s="321">
        <f>+G106-I106</f>
        <v>65986.530000000028</v>
      </c>
      <c r="K106" s="322">
        <f>IFERROR(HLOOKUP(C106,'تقرير المصروفات حسب الشهر'!$D$260:$AI$374,115,FALSE),0)</f>
        <v>45842.320000000007</v>
      </c>
      <c r="L106" s="99"/>
      <c r="M106" s="324">
        <f>'[5]HSBC SMART'!F18</f>
        <v>301.99</v>
      </c>
      <c r="N106" s="307">
        <f t="shared" si="11"/>
        <v>20446.200000000023</v>
      </c>
    </row>
    <row r="107" spans="1:14" ht="16.8" thickTop="1" thickBot="1">
      <c r="A107"/>
      <c r="B107" s="312">
        <v>31</v>
      </c>
      <c r="C107" s="316" t="s">
        <v>234</v>
      </c>
      <c r="D107" s="327">
        <f>IFERROR(VLOOKUP(C107,'تقرير إحصائية بحجم المبيعات'!$B$78:$E$135,2,FALSE),0)</f>
        <v>0</v>
      </c>
      <c r="E107" s="327">
        <f>IFERROR(VLOOKUP(C107,'تقرير إحصائية بحجم المبيعات'!$B$80:$E$130,3,FALSE),0)</f>
        <v>0</v>
      </c>
      <c r="F107" s="327">
        <f>IFERROR(VLOOKUP(C107,'تقرير إحصائية بحجم المبيعات'!$B$80:$E$130,4,FALSE),0)</f>
        <v>0</v>
      </c>
      <c r="G107" s="320">
        <f>+D107+E107+F107</f>
        <v>0</v>
      </c>
      <c r="H107" s="318">
        <f t="shared" si="13"/>
        <v>0</v>
      </c>
      <c r="I107" s="326">
        <f>IFERROR(VLOOKUP(C107,'تقرير إحصائية بحجم المبيعات'!$B$80:$L$130,11,FALSE),0)</f>
        <v>0</v>
      </c>
      <c r="J107" s="321">
        <f>+G107-I107</f>
        <v>0</v>
      </c>
      <c r="K107" s="322">
        <f>IFERROR(HLOOKUP(C107,'تقرير المصروفات حسب الشهر'!$D$260:$AI$374,115,FALSE),0)</f>
        <v>0</v>
      </c>
      <c r="L107" s="99"/>
      <c r="M107" s="324">
        <f>[5]Vois!F18</f>
        <v>0</v>
      </c>
      <c r="N107" s="307">
        <f t="shared" si="11"/>
        <v>0</v>
      </c>
    </row>
    <row r="108" spans="1:14" ht="24" customHeight="1" thickTop="1" thickBot="1">
      <c r="A108"/>
      <c r="B108" s="312" t="s">
        <v>18</v>
      </c>
      <c r="C108" s="316"/>
      <c r="D108" s="327">
        <f t="shared" ref="D108:K108" si="15">SUM(D77:D107)</f>
        <v>22328742.280000005</v>
      </c>
      <c r="E108" s="327">
        <f t="shared" si="15"/>
        <v>3351310.33</v>
      </c>
      <c r="F108" s="327">
        <f t="shared" si="15"/>
        <v>18711706.459999997</v>
      </c>
      <c r="G108" s="320">
        <f t="shared" si="15"/>
        <v>44391759.07</v>
      </c>
      <c r="H108" s="318">
        <f t="shared" si="15"/>
        <v>1431992.2280645159</v>
      </c>
      <c r="I108" s="326">
        <f t="shared" si="15"/>
        <v>36062857.86999999</v>
      </c>
      <c r="J108" s="321">
        <f t="shared" si="15"/>
        <v>8328901.1999999993</v>
      </c>
      <c r="K108" s="322">
        <f t="shared" si="15"/>
        <v>8264417.5299999984</v>
      </c>
      <c r="L108" s="99">
        <f>SUM(L77:L102)</f>
        <v>0</v>
      </c>
      <c r="M108" s="325">
        <f>SUM(M77:M107)</f>
        <v>757642.92999999982</v>
      </c>
      <c r="N108" s="307">
        <f>SUM(N77:N107)</f>
        <v>822126.59999999881</v>
      </c>
    </row>
    <row r="109" spans="1:14" ht="13.8" thickTop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 s="17"/>
    </row>
    <row r="110" spans="1:14" ht="13.8" thickBo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 s="7"/>
    </row>
    <row r="111" spans="1:14" ht="30.6" thickBot="1">
      <c r="A111"/>
      <c r="B111" s="649" t="s">
        <v>377</v>
      </c>
      <c r="C111" s="650"/>
      <c r="D111" s="650"/>
      <c r="E111" s="650"/>
      <c r="F111" s="650"/>
      <c r="G111" s="650"/>
      <c r="H111" s="650"/>
      <c r="I111" s="650"/>
      <c r="J111" s="650"/>
      <c r="K111" s="650"/>
      <c r="L111" s="650"/>
      <c r="M111" s="650"/>
      <c r="N111" s="651"/>
    </row>
    <row r="112" spans="1:14" ht="16.8" thickTop="1" thickBot="1">
      <c r="A112"/>
      <c r="B112" s="308" t="s">
        <v>39</v>
      </c>
      <c r="C112" s="308" t="s">
        <v>34</v>
      </c>
      <c r="D112" s="309" t="s">
        <v>20</v>
      </c>
      <c r="E112" s="310" t="s">
        <v>21</v>
      </c>
      <c r="F112" s="310" t="s">
        <v>22</v>
      </c>
      <c r="G112" s="308" t="s">
        <v>19</v>
      </c>
      <c r="H112" s="308" t="s">
        <v>12</v>
      </c>
      <c r="I112" s="308" t="s">
        <v>13</v>
      </c>
      <c r="J112" s="308" t="s">
        <v>14</v>
      </c>
      <c r="K112" s="308" t="s">
        <v>15</v>
      </c>
      <c r="L112" s="308" t="s">
        <v>32</v>
      </c>
      <c r="M112" s="311" t="s">
        <v>16</v>
      </c>
      <c r="N112" s="306" t="s">
        <v>17</v>
      </c>
    </row>
    <row r="113" spans="1:14" ht="16.8" thickTop="1" thickBot="1">
      <c r="A113"/>
      <c r="B113" s="312">
        <v>1</v>
      </c>
      <c r="C113" s="313" t="s">
        <v>184</v>
      </c>
      <c r="D113" s="327">
        <f>IFERROR(VLOOKUP(C113,'تقرير إحصائية بحجم المبيعات'!$B$112:$L$142,2,FALSE),0)</f>
        <v>0</v>
      </c>
      <c r="E113" s="327">
        <f>IFERROR(VLOOKUP(C113,'تقرير إحصائية بحجم المبيعات'!$B$112:$L$142,3,FALSE),0)</f>
        <v>0</v>
      </c>
      <c r="F113" s="327">
        <f>IFERROR(VLOOKUP(C113,'تقرير إحصائية بحجم المبيعات'!$B$112:$L$142,4,FALSE),0)</f>
        <v>0</v>
      </c>
      <c r="G113" s="317">
        <f>+D113+E113+F113</f>
        <v>0</v>
      </c>
      <c r="H113" s="318"/>
      <c r="I113" s="326">
        <f>IFERROR(VLOOKUP(C113,'تقرير إحصائية بحجم المبيعات'!$B$112:$L$137,11,FALSE),0)</f>
        <v>0</v>
      </c>
      <c r="J113" s="321">
        <f>+G113-I113</f>
        <v>0</v>
      </c>
      <c r="K113" s="322">
        <f>HLOOKUP(C113,'تقرير المصروفات حسب الشهر'!$D$386:$AH$499,114,0)</f>
        <v>2115627.4299999997</v>
      </c>
      <c r="L113" s="96"/>
      <c r="M113" s="323">
        <f>HQ!$G$18</f>
        <v>547927.61</v>
      </c>
      <c r="N113" s="307">
        <f>J113-K113-L113+M113</f>
        <v>-1567699.8199999998</v>
      </c>
    </row>
    <row r="114" spans="1:14" ht="16.8" thickTop="1" thickBot="1">
      <c r="A114"/>
      <c r="B114" s="312">
        <v>2</v>
      </c>
      <c r="C114" s="314" t="s">
        <v>36</v>
      </c>
      <c r="D114" s="327">
        <f>IFERROR(VLOOKUP(C114,'تقرير إحصائية بحجم المبيعات'!$B$112:$L$142,2,FALSE),0)</f>
        <v>3828803.9499999997</v>
      </c>
      <c r="E114" s="327">
        <f>IFERROR(VLOOKUP(C114,'تقرير إحصائية بحجم المبيعات'!$B$112:$L$142,3,FALSE),0)</f>
        <v>669148.36</v>
      </c>
      <c r="F114" s="327">
        <f>IFERROR(VLOOKUP(C114,'تقرير إحصائية بحجم المبيعات'!$B$112:$L$142,4,FALSE),0)</f>
        <v>1115175.8899999999</v>
      </c>
      <c r="G114" s="319">
        <f>+D114+E114+F114</f>
        <v>5613128.1999999993</v>
      </c>
      <c r="H114" s="318">
        <f>+G114/31</f>
        <v>181068.6516129032</v>
      </c>
      <c r="I114" s="326">
        <f>IFERROR(VLOOKUP(C114,'تقرير إحصائية بحجم المبيعات'!$B$112:$L$137,11,FALSE),0)</f>
        <v>4499900.3099999996</v>
      </c>
      <c r="J114" s="321">
        <f>+G114-I114</f>
        <v>1113227.8899999997</v>
      </c>
      <c r="K114" s="322">
        <f>HLOOKUP(C114,'تقرير المصروفات حسب الشهر'!$D$386:$AH$499,114,0)</f>
        <v>838969.20000000019</v>
      </c>
      <c r="L114" s="97"/>
      <c r="M114" s="324">
        <f>Aguza!G18</f>
        <v>0</v>
      </c>
      <c r="N114" s="307">
        <f t="shared" ref="N114:N143" si="16">J114-K114-L114+M114</f>
        <v>274258.68999999948</v>
      </c>
    </row>
    <row r="115" spans="1:14" ht="16.8" thickTop="1" thickBot="1">
      <c r="A115"/>
      <c r="B115" s="312">
        <v>3</v>
      </c>
      <c r="C115" s="314" t="s">
        <v>9</v>
      </c>
      <c r="D115" s="327">
        <f>IFERROR(VLOOKUP(C115,'تقرير إحصائية بحجم المبيعات'!$B$112:$L$142,2,FALSE),0)</f>
        <v>2823613.1399999997</v>
      </c>
      <c r="E115" s="327">
        <f>IFERROR(VLOOKUP(C115,'تقرير إحصائية بحجم المبيعات'!$B$112:$L$142,3,FALSE),0)</f>
        <v>1377184.41</v>
      </c>
      <c r="F115" s="327">
        <f>IFERROR(VLOOKUP(C115,'تقرير إحصائية بحجم المبيعات'!$B$112:$L$142,4,FALSE),0)</f>
        <v>416661.03</v>
      </c>
      <c r="G115" s="319">
        <f>+D115+E115+F115</f>
        <v>4617458.58</v>
      </c>
      <c r="H115" s="318">
        <f>+G115/31</f>
        <v>148950.27677419354</v>
      </c>
      <c r="I115" s="326">
        <f>IFERROR(VLOOKUP(C115,'تقرير إحصائية بحجم المبيعات'!$B$112:$L$137,11,FALSE),0)</f>
        <v>3675493.33</v>
      </c>
      <c r="J115" s="321">
        <f t="shared" ref="J115:J136" si="17">+G115-I115</f>
        <v>941965.25</v>
      </c>
      <c r="K115" s="322">
        <f>HLOOKUP(C115,'تقرير المصروفات حسب الشهر'!$D$386:$AH$499,114,0)</f>
        <v>720715.12</v>
      </c>
      <c r="L115" s="97"/>
      <c r="M115" s="324">
        <f>October!G18</f>
        <v>0</v>
      </c>
      <c r="N115" s="307">
        <f t="shared" si="16"/>
        <v>221250.13</v>
      </c>
    </row>
    <row r="116" spans="1:14" ht="16.8" thickTop="1" thickBot="1">
      <c r="A116"/>
      <c r="B116" s="312">
        <v>4</v>
      </c>
      <c r="C116" s="314" t="s">
        <v>25</v>
      </c>
      <c r="D116" s="327">
        <f>IFERROR(VLOOKUP(C116,'تقرير إحصائية بحجم المبيعات'!$B$112:$L$142,2,FALSE),0)</f>
        <v>1265738.7600000002</v>
      </c>
      <c r="E116" s="327">
        <f>IFERROR(VLOOKUP(C116,'تقرير إحصائية بحجم المبيعات'!$B$112:$L$142,3,FALSE),0)</f>
        <v>440049</v>
      </c>
      <c r="F116" s="327">
        <f>IFERROR(VLOOKUP(C116,'تقرير إحصائية بحجم المبيعات'!$B$112:$L$142,4,FALSE),0)</f>
        <v>1534490.58</v>
      </c>
      <c r="G116" s="319">
        <f>+D116+E116+F116</f>
        <v>3240278.3400000003</v>
      </c>
      <c r="H116" s="318">
        <f t="shared" ref="H116:H136" si="18">+G116/31</f>
        <v>104525.1077419355</v>
      </c>
      <c r="I116" s="326">
        <f>IFERROR(VLOOKUP(C116,'تقرير إحصائية بحجم المبيعات'!$B$112:$L$137,11,FALSE),0)</f>
        <v>2657008.21</v>
      </c>
      <c r="J116" s="321">
        <f t="shared" si="17"/>
        <v>583270.13000000035</v>
      </c>
      <c r="K116" s="322">
        <f>HLOOKUP(C116,'تقرير المصروفات حسب الشهر'!$D$386:$AH$499,114,0)</f>
        <v>453940.34</v>
      </c>
      <c r="L116" s="97"/>
      <c r="M116" s="324">
        <f>Batal!G18</f>
        <v>36243.480000000003</v>
      </c>
      <c r="N116" s="307">
        <f t="shared" si="16"/>
        <v>165573.27000000034</v>
      </c>
    </row>
    <row r="117" spans="1:14" ht="16.8" thickTop="1" thickBot="1">
      <c r="A117"/>
      <c r="B117" s="312">
        <v>5</v>
      </c>
      <c r="C117" s="314" t="s">
        <v>160</v>
      </c>
      <c r="D117" s="327">
        <f>IFERROR(VLOOKUP(C117,'تقرير إحصائية بحجم المبيعات'!$B$112:$L$142,2,FALSE),0)</f>
        <v>4202403.93</v>
      </c>
      <c r="E117" s="327">
        <f>IFERROR(VLOOKUP(C117,'تقرير إحصائية بحجم المبيعات'!$B$112:$L$142,3,FALSE),0)</f>
        <v>25810.240000000002</v>
      </c>
      <c r="F117" s="327">
        <f>IFERROR(VLOOKUP(C117,'تقرير إحصائية بحجم المبيعات'!$B$112:$L$142,4,FALSE),0)</f>
        <v>3138311.68</v>
      </c>
      <c r="G117" s="319">
        <f t="shared" ref="G117:G136" si="19">+D117+E117+F117</f>
        <v>7366525.8499999996</v>
      </c>
      <c r="H117" s="318">
        <f t="shared" si="18"/>
        <v>237629.86612903225</v>
      </c>
      <c r="I117" s="326">
        <f>IFERROR(VLOOKUP(C117,'تقرير إحصائية بحجم المبيعات'!$B$112:$L$137,11,FALSE),0)</f>
        <v>6053034.9900000002</v>
      </c>
      <c r="J117" s="321">
        <f t="shared" si="17"/>
        <v>1313490.8599999994</v>
      </c>
      <c r="K117" s="322">
        <f>HLOOKUP(C117,'تقرير المصروفات حسب الشهر'!$D$386:$AH$499,114,0)</f>
        <v>851796.29</v>
      </c>
      <c r="L117" s="97"/>
      <c r="M117" s="324">
        <f>'Nasr City'!G18</f>
        <v>0</v>
      </c>
      <c r="N117" s="307">
        <f t="shared" si="16"/>
        <v>461694.56999999937</v>
      </c>
    </row>
    <row r="118" spans="1:14" ht="16.8" thickTop="1" thickBot="1">
      <c r="A118"/>
      <c r="B118" s="312">
        <v>6</v>
      </c>
      <c r="C118" s="314" t="s">
        <v>139</v>
      </c>
      <c r="D118" s="327">
        <f>IFERROR(VLOOKUP(C118,'تقرير إحصائية بحجم المبيعات'!$B$112:$L$142,2,FALSE),0)</f>
        <v>36603.699999999997</v>
      </c>
      <c r="E118" s="327">
        <f>IFERROR(VLOOKUP(C118,'تقرير إحصائية بحجم المبيعات'!$B$112:$L$142,3,FALSE),0)</f>
        <v>0</v>
      </c>
      <c r="F118" s="327">
        <f>IFERROR(VLOOKUP(C118,'تقرير إحصائية بحجم المبيعات'!$B$112:$L$142,4,FALSE),0)</f>
        <v>1802660.28</v>
      </c>
      <c r="G118" s="319">
        <f t="shared" si="19"/>
        <v>1839263.98</v>
      </c>
      <c r="H118" s="318">
        <f t="shared" si="18"/>
        <v>59331.096129032259</v>
      </c>
      <c r="I118" s="326">
        <f>IFERROR(VLOOKUP(C118,'تقرير إحصائية بحجم المبيعات'!$B$112:$L$137,11,FALSE),0)</f>
        <v>1605312.6</v>
      </c>
      <c r="J118" s="321">
        <f t="shared" si="17"/>
        <v>233951.37999999989</v>
      </c>
      <c r="K118" s="322">
        <f>HLOOKUP(C118,'تقرير المصروفات حسب الشهر'!$D$386:$AH$499,114,0)</f>
        <v>99664.34</v>
      </c>
      <c r="L118" s="97"/>
      <c r="M118" s="324">
        <f>Sweedy!G18</f>
        <v>300664.49000000005</v>
      </c>
      <c r="N118" s="307">
        <f t="shared" si="16"/>
        <v>434951.52999999991</v>
      </c>
    </row>
    <row r="119" spans="1:14" ht="16.8" thickTop="1" thickBot="1">
      <c r="A119"/>
      <c r="B119" s="312">
        <v>7</v>
      </c>
      <c r="C119" s="314" t="s">
        <v>37</v>
      </c>
      <c r="D119" s="327">
        <f>IFERROR(VLOOKUP(C119,'تقرير إحصائية بحجم المبيعات'!$B$112:$L$142,2,FALSE),0)</f>
        <v>9164.7099999999846</v>
      </c>
      <c r="E119" s="327">
        <f>IFERROR(VLOOKUP(C119,'تقرير إحصائية بحجم المبيعات'!$B$112:$L$142,3,FALSE),0)</f>
        <v>0</v>
      </c>
      <c r="F119" s="327">
        <f>IFERROR(VLOOKUP(C119,'تقرير إحصائية بحجم المبيعات'!$B$112:$L$142,4,FALSE),0)</f>
        <v>248282.14</v>
      </c>
      <c r="G119" s="319">
        <f t="shared" si="19"/>
        <v>257446.85</v>
      </c>
      <c r="H119" s="318">
        <f t="shared" si="18"/>
        <v>8304.7370967741936</v>
      </c>
      <c r="I119" s="326">
        <f>IFERROR(VLOOKUP(C119,'تقرير إحصائية بحجم المبيعات'!$B$112:$L$137,11,FALSE),0)</f>
        <v>229666.33</v>
      </c>
      <c r="J119" s="321">
        <f t="shared" si="17"/>
        <v>27780.520000000019</v>
      </c>
      <c r="K119" s="322">
        <f>HLOOKUP(C119,'تقرير المصروفات حسب الشهر'!$D$386:$AH$499,114,0)</f>
        <v>27289.84</v>
      </c>
      <c r="L119" s="97"/>
      <c r="M119" s="324">
        <f>NTRA!G18</f>
        <v>3154.3700000000008</v>
      </c>
      <c r="N119" s="307">
        <f t="shared" si="16"/>
        <v>3645.0500000000193</v>
      </c>
    </row>
    <row r="120" spans="1:14" ht="16.8" thickTop="1" thickBot="1">
      <c r="A120"/>
      <c r="B120" s="312">
        <v>8</v>
      </c>
      <c r="C120" s="314" t="s">
        <v>133</v>
      </c>
      <c r="D120" s="327">
        <f>IFERROR(VLOOKUP(C120,'تقرير إحصائية بحجم المبيعات'!$B$112:$L$142,2,FALSE),0)</f>
        <v>12565.109999999997</v>
      </c>
      <c r="E120" s="327">
        <f>IFERROR(VLOOKUP(C120,'تقرير إحصائية بحجم المبيعات'!$B$112:$L$142,3,FALSE),0)</f>
        <v>0</v>
      </c>
      <c r="F120" s="327">
        <f>IFERROR(VLOOKUP(C120,'تقرير إحصائية بحجم المبيعات'!$B$112:$L$142,4,FALSE),0)</f>
        <v>267874.53999999998</v>
      </c>
      <c r="G120" s="319">
        <f t="shared" si="19"/>
        <v>280439.64999999997</v>
      </c>
      <c r="H120" s="318">
        <f t="shared" si="18"/>
        <v>9046.4403225806436</v>
      </c>
      <c r="I120" s="326">
        <f>IFERROR(VLOOKUP(C120,'تقرير إحصائية بحجم المبيعات'!$B$112:$L$137,11,FALSE),0)</f>
        <v>242237.05</v>
      </c>
      <c r="J120" s="321">
        <f t="shared" si="17"/>
        <v>38202.599999999977</v>
      </c>
      <c r="K120" s="322">
        <f>HLOOKUP(C120,'تقرير المصروفات حسب الشهر'!$D$386:$AH$499,114,0)</f>
        <v>23159.38</v>
      </c>
      <c r="L120" s="97"/>
      <c r="M120" s="324">
        <f>Etisalat!G18</f>
        <v>142.61000000000058</v>
      </c>
      <c r="N120" s="307">
        <f t="shared" si="16"/>
        <v>15185.829999999976</v>
      </c>
    </row>
    <row r="121" spans="1:14" ht="16.8" thickTop="1" thickBot="1">
      <c r="A121"/>
      <c r="B121" s="312">
        <v>9</v>
      </c>
      <c r="C121" s="314" t="s">
        <v>203</v>
      </c>
      <c r="D121" s="327">
        <f>IFERROR(VLOOKUP(C121,'تقرير إحصائية بحجم المبيعات'!$B$112:$L$142,2,FALSE),0)</f>
        <v>1485894.1200000003</v>
      </c>
      <c r="E121" s="327">
        <f>IFERROR(VLOOKUP(C121,'تقرير إحصائية بحجم المبيعات'!$B$112:$L$142,3,FALSE),0)</f>
        <v>87957.8</v>
      </c>
      <c r="F121" s="327">
        <f>IFERROR(VLOOKUP(C121,'تقرير إحصائية بحجم المبيعات'!$B$112:$L$142,4,FALSE),0)</f>
        <v>623370.62</v>
      </c>
      <c r="G121" s="319">
        <f t="shared" si="19"/>
        <v>2197222.5400000005</v>
      </c>
      <c r="H121" s="318">
        <f t="shared" si="18"/>
        <v>70878.14645161292</v>
      </c>
      <c r="I121" s="326">
        <f>IFERROR(VLOOKUP(C121,'تقرير إحصائية بحجم المبيعات'!$B$112:$L$137,11,FALSE),0)</f>
        <v>1764630.89</v>
      </c>
      <c r="J121" s="321">
        <f t="shared" si="17"/>
        <v>432591.65000000061</v>
      </c>
      <c r="K121" s="322">
        <f>HLOOKUP(C121,'تقرير المصروفات حسب الشهر'!$D$386:$AH$499,114,0)</f>
        <v>346785.37</v>
      </c>
      <c r="L121" s="97"/>
      <c r="M121" s="324">
        <f>Alamya!G18</f>
        <v>1780.7000000000003</v>
      </c>
      <c r="N121" s="307">
        <f t="shared" si="16"/>
        <v>87586.980000000607</v>
      </c>
    </row>
    <row r="122" spans="1:14" ht="16.8" thickTop="1" thickBot="1">
      <c r="A122"/>
      <c r="B122" s="312">
        <v>10</v>
      </c>
      <c r="C122" s="314" t="s">
        <v>233</v>
      </c>
      <c r="D122" s="327">
        <f>IFERROR(VLOOKUP(C122,'تقرير إحصائية بحجم المبيعات'!$B$112:$L$142,2,FALSE),0)</f>
        <v>56211.17</v>
      </c>
      <c r="E122" s="327">
        <f>IFERROR(VLOOKUP(C122,'تقرير إحصائية بحجم المبيعات'!$B$112:$L$142,3,FALSE),0)</f>
        <v>0</v>
      </c>
      <c r="F122" s="327">
        <f>IFERROR(VLOOKUP(C122,'تقرير إحصائية بحجم المبيعات'!$B$112:$L$142,4,FALSE),0)</f>
        <v>459589.14</v>
      </c>
      <c r="G122" s="319">
        <f t="shared" si="19"/>
        <v>515800.31</v>
      </c>
      <c r="H122" s="318">
        <f t="shared" si="18"/>
        <v>16638.719677419354</v>
      </c>
      <c r="I122" s="326">
        <f>IFERROR(VLOOKUP(C122,'تقرير إحصائية بحجم المبيعات'!$B$112:$L$137,11,FALSE),0)</f>
        <v>438164.85</v>
      </c>
      <c r="J122" s="321">
        <f t="shared" si="17"/>
        <v>77635.460000000021</v>
      </c>
      <c r="K122" s="322">
        <f>HLOOKUP(C122,'تقرير المصروفات حسب الشهر'!$D$386:$AH$499,114,0)</f>
        <v>43140.880000000005</v>
      </c>
      <c r="L122" s="97"/>
      <c r="M122" s="324">
        <f>Etisalat.Katamya!G18</f>
        <v>0</v>
      </c>
      <c r="N122" s="307">
        <f t="shared" si="16"/>
        <v>34494.580000000016</v>
      </c>
    </row>
    <row r="123" spans="1:14" ht="16.8" thickTop="1" thickBot="1">
      <c r="A123"/>
      <c r="B123" s="312">
        <v>11</v>
      </c>
      <c r="C123" s="314" t="s">
        <v>123</v>
      </c>
      <c r="D123" s="327">
        <f>IFERROR(VLOOKUP(C123,'تقرير إحصائية بحجم المبيعات'!$B$112:$L$142,2,FALSE),0)</f>
        <v>7172.3699999999626</v>
      </c>
      <c r="E123" s="327">
        <f>IFERROR(VLOOKUP(C123,'تقرير إحصائية بحجم المبيعات'!$B$112:$L$142,3,FALSE),0)</f>
        <v>0</v>
      </c>
      <c r="F123" s="327">
        <f>IFERROR(VLOOKUP(C123,'تقرير إحصائية بحجم المبيعات'!$B$112:$L$142,4,FALSE),0)</f>
        <v>428468.95</v>
      </c>
      <c r="G123" s="319">
        <f t="shared" si="19"/>
        <v>435641.31999999995</v>
      </c>
      <c r="H123" s="318">
        <f t="shared" si="18"/>
        <v>14052.945806451611</v>
      </c>
      <c r="I123" s="326">
        <f>IFERROR(VLOOKUP(C123,'تقرير إحصائية بحجم المبيعات'!$B$112:$L$137,11,FALSE),0)</f>
        <v>368227.28</v>
      </c>
      <c r="J123" s="321">
        <f t="shared" si="17"/>
        <v>67414.039999999921</v>
      </c>
      <c r="K123" s="322">
        <f>HLOOKUP(C123,'تقرير المصروفات حسب الشهر'!$D$386:$AH$499,114,0)</f>
        <v>24771.53</v>
      </c>
      <c r="L123" s="97"/>
      <c r="M123" s="324">
        <f>'Hazzem Hassan'!G18</f>
        <v>1823.2700000000004</v>
      </c>
      <c r="N123" s="307">
        <f t="shared" si="16"/>
        <v>44465.779999999926</v>
      </c>
    </row>
    <row r="124" spans="1:14" ht="16.8" thickTop="1" thickBot="1">
      <c r="A124"/>
      <c r="B124" s="312">
        <v>12</v>
      </c>
      <c r="C124" s="314" t="s">
        <v>145</v>
      </c>
      <c r="D124" s="327">
        <f>IFERROR(VLOOKUP(C124,'تقرير إحصائية بحجم المبيعات'!$B$112:$L$142,2,FALSE),0)</f>
        <v>663621.37000000023</v>
      </c>
      <c r="E124" s="327">
        <f>IFERROR(VLOOKUP(C124,'تقرير إحصائية بحجم المبيعات'!$B$112:$L$142,3,FALSE),0)</f>
        <v>8324.74</v>
      </c>
      <c r="F124" s="327">
        <f>IFERROR(VLOOKUP(C124,'تقرير إحصائية بحجم المبيعات'!$B$112:$L$142,4,FALSE),0)</f>
        <v>1090570.6299999999</v>
      </c>
      <c r="G124" s="319">
        <f t="shared" si="19"/>
        <v>1762516.7400000002</v>
      </c>
      <c r="H124" s="318">
        <f t="shared" si="18"/>
        <v>56855.378709677425</v>
      </c>
      <c r="I124" s="326">
        <f>IFERROR(VLOOKUP(C124,'تقرير إحصائية بحجم المبيعات'!$B$112:$L$137,11,FALSE),0)</f>
        <v>1446784.64</v>
      </c>
      <c r="J124" s="321">
        <f t="shared" si="17"/>
        <v>315732.10000000033</v>
      </c>
      <c r="K124" s="322">
        <f>HLOOKUP(C124,'تقرير المصروفات حسب الشهر'!$D$386:$AH$499,114,0)</f>
        <v>302654.11</v>
      </c>
      <c r="L124" s="97"/>
      <c r="M124" s="324">
        <f>Sena3ia!G18</f>
        <v>0</v>
      </c>
      <c r="N124" s="307">
        <f t="shared" si="16"/>
        <v>13077.99000000034</v>
      </c>
    </row>
    <row r="125" spans="1:14" ht="16.8" thickTop="1" thickBot="1">
      <c r="A125"/>
      <c r="B125" s="312">
        <v>13</v>
      </c>
      <c r="C125" s="314" t="s">
        <v>124</v>
      </c>
      <c r="D125" s="327">
        <f>IFERROR(VLOOKUP(C125,'تقرير إحصائية بحجم المبيعات'!$B$112:$L$142,2,FALSE),0)</f>
        <v>163784.40000000002</v>
      </c>
      <c r="E125" s="327">
        <f>IFERROR(VLOOKUP(C125,'تقرير إحصائية بحجم المبيعات'!$B$112:$L$142,3,FALSE),0)</f>
        <v>0</v>
      </c>
      <c r="F125" s="327">
        <f>IFERROR(VLOOKUP(C125,'تقرير إحصائية بحجم المبيعات'!$B$112:$L$142,4,FALSE),0)</f>
        <v>220044.59</v>
      </c>
      <c r="G125" s="319">
        <f t="shared" si="19"/>
        <v>383828.99</v>
      </c>
      <c r="H125" s="318">
        <f t="shared" si="18"/>
        <v>12381.580322580645</v>
      </c>
      <c r="I125" s="326">
        <f>IFERROR(VLOOKUP(C125,'تقرير إحصائية بحجم المبيعات'!$B$112:$L$137,11,FALSE),0)</f>
        <v>332019.98</v>
      </c>
      <c r="J125" s="321">
        <f t="shared" si="17"/>
        <v>51809.010000000009</v>
      </c>
      <c r="K125" s="322">
        <f>HLOOKUP(C125,'تقرير المصروفات حسب الشهر'!$D$386:$AH$499,114,0)</f>
        <v>40529.43</v>
      </c>
      <c r="L125" s="98"/>
      <c r="M125" s="324">
        <f>Khargia!G18</f>
        <v>0</v>
      </c>
      <c r="N125" s="307">
        <f t="shared" si="16"/>
        <v>11279.580000000009</v>
      </c>
    </row>
    <row r="126" spans="1:14" ht="16.8" thickTop="1" thickBot="1">
      <c r="A126"/>
      <c r="B126" s="312">
        <v>14</v>
      </c>
      <c r="C126" s="314" t="s">
        <v>169</v>
      </c>
      <c r="D126" s="327">
        <f>IFERROR(VLOOKUP(C126,'تقرير إحصائية بحجم المبيعات'!$B$112:$L$142,2,FALSE),0)</f>
        <v>2372567.06</v>
      </c>
      <c r="E126" s="327">
        <f>IFERROR(VLOOKUP(C126,'تقرير إحصائية بحجم المبيعات'!$B$112:$L$142,3,FALSE),0)</f>
        <v>23317.62</v>
      </c>
      <c r="F126" s="327">
        <f>IFERROR(VLOOKUP(C126,'تقرير إحصائية بحجم المبيعات'!$B$112:$L$142,4,FALSE),0)</f>
        <v>1138650.04</v>
      </c>
      <c r="G126" s="319">
        <f t="shared" si="19"/>
        <v>3534534.72</v>
      </c>
      <c r="H126" s="318">
        <f t="shared" si="18"/>
        <v>114017.24903225807</v>
      </c>
      <c r="I126" s="326">
        <f>IFERROR(VLOOKUP(C126,'تقرير إحصائية بحجم المبيعات'!$B$112:$L$137,11,FALSE),0)</f>
        <v>2868456.58</v>
      </c>
      <c r="J126" s="321">
        <f t="shared" si="17"/>
        <v>666078.14000000013</v>
      </c>
      <c r="K126" s="322">
        <f>HLOOKUP(C126,'تقرير المصروفات حسب الشهر'!$D$386:$AH$499,114,0)</f>
        <v>644775.5</v>
      </c>
      <c r="L126" s="97"/>
      <c r="M126" s="324">
        <f>Tagmou3!G18</f>
        <v>0</v>
      </c>
      <c r="N126" s="307">
        <f t="shared" si="16"/>
        <v>21302.64000000013</v>
      </c>
    </row>
    <row r="127" spans="1:14" ht="16.8" thickTop="1" thickBot="1">
      <c r="A127"/>
      <c r="B127" s="312">
        <v>15</v>
      </c>
      <c r="C127" s="314" t="s">
        <v>243</v>
      </c>
      <c r="D127" s="327">
        <f>IFERROR(VLOOKUP(C127,'تقرير إحصائية بحجم المبيعات'!$B$112:$L$142,2,FALSE),0)</f>
        <v>1107060.58</v>
      </c>
      <c r="E127" s="327">
        <f>IFERROR(VLOOKUP(C127,'تقرير إحصائية بحجم المبيعات'!$B$112:$L$142,3,FALSE),0)</f>
        <v>59832.2</v>
      </c>
      <c r="F127" s="327">
        <f>IFERROR(VLOOKUP(C127,'تقرير إحصائية بحجم المبيعات'!$B$112:$L$142,4,FALSE),0)</f>
        <v>717776.31</v>
      </c>
      <c r="G127" s="319">
        <f t="shared" si="19"/>
        <v>1884669.09</v>
      </c>
      <c r="H127" s="318">
        <f t="shared" si="18"/>
        <v>60795.777096774196</v>
      </c>
      <c r="I127" s="326">
        <f>IFERROR(VLOOKUP(C127,'تقرير إحصائية بحجم المبيعات'!$B$112:$L$137,11,FALSE),0)</f>
        <v>1520259.26</v>
      </c>
      <c r="J127" s="321">
        <f t="shared" si="17"/>
        <v>364409.83000000007</v>
      </c>
      <c r="K127" s="322">
        <f>HLOOKUP(C127,'تقرير المصروفات حسب الشهر'!$D$386:$AH$499,114,0)</f>
        <v>357830.77999999997</v>
      </c>
      <c r="L127" s="97"/>
      <c r="M127" s="324">
        <f>Maadi!G18</f>
        <v>3140.66</v>
      </c>
      <c r="N127" s="307">
        <f t="shared" si="16"/>
        <v>9719.7100000001046</v>
      </c>
    </row>
    <row r="128" spans="1:14" ht="17.25" customHeight="1" thickTop="1" thickBot="1">
      <c r="A128"/>
      <c r="B128" s="312">
        <v>16</v>
      </c>
      <c r="C128" s="314" t="s">
        <v>175</v>
      </c>
      <c r="D128" s="327">
        <f>IFERROR(VLOOKUP(C128,'تقرير إحصائية بحجم المبيعات'!$B$112:$L$142,2,FALSE),0)</f>
        <v>3432923.98</v>
      </c>
      <c r="E128" s="327">
        <f>IFERROR(VLOOKUP(C128,'تقرير إحصائية بحجم المبيعات'!$B$112:$L$142,3,FALSE),0)</f>
        <v>870141.39</v>
      </c>
      <c r="F128" s="327">
        <f>IFERROR(VLOOKUP(C128,'تقرير إحصائية بحجم المبيعات'!$B$112:$L$142,4,FALSE),0)</f>
        <v>1464775.43</v>
      </c>
      <c r="G128" s="319">
        <f t="shared" si="19"/>
        <v>5767840.7999999998</v>
      </c>
      <c r="H128" s="318">
        <f t="shared" si="18"/>
        <v>186059.38064516129</v>
      </c>
      <c r="I128" s="326">
        <f>IFERROR(VLOOKUP(C128,'تقرير إحصائية بحجم المبيعات'!$B$112:$L$137,11,FALSE),0)</f>
        <v>4565672.88</v>
      </c>
      <c r="J128" s="321">
        <f t="shared" si="17"/>
        <v>1202167.92</v>
      </c>
      <c r="K128" s="322">
        <f>HLOOKUP(C128,'تقرير المصروفات حسب الشهر'!$D$386:$AH$499,114,0)</f>
        <v>824102.33999999985</v>
      </c>
      <c r="L128" s="97"/>
      <c r="M128" s="324">
        <f>Zaid!G18</f>
        <v>45.389999999999986</v>
      </c>
      <c r="N128" s="307">
        <f t="shared" si="16"/>
        <v>378110.97000000009</v>
      </c>
    </row>
    <row r="129" spans="1:18" ht="16.8" thickTop="1" thickBot="1">
      <c r="A129"/>
      <c r="B129" s="312">
        <v>17</v>
      </c>
      <c r="C129" s="314" t="s">
        <v>170</v>
      </c>
      <c r="D129" s="327">
        <f>IFERROR(VLOOKUP(C129,'تقرير إحصائية بحجم المبيعات'!$B$112:$L$142,2,FALSE),0)</f>
        <v>680882.06</v>
      </c>
      <c r="E129" s="327">
        <f>IFERROR(VLOOKUP(C129,'تقرير إحصائية بحجم المبيعات'!$B$112:$L$142,3,FALSE),0)</f>
        <v>103339.84</v>
      </c>
      <c r="F129" s="327">
        <f>IFERROR(VLOOKUP(C129,'تقرير إحصائية بحجم المبيعات'!$B$112:$L$142,4,FALSE),0)</f>
        <v>32650.93</v>
      </c>
      <c r="G129" s="319">
        <f t="shared" si="19"/>
        <v>816872.83000000007</v>
      </c>
      <c r="H129" s="318">
        <f t="shared" si="18"/>
        <v>26350.736451612906</v>
      </c>
      <c r="I129" s="326">
        <f>IFERROR(VLOOKUP(C129,'تقرير إحصائية بحجم المبيعات'!$B$112:$L$137,11,FALSE),0)</f>
        <v>610904.94999999995</v>
      </c>
      <c r="J129" s="321">
        <f t="shared" si="17"/>
        <v>205967.88000000012</v>
      </c>
      <c r="K129" s="322">
        <f>HLOOKUP(C129,'تقرير المصروفات حسب الشهر'!$D$386:$AH$499,114,0)</f>
        <v>103666.95</v>
      </c>
      <c r="L129" s="97"/>
      <c r="M129" s="324">
        <f>'Sand Beach'!G18</f>
        <v>6495.95</v>
      </c>
      <c r="N129" s="307">
        <f t="shared" si="16"/>
        <v>108796.88000000012</v>
      </c>
    </row>
    <row r="130" spans="1:18" ht="16.8" thickTop="1" thickBot="1">
      <c r="A130"/>
      <c r="B130" s="312">
        <v>18</v>
      </c>
      <c r="C130" s="314" t="s">
        <v>172</v>
      </c>
      <c r="D130" s="327">
        <f>IFERROR(VLOOKUP(C130,'تقرير إحصائية بحجم المبيعات'!$B$112:$L$142,2,FALSE),0)</f>
        <v>350079.69</v>
      </c>
      <c r="E130" s="327">
        <f>IFERROR(VLOOKUP(C130,'تقرير إحصائية بحجم المبيعات'!$B$112:$L$142,3,FALSE),0)</f>
        <v>0</v>
      </c>
      <c r="F130" s="327">
        <f>IFERROR(VLOOKUP(C130,'تقرير إحصائية بحجم المبيعات'!$B$112:$L$142,4,FALSE),0)</f>
        <v>0</v>
      </c>
      <c r="G130" s="319">
        <f t="shared" si="19"/>
        <v>350079.69</v>
      </c>
      <c r="H130" s="318">
        <f t="shared" si="18"/>
        <v>11292.893225806452</v>
      </c>
      <c r="I130" s="326">
        <f>IFERROR(VLOOKUP(C130,'تقرير إحصائية بحجم المبيعات'!$B$112:$L$137,11,FALSE),0)</f>
        <v>288770.88</v>
      </c>
      <c r="J130" s="321">
        <f t="shared" si="17"/>
        <v>61308.81</v>
      </c>
      <c r="K130" s="322">
        <f>HLOOKUP(C130,'تقرير المصروفات حسب الشهر'!$D$386:$AH$499,114,0)</f>
        <v>13540.11</v>
      </c>
      <c r="L130" s="97"/>
      <c r="M130" s="324">
        <f>Online!G18</f>
        <v>0</v>
      </c>
      <c r="N130" s="307">
        <f t="shared" si="16"/>
        <v>47768.7</v>
      </c>
    </row>
    <row r="131" spans="1:18" ht="16.8" thickTop="1" thickBot="1">
      <c r="A131"/>
      <c r="B131" s="312">
        <v>19</v>
      </c>
      <c r="C131" s="314" t="s">
        <v>176</v>
      </c>
      <c r="D131" s="327">
        <f>IFERROR(VLOOKUP(C131,'تقرير إحصائية بحجم المبيعات'!$B$112:$L$142,2,FALSE),0)</f>
        <v>58396.809999999961</v>
      </c>
      <c r="E131" s="327">
        <f>IFERROR(VLOOKUP(C131,'تقرير إحصائية بحجم المبيعات'!$B$112:$L$142,3,FALSE),0)</f>
        <v>0</v>
      </c>
      <c r="F131" s="327">
        <f>IFERROR(VLOOKUP(C131,'تقرير إحصائية بحجم المبيعات'!$B$112:$L$142,4,FALSE),0)</f>
        <v>338531.58</v>
      </c>
      <c r="G131" s="319">
        <f t="shared" si="19"/>
        <v>396928.38999999996</v>
      </c>
      <c r="H131" s="318">
        <f t="shared" si="18"/>
        <v>12804.141612903224</v>
      </c>
      <c r="I131" s="326">
        <f>IFERROR(VLOOKUP(C131,'تقرير إحصائية بحجم المبيعات'!$B$112:$L$137,11,FALSE),0)</f>
        <v>340590.05</v>
      </c>
      <c r="J131" s="321">
        <f t="shared" si="17"/>
        <v>56338.339999999967</v>
      </c>
      <c r="K131" s="322">
        <f>HLOOKUP(C131,'تقرير المصروفات حسب الشهر'!$D$386:$AH$499,114,0)</f>
        <v>21967.119999999995</v>
      </c>
      <c r="L131" s="97"/>
      <c r="M131" s="324">
        <f>Orange!G18</f>
        <v>0</v>
      </c>
      <c r="N131" s="307">
        <f t="shared" si="16"/>
        <v>34371.219999999972</v>
      </c>
    </row>
    <row r="132" spans="1:18" ht="16.8" thickTop="1" thickBot="1">
      <c r="A132"/>
      <c r="B132" s="312">
        <v>20</v>
      </c>
      <c r="C132" s="314" t="s">
        <v>177</v>
      </c>
      <c r="D132" s="327">
        <f>IFERROR(VLOOKUP(C132,'تقرير إحصائية بحجم المبيعات'!$B$112:$L$142,2,FALSE),0)</f>
        <v>106467.29999999993</v>
      </c>
      <c r="E132" s="327">
        <f>IFERROR(VLOOKUP(C132,'تقرير إحصائية بحجم المبيعات'!$B$112:$L$142,3,FALSE),0)</f>
        <v>0</v>
      </c>
      <c r="F132" s="327">
        <f>IFERROR(VLOOKUP(C132,'تقرير إحصائية بحجم المبيعات'!$B$112:$L$142,4,FALSE),0)</f>
        <v>481460.45</v>
      </c>
      <c r="G132" s="319">
        <f t="shared" si="19"/>
        <v>587927.75</v>
      </c>
      <c r="H132" s="318">
        <f t="shared" si="18"/>
        <v>18965.41129032258</v>
      </c>
      <c r="I132" s="326">
        <f>IFERROR(VLOOKUP(C132,'تقرير إحصائية بحجم المبيعات'!$B$112:$L$137,11,FALSE),0)</f>
        <v>493393.54</v>
      </c>
      <c r="J132" s="321">
        <f t="shared" si="17"/>
        <v>94534.210000000021</v>
      </c>
      <c r="K132" s="322">
        <f>HLOOKUP(C132,'تقرير المصروفات حسب الشهر'!$D$386:$AH$499,114,0)</f>
        <v>29420.09</v>
      </c>
      <c r="L132" s="97"/>
      <c r="M132" s="324">
        <f>Vod.Smart!G18</f>
        <v>0</v>
      </c>
      <c r="N132" s="307">
        <f t="shared" si="16"/>
        <v>65114.120000000024</v>
      </c>
    </row>
    <row r="133" spans="1:18" ht="16.8" thickTop="1" thickBot="1">
      <c r="A133"/>
      <c r="B133" s="312">
        <v>21</v>
      </c>
      <c r="C133" s="314" t="s">
        <v>178</v>
      </c>
      <c r="D133" s="327">
        <f>IFERROR(VLOOKUP(C133,'تقرير إحصائية بحجم المبيعات'!$B$112:$L$142,2,FALSE),0)</f>
        <v>12115.829999999982</v>
      </c>
      <c r="E133" s="327">
        <f>IFERROR(VLOOKUP(C133,'تقرير إحصائية بحجم المبيعات'!$B$112:$L$142,3,FALSE),0)</f>
        <v>0</v>
      </c>
      <c r="F133" s="327">
        <f>IFERROR(VLOOKUP(C133,'تقرير إحصائية بحجم المبيعات'!$B$112:$L$142,4,FALSE),0)</f>
        <v>252117.56</v>
      </c>
      <c r="G133" s="319">
        <f t="shared" si="19"/>
        <v>264233.38999999996</v>
      </c>
      <c r="H133" s="318">
        <f t="shared" si="18"/>
        <v>8523.6577419354817</v>
      </c>
      <c r="I133" s="326">
        <f>IFERROR(VLOOKUP(C133,'تقرير إحصائية بحجم المبيعات'!$B$112:$L$137,11,FALSE),0)</f>
        <v>224914.93</v>
      </c>
      <c r="J133" s="321">
        <f t="shared" si="17"/>
        <v>39318.459999999963</v>
      </c>
      <c r="K133" s="322">
        <f>HLOOKUP(C133,'تقرير المصروفات حسب الشهر'!$D$386:$AH$499,114,0)</f>
        <v>13162.08</v>
      </c>
      <c r="L133" s="97"/>
      <c r="M133" s="324">
        <f>Vod.Zahraa!G18</f>
        <v>17540.740000000002</v>
      </c>
      <c r="N133" s="307">
        <f t="shared" si="16"/>
        <v>43697.119999999966</v>
      </c>
    </row>
    <row r="134" spans="1:18" ht="16.8" thickTop="1" thickBot="1">
      <c r="A134"/>
      <c r="B134" s="312">
        <v>22</v>
      </c>
      <c r="C134" s="314" t="s">
        <v>179</v>
      </c>
      <c r="D134" s="327">
        <f>IFERROR(VLOOKUP(C134,'تقرير إحصائية بحجم المبيعات'!$B$112:$L$142,2,FALSE),0)</f>
        <v>606.23000000002548</v>
      </c>
      <c r="E134" s="327">
        <f>IFERROR(VLOOKUP(C134,'تقرير إحصائية بحجم المبيعات'!$B$112:$L$142,3,FALSE),0)</f>
        <v>0</v>
      </c>
      <c r="F134" s="327">
        <f>IFERROR(VLOOKUP(C134,'تقرير إحصائية بحجم المبيعات'!$B$112:$L$142,4,FALSE),0)</f>
        <v>479517.25</v>
      </c>
      <c r="G134" s="319">
        <f t="shared" si="19"/>
        <v>480123.48000000004</v>
      </c>
      <c r="H134" s="318">
        <f t="shared" si="18"/>
        <v>15487.854193548388</v>
      </c>
      <c r="I134" s="326">
        <f>IFERROR(VLOOKUP(C134,'تقرير إحصائية بحجم المبيعات'!$B$112:$L$137,11,FALSE),0)</f>
        <v>409723.18</v>
      </c>
      <c r="J134" s="321">
        <f t="shared" si="17"/>
        <v>70400.300000000047</v>
      </c>
      <c r="K134" s="322">
        <f>HLOOKUP(C134,'تقرير المصروفات حسب الشهر'!$D$386:$AH$499,114,0)</f>
        <v>53553.93</v>
      </c>
      <c r="L134" s="97"/>
      <c r="M134" s="324">
        <f>Mo7awelat!G18</f>
        <v>45070.810000000005</v>
      </c>
      <c r="N134" s="307">
        <f t="shared" si="16"/>
        <v>61917.180000000051</v>
      </c>
    </row>
    <row r="135" spans="1:18" ht="16.8" thickTop="1" thickBot="1">
      <c r="A135"/>
      <c r="B135" s="312">
        <v>23</v>
      </c>
      <c r="C135" s="314" t="s">
        <v>181</v>
      </c>
      <c r="D135" s="327">
        <f>IFERROR(VLOOKUP(C135,'تقرير إحصائية بحجم المبيعات'!$B$112:$L$142,2,FALSE),0)</f>
        <v>12787.310000000001</v>
      </c>
      <c r="E135" s="327">
        <f>IFERROR(VLOOKUP(C135,'تقرير إحصائية بحجم المبيعات'!$B$112:$L$142,3,FALSE),0)</f>
        <v>0</v>
      </c>
      <c r="F135" s="327">
        <f>IFERROR(VLOOKUP(C135,'تقرير إحصائية بحجم المبيعات'!$B$112:$L$142,4,FALSE),0)</f>
        <v>158067.54999999999</v>
      </c>
      <c r="G135" s="319">
        <f t="shared" si="19"/>
        <v>170854.86</v>
      </c>
      <c r="H135" s="318">
        <f t="shared" si="18"/>
        <v>5511.4470967741927</v>
      </c>
      <c r="I135" s="326">
        <f>IFERROR(VLOOKUP(C135,'تقرير إحصائية بحجم المبيعات'!$B$112:$L$137,11,FALSE),0)</f>
        <v>147850.84</v>
      </c>
      <c r="J135" s="321">
        <f t="shared" si="17"/>
        <v>23004.01999999999</v>
      </c>
      <c r="K135" s="322">
        <f>HLOOKUP(C135,'تقرير المصروفات حسب الشهر'!$D$386:$AH$499,114,0)</f>
        <v>16929.46</v>
      </c>
      <c r="L135" s="97"/>
      <c r="M135" s="324">
        <f>Electric!G18</f>
        <v>0</v>
      </c>
      <c r="N135" s="307">
        <f t="shared" si="16"/>
        <v>6074.5599999999904</v>
      </c>
    </row>
    <row r="136" spans="1:18" ht="16.8" thickTop="1" thickBot="1">
      <c r="A136"/>
      <c r="B136" s="312">
        <v>24</v>
      </c>
      <c r="C136" s="314" t="s">
        <v>182</v>
      </c>
      <c r="D136" s="327">
        <f>IFERROR(VLOOKUP(C136,'تقرير إحصائية بحجم المبيعات'!$B$112:$L$142,2,FALSE),0)</f>
        <v>25494.010000000002</v>
      </c>
      <c r="E136" s="327">
        <f>IFERROR(VLOOKUP(C136,'تقرير إحصائية بحجم المبيعات'!$B$112:$L$142,3,FALSE),0)</f>
        <v>0</v>
      </c>
      <c r="F136" s="327">
        <f>IFERROR(VLOOKUP(C136,'تقرير إحصائية بحجم المبيعات'!$B$112:$L$142,4,FALSE),0)</f>
        <v>105151.67</v>
      </c>
      <c r="G136" s="319">
        <f t="shared" si="19"/>
        <v>130645.68</v>
      </c>
      <c r="H136" s="318">
        <f t="shared" si="18"/>
        <v>4214.376774193548</v>
      </c>
      <c r="I136" s="326">
        <f>IFERROR(VLOOKUP(C136,'تقرير إحصائية بحجم المبيعات'!$B$112:$L$137,11,FALSE),0)</f>
        <v>111594.88</v>
      </c>
      <c r="J136" s="321">
        <f t="shared" si="17"/>
        <v>19050.799999999988</v>
      </c>
      <c r="K136" s="322">
        <f>HLOOKUP(C136,'تقرير المصروفات حسب الشهر'!$D$386:$AH$499,114,0)</f>
        <v>18417.210000000003</v>
      </c>
      <c r="L136" s="97"/>
      <c r="M136" s="324">
        <f>'M.C.V'!G18</f>
        <v>0</v>
      </c>
      <c r="N136" s="307">
        <f t="shared" si="16"/>
        <v>633.58999999998559</v>
      </c>
    </row>
    <row r="137" spans="1:18" ht="16.8" thickTop="1" thickBot="1">
      <c r="A137"/>
      <c r="B137" s="312">
        <v>25</v>
      </c>
      <c r="C137" s="314" t="s">
        <v>187</v>
      </c>
      <c r="D137" s="327">
        <f>IFERROR(VLOOKUP(C137,'تقرير إحصائية بحجم المبيعات'!$B$112:$L$142,2,FALSE),0)</f>
        <v>72947.320000000007</v>
      </c>
      <c r="E137" s="327">
        <f>IFERROR(VLOOKUP(C137,'تقرير إحصائية بحجم المبيعات'!$B$112:$L$142,3,FALSE),0)</f>
        <v>0</v>
      </c>
      <c r="F137" s="327">
        <f>IFERROR(VLOOKUP(C137,'تقرير إحصائية بحجم المبيعات'!$B$112:$L$142,4,FALSE),0)</f>
        <v>204104.61</v>
      </c>
      <c r="G137" s="319">
        <f t="shared" ref="G137:G143" si="20">+D137+E137+F137</f>
        <v>277051.93</v>
      </c>
      <c r="H137" s="318">
        <f t="shared" ref="H137:H143" si="21">+G137/31</f>
        <v>8937.1590322580651</v>
      </c>
      <c r="I137" s="326">
        <f>IFERROR(VLOOKUP(C137,'تقرير إحصائية بحجم المبيعات'!$B$112:$L$137,11,FALSE),0)</f>
        <v>234425.1</v>
      </c>
      <c r="J137" s="321">
        <f t="shared" ref="J137:J143" si="22">+G137-I137</f>
        <v>42626.829999999987</v>
      </c>
      <c r="K137" s="322">
        <f>HLOOKUP(C137,'تقرير المصروفات حسب الشهر'!$D$386:$AH$499,114,0)</f>
        <v>46748.53</v>
      </c>
      <c r="L137" s="97"/>
      <c r="M137" s="324">
        <f>Egyplast!G18</f>
        <v>0</v>
      </c>
      <c r="N137" s="307">
        <f t="shared" si="16"/>
        <v>-4121.7000000000116</v>
      </c>
    </row>
    <row r="138" spans="1:18" ht="16.8" thickTop="1" thickBot="1">
      <c r="A138"/>
      <c r="B138" s="312">
        <v>26</v>
      </c>
      <c r="C138" s="315" t="s">
        <v>240</v>
      </c>
      <c r="D138" s="327">
        <f>IFERROR(VLOOKUP(C138,'تقرير إحصائية بحجم المبيعات'!$B$112:$L$142,2,FALSE),0)</f>
        <v>179641.73</v>
      </c>
      <c r="E138" s="327">
        <f>IFERROR(VLOOKUP(C138,'تقرير إحصائية بحجم المبيعات'!$B$112:$L$142,3,FALSE),0)</f>
        <v>0</v>
      </c>
      <c r="F138" s="327">
        <f>IFERROR(VLOOKUP(C138,'تقرير إحصائية بحجم المبيعات'!$B$112:$L$142,4,FALSE),0)</f>
        <v>435925.16</v>
      </c>
      <c r="G138" s="319">
        <f t="shared" si="20"/>
        <v>615566.89</v>
      </c>
      <c r="H138" s="318">
        <f t="shared" si="21"/>
        <v>19856.996451612904</v>
      </c>
      <c r="I138" s="326">
        <f>IFERROR(VLOOKUP(C138,'تقرير إحصائية بحجم المبيعات'!$B$112:$L$137,11,FALSE),0)</f>
        <v>528662.42000000004</v>
      </c>
      <c r="J138" s="321">
        <f t="shared" si="22"/>
        <v>86904.469999999972</v>
      </c>
      <c r="K138" s="322">
        <f>HLOOKUP(C138,'تقرير المصروفات حسب الشهر'!$D$386:$AH$499,114,0)</f>
        <v>24257.030000000002</v>
      </c>
      <c r="L138" s="99"/>
      <c r="M138" s="324">
        <f>CFC!G18</f>
        <v>0</v>
      </c>
      <c r="N138" s="307">
        <f t="shared" si="16"/>
        <v>62647.439999999973</v>
      </c>
    </row>
    <row r="139" spans="1:18" ht="16.8" thickTop="1" thickBot="1">
      <c r="A139"/>
      <c r="B139" s="312">
        <v>27</v>
      </c>
      <c r="C139" s="316" t="s">
        <v>245</v>
      </c>
      <c r="D139" s="327">
        <f>IFERROR(VLOOKUP(C139,'تقرير إحصائية بحجم المبيعات'!$B$112:$L$142,2,FALSE),0)</f>
        <v>0</v>
      </c>
      <c r="E139" s="327">
        <f>IFERROR(VLOOKUP(C139,'تقرير إحصائية بحجم المبيعات'!$B$112:$L$142,3,FALSE),0)</f>
        <v>0</v>
      </c>
      <c r="F139" s="327">
        <f>IFERROR(VLOOKUP(C139,'تقرير إحصائية بحجم المبيعات'!$B$112:$L$142,4,FALSE),0)</f>
        <v>0</v>
      </c>
      <c r="G139" s="319">
        <f t="shared" si="20"/>
        <v>0</v>
      </c>
      <c r="H139" s="318">
        <f t="shared" si="21"/>
        <v>0</v>
      </c>
      <c r="I139" s="326">
        <f>IFERROR(VLOOKUP(C139,'تقرير إحصائية بحجم المبيعات'!$B$112:$L$142,11,0),0)</f>
        <v>0</v>
      </c>
      <c r="J139" s="321">
        <f t="shared" si="22"/>
        <v>0</v>
      </c>
      <c r="K139" s="322">
        <f>HLOOKUP(C139,'تقرير المصروفات حسب الشهر'!$D$386:$AH$499,114,0)</f>
        <v>0</v>
      </c>
      <c r="L139" s="99"/>
      <c r="M139" s="324">
        <f>North.Coast!G18</f>
        <v>0</v>
      </c>
      <c r="N139" s="307">
        <f t="shared" si="16"/>
        <v>0</v>
      </c>
    </row>
    <row r="140" spans="1:18" ht="16.8" thickTop="1" thickBot="1">
      <c r="A140"/>
      <c r="B140" s="312">
        <v>28</v>
      </c>
      <c r="C140" s="316" t="s">
        <v>357</v>
      </c>
      <c r="D140" s="327">
        <f>IFERROR(VLOOKUP(C140,'تقرير إحصائية بحجم المبيعات'!$B$112:$L$142,2,FALSE),0)</f>
        <v>2220746.15</v>
      </c>
      <c r="E140" s="327">
        <f>IFERROR(VLOOKUP(C140,'تقرير إحصائية بحجم المبيعات'!$B$112:$L$142,3,FALSE),0)</f>
        <v>36683.9</v>
      </c>
      <c r="F140" s="327">
        <f>IFERROR(VLOOKUP(C140,'تقرير إحصائية بحجم المبيعات'!$B$112:$L$142,4,FALSE),0)</f>
        <v>44974.41</v>
      </c>
      <c r="G140" s="319">
        <f t="shared" si="20"/>
        <v>2302404.46</v>
      </c>
      <c r="H140" s="318">
        <f t="shared" si="21"/>
        <v>74271.111612903231</v>
      </c>
      <c r="I140" s="326">
        <f>IFERROR(VLOOKUP(C140,'تقرير إحصائية بحجم المبيعات'!$B$112:$L$142,11,0),0)</f>
        <v>1777170.28</v>
      </c>
      <c r="J140" s="321">
        <f t="shared" si="22"/>
        <v>525234.17999999993</v>
      </c>
      <c r="K140" s="322">
        <f>HLOOKUP(C140,'تقرير المصروفات حسب الشهر'!$D$386:$AH$499,114,0)</f>
        <v>792924.48</v>
      </c>
      <c r="L140" s="99"/>
      <c r="M140" s="324">
        <f>Rehab!G18</f>
        <v>0</v>
      </c>
      <c r="N140" s="307">
        <f t="shared" si="16"/>
        <v>-267690.30000000005</v>
      </c>
    </row>
    <row r="141" spans="1:18" ht="16.8" thickTop="1" thickBot="1">
      <c r="A141"/>
      <c r="B141" s="312">
        <v>29</v>
      </c>
      <c r="C141" s="316" t="s">
        <v>362</v>
      </c>
      <c r="D141" s="327">
        <f>IFERROR(VLOOKUP(C141,'تقرير إحصائية بحجم المبيعات'!$B$112:$L$142,2,FALSE),0)</f>
        <v>48207.76999999999</v>
      </c>
      <c r="E141" s="327">
        <f>IFERROR(VLOOKUP(C141,'تقرير إحصائية بحجم المبيعات'!$B$112:$L$142,3,FALSE),0)</f>
        <v>0</v>
      </c>
      <c r="F141" s="327">
        <f>IFERROR(VLOOKUP(C141,'تقرير إحصائية بحجم المبيعات'!$B$112:$L$142,4,FALSE),0)</f>
        <v>389362.9</v>
      </c>
      <c r="G141" s="319">
        <f t="shared" si="20"/>
        <v>437570.67000000004</v>
      </c>
      <c r="H141" s="318">
        <f t="shared" si="21"/>
        <v>14115.182903225808</v>
      </c>
      <c r="I141" s="326">
        <f>IFERROR(VLOOKUP(C141,'تقرير إحصائية بحجم المبيعات'!$B$112:$L$142,11,0),0)</f>
        <v>377434.47</v>
      </c>
      <c r="J141" s="321">
        <f t="shared" si="22"/>
        <v>60136.20000000007</v>
      </c>
      <c r="K141" s="322">
        <f>HLOOKUP(C141,'تقرير المصروفات حسب الشهر'!$D$386:$AH$499,114,0)</f>
        <v>22532.34</v>
      </c>
      <c r="L141" s="99"/>
      <c r="M141" s="324">
        <f>'HSBC MAADI'!G18</f>
        <v>14705.970000000001</v>
      </c>
      <c r="N141" s="307">
        <f t="shared" si="16"/>
        <v>52309.830000000075</v>
      </c>
    </row>
    <row r="142" spans="1:18" ht="16.8" thickTop="1" thickBot="1">
      <c r="A142"/>
      <c r="B142" s="312">
        <v>30</v>
      </c>
      <c r="C142" s="316" t="s">
        <v>361</v>
      </c>
      <c r="D142" s="327">
        <f>IFERROR(VLOOKUP(C142,'تقرير إحصائية بحجم المبيعات'!$B$112:$L$142,2,FALSE),0)</f>
        <v>78582.87999999999</v>
      </c>
      <c r="E142" s="327">
        <f>IFERROR(VLOOKUP(C142,'تقرير إحصائية بحجم المبيعات'!$B$112:$L$142,3,FALSE),0)</f>
        <v>0</v>
      </c>
      <c r="F142" s="327">
        <f>IFERROR(VLOOKUP(C142,'تقرير إحصائية بحجم المبيعات'!$B$112:$L$142,4,FALSE),0)</f>
        <v>410088.37</v>
      </c>
      <c r="G142" s="319">
        <f t="shared" si="20"/>
        <v>488671.25</v>
      </c>
      <c r="H142" s="318">
        <f t="shared" si="21"/>
        <v>15763.588709677419</v>
      </c>
      <c r="I142" s="326">
        <f>IFERROR(VLOOKUP(C142,'تقرير إحصائية بحجم المبيعات'!$B$112:$L$142,11,0),0)</f>
        <v>421022.13</v>
      </c>
      <c r="J142" s="321">
        <f t="shared" si="22"/>
        <v>67649.119999999995</v>
      </c>
      <c r="K142" s="322">
        <f>HLOOKUP(C142,'تقرير المصروفات حسب الشهر'!$D$386:$AH$499,114,0)</f>
        <v>34843.339999999997</v>
      </c>
      <c r="L142" s="99"/>
      <c r="M142" s="324">
        <f>'HSBC SMART'!G18</f>
        <v>795.2</v>
      </c>
      <c r="N142" s="307">
        <f t="shared" si="16"/>
        <v>33600.979999999996</v>
      </c>
    </row>
    <row r="143" spans="1:18" ht="16.8" thickTop="1" thickBot="1">
      <c r="A143"/>
      <c r="B143" s="312">
        <v>31</v>
      </c>
      <c r="C143" s="316" t="s">
        <v>234</v>
      </c>
      <c r="D143" s="327">
        <f>IFERROR(VLOOKUP(C143,'تقرير إحصائية بحجم المبيعات'!$B$112:$L$142,2,FALSE),0)</f>
        <v>0</v>
      </c>
      <c r="E143" s="327">
        <f>IFERROR(VLOOKUP(C143,'تقرير إحصائية بحجم المبيعات'!$B$112:$L$142,3,FALSE),0)</f>
        <v>0</v>
      </c>
      <c r="F143" s="327">
        <f>IFERROR(VLOOKUP(C143,'تقرير إحصائية بحجم المبيعات'!$B$112:$L$142,4,FALSE),0)</f>
        <v>0</v>
      </c>
      <c r="G143" s="319">
        <f t="shared" si="20"/>
        <v>0</v>
      </c>
      <c r="H143" s="318">
        <f t="shared" si="21"/>
        <v>0</v>
      </c>
      <c r="I143" s="326">
        <f>IFERROR(VLOOKUP(C143,'تقرير إحصائية بحجم المبيعات'!$B$112:$L$142,11,0),0)</f>
        <v>0</v>
      </c>
      <c r="J143" s="321">
        <f t="shared" si="22"/>
        <v>0</v>
      </c>
      <c r="K143" s="322">
        <f>HLOOKUP(C143,'تقرير المصروفات حسب الشهر'!$D$386:$AH$499,114,0)</f>
        <v>0</v>
      </c>
      <c r="L143" s="99"/>
      <c r="M143" s="324">
        <f>Vois!G18</f>
        <v>0</v>
      </c>
      <c r="N143" s="307">
        <f t="shared" si="16"/>
        <v>0</v>
      </c>
    </row>
    <row r="144" spans="1:18" ht="16.95" customHeight="1" thickTop="1" thickBot="1">
      <c r="A144"/>
      <c r="B144" s="312" t="s">
        <v>18</v>
      </c>
      <c r="C144" s="316"/>
      <c r="D144" s="320">
        <f>SUM(D113:D143)</f>
        <v>25315083.439999994</v>
      </c>
      <c r="E144" s="320">
        <f>SUM(E113:E143)</f>
        <v>3701789.5000000005</v>
      </c>
      <c r="F144" s="320">
        <f>SUM(F113:F143)</f>
        <v>17998654.289999995</v>
      </c>
      <c r="G144" s="320">
        <f>SUM(G113:G143)</f>
        <v>47015527.229999989</v>
      </c>
      <c r="H144" s="318">
        <f>SUM(H113:H138)</f>
        <v>1412480.0274193545</v>
      </c>
      <c r="I144" s="326">
        <f>SUM(I113:I143)</f>
        <v>38233326.830000021</v>
      </c>
      <c r="J144" s="321">
        <f>SUM(J113:J143)</f>
        <v>8782200.3999999966</v>
      </c>
      <c r="K144" s="322">
        <f>SUM(K113:K143)</f>
        <v>8907714.5500000007</v>
      </c>
      <c r="L144" s="99">
        <f>SUM(L113:L138)</f>
        <v>0</v>
      </c>
      <c r="M144" s="325">
        <f>SUM(M113:M143)</f>
        <v>979531.25</v>
      </c>
      <c r="N144" s="307">
        <f>SUM(N113:N143)</f>
        <v>854017.10000000033</v>
      </c>
      <c r="R144" s="463"/>
    </row>
    <row r="145" spans="1:14" ht="13.8" thickTop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ht="13.8" thickBo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ht="30.6" thickBot="1">
      <c r="A147"/>
      <c r="B147" s="649" t="s">
        <v>378</v>
      </c>
      <c r="C147" s="650"/>
      <c r="D147" s="650"/>
      <c r="E147" s="650"/>
      <c r="F147" s="650"/>
      <c r="G147" s="650"/>
      <c r="H147" s="650"/>
      <c r="I147" s="650"/>
      <c r="J147" s="650"/>
      <c r="K147" s="650"/>
      <c r="L147" s="650"/>
      <c r="M147" s="650"/>
      <c r="N147" s="651"/>
    </row>
    <row r="148" spans="1:14" ht="16.8" thickTop="1" thickBot="1">
      <c r="A148"/>
      <c r="B148" s="308" t="s">
        <v>39</v>
      </c>
      <c r="C148" s="308" t="s">
        <v>34</v>
      </c>
      <c r="D148" s="309" t="s">
        <v>20</v>
      </c>
      <c r="E148" s="310" t="s">
        <v>21</v>
      </c>
      <c r="F148" s="310" t="s">
        <v>22</v>
      </c>
      <c r="G148" s="308" t="s">
        <v>19</v>
      </c>
      <c r="H148" s="308" t="s">
        <v>12</v>
      </c>
      <c r="I148" s="308" t="s">
        <v>13</v>
      </c>
      <c r="J148" s="308" t="s">
        <v>14</v>
      </c>
      <c r="K148" s="308" t="s">
        <v>15</v>
      </c>
      <c r="L148" s="308" t="s">
        <v>32</v>
      </c>
      <c r="M148" s="311" t="s">
        <v>16</v>
      </c>
      <c r="N148" s="306" t="s">
        <v>17</v>
      </c>
    </row>
    <row r="149" spans="1:14" ht="16.8" thickTop="1" thickBot="1">
      <c r="A149"/>
      <c r="B149" s="312">
        <v>1</v>
      </c>
      <c r="C149" s="313" t="s">
        <v>184</v>
      </c>
      <c r="D149" s="327">
        <f>IFERROR(VLOOKUP(C149,'تقرير إحصائية بحجم المبيعات'!$B$147:$L$177,2,FALSE),0)</f>
        <v>0</v>
      </c>
      <c r="E149" s="327">
        <f>IFERROR(VLOOKUP(C149,'تقرير إحصائية بحجم المبيعات'!$B$147:$L$177,3,FALSE),0)</f>
        <v>0</v>
      </c>
      <c r="F149" s="327">
        <f>IFERROR(VLOOKUP(C149,'تقرير إحصائية بحجم المبيعات'!$B$147:$L$177,4,FALSE),0)</f>
        <v>0</v>
      </c>
      <c r="G149" s="317">
        <f>+D149+E149+F149</f>
        <v>0</v>
      </c>
      <c r="H149" s="318"/>
      <c r="I149" s="326">
        <f>IFERROR(VLOOKUP(C149,'تقرير إحصائية بحجم المبيعات'!$B$147:$L$177,11,FALSE),0)</f>
        <v>0</v>
      </c>
      <c r="J149" s="321">
        <f>+G149-I149</f>
        <v>0</v>
      </c>
      <c r="K149" s="322">
        <f>HLOOKUP(C149,'تقرير المصروفات حسب الشهر'!$D$511:$AH$624,114,0)</f>
        <v>2137158.91</v>
      </c>
      <c r="L149" s="96"/>
      <c r="M149" s="323">
        <f>HQ!$H$18</f>
        <v>1040476.5200000001</v>
      </c>
      <c r="N149" s="307">
        <f>J149-K149-L149+M149</f>
        <v>-1096682.3900000001</v>
      </c>
    </row>
    <row r="150" spans="1:14" ht="16.8" thickTop="1" thickBot="1">
      <c r="A150"/>
      <c r="B150" s="312">
        <v>2</v>
      </c>
      <c r="C150" s="314" t="s">
        <v>36</v>
      </c>
      <c r="D150" s="327">
        <f>IFERROR(VLOOKUP(C150,'تقرير إحصائية بحجم المبيعات'!$B$147:$L$177,2,FALSE),0)</f>
        <v>3884393.1499999994</v>
      </c>
      <c r="E150" s="327">
        <f>IFERROR(VLOOKUP(C150,'تقرير إحصائية بحجم المبيعات'!$B$147:$L$177,3,FALSE),0)</f>
        <v>678401.42</v>
      </c>
      <c r="F150" s="327">
        <f>IFERROR(VLOOKUP(C150,'تقرير إحصائية بحجم المبيعات'!$B$147:$L$177,4,FALSE),0)</f>
        <v>1279920.1100000001</v>
      </c>
      <c r="G150" s="319">
        <f>+D150+E150+F150</f>
        <v>5842714.6799999997</v>
      </c>
      <c r="H150" s="318">
        <f>+G150/31</f>
        <v>188474.66709677418</v>
      </c>
      <c r="I150" s="326">
        <f>IFERROR(VLOOKUP(C150,'تقرير إحصائية بحجم المبيعات'!$B$147:$L$177,11,FALSE),0)</f>
        <v>4660011.13</v>
      </c>
      <c r="J150" s="321">
        <f>+G150-I150</f>
        <v>1182703.5499999998</v>
      </c>
      <c r="K150" s="322">
        <f>HLOOKUP(C150,'تقرير المصروفات حسب الشهر'!$D$511:$AH$624,114,0)</f>
        <v>864941.69</v>
      </c>
      <c r="L150" s="97"/>
      <c r="M150" s="324">
        <f>Aguza!H18</f>
        <v>3850</v>
      </c>
      <c r="N150" s="307">
        <f t="shared" ref="N150:N174" si="23">J150-K150-L150+M150</f>
        <v>321611.85999999987</v>
      </c>
    </row>
    <row r="151" spans="1:14" ht="16.8" thickTop="1" thickBot="1">
      <c r="A151"/>
      <c r="B151" s="312">
        <v>3</v>
      </c>
      <c r="C151" s="314" t="s">
        <v>9</v>
      </c>
      <c r="D151" s="327">
        <f>IFERROR(VLOOKUP(C151,'تقرير إحصائية بحجم المبيعات'!$B$147:$L$177,2,FALSE),0)</f>
        <v>3074623.8000000003</v>
      </c>
      <c r="E151" s="327">
        <f>IFERROR(VLOOKUP(C151,'تقرير إحصائية بحجم المبيعات'!$B$147:$L$177,3,FALSE),0)</f>
        <v>1414347.51</v>
      </c>
      <c r="F151" s="327">
        <f>IFERROR(VLOOKUP(C151,'تقرير إحصائية بحجم المبيعات'!$B$147:$L$177,4,FALSE),0)</f>
        <v>496875.43</v>
      </c>
      <c r="G151" s="319">
        <f>+D151+E151+F151</f>
        <v>4985846.74</v>
      </c>
      <c r="H151" s="318">
        <f>+G151/31</f>
        <v>160833.76580645161</v>
      </c>
      <c r="I151" s="326">
        <f>IFERROR(VLOOKUP(C151,'تقرير إحصائية بحجم المبيعات'!$B$147:$L$177,11,FALSE),0)</f>
        <v>3994105.97</v>
      </c>
      <c r="J151" s="321">
        <f t="shared" ref="J151:J174" si="24">+G151-I151</f>
        <v>991740.77</v>
      </c>
      <c r="K151" s="322">
        <f>HLOOKUP(C151,'تقرير المصروفات حسب الشهر'!$D$511:$AH$624,114,0)</f>
        <v>727615.85</v>
      </c>
      <c r="L151" s="97"/>
      <c r="M151" s="324">
        <f>October!H18</f>
        <v>21927.939999999995</v>
      </c>
      <c r="N151" s="307">
        <f t="shared" si="23"/>
        <v>286052.86000000004</v>
      </c>
    </row>
    <row r="152" spans="1:14" ht="16.8" thickTop="1" thickBot="1">
      <c r="A152"/>
      <c r="B152" s="312">
        <v>4</v>
      </c>
      <c r="C152" s="314" t="s">
        <v>25</v>
      </c>
      <c r="D152" s="327">
        <f>IFERROR(VLOOKUP(C152,'تقرير إحصائية بحجم المبيعات'!$B$147:$L$177,2,FALSE),0)</f>
        <v>1387310.4</v>
      </c>
      <c r="E152" s="327">
        <f>IFERROR(VLOOKUP(C152,'تقرير إحصائية بحجم المبيعات'!$B$147:$L$177,3,FALSE),0)</f>
        <v>412398.89</v>
      </c>
      <c r="F152" s="327">
        <f>IFERROR(VLOOKUP(C152,'تقرير إحصائية بحجم المبيعات'!$B$147:$L$177,4,FALSE),0)</f>
        <v>2284424.35</v>
      </c>
      <c r="G152" s="319">
        <f>+D152+E152+F152</f>
        <v>4084133.64</v>
      </c>
      <c r="H152" s="318">
        <f t="shared" ref="H152:H175" si="25">+G152/31</f>
        <v>131746.24645161291</v>
      </c>
      <c r="I152" s="326">
        <f>IFERROR(VLOOKUP(C152,'تقرير إحصائية بحجم المبيعات'!$B$147:$L$177,11,FALSE),0)</f>
        <v>3372052.85</v>
      </c>
      <c r="J152" s="321">
        <f t="shared" si="24"/>
        <v>712080.79</v>
      </c>
      <c r="K152" s="322">
        <f>HLOOKUP(C152,'تقرير المصروفات حسب الشهر'!$D$511:$AH$624,114,0)</f>
        <v>482800.97000000003</v>
      </c>
      <c r="L152" s="97"/>
      <c r="M152" s="324">
        <f>Batal!H18</f>
        <v>49333.270000000004</v>
      </c>
      <c r="N152" s="307">
        <f t="shared" si="23"/>
        <v>278613.09000000003</v>
      </c>
    </row>
    <row r="153" spans="1:14" ht="16.8" thickTop="1" thickBot="1">
      <c r="A153"/>
      <c r="B153" s="312">
        <v>5</v>
      </c>
      <c r="C153" s="314" t="s">
        <v>160</v>
      </c>
      <c r="D153" s="327">
        <f>IFERROR(VLOOKUP(C153,'تقرير إحصائية بحجم المبيعات'!$B$147:$L$177,2,FALSE),0)</f>
        <v>4668777.2</v>
      </c>
      <c r="E153" s="327">
        <f>IFERROR(VLOOKUP(C153,'تقرير إحصائية بحجم المبيعات'!$B$147:$L$177,3,FALSE),0)</f>
        <v>18535.16</v>
      </c>
      <c r="F153" s="327">
        <f>IFERROR(VLOOKUP(C153,'تقرير إحصائية بحجم المبيعات'!$B$147:$L$177,4,FALSE),0)</f>
        <v>3124791.93</v>
      </c>
      <c r="G153" s="319">
        <f t="shared" ref="G153:G174" si="26">+D153+E153+F153</f>
        <v>7812104.290000001</v>
      </c>
      <c r="H153" s="318">
        <f t="shared" si="25"/>
        <v>252003.36419354842</v>
      </c>
      <c r="I153" s="326">
        <f>IFERROR(VLOOKUP(C153,'تقرير إحصائية بحجم المبيعات'!$B$147:$L$177,11,FALSE),0)</f>
        <v>6422056.5800000001</v>
      </c>
      <c r="J153" s="321">
        <f t="shared" si="24"/>
        <v>1390047.7100000009</v>
      </c>
      <c r="K153" s="322">
        <f>HLOOKUP(C153,'تقرير المصروفات حسب الشهر'!$D$511:$AH$624,114,0)</f>
        <v>959623.79999999993</v>
      </c>
      <c r="L153" s="97"/>
      <c r="M153" s="324">
        <f>'Nasr City'!H18</f>
        <v>1154.2799999999997</v>
      </c>
      <c r="N153" s="307">
        <f t="shared" si="23"/>
        <v>431578.19000000099</v>
      </c>
    </row>
    <row r="154" spans="1:14" ht="16.8" thickTop="1" thickBot="1">
      <c r="A154"/>
      <c r="B154" s="312">
        <v>6</v>
      </c>
      <c r="C154" s="314" t="s">
        <v>139</v>
      </c>
      <c r="D154" s="327">
        <f>IFERROR(VLOOKUP(C154,'تقرير إحصائية بحجم المبيعات'!$B$147:$L$177,2,FALSE),0)</f>
        <v>28323.279999999795</v>
      </c>
      <c r="E154" s="327">
        <f>IFERROR(VLOOKUP(C154,'تقرير إحصائية بحجم المبيعات'!$B$147:$L$177,3,FALSE),0)</f>
        <v>0</v>
      </c>
      <c r="F154" s="327">
        <f>IFERROR(VLOOKUP(C154,'تقرير إحصائية بحجم المبيعات'!$B$147:$L$177,4,FALSE),0)</f>
        <v>1912415.68</v>
      </c>
      <c r="G154" s="319">
        <f t="shared" si="26"/>
        <v>1940738.9599999997</v>
      </c>
      <c r="H154" s="318">
        <f t="shared" si="25"/>
        <v>62604.482580645155</v>
      </c>
      <c r="I154" s="326">
        <f>IFERROR(VLOOKUP(C154,'تقرير إحصائية بحجم المبيعات'!$B$147:$L$177,11,FALSE),0)</f>
        <v>1669227.75</v>
      </c>
      <c r="J154" s="321">
        <f t="shared" si="24"/>
        <v>271511.20999999973</v>
      </c>
      <c r="K154" s="322">
        <f>HLOOKUP(C154,'تقرير المصروفات حسب الشهر'!$D$511:$AH$624,114,0)</f>
        <v>74869.099999999991</v>
      </c>
      <c r="L154" s="97"/>
      <c r="M154" s="324">
        <f>Sweedy!H18</f>
        <v>120408.89000000001</v>
      </c>
      <c r="N154" s="307">
        <f t="shared" si="23"/>
        <v>317050.99999999977</v>
      </c>
    </row>
    <row r="155" spans="1:14" ht="16.8" thickTop="1" thickBot="1">
      <c r="A155"/>
      <c r="B155" s="312">
        <v>7</v>
      </c>
      <c r="C155" s="314" t="s">
        <v>37</v>
      </c>
      <c r="D155" s="327">
        <f>IFERROR(VLOOKUP(C155,'تقرير إحصائية بحجم المبيعات'!$B$147:$L$177,2,FALSE),0)</f>
        <v>12612.339999999967</v>
      </c>
      <c r="E155" s="327">
        <f>IFERROR(VLOOKUP(C155,'تقرير إحصائية بحجم المبيعات'!$B$147:$L$177,3,FALSE),0)</f>
        <v>0</v>
      </c>
      <c r="F155" s="327">
        <f>IFERROR(VLOOKUP(C155,'تقرير إحصائية بحجم المبيعات'!$B$147:$L$177,4,FALSE),0)</f>
        <v>296459.96000000002</v>
      </c>
      <c r="G155" s="319">
        <f t="shared" si="26"/>
        <v>309072.3</v>
      </c>
      <c r="H155" s="318">
        <f t="shared" si="25"/>
        <v>9970.0741935483875</v>
      </c>
      <c r="I155" s="326">
        <f>IFERROR(VLOOKUP(C155,'تقرير إحصائية بحجم المبيعات'!$B$147:$L$177,11,FALSE),0)</f>
        <v>270303.07</v>
      </c>
      <c r="J155" s="321">
        <f t="shared" si="24"/>
        <v>38769.229999999981</v>
      </c>
      <c r="K155" s="322">
        <f>HLOOKUP(C155,'تقرير المصروفات حسب الشهر'!$D$511:$AH$624,114,0)</f>
        <v>19124.859999999997</v>
      </c>
      <c r="L155" s="97"/>
      <c r="M155" s="324">
        <f>NTRA!H18</f>
        <v>0</v>
      </c>
      <c r="N155" s="307">
        <f t="shared" si="23"/>
        <v>19644.369999999984</v>
      </c>
    </row>
    <row r="156" spans="1:14" ht="16.8" thickTop="1" thickBot="1">
      <c r="A156"/>
      <c r="B156" s="312">
        <v>8</v>
      </c>
      <c r="C156" s="314" t="s">
        <v>133</v>
      </c>
      <c r="D156" s="327">
        <f>IFERROR(VLOOKUP(C156,'تقرير إحصائية بحجم المبيعات'!$B$147:$L$177,2,FALSE),0)</f>
        <v>9165.4899999999852</v>
      </c>
      <c r="E156" s="327">
        <f>IFERROR(VLOOKUP(C156,'تقرير إحصائية بحجم المبيعات'!$B$147:$L$177,3,FALSE),0)</f>
        <v>0</v>
      </c>
      <c r="F156" s="327">
        <f>IFERROR(VLOOKUP(C156,'تقرير إحصائية بحجم المبيعات'!$B$147:$L$177,4,FALSE),0)</f>
        <v>234418.74</v>
      </c>
      <c r="G156" s="319">
        <f t="shared" si="26"/>
        <v>243584.22999999998</v>
      </c>
      <c r="H156" s="318">
        <f t="shared" si="25"/>
        <v>7857.5558064516126</v>
      </c>
      <c r="I156" s="326">
        <f>IFERROR(VLOOKUP(C156,'تقرير إحصائية بحجم المبيعات'!$B$147:$L$177,11,FALSE),0)</f>
        <v>213795.07</v>
      </c>
      <c r="J156" s="321">
        <f t="shared" si="24"/>
        <v>29789.159999999974</v>
      </c>
      <c r="K156" s="322">
        <f>HLOOKUP(C156,'تقرير المصروفات حسب الشهر'!$D$511:$AH$624,114,0)</f>
        <v>13842.84</v>
      </c>
      <c r="L156" s="97"/>
      <c r="M156" s="324">
        <f>Etisalat!H18</f>
        <v>222.29999999999998</v>
      </c>
      <c r="N156" s="307">
        <f t="shared" si="23"/>
        <v>16168.619999999974</v>
      </c>
    </row>
    <row r="157" spans="1:14" ht="16.8" thickTop="1" thickBot="1">
      <c r="A157"/>
      <c r="B157" s="312">
        <v>9</v>
      </c>
      <c r="C157" s="314" t="s">
        <v>203</v>
      </c>
      <c r="D157" s="327">
        <f>IFERROR(VLOOKUP(C157,'تقرير إحصائية بحجم المبيعات'!$B$147:$L$177,2,FALSE),0)</f>
        <v>1730201.06</v>
      </c>
      <c r="E157" s="327">
        <f>IFERROR(VLOOKUP(C157,'تقرير إحصائية بحجم المبيعات'!$B$147:$L$177,3,FALSE),0)</f>
        <v>72098.48</v>
      </c>
      <c r="F157" s="327">
        <f>IFERROR(VLOOKUP(C157,'تقرير إحصائية بحجم المبيعات'!$B$147:$L$177,4,FALSE),0)</f>
        <v>651710.92000000004</v>
      </c>
      <c r="G157" s="319">
        <f t="shared" si="26"/>
        <v>2454010.46</v>
      </c>
      <c r="H157" s="318">
        <f t="shared" si="25"/>
        <v>79161.627741935488</v>
      </c>
      <c r="I157" s="326">
        <f>IFERROR(VLOOKUP(C157,'تقرير إحصائية بحجم المبيعات'!$B$147:$L$177,11,FALSE),0)</f>
        <v>1981910.94</v>
      </c>
      <c r="J157" s="321">
        <f t="shared" si="24"/>
        <v>472099.52</v>
      </c>
      <c r="K157" s="322">
        <f>HLOOKUP(C157,'تقرير المصروفات حسب الشهر'!$D$511:$AH$624,114,0)</f>
        <v>345965.66000000003</v>
      </c>
      <c r="L157" s="97"/>
      <c r="M157" s="324">
        <f>Alamya!H18</f>
        <v>8118.1500000000051</v>
      </c>
      <c r="N157" s="307">
        <f t="shared" si="23"/>
        <v>134252.00999999998</v>
      </c>
    </row>
    <row r="158" spans="1:14" ht="16.8" thickTop="1" thickBot="1">
      <c r="A158"/>
      <c r="B158" s="312">
        <v>10</v>
      </c>
      <c r="C158" s="314" t="s">
        <v>233</v>
      </c>
      <c r="D158" s="327">
        <f>IFERROR(VLOOKUP(C158,'تقرير إحصائية بحجم المبيعات'!$B$147:$L$177,2,FALSE),0)</f>
        <v>72914</v>
      </c>
      <c r="E158" s="327">
        <f>IFERROR(VLOOKUP(C158,'تقرير إحصائية بحجم المبيعات'!$B$147:$L$177,3,FALSE),0)</f>
        <v>0</v>
      </c>
      <c r="F158" s="327">
        <f>IFERROR(VLOOKUP(C158,'تقرير إحصائية بحجم المبيعات'!$B$147:$L$177,4,FALSE),0)</f>
        <v>515680.11</v>
      </c>
      <c r="G158" s="319">
        <f t="shared" si="26"/>
        <v>588594.11</v>
      </c>
      <c r="H158" s="318">
        <f t="shared" si="25"/>
        <v>18986.906774193547</v>
      </c>
      <c r="I158" s="326">
        <f>IFERROR(VLOOKUP(C158,'تقرير إحصائية بحجم المبيعات'!$B$147:$L$177,11,FALSE),0)</f>
        <v>502425.41</v>
      </c>
      <c r="J158" s="321">
        <f t="shared" si="24"/>
        <v>86168.700000000012</v>
      </c>
      <c r="K158" s="322">
        <f>HLOOKUP(C158,'تقرير المصروفات حسب الشهر'!$D$511:$AH$624,114,0)</f>
        <v>30336.640000000003</v>
      </c>
      <c r="L158" s="97"/>
      <c r="M158" s="324">
        <f>Etisalat.Katamya!H18</f>
        <v>0</v>
      </c>
      <c r="N158" s="307">
        <f t="shared" si="23"/>
        <v>55832.060000000012</v>
      </c>
    </row>
    <row r="159" spans="1:14" ht="16.8" thickTop="1" thickBot="1">
      <c r="A159"/>
      <c r="B159" s="312">
        <v>11</v>
      </c>
      <c r="C159" s="314" t="s">
        <v>123</v>
      </c>
      <c r="D159" s="327">
        <f>IFERROR(VLOOKUP(C159,'تقرير إحصائية بحجم المبيعات'!$B$147:$L$177,2,FALSE),0)</f>
        <v>27897.839999999967</v>
      </c>
      <c r="E159" s="327">
        <f>IFERROR(VLOOKUP(C159,'تقرير إحصائية بحجم المبيعات'!$B$147:$L$177,3,FALSE),0)</f>
        <v>0</v>
      </c>
      <c r="F159" s="327">
        <f>IFERROR(VLOOKUP(C159,'تقرير إحصائية بحجم المبيعات'!$B$147:$L$177,4,FALSE),0)</f>
        <v>526620.67000000004</v>
      </c>
      <c r="G159" s="319">
        <f t="shared" si="26"/>
        <v>554518.51</v>
      </c>
      <c r="H159" s="318">
        <f t="shared" si="25"/>
        <v>17887.693870967742</v>
      </c>
      <c r="I159" s="326">
        <f>IFERROR(VLOOKUP(C159,'تقرير إحصائية بحجم المبيعات'!$B$147:$L$177,11,FALSE),0)</f>
        <v>472710.41</v>
      </c>
      <c r="J159" s="321">
        <f t="shared" si="24"/>
        <v>81808.100000000035</v>
      </c>
      <c r="K159" s="322">
        <f>HLOOKUP(C159,'تقرير المصروفات حسب الشهر'!$D$511:$AH$624,114,0)</f>
        <v>22452.229999999996</v>
      </c>
      <c r="L159" s="97"/>
      <c r="M159" s="324">
        <f>'Hazzem Hassan'!H18</f>
        <v>0</v>
      </c>
      <c r="N159" s="307">
        <f t="shared" si="23"/>
        <v>59355.870000000039</v>
      </c>
    </row>
    <row r="160" spans="1:14" ht="16.8" thickTop="1" thickBot="1">
      <c r="A160"/>
      <c r="B160" s="312">
        <v>12</v>
      </c>
      <c r="C160" s="314" t="s">
        <v>145</v>
      </c>
      <c r="D160" s="327">
        <f>IFERROR(VLOOKUP(C160,'تقرير إحصائية بحجم المبيعات'!$B$147:$L$177,2,FALSE),0)</f>
        <v>751429.51</v>
      </c>
      <c r="E160" s="327">
        <f>IFERROR(VLOOKUP(C160,'تقرير إحصائية بحجم المبيعات'!$B$147:$L$177,3,FALSE),0)</f>
        <v>3227.27</v>
      </c>
      <c r="F160" s="327">
        <f>IFERROR(VLOOKUP(C160,'تقرير إحصائية بحجم المبيعات'!$B$147:$L$177,4,FALSE),0)</f>
        <v>1472422.24</v>
      </c>
      <c r="G160" s="319">
        <f t="shared" si="26"/>
        <v>2227079.02</v>
      </c>
      <c r="H160" s="318">
        <f t="shared" si="25"/>
        <v>71841.258709677422</v>
      </c>
      <c r="I160" s="326">
        <f>IFERROR(VLOOKUP(C160,'تقرير إحصائية بحجم المبيعات'!$B$147:$L$177,11,FALSE),0)</f>
        <v>1848430.11</v>
      </c>
      <c r="J160" s="321">
        <f t="shared" si="24"/>
        <v>378648.90999999992</v>
      </c>
      <c r="K160" s="322">
        <f>HLOOKUP(C160,'تقرير المصروفات حسب الشهر'!$D$511:$AH$624,114,0)</f>
        <v>302921.73</v>
      </c>
      <c r="L160" s="97"/>
      <c r="M160" s="324">
        <f>Sena3ia!H18</f>
        <v>153538.21000000002</v>
      </c>
      <c r="N160" s="307">
        <f t="shared" si="23"/>
        <v>229265.38999999996</v>
      </c>
    </row>
    <row r="161" spans="1:14" ht="16.8" thickTop="1" thickBot="1">
      <c r="A161"/>
      <c r="B161" s="312">
        <v>13</v>
      </c>
      <c r="C161" s="314" t="s">
        <v>124</v>
      </c>
      <c r="D161" s="327">
        <f>IFERROR(VLOOKUP(C161,'تقرير إحصائية بحجم المبيعات'!$B$147:$L$177,2,FALSE),0)</f>
        <v>189420.75000000003</v>
      </c>
      <c r="E161" s="327">
        <f>IFERROR(VLOOKUP(C161,'تقرير إحصائية بحجم المبيعات'!$B$147:$L$177,3,FALSE),0)</f>
        <v>0</v>
      </c>
      <c r="F161" s="327">
        <f>IFERROR(VLOOKUP(C161,'تقرير إحصائية بحجم المبيعات'!$B$147:$L$177,4,FALSE),0)</f>
        <v>167470.78</v>
      </c>
      <c r="G161" s="319">
        <f t="shared" si="26"/>
        <v>356891.53</v>
      </c>
      <c r="H161" s="318">
        <f t="shared" si="25"/>
        <v>11512.630000000001</v>
      </c>
      <c r="I161" s="326">
        <f>IFERROR(VLOOKUP(C161,'تقرير إحصائية بحجم المبيعات'!$B$147:$L$177,11,FALSE),0)</f>
        <v>283322.7</v>
      </c>
      <c r="J161" s="321">
        <f t="shared" si="24"/>
        <v>73568.830000000016</v>
      </c>
      <c r="K161" s="322">
        <f>HLOOKUP(C161,'تقرير المصروفات حسب الشهر'!$D$511:$AH$624,114,0)</f>
        <v>37551.439999999995</v>
      </c>
      <c r="L161" s="98"/>
      <c r="M161" s="324">
        <f>Khargia!H18</f>
        <v>0</v>
      </c>
      <c r="N161" s="307">
        <f t="shared" si="23"/>
        <v>36017.390000000021</v>
      </c>
    </row>
    <row r="162" spans="1:14" ht="16.8" thickTop="1" thickBot="1">
      <c r="A162"/>
      <c r="B162" s="312">
        <v>14</v>
      </c>
      <c r="C162" s="314" t="s">
        <v>169</v>
      </c>
      <c r="D162" s="327">
        <f>IFERROR(VLOOKUP(C162,'تقرير إحصائية بحجم المبيعات'!$B$147:$L$177,2,FALSE),0)</f>
        <v>2529586.0300000003</v>
      </c>
      <c r="E162" s="327">
        <f>IFERROR(VLOOKUP(C162,'تقرير إحصائية بحجم المبيعات'!$B$147:$L$177,3,FALSE),0)</f>
        <v>11452.31</v>
      </c>
      <c r="F162" s="327">
        <f>IFERROR(VLOOKUP(C162,'تقرير إحصائية بحجم المبيعات'!$B$147:$L$177,4,FALSE),0)</f>
        <v>1221497.6100000001</v>
      </c>
      <c r="G162" s="319">
        <f t="shared" si="26"/>
        <v>3762535.95</v>
      </c>
      <c r="H162" s="318">
        <f t="shared" si="25"/>
        <v>121372.12741935485</v>
      </c>
      <c r="I162" s="326">
        <f>IFERROR(VLOOKUP(C162,'تقرير إحصائية بحجم المبيعات'!$B$147:$L$177,11,FALSE),0)</f>
        <v>2998553.69</v>
      </c>
      <c r="J162" s="321">
        <f t="shared" si="24"/>
        <v>763982.26000000024</v>
      </c>
      <c r="K162" s="322">
        <f>HLOOKUP(C162,'تقرير المصروفات حسب الشهر'!$D$511:$AH$624,114,0)</f>
        <v>606329.51</v>
      </c>
      <c r="L162" s="97"/>
      <c r="M162" s="324">
        <f>Tagmou3!H18</f>
        <v>5476.43</v>
      </c>
      <c r="N162" s="307">
        <f t="shared" si="23"/>
        <v>163129.18000000023</v>
      </c>
    </row>
    <row r="163" spans="1:14" ht="16.8" thickTop="1" thickBot="1">
      <c r="A163"/>
      <c r="B163" s="312">
        <v>15</v>
      </c>
      <c r="C163" s="314" t="s">
        <v>243</v>
      </c>
      <c r="D163" s="327">
        <f>IFERROR(VLOOKUP(C163,'تقرير إحصائية بحجم المبيعات'!$B$147:$L$177,2,FALSE),0)</f>
        <v>1376873.6300000001</v>
      </c>
      <c r="E163" s="327">
        <f>IFERROR(VLOOKUP(C163,'تقرير إحصائية بحجم المبيعات'!$B$147:$L$177,3,FALSE),0)</f>
        <v>59332.26</v>
      </c>
      <c r="F163" s="327">
        <f>IFERROR(VLOOKUP(C163,'تقرير إحصائية بحجم المبيعات'!$B$147:$L$177,4,FALSE),0)</f>
        <v>533668.31999999995</v>
      </c>
      <c r="G163" s="319">
        <f t="shared" si="26"/>
        <v>1969874.21</v>
      </c>
      <c r="H163" s="318">
        <f t="shared" si="25"/>
        <v>63544.329354838708</v>
      </c>
      <c r="I163" s="326">
        <f>IFERROR(VLOOKUP(C163,'تقرير إحصائية بحجم المبيعات'!$B$147:$L$177,11,FALSE),0)</f>
        <v>1573252.12</v>
      </c>
      <c r="J163" s="321">
        <f t="shared" si="24"/>
        <v>396622.08999999985</v>
      </c>
      <c r="K163" s="322">
        <f>HLOOKUP(C163,'تقرير المصروفات حسب الشهر'!$D$511:$AH$624,114,0)</f>
        <v>393495.03999999998</v>
      </c>
      <c r="L163" s="97"/>
      <c r="M163" s="324">
        <f>Maadi!H18</f>
        <v>0</v>
      </c>
      <c r="N163" s="307">
        <f t="shared" si="23"/>
        <v>3127.0499999998719</v>
      </c>
    </row>
    <row r="164" spans="1:14" ht="16.8" thickTop="1" thickBot="1">
      <c r="A164"/>
      <c r="B164" s="312">
        <v>16</v>
      </c>
      <c r="C164" s="314" t="s">
        <v>175</v>
      </c>
      <c r="D164" s="327">
        <f>IFERROR(VLOOKUP(C164,'تقرير إحصائية بحجم المبيعات'!$B$147:$L$177,2,FALSE),0)</f>
        <v>3507931.4899999998</v>
      </c>
      <c r="E164" s="327">
        <f>IFERROR(VLOOKUP(C164,'تقرير إحصائية بحجم المبيعات'!$B$147:$L$177,3,FALSE),0)</f>
        <v>894607.13</v>
      </c>
      <c r="F164" s="327">
        <f>IFERROR(VLOOKUP(C164,'تقرير إحصائية بحجم المبيعات'!$B$147:$L$177,4,FALSE),0)</f>
        <v>875924.18</v>
      </c>
      <c r="G164" s="319">
        <f t="shared" si="26"/>
        <v>5278462.8</v>
      </c>
      <c r="H164" s="318">
        <f t="shared" si="25"/>
        <v>170272.99354838708</v>
      </c>
      <c r="I164" s="326">
        <f>IFERROR(VLOOKUP(C164,'تقرير إحصائية بحجم المبيعات'!$B$147:$L$177,11,FALSE),0)</f>
        <v>4185130.34</v>
      </c>
      <c r="J164" s="321">
        <f t="shared" si="24"/>
        <v>1093332.46</v>
      </c>
      <c r="K164" s="322">
        <f>HLOOKUP(C164,'تقرير المصروفات حسب الشهر'!$D$511:$AH$624,114,0)</f>
        <v>863897.49999999977</v>
      </c>
      <c r="L164" s="97"/>
      <c r="M164" s="324">
        <f>Zaid!H18</f>
        <v>6828.4100000000035</v>
      </c>
      <c r="N164" s="307">
        <f t="shared" si="23"/>
        <v>236263.3700000002</v>
      </c>
    </row>
    <row r="165" spans="1:14" ht="16.8" thickTop="1" thickBot="1">
      <c r="A165"/>
      <c r="B165" s="312">
        <v>17</v>
      </c>
      <c r="C165" s="314" t="s">
        <v>170</v>
      </c>
      <c r="D165" s="327">
        <f>IFERROR(VLOOKUP(C165,'تقرير إحصائية بحجم المبيعات'!$B$147:$L$177,2,FALSE),0)</f>
        <v>567877.63</v>
      </c>
      <c r="E165" s="327">
        <f>IFERROR(VLOOKUP(C165,'تقرير إحصائية بحجم المبيعات'!$B$147:$L$177,3,FALSE),0)</f>
        <v>47867.82</v>
      </c>
      <c r="F165" s="327">
        <f>IFERROR(VLOOKUP(C165,'تقرير إحصائية بحجم المبيعات'!$B$147:$L$177,4,FALSE),0)</f>
        <v>31385.01</v>
      </c>
      <c r="G165" s="319">
        <f t="shared" si="26"/>
        <v>647130.46</v>
      </c>
      <c r="H165" s="318">
        <f t="shared" si="25"/>
        <v>20875.176129032257</v>
      </c>
      <c r="I165" s="326">
        <f>IFERROR(VLOOKUP(C165,'تقرير إحصائية بحجم المبيعات'!$B$147:$L$177,11,FALSE),0)</f>
        <v>486955.05</v>
      </c>
      <c r="J165" s="321">
        <f t="shared" si="24"/>
        <v>160175.40999999997</v>
      </c>
      <c r="K165" s="322">
        <f>HLOOKUP(C165,'تقرير المصروفات حسب الشهر'!$D$511:$AH$624,114,0)</f>
        <v>113655.19</v>
      </c>
      <c r="L165" s="97"/>
      <c r="M165" s="324">
        <f>'Sand Beach'!H18</f>
        <v>0</v>
      </c>
      <c r="N165" s="307">
        <f t="shared" si="23"/>
        <v>46520.219999999972</v>
      </c>
    </row>
    <row r="166" spans="1:14" ht="16.8" thickTop="1" thickBot="1">
      <c r="A166"/>
      <c r="B166" s="312">
        <v>18</v>
      </c>
      <c r="C166" s="314" t="s">
        <v>172</v>
      </c>
      <c r="D166" s="327">
        <f>IFERROR(VLOOKUP(C166,'تقرير إحصائية بحجم المبيعات'!$B$147:$L$177,2,FALSE),0)</f>
        <v>405771.77999999997</v>
      </c>
      <c r="E166" s="327">
        <f>IFERROR(VLOOKUP(C166,'تقرير إحصائية بحجم المبيعات'!$B$147:$L$177,3,FALSE),0)</f>
        <v>0</v>
      </c>
      <c r="F166" s="327">
        <f>IFERROR(VLOOKUP(C166,'تقرير إحصائية بحجم المبيعات'!$B$147:$L$177,4,FALSE),0)</f>
        <v>0</v>
      </c>
      <c r="G166" s="319">
        <f t="shared" si="26"/>
        <v>405771.77999999997</v>
      </c>
      <c r="H166" s="318">
        <f t="shared" si="25"/>
        <v>13089.412258064514</v>
      </c>
      <c r="I166" s="326">
        <f>IFERROR(VLOOKUP(C166,'تقرير إحصائية بحجم المبيعات'!$B$147:$L$177,11,FALSE),0)</f>
        <v>339905.39</v>
      </c>
      <c r="J166" s="321">
        <f t="shared" si="24"/>
        <v>65866.389999999956</v>
      </c>
      <c r="K166" s="322">
        <f>HLOOKUP(C166,'تقرير المصروفات حسب الشهر'!$D$511:$AH$624,114,0)</f>
        <v>24699.239999999998</v>
      </c>
      <c r="L166" s="97"/>
      <c r="M166" s="324">
        <f>Online!H18</f>
        <v>0</v>
      </c>
      <c r="N166" s="307">
        <f t="shared" si="23"/>
        <v>41167.149999999958</v>
      </c>
    </row>
    <row r="167" spans="1:14" ht="16.8" thickTop="1" thickBot="1">
      <c r="A167"/>
      <c r="B167" s="312">
        <v>19</v>
      </c>
      <c r="C167" s="314" t="s">
        <v>176</v>
      </c>
      <c r="D167" s="327">
        <f>IFERROR(VLOOKUP(C167,'تقرير إحصائية بحجم المبيعات'!$B$147:$L$177,2,FALSE),0)</f>
        <v>67718</v>
      </c>
      <c r="E167" s="327">
        <f>IFERROR(VLOOKUP(C167,'تقرير إحصائية بحجم المبيعات'!$B$147:$L$177,3,FALSE),0)</f>
        <v>0</v>
      </c>
      <c r="F167" s="327">
        <f>IFERROR(VLOOKUP(C167,'تقرير إحصائية بحجم المبيعات'!$B$147:$L$177,4,FALSE),0)</f>
        <v>371899.89</v>
      </c>
      <c r="G167" s="319">
        <f t="shared" si="26"/>
        <v>439617.89</v>
      </c>
      <c r="H167" s="318">
        <f t="shared" si="25"/>
        <v>14181.222258064516</v>
      </c>
      <c r="I167" s="326">
        <f>IFERROR(VLOOKUP(C167,'تقرير إحصائية بحجم المبيعات'!$B$147:$L$177,11,FALSE),0)</f>
        <v>375162.16</v>
      </c>
      <c r="J167" s="321">
        <f t="shared" si="24"/>
        <v>64455.73000000004</v>
      </c>
      <c r="K167" s="322">
        <f>HLOOKUP(C167,'تقرير المصروفات حسب الشهر'!$D$511:$AH$624,114,0)</f>
        <v>19558.009999999998</v>
      </c>
      <c r="L167" s="97"/>
      <c r="M167" s="324">
        <f>Orange!H18</f>
        <v>32011.010000000002</v>
      </c>
      <c r="N167" s="307">
        <f t="shared" si="23"/>
        <v>76908.73000000004</v>
      </c>
    </row>
    <row r="168" spans="1:14" ht="16.8" thickTop="1" thickBot="1">
      <c r="A168"/>
      <c r="B168" s="312">
        <v>20</v>
      </c>
      <c r="C168" s="314" t="s">
        <v>177</v>
      </c>
      <c r="D168" s="327">
        <f>IFERROR(VLOOKUP(C168,'تقرير إحصائية بحجم المبيعات'!$B$147:$L$177,2,FALSE),0)</f>
        <v>143872.78000000003</v>
      </c>
      <c r="E168" s="327">
        <f>IFERROR(VLOOKUP(C168,'تقرير إحصائية بحجم المبيعات'!$B$147:$L$177,3,FALSE),0)</f>
        <v>0</v>
      </c>
      <c r="F168" s="327">
        <f>IFERROR(VLOOKUP(C168,'تقرير إحصائية بحجم المبيعات'!$B$147:$L$177,4,FALSE),0)</f>
        <v>570172.24</v>
      </c>
      <c r="G168" s="319">
        <f t="shared" si="26"/>
        <v>714045.02</v>
      </c>
      <c r="H168" s="318">
        <f t="shared" si="25"/>
        <v>23033.710322580646</v>
      </c>
      <c r="I168" s="326">
        <f>IFERROR(VLOOKUP(C168,'تقرير إحصائية بحجم المبيعات'!$B$147:$L$177,11,FALSE),0)</f>
        <v>576058.93999999994</v>
      </c>
      <c r="J168" s="321">
        <f t="shared" si="24"/>
        <v>137986.08000000007</v>
      </c>
      <c r="K168" s="322">
        <f>HLOOKUP(C168,'تقرير المصروفات حسب الشهر'!$D$511:$AH$624,114,0)</f>
        <v>23121.460000000003</v>
      </c>
      <c r="L168" s="97"/>
      <c r="M168" s="324">
        <f>Vod.Smart!H18</f>
        <v>8336.380000000001</v>
      </c>
      <c r="N168" s="307">
        <f t="shared" si="23"/>
        <v>123201.00000000007</v>
      </c>
    </row>
    <row r="169" spans="1:14" ht="16.8" thickTop="1" thickBot="1">
      <c r="A169"/>
      <c r="B169" s="312">
        <v>21</v>
      </c>
      <c r="C169" s="314" t="s">
        <v>178</v>
      </c>
      <c r="D169" s="327">
        <f>IFERROR(VLOOKUP(C169,'تقرير إحصائية بحجم المبيعات'!$B$147:$L$177,2,FALSE),0)</f>
        <v>12094.52999999997</v>
      </c>
      <c r="E169" s="327">
        <f>IFERROR(VLOOKUP(C169,'تقرير إحصائية بحجم المبيعات'!$B$147:$L$177,3,FALSE),0)</f>
        <v>0</v>
      </c>
      <c r="F169" s="327">
        <f>IFERROR(VLOOKUP(C169,'تقرير إحصائية بحجم المبيعات'!$B$147:$L$177,4,FALSE),0)</f>
        <v>454058.59</v>
      </c>
      <c r="G169" s="319">
        <f t="shared" si="26"/>
        <v>466153.12</v>
      </c>
      <c r="H169" s="318">
        <f t="shared" si="25"/>
        <v>15037.197419354839</v>
      </c>
      <c r="I169" s="326">
        <f>IFERROR(VLOOKUP(C169,'تقرير إحصائية بحجم المبيعات'!$B$147:$L$177,11,FALSE),0)</f>
        <v>345447.42</v>
      </c>
      <c r="J169" s="321">
        <f t="shared" si="24"/>
        <v>120705.70000000001</v>
      </c>
      <c r="K169" s="322">
        <f>HLOOKUP(C169,'تقرير المصروفات حسب الشهر'!$D$511:$AH$624,114,0)</f>
        <v>13332.189999999999</v>
      </c>
      <c r="L169" s="97"/>
      <c r="M169" s="324">
        <f>Vod.Zahraa!H18</f>
        <v>1.21</v>
      </c>
      <c r="N169" s="307">
        <f t="shared" si="23"/>
        <v>107374.72000000002</v>
      </c>
    </row>
    <row r="170" spans="1:14" ht="16.8" thickTop="1" thickBot="1">
      <c r="A170"/>
      <c r="B170" s="312">
        <v>22</v>
      </c>
      <c r="C170" s="314" t="s">
        <v>179</v>
      </c>
      <c r="D170" s="327">
        <f>IFERROR(VLOOKUP(C170,'تقرير إحصائية بحجم المبيعات'!$B$147:$L$177,2,FALSE),0)</f>
        <v>1644.9000000000233</v>
      </c>
      <c r="E170" s="327">
        <f>IFERROR(VLOOKUP(C170,'تقرير إحصائية بحجم المبيعات'!$B$147:$L$177,3,FALSE),0)</f>
        <v>0</v>
      </c>
      <c r="F170" s="327">
        <f>IFERROR(VLOOKUP(C170,'تقرير إحصائية بحجم المبيعات'!$B$147:$L$177,4,FALSE),0)</f>
        <v>461463.47</v>
      </c>
      <c r="G170" s="319">
        <f t="shared" si="26"/>
        <v>463108.37</v>
      </c>
      <c r="H170" s="318">
        <f t="shared" si="25"/>
        <v>14938.979677419355</v>
      </c>
      <c r="I170" s="326">
        <f>IFERROR(VLOOKUP(C170,'تقرير إحصائية بحجم المبيعات'!$B$147:$L$177,11,FALSE),0)</f>
        <v>398538.59</v>
      </c>
      <c r="J170" s="321">
        <f t="shared" si="24"/>
        <v>64569.77999999997</v>
      </c>
      <c r="K170" s="322">
        <f>HLOOKUP(C170,'تقرير المصروفات حسب الشهر'!$D$511:$AH$624,114,0)</f>
        <v>14222.33</v>
      </c>
      <c r="L170" s="97"/>
      <c r="M170" s="324">
        <f>Mo7awelat!H18</f>
        <v>41279.230000000003</v>
      </c>
      <c r="N170" s="307">
        <f t="shared" si="23"/>
        <v>91626.679999999964</v>
      </c>
    </row>
    <row r="171" spans="1:14" ht="16.8" thickTop="1" thickBot="1">
      <c r="A171"/>
      <c r="B171" s="312">
        <v>23</v>
      </c>
      <c r="C171" s="314" t="s">
        <v>181</v>
      </c>
      <c r="D171" s="327">
        <f>IFERROR(VLOOKUP(C171,'تقرير إحصائية بحجم المبيعات'!$B$147:$L$177,2,FALSE),0)</f>
        <v>19926.73000000001</v>
      </c>
      <c r="E171" s="327">
        <f>IFERROR(VLOOKUP(C171,'تقرير إحصائية بحجم المبيعات'!$B$147:$L$177,3,FALSE),0)</f>
        <v>0</v>
      </c>
      <c r="F171" s="327">
        <f>IFERROR(VLOOKUP(C171,'تقرير إحصائية بحجم المبيعات'!$B$147:$L$177,4,FALSE),0)</f>
        <v>173054.84</v>
      </c>
      <c r="G171" s="319">
        <f t="shared" si="26"/>
        <v>192981.57</v>
      </c>
      <c r="H171" s="318">
        <f t="shared" si="25"/>
        <v>6225.2119354838715</v>
      </c>
      <c r="I171" s="326">
        <f>IFERROR(VLOOKUP(C171,'تقرير إحصائية بحجم المبيعات'!$B$147:$L$177,11,FALSE),0)</f>
        <v>166627.1</v>
      </c>
      <c r="J171" s="321">
        <f t="shared" si="24"/>
        <v>26354.47</v>
      </c>
      <c r="K171" s="322">
        <f>HLOOKUP(C171,'تقرير المصروفات حسب الشهر'!$D$511:$AH$624,114,0)</f>
        <v>21187.699999999997</v>
      </c>
      <c r="L171" s="97"/>
      <c r="M171" s="324">
        <f>Electric!H18</f>
        <v>4184.3499999999995</v>
      </c>
      <c r="N171" s="307">
        <f t="shared" si="23"/>
        <v>9351.1200000000026</v>
      </c>
    </row>
    <row r="172" spans="1:14" ht="16.8" thickTop="1" thickBot="1">
      <c r="A172"/>
      <c r="B172" s="312">
        <v>24</v>
      </c>
      <c r="C172" s="314" t="s">
        <v>182</v>
      </c>
      <c r="D172" s="327">
        <f>IFERROR(VLOOKUP(C172,'تقرير إحصائية بحجم المبيعات'!$B$147:$L$177,2,FALSE),0)</f>
        <v>19647.910000000033</v>
      </c>
      <c r="E172" s="327">
        <f>IFERROR(VLOOKUP(C172,'تقرير إحصائية بحجم المبيعات'!$B$147:$L$177,3,FALSE),0)</f>
        <v>0</v>
      </c>
      <c r="F172" s="327">
        <f>IFERROR(VLOOKUP(C172,'تقرير إحصائية بحجم المبيعات'!$B$147:$L$177,4,FALSE),0)</f>
        <v>131442.85999999999</v>
      </c>
      <c r="G172" s="319">
        <f t="shared" si="26"/>
        <v>151090.77000000002</v>
      </c>
      <c r="H172" s="318">
        <f t="shared" si="25"/>
        <v>4873.8958064516137</v>
      </c>
      <c r="I172" s="326">
        <f>IFERROR(VLOOKUP(C172,'تقرير إحصائية بحجم المبيعات'!$B$147:$L$177,11,FALSE),0)</f>
        <v>130479.41</v>
      </c>
      <c r="J172" s="321">
        <f t="shared" si="24"/>
        <v>20611.360000000015</v>
      </c>
      <c r="K172" s="322">
        <f>HLOOKUP(C172,'تقرير المصروفات حسب الشهر'!$D$511:$AH$624,114,0)</f>
        <v>9476.3799999999992</v>
      </c>
      <c r="L172" s="97"/>
      <c r="M172" s="324">
        <f>'M.C.V'!H18</f>
        <v>60.389999999999418</v>
      </c>
      <c r="N172" s="307">
        <f t="shared" si="23"/>
        <v>11195.370000000015</v>
      </c>
    </row>
    <row r="173" spans="1:14" ht="16.8" thickTop="1" thickBot="1">
      <c r="A173"/>
      <c r="B173" s="312">
        <v>25</v>
      </c>
      <c r="C173" s="314" t="s">
        <v>187</v>
      </c>
      <c r="D173" s="327">
        <f>IFERROR(VLOOKUP(C173,'تقرير إحصائية بحجم المبيعات'!$B$147:$L$177,2,FALSE),0)</f>
        <v>71253.799999999988</v>
      </c>
      <c r="E173" s="327">
        <f>IFERROR(VLOOKUP(C173,'تقرير إحصائية بحجم المبيعات'!$B$147:$L$177,3,FALSE),0)</f>
        <v>0</v>
      </c>
      <c r="F173" s="327">
        <f>IFERROR(VLOOKUP(C173,'تقرير إحصائية بحجم المبيعات'!$B$147:$L$177,4,FALSE),0)</f>
        <v>221992.38</v>
      </c>
      <c r="G173" s="319">
        <f t="shared" si="26"/>
        <v>293246.18</v>
      </c>
      <c r="H173" s="318">
        <f t="shared" si="25"/>
        <v>9459.554193548387</v>
      </c>
      <c r="I173" s="326">
        <f>IFERROR(VLOOKUP(C173,'تقرير إحصائية بحجم المبيعات'!$B$147:$L$177,11,FALSE),0)</f>
        <v>247872.98</v>
      </c>
      <c r="J173" s="321">
        <f t="shared" si="24"/>
        <v>45373.199999999983</v>
      </c>
      <c r="K173" s="322">
        <f>HLOOKUP(C173,'تقرير المصروفات حسب الشهر'!$D$511:$AH$624,114,0)</f>
        <v>12412.550000000001</v>
      </c>
      <c r="L173" s="97"/>
      <c r="M173" s="324">
        <f>Egyplast!H18</f>
        <v>47403.14</v>
      </c>
      <c r="N173" s="307">
        <f t="shared" si="23"/>
        <v>80363.789999999979</v>
      </c>
    </row>
    <row r="174" spans="1:14" ht="16.8" thickTop="1" thickBot="1">
      <c r="A174"/>
      <c r="B174" s="312">
        <v>26</v>
      </c>
      <c r="C174" s="315" t="s">
        <v>240</v>
      </c>
      <c r="D174" s="327">
        <f>IFERROR(VLOOKUP(C174,'تقرير إحصائية بحجم المبيعات'!$B$147:$L$177,2,FALSE),0)</f>
        <v>182719.86</v>
      </c>
      <c r="E174" s="327">
        <f>IFERROR(VLOOKUP(C174,'تقرير إحصائية بحجم المبيعات'!$B$147:$L$177,3,FALSE),0)</f>
        <v>0</v>
      </c>
      <c r="F174" s="327">
        <f>IFERROR(VLOOKUP(C174,'تقرير إحصائية بحجم المبيعات'!$B$147:$L$177,4,FALSE),0)</f>
        <v>620050.56999999995</v>
      </c>
      <c r="G174" s="320">
        <f t="shared" si="26"/>
        <v>802770.42999999993</v>
      </c>
      <c r="H174" s="318">
        <f t="shared" si="25"/>
        <v>25895.820322580643</v>
      </c>
      <c r="I174" s="326">
        <f>IFERROR(VLOOKUP(C174,'تقرير إحصائية بحجم المبيعات'!$B$147:$L$177,11,FALSE),0)</f>
        <v>690752.59</v>
      </c>
      <c r="J174" s="321">
        <f t="shared" si="24"/>
        <v>112017.83999999997</v>
      </c>
      <c r="K174" s="322">
        <f>HLOOKUP(C174,'تقرير المصروفات حسب الشهر'!$D$511:$AH$624,114,0)</f>
        <v>48915.64</v>
      </c>
      <c r="L174" s="99"/>
      <c r="M174" s="324">
        <f>CFC!G18</f>
        <v>0</v>
      </c>
      <c r="N174" s="307">
        <f t="shared" si="23"/>
        <v>63102.199999999968</v>
      </c>
    </row>
    <row r="175" spans="1:14" ht="16.8" thickTop="1" thickBot="1">
      <c r="A175"/>
      <c r="B175" s="312">
        <v>27</v>
      </c>
      <c r="C175" s="316" t="s">
        <v>245</v>
      </c>
      <c r="D175" s="327">
        <f>IFERROR(VLOOKUP(C175,'تقرير إحصائية بحجم المبيعات'!$B$147:$L$177,2,FALSE),0)</f>
        <v>0</v>
      </c>
      <c r="E175" s="327">
        <f>IFERROR(VLOOKUP(C175,'تقرير إحصائية بحجم المبيعات'!$B$147:$L$177,3,FALSE),0)</f>
        <v>0</v>
      </c>
      <c r="F175" s="327">
        <f>IFERROR(VLOOKUP(C175,'تقرير إحصائية بحجم المبيعات'!$B$147:$L$177,4,FALSE),0)</f>
        <v>0</v>
      </c>
      <c r="G175" s="320">
        <f>+D175+E175+F175</f>
        <v>0</v>
      </c>
      <c r="H175" s="318">
        <f t="shared" si="25"/>
        <v>0</v>
      </c>
      <c r="I175" s="326">
        <f>IFERROR(VLOOKUP(C175,'تقرير إحصائية بحجم المبيعات'!$B$147:$L$177,11,FALSE),0)</f>
        <v>0</v>
      </c>
      <c r="J175" s="321">
        <f>+G175-I175</f>
        <v>0</v>
      </c>
      <c r="K175" s="322">
        <f>HLOOKUP(C175,'تقرير المصروفات حسب الشهر'!$D$511:$AH$624,114,0)</f>
        <v>0</v>
      </c>
      <c r="L175" s="99"/>
      <c r="M175" s="324">
        <f>North.Coast!H18</f>
        <v>0</v>
      </c>
      <c r="N175" s="307">
        <f>J175-K175-L175+M175</f>
        <v>0</v>
      </c>
    </row>
    <row r="176" spans="1:14" ht="16.8" thickTop="1" thickBot="1">
      <c r="A176"/>
      <c r="B176" s="495">
        <v>28</v>
      </c>
      <c r="C176" s="316" t="s">
        <v>357</v>
      </c>
      <c r="D176" s="327">
        <f>IFERROR(VLOOKUP(C176,'تقرير إحصائية بحجم المبيعات'!$B$147:$L$177,2,FALSE),0)</f>
        <v>2026615.29</v>
      </c>
      <c r="E176" s="327">
        <f>IFERROR(VLOOKUP(C176,'تقرير إحصائية بحجم المبيعات'!$B$147:$L$177,3,FALSE),0)</f>
        <v>10045.879999999999</v>
      </c>
      <c r="F176" s="327">
        <f>IFERROR(VLOOKUP(C176,'تقرير إحصائية بحجم المبيعات'!$B$147:$L$177,4,FALSE),0)</f>
        <v>57280.05</v>
      </c>
      <c r="G176" s="320">
        <f>+D176+E176+F176</f>
        <v>2093941.22</v>
      </c>
      <c r="H176" s="318">
        <f>+G176/31</f>
        <v>67546.490967741935</v>
      </c>
      <c r="I176" s="326">
        <f>IFERROR(VLOOKUP(C176,'تقرير إحصائية بحجم المبيعات'!$B$147:$L$177,11,FALSE),0)</f>
        <v>1617235.72</v>
      </c>
      <c r="J176" s="321">
        <f>+G176-I176</f>
        <v>476705.5</v>
      </c>
      <c r="K176" s="322">
        <f>HLOOKUP(C176,'تقرير المصروفات حسب الشهر'!$D$511:$AH$624,114,0)</f>
        <v>645981.37</v>
      </c>
      <c r="L176" s="99"/>
      <c r="M176" s="324">
        <f>Rehab!H18</f>
        <v>17.540000000000873</v>
      </c>
      <c r="N176" s="307">
        <f>J176-K176-L176+M176</f>
        <v>-169258.33</v>
      </c>
    </row>
    <row r="177" spans="1:14" ht="16.8" thickTop="1" thickBot="1">
      <c r="A177"/>
      <c r="B177" s="495">
        <v>29</v>
      </c>
      <c r="C177" s="316" t="s">
        <v>362</v>
      </c>
      <c r="D177" s="327">
        <f>IFERROR(VLOOKUP(C177,'تقرير إحصائية بحجم المبيعات'!$B$147:$L$177,2,FALSE),0)</f>
        <v>119763.18000000005</v>
      </c>
      <c r="E177" s="327">
        <f>IFERROR(VLOOKUP(C177,'تقرير إحصائية بحجم المبيعات'!$B$147:$L$177,3,FALSE),0)</f>
        <v>0</v>
      </c>
      <c r="F177" s="327">
        <f>IFERROR(VLOOKUP(C177,'تقرير إحصائية بحجم المبيعات'!$B$147:$L$177,4,FALSE),0)</f>
        <v>555028.39</v>
      </c>
      <c r="G177" s="320">
        <f>+D177+E177+F177</f>
        <v>674791.57000000007</v>
      </c>
      <c r="H177" s="318">
        <f>+G177/31</f>
        <v>21767.47</v>
      </c>
      <c r="I177" s="326">
        <f>IFERROR(VLOOKUP(C177,'تقرير إحصائية بحجم المبيعات'!$B$147:$L$177,11,FALSE),0)</f>
        <v>513920.99</v>
      </c>
      <c r="J177" s="321">
        <f>+G177-I177</f>
        <v>160870.58000000007</v>
      </c>
      <c r="K177" s="322">
        <f>HLOOKUP(C177,'تقرير المصروفات حسب الشهر'!$D$511:$AH$624,114,0)</f>
        <v>10886.52</v>
      </c>
      <c r="L177" s="99"/>
      <c r="M177" s="324">
        <f>'HSBC MAADI'!H18</f>
        <v>52.939999999999912</v>
      </c>
      <c r="N177" s="307">
        <f>J177-K177-L177+M177</f>
        <v>150037.00000000009</v>
      </c>
    </row>
    <row r="178" spans="1:14" ht="16.8" thickTop="1" thickBot="1">
      <c r="A178"/>
      <c r="B178" s="495">
        <v>30</v>
      </c>
      <c r="C178" s="316" t="s">
        <v>361</v>
      </c>
      <c r="D178" s="327">
        <f>IFERROR(VLOOKUP(C178,'تقرير إحصائية بحجم المبيعات'!$B$147:$L$177,2,FALSE),0)</f>
        <v>107946.92000000004</v>
      </c>
      <c r="E178" s="327">
        <f>IFERROR(VLOOKUP(C178,'تقرير إحصائية بحجم المبيعات'!$B$147:$L$177,3,FALSE),0)</f>
        <v>31.5</v>
      </c>
      <c r="F178" s="327">
        <f>IFERROR(VLOOKUP(C178,'تقرير إحصائية بحجم المبيعات'!$B$147:$L$177,4,FALSE),0)</f>
        <v>531777.86</v>
      </c>
      <c r="G178" s="320">
        <f>+D178+E178+F178</f>
        <v>639756.28</v>
      </c>
      <c r="H178" s="318">
        <f>+G178/31</f>
        <v>20637.299354838709</v>
      </c>
      <c r="I178" s="326">
        <f>IFERROR(VLOOKUP(C178,'تقرير إحصائية بحجم المبيعات'!$B$147:$L$177,11,FALSE),0)</f>
        <v>547834.66</v>
      </c>
      <c r="J178" s="321">
        <f>+G178-I178</f>
        <v>91921.62</v>
      </c>
      <c r="K178" s="322">
        <f>HLOOKUP(C178,'تقرير المصروفات حسب الشهر'!$D$511:$AH$624,114,0)</f>
        <v>35457.47</v>
      </c>
      <c r="L178" s="99"/>
      <c r="M178" s="324">
        <f>'HSBC SMART'!H18</f>
        <v>481.34999999999854</v>
      </c>
      <c r="N178" s="307">
        <f>J178-K178-L178+M178</f>
        <v>56945.499999999993</v>
      </c>
    </row>
    <row r="179" spans="1:14" ht="16.8" thickTop="1" thickBot="1">
      <c r="A179"/>
      <c r="B179" s="495">
        <v>31</v>
      </c>
      <c r="C179" s="316" t="s">
        <v>234</v>
      </c>
      <c r="D179" s="327">
        <f>IFERROR(VLOOKUP(C179,'تقرير إحصائية بحجم المبيعات'!$B$147:$L$177,2,FALSE),0)</f>
        <v>0</v>
      </c>
      <c r="E179" s="327">
        <f>IFERROR(VLOOKUP(C179,'تقرير إحصائية بحجم المبيعات'!$B$147:$L$177,3,FALSE),0)</f>
        <v>0</v>
      </c>
      <c r="F179" s="327">
        <f>IFERROR(VLOOKUP(C179,'تقرير إحصائية بحجم المبيعات'!$B$147:$L$177,4,FALSE),0)</f>
        <v>0</v>
      </c>
      <c r="G179" s="320">
        <f>+D179+E179+F179</f>
        <v>0</v>
      </c>
      <c r="H179" s="318">
        <f>+G179/31</f>
        <v>0</v>
      </c>
      <c r="I179" s="326">
        <f>IFERROR(VLOOKUP(C179,'تقرير إحصائية بحجم المبيعات'!$B$147:$L$177,11,FALSE),0)</f>
        <v>0</v>
      </c>
      <c r="J179" s="321">
        <f>+G179-I179</f>
        <v>0</v>
      </c>
      <c r="K179" s="322">
        <f>HLOOKUP(C179,'تقرير المصروفات حسب الشهر'!$D$511:$AH$624,114,0)</f>
        <v>0</v>
      </c>
      <c r="L179" s="99"/>
      <c r="M179" s="324">
        <f>Vois!H18</f>
        <v>0</v>
      </c>
      <c r="N179" s="307">
        <f>J179-K179-L179+M179</f>
        <v>0</v>
      </c>
    </row>
    <row r="180" spans="1:14" ht="16.95" customHeight="1" thickTop="1" thickBot="1">
      <c r="A180"/>
      <c r="B180" s="652" t="s">
        <v>18</v>
      </c>
      <c r="C180" s="653"/>
      <c r="D180" s="305">
        <f t="shared" ref="D180:J180" si="27">SUM(D149:D179)</f>
        <v>26998313.280000001</v>
      </c>
      <c r="E180" s="305">
        <f t="shared" si="27"/>
        <v>3622345.63</v>
      </c>
      <c r="F180" s="305">
        <f t="shared" si="27"/>
        <v>19773907.18</v>
      </c>
      <c r="G180" s="305">
        <f t="shared" si="27"/>
        <v>50394566.090000011</v>
      </c>
      <c r="H180" s="305">
        <f t="shared" si="27"/>
        <v>1625631.1641935483</v>
      </c>
      <c r="I180" s="305">
        <f t="shared" si="27"/>
        <v>40884079.139999993</v>
      </c>
      <c r="J180" s="305">
        <f t="shared" si="27"/>
        <v>9510486.9499999974</v>
      </c>
      <c r="K180" s="305">
        <f>SUM(K149:K179)</f>
        <v>8875833.8200000003</v>
      </c>
      <c r="L180" s="305">
        <f>SUM(L149:L175)</f>
        <v>0</v>
      </c>
      <c r="M180" s="305">
        <f>SUM(M149:M179)</f>
        <v>1545161.94</v>
      </c>
      <c r="N180" s="305">
        <f>SUM(N149:N179)</f>
        <v>2179815.0700000008</v>
      </c>
    </row>
    <row r="181" spans="1:14" ht="13.8" thickTop="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>
        <v>2323071.2999999998</v>
      </c>
    </row>
    <row r="182" spans="1:14" ht="13.8" thickBo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 s="396">
        <f>N180-N181</f>
        <v>-143256.22999999905</v>
      </c>
    </row>
    <row r="183" spans="1:14" ht="30.6" thickBot="1">
      <c r="A183"/>
      <c r="B183" s="649" t="s">
        <v>379</v>
      </c>
      <c r="C183" s="650"/>
      <c r="D183" s="650"/>
      <c r="E183" s="650"/>
      <c r="F183" s="650"/>
      <c r="G183" s="650"/>
      <c r="H183" s="650"/>
      <c r="I183" s="650"/>
      <c r="J183" s="650"/>
      <c r="K183" s="650"/>
      <c r="L183" s="650"/>
      <c r="M183" s="650"/>
      <c r="N183" s="651"/>
    </row>
    <row r="184" spans="1:14" ht="16.8" thickTop="1" thickBot="1">
      <c r="A184"/>
      <c r="B184" s="308" t="s">
        <v>39</v>
      </c>
      <c r="C184" s="308" t="s">
        <v>34</v>
      </c>
      <c r="D184" s="309" t="s">
        <v>20</v>
      </c>
      <c r="E184" s="310" t="s">
        <v>21</v>
      </c>
      <c r="F184" s="310" t="s">
        <v>22</v>
      </c>
      <c r="G184" s="308" t="s">
        <v>19</v>
      </c>
      <c r="H184" s="308" t="s">
        <v>12</v>
      </c>
      <c r="I184" s="308" t="s">
        <v>13</v>
      </c>
      <c r="J184" s="308" t="s">
        <v>14</v>
      </c>
      <c r="K184" s="308" t="s">
        <v>15</v>
      </c>
      <c r="L184" s="308" t="s">
        <v>32</v>
      </c>
      <c r="M184" s="311" t="s">
        <v>16</v>
      </c>
      <c r="N184" s="306" t="s">
        <v>17</v>
      </c>
    </row>
    <row r="185" spans="1:14" ht="16.8" thickTop="1" thickBot="1">
      <c r="A185"/>
      <c r="B185" s="312">
        <v>1</v>
      </c>
      <c r="C185" s="313" t="s">
        <v>184</v>
      </c>
      <c r="D185" s="327">
        <f>IFERROR(VLOOKUP(C185,'تقرير إحصائية بحجم المبيعات'!$B$182:$G$212,2,FALSE),0)</f>
        <v>0</v>
      </c>
      <c r="E185" s="327">
        <f>IFERROR(VLOOKUP(C185,'تقرير إحصائية بحجم المبيعات'!$B$182:$G$212,3,FALSE),0)</f>
        <v>0</v>
      </c>
      <c r="F185" s="327">
        <f>IFERROR(VLOOKUP(C185,'تقرير إحصائية بحجم المبيعات'!$B$182:$G$212,4,FALSE),0)</f>
        <v>0</v>
      </c>
      <c r="G185" s="317">
        <f>+D185+E185+F185</f>
        <v>0</v>
      </c>
      <c r="H185" s="318">
        <f>+G185/31</f>
        <v>0</v>
      </c>
      <c r="I185" s="326">
        <f>IFERROR(VLOOKUP(C185,'تقرير إحصائية بحجم المبيعات'!$B$182:$L$212,11,FALSE),0)</f>
        <v>0</v>
      </c>
      <c r="J185" s="321">
        <f>+G185-I185</f>
        <v>0</v>
      </c>
      <c r="K185" s="322">
        <f>HLOOKUP(C185,'تقرير المصروفات حسب الشهر'!$D$636:$AI$750,115,0)</f>
        <v>2344883.1099999994</v>
      </c>
      <c r="L185" s="96"/>
      <c r="M185" s="323">
        <f>HQ!$I$18</f>
        <v>743698.47</v>
      </c>
      <c r="N185" s="307">
        <f>J185-K185-L185+M185</f>
        <v>-1601184.6399999994</v>
      </c>
    </row>
    <row r="186" spans="1:14" ht="16.8" thickTop="1" thickBot="1">
      <c r="A186"/>
      <c r="B186" s="312">
        <v>2</v>
      </c>
      <c r="C186" s="314" t="s">
        <v>36</v>
      </c>
      <c r="D186" s="327">
        <f>IFERROR(VLOOKUP(C186,'تقرير إحصائية بحجم المبيعات'!$B$182:$G$212,2,FALSE),0)</f>
        <v>4309083.29</v>
      </c>
      <c r="E186" s="327">
        <f>IFERROR(VLOOKUP(C186,'تقرير إحصائية بحجم المبيعات'!$B$182:$G$212,3,FALSE),0)</f>
        <v>657047.38</v>
      </c>
      <c r="F186" s="327">
        <f>IFERROR(VLOOKUP(C186,'تقرير إحصائية بحجم المبيعات'!$B$182:$G$212,4,FALSE),0)</f>
        <v>1113859.78</v>
      </c>
      <c r="G186" s="319">
        <f>+D186+E186+F186</f>
        <v>6079990.4500000002</v>
      </c>
      <c r="H186" s="318">
        <f>+G186/31</f>
        <v>196128.72419354841</v>
      </c>
      <c r="I186" s="326">
        <f>IFERROR(VLOOKUP(C186,'تقرير إحصائية بحجم المبيعات'!$B$182:$L$212,11,FALSE),0)</f>
        <v>4834090.24</v>
      </c>
      <c r="J186" s="321">
        <f>+G186-I186</f>
        <v>1245900.21</v>
      </c>
      <c r="K186" s="322">
        <f>HLOOKUP(C186,'تقرير المصروفات حسب الشهر'!$D$636:$AI$750,115,0)</f>
        <v>1006657.37</v>
      </c>
      <c r="L186" s="97"/>
      <c r="M186" s="324">
        <f>Aguza!I18</f>
        <v>15.630000000000109</v>
      </c>
      <c r="N186" s="307">
        <f t="shared" ref="N186:N211" si="28">J186-K186-L186+M186</f>
        <v>239258.46999999997</v>
      </c>
    </row>
    <row r="187" spans="1:14" ht="16.8" thickTop="1" thickBot="1">
      <c r="A187"/>
      <c r="B187" s="312">
        <v>3</v>
      </c>
      <c r="C187" s="314" t="s">
        <v>9</v>
      </c>
      <c r="D187" s="327">
        <f>IFERROR(VLOOKUP(C187,'تقرير إحصائية بحجم المبيعات'!$B$182:$G$212,2,FALSE),0)</f>
        <v>3240915.04</v>
      </c>
      <c r="E187" s="327">
        <f>IFERROR(VLOOKUP(C187,'تقرير إحصائية بحجم المبيعات'!$B$182:$G$212,3,FALSE),0)</f>
        <v>1381272.57</v>
      </c>
      <c r="F187" s="327">
        <f>IFERROR(VLOOKUP(C187,'تقرير إحصائية بحجم المبيعات'!$B$182:$G$212,4,FALSE),0)</f>
        <v>453438.45</v>
      </c>
      <c r="G187" s="319">
        <f>+D187+E187+F187</f>
        <v>5075626.0600000005</v>
      </c>
      <c r="H187" s="318">
        <f>+G187/31</f>
        <v>163729.87290322583</v>
      </c>
      <c r="I187" s="326">
        <f>IFERROR(VLOOKUP(C187,'تقرير إحصائية بحجم المبيعات'!$B$182:$L$212,11,FALSE),0)</f>
        <v>4024289.24</v>
      </c>
      <c r="J187" s="321">
        <f t="shared" ref="J187:J211" si="29">+G187-I187</f>
        <v>1051336.8200000003</v>
      </c>
      <c r="K187" s="322">
        <f>HLOOKUP(C187,'تقرير المصروفات حسب الشهر'!$D$636:$AI$750,115,0)</f>
        <v>887538.72</v>
      </c>
      <c r="L187" s="97"/>
      <c r="M187" s="324">
        <f>October!I18</f>
        <v>0</v>
      </c>
      <c r="N187" s="307">
        <f t="shared" si="28"/>
        <v>163798.10000000033</v>
      </c>
    </row>
    <row r="188" spans="1:14" ht="16.8" thickTop="1" thickBot="1">
      <c r="A188"/>
      <c r="B188" s="312">
        <v>4</v>
      </c>
      <c r="C188" s="314" t="s">
        <v>25</v>
      </c>
      <c r="D188" s="327">
        <f>IFERROR(VLOOKUP(C188,'تقرير إحصائية بحجم المبيعات'!$B$182:$G$212,2,FALSE),0)</f>
        <v>1379010.5100000002</v>
      </c>
      <c r="E188" s="327">
        <f>IFERROR(VLOOKUP(C188,'تقرير إحصائية بحجم المبيعات'!$B$182:$G$212,3,FALSE),0)</f>
        <v>443322.54</v>
      </c>
      <c r="F188" s="327">
        <f>IFERROR(VLOOKUP(C188,'تقرير إحصائية بحجم المبيعات'!$B$182:$G$212,4,FALSE),0)</f>
        <v>1680056.15</v>
      </c>
      <c r="G188" s="319">
        <f>+D188+E188+F188</f>
        <v>3502389.2</v>
      </c>
      <c r="H188" s="318">
        <f t="shared" ref="H188:H211" si="30">+G188/31</f>
        <v>112980.29677419356</v>
      </c>
      <c r="I188" s="326">
        <f>IFERROR(VLOOKUP(C188,'تقرير إحصائية بحجم المبيعات'!$B$182:$L$212,11,FALSE),0)</f>
        <v>2878932.45</v>
      </c>
      <c r="J188" s="321">
        <f t="shared" si="29"/>
        <v>623456.75</v>
      </c>
      <c r="K188" s="322">
        <f>HLOOKUP(C188,'تقرير المصروفات حسب الشهر'!$D$636:$AI$750,115,0)</f>
        <v>505379.19999999995</v>
      </c>
      <c r="L188" s="97"/>
      <c r="M188" s="324">
        <f>Batal!I18</f>
        <v>45365.91</v>
      </c>
      <c r="N188" s="307">
        <f t="shared" si="28"/>
        <v>163443.46000000005</v>
      </c>
    </row>
    <row r="189" spans="1:14" ht="16.8" thickTop="1" thickBot="1">
      <c r="A189"/>
      <c r="B189" s="312">
        <v>5</v>
      </c>
      <c r="C189" s="314" t="s">
        <v>160</v>
      </c>
      <c r="D189" s="327">
        <f>IFERROR(VLOOKUP(C189,'تقرير إحصائية بحجم المبيعات'!$B$182:$G$212,2,FALSE),0)</f>
        <v>4777374.97</v>
      </c>
      <c r="E189" s="327">
        <f>IFERROR(VLOOKUP(C189,'تقرير إحصائية بحجم المبيعات'!$B$182:$G$212,3,FALSE),0)</f>
        <v>46263.74</v>
      </c>
      <c r="F189" s="327">
        <f>IFERROR(VLOOKUP(C189,'تقرير إحصائية بحجم المبيعات'!$B$182:$G$212,4,FALSE),0)</f>
        <v>2981450.3</v>
      </c>
      <c r="G189" s="319">
        <f t="shared" ref="G189:G211" si="31">+D189+E189+F189</f>
        <v>7805089.0099999998</v>
      </c>
      <c r="H189" s="318">
        <f t="shared" si="30"/>
        <v>251777.06483870966</v>
      </c>
      <c r="I189" s="326">
        <f>IFERROR(VLOOKUP(C189,'تقرير إحصائية بحجم المبيعات'!$B$182:$L$212,11,FALSE),0)</f>
        <v>6404342.2599999998</v>
      </c>
      <c r="J189" s="321">
        <f t="shared" si="29"/>
        <v>1400746.75</v>
      </c>
      <c r="K189" s="322">
        <f>HLOOKUP(C189,'تقرير المصروفات حسب الشهر'!$D$636:$AI$750,115,0)</f>
        <v>1226552.04</v>
      </c>
      <c r="L189" s="97"/>
      <c r="M189" s="324">
        <f>'Nasr City'!I18</f>
        <v>111686.53</v>
      </c>
      <c r="N189" s="307">
        <f t="shared" si="28"/>
        <v>285881.24</v>
      </c>
    </row>
    <row r="190" spans="1:14" ht="16.8" thickTop="1" thickBot="1">
      <c r="A190"/>
      <c r="B190" s="312">
        <v>6</v>
      </c>
      <c r="C190" s="314" t="s">
        <v>139</v>
      </c>
      <c r="D190" s="327">
        <f>IFERROR(VLOOKUP(C190,'تقرير إحصائية بحجم المبيعات'!$B$182:$G$212,2,FALSE),0)</f>
        <v>-5878.6599999999162</v>
      </c>
      <c r="E190" s="327">
        <f>IFERROR(VLOOKUP(C190,'تقرير إحصائية بحجم المبيعات'!$B$182:$G$212,3,FALSE),0)</f>
        <v>0</v>
      </c>
      <c r="F190" s="327">
        <f>IFERROR(VLOOKUP(C190,'تقرير إحصائية بحجم المبيعات'!$B$182:$G$212,4,FALSE),0)</f>
        <v>2038618.5</v>
      </c>
      <c r="G190" s="319">
        <f t="shared" si="31"/>
        <v>2032739.84</v>
      </c>
      <c r="H190" s="318">
        <f t="shared" si="30"/>
        <v>65572.252903225803</v>
      </c>
      <c r="I190" s="326">
        <f>IFERROR(VLOOKUP(C190,'تقرير إحصائية بحجم المبيعات'!$B$182:$L$212,11,FALSE),0)</f>
        <v>1704874.82</v>
      </c>
      <c r="J190" s="321">
        <f t="shared" si="29"/>
        <v>327865.02</v>
      </c>
      <c r="K190" s="322">
        <f>HLOOKUP(C190,'تقرير المصروفات حسب الشهر'!$D$636:$AI$750,115,0)</f>
        <v>64655.63</v>
      </c>
      <c r="L190" s="97"/>
      <c r="M190" s="324">
        <f>Sweedy!I18</f>
        <v>121612.49000000002</v>
      </c>
      <c r="N190" s="307">
        <f t="shared" si="28"/>
        <v>384821.88</v>
      </c>
    </row>
    <row r="191" spans="1:14" ht="16.8" thickTop="1" thickBot="1">
      <c r="A191"/>
      <c r="B191" s="312">
        <v>7</v>
      </c>
      <c r="C191" s="314" t="s">
        <v>37</v>
      </c>
      <c r="D191" s="327">
        <f>IFERROR(VLOOKUP(C191,'تقرير إحصائية بحجم المبيعات'!$B$182:$G$212,2,FALSE),0)</f>
        <v>24499.869999999995</v>
      </c>
      <c r="E191" s="327">
        <f>IFERROR(VLOOKUP(C191,'تقرير إحصائية بحجم المبيعات'!$B$182:$G$212,3,FALSE),0)</f>
        <v>0</v>
      </c>
      <c r="F191" s="327">
        <f>IFERROR(VLOOKUP(C191,'تقرير إحصائية بحجم المبيعات'!$B$182:$G$212,4,FALSE),0)</f>
        <v>402144.15</v>
      </c>
      <c r="G191" s="319">
        <f t="shared" si="31"/>
        <v>426644.02</v>
      </c>
      <c r="H191" s="318">
        <f t="shared" si="30"/>
        <v>13762.710322580646</v>
      </c>
      <c r="I191" s="326">
        <f>IFERROR(VLOOKUP(C191,'تقرير إحصائية بحجم المبيعات'!$B$182:$L$212,11,FALSE),0)</f>
        <v>378252.64</v>
      </c>
      <c r="J191" s="321">
        <f t="shared" si="29"/>
        <v>48391.380000000005</v>
      </c>
      <c r="K191" s="322">
        <f>HLOOKUP(C191,'تقرير المصروفات حسب الشهر'!$D$636:$AI$750,115,0)</f>
        <v>27174.05</v>
      </c>
      <c r="L191" s="97"/>
      <c r="M191" s="324">
        <f>NTRA!I18</f>
        <v>0</v>
      </c>
      <c r="N191" s="307">
        <f t="shared" si="28"/>
        <v>21217.330000000005</v>
      </c>
    </row>
    <row r="192" spans="1:14" ht="16.8" thickTop="1" thickBot="1">
      <c r="A192"/>
      <c r="B192" s="312">
        <v>8</v>
      </c>
      <c r="C192" s="314" t="s">
        <v>133</v>
      </c>
      <c r="D192" s="327">
        <f>IFERROR(VLOOKUP(C192,'تقرير إحصائية بحجم المبيعات'!$B$182:$G$212,2,FALSE),0)</f>
        <v>9107.6600000000417</v>
      </c>
      <c r="E192" s="327">
        <f>IFERROR(VLOOKUP(C192,'تقرير إحصائية بحجم المبيعات'!$B$182:$G$212,3,FALSE),0)</f>
        <v>0</v>
      </c>
      <c r="F192" s="327">
        <f>IFERROR(VLOOKUP(C192,'تقرير إحصائية بحجم المبيعات'!$B$182:$G$212,4,FALSE),0)</f>
        <v>310409.87</v>
      </c>
      <c r="G192" s="319">
        <f t="shared" si="31"/>
        <v>319517.53000000003</v>
      </c>
      <c r="H192" s="318">
        <f t="shared" si="30"/>
        <v>10307.017096774194</v>
      </c>
      <c r="I192" s="326">
        <f>IFERROR(VLOOKUP(C192,'تقرير إحصائية بحجم المبيعات'!$B$182:$L$212,11,FALSE),0)</f>
        <v>274556.79999999999</v>
      </c>
      <c r="J192" s="321">
        <f t="shared" si="29"/>
        <v>44960.73000000004</v>
      </c>
      <c r="K192" s="322">
        <f>HLOOKUP(C192,'تقرير المصروفات حسب الشهر'!$D$636:$AI$750,115,0)</f>
        <v>18945.109999999997</v>
      </c>
      <c r="L192" s="97"/>
      <c r="M192" s="324">
        <f>Etisalat!I18</f>
        <v>36.760000000000218</v>
      </c>
      <c r="N192" s="307">
        <f t="shared" si="28"/>
        <v>26052.380000000041</v>
      </c>
    </row>
    <row r="193" spans="1:18" ht="16.8" thickTop="1" thickBot="1">
      <c r="A193"/>
      <c r="B193" s="312">
        <v>9</v>
      </c>
      <c r="C193" s="314" t="s">
        <v>203</v>
      </c>
      <c r="D193" s="327">
        <f>IFERROR(VLOOKUP(C193,'تقرير إحصائية بحجم المبيعات'!$B$182:$G$212,2,FALSE),0)</f>
        <v>1657794</v>
      </c>
      <c r="E193" s="327">
        <f>IFERROR(VLOOKUP(C193,'تقرير إحصائية بحجم المبيعات'!$B$182:$G$212,3,FALSE),0)</f>
        <v>70741.34</v>
      </c>
      <c r="F193" s="327">
        <f>IFERROR(VLOOKUP(C193,'تقرير إحصائية بحجم المبيعات'!$B$182:$G$212,4,FALSE),0)</f>
        <v>613723.56999999995</v>
      </c>
      <c r="G193" s="319">
        <f t="shared" si="31"/>
        <v>2342258.91</v>
      </c>
      <c r="H193" s="318">
        <f t="shared" si="30"/>
        <v>75556.739032258076</v>
      </c>
      <c r="I193" s="326">
        <f>IFERROR(VLOOKUP(C193,'تقرير إحصائية بحجم المبيعات'!$B$182:$L$212,11,FALSE),0)</f>
        <v>1883622.14</v>
      </c>
      <c r="J193" s="321">
        <f t="shared" si="29"/>
        <v>458636.77000000025</v>
      </c>
      <c r="K193" s="322">
        <f>HLOOKUP(C193,'تقرير المصروفات حسب الشهر'!$D$636:$AI$750,115,0)</f>
        <v>440400.79999999993</v>
      </c>
      <c r="L193" s="97"/>
      <c r="M193" s="324">
        <f>Alamya!I18</f>
        <v>3805.5700000000006</v>
      </c>
      <c r="N193" s="307">
        <f t="shared" si="28"/>
        <v>22041.540000000321</v>
      </c>
    </row>
    <row r="194" spans="1:18" ht="16.8" thickTop="1" thickBot="1">
      <c r="A194"/>
      <c r="B194" s="312">
        <v>10</v>
      </c>
      <c r="C194" s="314" t="s">
        <v>233</v>
      </c>
      <c r="D194" s="327">
        <f>IFERROR(VLOOKUP(C194,'تقرير إحصائية بحجم المبيعات'!$B$182:$G$212,2,FALSE),0)</f>
        <v>77093.780000000028</v>
      </c>
      <c r="E194" s="327">
        <f>IFERROR(VLOOKUP(C194,'تقرير إحصائية بحجم المبيعات'!$B$182:$G$212,3,FALSE),0)</f>
        <v>0</v>
      </c>
      <c r="F194" s="327">
        <f>IFERROR(VLOOKUP(C194,'تقرير إحصائية بحجم المبيعات'!$B$182:$G$212,4,FALSE),0)</f>
        <v>514668.02</v>
      </c>
      <c r="G194" s="319">
        <f t="shared" si="31"/>
        <v>591761.80000000005</v>
      </c>
      <c r="H194" s="318">
        <f t="shared" si="30"/>
        <v>19089.090322580647</v>
      </c>
      <c r="I194" s="326">
        <f>IFERROR(VLOOKUP(C194,'تقرير إحصائية بحجم المبيعات'!$B$182:$L$212,11,FALSE),0)</f>
        <v>494791.74</v>
      </c>
      <c r="J194" s="321">
        <f t="shared" si="29"/>
        <v>96970.060000000056</v>
      </c>
      <c r="K194" s="322">
        <f>HLOOKUP(C194,'تقرير المصروفات حسب الشهر'!$D$636:$AI$750,115,0)</f>
        <v>48899.680000000008</v>
      </c>
      <c r="L194" s="97"/>
      <c r="M194" s="324">
        <f>Etisalat.Katamya!I18</f>
        <v>6818.35</v>
      </c>
      <c r="N194" s="307">
        <f t="shared" si="28"/>
        <v>54888.730000000047</v>
      </c>
    </row>
    <row r="195" spans="1:18" ht="16.8" thickTop="1" thickBot="1">
      <c r="A195"/>
      <c r="B195" s="312">
        <v>11</v>
      </c>
      <c r="C195" s="314" t="s">
        <v>123</v>
      </c>
      <c r="D195" s="327">
        <f>IFERROR(VLOOKUP(C195,'تقرير إحصائية بحجم المبيعات'!$B$182:$G$212,2,FALSE),0)</f>
        <v>21824.25</v>
      </c>
      <c r="E195" s="327">
        <f>IFERROR(VLOOKUP(C195,'تقرير إحصائية بحجم المبيعات'!$B$182:$G$212,3,FALSE),0)</f>
        <v>0</v>
      </c>
      <c r="F195" s="327">
        <f>IFERROR(VLOOKUP(C195,'تقرير إحصائية بحجم المبيعات'!$B$182:$G$212,4,FALSE),0)</f>
        <v>485350.73</v>
      </c>
      <c r="G195" s="319">
        <f t="shared" si="31"/>
        <v>507174.98</v>
      </c>
      <c r="H195" s="318">
        <f t="shared" si="30"/>
        <v>16360.483225806451</v>
      </c>
      <c r="I195" s="326">
        <f>IFERROR(VLOOKUP(C195,'تقرير إحصائية بحجم المبيعات'!$B$182:$L$212,11,FALSE),0)</f>
        <v>436179.36</v>
      </c>
      <c r="J195" s="321">
        <f t="shared" si="29"/>
        <v>70995.62</v>
      </c>
      <c r="K195" s="322">
        <f>HLOOKUP(C195,'تقرير المصروفات حسب الشهر'!$D$636:$AI$750,115,0)</f>
        <v>23107.789999999997</v>
      </c>
      <c r="L195" s="97"/>
      <c r="M195" s="324">
        <f>'Hazzem Hassan'!I18</f>
        <v>7641.94</v>
      </c>
      <c r="N195" s="307">
        <f t="shared" si="28"/>
        <v>55529.770000000004</v>
      </c>
    </row>
    <row r="196" spans="1:18" ht="17.25" customHeight="1" thickTop="1" thickBot="1">
      <c r="A196"/>
      <c r="B196" s="312">
        <v>12</v>
      </c>
      <c r="C196" s="314" t="s">
        <v>145</v>
      </c>
      <c r="D196" s="327">
        <f>IFERROR(VLOOKUP(C196,'تقرير إحصائية بحجم المبيعات'!$B$182:$G$212,2,FALSE),0)</f>
        <v>890227.8899999999</v>
      </c>
      <c r="E196" s="327">
        <f>IFERROR(VLOOKUP(C196,'تقرير إحصائية بحجم المبيعات'!$B$182:$G$212,3,FALSE),0)</f>
        <v>6584.24</v>
      </c>
      <c r="F196" s="327">
        <f>IFERROR(VLOOKUP(C196,'تقرير إحصائية بحجم المبيعات'!$B$182:$G$212,4,FALSE),0)</f>
        <v>1432391.49</v>
      </c>
      <c r="G196" s="319">
        <f t="shared" si="31"/>
        <v>2329203.62</v>
      </c>
      <c r="H196" s="318">
        <f t="shared" si="30"/>
        <v>75135.600645161292</v>
      </c>
      <c r="I196" s="326">
        <f>IFERROR(VLOOKUP(C196,'تقرير إحصائية بحجم المبيعات'!$B$182:$L$212,11,FALSE),0)</f>
        <v>1911568.68</v>
      </c>
      <c r="J196" s="321">
        <f t="shared" si="29"/>
        <v>417634.94000000018</v>
      </c>
      <c r="K196" s="322">
        <f>HLOOKUP(C196,'تقرير المصروفات حسب الشهر'!$D$636:$AI$750,115,0)</f>
        <v>378367.47</v>
      </c>
      <c r="L196" s="97"/>
      <c r="M196" s="324">
        <f>Sena3ia!I18</f>
        <v>0</v>
      </c>
      <c r="N196" s="307">
        <f t="shared" si="28"/>
        <v>39267.470000000205</v>
      </c>
    </row>
    <row r="197" spans="1:18" ht="16.8" thickTop="1" thickBot="1">
      <c r="A197"/>
      <c r="B197" s="312">
        <v>13</v>
      </c>
      <c r="C197" s="314" t="s">
        <v>124</v>
      </c>
      <c r="D197" s="327">
        <f>IFERROR(VLOOKUP(C197,'تقرير إحصائية بحجم المبيعات'!$B$182:$G$212,2,FALSE),0)</f>
        <v>192457.88</v>
      </c>
      <c r="E197" s="327">
        <f>IFERROR(VLOOKUP(C197,'تقرير إحصائية بحجم المبيعات'!$B$182:$G$212,3,FALSE),0)</f>
        <v>325.95</v>
      </c>
      <c r="F197" s="327">
        <f>IFERROR(VLOOKUP(C197,'تقرير إحصائية بحجم المبيعات'!$B$182:$G$212,4,FALSE),0)</f>
        <v>105841.74</v>
      </c>
      <c r="G197" s="319">
        <f t="shared" si="31"/>
        <v>298625.57</v>
      </c>
      <c r="H197" s="318">
        <f t="shared" si="30"/>
        <v>9633.0829032258061</v>
      </c>
      <c r="I197" s="326">
        <f>IFERROR(VLOOKUP(C197,'تقرير إحصائية بحجم المبيعات'!$B$182:$L$212,11,FALSE),0)</f>
        <v>251850.13</v>
      </c>
      <c r="J197" s="321">
        <f t="shared" si="29"/>
        <v>46775.44</v>
      </c>
      <c r="K197" s="322">
        <f>HLOOKUP(C197,'تقرير المصروفات حسب الشهر'!$D$636:$AI$750,115,0)</f>
        <v>42284.71</v>
      </c>
      <c r="L197" s="98"/>
      <c r="M197" s="324">
        <f>Khargia!I18</f>
        <v>0</v>
      </c>
      <c r="N197" s="307">
        <f t="shared" si="28"/>
        <v>4490.7300000000032</v>
      </c>
    </row>
    <row r="198" spans="1:18" ht="16.8" thickTop="1" thickBot="1">
      <c r="A198"/>
      <c r="B198" s="312">
        <v>14</v>
      </c>
      <c r="C198" s="314" t="s">
        <v>169</v>
      </c>
      <c r="D198" s="327">
        <f>IFERROR(VLOOKUP(C198,'تقرير إحصائية بحجم المبيعات'!$B$182:$G$212,2,FALSE),0)</f>
        <v>2670655.6700000004</v>
      </c>
      <c r="E198" s="327">
        <f>IFERROR(VLOOKUP(C198,'تقرير إحصائية بحجم المبيعات'!$B$182:$G$212,3,FALSE),0)</f>
        <v>2332.0100000000002</v>
      </c>
      <c r="F198" s="327">
        <f>IFERROR(VLOOKUP(C198,'تقرير إحصائية بحجم المبيعات'!$B$182:$G$212,4,FALSE),0)</f>
        <v>975105.85</v>
      </c>
      <c r="G198" s="319">
        <f t="shared" si="31"/>
        <v>3648093.5300000003</v>
      </c>
      <c r="H198" s="318">
        <f t="shared" si="30"/>
        <v>117680.43645161291</v>
      </c>
      <c r="I198" s="326">
        <f>IFERROR(VLOOKUP(C198,'تقرير إحصائية بحجم المبيعات'!$B$182:$L$212,11,FALSE),0)</f>
        <v>2934608.13</v>
      </c>
      <c r="J198" s="321">
        <f t="shared" si="29"/>
        <v>713485.40000000037</v>
      </c>
      <c r="K198" s="322">
        <f>HLOOKUP(C198,'تقرير المصروفات حسب الشهر'!$D$636:$AI$750,115,0)</f>
        <v>701305.33</v>
      </c>
      <c r="L198" s="97"/>
      <c r="M198" s="324">
        <f>Tagmou3!I18</f>
        <v>0</v>
      </c>
      <c r="N198" s="307">
        <f t="shared" si="28"/>
        <v>12180.070000000414</v>
      </c>
      <c r="Q198" s="508">
        <v>96976.07</v>
      </c>
      <c r="R198" s="444">
        <f>N198-Q198</f>
        <v>-84795.999999999593</v>
      </c>
    </row>
    <row r="199" spans="1:18" ht="16.8" thickTop="1" thickBot="1">
      <c r="A199"/>
      <c r="B199" s="509">
        <v>15</v>
      </c>
      <c r="C199" s="510" t="s">
        <v>243</v>
      </c>
      <c r="D199" s="327">
        <f>IFERROR(VLOOKUP(C199,'تقرير إحصائية بحجم المبيعات'!$B$182:$G$212,2,FALSE),0)</f>
        <v>1357390.45</v>
      </c>
      <c r="E199" s="327">
        <f>IFERROR(VLOOKUP(C199,'تقرير إحصائية بحجم المبيعات'!$B$182:$G$212,3,FALSE),0)</f>
        <v>105063.97</v>
      </c>
      <c r="F199" s="327">
        <f>IFERROR(VLOOKUP(C199,'تقرير إحصائية بحجم المبيعات'!$B$182:$G$212,4,FALSE),0)</f>
        <v>573547.9</v>
      </c>
      <c r="G199" s="319">
        <f t="shared" si="31"/>
        <v>2036002.3199999998</v>
      </c>
      <c r="H199" s="318">
        <f t="shared" si="30"/>
        <v>65677.49419354838</v>
      </c>
      <c r="I199" s="326">
        <f>IFERROR(VLOOKUP(C199,'تقرير إحصائية بحجم المبيعات'!$B$182:$L$212,11,FALSE),0)</f>
        <v>1605177.08</v>
      </c>
      <c r="J199" s="321">
        <f t="shared" si="29"/>
        <v>430825.23999999976</v>
      </c>
      <c r="K199" s="322">
        <f>HLOOKUP(C199,'تقرير المصروفات حسب الشهر'!$D$636:$AI$750,115,0)</f>
        <v>442317.02</v>
      </c>
      <c r="L199" s="97"/>
      <c r="M199" s="324">
        <f>Maadi!I18</f>
        <v>0</v>
      </c>
      <c r="N199" s="307">
        <f t="shared" si="28"/>
        <v>-11491.780000000261</v>
      </c>
    </row>
    <row r="200" spans="1:18" ht="16.8" thickTop="1" thickBot="1">
      <c r="A200"/>
      <c r="B200" s="312">
        <v>16</v>
      </c>
      <c r="C200" s="314" t="s">
        <v>175</v>
      </c>
      <c r="D200" s="327">
        <f>IFERROR(VLOOKUP(C200,'تقرير إحصائية بحجم المبيعات'!$B$182:$G$212,2,FALSE),0)</f>
        <v>3863395.9200000009</v>
      </c>
      <c r="E200" s="327">
        <f>IFERROR(VLOOKUP(C200,'تقرير إحصائية بحجم المبيعات'!$B$182:$G$212,3,FALSE),0)</f>
        <v>906589.3</v>
      </c>
      <c r="F200" s="327">
        <f>IFERROR(VLOOKUP(C200,'تقرير إحصائية بحجم المبيعات'!$B$182:$G$212,4,FALSE),0)</f>
        <v>1111552.6299999999</v>
      </c>
      <c r="G200" s="319">
        <f t="shared" si="31"/>
        <v>5881537.8500000006</v>
      </c>
      <c r="H200" s="318">
        <f t="shared" si="30"/>
        <v>189727.02741935485</v>
      </c>
      <c r="I200" s="326">
        <f>IFERROR(VLOOKUP(C200,'تقرير إحصائية بحجم المبيعات'!$B$182:$L$212,11,FALSE),0)</f>
        <v>4634280.24</v>
      </c>
      <c r="J200" s="321">
        <f t="shared" si="29"/>
        <v>1247257.6100000003</v>
      </c>
      <c r="K200" s="322">
        <f>HLOOKUP(C200,'تقرير المصروفات حسب الشهر'!$D$636:$AI$750,115,0)</f>
        <v>951656.12999999989</v>
      </c>
      <c r="L200" s="97"/>
      <c r="M200" s="324">
        <f>Zaid!I18</f>
        <v>311.84000000000003</v>
      </c>
      <c r="N200" s="307">
        <f t="shared" si="28"/>
        <v>295913.32000000047</v>
      </c>
    </row>
    <row r="201" spans="1:18" ht="16.8" thickTop="1" thickBot="1">
      <c r="A201"/>
      <c r="B201" s="312">
        <v>17</v>
      </c>
      <c r="C201" s="314" t="s">
        <v>170</v>
      </c>
      <c r="D201" s="327">
        <f>IFERROR(VLOOKUP(C201,'تقرير إحصائية بحجم المبيعات'!$B$182:$G$212,2,FALSE),0)</f>
        <v>842940.85000000009</v>
      </c>
      <c r="E201" s="327">
        <f>IFERROR(VLOOKUP(C201,'تقرير إحصائية بحجم المبيعات'!$B$182:$G$212,3,FALSE),0)</f>
        <v>99037.35</v>
      </c>
      <c r="F201" s="327">
        <f>IFERROR(VLOOKUP(C201,'تقرير إحصائية بحجم المبيعات'!$B$182:$G$212,4,FALSE),0)</f>
        <v>28267.34</v>
      </c>
      <c r="G201" s="319">
        <f t="shared" si="31"/>
        <v>970245.54</v>
      </c>
      <c r="H201" s="318">
        <f t="shared" si="30"/>
        <v>31298.243225806455</v>
      </c>
      <c r="I201" s="326">
        <f>IFERROR(VLOOKUP(C201,'تقرير إحصائية بحجم المبيعات'!$B$182:$L$212,11,FALSE),0)</f>
        <v>732008.61</v>
      </c>
      <c r="J201" s="321">
        <f t="shared" si="29"/>
        <v>238236.93000000005</v>
      </c>
      <c r="K201" s="322">
        <f>HLOOKUP(C201,'تقرير المصروفات حسب الشهر'!$D$636:$AI$750,115,0)</f>
        <v>97791.880000000019</v>
      </c>
      <c r="L201" s="97"/>
      <c r="M201" s="324">
        <f>'Sand Beach'!I18</f>
        <v>0</v>
      </c>
      <c r="N201" s="307">
        <f t="shared" si="28"/>
        <v>140445.05000000005</v>
      </c>
    </row>
    <row r="202" spans="1:18" ht="16.8" thickTop="1" thickBot="1">
      <c r="A202"/>
      <c r="B202" s="312">
        <v>18</v>
      </c>
      <c r="C202" s="314" t="s">
        <v>172</v>
      </c>
      <c r="D202" s="327">
        <f>IFERROR(VLOOKUP(C202,'تقرير إحصائية بحجم المبيعات'!$B$182:$G$212,2,FALSE),0)</f>
        <v>256593.15999999997</v>
      </c>
      <c r="E202" s="327">
        <f>IFERROR(VLOOKUP(C202,'تقرير إحصائية بحجم المبيعات'!$B$182:$G$212,3,FALSE),0)</f>
        <v>0</v>
      </c>
      <c r="F202" s="327">
        <f>IFERROR(VLOOKUP(C202,'تقرير إحصائية بحجم المبيعات'!$B$182:$G$212,4,FALSE),0)</f>
        <v>0</v>
      </c>
      <c r="G202" s="319">
        <f t="shared" si="31"/>
        <v>256593.15999999997</v>
      </c>
      <c r="H202" s="318">
        <f t="shared" si="30"/>
        <v>8277.1987096774192</v>
      </c>
      <c r="I202" s="326">
        <f>IFERROR(VLOOKUP(C202,'تقرير إحصائية بحجم المبيعات'!$B$182:$L$212,11,FALSE),0)</f>
        <v>215411.89</v>
      </c>
      <c r="J202" s="321">
        <f t="shared" si="29"/>
        <v>41181.26999999996</v>
      </c>
      <c r="K202" s="322">
        <f>HLOOKUP(C202,'تقرير المصروفات حسب الشهر'!$D$636:$AI$750,115,0)</f>
        <v>21767.620000000003</v>
      </c>
      <c r="L202" s="97"/>
      <c r="M202" s="324">
        <f>Online!I18</f>
        <v>0</v>
      </c>
      <c r="N202" s="307">
        <f t="shared" si="28"/>
        <v>19413.649999999958</v>
      </c>
    </row>
    <row r="203" spans="1:18" ht="16.8" thickTop="1" thickBot="1">
      <c r="A203"/>
      <c r="B203" s="312">
        <v>19</v>
      </c>
      <c r="C203" s="314" t="s">
        <v>176</v>
      </c>
      <c r="D203" s="327">
        <f>IFERROR(VLOOKUP(C203,'تقرير إحصائية بحجم المبيعات'!$B$182:$G$212,2,FALSE),0)</f>
        <v>96460.990000000049</v>
      </c>
      <c r="E203" s="327">
        <f>IFERROR(VLOOKUP(C203,'تقرير إحصائية بحجم المبيعات'!$B$182:$G$212,3,FALSE),0)</f>
        <v>0</v>
      </c>
      <c r="F203" s="327">
        <f>IFERROR(VLOOKUP(C203,'تقرير إحصائية بحجم المبيعات'!$B$182:$G$212,4,FALSE),0)</f>
        <v>387432.1</v>
      </c>
      <c r="G203" s="319">
        <f t="shared" si="31"/>
        <v>483893.09</v>
      </c>
      <c r="H203" s="318">
        <f t="shared" si="30"/>
        <v>15609.454516129033</v>
      </c>
      <c r="I203" s="326">
        <f>IFERROR(VLOOKUP(C203,'تقرير إحصائية بحجم المبيعات'!$B$182:$L$212,11,FALSE),0)</f>
        <v>406182.22</v>
      </c>
      <c r="J203" s="321">
        <f t="shared" si="29"/>
        <v>77710.870000000054</v>
      </c>
      <c r="K203" s="322">
        <f>HLOOKUP(C203,'تقرير المصروفات حسب الشهر'!$D$636:$AI$750,115,0)</f>
        <v>30519.849999999995</v>
      </c>
      <c r="L203" s="97"/>
      <c r="M203" s="324">
        <f>Orange!I18</f>
        <v>0</v>
      </c>
      <c r="N203" s="307">
        <f t="shared" si="28"/>
        <v>47191.020000000062</v>
      </c>
    </row>
    <row r="204" spans="1:18" ht="16.8" thickTop="1" thickBot="1">
      <c r="A204"/>
      <c r="B204" s="312">
        <v>20</v>
      </c>
      <c r="C204" s="314" t="s">
        <v>177</v>
      </c>
      <c r="D204" s="327">
        <f>IFERROR(VLOOKUP(C204,'تقرير إحصائية بحجم المبيعات'!$B$182:$G$212,2,FALSE),0)</f>
        <v>144516.19000000006</v>
      </c>
      <c r="E204" s="327">
        <f>IFERROR(VLOOKUP(C204,'تقرير إحصائية بحجم المبيعات'!$B$182:$G$212,3,FALSE),0)</f>
        <v>0</v>
      </c>
      <c r="F204" s="327">
        <f>IFERROR(VLOOKUP(C204,'تقرير إحصائية بحجم المبيعات'!$B$182:$G$212,4,FALSE),0)</f>
        <v>619886.22</v>
      </c>
      <c r="G204" s="319">
        <f t="shared" si="31"/>
        <v>764402.41</v>
      </c>
      <c r="H204" s="318">
        <f t="shared" si="30"/>
        <v>24658.142258064516</v>
      </c>
      <c r="I204" s="326">
        <f>IFERROR(VLOOKUP(C204,'تقرير إحصائية بحجم المبيعات'!$B$182:$L$212,11,FALSE),0)</f>
        <v>613623.46</v>
      </c>
      <c r="J204" s="321">
        <f t="shared" si="29"/>
        <v>150778.95000000007</v>
      </c>
      <c r="K204" s="322">
        <f>HLOOKUP(C204,'تقرير المصروفات حسب الشهر'!$D$636:$AI$750,115,0)</f>
        <v>27117.040000000001</v>
      </c>
      <c r="L204" s="97"/>
      <c r="M204" s="324">
        <f>Vod.Smart!I18</f>
        <v>0</v>
      </c>
      <c r="N204" s="307">
        <f t="shared" si="28"/>
        <v>123661.91000000006</v>
      </c>
    </row>
    <row r="205" spans="1:18" ht="16.8" thickTop="1" thickBot="1">
      <c r="A205"/>
      <c r="B205" s="312">
        <v>21</v>
      </c>
      <c r="C205" s="314" t="s">
        <v>178</v>
      </c>
      <c r="D205" s="327">
        <f>IFERROR(VLOOKUP(C205,'تقرير إحصائية بحجم المبيعات'!$B$182:$G$212,2,FALSE),0)</f>
        <v>34469.840000000026</v>
      </c>
      <c r="E205" s="327">
        <f>IFERROR(VLOOKUP(C205,'تقرير إحصائية بحجم المبيعات'!$B$182:$G$212,3,FALSE),0)</f>
        <v>0</v>
      </c>
      <c r="F205" s="327">
        <f>IFERROR(VLOOKUP(C205,'تقرير إحصائية بحجم المبيعات'!$B$182:$G$212,4,FALSE),0)</f>
        <v>393893.48</v>
      </c>
      <c r="G205" s="319">
        <f t="shared" si="31"/>
        <v>428363.32</v>
      </c>
      <c r="H205" s="318">
        <f t="shared" si="30"/>
        <v>13818.171612903227</v>
      </c>
      <c r="I205" s="326">
        <f>IFERROR(VLOOKUP(C205,'تقرير إحصائية بحجم المبيعات'!$B$182:$L$212,11,FALSE),0)</f>
        <v>322479.93</v>
      </c>
      <c r="J205" s="321">
        <f t="shared" si="29"/>
        <v>105883.39000000001</v>
      </c>
      <c r="K205" s="322">
        <f>HLOOKUP(C205,'تقرير المصروفات حسب الشهر'!$D$636:$AI$750,115,0)</f>
        <v>14417.42</v>
      </c>
      <c r="L205" s="97"/>
      <c r="M205" s="324">
        <f>Vod.Zahraa!I18</f>
        <v>0</v>
      </c>
      <c r="N205" s="307">
        <f t="shared" si="28"/>
        <v>91465.970000000016</v>
      </c>
    </row>
    <row r="206" spans="1:18" ht="16.8" thickTop="1" thickBot="1">
      <c r="A206"/>
      <c r="B206" s="312">
        <v>22</v>
      </c>
      <c r="C206" s="314" t="s">
        <v>179</v>
      </c>
      <c r="D206" s="327">
        <f>IFERROR(VLOOKUP(C206,'تقرير إحصائية بحجم المبيعات'!$B$182:$G$212,2,FALSE),0)</f>
        <v>416.29000000003725</v>
      </c>
      <c r="E206" s="327">
        <f>IFERROR(VLOOKUP(C206,'تقرير إحصائية بحجم المبيعات'!$B$182:$G$212,3,FALSE),0)</f>
        <v>0</v>
      </c>
      <c r="F206" s="327">
        <f>IFERROR(VLOOKUP(C206,'تقرير إحصائية بحجم المبيعات'!$B$182:$G$212,4,FALSE),0)</f>
        <v>532838.87</v>
      </c>
      <c r="G206" s="319">
        <f t="shared" si="31"/>
        <v>533255.16</v>
      </c>
      <c r="H206" s="318">
        <f t="shared" si="30"/>
        <v>17201.779354838709</v>
      </c>
      <c r="I206" s="326">
        <f>IFERROR(VLOOKUP(C206,'تقرير إحصائية بحجم المبيعات'!$B$182:$L$212,11,FALSE),0)</f>
        <v>436669.43</v>
      </c>
      <c r="J206" s="321">
        <f t="shared" si="29"/>
        <v>96585.73000000004</v>
      </c>
      <c r="K206" s="322">
        <f>HLOOKUP(C206,'تقرير المصروفات حسب الشهر'!$D$636:$AI$750,115,0)</f>
        <v>24205.53</v>
      </c>
      <c r="L206" s="97"/>
      <c r="M206" s="324">
        <f>Mo7awelat!I18</f>
        <v>43184.61</v>
      </c>
      <c r="N206" s="307">
        <f t="shared" si="28"/>
        <v>115564.81000000004</v>
      </c>
    </row>
    <row r="207" spans="1:18" ht="16.8" thickTop="1" thickBot="1">
      <c r="A207"/>
      <c r="B207" s="312">
        <v>23</v>
      </c>
      <c r="C207" s="314" t="s">
        <v>181</v>
      </c>
      <c r="D207" s="327">
        <f>IFERROR(VLOOKUP(C207,'تقرير إحصائية بحجم المبيعات'!$B$182:$G$212,2,FALSE),0)</f>
        <v>22990.879999999976</v>
      </c>
      <c r="E207" s="327">
        <f>IFERROR(VLOOKUP(C207,'تقرير إحصائية بحجم المبيعات'!$B$182:$G$212,3,FALSE),0)</f>
        <v>0</v>
      </c>
      <c r="F207" s="327">
        <f>IFERROR(VLOOKUP(C207,'تقرير إحصائية بحجم المبيعات'!$B$182:$G$212,4,FALSE),0)</f>
        <v>231193.15</v>
      </c>
      <c r="G207" s="319">
        <f t="shared" si="31"/>
        <v>254184.02999999997</v>
      </c>
      <c r="H207" s="318">
        <f t="shared" si="30"/>
        <v>8199.4848387096772</v>
      </c>
      <c r="I207" s="326">
        <f>IFERROR(VLOOKUP(C207,'تقرير إحصائية بحجم المبيعات'!$B$182:$L$212,11,FALSE),0)</f>
        <v>219769.57</v>
      </c>
      <c r="J207" s="321">
        <f t="shared" si="29"/>
        <v>34414.459999999963</v>
      </c>
      <c r="K207" s="322">
        <f>HLOOKUP(C207,'تقرير المصروفات حسب الشهر'!$D$636:$AI$750,115,0)</f>
        <v>22983.949999999993</v>
      </c>
      <c r="L207" s="97"/>
      <c r="M207" s="324">
        <f>Electric!I18</f>
        <v>0</v>
      </c>
      <c r="N207" s="307">
        <f t="shared" si="28"/>
        <v>11430.509999999969</v>
      </c>
    </row>
    <row r="208" spans="1:18" ht="16.8" thickTop="1" thickBot="1">
      <c r="A208"/>
      <c r="B208" s="312">
        <v>24</v>
      </c>
      <c r="C208" s="314" t="s">
        <v>182</v>
      </c>
      <c r="D208" s="327">
        <f>IFERROR(VLOOKUP(C208,'تقرير إحصائية بحجم المبيعات'!$B$182:$G$212,2,FALSE),0)</f>
        <v>25185.72</v>
      </c>
      <c r="E208" s="327">
        <f>IFERROR(VLOOKUP(C208,'تقرير إحصائية بحجم المبيعات'!$B$182:$G$212,3,FALSE),0)</f>
        <v>0</v>
      </c>
      <c r="F208" s="327">
        <f>IFERROR(VLOOKUP(C208,'تقرير إحصائية بحجم المبيعات'!$B$182:$G$212,4,FALSE),0)</f>
        <v>139204.35999999999</v>
      </c>
      <c r="G208" s="319">
        <f t="shared" si="31"/>
        <v>164390.07999999999</v>
      </c>
      <c r="H208" s="318">
        <f t="shared" si="30"/>
        <v>5302.9058064516121</v>
      </c>
      <c r="I208" s="326">
        <f>IFERROR(VLOOKUP(C208,'تقرير إحصائية بحجم المبيعات'!$B$182:$L$212,11,FALSE),0)</f>
        <v>138888.74</v>
      </c>
      <c r="J208" s="321">
        <f t="shared" si="29"/>
        <v>25501.339999999997</v>
      </c>
      <c r="K208" s="322">
        <f>HLOOKUP(C208,'تقرير المصروفات حسب الشهر'!$D$636:$AI$750,115,0)</f>
        <v>10339.219999999999</v>
      </c>
      <c r="L208" s="97"/>
      <c r="M208" s="324">
        <f>'M.C.V'!I18</f>
        <v>0</v>
      </c>
      <c r="N208" s="307">
        <f t="shared" si="28"/>
        <v>15162.119999999997</v>
      </c>
    </row>
    <row r="209" spans="1:18" ht="16.8" thickTop="1" thickBot="1">
      <c r="A209"/>
      <c r="B209" s="312">
        <v>25</v>
      </c>
      <c r="C209" s="314" t="s">
        <v>187</v>
      </c>
      <c r="D209" s="327">
        <f>IFERROR(VLOOKUP(C209,'تقرير إحصائية بحجم المبيعات'!$B$182:$G$212,2,FALSE),0)</f>
        <v>69222.800000000017</v>
      </c>
      <c r="E209" s="327">
        <f>IFERROR(VLOOKUP(C209,'تقرير إحصائية بحجم المبيعات'!$B$182:$G$212,3,FALSE),0)</f>
        <v>0</v>
      </c>
      <c r="F209" s="327">
        <f>IFERROR(VLOOKUP(C209,'تقرير إحصائية بحجم المبيعات'!$B$182:$G$212,4,FALSE),0)</f>
        <v>192203.5</v>
      </c>
      <c r="G209" s="319">
        <f t="shared" si="31"/>
        <v>261426.30000000002</v>
      </c>
      <c r="H209" s="318">
        <f t="shared" si="30"/>
        <v>8433.1064516129045</v>
      </c>
      <c r="I209" s="326">
        <f>IFERROR(VLOOKUP(C209,'تقرير إحصائية بحجم المبيعات'!$B$182:$L$212,11,FALSE),0)</f>
        <v>214048.77</v>
      </c>
      <c r="J209" s="321">
        <f t="shared" si="29"/>
        <v>47377.530000000028</v>
      </c>
      <c r="K209" s="322">
        <f>HLOOKUP(C209,'تقرير المصروفات حسب الشهر'!$D$636:$AI$750,115,0)</f>
        <v>17299.47</v>
      </c>
      <c r="L209" s="97"/>
      <c r="M209" s="324">
        <f>Egyplast!I18</f>
        <v>0</v>
      </c>
      <c r="N209" s="307">
        <f t="shared" si="28"/>
        <v>30078.060000000027</v>
      </c>
    </row>
    <row r="210" spans="1:18" ht="16.8" thickTop="1" thickBot="1">
      <c r="A210"/>
      <c r="B210" s="312">
        <v>26</v>
      </c>
      <c r="C210" s="315" t="s">
        <v>240</v>
      </c>
      <c r="D210" s="327">
        <f>IFERROR(VLOOKUP(C210,'تقرير إحصائية بحجم المبيعات'!$B$182:$G$212,2,FALSE),0)</f>
        <v>108023.07000000007</v>
      </c>
      <c r="E210" s="327">
        <f>IFERROR(VLOOKUP(C210,'تقرير إحصائية بحجم المبيعات'!$B$182:$G$212,3,FALSE),0)</f>
        <v>0</v>
      </c>
      <c r="F210" s="327">
        <f>IFERROR(VLOOKUP(C210,'تقرير إحصائية بحجم المبيعات'!$B$182:$G$212,4,FALSE),0)</f>
        <v>518957.72</v>
      </c>
      <c r="G210" s="320">
        <f t="shared" si="31"/>
        <v>626980.79</v>
      </c>
      <c r="H210" s="318">
        <f t="shared" si="30"/>
        <v>20225.186774193549</v>
      </c>
      <c r="I210" s="326">
        <f>IFERROR(VLOOKUP(C210,'تقرير إحصائية بحجم المبيعات'!$B$182:$L$212,11,FALSE),0)</f>
        <v>518367.44</v>
      </c>
      <c r="J210" s="321">
        <f t="shared" si="29"/>
        <v>108613.35000000003</v>
      </c>
      <c r="K210" s="322">
        <f>HLOOKUP(C210,'تقرير المصروفات حسب الشهر'!$D$636:$AI$750,115,0)</f>
        <v>23079.540000000005</v>
      </c>
      <c r="L210" s="99"/>
      <c r="M210" s="324">
        <f>CFC!I18</f>
        <v>38557.54</v>
      </c>
      <c r="N210" s="307">
        <f t="shared" si="28"/>
        <v>124091.35000000003</v>
      </c>
    </row>
    <row r="211" spans="1:18" ht="16.8" thickTop="1" thickBot="1">
      <c r="A211"/>
      <c r="B211" s="312">
        <v>27</v>
      </c>
      <c r="C211" s="316" t="s">
        <v>245</v>
      </c>
      <c r="D211" s="327">
        <f>IFERROR(VLOOKUP(C211,'تقرير إحصائية بحجم المبيعات'!$B$182:$G$212,2,FALSE),0)</f>
        <v>0</v>
      </c>
      <c r="E211" s="327">
        <f>IFERROR(VLOOKUP(C211,'تقرير إحصائية بحجم المبيعات'!$B$182:$G$212,3,FALSE),0)</f>
        <v>0</v>
      </c>
      <c r="F211" s="327">
        <f>IFERROR(VLOOKUP(C211,'تقرير إحصائية بحجم المبيعات'!$B$182:$G$212,4,FALSE),0)</f>
        <v>0</v>
      </c>
      <c r="G211" s="320">
        <f t="shared" si="31"/>
        <v>0</v>
      </c>
      <c r="H211" s="318">
        <f t="shared" si="30"/>
        <v>0</v>
      </c>
      <c r="I211" s="326">
        <f>IFERROR(VLOOKUP(C211,'تقرير إحصائية بحجم المبيعات'!$B$182:$L$212,11,FALSE),0)</f>
        <v>0</v>
      </c>
      <c r="J211" s="321">
        <f t="shared" si="29"/>
        <v>0</v>
      </c>
      <c r="K211" s="322">
        <f>HLOOKUP(C211,'تقرير المصروفات حسب الشهر'!$D$636:$AI$750,115,0)</f>
        <v>0</v>
      </c>
      <c r="L211" s="99"/>
      <c r="M211" s="324">
        <f>North.Coast!I18</f>
        <v>0</v>
      </c>
      <c r="N211" s="307">
        <f t="shared" si="28"/>
        <v>0</v>
      </c>
      <c r="Q211" s="444"/>
      <c r="R211" s="444"/>
    </row>
    <row r="212" spans="1:18" ht="16.8" thickTop="1" thickBot="1">
      <c r="A212"/>
      <c r="B212" s="312">
        <v>28</v>
      </c>
      <c r="C212" s="316" t="s">
        <v>357</v>
      </c>
      <c r="D212" s="327">
        <f>IFERROR(VLOOKUP(C212,'تقرير إحصائية بحجم المبيعات'!$B$182:$G$212,2,FALSE),0)</f>
        <v>2097718.2600000002</v>
      </c>
      <c r="E212" s="327">
        <f>IFERROR(VLOOKUP(C212,'تقرير إحصائية بحجم المبيعات'!$B$182:$G$212,3,FALSE),0)</f>
        <v>45066.59</v>
      </c>
      <c r="F212" s="327">
        <f>IFERROR(VLOOKUP(C212,'تقرير إحصائية بحجم المبيعات'!$B$182:$G$212,4,FALSE),0)</f>
        <v>84170.8</v>
      </c>
      <c r="G212" s="320">
        <f>+D212+E212+F212</f>
        <v>2226955.65</v>
      </c>
      <c r="H212" s="318">
        <f>+G212/31</f>
        <v>71837.279032258055</v>
      </c>
      <c r="I212" s="326">
        <f>IFERROR(VLOOKUP(C212,'تقرير إحصائية بحجم المبيعات'!$B$182:$L$212,11,FALSE),0)</f>
        <v>1704329.73</v>
      </c>
      <c r="J212" s="321">
        <f>+G212-I212</f>
        <v>522625.91999999993</v>
      </c>
      <c r="K212" s="322">
        <f>HLOOKUP(C212,'تقرير المصروفات حسب الشهر'!$D$636:$AI$750,115,0)</f>
        <v>730249.91999999993</v>
      </c>
      <c r="L212" s="99"/>
      <c r="M212" s="324">
        <f>Rehab!I18</f>
        <v>0</v>
      </c>
      <c r="N212" s="307">
        <f>J212-K212-L212+M212</f>
        <v>-207624</v>
      </c>
      <c r="Q212" s="444"/>
      <c r="R212" s="444"/>
    </row>
    <row r="213" spans="1:18" ht="16.8" thickTop="1" thickBot="1">
      <c r="A213"/>
      <c r="B213" s="312">
        <v>29</v>
      </c>
      <c r="C213" s="316" t="s">
        <v>362</v>
      </c>
      <c r="D213" s="327">
        <f>IFERROR(VLOOKUP(C213,'تقرير إحصائية بحجم المبيعات'!$B$182:$G$212,2,FALSE),0)</f>
        <v>97142.599999999977</v>
      </c>
      <c r="E213" s="327">
        <f>IFERROR(VLOOKUP(C213,'تقرير إحصائية بحجم المبيعات'!$B$182:$G$212,3,FALSE),0)</f>
        <v>0</v>
      </c>
      <c r="F213" s="327">
        <f>IFERROR(VLOOKUP(C213,'تقرير إحصائية بحجم المبيعات'!$B$182:$G$212,4,FALSE),0)</f>
        <v>532185.38</v>
      </c>
      <c r="G213" s="320">
        <f>+D213+E213+F213</f>
        <v>629327.98</v>
      </c>
      <c r="H213" s="318">
        <f>+G213/31</f>
        <v>20300.902580645161</v>
      </c>
      <c r="I213" s="326">
        <f>IFERROR(VLOOKUP(C213,'تقرير إحصائية بحجم المبيعات'!$B$182:$L$212,11,FALSE),0)</f>
        <v>523148.23</v>
      </c>
      <c r="J213" s="321">
        <f>+G213-I213</f>
        <v>106179.75</v>
      </c>
      <c r="K213" s="322">
        <f>HLOOKUP(C213,'تقرير المصروفات حسب الشهر'!$D$636:$AI$750,115,0)</f>
        <v>11426.739999999998</v>
      </c>
      <c r="L213" s="99"/>
      <c r="M213" s="324">
        <f>'HSBC MAADI'!I18</f>
        <v>2.8</v>
      </c>
      <c r="N213" s="307">
        <f>J213-K213-L213+M213</f>
        <v>94755.810000000012</v>
      </c>
      <c r="Q213" s="444"/>
      <c r="R213" s="444"/>
    </row>
    <row r="214" spans="1:18" ht="16.8" thickTop="1" thickBot="1">
      <c r="A214"/>
      <c r="B214" s="312">
        <v>30</v>
      </c>
      <c r="C214" s="316" t="s">
        <v>361</v>
      </c>
      <c r="D214" s="327">
        <f>IFERROR(VLOOKUP(C214,'تقرير إحصائية بحجم المبيعات'!$B$182:$G$212,2,FALSE),0)</f>
        <v>104981.59999999996</v>
      </c>
      <c r="E214" s="327">
        <f>IFERROR(VLOOKUP(C214,'تقرير إحصائية بحجم المبيعات'!$B$182:$G$212,3,FALSE),0)</f>
        <v>49.5</v>
      </c>
      <c r="F214" s="327">
        <f>IFERROR(VLOOKUP(C214,'تقرير إحصائية بحجم المبيعات'!$B$182:$G$212,4,FALSE),0)</f>
        <v>489992.81</v>
      </c>
      <c r="G214" s="320">
        <f>+D214+E214+F214</f>
        <v>595023.90999999992</v>
      </c>
      <c r="H214" s="318">
        <f>+G214/31</f>
        <v>19194.319677419353</v>
      </c>
      <c r="I214" s="326">
        <f>IFERROR(VLOOKUP(C214,'تقرير إحصائية بحجم المبيعات'!$B$182:$L$212,11,FALSE),0)</f>
        <v>500386.52</v>
      </c>
      <c r="J214" s="321">
        <f>+G214-I214</f>
        <v>94637.389999999898</v>
      </c>
      <c r="K214" s="322">
        <f>HLOOKUP(C214,'تقرير المصروفات حسب الشهر'!$D$636:$AI$750,115,0)</f>
        <v>41817.280000000006</v>
      </c>
      <c r="L214" s="99"/>
      <c r="M214" s="324">
        <f>'HSBC SMART'!I18</f>
        <v>960.93000000000006</v>
      </c>
      <c r="N214" s="307">
        <f>J214-K214-L214+M214</f>
        <v>53781.039999999892</v>
      </c>
      <c r="Q214" s="444">
        <v>87478.04</v>
      </c>
      <c r="R214" s="444">
        <f>Q214-N214</f>
        <v>33697.000000000102</v>
      </c>
    </row>
    <row r="215" spans="1:18" ht="16.8" thickTop="1" thickBot="1">
      <c r="A215"/>
      <c r="B215" s="312">
        <v>31</v>
      </c>
      <c r="C215" s="316" t="s">
        <v>234</v>
      </c>
      <c r="D215" s="327">
        <f>IFERROR(VLOOKUP(C215,'تقرير إحصائية بحجم المبيعات'!$B$182:$G$212,2,FALSE),0)</f>
        <v>0</v>
      </c>
      <c r="E215" s="327">
        <f>IFERROR(VLOOKUP(C215,'تقرير إحصائية بحجم المبيعات'!$B$182:$G$212,3,FALSE),0)</f>
        <v>0</v>
      </c>
      <c r="F215" s="327">
        <f>IFERROR(VLOOKUP(C215,'تقرير إحصائية بحجم المبيعات'!$B$182:$G$212,4,FALSE),0)</f>
        <v>0</v>
      </c>
      <c r="G215" s="320">
        <f>+D215+E215+F215</f>
        <v>0</v>
      </c>
      <c r="H215" s="318">
        <f>+G215/31</f>
        <v>0</v>
      </c>
      <c r="I215" s="326">
        <f>IFERROR(VLOOKUP(C215,'تقرير إحصائية بحجم المبيعات'!$B$182:$L$212,11,FALSE),0)</f>
        <v>0</v>
      </c>
      <c r="J215" s="321">
        <f>+G215-I215</f>
        <v>0</v>
      </c>
      <c r="K215" s="322">
        <f>HLOOKUP(C215,'تقرير المصروفات حسب الشهر'!$D$636:$AI$750,115,0)</f>
        <v>0</v>
      </c>
      <c r="L215" s="99"/>
      <c r="M215" s="324">
        <f>Vois!I18</f>
        <v>0</v>
      </c>
      <c r="N215" s="307">
        <f>J215-K215-L215+M215</f>
        <v>0</v>
      </c>
      <c r="Q215" s="444"/>
      <c r="R215" s="444"/>
    </row>
    <row r="216" spans="1:18" ht="15" customHeight="1" thickTop="1" thickBot="1">
      <c r="A216"/>
      <c r="B216" s="652" t="s">
        <v>18</v>
      </c>
      <c r="C216" s="653"/>
      <c r="D216" s="305">
        <f>SUM(D185:D215)</f>
        <v>28365614.770000003</v>
      </c>
      <c r="E216" s="305">
        <f t="shared" ref="E216:N216" si="32">SUM(E185:E215)</f>
        <v>3763696.4800000009</v>
      </c>
      <c r="F216" s="305">
        <f t="shared" si="32"/>
        <v>18942384.859999996</v>
      </c>
      <c r="G216" s="305">
        <f t="shared" si="32"/>
        <v>51071696.109999985</v>
      </c>
      <c r="H216" s="305">
        <f t="shared" si="32"/>
        <v>1647474.0680645159</v>
      </c>
      <c r="I216" s="305">
        <f t="shared" si="32"/>
        <v>41196730.489999995</v>
      </c>
      <c r="J216" s="305">
        <f t="shared" si="32"/>
        <v>9874965.6200000029</v>
      </c>
      <c r="K216" s="305">
        <f t="shared" si="32"/>
        <v>10183139.619999997</v>
      </c>
      <c r="L216" s="305">
        <f t="shared" si="32"/>
        <v>0</v>
      </c>
      <c r="M216" s="305">
        <f t="shared" si="32"/>
        <v>1123699.3699999999</v>
      </c>
      <c r="N216" s="305">
        <f t="shared" si="32"/>
        <v>815525.37000000256</v>
      </c>
      <c r="Q216" s="444"/>
      <c r="R216" s="444"/>
    </row>
    <row r="217" spans="1:18" ht="13.8" thickTop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Q217" s="444"/>
      <c r="R217" s="444"/>
    </row>
    <row r="218" spans="1:18" ht="13.8" thickBot="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8" ht="30.6" thickBot="1">
      <c r="A219"/>
      <c r="B219" s="649" t="s">
        <v>380</v>
      </c>
      <c r="C219" s="650"/>
      <c r="D219" s="650"/>
      <c r="E219" s="650"/>
      <c r="F219" s="650"/>
      <c r="G219" s="650"/>
      <c r="H219" s="650"/>
      <c r="I219" s="650"/>
      <c r="J219" s="650"/>
      <c r="K219" s="650"/>
      <c r="L219" s="650"/>
      <c r="M219" s="650"/>
      <c r="N219" s="651"/>
    </row>
    <row r="220" spans="1:18" ht="16.8" thickTop="1" thickBot="1">
      <c r="A220"/>
      <c r="B220" s="308" t="s">
        <v>39</v>
      </c>
      <c r="C220" s="308" t="s">
        <v>34</v>
      </c>
      <c r="D220" s="309" t="s">
        <v>20</v>
      </c>
      <c r="E220" s="310" t="s">
        <v>21</v>
      </c>
      <c r="F220" s="310" t="s">
        <v>22</v>
      </c>
      <c r="G220" s="308" t="s">
        <v>19</v>
      </c>
      <c r="H220" s="308" t="s">
        <v>12</v>
      </c>
      <c r="I220" s="308" t="s">
        <v>13</v>
      </c>
      <c r="J220" s="308" t="s">
        <v>14</v>
      </c>
      <c r="K220" s="308" t="s">
        <v>15</v>
      </c>
      <c r="L220" s="308" t="s">
        <v>32</v>
      </c>
      <c r="M220" s="311" t="s">
        <v>16</v>
      </c>
      <c r="N220" s="306" t="s">
        <v>17</v>
      </c>
    </row>
    <row r="221" spans="1:18" ht="16.8" thickTop="1" thickBot="1">
      <c r="A221"/>
      <c r="B221" s="312">
        <v>1</v>
      </c>
      <c r="C221" s="313" t="s">
        <v>184</v>
      </c>
      <c r="D221" s="327">
        <f>IFERROR(VLOOKUP(C221,'تقرير إحصائية بحجم المبيعات'!B217:G247,2,0),0)</f>
        <v>0</v>
      </c>
      <c r="E221" s="327">
        <f>IFERROR(VLOOKUP(C221,'تقرير إحصائية بحجم المبيعات'!B217:E247,3,FALSE),0)</f>
        <v>0</v>
      </c>
      <c r="F221" s="327">
        <f>IFERROR(VLOOKUP(C221,'تقرير إحصائية بحجم المبيعات'!B217:E247,4,FALSE),0)</f>
        <v>0</v>
      </c>
      <c r="G221" s="317">
        <f>+D221+E221+F221</f>
        <v>0</v>
      </c>
      <c r="H221" s="318">
        <f>+G221/31</f>
        <v>0</v>
      </c>
      <c r="I221" s="326">
        <f>IFERROR(VLOOKUP(C221,'تقرير إحصائية بحجم المبيعات'!B217:L247,11,FALSE),0)</f>
        <v>0</v>
      </c>
      <c r="J221" s="321">
        <f>+G221-I221</f>
        <v>0</v>
      </c>
      <c r="K221" s="322">
        <f>HLOOKUP(C221,'تقرير المصروفات حسب الشهر'!$D$762:$AI$877,116,FALSE)</f>
        <v>2516501.6999999997</v>
      </c>
      <c r="L221" s="96"/>
      <c r="M221" s="323">
        <f>HQ!J18</f>
        <v>510545.48</v>
      </c>
      <c r="N221" s="307">
        <f>J221-K221-L221+M221</f>
        <v>-2005956.2199999997</v>
      </c>
    </row>
    <row r="222" spans="1:18" ht="16.8" thickTop="1" thickBot="1">
      <c r="A222"/>
      <c r="B222" s="312">
        <v>2</v>
      </c>
      <c r="C222" s="314" t="s">
        <v>36</v>
      </c>
      <c r="D222" s="327">
        <f>IFERROR(VLOOKUP(C222,'تقرير إحصائية بحجم المبيعات'!B218:G248,2,0),0)</f>
        <v>4185966.05</v>
      </c>
      <c r="E222" s="327">
        <f>IFERROR(VLOOKUP(C222,'تقرير إحصائية بحجم المبيعات'!B218:E248,3,FALSE),0)</f>
        <v>668506.5</v>
      </c>
      <c r="F222" s="327">
        <f>IFERROR(VLOOKUP(C222,'تقرير إحصائية بحجم المبيعات'!B218:E248,4,FALSE),0)</f>
        <v>1241652.06</v>
      </c>
      <c r="G222" s="319">
        <f>+D222+E222+F222</f>
        <v>6096124.6099999994</v>
      </c>
      <c r="H222" s="318">
        <f>+G222/31</f>
        <v>196649.18096774191</v>
      </c>
      <c r="I222" s="326">
        <f>IFERROR(VLOOKUP(C222,'تقرير إحصائية بحجم المبيعات'!B218:L248,11,FALSE),0)</f>
        <v>4883642.38</v>
      </c>
      <c r="J222" s="321">
        <f>+G222-I222</f>
        <v>1212482.2299999995</v>
      </c>
      <c r="K222" s="322">
        <f>HLOOKUP(C222,'تقرير المصروفات حسب الشهر'!$D$762:$AI$877,116,FALSE)</f>
        <v>1023718.5599999999</v>
      </c>
      <c r="L222" s="97"/>
      <c r="M222" s="324">
        <f>Aguza!J18</f>
        <v>26300</v>
      </c>
      <c r="N222" s="307">
        <f t="shared" ref="N222:N251" si="33">J222-K222-L222+M222</f>
        <v>215063.66999999958</v>
      </c>
    </row>
    <row r="223" spans="1:18" ht="16.8" thickTop="1" thickBot="1">
      <c r="A223"/>
      <c r="B223" s="312">
        <v>3</v>
      </c>
      <c r="C223" s="314" t="s">
        <v>9</v>
      </c>
      <c r="D223" s="327">
        <f>IFERROR(VLOOKUP(C223,'تقرير إحصائية بحجم المبيعات'!B219:G249,2,0),0)</f>
        <v>3082150.6100000003</v>
      </c>
      <c r="E223" s="327">
        <f>IFERROR(VLOOKUP(C223,'تقرير إحصائية بحجم المبيعات'!B219:E249,3,FALSE),0)</f>
        <v>1527866.39</v>
      </c>
      <c r="F223" s="327">
        <f>IFERROR(VLOOKUP(C223,'تقرير إحصائية بحجم المبيعات'!B219:E249,4,FALSE),0)</f>
        <v>567048.12</v>
      </c>
      <c r="G223" s="319">
        <f>+D223+E223+F223</f>
        <v>5177065.12</v>
      </c>
      <c r="H223" s="318">
        <f>+G223/31</f>
        <v>167002.10064516129</v>
      </c>
      <c r="I223" s="326">
        <f>IFERROR(VLOOKUP(C223,'تقرير إحصائية بحجم المبيعات'!B219:L249,11,FALSE),0)</f>
        <v>4122722.99</v>
      </c>
      <c r="J223" s="321">
        <f t="shared" ref="J223:J251" si="34">+G223-I223</f>
        <v>1054342.1299999999</v>
      </c>
      <c r="K223" s="322">
        <f>HLOOKUP(C223,'تقرير المصروفات حسب الشهر'!$D$762:$AI$877,116,FALSE)</f>
        <v>842125.76</v>
      </c>
      <c r="L223" s="97"/>
      <c r="M223" s="324">
        <f>October!J18</f>
        <v>0</v>
      </c>
      <c r="N223" s="307">
        <f t="shared" si="33"/>
        <v>212216.36999999988</v>
      </c>
    </row>
    <row r="224" spans="1:18" ht="16.8" thickTop="1" thickBot="1">
      <c r="A224"/>
      <c r="B224" s="312">
        <v>4</v>
      </c>
      <c r="C224" s="314" t="s">
        <v>25</v>
      </c>
      <c r="D224" s="327">
        <f>IFERROR(VLOOKUP(C224,'تقرير إحصائية بحجم المبيعات'!B220:G250,2,0),0)</f>
        <v>1579307.7299999997</v>
      </c>
      <c r="E224" s="327">
        <f>IFERROR(VLOOKUP(C224,'تقرير إحصائية بحجم المبيعات'!B220:E250,3,FALSE),0)</f>
        <v>489333.06</v>
      </c>
      <c r="F224" s="327">
        <f>IFERROR(VLOOKUP(C224,'تقرير إحصائية بحجم المبيعات'!B220:E250,4,FALSE),0)</f>
        <v>1754610.59</v>
      </c>
      <c r="G224" s="319">
        <f>+D224+E224+F224</f>
        <v>3823251.38</v>
      </c>
      <c r="H224" s="318">
        <f t="shared" ref="H224:H247" si="35">+G224/31</f>
        <v>123330.68967741934</v>
      </c>
      <c r="I224" s="326">
        <f>IFERROR(VLOOKUP(C224,'تقرير إحصائية بحجم المبيعات'!B220:L250,11,FALSE),0)</f>
        <v>3136323.52</v>
      </c>
      <c r="J224" s="321">
        <f t="shared" si="34"/>
        <v>686927.85999999987</v>
      </c>
      <c r="K224" s="322">
        <f>HLOOKUP(C224,'تقرير المصروفات حسب الشهر'!$D$762:$AI$877,116,FALSE)</f>
        <v>490212.36</v>
      </c>
      <c r="L224" s="97"/>
      <c r="M224" s="324">
        <f>Batal!J18</f>
        <v>29204.589999999997</v>
      </c>
      <c r="N224" s="307">
        <f t="shared" si="33"/>
        <v>225920.08999999988</v>
      </c>
    </row>
    <row r="225" spans="1:14" ht="16.8" thickTop="1" thickBot="1">
      <c r="A225"/>
      <c r="B225" s="312">
        <v>5</v>
      </c>
      <c r="C225" s="314" t="s">
        <v>160</v>
      </c>
      <c r="D225" s="327">
        <f>IFERROR(VLOOKUP(C225,'تقرير إحصائية بحجم المبيعات'!B221:G251,2,0),0)</f>
        <v>5228586.7</v>
      </c>
      <c r="E225" s="327">
        <f>IFERROR(VLOOKUP(C225,'تقرير إحصائية بحجم المبيعات'!B221:E251,3,FALSE),0)</f>
        <v>39259.01</v>
      </c>
      <c r="F225" s="327">
        <f>IFERROR(VLOOKUP(C225,'تقرير إحصائية بحجم المبيعات'!B221:E251,4,FALSE),0)</f>
        <v>2869338.01</v>
      </c>
      <c r="G225" s="319">
        <f t="shared" ref="G225:G251" si="36">+D225+E225+F225</f>
        <v>8137183.7199999997</v>
      </c>
      <c r="H225" s="318">
        <f t="shared" si="35"/>
        <v>262489.79741935484</v>
      </c>
      <c r="I225" s="326">
        <f>IFERROR(VLOOKUP(C225,'تقرير إحصائية بحجم المبيعات'!B221:L251,11,FALSE),0)</f>
        <v>6600106.9900000002</v>
      </c>
      <c r="J225" s="321">
        <f t="shared" si="34"/>
        <v>1537076.7299999995</v>
      </c>
      <c r="K225" s="322">
        <f>HLOOKUP(C225,'تقرير المصروفات حسب الشهر'!$D$762:$AI$877,116,FALSE)</f>
        <v>1096504.8399999999</v>
      </c>
      <c r="L225" s="97"/>
      <c r="M225" s="324">
        <f>'Nasr City'!J18</f>
        <v>18912.770000000004</v>
      </c>
      <c r="N225" s="307">
        <f t="shared" si="33"/>
        <v>459484.65999999968</v>
      </c>
    </row>
    <row r="226" spans="1:14" ht="16.8" thickTop="1" thickBot="1">
      <c r="A226"/>
      <c r="B226" s="312">
        <v>6</v>
      </c>
      <c r="C226" s="314" t="s">
        <v>139</v>
      </c>
      <c r="D226" s="327">
        <f>IFERROR(VLOOKUP(C226,'تقرير إحصائية بحجم المبيعات'!B222:G252,2,0),0)</f>
        <v>14657.340000000084</v>
      </c>
      <c r="E226" s="327">
        <f>IFERROR(VLOOKUP(C226,'تقرير إحصائية بحجم المبيعات'!B222:E252,3,FALSE),0)</f>
        <v>0</v>
      </c>
      <c r="F226" s="327">
        <f>IFERROR(VLOOKUP(C226,'تقرير إحصائية بحجم المبيعات'!B222:E252,4,FALSE),0)</f>
        <v>2062911.33</v>
      </c>
      <c r="G226" s="319">
        <f t="shared" si="36"/>
        <v>2077568.6700000002</v>
      </c>
      <c r="H226" s="318">
        <f t="shared" si="35"/>
        <v>67018.344193548386</v>
      </c>
      <c r="I226" s="326">
        <f>IFERROR(VLOOKUP(C226,'تقرير إحصائية بحجم المبيعات'!B222:L252,11,FALSE),0)</f>
        <v>1778614.12</v>
      </c>
      <c r="J226" s="321">
        <f t="shared" si="34"/>
        <v>298954.55000000005</v>
      </c>
      <c r="K226" s="322">
        <f>HLOOKUP(C226,'تقرير المصروفات حسب الشهر'!$D$762:$AI$877,116,FALSE)</f>
        <v>88867.294999999998</v>
      </c>
      <c r="L226" s="97"/>
      <c r="M226" s="324">
        <f>Sweedy!J18</f>
        <v>173216.14</v>
      </c>
      <c r="N226" s="307">
        <f t="shared" si="33"/>
        <v>383303.39500000008</v>
      </c>
    </row>
    <row r="227" spans="1:14" ht="16.8" thickTop="1" thickBot="1">
      <c r="A227"/>
      <c r="B227" s="312">
        <v>7</v>
      </c>
      <c r="C227" s="314" t="s">
        <v>37</v>
      </c>
      <c r="D227" s="327">
        <f>IFERROR(VLOOKUP(C227,'تقرير إحصائية بحجم المبيعات'!B223:G253,2,0),0)</f>
        <v>23672.369999999995</v>
      </c>
      <c r="E227" s="327">
        <f>IFERROR(VLOOKUP(C227,'تقرير إحصائية بحجم المبيعات'!B223:E253,3,FALSE),0)</f>
        <v>0</v>
      </c>
      <c r="F227" s="327">
        <f>IFERROR(VLOOKUP(C227,'تقرير إحصائية بحجم المبيعات'!B223:E253,4,FALSE),0)</f>
        <v>449584.33</v>
      </c>
      <c r="G227" s="319">
        <f t="shared" si="36"/>
        <v>473256.7</v>
      </c>
      <c r="H227" s="318">
        <f t="shared" si="35"/>
        <v>15266.345161290323</v>
      </c>
      <c r="I227" s="326">
        <f>IFERROR(VLOOKUP(C227,'تقرير إحصائية بحجم المبيعات'!B223:L253,11,FALSE),0)</f>
        <v>408942.63</v>
      </c>
      <c r="J227" s="321">
        <f t="shared" si="34"/>
        <v>64314.070000000007</v>
      </c>
      <c r="K227" s="322">
        <f>HLOOKUP(C227,'تقرير المصروفات حسب الشهر'!$D$762:$AI$877,116,FALSE)</f>
        <v>24896.699999999997</v>
      </c>
      <c r="L227" s="97"/>
      <c r="M227" s="324">
        <f>NTRA!J18</f>
        <v>0</v>
      </c>
      <c r="N227" s="307">
        <f t="shared" si="33"/>
        <v>39417.37000000001</v>
      </c>
    </row>
    <row r="228" spans="1:14" ht="17.25" customHeight="1" thickTop="1" thickBot="1">
      <c r="A228"/>
      <c r="B228" s="312">
        <v>8</v>
      </c>
      <c r="C228" s="314" t="s">
        <v>133</v>
      </c>
      <c r="D228" s="327">
        <f>IFERROR(VLOOKUP(C228,'تقرير إحصائية بحجم المبيعات'!B224:G254,2,0),0)</f>
        <v>32661.279999999999</v>
      </c>
      <c r="E228" s="327">
        <f>IFERROR(VLOOKUP(C228,'تقرير إحصائية بحجم المبيعات'!B224:E254,3,FALSE),0)</f>
        <v>0</v>
      </c>
      <c r="F228" s="327">
        <f>IFERROR(VLOOKUP(C228,'تقرير إحصائية بحجم المبيعات'!B224:E254,4,FALSE),0)</f>
        <v>250944.6</v>
      </c>
      <c r="G228" s="319">
        <f t="shared" si="36"/>
        <v>283605.88</v>
      </c>
      <c r="H228" s="318">
        <f t="shared" si="35"/>
        <v>9148.5767741935488</v>
      </c>
      <c r="I228" s="326">
        <f>IFERROR(VLOOKUP(C228,'تقرير إحصائية بحجم المبيعات'!B224:L254,11,FALSE),0)</f>
        <v>244793.9</v>
      </c>
      <c r="J228" s="321">
        <f t="shared" si="34"/>
        <v>38811.98000000001</v>
      </c>
      <c r="K228" s="322">
        <f>HLOOKUP(C228,'تقرير المصروفات حسب الشهر'!$D$762:$AI$877,116,FALSE)</f>
        <v>18190.689999999995</v>
      </c>
      <c r="L228" s="97"/>
      <c r="M228" s="324">
        <f>Etisalat!J18</f>
        <v>105.34</v>
      </c>
      <c r="N228" s="307">
        <f t="shared" si="33"/>
        <v>20726.630000000016</v>
      </c>
    </row>
    <row r="229" spans="1:14" ht="16.8" thickTop="1" thickBot="1">
      <c r="A229"/>
      <c r="B229" s="312">
        <v>9</v>
      </c>
      <c r="C229" s="314" t="s">
        <v>123</v>
      </c>
      <c r="D229" s="327">
        <f>IFERROR(VLOOKUP(C229,'تقرير إحصائية بحجم المبيعات'!B225:G255,2,0),0)</f>
        <v>21508.479999999981</v>
      </c>
      <c r="E229" s="327">
        <f>IFERROR(VLOOKUP(C229,'تقرير إحصائية بحجم المبيعات'!B225:E255,3,FALSE),0)</f>
        <v>0</v>
      </c>
      <c r="F229" s="327">
        <f>IFERROR(VLOOKUP(C229,'تقرير إحصائية بحجم المبيعات'!B225:E255,4,FALSE),0)</f>
        <v>498759.09</v>
      </c>
      <c r="G229" s="319">
        <f t="shared" si="36"/>
        <v>520267.57</v>
      </c>
      <c r="H229" s="318">
        <f t="shared" si="35"/>
        <v>16782.824838709679</v>
      </c>
      <c r="I229" s="326">
        <f>IFERROR(VLOOKUP(C229,'تقرير إحصائية بحجم المبيعات'!B225:L255,11,FALSE),0)</f>
        <v>445860.4</v>
      </c>
      <c r="J229" s="321">
        <f>+G229-I229</f>
        <v>74407.169999999984</v>
      </c>
      <c r="K229" s="322">
        <f>HLOOKUP(C229,'تقرير المصروفات حسب الشهر'!$D$762:$AI$877,116,FALSE)</f>
        <v>25350.12</v>
      </c>
      <c r="L229" s="97"/>
      <c r="M229" s="324">
        <f>'Hazzem Hassan'!J18</f>
        <v>1208.9799999999996</v>
      </c>
      <c r="N229" s="307">
        <f t="shared" si="33"/>
        <v>50266.029999999984</v>
      </c>
    </row>
    <row r="230" spans="1:14" ht="16.8" thickTop="1" thickBot="1">
      <c r="A230"/>
      <c r="B230" s="312">
        <v>10</v>
      </c>
      <c r="C230" s="314" t="s">
        <v>145</v>
      </c>
      <c r="D230" s="327">
        <f>IFERROR(VLOOKUP(C230,'تقرير إحصائية بحجم المبيعات'!B226:G256,2,0),0)</f>
        <v>812266.62999999989</v>
      </c>
      <c r="E230" s="327">
        <f>IFERROR(VLOOKUP(C230,'تقرير إحصائية بحجم المبيعات'!B226:E256,3,FALSE),0)</f>
        <v>4353.95</v>
      </c>
      <c r="F230" s="327">
        <f>IFERROR(VLOOKUP(C230,'تقرير إحصائية بحجم المبيعات'!B226:E256,4,FALSE),0)</f>
        <v>1187813.4099999999</v>
      </c>
      <c r="G230" s="319">
        <f t="shared" si="36"/>
        <v>2004433.9899999998</v>
      </c>
      <c r="H230" s="318">
        <f t="shared" si="35"/>
        <v>64659.160967741926</v>
      </c>
      <c r="I230" s="326">
        <f>IFERROR(VLOOKUP(C230,'تقرير إحصائية بحجم المبيعات'!B226:L256,11,FALSE),0)</f>
        <v>1662373.53</v>
      </c>
      <c r="J230" s="321">
        <f t="shared" si="34"/>
        <v>342060.45999999973</v>
      </c>
      <c r="K230" s="322">
        <f>HLOOKUP(C230,'تقرير المصروفات حسب الشهر'!$D$762:$AI$877,116,FALSE)</f>
        <v>383670.22</v>
      </c>
      <c r="L230" s="97"/>
      <c r="M230" s="324">
        <f>Sena3ia!J18</f>
        <v>0</v>
      </c>
      <c r="N230" s="307">
        <f t="shared" si="33"/>
        <v>-41609.760000000242</v>
      </c>
    </row>
    <row r="231" spans="1:14" ht="16.8" thickTop="1" thickBot="1">
      <c r="A231"/>
      <c r="B231" s="312">
        <v>11</v>
      </c>
      <c r="C231" s="314" t="s">
        <v>124</v>
      </c>
      <c r="D231" s="327">
        <f>IFERROR(VLOOKUP(C231,'تقرير إحصائية بحجم المبيعات'!B227:G257,2,0),0)</f>
        <v>243417.90000000002</v>
      </c>
      <c r="E231" s="327">
        <f>IFERROR(VLOOKUP(C231,'تقرير إحصائية بحجم المبيعات'!B227:E257,3,FALSE),0)</f>
        <v>0</v>
      </c>
      <c r="F231" s="327">
        <f>IFERROR(VLOOKUP(C231,'تقرير إحصائية بحجم المبيعات'!B227:E257,4,FALSE),0)</f>
        <v>217439.13</v>
      </c>
      <c r="G231" s="319">
        <f t="shared" si="36"/>
        <v>460857.03</v>
      </c>
      <c r="H231" s="318">
        <f t="shared" si="35"/>
        <v>14866.355806451615</v>
      </c>
      <c r="I231" s="326">
        <f>IFERROR(VLOOKUP(C231,'تقرير إحصائية بحجم المبيعات'!B227:L257,11,FALSE),0)</f>
        <v>375059.36</v>
      </c>
      <c r="J231" s="321">
        <f t="shared" si="34"/>
        <v>85797.670000000042</v>
      </c>
      <c r="K231" s="322">
        <f>HLOOKUP(C231,'تقرير المصروفات حسب الشهر'!$D$762:$AI$877,116,FALSE)</f>
        <v>60501.659999999996</v>
      </c>
      <c r="L231" s="97"/>
      <c r="M231" s="324">
        <f>Khargia!J18</f>
        <v>0</v>
      </c>
      <c r="N231" s="307">
        <f t="shared" si="33"/>
        <v>25296.010000000046</v>
      </c>
    </row>
    <row r="232" spans="1:14" ht="16.8" thickTop="1" thickBot="1">
      <c r="A232"/>
      <c r="B232" s="312">
        <v>12</v>
      </c>
      <c r="C232" s="314" t="s">
        <v>169</v>
      </c>
      <c r="D232" s="327">
        <f>IFERROR(VLOOKUP(C232,'تقرير إحصائية بحجم المبيعات'!B228:G258,2,0),0)</f>
        <v>2623506.8700000006</v>
      </c>
      <c r="E232" s="327">
        <f>IFERROR(VLOOKUP(C232,'تقرير إحصائية بحجم المبيعات'!B228:E258,3,FALSE),0)</f>
        <v>9179.76</v>
      </c>
      <c r="F232" s="327">
        <f>IFERROR(VLOOKUP(C232,'تقرير إحصائية بحجم المبيعات'!B228:E258,4,FALSE),0)</f>
        <v>1180634.01</v>
      </c>
      <c r="G232" s="319">
        <f t="shared" si="36"/>
        <v>3813320.6400000006</v>
      </c>
      <c r="H232" s="318">
        <f t="shared" si="35"/>
        <v>123010.34322580647</v>
      </c>
      <c r="I232" s="326">
        <f>IFERROR(VLOOKUP(C232,'تقرير إحصائية بحجم المبيعات'!B228:L258,11,FALSE),0)</f>
        <v>3093187.42</v>
      </c>
      <c r="J232" s="321">
        <f t="shared" si="34"/>
        <v>720133.22000000067</v>
      </c>
      <c r="K232" s="322">
        <f>HLOOKUP(C232,'تقرير المصروفات حسب الشهر'!$D$762:$AI$877,116,FALSE)</f>
        <v>650999.1399999999</v>
      </c>
      <c r="L232" s="97"/>
      <c r="M232" s="324">
        <f>Tagmou3!J18</f>
        <v>733.86000000000013</v>
      </c>
      <c r="N232" s="307">
        <f t="shared" si="33"/>
        <v>69867.940000000774</v>
      </c>
    </row>
    <row r="233" spans="1:14" ht="16.8" thickTop="1" thickBot="1">
      <c r="A233"/>
      <c r="B233" s="312">
        <v>13</v>
      </c>
      <c r="C233" s="314" t="s">
        <v>243</v>
      </c>
      <c r="D233" s="327">
        <f>IFERROR(VLOOKUP(C233,'تقرير إحصائية بحجم المبيعات'!B229:G259,2,0),0)</f>
        <v>1555392.06</v>
      </c>
      <c r="E233" s="327">
        <f>IFERROR(VLOOKUP(C233,'تقرير إحصائية بحجم المبيعات'!B229:E259,3,FALSE),0)</f>
        <v>55248.09</v>
      </c>
      <c r="F233" s="327">
        <f>IFERROR(VLOOKUP(C233,'تقرير إحصائية بحجم المبيعات'!B229:E259,4,FALSE),0)</f>
        <v>679200</v>
      </c>
      <c r="G233" s="319">
        <f t="shared" si="36"/>
        <v>2289840.1500000004</v>
      </c>
      <c r="H233" s="318">
        <f t="shared" si="35"/>
        <v>73865.811290322599</v>
      </c>
      <c r="I233" s="326">
        <f>IFERROR(VLOOKUP(C233,'تقرير إحصائية بحجم المبيعات'!B229:L259,11,FALSE),0)</f>
        <v>1809858.27</v>
      </c>
      <c r="J233" s="321">
        <f t="shared" si="34"/>
        <v>479981.88000000035</v>
      </c>
      <c r="K233" s="322">
        <f>HLOOKUP(C233,'تقرير المصروفات حسب الشهر'!$D$762:$AI$877,116,FALSE)</f>
        <v>414195.87</v>
      </c>
      <c r="L233" s="98"/>
      <c r="M233" s="324">
        <f>Maadi!J18</f>
        <v>27059.32</v>
      </c>
      <c r="N233" s="307">
        <f t="shared" si="33"/>
        <v>92845.330000000366</v>
      </c>
    </row>
    <row r="234" spans="1:14" ht="16.8" thickTop="1" thickBot="1">
      <c r="A234"/>
      <c r="B234" s="312">
        <v>14</v>
      </c>
      <c r="C234" s="314" t="s">
        <v>175</v>
      </c>
      <c r="D234" s="327">
        <f>IFERROR(VLOOKUP(C234,'تقرير إحصائية بحجم المبيعات'!B230:G260,2,0),0)</f>
        <v>4002342.83</v>
      </c>
      <c r="E234" s="327">
        <f>IFERROR(VLOOKUP(C234,'تقرير إحصائية بحجم المبيعات'!B230:E260,3,FALSE),0)</f>
        <v>884226.28</v>
      </c>
      <c r="F234" s="327">
        <f>IFERROR(VLOOKUP(C234,'تقرير إحصائية بحجم المبيعات'!B230:E260,4,FALSE),0)</f>
        <v>1292049.04</v>
      </c>
      <c r="G234" s="319">
        <f t="shared" si="36"/>
        <v>6178618.1500000004</v>
      </c>
      <c r="H234" s="318">
        <f t="shared" si="35"/>
        <v>199310.26290322581</v>
      </c>
      <c r="I234" s="326">
        <f>IFERROR(VLOOKUP(C234,'تقرير إحصائية بحجم المبيعات'!B230:L260,11,FALSE),0)</f>
        <v>4811493.2</v>
      </c>
      <c r="J234" s="321">
        <f t="shared" si="34"/>
        <v>1367124.9500000002</v>
      </c>
      <c r="K234" s="322">
        <f>HLOOKUP(C234,'تقرير المصروفات حسب الشهر'!$D$762:$AI$877,116,FALSE)</f>
        <v>1010543.67</v>
      </c>
      <c r="L234" s="97"/>
      <c r="M234" s="324">
        <f>Zaid!J18</f>
        <v>0</v>
      </c>
      <c r="N234" s="307">
        <f t="shared" si="33"/>
        <v>356581.28000000014</v>
      </c>
    </row>
    <row r="235" spans="1:14" ht="16.8" thickTop="1" thickBot="1">
      <c r="A235"/>
      <c r="B235" s="312">
        <v>15</v>
      </c>
      <c r="C235" s="314" t="s">
        <v>170</v>
      </c>
      <c r="D235" s="327">
        <f>IFERROR(VLOOKUP(C235,'تقرير إحصائية بحجم المبيعات'!B231:G261,2,0),0)</f>
        <v>803954.77999999991</v>
      </c>
      <c r="E235" s="327">
        <f>IFERROR(VLOOKUP(C235,'تقرير إحصائية بحجم المبيعات'!B231:E261,3,FALSE),0)</f>
        <v>78467.53</v>
      </c>
      <c r="F235" s="327">
        <f>IFERROR(VLOOKUP(C235,'تقرير إحصائية بحجم المبيعات'!B231:E261,4,FALSE),0)</f>
        <v>31190.91</v>
      </c>
      <c r="G235" s="319">
        <f t="shared" si="36"/>
        <v>913613.22</v>
      </c>
      <c r="H235" s="318">
        <f t="shared" si="35"/>
        <v>29471.394193548385</v>
      </c>
      <c r="I235" s="326">
        <f>IFERROR(VLOOKUP(C235,'تقرير إحصائية بحجم المبيعات'!B231:L261,11,FALSE),0)</f>
        <v>687045.2</v>
      </c>
      <c r="J235" s="321">
        <f t="shared" si="34"/>
        <v>226568.02000000002</v>
      </c>
      <c r="K235" s="322">
        <f>HLOOKUP(C235,'تقرير المصروفات حسب الشهر'!$D$762:$AI$877,116,FALSE)</f>
        <v>82936.710000000021</v>
      </c>
      <c r="L235" s="97"/>
      <c r="M235" s="324">
        <f>'Sand Beach'!J18</f>
        <v>3768.66</v>
      </c>
      <c r="N235" s="307">
        <f t="shared" si="33"/>
        <v>147399.97</v>
      </c>
    </row>
    <row r="236" spans="1:14" ht="16.8" thickTop="1" thickBot="1">
      <c r="A236"/>
      <c r="B236" s="312">
        <v>16</v>
      </c>
      <c r="C236" s="314" t="s">
        <v>203</v>
      </c>
      <c r="D236" s="327">
        <f>IFERROR(VLOOKUP(C236,'تقرير إحصائية بحجم المبيعات'!B232:G262,2,0),0)</f>
        <v>1813528.52</v>
      </c>
      <c r="E236" s="327">
        <f>IFERROR(VLOOKUP(C236,'تقرير إحصائية بحجم المبيعات'!B232:E262,3,FALSE),0)</f>
        <v>61400.02</v>
      </c>
      <c r="F236" s="327">
        <f>IFERROR(VLOOKUP(C236,'تقرير إحصائية بحجم المبيعات'!B232:E262,4,FALSE),0)</f>
        <v>673452.96</v>
      </c>
      <c r="G236" s="319">
        <f t="shared" si="36"/>
        <v>2548381.5</v>
      </c>
      <c r="H236" s="318">
        <f t="shared" si="35"/>
        <v>82205.854838709682</v>
      </c>
      <c r="I236" s="326">
        <f>IFERROR(VLOOKUP(C236,'تقرير إحصائية بحجم المبيعات'!B232:L262,11,FALSE),0)</f>
        <v>2046850.53</v>
      </c>
      <c r="J236" s="321">
        <f t="shared" si="34"/>
        <v>501530.97</v>
      </c>
      <c r="K236" s="322">
        <f>HLOOKUP(C236,'تقرير المصروفات حسب الشهر'!$D$762:$AI$877,116,FALSE)</f>
        <v>408916.32999999996</v>
      </c>
      <c r="L236" s="97"/>
      <c r="M236" s="324">
        <f>Alamya!J18</f>
        <v>2451.0099999999998</v>
      </c>
      <c r="N236" s="307">
        <f t="shared" si="33"/>
        <v>95065.650000000009</v>
      </c>
    </row>
    <row r="237" spans="1:14" ht="16.8" thickTop="1" thickBot="1">
      <c r="A237"/>
      <c r="B237" s="312">
        <v>17</v>
      </c>
      <c r="C237" s="314" t="s">
        <v>172</v>
      </c>
      <c r="D237" s="327">
        <f>IFERROR(VLOOKUP(C237,'تقرير إحصائية بحجم المبيعات'!B233:G263,2,0),0)</f>
        <v>295822.5</v>
      </c>
      <c r="E237" s="327">
        <f>IFERROR(VLOOKUP(C237,'تقرير إحصائية بحجم المبيعات'!B233:E263,3,FALSE),0)</f>
        <v>0</v>
      </c>
      <c r="F237" s="327">
        <f>IFERROR(VLOOKUP(C237,'تقرير إحصائية بحجم المبيعات'!B233:E263,4,FALSE),0)</f>
        <v>0</v>
      </c>
      <c r="G237" s="319">
        <f t="shared" si="36"/>
        <v>295822.5</v>
      </c>
      <c r="H237" s="318">
        <f t="shared" si="35"/>
        <v>9542.6612903225814</v>
      </c>
      <c r="I237" s="326">
        <f>IFERROR(VLOOKUP(C237,'تقرير إحصائية بحجم المبيعات'!B233:L263,11,FALSE),0)</f>
        <v>248945.89</v>
      </c>
      <c r="J237" s="321">
        <f t="shared" si="34"/>
        <v>46876.609999999986</v>
      </c>
      <c r="K237" s="322">
        <f>HLOOKUP(C237,'تقرير المصروفات حسب الشهر'!$D$762:$AI$877,116,FALSE)</f>
        <v>17974.239999999998</v>
      </c>
      <c r="L237" s="97"/>
      <c r="M237" s="324">
        <f>Online!J18</f>
        <v>4758.28</v>
      </c>
      <c r="N237" s="307">
        <f t="shared" si="33"/>
        <v>33660.649999999987</v>
      </c>
    </row>
    <row r="238" spans="1:14" ht="16.8" thickTop="1" thickBot="1">
      <c r="A238"/>
      <c r="B238" s="312">
        <v>18</v>
      </c>
      <c r="C238" s="314" t="s">
        <v>176</v>
      </c>
      <c r="D238" s="327">
        <f>IFERROR(VLOOKUP(C238,'تقرير إحصائية بحجم المبيعات'!B234:G264,2,0),0)</f>
        <v>73041.829999999958</v>
      </c>
      <c r="E238" s="327">
        <f>IFERROR(VLOOKUP(C238,'تقرير إحصائية بحجم المبيعات'!B234:E264,3,FALSE),0)</f>
        <v>0</v>
      </c>
      <c r="F238" s="327">
        <f>IFERROR(VLOOKUP(C238,'تقرير إحصائية بحجم المبيعات'!B234:E264,4,FALSE),0)</f>
        <v>375321.28</v>
      </c>
      <c r="G238" s="319">
        <f t="shared" si="36"/>
        <v>448363.11</v>
      </c>
      <c r="H238" s="318">
        <f t="shared" si="35"/>
        <v>14463.326129032257</v>
      </c>
      <c r="I238" s="326">
        <f>IFERROR(VLOOKUP(C238,'تقرير إحصائية بحجم المبيعات'!B234:L264,11,FALSE),0)</f>
        <v>375586.51</v>
      </c>
      <c r="J238" s="321">
        <f t="shared" si="34"/>
        <v>72776.599999999977</v>
      </c>
      <c r="K238" s="322">
        <f>HLOOKUP(C238,'تقرير المصروفات حسب الشهر'!$D$762:$AI$877,116,FALSE)</f>
        <v>28804.36</v>
      </c>
      <c r="L238" s="97"/>
      <c r="M238" s="324">
        <f>Orange!J18</f>
        <v>0</v>
      </c>
      <c r="N238" s="307">
        <f t="shared" si="33"/>
        <v>43972.239999999976</v>
      </c>
    </row>
    <row r="239" spans="1:14" ht="16.8" thickTop="1" thickBot="1">
      <c r="A239"/>
      <c r="B239" s="312">
        <v>19</v>
      </c>
      <c r="C239" s="314" t="s">
        <v>177</v>
      </c>
      <c r="D239" s="327">
        <f>IFERROR(VLOOKUP(C239,'تقرير إحصائية بحجم المبيعات'!B235:G265,2,0),0)</f>
        <v>153365.76000000001</v>
      </c>
      <c r="E239" s="327">
        <f>IFERROR(VLOOKUP(C239,'تقرير إحصائية بحجم المبيعات'!B235:E265,3,FALSE),0)</f>
        <v>0</v>
      </c>
      <c r="F239" s="327">
        <f>IFERROR(VLOOKUP(C239,'تقرير إحصائية بحجم المبيعات'!B235:E265,4,FALSE),0)</f>
        <v>572737.63</v>
      </c>
      <c r="G239" s="319">
        <f t="shared" si="36"/>
        <v>726103.39</v>
      </c>
      <c r="H239" s="318">
        <f t="shared" si="35"/>
        <v>23422.69</v>
      </c>
      <c r="I239" s="326">
        <f>IFERROR(VLOOKUP(C239,'تقرير إحصائية بحجم المبيعات'!B235:L265,11,FALSE),0)</f>
        <v>587585.55000000005</v>
      </c>
      <c r="J239" s="321">
        <f t="shared" si="34"/>
        <v>138517.83999999997</v>
      </c>
      <c r="K239" s="322">
        <f>HLOOKUP(C239,'تقرير المصروفات حسب الشهر'!$D$762:$AI$877,116,FALSE)</f>
        <v>29254.750000000004</v>
      </c>
      <c r="L239" s="97"/>
      <c r="M239" s="324">
        <f>Vod.Smart!J18</f>
        <v>0</v>
      </c>
      <c r="N239" s="307">
        <f t="shared" si="33"/>
        <v>109263.08999999997</v>
      </c>
    </row>
    <row r="240" spans="1:14" ht="16.8" thickTop="1" thickBot="1">
      <c r="A240"/>
      <c r="B240" s="312">
        <v>20</v>
      </c>
      <c r="C240" s="314" t="s">
        <v>178</v>
      </c>
      <c r="D240" s="327">
        <f>IFERROR(VLOOKUP(C240,'تقرير إحصائية بحجم المبيعات'!B236:G266,2,0),0)</f>
        <v>5135.1599999999744</v>
      </c>
      <c r="E240" s="327">
        <f>IFERROR(VLOOKUP(C240,'تقرير إحصائية بحجم المبيعات'!B236:E266,3,FALSE),0)</f>
        <v>0</v>
      </c>
      <c r="F240" s="327">
        <f>IFERROR(VLOOKUP(C240,'تقرير إحصائية بحجم المبيعات'!B236:E266,4,FALSE),0)</f>
        <v>341487.96</v>
      </c>
      <c r="G240" s="319">
        <f t="shared" si="36"/>
        <v>346623.12</v>
      </c>
      <c r="H240" s="318">
        <f t="shared" si="35"/>
        <v>11181.390967741936</v>
      </c>
      <c r="I240" s="326">
        <f>IFERROR(VLOOKUP(C240,'تقرير إحصائية بحجم المبيعات'!B236:L266,11,FALSE),0)</f>
        <v>298481.57</v>
      </c>
      <c r="J240" s="321">
        <f t="shared" si="34"/>
        <v>48141.549999999988</v>
      </c>
      <c r="K240" s="322">
        <f>HLOOKUP(C240,'تقرير المصروفات حسب الشهر'!$D$762:$AI$877,116,FALSE)</f>
        <v>11675.51</v>
      </c>
      <c r="L240" s="97"/>
      <c r="M240" s="324">
        <f>Vod.Zahraa!J18</f>
        <v>0.2</v>
      </c>
      <c r="N240" s="307">
        <f t="shared" si="33"/>
        <v>36466.239999999983</v>
      </c>
    </row>
    <row r="241" spans="1:17" ht="16.8" thickTop="1" thickBot="1">
      <c r="A241"/>
      <c r="B241" s="312">
        <v>21</v>
      </c>
      <c r="C241" s="314" t="s">
        <v>179</v>
      </c>
      <c r="D241" s="327">
        <f>IFERROR(VLOOKUP(C241,'تقرير إحصائية بحجم المبيعات'!B237:G267,2,0),0)</f>
        <v>57245.459999999846</v>
      </c>
      <c r="E241" s="327">
        <f>IFERROR(VLOOKUP(C241,'تقرير إحصائية بحجم المبيعات'!B237:E267,3,FALSE),0)</f>
        <v>0</v>
      </c>
      <c r="F241" s="327">
        <f>IFERROR(VLOOKUP(C241,'تقرير إحصائية بحجم المبيعات'!B237:E267,4,FALSE),0)</f>
        <v>640242.42000000004</v>
      </c>
      <c r="G241" s="319">
        <f t="shared" si="36"/>
        <v>697487.87999999989</v>
      </c>
      <c r="H241" s="318">
        <f t="shared" si="35"/>
        <v>22499.60903225806</v>
      </c>
      <c r="I241" s="326">
        <f>IFERROR(VLOOKUP(C241,'تقرير إحصائية بحجم المبيعات'!B237:L267,11,FALSE),0)</f>
        <v>587489.88</v>
      </c>
      <c r="J241" s="321">
        <f t="shared" si="34"/>
        <v>109997.99999999988</v>
      </c>
      <c r="K241" s="322">
        <f>HLOOKUP(C241,'تقرير المصروفات حسب الشهر'!$D$762:$AI$877,116,FALSE)</f>
        <v>49776.85</v>
      </c>
      <c r="L241" s="97"/>
      <c r="M241" s="324">
        <f>Mo7awelat!J18</f>
        <v>51815.85</v>
      </c>
      <c r="N241" s="307">
        <f t="shared" si="33"/>
        <v>112036.99999999988</v>
      </c>
    </row>
    <row r="242" spans="1:17" ht="16.8" thickTop="1" thickBot="1">
      <c r="A242"/>
      <c r="B242" s="312">
        <v>22</v>
      </c>
      <c r="C242" s="314" t="s">
        <v>181</v>
      </c>
      <c r="D242" s="327">
        <f>IFERROR(VLOOKUP(C242,'تقرير إحصائية بحجم المبيعات'!B238:G268,2,0),0)</f>
        <v>11495.330000000016</v>
      </c>
      <c r="E242" s="327">
        <f>IFERROR(VLOOKUP(C242,'تقرير إحصائية بحجم المبيعات'!B238:E268,3,FALSE),0)</f>
        <v>0</v>
      </c>
      <c r="F242" s="327">
        <f>IFERROR(VLOOKUP(C242,'تقرير إحصائية بحجم المبيعات'!B238:E268,4,FALSE),0)</f>
        <v>329881.36</v>
      </c>
      <c r="G242" s="319">
        <f t="shared" si="36"/>
        <v>341376.69</v>
      </c>
      <c r="H242" s="318">
        <f t="shared" si="35"/>
        <v>11012.151290322581</v>
      </c>
      <c r="I242" s="326">
        <f>IFERROR(VLOOKUP(C242,'تقرير إحصائية بحجم المبيعات'!B238:L268,11,FALSE),0)</f>
        <v>300947.48</v>
      </c>
      <c r="J242" s="321">
        <f t="shared" si="34"/>
        <v>40429.210000000021</v>
      </c>
      <c r="K242" s="322">
        <f>HLOOKUP(C242,'تقرير المصروفات حسب الشهر'!$D$762:$AI$877,116,FALSE)</f>
        <v>15871.52</v>
      </c>
      <c r="L242" s="97"/>
      <c r="M242" s="324">
        <f>Electric!J18</f>
        <v>6286.96</v>
      </c>
      <c r="N242" s="307">
        <f t="shared" si="33"/>
        <v>30844.65000000002</v>
      </c>
    </row>
    <row r="243" spans="1:17" ht="16.8" thickTop="1" thickBot="1">
      <c r="A243"/>
      <c r="B243" s="312">
        <v>23</v>
      </c>
      <c r="C243" s="314" t="s">
        <v>182</v>
      </c>
      <c r="D243" s="327">
        <f>IFERROR(VLOOKUP(C243,'تقرير إحصائية بحجم المبيعات'!B239:G269,2,0),0)</f>
        <v>33648.469999999972</v>
      </c>
      <c r="E243" s="327">
        <f>IFERROR(VLOOKUP(C243,'تقرير إحصائية بحجم المبيعات'!B239:E269,3,FALSE),0)</f>
        <v>0</v>
      </c>
      <c r="F243" s="327">
        <f>IFERROR(VLOOKUP(C243,'تقرير إحصائية بحجم المبيعات'!B239:E269,4,FALSE),0)</f>
        <v>155671.92000000001</v>
      </c>
      <c r="G243" s="319">
        <f t="shared" si="36"/>
        <v>189320.38999999998</v>
      </c>
      <c r="H243" s="318">
        <f t="shared" si="35"/>
        <v>6107.1093548387089</v>
      </c>
      <c r="I243" s="326">
        <f>IFERROR(VLOOKUP(C243,'تقرير إحصائية بحجم المبيعات'!B239:L269,11,FALSE),0)</f>
        <v>160718.72</v>
      </c>
      <c r="J243" s="321">
        <f t="shared" si="34"/>
        <v>28601.669999999984</v>
      </c>
      <c r="K243" s="322">
        <f>HLOOKUP(C243,'تقرير المصروفات حسب الشهر'!$D$762:$AI$877,116,FALSE)</f>
        <v>17277.36</v>
      </c>
      <c r="L243" s="97"/>
      <c r="M243" s="324">
        <f>'M.C.V'!J18</f>
        <v>113.89999999999998</v>
      </c>
      <c r="N243" s="307">
        <f t="shared" si="33"/>
        <v>11438.209999999983</v>
      </c>
    </row>
    <row r="244" spans="1:17" ht="16.8" thickTop="1" thickBot="1">
      <c r="A244"/>
      <c r="B244" s="312">
        <v>24</v>
      </c>
      <c r="C244" s="314" t="s">
        <v>187</v>
      </c>
      <c r="D244" s="327">
        <f>IFERROR(VLOOKUP(C244,'تقرير إحصائية بحجم المبيعات'!B240:G270,2,0),0)</f>
        <v>67573.749999999971</v>
      </c>
      <c r="E244" s="327">
        <f>IFERROR(VLOOKUP(C244,'تقرير إحصائية بحجم المبيعات'!B240:E270,3,FALSE),0)</f>
        <v>0</v>
      </c>
      <c r="F244" s="327">
        <f>IFERROR(VLOOKUP(C244,'تقرير إحصائية بحجم المبيعات'!B240:E270,4,FALSE),0)</f>
        <v>208751.85</v>
      </c>
      <c r="G244" s="319">
        <f t="shared" si="36"/>
        <v>276325.59999999998</v>
      </c>
      <c r="H244" s="318">
        <f t="shared" si="35"/>
        <v>8913.7290322580629</v>
      </c>
      <c r="I244" s="326">
        <f>IFERROR(VLOOKUP(C244,'تقرير إحصائية بحجم المبيعات'!B240:L270,11,FALSE),0)</f>
        <v>223690.31</v>
      </c>
      <c r="J244" s="321">
        <f t="shared" si="34"/>
        <v>52635.289999999979</v>
      </c>
      <c r="K244" s="322">
        <f>HLOOKUP(C244,'تقرير المصروفات حسب الشهر'!$D$762:$AI$877,116,FALSE)</f>
        <v>44022.880000000005</v>
      </c>
      <c r="L244" s="97"/>
      <c r="M244" s="324">
        <f>Egyplast!J18</f>
        <v>0</v>
      </c>
      <c r="N244" s="307">
        <f t="shared" si="33"/>
        <v>8612.4099999999744</v>
      </c>
    </row>
    <row r="245" spans="1:17" ht="16.8" thickTop="1" thickBot="1">
      <c r="A245"/>
      <c r="B245" s="312">
        <v>25</v>
      </c>
      <c r="C245" s="314" t="s">
        <v>233</v>
      </c>
      <c r="D245" s="327">
        <f>IFERROR(VLOOKUP(C245,'تقرير إحصائية بحجم المبيعات'!B241:G271,2,0),0)</f>
        <v>70270.989999999991</v>
      </c>
      <c r="E245" s="327">
        <f>IFERROR(VLOOKUP(C245,'تقرير إحصائية بحجم المبيعات'!B241:E271,3,FALSE),0)</f>
        <v>0</v>
      </c>
      <c r="F245" s="327">
        <f>IFERROR(VLOOKUP(C245,'تقرير إحصائية بحجم المبيعات'!B241:E271,4,FALSE),0)</f>
        <v>573748.16</v>
      </c>
      <c r="G245" s="319">
        <f t="shared" si="36"/>
        <v>644019.15</v>
      </c>
      <c r="H245" s="318">
        <f t="shared" si="35"/>
        <v>20774.811290322581</v>
      </c>
      <c r="I245" s="326">
        <f>IFERROR(VLOOKUP(C245,'تقرير إحصائية بحجم المبيعات'!B241:L271,11,FALSE),0)</f>
        <v>545437.46</v>
      </c>
      <c r="J245" s="321">
        <f t="shared" si="34"/>
        <v>98581.690000000061</v>
      </c>
      <c r="K245" s="322">
        <f>HLOOKUP(C245,'تقرير المصروفات حسب الشهر'!$D$762:$AI$877,116,FALSE)</f>
        <v>38079.97</v>
      </c>
      <c r="L245" s="97"/>
      <c r="M245" s="324">
        <f>Etisalat.Katamya!J18</f>
        <v>0</v>
      </c>
      <c r="N245" s="307">
        <f t="shared" si="33"/>
        <v>60501.720000000059</v>
      </c>
    </row>
    <row r="246" spans="1:17" ht="16.8" thickTop="1" thickBot="1">
      <c r="A246"/>
      <c r="B246" s="312">
        <v>26</v>
      </c>
      <c r="C246" s="315" t="s">
        <v>240</v>
      </c>
      <c r="D246" s="327">
        <f>IFERROR(VLOOKUP(C246,'تقرير إحصائية بحجم المبيعات'!B242:G272,2,0),0)</f>
        <v>117708.55999999994</v>
      </c>
      <c r="E246" s="327">
        <f>IFERROR(VLOOKUP(C246,'تقرير إحصائية بحجم المبيعات'!B242:E272,3,FALSE),0)</f>
        <v>0</v>
      </c>
      <c r="F246" s="327">
        <f>IFERROR(VLOOKUP(C246,'تقرير إحصائية بحجم المبيعات'!B242:E272,4,FALSE),0)</f>
        <v>741456.52</v>
      </c>
      <c r="G246" s="320">
        <f t="shared" si="36"/>
        <v>859165.08</v>
      </c>
      <c r="H246" s="318">
        <f t="shared" si="35"/>
        <v>27715.002580645159</v>
      </c>
      <c r="I246" s="326">
        <f>IFERROR(VLOOKUP(C246,'تقرير إحصائية بحجم المبيعات'!B242:L272,11,FALSE),0)</f>
        <v>742220.14</v>
      </c>
      <c r="J246" s="321">
        <f t="shared" si="34"/>
        <v>116944.93999999994</v>
      </c>
      <c r="K246" s="322">
        <f>HLOOKUP(C246,'تقرير المصروفات حسب الشهر'!$D$762:$AI$877,116,FALSE)</f>
        <v>27380.890000000003</v>
      </c>
      <c r="L246" s="99"/>
      <c r="M246" s="325">
        <f>CFC!J18</f>
        <v>0</v>
      </c>
      <c r="N246" s="307">
        <f t="shared" si="33"/>
        <v>89564.049999999945</v>
      </c>
    </row>
    <row r="247" spans="1:17" ht="16.8" thickTop="1" thickBot="1">
      <c r="A247"/>
      <c r="B247" s="312">
        <v>27</v>
      </c>
      <c r="C247" s="316" t="s">
        <v>245</v>
      </c>
      <c r="D247" s="327">
        <f>IFERROR(VLOOKUP(C247,'تقرير إحصائية بحجم المبيعات'!B243:G273,2,0),0)</f>
        <v>0</v>
      </c>
      <c r="E247" s="327">
        <f>IFERROR(VLOOKUP(C247,'تقرير إحصائية بحجم المبيعات'!B243:E273,3,FALSE),0)</f>
        <v>0</v>
      </c>
      <c r="F247" s="327">
        <f>IFERROR(VLOOKUP(C247,'تقرير إحصائية بحجم المبيعات'!B243:E273,4,FALSE),0)</f>
        <v>0</v>
      </c>
      <c r="G247" s="320">
        <f t="shared" si="36"/>
        <v>0</v>
      </c>
      <c r="H247" s="318">
        <f t="shared" si="35"/>
        <v>0</v>
      </c>
      <c r="I247" s="326">
        <f>IFERROR(VLOOKUP(C247,'تقرير إحصائية بحجم المبيعات'!B243:L273,11,FALSE),0)</f>
        <v>0</v>
      </c>
      <c r="J247" s="321">
        <f t="shared" si="34"/>
        <v>0</v>
      </c>
      <c r="K247" s="322">
        <f>HLOOKUP(C247,'تقرير المصروفات حسب الشهر'!$D$762:$AI$877,116,FALSE)</f>
        <v>0</v>
      </c>
      <c r="L247" s="99"/>
      <c r="M247" s="325">
        <f>North.Coast!J18</f>
        <v>0</v>
      </c>
      <c r="N247" s="307">
        <f t="shared" si="33"/>
        <v>0</v>
      </c>
    </row>
    <row r="248" spans="1:17" ht="16.8" thickTop="1" thickBot="1">
      <c r="A248"/>
      <c r="B248" s="495">
        <v>28</v>
      </c>
      <c r="C248" s="316" t="s">
        <v>357</v>
      </c>
      <c r="D248" s="327">
        <f>IFERROR(VLOOKUP(C248,'تقرير إحصائية بحجم المبيعات'!B244:G274,2,0),0)</f>
        <v>2597159.31</v>
      </c>
      <c r="E248" s="327">
        <f>IFERROR(VLOOKUP(C248,'تقرير إحصائية بحجم المبيعات'!B244:E274,3,FALSE),0)</f>
        <v>99065.23</v>
      </c>
      <c r="F248" s="327">
        <f>IFERROR(VLOOKUP(C248,'تقرير إحصائية بحجم المبيعات'!B244:E274,4,FALSE),0)</f>
        <v>149762.41</v>
      </c>
      <c r="G248" s="320">
        <f t="shared" si="36"/>
        <v>2845986.95</v>
      </c>
      <c r="H248" s="519"/>
      <c r="I248" s="326">
        <f>IFERROR(VLOOKUP(C248,'تقرير إحصائية بحجم المبيعات'!B244:L274,11,FALSE),0)</f>
        <v>2203643.06</v>
      </c>
      <c r="J248" s="321">
        <f t="shared" si="34"/>
        <v>642343.89000000013</v>
      </c>
      <c r="K248" s="322">
        <f>HLOOKUP(C248,'تقرير المصروفات حسب الشهر'!$D$762:$AI$877,116,FALSE)</f>
        <v>686974.74</v>
      </c>
      <c r="L248" s="520"/>
      <c r="M248" s="325">
        <f>Rehab!J18</f>
        <v>7044.8999999999987</v>
      </c>
      <c r="N248" s="307">
        <f t="shared" si="33"/>
        <v>-37585.949999999859</v>
      </c>
    </row>
    <row r="249" spans="1:17" ht="16.8" thickTop="1" thickBot="1">
      <c r="A249"/>
      <c r="B249" s="495">
        <v>29</v>
      </c>
      <c r="C249" s="316" t="s">
        <v>362</v>
      </c>
      <c r="D249" s="327">
        <f>IFERROR(VLOOKUP(C249,'تقرير إحصائية بحجم المبيعات'!B245:G275,2,0),0)</f>
        <v>72147.079999999958</v>
      </c>
      <c r="E249" s="327">
        <f>IFERROR(VLOOKUP(C249,'تقرير إحصائية بحجم المبيعات'!B245:E275,3,FALSE),0)</f>
        <v>0</v>
      </c>
      <c r="F249" s="327">
        <f>IFERROR(VLOOKUP(C249,'تقرير إحصائية بحجم المبيعات'!B245:E275,4,FALSE),0)</f>
        <v>461519.6</v>
      </c>
      <c r="G249" s="320">
        <f t="shared" si="36"/>
        <v>533666.67999999993</v>
      </c>
      <c r="H249" s="519"/>
      <c r="I249" s="326">
        <f>IFERROR(VLOOKUP(C249,'تقرير إحصائية بحجم المبيعات'!B245:L275,11,FALSE),0)</f>
        <v>426133.3</v>
      </c>
      <c r="J249" s="321">
        <f t="shared" si="34"/>
        <v>107533.37999999995</v>
      </c>
      <c r="K249" s="322">
        <f>HLOOKUP(C249,'تقرير المصروفات حسب الشهر'!$D$762:$AI$877,116,FALSE)</f>
        <v>16349.320000000002</v>
      </c>
      <c r="L249" s="520"/>
      <c r="M249" s="325">
        <f>'HSBC MAADI'!J18</f>
        <v>0</v>
      </c>
      <c r="N249" s="307">
        <f>J249-K249-L249+M249</f>
        <v>91184.059999999939</v>
      </c>
    </row>
    <row r="250" spans="1:17" ht="16.8" thickTop="1" thickBot="1">
      <c r="A250"/>
      <c r="B250" s="495">
        <v>30</v>
      </c>
      <c r="C250" s="316" t="s">
        <v>361</v>
      </c>
      <c r="D250" s="327">
        <f>IFERROR(VLOOKUP(C250,'تقرير إحصائية بحجم المبيعات'!B246:G276,2,0),0)</f>
        <v>165125.31000000006</v>
      </c>
      <c r="E250" s="327">
        <f>IFERROR(VLOOKUP(C250,'تقرير إحصائية بحجم المبيعات'!B246:E276,3,FALSE),0)</f>
        <v>0</v>
      </c>
      <c r="F250" s="327">
        <f>IFERROR(VLOOKUP(C250,'تقرير إحصائية بحجم المبيعات'!B246:E276,4,FALSE),0)</f>
        <v>727270.49</v>
      </c>
      <c r="G250" s="320">
        <f t="shared" si="36"/>
        <v>892395.8</v>
      </c>
      <c r="H250" s="519"/>
      <c r="I250" s="326">
        <f>IFERROR(VLOOKUP(C250,'تقرير إحصائية بحجم المبيعات'!B246:L276,11,FALSE),0)</f>
        <v>669801.71</v>
      </c>
      <c r="J250" s="321">
        <f t="shared" si="34"/>
        <v>222594.09000000008</v>
      </c>
      <c r="K250" s="322">
        <f>HLOOKUP(C250,'تقرير المصروفات حسب الشهر'!$D$762:$AI$877,116,FALSE)</f>
        <v>46679.41</v>
      </c>
      <c r="L250" s="520"/>
      <c r="M250" s="325">
        <f>'HSBC SMART'!J18</f>
        <v>606.21999999999991</v>
      </c>
      <c r="N250" s="307">
        <f t="shared" si="33"/>
        <v>176520.90000000008</v>
      </c>
    </row>
    <row r="251" spans="1:17" ht="16.8" thickTop="1" thickBot="1">
      <c r="A251"/>
      <c r="B251" s="495">
        <v>31</v>
      </c>
      <c r="C251" s="316" t="s">
        <v>234</v>
      </c>
      <c r="D251" s="327">
        <f>IFERROR(VLOOKUP(C251,'تقرير إحصائية بحجم المبيعات'!B247:G277,2,0),0)</f>
        <v>0</v>
      </c>
      <c r="E251" s="327">
        <f>IFERROR(VLOOKUP(C251,'تقرير إحصائية بحجم المبيعات'!B247:E277,3,FALSE),0)</f>
        <v>0</v>
      </c>
      <c r="F251" s="327">
        <f>IFERROR(VLOOKUP(C251,'تقرير إحصائية بحجم المبيعات'!B247:E277,4,FALSE),0)</f>
        <v>0</v>
      </c>
      <c r="G251" s="320">
        <f t="shared" si="36"/>
        <v>0</v>
      </c>
      <c r="H251" s="519"/>
      <c r="I251" s="326">
        <f>IFERROR(VLOOKUP(C251,'تقرير إحصائية بحجم المبيعات'!B247:L277,11,FALSE),0)</f>
        <v>0</v>
      </c>
      <c r="J251" s="321">
        <f t="shared" si="34"/>
        <v>0</v>
      </c>
      <c r="K251" s="322">
        <f>HLOOKUP(C251,'تقرير المصروفات حسب الشهر'!$D$762:$AI$877,116,FALSE)</f>
        <v>0</v>
      </c>
      <c r="L251" s="520"/>
      <c r="M251" s="325">
        <f>North.Coast!J22</f>
        <v>0</v>
      </c>
      <c r="N251" s="307">
        <f t="shared" si="33"/>
        <v>0</v>
      </c>
    </row>
    <row r="252" spans="1:17" ht="16.8" thickTop="1" thickBot="1">
      <c r="A252"/>
      <c r="B252" s="652" t="s">
        <v>18</v>
      </c>
      <c r="C252" s="653"/>
      <c r="D252" s="305">
        <f>SUM(D221:D251)</f>
        <v>29742659.659999985</v>
      </c>
      <c r="E252" s="305">
        <f t="shared" ref="E252:N252" si="37">SUM(E221:E251)</f>
        <v>3916905.8199999989</v>
      </c>
      <c r="F252" s="305">
        <f t="shared" si="37"/>
        <v>20234479.190000005</v>
      </c>
      <c r="G252" s="305">
        <f t="shared" si="37"/>
        <v>53894044.669999994</v>
      </c>
      <c r="H252" s="305">
        <f t="shared" si="37"/>
        <v>1600709.5238709683</v>
      </c>
      <c r="I252" s="305">
        <f t="shared" si="37"/>
        <v>43477556.020000003</v>
      </c>
      <c r="J252" s="305">
        <f t="shared" si="37"/>
        <v>10416488.650000002</v>
      </c>
      <c r="K252" s="305">
        <f t="shared" si="37"/>
        <v>10168253.425000003</v>
      </c>
      <c r="L252" s="305">
        <f t="shared" si="37"/>
        <v>0</v>
      </c>
      <c r="M252" s="305">
        <f t="shared" si="37"/>
        <v>864132.45999999985</v>
      </c>
      <c r="N252" s="305">
        <f t="shared" si="37"/>
        <v>1112367.6850000003</v>
      </c>
    </row>
    <row r="253" spans="1:17" ht="13.8" thickTop="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7" ht="13.8" thickBot="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7" ht="30.6" thickBot="1">
      <c r="A255"/>
      <c r="B255" s="649" t="s">
        <v>381</v>
      </c>
      <c r="C255" s="650"/>
      <c r="D255" s="650"/>
      <c r="E255" s="650"/>
      <c r="F255" s="650"/>
      <c r="G255" s="650"/>
      <c r="H255" s="650"/>
      <c r="I255" s="650"/>
      <c r="J255" s="650"/>
      <c r="K255" s="650"/>
      <c r="L255" s="650"/>
      <c r="M255" s="650"/>
      <c r="N255" s="651"/>
    </row>
    <row r="256" spans="1:17" ht="16.8" thickTop="1" thickBot="1">
      <c r="A256"/>
      <c r="B256" s="308" t="s">
        <v>39</v>
      </c>
      <c r="C256" s="308" t="s">
        <v>34</v>
      </c>
      <c r="D256" s="309" t="s">
        <v>20</v>
      </c>
      <c r="E256" s="310" t="s">
        <v>21</v>
      </c>
      <c r="F256" s="310" t="s">
        <v>22</v>
      </c>
      <c r="G256" s="308" t="s">
        <v>19</v>
      </c>
      <c r="H256" s="308" t="s">
        <v>12</v>
      </c>
      <c r="I256" s="308" t="s">
        <v>13</v>
      </c>
      <c r="J256" s="308" t="s">
        <v>14</v>
      </c>
      <c r="K256" s="308" t="s">
        <v>15</v>
      </c>
      <c r="L256" s="308" t="s">
        <v>32</v>
      </c>
      <c r="M256" s="311" t="s">
        <v>16</v>
      </c>
      <c r="N256" s="306" t="s">
        <v>17</v>
      </c>
      <c r="Q256" s="524" t="s">
        <v>395</v>
      </c>
    </row>
    <row r="257" spans="1:14" ht="16.8" thickTop="1" thickBot="1">
      <c r="A257"/>
      <c r="B257" s="312">
        <v>1</v>
      </c>
      <c r="C257" s="313" t="s">
        <v>184</v>
      </c>
      <c r="D257" s="327">
        <f>IFERROR(VLOOKUP(C257,'تقرير إحصائية بحجم المبيعات'!$B$252:$G$285,2,FALSE),0)</f>
        <v>0</v>
      </c>
      <c r="E257" s="327">
        <f>IFERROR(VLOOKUP(C257,'تقرير إحصائية بحجم المبيعات'!$B$252:$G$285,3,FALSE),0)</f>
        <v>0</v>
      </c>
      <c r="F257" s="327">
        <f>IFERROR(VLOOKUP(C257,'تقرير إحصائية بحجم المبيعات'!$B$252:$G$285,4,FALSE),0)</f>
        <v>0</v>
      </c>
      <c r="G257" s="317">
        <f>+D257+E257+F257</f>
        <v>0</v>
      </c>
      <c r="H257" s="318">
        <f>+G257/31</f>
        <v>0</v>
      </c>
      <c r="I257" s="327">
        <f>IFERROR(VLOOKUP(C257,'تقرير إحصائية بحجم المبيعات'!$B$252:$L$281,11,FALSE),0)</f>
        <v>0</v>
      </c>
      <c r="J257" s="321">
        <f>+G257-I257</f>
        <v>0</v>
      </c>
      <c r="K257" s="322">
        <f>HLOOKUP(C257,'تقرير المصروفات حسب الشهر'!$D$889:$AI$1004,116,FALSE)</f>
        <v>2613856.7600000002</v>
      </c>
      <c r="L257" s="96"/>
      <c r="M257" s="323">
        <f>HQ!K18</f>
        <v>598022.75000000047</v>
      </c>
      <c r="N257" s="340">
        <f>J257-K257-L257+M257</f>
        <v>-2015834.0099999998</v>
      </c>
    </row>
    <row r="258" spans="1:14" ht="16.8" thickTop="1" thickBot="1">
      <c r="A258"/>
      <c r="B258" s="312">
        <v>2</v>
      </c>
      <c r="C258" s="314" t="s">
        <v>36</v>
      </c>
      <c r="D258" s="327">
        <f>IFERROR(VLOOKUP(C258,'تقرير إحصائية بحجم المبيعات'!$B$252:$G$285,2,FALSE),0)</f>
        <v>4835066.8299999991</v>
      </c>
      <c r="E258" s="327">
        <f>IFERROR(VLOOKUP(C258,'تقرير إحصائية بحجم المبيعات'!$B$252:$G$285,3,FALSE),0)</f>
        <v>653473.9</v>
      </c>
      <c r="F258" s="327">
        <f>IFERROR(VLOOKUP(C258,'تقرير إحصائية بحجم المبيعات'!$B$252:$G$285,4,FALSE),0)</f>
        <v>1371989.49</v>
      </c>
      <c r="G258" s="319">
        <f>+D258+E258+F258</f>
        <v>6860530.2199999997</v>
      </c>
      <c r="H258" s="318">
        <f>+G258/31</f>
        <v>221307.4264516129</v>
      </c>
      <c r="I258" s="327">
        <f>IFERROR(VLOOKUP(C258,'تقرير إحصائية بحجم المبيعات'!$B$252:$L$281,11,FALSE),0)</f>
        <v>5509486.0599999996</v>
      </c>
      <c r="J258" s="321">
        <f>+G258-I258</f>
        <v>1351044.1600000001</v>
      </c>
      <c r="K258" s="322">
        <f>HLOOKUP(C258,'تقرير المصروفات حسب الشهر'!$D$889:$AI$1004,116,FALSE)</f>
        <v>959275.17999999982</v>
      </c>
      <c r="L258" s="97"/>
      <c r="M258" s="324">
        <f>Aguza!K18</f>
        <v>0.01</v>
      </c>
      <c r="N258" s="340">
        <f t="shared" ref="N258:N283" si="38">J258-K258-L258+M258</f>
        <v>391768.99000000034</v>
      </c>
    </row>
    <row r="259" spans="1:14" ht="16.8" thickTop="1" thickBot="1">
      <c r="A259"/>
      <c r="B259" s="312">
        <v>3</v>
      </c>
      <c r="C259" s="314" t="s">
        <v>9</v>
      </c>
      <c r="D259" s="327">
        <f>IFERROR(VLOOKUP(C259,'تقرير إحصائية بحجم المبيعات'!$B$252:$G$285,2,FALSE),0)</f>
        <v>3467970.7899999996</v>
      </c>
      <c r="E259" s="327">
        <f>IFERROR(VLOOKUP(C259,'تقرير إحصائية بحجم المبيعات'!$B$252:$G$285,3,FALSE),0)</f>
        <v>1482569.79</v>
      </c>
      <c r="F259" s="327">
        <f>IFERROR(VLOOKUP(C259,'تقرير إحصائية بحجم المبيعات'!$B$252:$G$285,4,FALSE),0)</f>
        <v>451680.68</v>
      </c>
      <c r="G259" s="319">
        <f>+D259+E259+F259</f>
        <v>5402221.2599999998</v>
      </c>
      <c r="H259" s="318">
        <f>+G259/31</f>
        <v>174265.20193548387</v>
      </c>
      <c r="I259" s="327">
        <f>IFERROR(VLOOKUP(C259,'تقرير إحصائية بحجم المبيعات'!$B$252:$L$281,11,FALSE),0)</f>
        <v>4294453.5599999996</v>
      </c>
      <c r="J259" s="321">
        <f t="shared" ref="J259:J283" si="39">+G259-I259</f>
        <v>1107767.7000000002</v>
      </c>
      <c r="K259" s="322">
        <f>HLOOKUP(C259,'تقرير المصروفات حسب الشهر'!$D$889:$AI$1004,116,FALSE)</f>
        <v>853706.59999999986</v>
      </c>
      <c r="L259" s="97"/>
      <c r="M259" s="324">
        <f>October!K18</f>
        <v>462.23000000001048</v>
      </c>
      <c r="N259" s="340">
        <f t="shared" si="38"/>
        <v>254523.33000000034</v>
      </c>
    </row>
    <row r="260" spans="1:14" ht="16.8" thickTop="1" thickBot="1">
      <c r="A260"/>
      <c r="B260" s="312">
        <v>4</v>
      </c>
      <c r="C260" s="314" t="s">
        <v>25</v>
      </c>
      <c r="D260" s="327">
        <f>IFERROR(VLOOKUP(C260,'تقرير إحصائية بحجم المبيعات'!$B$252:$G$285,2,FALSE),0)</f>
        <v>1398602.4</v>
      </c>
      <c r="E260" s="327">
        <f>IFERROR(VLOOKUP(C260,'تقرير إحصائية بحجم المبيعات'!$B$252:$G$285,3,FALSE),0)</f>
        <v>325156.46000000002</v>
      </c>
      <c r="F260" s="327">
        <f>IFERROR(VLOOKUP(C260,'تقرير إحصائية بحجم المبيعات'!$B$252:$G$285,4,FALSE),0)</f>
        <v>1817656</v>
      </c>
      <c r="G260" s="319">
        <f>+D260+E260+F260</f>
        <v>3541414.86</v>
      </c>
      <c r="H260" s="318">
        <f t="shared" ref="H260:H283" si="40">+G260/31</f>
        <v>114239.18903225806</v>
      </c>
      <c r="I260" s="327">
        <f>IFERROR(VLOOKUP(C260,'تقرير إحصائية بحجم المبيعات'!$B$252:$L$281,11,FALSE),0)</f>
        <v>2881267.68</v>
      </c>
      <c r="J260" s="321">
        <f t="shared" si="39"/>
        <v>660147.1799999997</v>
      </c>
      <c r="K260" s="322">
        <f>HLOOKUP(C260,'تقرير المصروفات حسب الشهر'!$D$889:$AI$1004,116,FALSE)</f>
        <v>491281.75</v>
      </c>
      <c r="L260" s="97"/>
      <c r="M260" s="324">
        <f>Batal!K18</f>
        <v>73401.06</v>
      </c>
      <c r="N260" s="340">
        <f t="shared" si="38"/>
        <v>242266.4899999997</v>
      </c>
    </row>
    <row r="261" spans="1:14" ht="16.8" thickTop="1" thickBot="1">
      <c r="A261"/>
      <c r="B261" s="312">
        <v>5</v>
      </c>
      <c r="C261" s="314" t="s">
        <v>160</v>
      </c>
      <c r="D261" s="327">
        <f>IFERROR(VLOOKUP(C261,'تقرير إحصائية بحجم المبيعات'!$B$252:$G$285,2,FALSE),0)</f>
        <v>5856948.6899999995</v>
      </c>
      <c r="E261" s="327">
        <f>IFERROR(VLOOKUP(C261,'تقرير إحصائية بحجم المبيعات'!$B$252:$G$285,3,FALSE),0)</f>
        <v>32827.839999999997</v>
      </c>
      <c r="F261" s="327">
        <f>IFERROR(VLOOKUP(C261,'تقرير إحصائية بحجم المبيعات'!$B$252:$G$285,4,FALSE),0)</f>
        <v>2532262.5699999998</v>
      </c>
      <c r="G261" s="319">
        <f t="shared" ref="G261:G283" si="41">+D261+E261+F261</f>
        <v>8422039.0999999996</v>
      </c>
      <c r="H261" s="318">
        <f t="shared" si="40"/>
        <v>271678.68064516125</v>
      </c>
      <c r="I261" s="327">
        <f>IFERROR(VLOOKUP(C261,'تقرير إحصائية بحجم المبيعات'!$B$252:$L$281,11,FALSE),0)</f>
        <v>6854824.1399999997</v>
      </c>
      <c r="J261" s="321">
        <f t="shared" si="39"/>
        <v>1567214.96</v>
      </c>
      <c r="K261" s="322">
        <f>HLOOKUP(C261,'تقرير المصروفات حسب الشهر'!$D$889:$AI$1004,116,FALSE)</f>
        <v>1136298.1099999999</v>
      </c>
      <c r="L261" s="97"/>
      <c r="M261" s="324">
        <f>'Nasr City'!K18</f>
        <v>0</v>
      </c>
      <c r="N261" s="340">
        <f t="shared" si="38"/>
        <v>430916.85000000009</v>
      </c>
    </row>
    <row r="262" spans="1:14" ht="16.8" thickTop="1" thickBot="1">
      <c r="A262"/>
      <c r="B262" s="312">
        <v>6</v>
      </c>
      <c r="C262" s="314" t="s">
        <v>139</v>
      </c>
      <c r="D262" s="327">
        <f>IFERROR(VLOOKUP(C262,'تقرير إحصائية بحجم المبيعات'!$B$252:$G$285,2,FALSE),0)</f>
        <v>21317.09999999974</v>
      </c>
      <c r="E262" s="327">
        <f>IFERROR(VLOOKUP(C262,'تقرير إحصائية بحجم المبيعات'!$B$252:$G$285,3,FALSE),0)</f>
        <v>0</v>
      </c>
      <c r="F262" s="327">
        <f>IFERROR(VLOOKUP(C262,'تقرير إحصائية بحجم المبيعات'!$B$252:$G$285,4,FALSE),0)</f>
        <v>2084336.68</v>
      </c>
      <c r="G262" s="319">
        <f t="shared" si="41"/>
        <v>2105653.7799999998</v>
      </c>
      <c r="H262" s="318">
        <f t="shared" si="40"/>
        <v>67924.31548387096</v>
      </c>
      <c r="I262" s="327">
        <f>IFERROR(VLOOKUP(C262,'تقرير إحصائية بحجم المبيعات'!$B$252:$L$281,11,FALSE),0)</f>
        <v>1787608.58</v>
      </c>
      <c r="J262" s="321">
        <f t="shared" si="39"/>
        <v>318045.19999999972</v>
      </c>
      <c r="K262" s="322">
        <f>HLOOKUP(C262,'تقرير المصروفات حسب الشهر'!$D$889:$AI$1004,116,FALSE)</f>
        <v>67567.309999999983</v>
      </c>
      <c r="L262" s="97"/>
      <c r="M262" s="324">
        <f>Sweedy!K18</f>
        <v>170186.93999999994</v>
      </c>
      <c r="N262" s="340">
        <f t="shared" si="38"/>
        <v>420664.82999999967</v>
      </c>
    </row>
    <row r="263" spans="1:14" ht="17.25" customHeight="1" thickTop="1" thickBot="1">
      <c r="A263"/>
      <c r="B263" s="312">
        <v>7</v>
      </c>
      <c r="C263" s="314" t="s">
        <v>37</v>
      </c>
      <c r="D263" s="327">
        <f>IFERROR(VLOOKUP(C263,'تقرير إحصائية بحجم المبيعات'!$B$252:$G$285,2,FALSE),0)</f>
        <v>31888.210000000021</v>
      </c>
      <c r="E263" s="327">
        <f>IFERROR(VLOOKUP(C263,'تقرير إحصائية بحجم المبيعات'!$B$252:$G$285,3,FALSE),0)</f>
        <v>0</v>
      </c>
      <c r="F263" s="327">
        <f>IFERROR(VLOOKUP(C263,'تقرير إحصائية بحجم المبيعات'!$B$252:$G$285,4,FALSE),0)</f>
        <v>501316.34</v>
      </c>
      <c r="G263" s="319">
        <f t="shared" si="41"/>
        <v>533204.55000000005</v>
      </c>
      <c r="H263" s="318">
        <f t="shared" si="40"/>
        <v>17200.146774193548</v>
      </c>
      <c r="I263" s="327">
        <f>IFERROR(VLOOKUP(C263,'تقرير إحصائية بحجم المبيعات'!$B$252:$L$281,11,FALSE),0)</f>
        <v>463003.36</v>
      </c>
      <c r="J263" s="321">
        <f t="shared" si="39"/>
        <v>70201.190000000061</v>
      </c>
      <c r="K263" s="322">
        <f>HLOOKUP(C263,'تقرير المصروفات حسب الشهر'!$D$889:$AI$1004,116,FALSE)</f>
        <v>32443.969999999998</v>
      </c>
      <c r="L263" s="97"/>
      <c r="M263" s="324">
        <f>NTRA!K18</f>
        <v>112.47</v>
      </c>
      <c r="N263" s="340">
        <f t="shared" si="38"/>
        <v>37869.690000000061</v>
      </c>
    </row>
    <row r="264" spans="1:14" ht="16.8" thickTop="1" thickBot="1">
      <c r="A264"/>
      <c r="B264" s="312">
        <v>8</v>
      </c>
      <c r="C264" s="314" t="s">
        <v>133</v>
      </c>
      <c r="D264" s="327">
        <f>IFERROR(VLOOKUP(C264,'تقرير إحصائية بحجم المبيعات'!$B$252:$G$285,2,FALSE),0)</f>
        <v>18877.200000000033</v>
      </c>
      <c r="E264" s="327">
        <f>IFERROR(VLOOKUP(C264,'تقرير إحصائية بحجم المبيعات'!$B$252:$G$285,3,FALSE),0)</f>
        <v>0</v>
      </c>
      <c r="F264" s="327">
        <f>IFERROR(VLOOKUP(C264,'تقرير إحصائية بحجم المبيعات'!$B$252:$G$285,4,FALSE),0)</f>
        <v>254514.61</v>
      </c>
      <c r="G264" s="319">
        <f t="shared" si="41"/>
        <v>273391.81</v>
      </c>
      <c r="H264" s="318">
        <f t="shared" si="40"/>
        <v>8819.09064516129</v>
      </c>
      <c r="I264" s="327">
        <f>IFERROR(VLOOKUP(C264,'تقرير إحصائية بحجم المبيعات'!$B$252:$L$281,11,FALSE),0)</f>
        <v>235602.2</v>
      </c>
      <c r="J264" s="321">
        <f t="shared" si="39"/>
        <v>37789.609999999986</v>
      </c>
      <c r="K264" s="322">
        <f>HLOOKUP(C264,'تقرير المصروفات حسب الشهر'!$D$889:$AI$1004,116,FALSE)</f>
        <v>22077.859999999997</v>
      </c>
      <c r="L264" s="97"/>
      <c r="M264" s="324">
        <f>Etisalat!K18</f>
        <v>3350.74</v>
      </c>
      <c r="N264" s="340">
        <f t="shared" si="38"/>
        <v>19062.489999999991</v>
      </c>
    </row>
    <row r="265" spans="1:14" ht="16.8" thickTop="1" thickBot="1">
      <c r="A265"/>
      <c r="B265" s="312">
        <v>9</v>
      </c>
      <c r="C265" s="314" t="s">
        <v>123</v>
      </c>
      <c r="D265" s="327">
        <f>IFERROR(VLOOKUP(C265,'تقرير إحصائية بحجم المبيعات'!$B$252:$G$285,2,FALSE),0)</f>
        <v>19938.929999999993</v>
      </c>
      <c r="E265" s="327">
        <f>IFERROR(VLOOKUP(C265,'تقرير إحصائية بحجم المبيعات'!$B$252:$G$285,3,FALSE),0)</f>
        <v>0</v>
      </c>
      <c r="F265" s="327">
        <f>IFERROR(VLOOKUP(C265,'تقرير إحصائية بحجم المبيعات'!$B$252:$G$285,4,FALSE),0)</f>
        <v>485131.66</v>
      </c>
      <c r="G265" s="319">
        <f t="shared" si="41"/>
        <v>505070.58999999997</v>
      </c>
      <c r="H265" s="318">
        <f t="shared" si="40"/>
        <v>16292.599677419354</v>
      </c>
      <c r="I265" s="327">
        <f>IFERROR(VLOOKUP(C265,'تقرير إحصائية بحجم المبيعات'!$B$252:$L$281,11,FALSE),0)</f>
        <v>434841.96</v>
      </c>
      <c r="J265" s="321">
        <f t="shared" si="39"/>
        <v>70228.629999999946</v>
      </c>
      <c r="K265" s="322">
        <f>HLOOKUP(C265,'تقرير المصروفات حسب الشهر'!$D$889:$AI$1004,116,FALSE)</f>
        <v>25741.58</v>
      </c>
      <c r="L265" s="97"/>
      <c r="M265" s="324">
        <f>'Hazzem Hassan'!K18</f>
        <v>136.21</v>
      </c>
      <c r="N265" s="340">
        <f t="shared" si="38"/>
        <v>44623.259999999944</v>
      </c>
    </row>
    <row r="266" spans="1:14" ht="16.8" thickTop="1" thickBot="1">
      <c r="A266"/>
      <c r="B266" s="312">
        <v>10</v>
      </c>
      <c r="C266" s="314" t="s">
        <v>145</v>
      </c>
      <c r="D266" s="327">
        <f>IFERROR(VLOOKUP(C266,'تقرير إحصائية بحجم المبيعات'!$B$252:$G$285,2,FALSE),0)</f>
        <v>941454.91999999993</v>
      </c>
      <c r="E266" s="327">
        <f>IFERROR(VLOOKUP(C266,'تقرير إحصائية بحجم المبيعات'!$B$252:$G$285,3,FALSE),0)</f>
        <v>2943.65</v>
      </c>
      <c r="F266" s="327">
        <f>IFERROR(VLOOKUP(C266,'تقرير إحصائية بحجم المبيعات'!$B$252:$G$285,4,FALSE),0)</f>
        <v>1481024.71</v>
      </c>
      <c r="G266" s="319">
        <f t="shared" si="41"/>
        <v>2425423.2799999998</v>
      </c>
      <c r="H266" s="318">
        <f t="shared" si="40"/>
        <v>78239.460645161278</v>
      </c>
      <c r="I266" s="327">
        <f>IFERROR(VLOOKUP(C266,'تقرير إحصائية بحجم المبيعات'!$B$252:$L$281,11,FALSE),0)</f>
        <v>2001187.86</v>
      </c>
      <c r="J266" s="321">
        <f t="shared" si="39"/>
        <v>424235.41999999969</v>
      </c>
      <c r="K266" s="322">
        <f>HLOOKUP(C266,'تقرير المصروفات حسب الشهر'!$D$889:$AI$1004,116,FALSE)</f>
        <v>400438.92000000004</v>
      </c>
      <c r="L266" s="97"/>
      <c r="M266" s="324">
        <f>Sena3ia!K18</f>
        <v>0</v>
      </c>
      <c r="N266" s="340">
        <f t="shared" si="38"/>
        <v>23796.499999999651</v>
      </c>
    </row>
    <row r="267" spans="1:14" ht="16.8" thickTop="1" thickBot="1">
      <c r="A267"/>
      <c r="B267" s="312">
        <v>11</v>
      </c>
      <c r="C267" s="314" t="s">
        <v>124</v>
      </c>
      <c r="D267" s="327">
        <f>IFERROR(VLOOKUP(C267,'تقرير إحصائية بحجم المبيعات'!$B$252:$G$285,2,FALSE),0)</f>
        <v>197220.28999999998</v>
      </c>
      <c r="E267" s="327">
        <f>IFERROR(VLOOKUP(C267,'تقرير إحصائية بحجم المبيعات'!$B$252:$G$285,3,FALSE),0)</f>
        <v>0</v>
      </c>
      <c r="F267" s="327">
        <f>IFERROR(VLOOKUP(C267,'تقرير إحصائية بحجم المبيعات'!$B$252:$G$285,4,FALSE),0)</f>
        <v>195948.86</v>
      </c>
      <c r="G267" s="319">
        <f t="shared" si="41"/>
        <v>393169.14999999997</v>
      </c>
      <c r="H267" s="318">
        <f t="shared" si="40"/>
        <v>12682.875806451611</v>
      </c>
      <c r="I267" s="327">
        <f>IFERROR(VLOOKUP(C267,'تقرير إحصائية بحجم المبيعات'!$B$252:$L$281,11,FALSE),0)</f>
        <v>334112.98</v>
      </c>
      <c r="J267" s="321">
        <f t="shared" si="39"/>
        <v>59056.169999999984</v>
      </c>
      <c r="K267" s="322">
        <f>HLOOKUP(C267,'تقرير المصروفات حسب الشهر'!$D$889:$AI$1004,116,FALSE)</f>
        <v>50263.349999999991</v>
      </c>
      <c r="L267" s="97"/>
      <c r="M267" s="324">
        <f>Khargia!K18</f>
        <v>650.48</v>
      </c>
      <c r="N267" s="340">
        <f t="shared" si="38"/>
        <v>9443.299999999992</v>
      </c>
    </row>
    <row r="268" spans="1:14" ht="16.8" thickTop="1" thickBot="1">
      <c r="A268"/>
      <c r="B268" s="312">
        <v>12</v>
      </c>
      <c r="C268" s="314" t="s">
        <v>169</v>
      </c>
      <c r="D268" s="327">
        <f>IFERROR(VLOOKUP(C268,'تقرير إحصائية بحجم المبيعات'!$B$252:$G$285,2,FALSE),0)</f>
        <v>2703204.63</v>
      </c>
      <c r="E268" s="327">
        <f>IFERROR(VLOOKUP(C268,'تقرير إحصائية بحجم المبيعات'!$B$252:$G$285,3,FALSE),0)</f>
        <v>9366.39</v>
      </c>
      <c r="F268" s="327">
        <f>IFERROR(VLOOKUP(C268,'تقرير إحصائية بحجم المبيعات'!$B$252:$G$285,4,FALSE),0)</f>
        <v>1245052.1200000001</v>
      </c>
      <c r="G268" s="319">
        <f t="shared" si="41"/>
        <v>3957623.14</v>
      </c>
      <c r="H268" s="318">
        <f t="shared" si="40"/>
        <v>127665.26258064517</v>
      </c>
      <c r="I268" s="327">
        <f>IFERROR(VLOOKUP(C268,'تقرير إحصائية بحجم المبيعات'!$B$252:$L$281,11,FALSE),0)</f>
        <v>3203375.68</v>
      </c>
      <c r="J268" s="321">
        <f t="shared" si="39"/>
        <v>754247.46</v>
      </c>
      <c r="K268" s="322">
        <f>HLOOKUP(C268,'تقرير المصروفات حسب الشهر'!$D$889:$AI$1004,116,FALSE)</f>
        <v>660397.02999999991</v>
      </c>
      <c r="L268" s="97"/>
      <c r="M268" s="324">
        <f>Tagmou3!K18</f>
        <v>0</v>
      </c>
      <c r="N268" s="340">
        <f t="shared" si="38"/>
        <v>93850.430000000051</v>
      </c>
    </row>
    <row r="269" spans="1:14" ht="16.8" thickTop="1" thickBot="1">
      <c r="A269"/>
      <c r="B269" s="312">
        <v>13</v>
      </c>
      <c r="C269" s="314" t="s">
        <v>243</v>
      </c>
      <c r="D269" s="327">
        <f>IFERROR(VLOOKUP(C269,'تقرير إحصائية بحجم المبيعات'!$B$252:$G$285,2,FALSE),0)</f>
        <v>1763587.5899999999</v>
      </c>
      <c r="E269" s="327">
        <f>IFERROR(VLOOKUP(C269,'تقرير إحصائية بحجم المبيعات'!$B$252:$G$285,3,FALSE),0)</f>
        <v>79576.58</v>
      </c>
      <c r="F269" s="327">
        <f>IFERROR(VLOOKUP(C269,'تقرير إحصائية بحجم المبيعات'!$B$252:$G$285,4,FALSE),0)</f>
        <v>629432.29</v>
      </c>
      <c r="G269" s="319">
        <f t="shared" si="41"/>
        <v>2472596.46</v>
      </c>
      <c r="H269" s="318">
        <f t="shared" si="40"/>
        <v>79761.176129032261</v>
      </c>
      <c r="I269" s="327">
        <f>IFERROR(VLOOKUP(C269,'تقرير إحصائية بحجم المبيعات'!$B$252:$L$281,11,FALSE),0)</f>
        <v>1959308.79</v>
      </c>
      <c r="J269" s="321">
        <f t="shared" si="39"/>
        <v>513287.66999999993</v>
      </c>
      <c r="K269" s="322">
        <f>HLOOKUP(C269,'تقرير المصروفات حسب الشهر'!$D$889:$AI$1004,116,FALSE)</f>
        <v>477880.73000000004</v>
      </c>
      <c r="L269" s="98"/>
      <c r="M269" s="324">
        <f>Maadi!K18</f>
        <v>1297.97</v>
      </c>
      <c r="N269" s="340">
        <f t="shared" si="38"/>
        <v>36704.909999999887</v>
      </c>
    </row>
    <row r="270" spans="1:14" ht="16.8" thickTop="1" thickBot="1">
      <c r="A270"/>
      <c r="B270" s="312">
        <v>14</v>
      </c>
      <c r="C270" s="314" t="s">
        <v>175</v>
      </c>
      <c r="D270" s="327">
        <f>IFERROR(VLOOKUP(C270,'تقرير إحصائية بحجم المبيعات'!$B$252:$G$285,2,FALSE),0)</f>
        <v>4404386.3899999997</v>
      </c>
      <c r="E270" s="327">
        <f>IFERROR(VLOOKUP(C270,'تقرير إحصائية بحجم المبيعات'!$B$252:$G$285,3,FALSE),0)</f>
        <v>997368.4</v>
      </c>
      <c r="F270" s="327">
        <f>IFERROR(VLOOKUP(C270,'تقرير إحصائية بحجم المبيعات'!$B$252:$G$285,4,FALSE),0)</f>
        <v>886926.85</v>
      </c>
      <c r="G270" s="319">
        <f t="shared" si="41"/>
        <v>6288681.6399999997</v>
      </c>
      <c r="H270" s="318">
        <f t="shared" si="40"/>
        <v>202860.69806451612</v>
      </c>
      <c r="I270" s="327">
        <f>IFERROR(VLOOKUP(C270,'تقرير إحصائية بحجم المبيعات'!$B$252:$L$281,11,FALSE),0)</f>
        <v>4920386.49</v>
      </c>
      <c r="J270" s="321">
        <f t="shared" si="39"/>
        <v>1368295.1499999994</v>
      </c>
      <c r="K270" s="322">
        <f>HLOOKUP(C270,'تقرير المصروفات حسب الشهر'!$D$889:$AI$1004,116,FALSE)</f>
        <v>978663.98000000021</v>
      </c>
      <c r="L270" s="97"/>
      <c r="M270" s="324">
        <f>Zaid!K18</f>
        <v>0</v>
      </c>
      <c r="N270" s="340">
        <f t="shared" si="38"/>
        <v>389631.16999999923</v>
      </c>
    </row>
    <row r="271" spans="1:14" ht="16.8" thickTop="1" thickBot="1">
      <c r="A271"/>
      <c r="B271" s="312">
        <v>15</v>
      </c>
      <c r="C271" s="314" t="s">
        <v>170</v>
      </c>
      <c r="D271" s="327">
        <f>IFERROR(VLOOKUP(C271,'تقرير إحصائية بحجم المبيعات'!$B$252:$G$285,2,FALSE),0)</f>
        <v>853967.06</v>
      </c>
      <c r="E271" s="327">
        <f>IFERROR(VLOOKUP(C271,'تقرير إحصائية بحجم المبيعات'!$B$252:$G$285,3,FALSE),0)</f>
        <v>135743.44</v>
      </c>
      <c r="F271" s="327">
        <f>IFERROR(VLOOKUP(C271,'تقرير إحصائية بحجم المبيعات'!$B$252:$G$285,4,FALSE),0)</f>
        <v>43004.99</v>
      </c>
      <c r="G271" s="319">
        <f t="shared" si="41"/>
        <v>1032715.49</v>
      </c>
      <c r="H271" s="318">
        <f t="shared" si="40"/>
        <v>33313.402903225804</v>
      </c>
      <c r="I271" s="327">
        <f>IFERROR(VLOOKUP(C271,'تقرير إحصائية بحجم المبيعات'!$B$252:$L$281,11,FALSE),0)</f>
        <v>776458.03</v>
      </c>
      <c r="J271" s="321">
        <f t="shared" si="39"/>
        <v>256257.45999999996</v>
      </c>
      <c r="K271" s="322">
        <f>HLOOKUP(C271,'تقرير المصروفات حسب الشهر'!$D$889:$AI$1004,116,FALSE)</f>
        <v>114273.95</v>
      </c>
      <c r="L271" s="97"/>
      <c r="M271" s="324">
        <f>'Sand Beach'!K18</f>
        <v>0</v>
      </c>
      <c r="N271" s="340">
        <f t="shared" si="38"/>
        <v>141983.50999999995</v>
      </c>
    </row>
    <row r="272" spans="1:14" ht="16.8" thickTop="1" thickBot="1">
      <c r="A272"/>
      <c r="B272" s="312">
        <v>16</v>
      </c>
      <c r="C272" s="314" t="s">
        <v>203</v>
      </c>
      <c r="D272" s="327">
        <f>IFERROR(VLOOKUP(C272,'تقرير إحصائية بحجم المبيعات'!$B$252:$G$285,2,FALSE),0)</f>
        <v>1936967.87</v>
      </c>
      <c r="E272" s="327">
        <f>IFERROR(VLOOKUP(C272,'تقرير إحصائية بحجم المبيعات'!$B$252:$G$285,3,FALSE),0)</f>
        <v>56720.36</v>
      </c>
      <c r="F272" s="327">
        <f>IFERROR(VLOOKUP(C272,'تقرير إحصائية بحجم المبيعات'!$B$252:$G$285,4,FALSE),0)</f>
        <v>631667.23</v>
      </c>
      <c r="G272" s="319">
        <f t="shared" si="41"/>
        <v>2625355.46</v>
      </c>
      <c r="H272" s="318">
        <f t="shared" si="40"/>
        <v>84688.88580645161</v>
      </c>
      <c r="I272" s="327">
        <f>IFERROR(VLOOKUP(C272,'تقرير إحصائية بحجم المبيعات'!$B$252:$L$281,11,FALSE),0)</f>
        <v>2103029.54</v>
      </c>
      <c r="J272" s="321">
        <f t="shared" si="39"/>
        <v>522325.91999999993</v>
      </c>
      <c r="K272" s="322">
        <f>HLOOKUP(C272,'تقرير المصروفات حسب الشهر'!$D$889:$AI$1004,116,FALSE)</f>
        <v>390769.64999999997</v>
      </c>
      <c r="L272" s="97"/>
      <c r="M272" s="324">
        <f>Alamya!K18</f>
        <v>2000</v>
      </c>
      <c r="N272" s="340">
        <f t="shared" si="38"/>
        <v>133556.26999999996</v>
      </c>
    </row>
    <row r="273" spans="1:14" ht="16.8" thickTop="1" thickBot="1">
      <c r="A273"/>
      <c r="B273" s="312">
        <v>17</v>
      </c>
      <c r="C273" s="314" t="s">
        <v>172</v>
      </c>
      <c r="D273" s="327">
        <f>IFERROR(VLOOKUP(C273,'تقرير إحصائية بحجم المبيعات'!$B$252:$G$285,2,FALSE),0)</f>
        <v>471113.09</v>
      </c>
      <c r="E273" s="327">
        <f>IFERROR(VLOOKUP(C273,'تقرير إحصائية بحجم المبيعات'!$B$252:$G$285,3,FALSE),0)</f>
        <v>0</v>
      </c>
      <c r="F273" s="327">
        <f>IFERROR(VLOOKUP(C273,'تقرير إحصائية بحجم المبيعات'!$B$252:$G$285,4,FALSE),0)</f>
        <v>0</v>
      </c>
      <c r="G273" s="319">
        <f t="shared" si="41"/>
        <v>471113.09</v>
      </c>
      <c r="H273" s="318">
        <f t="shared" si="40"/>
        <v>15197.196451612905</v>
      </c>
      <c r="I273" s="327">
        <f>IFERROR(VLOOKUP(C273,'تقرير إحصائية بحجم المبيعات'!$B$252:$L$281,11,FALSE),0)</f>
        <v>401887.03</v>
      </c>
      <c r="J273" s="321">
        <f t="shared" si="39"/>
        <v>69226.06</v>
      </c>
      <c r="K273" s="322">
        <f>HLOOKUP(C273,'تقرير المصروفات حسب الشهر'!$D$889:$AI$1004,116,FALSE)</f>
        <v>31644.519999999997</v>
      </c>
      <c r="L273" s="97"/>
      <c r="M273" s="324">
        <f>Online!K18</f>
        <v>0</v>
      </c>
      <c r="N273" s="340">
        <f t="shared" si="38"/>
        <v>37581.54</v>
      </c>
    </row>
    <row r="274" spans="1:14" ht="17.25" customHeight="1" thickTop="1" thickBot="1">
      <c r="A274"/>
      <c r="B274" s="312">
        <v>18</v>
      </c>
      <c r="C274" s="314" t="s">
        <v>176</v>
      </c>
      <c r="D274" s="327">
        <f>IFERROR(VLOOKUP(C274,'تقرير إحصائية بحجم المبيعات'!$B$252:$G$285,2,FALSE),0)</f>
        <v>151698.63999999996</v>
      </c>
      <c r="E274" s="327">
        <f>IFERROR(VLOOKUP(C274,'تقرير إحصائية بحجم المبيعات'!$B$252:$G$285,3,FALSE),0)</f>
        <v>0</v>
      </c>
      <c r="F274" s="327">
        <f>IFERROR(VLOOKUP(C274,'تقرير إحصائية بحجم المبيعات'!$B$252:$G$285,4,FALSE),0)</f>
        <v>371224.38</v>
      </c>
      <c r="G274" s="319">
        <f t="shared" si="41"/>
        <v>522923.01999999996</v>
      </c>
      <c r="H274" s="318">
        <f t="shared" si="40"/>
        <v>16868.484516129032</v>
      </c>
      <c r="I274" s="327">
        <f>IFERROR(VLOOKUP(C274,'تقرير إحصائية بحجم المبيعات'!$B$252:$L$281,11,FALSE),0)</f>
        <v>451023.72</v>
      </c>
      <c r="J274" s="321">
        <f t="shared" si="39"/>
        <v>71899.299999999988</v>
      </c>
      <c r="K274" s="322">
        <f>HLOOKUP(C274,'تقرير المصروفات حسب الشهر'!$D$889:$AI$1004,116,FALSE)</f>
        <v>27717.779999999995</v>
      </c>
      <c r="L274" s="97"/>
      <c r="M274" s="324">
        <f>Orange!K18</f>
        <v>0</v>
      </c>
      <c r="N274" s="340">
        <f t="shared" si="38"/>
        <v>44181.51999999999</v>
      </c>
    </row>
    <row r="275" spans="1:14" ht="16.8" thickTop="1" thickBot="1">
      <c r="A275"/>
      <c r="B275" s="312">
        <v>19</v>
      </c>
      <c r="C275" s="314" t="s">
        <v>177</v>
      </c>
      <c r="D275" s="327">
        <f>IFERROR(VLOOKUP(C275,'تقرير إحصائية بحجم المبيعات'!$B$252:$G$285,2,FALSE),0)</f>
        <v>136035.49</v>
      </c>
      <c r="E275" s="327">
        <f>IFERROR(VLOOKUP(C275,'تقرير إحصائية بحجم المبيعات'!$B$252:$G$285,3,FALSE),0)</f>
        <v>0</v>
      </c>
      <c r="F275" s="327">
        <f>IFERROR(VLOOKUP(C275,'تقرير إحصائية بحجم المبيعات'!$B$252:$G$285,4,FALSE),0)</f>
        <v>533226.63</v>
      </c>
      <c r="G275" s="319">
        <f t="shared" si="41"/>
        <v>669262.12</v>
      </c>
      <c r="H275" s="318">
        <f t="shared" si="40"/>
        <v>21589.100645161288</v>
      </c>
      <c r="I275" s="327">
        <f>IFERROR(VLOOKUP(C275,'تقرير إحصائية بحجم المبيعات'!$B$252:$L$281,11,FALSE),0)</f>
        <v>548936.93000000005</v>
      </c>
      <c r="J275" s="321">
        <f t="shared" si="39"/>
        <v>120325.18999999994</v>
      </c>
      <c r="K275" s="322">
        <f>HLOOKUP(C275,'تقرير المصروفات حسب الشهر'!$D$889:$AI$1004,116,FALSE)</f>
        <v>29489.399999999998</v>
      </c>
      <c r="L275" s="97"/>
      <c r="M275" s="324">
        <f>Vod.Smart!K18</f>
        <v>0</v>
      </c>
      <c r="N275" s="340">
        <f t="shared" si="38"/>
        <v>90835.78999999995</v>
      </c>
    </row>
    <row r="276" spans="1:14" ht="16.8" thickTop="1" thickBot="1">
      <c r="A276"/>
      <c r="B276" s="312">
        <v>20</v>
      </c>
      <c r="C276" s="314" t="s">
        <v>178</v>
      </c>
      <c r="D276" s="327">
        <f>IFERROR(VLOOKUP(C276,'تقرير إحصائية بحجم المبيعات'!$B$252:$G$285,2,FALSE),0)</f>
        <v>-124.86999999999534</v>
      </c>
      <c r="E276" s="327">
        <f>IFERROR(VLOOKUP(C276,'تقرير إحصائية بحجم المبيعات'!$B$252:$G$285,3,FALSE),0)</f>
        <v>0</v>
      </c>
      <c r="F276" s="327">
        <f>IFERROR(VLOOKUP(C276,'تقرير إحصائية بحجم المبيعات'!$B$252:$G$285,4,FALSE),0)</f>
        <v>400673.6</v>
      </c>
      <c r="G276" s="319">
        <f t="shared" si="41"/>
        <v>400548.73</v>
      </c>
      <c r="H276" s="318">
        <f t="shared" si="40"/>
        <v>12920.926774193547</v>
      </c>
      <c r="I276" s="327">
        <f>IFERROR(VLOOKUP(C276,'تقرير إحصائية بحجم المبيعات'!$B$252:$L$281,11,FALSE),0)</f>
        <v>342411.86</v>
      </c>
      <c r="J276" s="321">
        <f t="shared" si="39"/>
        <v>58136.869999999995</v>
      </c>
      <c r="K276" s="322">
        <f>HLOOKUP(C276,'تقرير المصروفات حسب الشهر'!$D$889:$AI$1004,116,FALSE)</f>
        <v>15397.939999999999</v>
      </c>
      <c r="L276" s="97"/>
      <c r="M276" s="324">
        <f>Vod.Zahraa!K18</f>
        <v>0</v>
      </c>
      <c r="N276" s="340">
        <f t="shared" si="38"/>
        <v>42738.929999999993</v>
      </c>
    </row>
    <row r="277" spans="1:14" ht="16.8" thickTop="1" thickBot="1">
      <c r="A277"/>
      <c r="B277" s="312">
        <v>21</v>
      </c>
      <c r="C277" s="314" t="s">
        <v>179</v>
      </c>
      <c r="D277" s="327">
        <f>IFERROR(VLOOKUP(C277,'تقرير إحصائية بحجم المبيعات'!$B$252:$G$285,2,FALSE),0)</f>
        <v>2238.0599999999395</v>
      </c>
      <c r="E277" s="327">
        <f>IFERROR(VLOOKUP(C277,'تقرير إحصائية بحجم المبيعات'!$B$252:$G$285,3,FALSE),0)</f>
        <v>0</v>
      </c>
      <c r="F277" s="327">
        <f>IFERROR(VLOOKUP(C277,'تقرير إحصائية بحجم المبيعات'!$B$252:$G$285,4,FALSE),0)</f>
        <v>619687.97</v>
      </c>
      <c r="G277" s="319">
        <f t="shared" si="41"/>
        <v>621926.02999999991</v>
      </c>
      <c r="H277" s="318">
        <f t="shared" si="40"/>
        <v>20062.129999999997</v>
      </c>
      <c r="I277" s="327">
        <f>IFERROR(VLOOKUP(C277,'تقرير إحصائية بحجم المبيعات'!$B$252:$L$281,11,FALSE),0)</f>
        <v>533019.09</v>
      </c>
      <c r="J277" s="321">
        <f t="shared" si="39"/>
        <v>88906.939999999944</v>
      </c>
      <c r="K277" s="322">
        <f>HLOOKUP(C277,'تقرير المصروفات حسب الشهر'!$D$889:$AI$1004,116,FALSE)</f>
        <v>19046.669999999998</v>
      </c>
      <c r="L277" s="97"/>
      <c r="M277" s="324">
        <f>Mo7awelat!K18</f>
        <v>51506.210000000006</v>
      </c>
      <c r="N277" s="340">
        <f t="shared" si="38"/>
        <v>121366.47999999995</v>
      </c>
    </row>
    <row r="278" spans="1:14" ht="16.8" thickTop="1" thickBot="1">
      <c r="A278"/>
      <c r="B278" s="312">
        <v>22</v>
      </c>
      <c r="C278" s="314" t="s">
        <v>181</v>
      </c>
      <c r="D278" s="327">
        <f>IFERROR(VLOOKUP(C278,'تقرير إحصائية بحجم المبيعات'!$B$252:$G$285,2,FALSE),0)</f>
        <v>22067.849999999977</v>
      </c>
      <c r="E278" s="327">
        <f>IFERROR(VLOOKUP(C278,'تقرير إحصائية بحجم المبيعات'!$B$252:$G$285,3,FALSE),0)</f>
        <v>0</v>
      </c>
      <c r="F278" s="327">
        <f>IFERROR(VLOOKUP(C278,'تقرير إحصائية بحجم المبيعات'!$B$252:$G$285,4,FALSE),0)</f>
        <v>369258.36</v>
      </c>
      <c r="G278" s="319">
        <f t="shared" si="41"/>
        <v>391326.20999999996</v>
      </c>
      <c r="H278" s="318">
        <f t="shared" si="40"/>
        <v>12623.426129032257</v>
      </c>
      <c r="I278" s="327">
        <f>IFERROR(VLOOKUP(C278,'تقرير إحصائية بحجم المبيعات'!$B$252:$L$281,11,FALSE),0)</f>
        <v>341536.25</v>
      </c>
      <c r="J278" s="321">
        <f t="shared" si="39"/>
        <v>49789.959999999963</v>
      </c>
      <c r="K278" s="322">
        <f>HLOOKUP(C278,'تقرير المصروفات حسب الشهر'!$D$889:$AI$1004,116,FALSE)</f>
        <v>15462.160000000002</v>
      </c>
      <c r="L278" s="97"/>
      <c r="M278" s="324">
        <f>Electric!K18</f>
        <v>0</v>
      </c>
      <c r="N278" s="340">
        <f t="shared" si="38"/>
        <v>34327.799999999959</v>
      </c>
    </row>
    <row r="279" spans="1:14" ht="16.8" thickTop="1" thickBot="1">
      <c r="A279"/>
      <c r="B279" s="312">
        <v>23</v>
      </c>
      <c r="C279" s="314" t="s">
        <v>182</v>
      </c>
      <c r="D279" s="327">
        <f>IFERROR(VLOOKUP(C279,'تقرير إحصائية بحجم المبيعات'!$B$252:$G$285,2,FALSE),0)</f>
        <v>21541.359999999986</v>
      </c>
      <c r="E279" s="327">
        <f>IFERROR(VLOOKUP(C279,'تقرير إحصائية بحجم المبيعات'!$B$252:$G$285,3,FALSE),0)</f>
        <v>0</v>
      </c>
      <c r="F279" s="327">
        <f>IFERROR(VLOOKUP(C279,'تقرير إحصائية بحجم المبيعات'!$B$252:$G$285,4,FALSE),0)</f>
        <v>164459.63</v>
      </c>
      <c r="G279" s="319">
        <f t="shared" si="41"/>
        <v>186000.99</v>
      </c>
      <c r="H279" s="318">
        <f t="shared" si="40"/>
        <v>6000.0319354838703</v>
      </c>
      <c r="I279" s="327">
        <f>IFERROR(VLOOKUP(C279,'تقرير إحصائية بحجم المبيعات'!$B$252:$L$281,11,FALSE),0)</f>
        <v>161536.95999999999</v>
      </c>
      <c r="J279" s="321">
        <f t="shared" si="39"/>
        <v>24464.03</v>
      </c>
      <c r="K279" s="322">
        <f>HLOOKUP(C279,'تقرير المصروفات حسب الشهر'!$D$889:$AI$1004,116,FALSE)</f>
        <v>7995.01</v>
      </c>
      <c r="L279" s="97"/>
      <c r="M279" s="324">
        <f>'M.C.V'!K18</f>
        <v>5950.01</v>
      </c>
      <c r="N279" s="340">
        <f t="shared" si="38"/>
        <v>22419.03</v>
      </c>
    </row>
    <row r="280" spans="1:14" ht="16.8" thickTop="1" thickBot="1">
      <c r="A280"/>
      <c r="B280" s="312">
        <v>24</v>
      </c>
      <c r="C280" s="314" t="s">
        <v>187</v>
      </c>
      <c r="D280" s="327">
        <f>IFERROR(VLOOKUP(C280,'تقرير إحصائية بحجم المبيعات'!$B$252:$G$285,2,FALSE),0)</f>
        <v>65514.050000000017</v>
      </c>
      <c r="E280" s="327">
        <f>IFERROR(VLOOKUP(C280,'تقرير إحصائية بحجم المبيعات'!$B$252:$G$285,3,FALSE),0)</f>
        <v>0</v>
      </c>
      <c r="F280" s="327">
        <f>IFERROR(VLOOKUP(C280,'تقرير إحصائية بحجم المبيعات'!$B$252:$G$285,4,FALSE),0)</f>
        <v>222991.02</v>
      </c>
      <c r="G280" s="319">
        <f t="shared" si="41"/>
        <v>288505.07</v>
      </c>
      <c r="H280" s="318">
        <f t="shared" si="40"/>
        <v>9306.6151612903232</v>
      </c>
      <c r="I280" s="327">
        <f>IFERROR(VLOOKUP(C280,'تقرير إحصائية بحجم المبيعات'!$B$252:$L$281,11,FALSE),0)</f>
        <v>231585.07</v>
      </c>
      <c r="J280" s="321">
        <f t="shared" si="39"/>
        <v>56920</v>
      </c>
      <c r="K280" s="322">
        <f>HLOOKUP(C280,'تقرير المصروفات حسب الشهر'!$D$889:$AI$1004,116,FALSE)</f>
        <v>12099.51</v>
      </c>
      <c r="L280" s="97"/>
      <c r="M280" s="324">
        <f>Egyplast!K18</f>
        <v>0</v>
      </c>
      <c r="N280" s="340">
        <f t="shared" si="38"/>
        <v>44820.49</v>
      </c>
    </row>
    <row r="281" spans="1:14" ht="16.8" thickTop="1" thickBot="1">
      <c r="A281"/>
      <c r="B281" s="312">
        <v>25</v>
      </c>
      <c r="C281" s="314" t="s">
        <v>233</v>
      </c>
      <c r="D281" s="327">
        <f>IFERROR(VLOOKUP(C281,'تقرير إحصائية بحجم المبيعات'!$B$252:$G$285,2,FALSE),0)</f>
        <v>49883.770000000019</v>
      </c>
      <c r="E281" s="327">
        <f>IFERROR(VLOOKUP(C281,'تقرير إحصائية بحجم المبيعات'!$B$252:$G$285,3,FALSE),0)</f>
        <v>0</v>
      </c>
      <c r="F281" s="327">
        <f>IFERROR(VLOOKUP(C281,'تقرير إحصائية بحجم المبيعات'!$B$252:$G$285,4,FALSE),0)</f>
        <v>635942.42000000004</v>
      </c>
      <c r="G281" s="319">
        <f t="shared" si="41"/>
        <v>685826.19000000006</v>
      </c>
      <c r="H281" s="318">
        <f t="shared" si="40"/>
        <v>22123.425483870971</v>
      </c>
      <c r="I281" s="327">
        <f>IFERROR(VLOOKUP(C281,'تقرير إحصائية بحجم المبيعات'!$B$252:$L$281,11,FALSE),0)</f>
        <v>580895.16</v>
      </c>
      <c r="J281" s="321">
        <f t="shared" si="39"/>
        <v>104931.03000000003</v>
      </c>
      <c r="K281" s="322">
        <f>HLOOKUP(C281,'تقرير المصروفات حسب الشهر'!$D$889:$AI$1004,116,FALSE)</f>
        <v>41234</v>
      </c>
      <c r="L281" s="97"/>
      <c r="M281" s="324">
        <f>Etisalat.Katamya!K18</f>
        <v>15504.4</v>
      </c>
      <c r="N281" s="340">
        <f t="shared" si="38"/>
        <v>79201.430000000022</v>
      </c>
    </row>
    <row r="282" spans="1:14" ht="16.8" thickTop="1" thickBot="1">
      <c r="A282"/>
      <c r="B282" s="312">
        <v>26</v>
      </c>
      <c r="C282" s="315" t="s">
        <v>240</v>
      </c>
      <c r="D282" s="327">
        <f>IFERROR(VLOOKUP(C282,'تقرير إحصائية بحجم المبيعات'!$B$252:$G$285,2,FALSE),0)</f>
        <v>114621.15999999992</v>
      </c>
      <c r="E282" s="327">
        <f>IFERROR(VLOOKUP(C282,'تقرير إحصائية بحجم المبيعات'!$B$252:$G$285,3,FALSE),0)</f>
        <v>0</v>
      </c>
      <c r="F282" s="327">
        <f>IFERROR(VLOOKUP(C282,'تقرير إحصائية بحجم المبيعات'!$B$252:$G$285,4,FALSE),0)</f>
        <v>723729.05</v>
      </c>
      <c r="G282" s="320">
        <f t="shared" si="41"/>
        <v>838350.21</v>
      </c>
      <c r="H282" s="318">
        <f t="shared" si="40"/>
        <v>27043.555161290322</v>
      </c>
      <c r="I282" s="327">
        <f>IFERROR(VLOOKUP(C282,'تقرير إحصائية بحجم المبيعات'!$B$252:$L$281,11,FALSE),0)</f>
        <v>714873.86</v>
      </c>
      <c r="J282" s="321">
        <f t="shared" si="39"/>
        <v>123476.34999999998</v>
      </c>
      <c r="K282" s="322">
        <f>HLOOKUP(C282,'تقرير المصروفات حسب الشهر'!$D$889:$AI$1004,116,FALSE)</f>
        <v>30976.68</v>
      </c>
      <c r="L282" s="99"/>
      <c r="M282" s="325">
        <f>CFC!K18</f>
        <v>18918.75</v>
      </c>
      <c r="N282" s="340">
        <f t="shared" si="38"/>
        <v>111418.41999999998</v>
      </c>
    </row>
    <row r="283" spans="1:14" ht="16.8" thickTop="1" thickBot="1">
      <c r="A283"/>
      <c r="B283" s="312">
        <v>27</v>
      </c>
      <c r="C283" s="316" t="s">
        <v>245</v>
      </c>
      <c r="D283" s="327">
        <f>IFERROR(VLOOKUP(C283,'تقرير إحصائية بحجم المبيعات'!$B$252:$G$285,2,FALSE),0)</f>
        <v>0</v>
      </c>
      <c r="E283" s="327">
        <f>IFERROR(VLOOKUP(C283,'تقرير إحصائية بحجم المبيعات'!$B$252:$G$285,3,FALSE),0)</f>
        <v>0</v>
      </c>
      <c r="F283" s="327">
        <f>IFERROR(VLOOKUP(C283,'تقرير إحصائية بحجم المبيعات'!$B$252:$G$285,4,FALSE),0)</f>
        <v>0</v>
      </c>
      <c r="G283" s="320">
        <f t="shared" si="41"/>
        <v>0</v>
      </c>
      <c r="H283" s="318">
        <f t="shared" si="40"/>
        <v>0</v>
      </c>
      <c r="I283" s="327">
        <f>IFERROR(VLOOKUP(C283,'تقرير إحصائية بحجم المبيعات'!$B$252:$L$281,11,FALSE),0)</f>
        <v>0</v>
      </c>
      <c r="J283" s="321">
        <f t="shared" si="39"/>
        <v>0</v>
      </c>
      <c r="K283" s="322">
        <f>HLOOKUP(C283,'تقرير المصروفات حسب الشهر'!$D$889:$AI$1004,116,FALSE)</f>
        <v>0</v>
      </c>
      <c r="L283" s="99"/>
      <c r="M283" s="325">
        <f>North.Coast!K18</f>
        <v>0</v>
      </c>
      <c r="N283" s="340">
        <f t="shared" si="38"/>
        <v>0</v>
      </c>
    </row>
    <row r="284" spans="1:14" ht="16.8" thickTop="1" thickBot="1">
      <c r="A284"/>
      <c r="B284" s="495">
        <v>28</v>
      </c>
      <c r="C284" s="316" t="s">
        <v>357</v>
      </c>
      <c r="D284" s="327">
        <f>IFERROR(VLOOKUP(C284,'تقرير إحصائية بحجم المبيعات'!$B$252:$G$285,2,FALSE),0)</f>
        <v>2823780.13</v>
      </c>
      <c r="E284" s="327">
        <f>IFERROR(VLOOKUP(C284,'تقرير إحصائية بحجم المبيعات'!$B$252:$G$285,3,FALSE),0)</f>
        <v>99400.35</v>
      </c>
      <c r="F284" s="327">
        <f>IFERROR(VLOOKUP(C284,'تقرير إحصائية بحجم المبيعات'!$B$252:$G$285,4,FALSE),0)</f>
        <v>117808.21</v>
      </c>
      <c r="G284" s="320">
        <f>+D284+E284+F284</f>
        <v>3040988.69</v>
      </c>
      <c r="H284" s="318">
        <f>+G284/31</f>
        <v>98096.409354838703</v>
      </c>
      <c r="I284" s="327">
        <f>IFERROR(VLOOKUP(C284,'تقرير إحصائية بحجم المبيعات'!$B$252:$L$281,11,FALSE),0)</f>
        <v>2288601.2400000002</v>
      </c>
      <c r="J284" s="321">
        <f>+G284-I284</f>
        <v>752387.44999999972</v>
      </c>
      <c r="K284" s="322">
        <f>HLOOKUP(C284,'تقرير المصروفات حسب الشهر'!$D$889:$AI$1004,116,FALSE)</f>
        <v>747768.19000000006</v>
      </c>
      <c r="L284" s="99"/>
      <c r="M284" s="325">
        <f>Rehab!K18</f>
        <v>1891.48</v>
      </c>
      <c r="N284" s="340">
        <f>J284-K284-L284+M284</f>
        <v>6510.7399999996596</v>
      </c>
    </row>
    <row r="285" spans="1:14" ht="16.8" thickTop="1" thickBot="1">
      <c r="A285"/>
      <c r="B285" s="495">
        <v>29</v>
      </c>
      <c r="C285" s="316" t="s">
        <v>362</v>
      </c>
      <c r="D285" s="327">
        <f>IFERROR(VLOOKUP(C285,'تقرير إحصائية بحجم المبيعات'!$B$252:$G$285,2,FALSE),0)</f>
        <v>94078.219999999972</v>
      </c>
      <c r="E285" s="327">
        <f>IFERROR(VLOOKUP(C285,'تقرير إحصائية بحجم المبيعات'!$B$252:$G$285,3,FALSE),0)</f>
        <v>0</v>
      </c>
      <c r="F285" s="327">
        <f>IFERROR(VLOOKUP(C285,'تقرير إحصائية بحجم المبيعات'!$B$252:$G$285,4,FALSE),0)</f>
        <v>525713.66</v>
      </c>
      <c r="G285" s="320">
        <f>+D285+E285+F285</f>
        <v>619791.88</v>
      </c>
      <c r="H285" s="318">
        <f>+G285/31</f>
        <v>19993.286451612905</v>
      </c>
      <c r="I285" s="327">
        <f>IFERROR(VLOOKUP(C285,'تقرير إحصائية بحجم المبيعات'!$B$252:$L$281,11,FALSE),0)</f>
        <v>503069.35</v>
      </c>
      <c r="J285" s="321">
        <f>+G285-I285</f>
        <v>116722.53000000003</v>
      </c>
      <c r="K285" s="322">
        <f>HLOOKUP(C285,'تقرير المصروفات حسب الشهر'!$D$889:$AI$1004,116,FALSE)</f>
        <v>10820.94</v>
      </c>
      <c r="L285" s="99"/>
      <c r="M285" s="325">
        <f>'HSBC MAADI'!K18</f>
        <v>3526.3500000000054</v>
      </c>
      <c r="N285" s="340">
        <f>J285-K285-L285+M285</f>
        <v>109427.94000000003</v>
      </c>
    </row>
    <row r="286" spans="1:14" ht="16.8" thickTop="1" thickBot="1">
      <c r="A286"/>
      <c r="B286" s="495">
        <v>30</v>
      </c>
      <c r="C286" s="316" t="s">
        <v>361</v>
      </c>
      <c r="D286" s="327">
        <f>IFERROR(VLOOKUP(C286,'تقرير إحصائية بحجم المبيعات'!$B$252:$G$285,2,FALSE),0)</f>
        <v>98646.789999999921</v>
      </c>
      <c r="E286" s="327">
        <f>IFERROR(VLOOKUP(C286,'تقرير إحصائية بحجم المبيعات'!$B$252:$G$285,3,FALSE),0)</f>
        <v>0</v>
      </c>
      <c r="F286" s="327">
        <f>IFERROR(VLOOKUP(C286,'تقرير إحصائية بحجم المبيعات'!$B$252:$G$285,4,FALSE),0)</f>
        <v>579208.87</v>
      </c>
      <c r="G286" s="320">
        <f>+D286+E286+F286</f>
        <v>677855.65999999992</v>
      </c>
      <c r="H286" s="318">
        <f>+G286/31</f>
        <v>21866.311612903224</v>
      </c>
      <c r="I286" s="327">
        <f>IFERROR(VLOOKUP(C286,'تقرير إحصائية بحجم المبيعات'!$B$252:$L$281,11,FALSE),0)</f>
        <v>580392.86</v>
      </c>
      <c r="J286" s="321">
        <f>+G286-I286</f>
        <v>97462.79999999993</v>
      </c>
      <c r="K286" s="322">
        <f>HLOOKUP(C286,'تقرير المصروفات حسب الشهر'!$D$889:$AI$1004,116,FALSE)</f>
        <v>42489.39</v>
      </c>
      <c r="L286" s="99"/>
      <c r="M286" s="325">
        <f>'HSBC SMART'!K18</f>
        <v>526.01</v>
      </c>
      <c r="N286" s="340">
        <f>J286-K286-L286+M286</f>
        <v>55499.419999999933</v>
      </c>
    </row>
    <row r="287" spans="1:14" ht="16.8" thickTop="1" thickBot="1">
      <c r="A287"/>
      <c r="B287" s="495">
        <v>31</v>
      </c>
      <c r="C287" s="316" t="s">
        <v>234</v>
      </c>
      <c r="D287" s="327">
        <f>IFERROR(VLOOKUP(C287,'تقرير إحصائية بحجم المبيعات'!$B$252:$G$285,2,FALSE),0)</f>
        <v>0</v>
      </c>
      <c r="E287" s="327">
        <f>IFERROR(VLOOKUP(C287,'تقرير إحصائية بحجم المبيعات'!$B$252:$G$285,3,FALSE),0)</f>
        <v>0</v>
      </c>
      <c r="F287" s="327">
        <f>IFERROR(VLOOKUP(C287,'تقرير إحصائية بحجم المبيعات'!$B$252:$G$285,4,FALSE),0)</f>
        <v>0</v>
      </c>
      <c r="G287" s="320">
        <f>+D287+E287+F287</f>
        <v>0</v>
      </c>
      <c r="H287" s="318">
        <f>+G287/31</f>
        <v>0</v>
      </c>
      <c r="I287" s="327">
        <f>IFERROR(VLOOKUP(C287,'تقرير إحصائية بحجم المبيعات'!$B$252:$L$281,11,FALSE),0)</f>
        <v>0</v>
      </c>
      <c r="J287" s="321">
        <f>+G287-I287</f>
        <v>0</v>
      </c>
      <c r="K287" s="322">
        <f>HLOOKUP(C287,'تقرير المصروفات حسب الشهر'!$D$889:$AI$1004,116,FALSE)</f>
        <v>0</v>
      </c>
      <c r="L287" s="99"/>
      <c r="M287" s="325">
        <f>North.Coast!K18</f>
        <v>0</v>
      </c>
      <c r="N287" s="340">
        <f>J287-K287-L287+M287</f>
        <v>0</v>
      </c>
    </row>
    <row r="288" spans="1:14" ht="16.95" customHeight="1" thickTop="1" thickBot="1">
      <c r="A288"/>
      <c r="B288" s="652" t="s">
        <v>18</v>
      </c>
      <c r="C288" s="653"/>
      <c r="D288" s="305">
        <f>SUM(D257:D287)</f>
        <v>32502492.639999993</v>
      </c>
      <c r="E288" s="305">
        <f t="shared" ref="E288:M288" si="42">SUM(E257:E287)</f>
        <v>3875147.1599999997</v>
      </c>
      <c r="F288" s="305">
        <f t="shared" si="42"/>
        <v>19875868.880000003</v>
      </c>
      <c r="G288" s="305">
        <f t="shared" si="42"/>
        <v>56253508.68</v>
      </c>
      <c r="H288" s="305">
        <f t="shared" si="42"/>
        <v>1814629.3122580643</v>
      </c>
      <c r="I288" s="305">
        <f t="shared" si="42"/>
        <v>45438716.289999999</v>
      </c>
      <c r="J288" s="305">
        <f t="shared" si="42"/>
        <v>10814792.389999997</v>
      </c>
      <c r="K288" s="305">
        <f t="shared" si="42"/>
        <v>10307078.919999998</v>
      </c>
      <c r="L288" s="305">
        <f t="shared" si="42"/>
        <v>0</v>
      </c>
      <c r="M288" s="305">
        <f t="shared" si="42"/>
        <v>947444.0700000003</v>
      </c>
      <c r="N288" s="305">
        <f>SUM(N257:N287)</f>
        <v>1455157.5399999984</v>
      </c>
    </row>
    <row r="289" spans="1:14" ht="13.8" thickTop="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 s="457">
        <f>1199837.4-N288</f>
        <v>-255320.1399999985</v>
      </c>
    </row>
    <row r="290" spans="1:14" ht="13.8" thickBot="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ht="30.6" thickBot="1">
      <c r="A291"/>
      <c r="B291" s="649" t="s">
        <v>382</v>
      </c>
      <c r="C291" s="650"/>
      <c r="D291" s="650"/>
      <c r="E291" s="650"/>
      <c r="F291" s="650"/>
      <c r="G291" s="650"/>
      <c r="H291" s="650"/>
      <c r="I291" s="650"/>
      <c r="J291" s="650"/>
      <c r="K291" s="650"/>
      <c r="L291" s="650"/>
      <c r="M291" s="650"/>
      <c r="N291" s="651"/>
    </row>
    <row r="292" spans="1:14" ht="16.8" thickTop="1" thickBot="1">
      <c r="A292"/>
      <c r="B292" s="308" t="s">
        <v>39</v>
      </c>
      <c r="C292" s="308" t="s">
        <v>34</v>
      </c>
      <c r="D292" s="309" t="s">
        <v>20</v>
      </c>
      <c r="E292" s="310" t="s">
        <v>21</v>
      </c>
      <c r="F292" s="310" t="s">
        <v>22</v>
      </c>
      <c r="G292" s="308" t="s">
        <v>19</v>
      </c>
      <c r="H292" s="308" t="s">
        <v>12</v>
      </c>
      <c r="I292" s="308" t="s">
        <v>13</v>
      </c>
      <c r="J292" s="308" t="s">
        <v>14</v>
      </c>
      <c r="K292" s="308" t="s">
        <v>15</v>
      </c>
      <c r="L292" s="308" t="s">
        <v>32</v>
      </c>
      <c r="M292" s="311" t="s">
        <v>16</v>
      </c>
      <c r="N292" s="306" t="s">
        <v>17</v>
      </c>
    </row>
    <row r="293" spans="1:14" ht="16.8" thickTop="1" thickBot="1">
      <c r="A293"/>
      <c r="B293" s="312">
        <v>1</v>
      </c>
      <c r="C293" s="313" t="s">
        <v>184</v>
      </c>
      <c r="D293" s="327">
        <f>IFERROR(VLOOKUP(C293,'تقرير إحصائية بحجم المبيعات'!$B$287:$L$313,2,FALSE),0)</f>
        <v>0</v>
      </c>
      <c r="E293" s="327">
        <f>IFERROR(VLOOKUP(C293,'تقرير إحصائية بحجم المبيعات'!$B$287:$L$313,3,FALSE),0)</f>
        <v>0</v>
      </c>
      <c r="F293" s="327">
        <f>IFERROR(VLOOKUP(C293,'تقرير إحصائية بحجم المبيعات'!$B$287:$L$313,4,FALSE),0)</f>
        <v>0</v>
      </c>
      <c r="G293" s="317">
        <f>+D293+E293+F293</f>
        <v>0</v>
      </c>
      <c r="H293" s="318">
        <f>+G293/31</f>
        <v>0</v>
      </c>
      <c r="I293" s="327">
        <f>IFERROR(VLOOKUP(C293,'تقرير إحصائية بحجم المبيعات'!$B$287:$L$313,11,FALSE),0)</f>
        <v>0</v>
      </c>
      <c r="J293" s="321">
        <f>+G293-I293</f>
        <v>0</v>
      </c>
      <c r="K293" s="322">
        <f>HLOOKUP(C293,'تقرير المصروفات حسب الشهر'!$D$1016:$AI$1131,116,FALSE)</f>
        <v>2559477.5400000019</v>
      </c>
      <c r="L293" s="96"/>
      <c r="M293" s="323">
        <f>HQ!L18</f>
        <v>1246992.52</v>
      </c>
      <c r="N293" s="340">
        <f>J293-K293-L293+M293</f>
        <v>-1312485.0200000019</v>
      </c>
    </row>
    <row r="294" spans="1:14" ht="16.8" thickTop="1" thickBot="1">
      <c r="A294"/>
      <c r="B294" s="312">
        <v>2</v>
      </c>
      <c r="C294" s="314" t="s">
        <v>36</v>
      </c>
      <c r="D294" s="327">
        <f>IFERROR(VLOOKUP(C294,'تقرير إحصائية بحجم المبيعات'!$B$287:$L$313,2,FALSE),0)</f>
        <v>4505534.6099999994</v>
      </c>
      <c r="E294" s="327">
        <f>IFERROR(VLOOKUP(C294,'تقرير إحصائية بحجم المبيعات'!$B$287:$L$313,3,FALSE),0)</f>
        <v>651093.14</v>
      </c>
      <c r="F294" s="327">
        <f>IFERROR(VLOOKUP(C294,'تقرير إحصائية بحجم المبيعات'!$B$287:$L$313,4,FALSE),0)</f>
        <v>1817721.61</v>
      </c>
      <c r="G294" s="319">
        <f>+D294+E294+F294</f>
        <v>6974349.3599999994</v>
      </c>
      <c r="H294" s="318">
        <f>+G294/31</f>
        <v>224979.01161290321</v>
      </c>
      <c r="I294" s="327">
        <f>IFERROR(VLOOKUP(C294,'تقرير إحصائية بحجم المبيعات'!$B$287:$L$313,11,FALSE),0)</f>
        <v>5611199.7800000003</v>
      </c>
      <c r="J294" s="321">
        <f>+G294-I294</f>
        <v>1363149.5799999991</v>
      </c>
      <c r="K294" s="322">
        <f>HLOOKUP(C294,'تقرير المصروفات حسب الشهر'!$D$1016:$AI$1131,116,FALSE)</f>
        <v>1174300.3</v>
      </c>
      <c r="L294" s="97"/>
      <c r="M294" s="324">
        <f>Aguza!L18</f>
        <v>14000.759999999995</v>
      </c>
      <c r="N294" s="340">
        <f t="shared" ref="N294:N319" si="43">J294-K294-L294+M294</f>
        <v>202850.03999999911</v>
      </c>
    </row>
    <row r="295" spans="1:14" ht="16.8" thickTop="1" thickBot="1">
      <c r="A295"/>
      <c r="B295" s="312">
        <v>3</v>
      </c>
      <c r="C295" s="314" t="s">
        <v>9</v>
      </c>
      <c r="D295" s="327">
        <f>IFERROR(VLOOKUP(C295,'تقرير إحصائية بحجم المبيعات'!$B$287:$L$313,2,FALSE),0)</f>
        <v>3066311.4999999995</v>
      </c>
      <c r="E295" s="327">
        <f>IFERROR(VLOOKUP(C295,'تقرير إحصائية بحجم المبيعات'!$B$287:$L$313,3,FALSE),0)</f>
        <v>1553561.46</v>
      </c>
      <c r="F295" s="327">
        <f>IFERROR(VLOOKUP(C295,'تقرير إحصائية بحجم المبيعات'!$B$287:$L$313,4,FALSE),0)</f>
        <v>464927.19</v>
      </c>
      <c r="G295" s="319">
        <f>+D295+E295+F295</f>
        <v>5084800.1499999994</v>
      </c>
      <c r="H295" s="318">
        <f>+G295/31</f>
        <v>164025.81129032257</v>
      </c>
      <c r="I295" s="327">
        <f>IFERROR(VLOOKUP(C295,'تقرير إحصائية بحجم المبيعات'!$B$287:$L$313,11,FALSE),0)</f>
        <v>4034129.21</v>
      </c>
      <c r="J295" s="321">
        <f t="shared" ref="J295:J319" si="44">+G295-I295</f>
        <v>1050670.9399999995</v>
      </c>
      <c r="K295" s="322">
        <f>HLOOKUP(C295,'تقرير المصروفات حسب الشهر'!$D$1016:$AI$1131,116,FALSE)</f>
        <v>890330.53</v>
      </c>
      <c r="L295" s="97"/>
      <c r="M295" s="324">
        <f>October!L18</f>
        <v>472.19000000000005</v>
      </c>
      <c r="N295" s="340">
        <f t="shared" si="43"/>
        <v>160812.59999999945</v>
      </c>
    </row>
    <row r="296" spans="1:14" ht="16.8" thickTop="1" thickBot="1">
      <c r="A296"/>
      <c r="B296" s="312">
        <v>4</v>
      </c>
      <c r="C296" s="314" t="s">
        <v>25</v>
      </c>
      <c r="D296" s="327">
        <f>IFERROR(VLOOKUP(C296,'تقرير إحصائية بحجم المبيعات'!$B$287:$L$313,2,FALSE),0)</f>
        <v>4800.59</v>
      </c>
      <c r="E296" s="327">
        <f>IFERROR(VLOOKUP(C296,'تقرير إحصائية بحجم المبيعات'!$B$287:$L$313,3,FALSE),0)</f>
        <v>0</v>
      </c>
      <c r="F296" s="327">
        <f>IFERROR(VLOOKUP(C296,'تقرير إحصائية بحجم المبيعات'!$B$287:$L$313,4,FALSE),0)</f>
        <v>4394.3599999999997</v>
      </c>
      <c r="G296" s="319">
        <f>+D296+E296+F296</f>
        <v>9194.9500000000007</v>
      </c>
      <c r="H296" s="318">
        <f t="shared" ref="H296:H319" si="45">+G296/31</f>
        <v>296.61129032258066</v>
      </c>
      <c r="I296" s="327">
        <f>IFERROR(VLOOKUP(C296,'تقرير إحصائية بحجم المبيعات'!$B$287:$L$313,11,FALSE),0)</f>
        <v>8201.6200000000008</v>
      </c>
      <c r="J296" s="321">
        <f t="shared" si="44"/>
        <v>993.32999999999993</v>
      </c>
      <c r="K296" s="322">
        <f>HLOOKUP(C296,'تقرير المصروفات حسب الشهر'!$D$1016:$AI$1131,116,FALSE)</f>
        <v>398539.79000000004</v>
      </c>
      <c r="L296" s="97"/>
      <c r="M296" s="324">
        <f>Batal!L18</f>
        <v>1055.92</v>
      </c>
      <c r="N296" s="340">
        <f t="shared" si="43"/>
        <v>-396490.54000000004</v>
      </c>
    </row>
    <row r="297" spans="1:14" ht="16.8" thickTop="1" thickBot="1">
      <c r="A297"/>
      <c r="B297" s="312">
        <v>5</v>
      </c>
      <c r="C297" s="314" t="s">
        <v>160</v>
      </c>
      <c r="D297" s="327">
        <f>IFERROR(VLOOKUP(C297,'تقرير إحصائية بحجم المبيعات'!$B$287:$L$313,2,FALSE),0)</f>
        <v>5083204.6199999992</v>
      </c>
      <c r="E297" s="327">
        <f>IFERROR(VLOOKUP(C297,'تقرير إحصائية بحجم المبيعات'!$B$287:$L$313,3,FALSE),0)</f>
        <v>33383.629999999997</v>
      </c>
      <c r="F297" s="327">
        <f>IFERROR(VLOOKUP(C297,'تقرير إحصائية بحجم المبيعات'!$B$287:$L$313,4,FALSE),0)</f>
        <v>2542432.4900000002</v>
      </c>
      <c r="G297" s="319">
        <f t="shared" ref="G297:G319" si="46">+D297+E297+F297</f>
        <v>7659020.7399999993</v>
      </c>
      <c r="H297" s="318">
        <f t="shared" si="45"/>
        <v>247065.18516129031</v>
      </c>
      <c r="I297" s="327">
        <f>IFERROR(VLOOKUP(C297,'تقرير إحصائية بحجم المبيعات'!$B$287:$L$313,11,FALSE),0)</f>
        <v>6242404.25</v>
      </c>
      <c r="J297" s="321">
        <f t="shared" si="44"/>
        <v>1416616.4899999993</v>
      </c>
      <c r="K297" s="322">
        <f>HLOOKUP(C297,'تقرير المصروفات حسب الشهر'!$D$1016:$AI$1131,116,FALSE)</f>
        <v>1331460.42</v>
      </c>
      <c r="L297" s="97"/>
      <c r="M297" s="324">
        <f>'Nasr City'!L18</f>
        <v>0</v>
      </c>
      <c r="N297" s="340">
        <f t="shared" si="43"/>
        <v>85156.069999999367</v>
      </c>
    </row>
    <row r="298" spans="1:14" ht="17.25" customHeight="1" thickTop="1" thickBot="1">
      <c r="A298"/>
      <c r="B298" s="312">
        <v>6</v>
      </c>
      <c r="C298" s="314" t="s">
        <v>139</v>
      </c>
      <c r="D298" s="327">
        <f>IFERROR(VLOOKUP(C298,'تقرير إحصائية بحجم المبيعات'!$B$287:$L$313,2,FALSE),0)</f>
        <v>11360.969999999888</v>
      </c>
      <c r="E298" s="327">
        <f>IFERROR(VLOOKUP(C298,'تقرير إحصائية بحجم المبيعات'!$B$287:$L$313,3,FALSE),0)</f>
        <v>0</v>
      </c>
      <c r="F298" s="327">
        <f>IFERROR(VLOOKUP(C298,'تقرير إحصائية بحجم المبيعات'!$B$287:$L$313,4,FALSE),0)</f>
        <v>1879123.54</v>
      </c>
      <c r="G298" s="319">
        <f t="shared" si="46"/>
        <v>1890484.51</v>
      </c>
      <c r="H298" s="318">
        <f t="shared" si="45"/>
        <v>60983.371290322582</v>
      </c>
      <c r="I298" s="327">
        <f>IFERROR(VLOOKUP(C298,'تقرير إحصائية بحجم المبيعات'!$B$287:$L$313,11,FALSE),0)</f>
        <v>1645964.36</v>
      </c>
      <c r="J298" s="321">
        <f t="shared" si="44"/>
        <v>244520.14999999991</v>
      </c>
      <c r="K298" s="322">
        <f>HLOOKUP(C298,'تقرير المصروفات حسب الشهر'!$D$1016:$AI$1131,116,FALSE)</f>
        <v>65328.929999999993</v>
      </c>
      <c r="L298" s="97"/>
      <c r="M298" s="324">
        <f>Sweedy!L18</f>
        <v>224186.09999999992</v>
      </c>
      <c r="N298" s="340">
        <f t="shared" si="43"/>
        <v>403377.31999999983</v>
      </c>
    </row>
    <row r="299" spans="1:14" ht="16.8" thickTop="1" thickBot="1">
      <c r="A299"/>
      <c r="B299" s="312">
        <v>7</v>
      </c>
      <c r="C299" s="314" t="s">
        <v>37</v>
      </c>
      <c r="D299" s="327">
        <f>IFERROR(VLOOKUP(C299,'تقرير إحصائية بحجم المبيعات'!$B$287:$L$313,2,FALSE),0)</f>
        <v>40273.440000000061</v>
      </c>
      <c r="E299" s="327">
        <f>IFERROR(VLOOKUP(C299,'تقرير إحصائية بحجم المبيعات'!$B$287:$L$313,3,FALSE),0)</f>
        <v>0</v>
      </c>
      <c r="F299" s="327">
        <f>IFERROR(VLOOKUP(C299,'تقرير إحصائية بحجم المبيعات'!$B$287:$L$313,4,FALSE),0)</f>
        <v>474390.66</v>
      </c>
      <c r="G299" s="319">
        <f t="shared" si="46"/>
        <v>514664.10000000003</v>
      </c>
      <c r="H299" s="318">
        <f t="shared" si="45"/>
        <v>16602.067741935483</v>
      </c>
      <c r="I299" s="327">
        <f>IFERROR(VLOOKUP(C299,'تقرير إحصائية بحجم المبيعات'!$B$287:$L$313,11,FALSE),0)</f>
        <v>446632.38</v>
      </c>
      <c r="J299" s="321">
        <f t="shared" si="44"/>
        <v>68031.72000000003</v>
      </c>
      <c r="K299" s="322">
        <f>HLOOKUP(C299,'تقرير المصروفات حسب الشهر'!$D$1016:$AI$1131,116,FALSE)</f>
        <v>27456.62</v>
      </c>
      <c r="L299" s="97"/>
      <c r="M299" s="324">
        <f>NTRA!L18</f>
        <v>0</v>
      </c>
      <c r="N299" s="340">
        <f t="shared" si="43"/>
        <v>40575.100000000035</v>
      </c>
    </row>
    <row r="300" spans="1:14" ht="16.8" thickTop="1" thickBot="1">
      <c r="A300"/>
      <c r="B300" s="312">
        <v>8</v>
      </c>
      <c r="C300" s="314" t="s">
        <v>133</v>
      </c>
      <c r="D300" s="327">
        <f>IFERROR(VLOOKUP(C300,'تقرير إحصائية بحجم المبيعات'!$B$287:$L$313,2,FALSE),0)</f>
        <v>24242.339999999997</v>
      </c>
      <c r="E300" s="327">
        <f>IFERROR(VLOOKUP(C300,'تقرير إحصائية بحجم المبيعات'!$B$287:$L$313,3,FALSE),0)</f>
        <v>0</v>
      </c>
      <c r="F300" s="327">
        <f>IFERROR(VLOOKUP(C300,'تقرير إحصائية بحجم المبيعات'!$B$287:$L$313,4,FALSE),0)</f>
        <v>249686.23</v>
      </c>
      <c r="G300" s="319">
        <f t="shared" si="46"/>
        <v>273928.57</v>
      </c>
      <c r="H300" s="318">
        <f t="shared" si="45"/>
        <v>8836.4054838709671</v>
      </c>
      <c r="I300" s="327">
        <f>IFERROR(VLOOKUP(C300,'تقرير إحصائية بحجم المبيعات'!$B$287:$L$313,11,FALSE),0)</f>
        <v>235171.11</v>
      </c>
      <c r="J300" s="321">
        <f t="shared" si="44"/>
        <v>38757.460000000021</v>
      </c>
      <c r="K300" s="322">
        <f>HLOOKUP(C300,'تقرير المصروفات حسب الشهر'!$D$1016:$AI$1131,116,FALSE)</f>
        <v>19485.009999999995</v>
      </c>
      <c r="L300" s="97"/>
      <c r="M300" s="324">
        <f>Etisalat!L18</f>
        <v>0</v>
      </c>
      <c r="N300" s="340">
        <f t="shared" si="43"/>
        <v>19272.450000000026</v>
      </c>
    </row>
    <row r="301" spans="1:14" ht="16.8" thickTop="1" thickBot="1">
      <c r="A301"/>
      <c r="B301" s="312">
        <v>9</v>
      </c>
      <c r="C301" s="314" t="s">
        <v>123</v>
      </c>
      <c r="D301" s="327">
        <f>IFERROR(VLOOKUP(C301,'تقرير إحصائية بحجم المبيعات'!$B$287:$L$313,2,FALSE),0)</f>
        <v>10042.52999999997</v>
      </c>
      <c r="E301" s="327">
        <f>IFERROR(VLOOKUP(C301,'تقرير إحصائية بحجم المبيعات'!$B$287:$L$313,3,FALSE),0)</f>
        <v>0</v>
      </c>
      <c r="F301" s="327">
        <f>IFERROR(VLOOKUP(C301,'تقرير إحصائية بحجم المبيعات'!$B$287:$L$313,4,FALSE),0)</f>
        <v>357044.83</v>
      </c>
      <c r="G301" s="319">
        <f t="shared" si="46"/>
        <v>367087.35999999999</v>
      </c>
      <c r="H301" s="318">
        <f t="shared" si="45"/>
        <v>11841.527741935484</v>
      </c>
      <c r="I301" s="327">
        <f>IFERROR(VLOOKUP(C301,'تقرير إحصائية بحجم المبيعات'!$B$287:$L$313,11,FALSE),0)</f>
        <v>318613.48</v>
      </c>
      <c r="J301" s="321">
        <f t="shared" si="44"/>
        <v>48473.880000000005</v>
      </c>
      <c r="K301" s="322">
        <f>HLOOKUP(C301,'تقرير المصروفات حسب الشهر'!$D$1016:$AI$1131,116,FALSE)</f>
        <v>23625.530000000002</v>
      </c>
      <c r="L301" s="97"/>
      <c r="M301" s="324">
        <f>'Hazzem Hassan'!L18</f>
        <v>4332.08</v>
      </c>
      <c r="N301" s="340">
        <f t="shared" si="43"/>
        <v>29180.43</v>
      </c>
    </row>
    <row r="302" spans="1:14" ht="16.95" customHeight="1" thickTop="1" thickBot="1">
      <c r="A302"/>
      <c r="B302" s="312">
        <v>10</v>
      </c>
      <c r="C302" s="314" t="s">
        <v>145</v>
      </c>
      <c r="D302" s="327">
        <f>IFERROR(VLOOKUP(C302,'تقرير إحصائية بحجم المبيعات'!$B$287:$L$313,2,FALSE),0)</f>
        <v>837872.22999999975</v>
      </c>
      <c r="E302" s="327">
        <f>IFERROR(VLOOKUP(C302,'تقرير إحصائية بحجم المبيعات'!$B$287:$L$313,3,FALSE),0)</f>
        <v>2993.98</v>
      </c>
      <c r="F302" s="327">
        <f>IFERROR(VLOOKUP(C302,'تقرير إحصائية بحجم المبيعات'!$B$287:$L$313,4,FALSE),0)</f>
        <v>1540402.36</v>
      </c>
      <c r="G302" s="319">
        <f t="shared" si="46"/>
        <v>2381268.5699999998</v>
      </c>
      <c r="H302" s="318">
        <f t="shared" si="45"/>
        <v>76815.11516129032</v>
      </c>
      <c r="I302" s="327">
        <f>IFERROR(VLOOKUP(C302,'تقرير إحصائية بحجم المبيعات'!$B$287:$L$313,11,FALSE),0)</f>
        <v>1952987.41</v>
      </c>
      <c r="J302" s="321">
        <f t="shared" si="44"/>
        <v>428281.15999999992</v>
      </c>
      <c r="K302" s="322">
        <f>HLOOKUP(C302,'تقرير المصروفات حسب الشهر'!$D$1016:$AI$1131,116,FALSE)</f>
        <v>400727.66999999993</v>
      </c>
      <c r="L302" s="97"/>
      <c r="M302" s="324">
        <f>Sena3ia!L18</f>
        <v>0</v>
      </c>
      <c r="N302" s="340">
        <f t="shared" si="43"/>
        <v>27553.489999999991</v>
      </c>
    </row>
    <row r="303" spans="1:14" ht="16.8" thickTop="1" thickBot="1">
      <c r="A303"/>
      <c r="B303" s="312">
        <v>11</v>
      </c>
      <c r="C303" s="314" t="s">
        <v>124</v>
      </c>
      <c r="D303" s="327">
        <f>IFERROR(VLOOKUP(C303,'تقرير إحصائية بحجم المبيعات'!$B$287:$L$313,2,FALSE),0)</f>
        <v>234836.15000000002</v>
      </c>
      <c r="E303" s="327">
        <f>IFERROR(VLOOKUP(C303,'تقرير إحصائية بحجم المبيعات'!$B$287:$L$313,3,FALSE),0)</f>
        <v>0</v>
      </c>
      <c r="F303" s="327">
        <f>IFERROR(VLOOKUP(C303,'تقرير إحصائية بحجم المبيعات'!$B$287:$L$313,4,FALSE),0)</f>
        <v>473558.98</v>
      </c>
      <c r="G303" s="319">
        <f t="shared" si="46"/>
        <v>708395.13</v>
      </c>
      <c r="H303" s="318">
        <f t="shared" si="45"/>
        <v>22851.455806451613</v>
      </c>
      <c r="I303" s="327">
        <f>IFERROR(VLOOKUP(C303,'تقرير إحصائية بحجم المبيعات'!$B$287:$L$313,11,FALSE),0)</f>
        <v>596737.78</v>
      </c>
      <c r="J303" s="321">
        <f t="shared" si="44"/>
        <v>111657.34999999998</v>
      </c>
      <c r="K303" s="322">
        <f>HLOOKUP(C303,'تقرير المصروفات حسب الشهر'!$D$1016:$AI$1131,116,FALSE)</f>
        <v>55386.099999999991</v>
      </c>
      <c r="L303" s="97"/>
      <c r="M303" s="324">
        <f>Khargia!L18</f>
        <v>0</v>
      </c>
      <c r="N303" s="340">
        <f t="shared" si="43"/>
        <v>56271.249999999985</v>
      </c>
    </row>
    <row r="304" spans="1:14" ht="16.8" thickTop="1" thickBot="1">
      <c r="A304"/>
      <c r="B304" s="312">
        <v>12</v>
      </c>
      <c r="C304" s="314" t="s">
        <v>169</v>
      </c>
      <c r="D304" s="327">
        <f>IFERROR(VLOOKUP(C304,'تقرير إحصائية بحجم المبيعات'!$B$287:$L$313,2,FALSE),0)</f>
        <v>2386060.2400000002</v>
      </c>
      <c r="E304" s="327">
        <f>IFERROR(VLOOKUP(C304,'تقرير إحصائية بحجم المبيعات'!$B$287:$L$313,3,FALSE),0)</f>
        <v>4723.03</v>
      </c>
      <c r="F304" s="327">
        <f>IFERROR(VLOOKUP(C304,'تقرير إحصائية بحجم المبيعات'!$B$287:$L$313,4,FALSE),0)</f>
        <v>1152277.08</v>
      </c>
      <c r="G304" s="319">
        <f t="shared" si="46"/>
        <v>3543060.35</v>
      </c>
      <c r="H304" s="318">
        <f t="shared" si="45"/>
        <v>114292.26935483872</v>
      </c>
      <c r="I304" s="327">
        <f>IFERROR(VLOOKUP(C304,'تقرير إحصائية بحجم المبيعات'!$B$287:$L$313,11,FALSE),0)</f>
        <v>2857247.25</v>
      </c>
      <c r="J304" s="321">
        <f t="shared" si="44"/>
        <v>685813.10000000009</v>
      </c>
      <c r="K304" s="322">
        <f>HLOOKUP(C304,'تقرير المصروفات حسب الشهر'!$D$1016:$AI$1131,116,FALSE)</f>
        <v>743319.61999999988</v>
      </c>
      <c r="L304" s="97"/>
      <c r="M304" s="324">
        <f>Tagmou3!L18</f>
        <v>0</v>
      </c>
      <c r="N304" s="340">
        <f t="shared" si="43"/>
        <v>-57506.519999999786</v>
      </c>
    </row>
    <row r="305" spans="1:14" ht="16.8" thickTop="1" thickBot="1">
      <c r="A305"/>
      <c r="B305" s="312">
        <v>13</v>
      </c>
      <c r="C305" s="314" t="s">
        <v>243</v>
      </c>
      <c r="D305" s="327">
        <f>IFERROR(VLOOKUP(C305,'تقرير إحصائية بحجم المبيعات'!$B$287:$L$313,2,FALSE),0)</f>
        <v>1785889.63</v>
      </c>
      <c r="E305" s="327">
        <f>IFERROR(VLOOKUP(C305,'تقرير إحصائية بحجم المبيعات'!$B$287:$L$313,3,FALSE),0)</f>
        <v>84232.71</v>
      </c>
      <c r="F305" s="327">
        <f>IFERROR(VLOOKUP(C305,'تقرير إحصائية بحجم المبيعات'!$B$287:$L$313,4,FALSE),0)</f>
        <v>926679.61</v>
      </c>
      <c r="G305" s="319">
        <f t="shared" si="46"/>
        <v>2796801.9499999997</v>
      </c>
      <c r="H305" s="318">
        <f t="shared" si="45"/>
        <v>90219.417741935482</v>
      </c>
      <c r="I305" s="327">
        <f>IFERROR(VLOOKUP(C305,'تقرير إحصائية بحجم المبيعات'!$B$287:$L$313,11,FALSE),0)</f>
        <v>2282228.85</v>
      </c>
      <c r="J305" s="321">
        <f t="shared" si="44"/>
        <v>514573.09999999963</v>
      </c>
      <c r="K305" s="322">
        <f>HLOOKUP(C305,'تقرير المصروفات حسب الشهر'!$D$1016:$AI$1131,116,FALSE)</f>
        <v>585464.32999999996</v>
      </c>
      <c r="L305" s="98"/>
      <c r="M305" s="324">
        <f>Maadi!L18</f>
        <v>0</v>
      </c>
      <c r="N305" s="340">
        <f t="shared" si="43"/>
        <v>-70891.230000000331</v>
      </c>
    </row>
    <row r="306" spans="1:14" ht="16.8" thickTop="1" thickBot="1">
      <c r="A306"/>
      <c r="B306" s="312">
        <v>14</v>
      </c>
      <c r="C306" s="314" t="s">
        <v>175</v>
      </c>
      <c r="D306" s="327">
        <f>IFERROR(VLOOKUP(C306,'تقرير إحصائية بحجم المبيعات'!$B$287:$L$313,2,FALSE),0)</f>
        <v>4284154.8800000008</v>
      </c>
      <c r="E306" s="327">
        <f>IFERROR(VLOOKUP(C306,'تقرير إحصائية بحجم المبيعات'!$B$287:$L$313,3,FALSE),0)</f>
        <v>1026793.23</v>
      </c>
      <c r="F306" s="327">
        <f>IFERROR(VLOOKUP(C306,'تقرير إحصائية بحجم المبيعات'!$B$287:$L$313,4,FALSE),0)</f>
        <v>887736.89</v>
      </c>
      <c r="G306" s="319">
        <f t="shared" si="46"/>
        <v>6198685.0000000009</v>
      </c>
      <c r="H306" s="318">
        <f t="shared" si="45"/>
        <v>199957.58064516133</v>
      </c>
      <c r="I306" s="327">
        <f>IFERROR(VLOOKUP(C306,'تقرير إحصائية بحجم المبيعات'!$B$287:$L$313,11,FALSE),0)</f>
        <v>4846244.3499999996</v>
      </c>
      <c r="J306" s="321">
        <f t="shared" si="44"/>
        <v>1352440.6500000013</v>
      </c>
      <c r="K306" s="322">
        <f>HLOOKUP(C306,'تقرير المصروفات حسب الشهر'!$D$1016:$AI$1131,116,FALSE)</f>
        <v>1072225.2800000003</v>
      </c>
      <c r="L306" s="97"/>
      <c r="M306" s="324">
        <f>Zaid!L18</f>
        <v>0</v>
      </c>
      <c r="N306" s="340">
        <f t="shared" si="43"/>
        <v>280215.37000000104</v>
      </c>
    </row>
    <row r="307" spans="1:14" ht="16.8" thickTop="1" thickBot="1">
      <c r="A307"/>
      <c r="B307" s="312">
        <v>15</v>
      </c>
      <c r="C307" s="314" t="s">
        <v>170</v>
      </c>
      <c r="D307" s="327">
        <f>IFERROR(VLOOKUP(C307,'تقرير إحصائية بحجم المبيعات'!$B$287:$L$313,2,FALSE),0)</f>
        <v>761307.5199999999</v>
      </c>
      <c r="E307" s="327">
        <f>IFERROR(VLOOKUP(C307,'تقرير إحصائية بحجم المبيعات'!$B$287:$L$313,3,FALSE),0)</f>
        <v>94919.8</v>
      </c>
      <c r="F307" s="327">
        <f>IFERROR(VLOOKUP(C307,'تقرير إحصائية بحجم المبيعات'!$B$287:$L$313,4,FALSE),0)</f>
        <v>38659.410000000003</v>
      </c>
      <c r="G307" s="319">
        <f t="shared" si="46"/>
        <v>894886.73</v>
      </c>
      <c r="H307" s="318">
        <f t="shared" si="45"/>
        <v>28867.313870967741</v>
      </c>
      <c r="I307" s="327">
        <f>IFERROR(VLOOKUP(C307,'تقرير إحصائية بحجم المبيعات'!$B$287:$L$313,11,FALSE),0)</f>
        <v>671247.1</v>
      </c>
      <c r="J307" s="321">
        <f t="shared" si="44"/>
        <v>223639.63</v>
      </c>
      <c r="K307" s="322">
        <f>HLOOKUP(C307,'تقرير المصروفات حسب الشهر'!$D$1016:$AI$1131,116,FALSE)</f>
        <v>101215.69</v>
      </c>
      <c r="L307" s="97"/>
      <c r="M307" s="324">
        <f>'Sand Beach'!L18</f>
        <v>0</v>
      </c>
      <c r="N307" s="340">
        <f t="shared" si="43"/>
        <v>122423.94</v>
      </c>
    </row>
    <row r="308" spans="1:14" ht="16.8" thickTop="1" thickBot="1">
      <c r="A308"/>
      <c r="B308" s="312">
        <v>16</v>
      </c>
      <c r="C308" s="314" t="s">
        <v>203</v>
      </c>
      <c r="D308" s="327">
        <f>IFERROR(VLOOKUP(C308,'تقرير إحصائية بحجم المبيعات'!$B$287:$L$313,2,FALSE),0)</f>
        <v>1898377.6200000006</v>
      </c>
      <c r="E308" s="327">
        <f>IFERROR(VLOOKUP(C308,'تقرير إحصائية بحجم المبيعات'!$B$287:$L$313,3,FALSE),0)</f>
        <v>383770.22</v>
      </c>
      <c r="F308" s="327">
        <f>IFERROR(VLOOKUP(C308,'تقرير إحصائية بحجم المبيعات'!$B$287:$L$313,4,FALSE),0)</f>
        <v>1726705</v>
      </c>
      <c r="G308" s="319">
        <f t="shared" si="46"/>
        <v>4008852.8400000008</v>
      </c>
      <c r="H308" s="318">
        <f t="shared" si="45"/>
        <v>129317.83354838712</v>
      </c>
      <c r="I308" s="327">
        <f>IFERROR(VLOOKUP(C308,'تقرير إحصائية بحجم المبيعات'!$B$287:$L$313,11,FALSE),0)</f>
        <v>3264292.12</v>
      </c>
      <c r="J308" s="321">
        <f t="shared" si="44"/>
        <v>744560.72000000067</v>
      </c>
      <c r="K308" s="322">
        <f>HLOOKUP(C308,'تقرير المصروفات حسب الشهر'!$D$1016:$AI$1131,116,FALSE)</f>
        <v>455906.52999999991</v>
      </c>
      <c r="L308" s="97"/>
      <c r="M308" s="324">
        <f>Alamya!L18</f>
        <v>4776.88</v>
      </c>
      <c r="N308" s="340">
        <f t="shared" si="43"/>
        <v>293431.07000000076</v>
      </c>
    </row>
    <row r="309" spans="1:14" ht="16.8" thickTop="1" thickBot="1">
      <c r="A309"/>
      <c r="B309" s="312">
        <v>17</v>
      </c>
      <c r="C309" s="314" t="s">
        <v>172</v>
      </c>
      <c r="D309" s="327">
        <f>IFERROR(VLOOKUP(C309,'تقرير إحصائية بحجم المبيعات'!$B$287:$L$313,2,FALSE),0)</f>
        <v>323628.51999999996</v>
      </c>
      <c r="E309" s="327">
        <f>IFERROR(VLOOKUP(C309,'تقرير إحصائية بحجم المبيعات'!$B$287:$L$313,3,FALSE),0)</f>
        <v>0</v>
      </c>
      <c r="F309" s="327">
        <f>IFERROR(VLOOKUP(C309,'تقرير إحصائية بحجم المبيعات'!$B$287:$L$313,4,FALSE),0)</f>
        <v>0</v>
      </c>
      <c r="G309" s="319">
        <f t="shared" si="46"/>
        <v>323628.51999999996</v>
      </c>
      <c r="H309" s="318">
        <f t="shared" si="45"/>
        <v>10439.629677419354</v>
      </c>
      <c r="I309" s="327">
        <f>IFERROR(VLOOKUP(C309,'تقرير إحصائية بحجم المبيعات'!$B$287:$L$313,11,FALSE),0)</f>
        <v>279412.36</v>
      </c>
      <c r="J309" s="321">
        <f t="shared" si="44"/>
        <v>44216.159999999974</v>
      </c>
      <c r="K309" s="322">
        <f>HLOOKUP(C309,'تقرير المصروفات حسب الشهر'!$D$1016:$AI$1131,116,FALSE)</f>
        <v>36971.839999999997</v>
      </c>
      <c r="L309" s="97"/>
      <c r="M309" s="324">
        <f>Online!L18</f>
        <v>0</v>
      </c>
      <c r="N309" s="340">
        <f t="shared" si="43"/>
        <v>7244.3199999999779</v>
      </c>
    </row>
    <row r="310" spans="1:14" ht="16.8" thickTop="1" thickBot="1">
      <c r="A310"/>
      <c r="B310" s="312">
        <v>18</v>
      </c>
      <c r="C310" s="314" t="s">
        <v>176</v>
      </c>
      <c r="D310" s="327">
        <f>IFERROR(VLOOKUP(C310,'تقرير إحصائية بحجم المبيعات'!$B$287:$L$313,2,FALSE),0)</f>
        <v>75831.860000000044</v>
      </c>
      <c r="E310" s="327">
        <f>IFERROR(VLOOKUP(C310,'تقرير إحصائية بحجم المبيعات'!$B$287:$L$313,3,FALSE),0)</f>
        <v>0</v>
      </c>
      <c r="F310" s="327">
        <f>IFERROR(VLOOKUP(C310,'تقرير إحصائية بحجم المبيعات'!$B$287:$L$313,4,FALSE),0)</f>
        <v>435924.67</v>
      </c>
      <c r="G310" s="319">
        <f t="shared" si="46"/>
        <v>511756.53</v>
      </c>
      <c r="H310" s="318">
        <f t="shared" si="45"/>
        <v>16508.275161290323</v>
      </c>
      <c r="I310" s="327">
        <f>IFERROR(VLOOKUP(C310,'تقرير إحصائية بحجم المبيعات'!$B$287:$L$313,11,FALSE),0)</f>
        <v>418421.53</v>
      </c>
      <c r="J310" s="321">
        <f t="shared" si="44"/>
        <v>93335</v>
      </c>
      <c r="K310" s="322">
        <f>HLOOKUP(C310,'تقرير المصروفات حسب الشهر'!$D$1016:$AI$1131,116,FALSE)</f>
        <v>26151.009999999995</v>
      </c>
      <c r="L310" s="97"/>
      <c r="M310" s="324">
        <f>Orange!L18</f>
        <v>0</v>
      </c>
      <c r="N310" s="340">
        <f t="shared" si="43"/>
        <v>67183.990000000005</v>
      </c>
    </row>
    <row r="311" spans="1:14" ht="16.8" thickTop="1" thickBot="1">
      <c r="A311"/>
      <c r="B311" s="312">
        <v>19</v>
      </c>
      <c r="C311" s="314" t="s">
        <v>177</v>
      </c>
      <c r="D311" s="327">
        <f>IFERROR(VLOOKUP(C311,'تقرير إحصائية بحجم المبيعات'!$B$287:$L$313,2,FALSE),0)</f>
        <v>118022.26000000001</v>
      </c>
      <c r="E311" s="327">
        <f>IFERROR(VLOOKUP(C311,'تقرير إحصائية بحجم المبيعات'!$B$287:$L$313,3,FALSE),0)</f>
        <v>0</v>
      </c>
      <c r="F311" s="327">
        <f>IFERROR(VLOOKUP(C311,'تقرير إحصائية بحجم المبيعات'!$B$287:$L$313,4,FALSE),0)</f>
        <v>636052.56999999995</v>
      </c>
      <c r="G311" s="319">
        <f t="shared" si="46"/>
        <v>754074.83</v>
      </c>
      <c r="H311" s="318">
        <f t="shared" si="45"/>
        <v>24324.994516129031</v>
      </c>
      <c r="I311" s="327">
        <f>IFERROR(VLOOKUP(C311,'تقرير إحصائية بحجم المبيعات'!$B$287:$L$313,11,FALSE),0)</f>
        <v>618821.27</v>
      </c>
      <c r="J311" s="321">
        <f t="shared" si="44"/>
        <v>135253.55999999994</v>
      </c>
      <c r="K311" s="322">
        <f>HLOOKUP(C311,'تقرير المصروفات حسب الشهر'!$D$1016:$AI$1131,116,FALSE)</f>
        <v>29254.06</v>
      </c>
      <c r="L311" s="97"/>
      <c r="M311" s="324">
        <f>Vod.Smart!L18</f>
        <v>0</v>
      </c>
      <c r="N311" s="340">
        <f t="shared" si="43"/>
        <v>105999.49999999994</v>
      </c>
    </row>
    <row r="312" spans="1:14" ht="16.8" thickTop="1" thickBot="1">
      <c r="A312"/>
      <c r="B312" s="312">
        <v>20</v>
      </c>
      <c r="C312" s="314" t="s">
        <v>178</v>
      </c>
      <c r="D312" s="327">
        <f>IFERROR(VLOOKUP(C312,'تقرير إحصائية بحجم المبيعات'!$B$287:$L$313,2,FALSE),0)</f>
        <v>10050.719999999972</v>
      </c>
      <c r="E312" s="327">
        <f>IFERROR(VLOOKUP(C312,'تقرير إحصائية بحجم المبيعات'!$B$287:$L$313,3,FALSE),0)</f>
        <v>0</v>
      </c>
      <c r="F312" s="327">
        <f>IFERROR(VLOOKUP(C312,'تقرير إحصائية بحجم المبيعات'!$B$287:$L$313,4,FALSE),0)</f>
        <v>418311.26</v>
      </c>
      <c r="G312" s="319">
        <f t="shared" si="46"/>
        <v>428361.98</v>
      </c>
      <c r="H312" s="318">
        <f t="shared" si="45"/>
        <v>13818.128387096773</v>
      </c>
      <c r="I312" s="327">
        <f>IFERROR(VLOOKUP(C312,'تقرير إحصائية بحجم المبيعات'!$B$287:$L$313,11,FALSE),0)</f>
        <v>353241.5</v>
      </c>
      <c r="J312" s="321">
        <f t="shared" si="44"/>
        <v>75120.479999999981</v>
      </c>
      <c r="K312" s="322">
        <f>HLOOKUP(C312,'تقرير المصروفات حسب الشهر'!$D$1016:$AI$1131,116,FALSE)</f>
        <v>13203.819999999998</v>
      </c>
      <c r="L312" s="97"/>
      <c r="M312" s="324">
        <f>Vod.Zahraa!L18</f>
        <v>21081.809999999998</v>
      </c>
      <c r="N312" s="340">
        <f t="shared" si="43"/>
        <v>82998.469999999972</v>
      </c>
    </row>
    <row r="313" spans="1:14" ht="16.8" thickTop="1" thickBot="1">
      <c r="A313"/>
      <c r="B313" s="312">
        <v>21</v>
      </c>
      <c r="C313" s="314" t="s">
        <v>179</v>
      </c>
      <c r="D313" s="327">
        <f>IFERROR(VLOOKUP(C313,'تقرير إحصائية بحجم المبيعات'!$B$287:$L$313,2,FALSE),0)</f>
        <v>102454.62</v>
      </c>
      <c r="E313" s="327">
        <f>IFERROR(VLOOKUP(C313,'تقرير إحصائية بحجم المبيعات'!$B$287:$L$313,3,FALSE),0)</f>
        <v>0</v>
      </c>
      <c r="F313" s="327">
        <f>IFERROR(VLOOKUP(C313,'تقرير إحصائية بحجم المبيعات'!$B$287:$L$313,4,FALSE),0)</f>
        <v>595000.85</v>
      </c>
      <c r="G313" s="319">
        <f t="shared" si="46"/>
        <v>697455.47</v>
      </c>
      <c r="H313" s="318">
        <f t="shared" si="45"/>
        <v>22498.563548387097</v>
      </c>
      <c r="I313" s="327">
        <f>IFERROR(VLOOKUP(C313,'تقرير إحصائية بحجم المبيعات'!$B$287:$L$313,11,FALSE),0)</f>
        <v>588827.4</v>
      </c>
      <c r="J313" s="321">
        <f t="shared" si="44"/>
        <v>108628.06999999995</v>
      </c>
      <c r="K313" s="322">
        <f>HLOOKUP(C313,'تقرير المصروفات حسب الشهر'!$D$1016:$AI$1131,116,FALSE)</f>
        <v>21630.760000000002</v>
      </c>
      <c r="L313" s="97"/>
      <c r="M313" s="324">
        <f>Mo7awelat!L18</f>
        <v>70156.380000000019</v>
      </c>
      <c r="N313" s="340">
        <f t="shared" si="43"/>
        <v>157153.68999999994</v>
      </c>
    </row>
    <row r="314" spans="1:14" ht="16.8" thickTop="1" thickBot="1">
      <c r="A314"/>
      <c r="B314" s="312">
        <v>22</v>
      </c>
      <c r="C314" s="314" t="s">
        <v>181</v>
      </c>
      <c r="D314" s="327">
        <f>IFERROR(VLOOKUP(C314,'تقرير إحصائية بحجم المبيعات'!$B$287:$L$313,2,FALSE),0)</f>
        <v>16001.650000000023</v>
      </c>
      <c r="E314" s="327">
        <f>IFERROR(VLOOKUP(C314,'تقرير إحصائية بحجم المبيعات'!$B$287:$L$313,3,FALSE),0)</f>
        <v>0</v>
      </c>
      <c r="F314" s="327">
        <f>IFERROR(VLOOKUP(C314,'تقرير إحصائية بحجم المبيعات'!$B$287:$L$313,4,FALSE),0)</f>
        <v>354681.35</v>
      </c>
      <c r="G314" s="319">
        <f t="shared" si="46"/>
        <v>370683</v>
      </c>
      <c r="H314" s="318">
        <f t="shared" si="45"/>
        <v>11957.516129032258</v>
      </c>
      <c r="I314" s="327">
        <f>IFERROR(VLOOKUP(C314,'تقرير إحصائية بحجم المبيعات'!$B$287:$L$313,11,FALSE),0)</f>
        <v>319682.86</v>
      </c>
      <c r="J314" s="321">
        <f t="shared" si="44"/>
        <v>51000.140000000014</v>
      </c>
      <c r="K314" s="322">
        <f>HLOOKUP(C314,'تقرير المصروفات حسب الشهر'!$D$1016:$AI$1131,116,FALSE)</f>
        <v>19136.079999999998</v>
      </c>
      <c r="L314" s="97"/>
      <c r="M314" s="324">
        <f>Electric!L18</f>
        <v>0</v>
      </c>
      <c r="N314" s="340">
        <f t="shared" si="43"/>
        <v>31864.060000000016</v>
      </c>
    </row>
    <row r="315" spans="1:14" ht="16.8" thickTop="1" thickBot="1">
      <c r="A315"/>
      <c r="B315" s="312">
        <v>23</v>
      </c>
      <c r="C315" s="314" t="s">
        <v>182</v>
      </c>
      <c r="D315" s="327">
        <f>IFERROR(VLOOKUP(C315,'تقرير إحصائية بحجم المبيعات'!$B$287:$L$313,2,FALSE),0)</f>
        <v>34126.139999999992</v>
      </c>
      <c r="E315" s="327">
        <f>IFERROR(VLOOKUP(C315,'تقرير إحصائية بحجم المبيعات'!$B$287:$L$313,3,FALSE),0)</f>
        <v>0</v>
      </c>
      <c r="F315" s="327">
        <f>IFERROR(VLOOKUP(C315,'تقرير إحصائية بحجم المبيعات'!$B$287:$L$313,4,FALSE),0)</f>
        <v>138316.28</v>
      </c>
      <c r="G315" s="319">
        <f t="shared" si="46"/>
        <v>172442.41999999998</v>
      </c>
      <c r="H315" s="318">
        <f t="shared" si="45"/>
        <v>5562.6587096774192</v>
      </c>
      <c r="I315" s="327">
        <f>IFERROR(VLOOKUP(C315,'تقرير إحصائية بحجم المبيعات'!$B$287:$L$313,11,FALSE),0)</f>
        <v>149196.42000000001</v>
      </c>
      <c r="J315" s="321">
        <f t="shared" si="44"/>
        <v>23245.999999999971</v>
      </c>
      <c r="K315" s="322">
        <f>HLOOKUP(C315,'تقرير المصروفات حسب الشهر'!$D$1016:$AI$1131,116,FALSE)</f>
        <v>14898.390000000001</v>
      </c>
      <c r="L315" s="97"/>
      <c r="M315" s="324">
        <f>'M.C.V'!L18</f>
        <v>0</v>
      </c>
      <c r="N315" s="340">
        <f t="shared" si="43"/>
        <v>8347.6099999999697</v>
      </c>
    </row>
    <row r="316" spans="1:14" ht="16.8" thickTop="1" thickBot="1">
      <c r="A316"/>
      <c r="B316" s="312">
        <v>24</v>
      </c>
      <c r="C316" s="314" t="s">
        <v>187</v>
      </c>
      <c r="D316" s="327">
        <f>IFERROR(VLOOKUP(C316,'تقرير إحصائية بحجم المبيعات'!$B$287:$L$313,2,FALSE),0)</f>
        <v>65604.28999999995</v>
      </c>
      <c r="E316" s="327">
        <f>IFERROR(VLOOKUP(C316,'تقرير إحصائية بحجم المبيعات'!$B$287:$L$313,3,FALSE),0)</f>
        <v>0</v>
      </c>
      <c r="F316" s="327">
        <f>IFERROR(VLOOKUP(C316,'تقرير إحصائية بحجم المبيعات'!$B$287:$L$313,4,FALSE),0)</f>
        <v>209551.76</v>
      </c>
      <c r="G316" s="319">
        <f t="shared" si="46"/>
        <v>275156.04999999993</v>
      </c>
      <c r="H316" s="318">
        <f t="shared" si="45"/>
        <v>8876.0016129032228</v>
      </c>
      <c r="I316" s="327">
        <f>IFERROR(VLOOKUP(C316,'تقرير إحصائية بحجم المبيعات'!$B$287:$L$313,11,FALSE),0)</f>
        <v>220973.85</v>
      </c>
      <c r="J316" s="321">
        <f t="shared" si="44"/>
        <v>54182.199999999924</v>
      </c>
      <c r="K316" s="322">
        <f>HLOOKUP(C316,'تقرير المصروفات حسب الشهر'!$D$1016:$AI$1131,116,FALSE)</f>
        <v>12721.25</v>
      </c>
      <c r="L316" s="97"/>
      <c r="M316" s="324">
        <f>Egyplast!L18</f>
        <v>0</v>
      </c>
      <c r="N316" s="340">
        <f t="shared" si="43"/>
        <v>41460.949999999924</v>
      </c>
    </row>
    <row r="317" spans="1:14" ht="16.8" thickTop="1" thickBot="1">
      <c r="A317"/>
      <c r="B317" s="312">
        <v>25</v>
      </c>
      <c r="C317" s="314" t="s">
        <v>233</v>
      </c>
      <c r="D317" s="327">
        <f>IFERROR(VLOOKUP(C317,'تقرير إحصائية بحجم المبيعات'!$B$287:$L$313,2,FALSE),0)</f>
        <v>104680.38</v>
      </c>
      <c r="E317" s="327">
        <f>IFERROR(VLOOKUP(C317,'تقرير إحصائية بحجم المبيعات'!$B$287:$L$313,3,FALSE),0)</f>
        <v>0</v>
      </c>
      <c r="F317" s="327">
        <f>IFERROR(VLOOKUP(C317,'تقرير إحصائية بحجم المبيعات'!$B$287:$L$313,4,FALSE),0)</f>
        <v>646251.36</v>
      </c>
      <c r="G317" s="319">
        <f t="shared" si="46"/>
        <v>750931.74</v>
      </c>
      <c r="H317" s="318">
        <f t="shared" si="45"/>
        <v>24223.604516129031</v>
      </c>
      <c r="I317" s="327">
        <f>IFERROR(VLOOKUP(C317,'تقرير إحصائية بحجم المبيعات'!$B$287:$L$313,11,FALSE),0)</f>
        <v>638812.31999999995</v>
      </c>
      <c r="J317" s="321">
        <f t="shared" si="44"/>
        <v>112119.42000000004</v>
      </c>
      <c r="K317" s="322">
        <f>HLOOKUP(C317,'تقرير المصروفات حسب الشهر'!$D$1016:$AI$1131,116,FALSE)</f>
        <v>43360.53</v>
      </c>
      <c r="L317" s="97"/>
      <c r="M317" s="324">
        <f>Etisalat.Katamya!L18</f>
        <v>0</v>
      </c>
      <c r="N317" s="340">
        <f t="shared" si="43"/>
        <v>68758.890000000043</v>
      </c>
    </row>
    <row r="318" spans="1:14" ht="16.8" thickTop="1" thickBot="1">
      <c r="A318"/>
      <c r="B318" s="312">
        <v>26</v>
      </c>
      <c r="C318" s="315" t="s">
        <v>240</v>
      </c>
      <c r="D318" s="327">
        <f>IFERROR(VLOOKUP(C318,'تقرير إحصائية بحجم المبيعات'!$B$287:$L$313,2,FALSE),0)</f>
        <v>120987.58000000007</v>
      </c>
      <c r="E318" s="327">
        <f>IFERROR(VLOOKUP(C318,'تقرير إحصائية بحجم المبيعات'!$B$287:$L$313,3,FALSE),0)</f>
        <v>0</v>
      </c>
      <c r="F318" s="327">
        <f>IFERROR(VLOOKUP(C318,'تقرير إحصائية بحجم المبيعات'!$B$287:$L$313,4,FALSE),0)</f>
        <v>559544.16</v>
      </c>
      <c r="G318" s="320">
        <f t="shared" si="46"/>
        <v>680531.74000000011</v>
      </c>
      <c r="H318" s="318">
        <f t="shared" si="45"/>
        <v>21952.63677419355</v>
      </c>
      <c r="I318" s="327">
        <f>IFERROR(VLOOKUP(C318,'تقرير إحصائية بحجم المبيعات'!$B$287:$L$313,11,FALSE),0)</f>
        <v>572458.66</v>
      </c>
      <c r="J318" s="321">
        <f t="shared" si="44"/>
        <v>108073.08000000007</v>
      </c>
      <c r="K318" s="322">
        <f>HLOOKUP(C318,'تقرير المصروفات حسب الشهر'!$D$1016:$AI$1131,116,FALSE)</f>
        <v>32635.100000000002</v>
      </c>
      <c r="L318" s="99"/>
      <c r="M318" s="325">
        <f>CFC!L18</f>
        <v>0</v>
      </c>
      <c r="N318" s="340">
        <f t="shared" si="43"/>
        <v>75437.980000000069</v>
      </c>
    </row>
    <row r="319" spans="1:14" ht="16.8" thickTop="1" thickBot="1">
      <c r="A319"/>
      <c r="B319" s="312">
        <v>27</v>
      </c>
      <c r="C319" s="316" t="s">
        <v>245</v>
      </c>
      <c r="D319" s="327">
        <f>IFERROR(VLOOKUP(C319,'تقرير إحصائية بحجم المبيعات'!$B$287:$L$334,2,FALSE),0)</f>
        <v>0</v>
      </c>
      <c r="E319" s="327">
        <f>IFERROR(VLOOKUP(C319,'تقرير إحصائية بحجم المبيعات'!$B$287:$L$334,3,FALSE),0)</f>
        <v>0</v>
      </c>
      <c r="F319" s="327">
        <f>IFERROR(VLOOKUP(C319,'تقرير إحصائية بحجم المبيعات'!$B$287:$L$334,4,FALSE),0)</f>
        <v>0</v>
      </c>
      <c r="G319" s="320">
        <f t="shared" si="46"/>
        <v>0</v>
      </c>
      <c r="H319" s="318">
        <f t="shared" si="45"/>
        <v>0</v>
      </c>
      <c r="I319" s="327">
        <f>IFERROR(VLOOKUP(C319,'تقرير إحصائية بحجم المبيعات'!$B$287:$L$334,11,FALSE),0)</f>
        <v>0</v>
      </c>
      <c r="J319" s="321">
        <f t="shared" si="44"/>
        <v>0</v>
      </c>
      <c r="K319" s="322">
        <f>HLOOKUP(C319,'تقرير المصروفات حسب الشهر'!$D$1016:$AI$1131,116,FALSE)</f>
        <v>0</v>
      </c>
      <c r="L319" s="99"/>
      <c r="M319" s="325">
        <f>North.Coast!L18</f>
        <v>0</v>
      </c>
      <c r="N319" s="340">
        <f t="shared" si="43"/>
        <v>0</v>
      </c>
    </row>
    <row r="320" spans="1:14" ht="16.8" thickTop="1" thickBot="1">
      <c r="A320"/>
      <c r="B320" s="495">
        <v>28</v>
      </c>
      <c r="C320" s="316" t="s">
        <v>357</v>
      </c>
      <c r="D320" s="327">
        <f>IFERROR(VLOOKUP(C320,'تقرير إحصائية بحجم المبيعات'!$B$287:$L$334,2,FALSE),0)</f>
        <v>2691633.9899999998</v>
      </c>
      <c r="E320" s="327">
        <f>IFERROR(VLOOKUP(C320,'تقرير إحصائية بحجم المبيعات'!$B$287:$L$334,3,FALSE),0)</f>
        <v>174262.98</v>
      </c>
      <c r="F320" s="327">
        <f>IFERROR(VLOOKUP(C320,'تقرير إحصائية بحجم المبيعات'!$B$287:$L$334,4,FALSE),0)</f>
        <v>154747.31</v>
      </c>
      <c r="G320" s="320">
        <f>+D320+E320+F320</f>
        <v>3020644.28</v>
      </c>
      <c r="H320" s="318">
        <f>+G320/31</f>
        <v>97440.138064516126</v>
      </c>
      <c r="I320" s="327">
        <f>IFERROR(VLOOKUP(C320,'تقرير إحصائية بحجم المبيعات'!$B$287:$L$334,11,FALSE),0)</f>
        <v>2279914.67</v>
      </c>
      <c r="J320" s="321">
        <f>+G320-I320</f>
        <v>740729.60999999987</v>
      </c>
      <c r="K320" s="322">
        <f>HLOOKUP(C320,'تقرير المصروفات حسب الشهر'!$D$1016:$AI$1131,116,FALSE)</f>
        <v>900848.34</v>
      </c>
      <c r="L320" s="99"/>
      <c r="M320" s="325">
        <f>Rehab!L18</f>
        <v>0</v>
      </c>
      <c r="N320" s="340">
        <f>J320-K320-L320+M320</f>
        <v>-160118.7300000001</v>
      </c>
    </row>
    <row r="321" spans="1:18" ht="16.8" thickTop="1" thickBot="1">
      <c r="A321"/>
      <c r="B321" s="495">
        <v>29</v>
      </c>
      <c r="C321" s="316" t="s">
        <v>362</v>
      </c>
      <c r="D321" s="327">
        <f>IFERROR(VLOOKUP(C321,'تقرير إحصائية بحجم المبيعات'!$B$287:$L$334,2,FALSE),0)</f>
        <v>97083.139999999956</v>
      </c>
      <c r="E321" s="327">
        <f>IFERROR(VLOOKUP(C321,'تقرير إحصائية بحجم المبيعات'!$B$287:$L$334,3,FALSE),0)</f>
        <v>0</v>
      </c>
      <c r="F321" s="327">
        <f>IFERROR(VLOOKUP(C321,'تقرير إحصائية بحجم المبيعات'!$B$287:$L$334,4,FALSE),0)</f>
        <v>512225.33</v>
      </c>
      <c r="G321" s="320">
        <f>+D321+E321+F321</f>
        <v>609308.47</v>
      </c>
      <c r="H321" s="318">
        <f>+G321/31</f>
        <v>19655.11193548387</v>
      </c>
      <c r="I321" s="327">
        <f>IFERROR(VLOOKUP(C321,'تقرير إحصائية بحجم المبيعات'!$B$287:$L$334,11,FALSE),0)</f>
        <v>492562.17</v>
      </c>
      <c r="J321" s="321">
        <f>+G321-I321</f>
        <v>116746.29999999999</v>
      </c>
      <c r="K321" s="322">
        <f>HLOOKUP(C321,'تقرير المصروفات حسب الشهر'!$D$1016:$AI$1131,116,FALSE)</f>
        <v>15550.73</v>
      </c>
      <c r="L321" s="99"/>
      <c r="M321" s="325">
        <f>'HSBC MAADI'!L18</f>
        <v>0.24</v>
      </c>
      <c r="N321" s="340">
        <f>J321-K321-L321+M321</f>
        <v>101195.81</v>
      </c>
    </row>
    <row r="322" spans="1:18" ht="16.8" thickTop="1" thickBot="1">
      <c r="A322"/>
      <c r="B322" s="495">
        <v>30</v>
      </c>
      <c r="C322" s="316" t="s">
        <v>361</v>
      </c>
      <c r="D322" s="327">
        <f>IFERROR(VLOOKUP(C322,'تقرير إحصائية بحجم المبيعات'!$B$287:$L$334,2,FALSE),0)</f>
        <v>100680.37</v>
      </c>
      <c r="E322" s="327">
        <f>IFERROR(VLOOKUP(C322,'تقرير إحصائية بحجم المبيعات'!$B$287:$L$334,3,FALSE),0)</f>
        <v>0</v>
      </c>
      <c r="F322" s="327">
        <f>IFERROR(VLOOKUP(C322,'تقرير إحصائية بحجم المبيعات'!$B$287:$L$334,4,FALSE),0)</f>
        <v>569210.93000000005</v>
      </c>
      <c r="G322" s="320">
        <f>+D322+E322+F322</f>
        <v>669891.30000000005</v>
      </c>
      <c r="H322" s="318">
        <f>+G322/31</f>
        <v>21609.396774193548</v>
      </c>
      <c r="I322" s="327">
        <f>IFERROR(VLOOKUP(C322,'تقرير إحصائية بحجم المبيعات'!$B$287:$L$334,11,FALSE),0)</f>
        <v>570251.68999999994</v>
      </c>
      <c r="J322" s="321">
        <f>+G322-I322</f>
        <v>99639.610000000102</v>
      </c>
      <c r="K322" s="322">
        <f>HLOOKUP(C322,'تقرير المصروفات حسب الشهر'!$D$1016:$AI$1131,116,FALSE)</f>
        <v>56659.66</v>
      </c>
      <c r="L322" s="99"/>
      <c r="M322" s="325">
        <f>'HSBC SMART'!L18</f>
        <v>61.11</v>
      </c>
      <c r="N322" s="340">
        <f>J322-K322-L322+M322</f>
        <v>43041.0600000001</v>
      </c>
    </row>
    <row r="323" spans="1:18" ht="16.8" thickTop="1" thickBot="1">
      <c r="A323"/>
      <c r="B323" s="495">
        <v>31</v>
      </c>
      <c r="C323" s="316" t="s">
        <v>234</v>
      </c>
      <c r="D323" s="327">
        <f>IFERROR(VLOOKUP(C323,'تقرير إحصائية بحجم المبيعات'!$B$287:$L$334,2,FALSE),0)</f>
        <v>0</v>
      </c>
      <c r="E323" s="327">
        <f>IFERROR(VLOOKUP(C323,'تقرير إحصائية بحجم المبيعات'!$B$287:$L$334,3,FALSE),0)</f>
        <v>0</v>
      </c>
      <c r="F323" s="327">
        <f>IFERROR(VLOOKUP(C323,'تقرير إحصائية بحجم المبيعات'!$B$287:$L$334,4,FALSE),0)</f>
        <v>0</v>
      </c>
      <c r="G323" s="320">
        <f>+D323+E323+F323</f>
        <v>0</v>
      </c>
      <c r="H323" s="318">
        <f>+G323/31</f>
        <v>0</v>
      </c>
      <c r="I323" s="327">
        <f>IFERROR(VLOOKUP(C323,'تقرير إحصائية بحجم المبيعات'!$B$287:$L$334,11,FALSE),0)</f>
        <v>0</v>
      </c>
      <c r="J323" s="321">
        <f>+G323-I323</f>
        <v>0</v>
      </c>
      <c r="K323" s="322">
        <f>HLOOKUP(C323,'تقرير المصروفات حسب الشهر'!$D$1016:$AI$1131,116,FALSE)</f>
        <v>0</v>
      </c>
      <c r="L323" s="99"/>
      <c r="M323" s="325">
        <f>North.Coast!L18</f>
        <v>0</v>
      </c>
      <c r="N323" s="340">
        <f>J323-K323-L323+M323</f>
        <v>0</v>
      </c>
    </row>
    <row r="324" spans="1:18" ht="16.95" customHeight="1" thickTop="1" thickBot="1">
      <c r="A324"/>
      <c r="B324" s="652" t="s">
        <v>18</v>
      </c>
      <c r="C324" s="653"/>
      <c r="D324" s="305">
        <f>SUM(D293:D323)</f>
        <v>28795054.389999993</v>
      </c>
      <c r="E324" s="305">
        <f t="shared" ref="E324:N324" si="47">SUM(E293:E323)</f>
        <v>4009734.1799999992</v>
      </c>
      <c r="F324" s="305">
        <f t="shared" si="47"/>
        <v>19765558.07</v>
      </c>
      <c r="G324" s="305">
        <f t="shared" si="47"/>
        <v>52570346.640000001</v>
      </c>
      <c r="H324" s="305">
        <f t="shared" si="47"/>
        <v>1695817.6335483871</v>
      </c>
      <c r="I324" s="305">
        <f t="shared" si="47"/>
        <v>42515877.75</v>
      </c>
      <c r="J324" s="305">
        <f t="shared" si="47"/>
        <v>10054468.890000001</v>
      </c>
      <c r="K324" s="305">
        <f t="shared" si="47"/>
        <v>11127271.460000001</v>
      </c>
      <c r="L324" s="305">
        <f t="shared" si="47"/>
        <v>0</v>
      </c>
      <c r="M324" s="305">
        <f t="shared" si="47"/>
        <v>1587115.99</v>
      </c>
      <c r="N324" s="305">
        <f t="shared" si="47"/>
        <v>514313.4199999976</v>
      </c>
    </row>
    <row r="325" spans="1:18" ht="13.8" thickTop="1">
      <c r="A325"/>
      <c r="B325"/>
      <c r="C325"/>
      <c r="D325"/>
      <c r="E325" s="396"/>
      <c r="F325"/>
      <c r="G325"/>
      <c r="H325"/>
      <c r="I325"/>
      <c r="J325"/>
      <c r="K325"/>
      <c r="L325"/>
      <c r="M325"/>
      <c r="N325"/>
    </row>
    <row r="326" spans="1:18" ht="13.8" thickBot="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8" ht="30.6" thickBot="1">
      <c r="A327"/>
      <c r="B327" s="649" t="s">
        <v>383</v>
      </c>
      <c r="C327" s="650"/>
      <c r="D327" s="650"/>
      <c r="E327" s="650"/>
      <c r="F327" s="650"/>
      <c r="G327" s="650"/>
      <c r="H327" s="650"/>
      <c r="I327" s="650"/>
      <c r="J327" s="650"/>
      <c r="K327" s="650"/>
      <c r="L327" s="650"/>
      <c r="M327" s="650"/>
      <c r="N327" s="651"/>
      <c r="R327" s="524"/>
    </row>
    <row r="328" spans="1:18" ht="16.8" thickTop="1" thickBot="1">
      <c r="A328"/>
      <c r="B328" s="308" t="s">
        <v>39</v>
      </c>
      <c r="C328" s="308" t="s">
        <v>34</v>
      </c>
      <c r="D328" s="309" t="s">
        <v>20</v>
      </c>
      <c r="E328" s="310" t="s">
        <v>21</v>
      </c>
      <c r="F328" s="310" t="s">
        <v>22</v>
      </c>
      <c r="G328" s="308" t="s">
        <v>19</v>
      </c>
      <c r="H328" s="308" t="s">
        <v>12</v>
      </c>
      <c r="I328" s="308" t="s">
        <v>13</v>
      </c>
      <c r="J328" s="308" t="s">
        <v>14</v>
      </c>
      <c r="K328" s="308" t="s">
        <v>15</v>
      </c>
      <c r="L328" s="308" t="s">
        <v>32</v>
      </c>
      <c r="M328" s="311" t="s">
        <v>16</v>
      </c>
      <c r="N328" s="306" t="s">
        <v>17</v>
      </c>
    </row>
    <row r="329" spans="1:18" ht="16.8" thickTop="1" thickBot="1">
      <c r="A329"/>
      <c r="B329" s="312">
        <v>1</v>
      </c>
      <c r="C329" s="313" t="s">
        <v>184</v>
      </c>
      <c r="D329" s="327">
        <f>IFERROR(VLOOKUP(C293,'تقرير إحصائية بحجم المبيعات'!$B$322:$L$352,2,FALSE),0)</f>
        <v>0</v>
      </c>
      <c r="E329" s="327">
        <f>IFERROR(VLOOKUP(C293,'تقرير إحصائية بحجم المبيعات'!$B$322:$L$352,3,FALSE),0)</f>
        <v>0</v>
      </c>
      <c r="F329" s="327">
        <f>IFERROR(VLOOKUP(C293,'تقرير إحصائية بحجم المبيعات'!$B$322:$L$352,4,FALSE),0)</f>
        <v>0</v>
      </c>
      <c r="G329" s="317">
        <f>+D329+E329+F329</f>
        <v>0</v>
      </c>
      <c r="H329" s="318">
        <f>+G329/31</f>
        <v>0</v>
      </c>
      <c r="I329" s="327">
        <f>IFERROR(VLOOKUP(C329,'تقرير إحصائية بحجم المبيعات'!$B$322:$L$352,11,FALSE),0)</f>
        <v>0</v>
      </c>
      <c r="J329" s="321">
        <f>+G329-I329</f>
        <v>0</v>
      </c>
      <c r="K329" s="322">
        <f>HLOOKUP(C329,'تقرير المصروفات حسب الشهر'!$D$1143:$AI$1258,116,FALSE)</f>
        <v>2295903.0400000005</v>
      </c>
      <c r="L329" s="96"/>
      <c r="M329" s="323">
        <f>HQ!M18</f>
        <v>292104.94999999966</v>
      </c>
      <c r="N329" s="307">
        <f>J329-K329-L329+M329</f>
        <v>-2003798.0900000008</v>
      </c>
    </row>
    <row r="330" spans="1:18" ht="16.8" thickTop="1" thickBot="1">
      <c r="A330"/>
      <c r="B330" s="312">
        <v>2</v>
      </c>
      <c r="C330" s="314" t="s">
        <v>36</v>
      </c>
      <c r="D330" s="327">
        <f>IFERROR(VLOOKUP(C294,'تقرير إحصائية بحجم المبيعات'!$B$322:$L$352,2,FALSE),0)</f>
        <v>4705280.62</v>
      </c>
      <c r="E330" s="327">
        <f>IFERROR(VLOOKUP(C294,'تقرير إحصائية بحجم المبيعات'!$B$322:$L$352,3,FALSE),0)</f>
        <v>837640.09</v>
      </c>
      <c r="F330" s="327">
        <f>IFERROR(VLOOKUP(C294,'تقرير إحصائية بحجم المبيعات'!$B$322:$L$352,4,FALSE),0)</f>
        <v>1949631.84</v>
      </c>
      <c r="G330" s="319">
        <f>+D330+E330+F330</f>
        <v>7492552.5499999998</v>
      </c>
      <c r="H330" s="318">
        <f>+G330/31</f>
        <v>241695.24354838708</v>
      </c>
      <c r="I330" s="327">
        <f>IFERROR(VLOOKUP(C330,'تقرير إحصائية بحجم المبيعات'!$B$322:$L$352,11,FALSE),0)</f>
        <v>5952639.2599999998</v>
      </c>
      <c r="J330" s="321">
        <f>+G330-I330</f>
        <v>1539913.29</v>
      </c>
      <c r="K330" s="322">
        <f>HLOOKUP(C330,'تقرير المصروفات حسب الشهر'!$D$1143:$AI$1258,116,FALSE)</f>
        <v>1105408.8700000001</v>
      </c>
      <c r="L330" s="97"/>
      <c r="M330" s="324">
        <f>Aguza!M18</f>
        <v>-2000</v>
      </c>
      <c r="N330" s="307">
        <f t="shared" ref="N330:N355" si="48">J330-K330-L330+M330</f>
        <v>432504.41999999993</v>
      </c>
    </row>
    <row r="331" spans="1:18" ht="16.8" thickTop="1" thickBot="1">
      <c r="A331"/>
      <c r="B331" s="312">
        <v>3</v>
      </c>
      <c r="C331" s="314" t="s">
        <v>9</v>
      </c>
      <c r="D331" s="327">
        <f>IFERROR(VLOOKUP(C295,'تقرير إحصائية بحجم المبيعات'!$B$322:$L$352,2,FALSE),0)</f>
        <v>3659880.54</v>
      </c>
      <c r="E331" s="327">
        <f>IFERROR(VLOOKUP(C295,'تقرير إحصائية بحجم المبيعات'!$B$322:$L$352,3,FALSE),0)</f>
        <v>1633411.42</v>
      </c>
      <c r="F331" s="327">
        <f>IFERROR(VLOOKUP(C295,'تقرير إحصائية بحجم المبيعات'!$B$322:$L$352,4,FALSE),0)</f>
        <v>411909.74</v>
      </c>
      <c r="G331" s="319">
        <f>+D331+E331+F331</f>
        <v>5705201.7000000002</v>
      </c>
      <c r="H331" s="318">
        <f>+G331/31</f>
        <v>184038.76451612904</v>
      </c>
      <c r="I331" s="327">
        <f>IFERROR(VLOOKUP(C331,'تقرير إحصائية بحجم المبيعات'!$B$322:$L$352,11,FALSE),0)</f>
        <v>4525279.4000000004</v>
      </c>
      <c r="J331" s="321">
        <f t="shared" ref="J331:J355" si="49">+G331-I331</f>
        <v>1179922.2999999998</v>
      </c>
      <c r="K331" s="322">
        <f>HLOOKUP(C331,'تقرير المصروفات حسب الشهر'!$D$1143:$AI$1258,116,FALSE)</f>
        <v>926884.95999999985</v>
      </c>
      <c r="L331" s="97"/>
      <c r="M331" s="324">
        <f>October!M18</f>
        <v>1548.6299999999997</v>
      </c>
      <c r="N331" s="307">
        <f t="shared" si="48"/>
        <v>254585.96999999997</v>
      </c>
    </row>
    <row r="332" spans="1:18" ht="16.8" thickTop="1" thickBot="1">
      <c r="A332"/>
      <c r="B332" s="312">
        <v>4</v>
      </c>
      <c r="C332" s="314" t="s">
        <v>25</v>
      </c>
      <c r="D332" s="327">
        <f>IFERROR(VLOOKUP(C296,'تقرير إحصائية بحجم المبيعات'!$B$322:$L$352,2,FALSE),0)</f>
        <v>1396156.6500000001</v>
      </c>
      <c r="E332" s="327">
        <f>IFERROR(VLOOKUP(C296,'تقرير إحصائية بحجم المبيعات'!$B$322:$L$352,3,FALSE),0)</f>
        <v>309976.28000000003</v>
      </c>
      <c r="F332" s="327">
        <f>IFERROR(VLOOKUP(C296,'تقرير إحصائية بحجم المبيعات'!$B$322:$L$352,4,FALSE),0)</f>
        <v>1091080.6399999999</v>
      </c>
      <c r="G332" s="319">
        <f>+D332+E332+F332</f>
        <v>2797213.5700000003</v>
      </c>
      <c r="H332" s="318">
        <f t="shared" ref="H332:H355" si="50">+G332/31</f>
        <v>90232.695806451622</v>
      </c>
      <c r="I332" s="327">
        <f>IFERROR(VLOOKUP(C332,'تقرير إحصائية بحجم المبيعات'!$B$322:$L$352,11,FALSE),0)</f>
        <v>2232095.2400000002</v>
      </c>
      <c r="J332" s="321">
        <f t="shared" si="49"/>
        <v>565118.33000000007</v>
      </c>
      <c r="K332" s="322">
        <f>HLOOKUP(C332,'تقرير المصروفات حسب الشهر'!$D$1143:$AI$1258,116,FALSE)</f>
        <v>631807.48</v>
      </c>
      <c r="L332" s="97"/>
      <c r="M332" s="324">
        <f>Batal!M18</f>
        <v>11370</v>
      </c>
      <c r="N332" s="307">
        <f t="shared" si="48"/>
        <v>-55319.149999999907</v>
      </c>
    </row>
    <row r="333" spans="1:18" ht="17.25" customHeight="1" thickTop="1" thickBot="1">
      <c r="A333"/>
      <c r="B333" s="312">
        <v>5</v>
      </c>
      <c r="C333" s="314" t="s">
        <v>160</v>
      </c>
      <c r="D333" s="327">
        <f>IFERROR(VLOOKUP(C297,'تقرير إحصائية بحجم المبيعات'!$B$322:$L$352,2,FALSE),0)</f>
        <v>5763435.7699999996</v>
      </c>
      <c r="E333" s="327">
        <f>IFERROR(VLOOKUP(C297,'تقرير إحصائية بحجم المبيعات'!$B$322:$L$352,3,FALSE),0)</f>
        <v>34164.99</v>
      </c>
      <c r="F333" s="327">
        <f>IFERROR(VLOOKUP(C297,'تقرير إحصائية بحجم المبيعات'!$B$322:$L$352,4,FALSE),0)</f>
        <v>2600037.33</v>
      </c>
      <c r="G333" s="319">
        <f t="shared" ref="G333:G355" si="51">+D333+E333+F333</f>
        <v>8397638.0899999999</v>
      </c>
      <c r="H333" s="318">
        <f t="shared" si="50"/>
        <v>270891.55129032256</v>
      </c>
      <c r="I333" s="327">
        <f>IFERROR(VLOOKUP(C333,'تقرير إحصائية بحجم المبيعات'!$B$322:$L$352,11,FALSE),0)</f>
        <v>6844885.0800000001</v>
      </c>
      <c r="J333" s="321">
        <f t="shared" si="49"/>
        <v>1552753.0099999998</v>
      </c>
      <c r="K333" s="322">
        <f>HLOOKUP(C333,'تقرير المصروفات حسب الشهر'!$D$1143:$AI$1258,116,FALSE)</f>
        <v>1179195.3399999999</v>
      </c>
      <c r="L333" s="97"/>
      <c r="M333" s="324">
        <f>'Nasr City'!M18</f>
        <v>0</v>
      </c>
      <c r="N333" s="307">
        <f t="shared" si="48"/>
        <v>373557.66999999993</v>
      </c>
    </row>
    <row r="334" spans="1:18" ht="16.8" thickTop="1" thickBot="1">
      <c r="A334"/>
      <c r="B334" s="312">
        <v>6</v>
      </c>
      <c r="C334" s="314" t="s">
        <v>139</v>
      </c>
      <c r="D334" s="327">
        <f>IFERROR(VLOOKUP(C298,'تقرير إحصائية بحجم المبيعات'!$B$322:$L$352,2,FALSE),0)</f>
        <v>22469.009999999776</v>
      </c>
      <c r="E334" s="327">
        <f>IFERROR(VLOOKUP(C298,'تقرير إحصائية بحجم المبيعات'!$B$322:$L$352,3,FALSE),0)</f>
        <v>0</v>
      </c>
      <c r="F334" s="327">
        <f>IFERROR(VLOOKUP(C298,'تقرير إحصائية بحجم المبيعات'!$B$322:$L$352,4,FALSE),0)</f>
        <v>2211696.04</v>
      </c>
      <c r="G334" s="319">
        <f t="shared" si="51"/>
        <v>2234165.0499999998</v>
      </c>
      <c r="H334" s="318">
        <f t="shared" si="50"/>
        <v>72069.84032258064</v>
      </c>
      <c r="I334" s="327">
        <f>IFERROR(VLOOKUP(C334,'تقرير إحصائية بحجم المبيعات'!$B$322:$L$352,11,FALSE),0)</f>
        <v>1893913.06</v>
      </c>
      <c r="J334" s="321">
        <f t="shared" si="49"/>
        <v>340251.98999999976</v>
      </c>
      <c r="K334" s="322">
        <f>HLOOKUP(C334,'تقرير المصروفات حسب الشهر'!$D$1143:$AI$1258,116,FALSE)</f>
        <v>102690.85</v>
      </c>
      <c r="L334" s="97"/>
      <c r="M334" s="324">
        <f>Sweedy!M18</f>
        <v>234079.19</v>
      </c>
      <c r="N334" s="307">
        <f t="shared" si="48"/>
        <v>471640.32999999973</v>
      </c>
    </row>
    <row r="335" spans="1:18" ht="16.8" thickTop="1" thickBot="1">
      <c r="A335"/>
      <c r="B335" s="312">
        <v>7</v>
      </c>
      <c r="C335" s="314" t="s">
        <v>37</v>
      </c>
      <c r="D335" s="327">
        <f>IFERROR(VLOOKUP(C299,'تقرير إحصائية بحجم المبيعات'!$B$322:$L$352,2,FALSE),0)</f>
        <v>29414.599999999977</v>
      </c>
      <c r="E335" s="327">
        <f>IFERROR(VLOOKUP(C299,'تقرير إحصائية بحجم المبيعات'!$B$322:$L$352,3,FALSE),0)</f>
        <v>0</v>
      </c>
      <c r="F335" s="327">
        <f>IFERROR(VLOOKUP(C299,'تقرير إحصائية بحجم المبيعات'!$B$322:$L$352,4,FALSE),0)</f>
        <v>561708.62</v>
      </c>
      <c r="G335" s="319">
        <f t="shared" si="51"/>
        <v>591123.22</v>
      </c>
      <c r="H335" s="318">
        <f t="shared" si="50"/>
        <v>19068.490967741935</v>
      </c>
      <c r="I335" s="327">
        <f>IFERROR(VLOOKUP(C335,'تقرير إحصائية بحجم المبيعات'!$B$322:$L$352,11,FALSE),0)</f>
        <v>509300.8</v>
      </c>
      <c r="J335" s="321">
        <f t="shared" si="49"/>
        <v>81822.419999999984</v>
      </c>
      <c r="K335" s="322">
        <f>HLOOKUP(C335,'تقرير المصروفات حسب الشهر'!$D$1143:$AI$1258,116,FALSE)</f>
        <v>33581.679999999993</v>
      </c>
      <c r="L335" s="97"/>
      <c r="M335" s="324">
        <f>NTRA!M18</f>
        <v>0</v>
      </c>
      <c r="N335" s="307">
        <f t="shared" si="48"/>
        <v>48240.739999999991</v>
      </c>
    </row>
    <row r="336" spans="1:18" ht="16.8" thickTop="1" thickBot="1">
      <c r="A336"/>
      <c r="B336" s="312">
        <v>8</v>
      </c>
      <c r="C336" s="314" t="s">
        <v>133</v>
      </c>
      <c r="D336" s="327">
        <f>IFERROR(VLOOKUP(C300,'تقرير إحصائية بحجم المبيعات'!$B$322:$L$352,2,FALSE),0)</f>
        <v>51193.239999999991</v>
      </c>
      <c r="E336" s="327">
        <f>IFERROR(VLOOKUP(C300,'تقرير إحصائية بحجم المبيعات'!$B$322:$L$352,3,FALSE),0)</f>
        <v>0</v>
      </c>
      <c r="F336" s="327">
        <f>IFERROR(VLOOKUP(C300,'تقرير إحصائية بحجم المبيعات'!$B$322:$L$352,4,FALSE),0)</f>
        <v>254520.64</v>
      </c>
      <c r="G336" s="319">
        <f t="shared" si="51"/>
        <v>305713.88</v>
      </c>
      <c r="H336" s="318">
        <f t="shared" si="50"/>
        <v>9861.7380645161284</v>
      </c>
      <c r="I336" s="327">
        <f>IFERROR(VLOOKUP(C336,'تقرير إحصائية بحجم المبيعات'!$B$322:$L$352,11,FALSE),0)</f>
        <v>263460.75</v>
      </c>
      <c r="J336" s="321">
        <f t="shared" si="49"/>
        <v>42253.130000000005</v>
      </c>
      <c r="K336" s="322">
        <f>HLOOKUP(C336,'تقرير المصروفات حسب الشهر'!$D$1143:$AI$1258,116,FALSE)</f>
        <v>25037.989999999998</v>
      </c>
      <c r="L336" s="97"/>
      <c r="M336" s="324">
        <f>Etisalat!M18</f>
        <v>0</v>
      </c>
      <c r="N336" s="307">
        <f t="shared" si="48"/>
        <v>17215.140000000007</v>
      </c>
    </row>
    <row r="337" spans="1:14" ht="16.8" thickTop="1" thickBot="1">
      <c r="A337"/>
      <c r="B337" s="312">
        <v>9</v>
      </c>
      <c r="C337" s="314" t="s">
        <v>123</v>
      </c>
      <c r="D337" s="327">
        <f>IFERROR(VLOOKUP(C301,'تقرير إحصائية بحجم المبيعات'!$B$322:$L$352,2,FALSE),0)</f>
        <v>14040.660000000003</v>
      </c>
      <c r="E337" s="327">
        <f>IFERROR(VLOOKUP(C301,'تقرير إحصائية بحجم المبيعات'!$B$322:$L$352,3,FALSE),0)</f>
        <v>0</v>
      </c>
      <c r="F337" s="327">
        <f>IFERROR(VLOOKUP(C301,'تقرير إحصائية بحجم المبيعات'!$B$322:$L$352,4,FALSE),0)</f>
        <v>147781.34</v>
      </c>
      <c r="G337" s="319">
        <f t="shared" si="51"/>
        <v>161822</v>
      </c>
      <c r="H337" s="318">
        <f t="shared" si="50"/>
        <v>5220.0645161290322</v>
      </c>
      <c r="I337" s="327">
        <f>IFERROR(VLOOKUP(C337,'تقرير إحصائية بحجم المبيعات'!$B$322:$L$352,11,FALSE),0)</f>
        <v>141444.53</v>
      </c>
      <c r="J337" s="321">
        <f t="shared" si="49"/>
        <v>20377.47</v>
      </c>
      <c r="K337" s="322">
        <f>HLOOKUP(C337,'تقرير المصروفات حسب الشهر'!$D$1143:$AI$1258,116,FALSE)</f>
        <v>20336.79</v>
      </c>
      <c r="L337" s="97"/>
      <c r="M337" s="324">
        <f>'Hazzem Hassan'!M18</f>
        <v>3269.3799999999997</v>
      </c>
      <c r="N337" s="307">
        <f t="shared" si="48"/>
        <v>3310.06</v>
      </c>
    </row>
    <row r="338" spans="1:14" ht="16.8" thickTop="1" thickBot="1">
      <c r="A338"/>
      <c r="B338" s="312">
        <v>10</v>
      </c>
      <c r="C338" s="314" t="s">
        <v>145</v>
      </c>
      <c r="D338" s="327">
        <f>IFERROR(VLOOKUP(C302,'تقرير إحصائية بحجم المبيعات'!$B$322:$L$352,2,FALSE),0)</f>
        <v>934951.84999999986</v>
      </c>
      <c r="E338" s="327">
        <f>IFERROR(VLOOKUP(C302,'تقرير إحصائية بحجم المبيعات'!$B$322:$L$352,3,FALSE),0)</f>
        <v>3320</v>
      </c>
      <c r="F338" s="327">
        <f>IFERROR(VLOOKUP(C302,'تقرير إحصائية بحجم المبيعات'!$B$322:$L$352,4,FALSE),0)</f>
        <v>1542058.59</v>
      </c>
      <c r="G338" s="319">
        <f t="shared" si="51"/>
        <v>2480330.44</v>
      </c>
      <c r="H338" s="318">
        <f t="shared" si="50"/>
        <v>80010.659354838703</v>
      </c>
      <c r="I338" s="327">
        <f>IFERROR(VLOOKUP(C338,'تقرير إحصائية بحجم المبيعات'!$B$322:$L$352,11,FALSE),0)</f>
        <v>2029268.78</v>
      </c>
      <c r="J338" s="321">
        <f t="shared" si="49"/>
        <v>451061.65999999992</v>
      </c>
      <c r="K338" s="322">
        <f>HLOOKUP(C338,'تقرير المصروفات حسب الشهر'!$D$1143:$AI$1258,116,FALSE)</f>
        <v>396130.93</v>
      </c>
      <c r="L338" s="97"/>
      <c r="M338" s="324">
        <f>Sena3ia!M18</f>
        <v>411.78000000000065</v>
      </c>
      <c r="N338" s="307">
        <f t="shared" si="48"/>
        <v>55342.509999999922</v>
      </c>
    </row>
    <row r="339" spans="1:14" ht="16.8" thickTop="1" thickBot="1">
      <c r="A339"/>
      <c r="B339" s="312">
        <v>11</v>
      </c>
      <c r="C339" s="314" t="s">
        <v>124</v>
      </c>
      <c r="D339" s="327">
        <f>IFERROR(VLOOKUP(C303,'تقرير إحصائية بحجم المبيعات'!$B$322:$L$352,2,FALSE),0)</f>
        <v>179325.50000000012</v>
      </c>
      <c r="E339" s="327">
        <f>IFERROR(VLOOKUP(C303,'تقرير إحصائية بحجم المبيعات'!$B$322:$L$352,3,FALSE),0)</f>
        <v>879.3</v>
      </c>
      <c r="F339" s="327">
        <f>IFERROR(VLOOKUP(C303,'تقرير إحصائية بحجم المبيعات'!$B$322:$L$352,4,FALSE),0)</f>
        <v>377468.89</v>
      </c>
      <c r="G339" s="319">
        <f t="shared" si="51"/>
        <v>557673.69000000018</v>
      </c>
      <c r="H339" s="318">
        <f t="shared" si="50"/>
        <v>17989.473870967748</v>
      </c>
      <c r="I339" s="327">
        <f>IFERROR(VLOOKUP(C339,'تقرير إحصائية بحجم المبيعات'!$B$322:$L$352,11,FALSE),0)</f>
        <v>478907.37</v>
      </c>
      <c r="J339" s="321">
        <f t="shared" si="49"/>
        <v>78766.320000000182</v>
      </c>
      <c r="K339" s="322">
        <f>HLOOKUP(C339,'تقرير المصروفات حسب الشهر'!$D$1143:$AI$1258,116,FALSE)</f>
        <v>61512.21</v>
      </c>
      <c r="L339" s="97"/>
      <c r="M339" s="324">
        <f>Khargia!M18</f>
        <v>0</v>
      </c>
      <c r="N339" s="307">
        <f t="shared" si="48"/>
        <v>17254.110000000182</v>
      </c>
    </row>
    <row r="340" spans="1:14" ht="16.8" thickTop="1" thickBot="1">
      <c r="A340"/>
      <c r="B340" s="312">
        <v>12</v>
      </c>
      <c r="C340" s="314" t="s">
        <v>169</v>
      </c>
      <c r="D340" s="327">
        <f>IFERROR(VLOOKUP(C304,'تقرير إحصائية بحجم المبيعات'!$B$322:$L$352,2,FALSE),0)</f>
        <v>2496887.8400000003</v>
      </c>
      <c r="E340" s="327">
        <f>IFERROR(VLOOKUP(C304,'تقرير إحصائية بحجم المبيعات'!$B$322:$L$352,3,FALSE),0)</f>
        <v>9682.2800000000007</v>
      </c>
      <c r="F340" s="327">
        <f>IFERROR(VLOOKUP(C304,'تقرير إحصائية بحجم المبيعات'!$B$322:$L$352,4,FALSE),0)</f>
        <v>1137778.77</v>
      </c>
      <c r="G340" s="319">
        <f t="shared" si="51"/>
        <v>3644348.89</v>
      </c>
      <c r="H340" s="318">
        <f t="shared" si="50"/>
        <v>117559.64161290323</v>
      </c>
      <c r="I340" s="327">
        <f>IFERROR(VLOOKUP(C340,'تقرير إحصائية بحجم المبيعات'!$B$322:$L$352,11,FALSE),0)</f>
        <v>2884197.66</v>
      </c>
      <c r="J340" s="321">
        <f t="shared" si="49"/>
        <v>760151.23</v>
      </c>
      <c r="K340" s="322">
        <f>HLOOKUP(C340,'تقرير المصروفات حسب الشهر'!$D$1143:$AI$1258,116,FALSE)</f>
        <v>674003.77999999991</v>
      </c>
      <c r="L340" s="97"/>
      <c r="M340" s="324">
        <f>Tagmou3!M18</f>
        <v>0</v>
      </c>
      <c r="N340" s="307">
        <f t="shared" si="48"/>
        <v>86147.45000000007</v>
      </c>
    </row>
    <row r="341" spans="1:14" ht="16.8" thickTop="1" thickBot="1">
      <c r="A341"/>
      <c r="B341" s="312">
        <v>13</v>
      </c>
      <c r="C341" s="314" t="s">
        <v>243</v>
      </c>
      <c r="D341" s="327">
        <f>IFERROR(VLOOKUP(C305,'تقرير إحصائية بحجم المبيعات'!$B$322:$L$352,2,FALSE),0)</f>
        <v>2012115.1600000001</v>
      </c>
      <c r="E341" s="327">
        <f>IFERROR(VLOOKUP(C305,'تقرير إحصائية بحجم المبيعات'!$B$322:$L$352,3,FALSE),0)</f>
        <v>138105.66</v>
      </c>
      <c r="F341" s="327">
        <f>IFERROR(VLOOKUP(C305,'تقرير إحصائية بحجم المبيعات'!$B$322:$L$352,4,FALSE),0)</f>
        <v>806288.02</v>
      </c>
      <c r="G341" s="319">
        <f t="shared" si="51"/>
        <v>2956508.8400000003</v>
      </c>
      <c r="H341" s="318">
        <f t="shared" si="50"/>
        <v>95371.252903225817</v>
      </c>
      <c r="I341" s="327">
        <f>IFERROR(VLOOKUP(C341,'تقرير إحصائية بحجم المبيعات'!$B$322:$L$352,11,FALSE),0)</f>
        <v>2369612.64</v>
      </c>
      <c r="J341" s="321">
        <f t="shared" si="49"/>
        <v>586896.20000000019</v>
      </c>
      <c r="K341" s="322">
        <f>HLOOKUP(C341,'تقرير المصروفات حسب الشهر'!$D$1143:$AI$1258,116,FALSE)</f>
        <v>571541.50800000003</v>
      </c>
      <c r="L341" s="97"/>
      <c r="M341" s="324">
        <f>Maadi!M18</f>
        <v>11488.08</v>
      </c>
      <c r="N341" s="307">
        <f t="shared" si="48"/>
        <v>26842.772000000157</v>
      </c>
    </row>
    <row r="342" spans="1:14" ht="16.8" thickTop="1" thickBot="1">
      <c r="A342"/>
      <c r="B342" s="312">
        <v>14</v>
      </c>
      <c r="C342" s="314" t="s">
        <v>175</v>
      </c>
      <c r="D342" s="327">
        <f>IFERROR(VLOOKUP(C306,'تقرير إحصائية بحجم المبيعات'!$B$322:$L$352,2,FALSE),0)</f>
        <v>4747417.59</v>
      </c>
      <c r="E342" s="327">
        <f>IFERROR(VLOOKUP(C306,'تقرير إحصائية بحجم المبيعات'!$B$322:$L$352,3,FALSE),0)</f>
        <v>1191147.3700000001</v>
      </c>
      <c r="F342" s="327">
        <f>IFERROR(VLOOKUP(C306,'تقرير إحصائية بحجم المبيعات'!$B$322:$L$352,4,FALSE),0)</f>
        <v>1068261.95</v>
      </c>
      <c r="G342" s="319">
        <f t="shared" si="51"/>
        <v>7006826.9100000001</v>
      </c>
      <c r="H342" s="318">
        <f t="shared" si="50"/>
        <v>226026.67451612905</v>
      </c>
      <c r="I342" s="327">
        <f>IFERROR(VLOOKUP(C342,'تقرير إحصائية بحجم المبيعات'!$B$322:$L$352,11,FALSE),0)</f>
        <v>5478297.4800000004</v>
      </c>
      <c r="J342" s="321">
        <f t="shared" si="49"/>
        <v>1528529.4299999997</v>
      </c>
      <c r="K342" s="322">
        <f>HLOOKUP(C342,'تقرير المصروفات حسب الشهر'!$D$1143:$AI$1258,116,FALSE)</f>
        <v>1097603.7</v>
      </c>
      <c r="L342" s="97"/>
      <c r="M342" s="324">
        <f>Zaid!M18</f>
        <v>0</v>
      </c>
      <c r="N342" s="307">
        <f t="shared" si="48"/>
        <v>430925.72999999975</v>
      </c>
    </row>
    <row r="343" spans="1:14" ht="16.8" thickTop="1" thickBot="1">
      <c r="A343"/>
      <c r="B343" s="312">
        <v>15</v>
      </c>
      <c r="C343" s="314" t="s">
        <v>170</v>
      </c>
      <c r="D343" s="327">
        <f>IFERROR(VLOOKUP(C307,'تقرير إحصائية بحجم المبيعات'!$B$322:$L$352,2,FALSE),0)</f>
        <v>593024.74000000011</v>
      </c>
      <c r="E343" s="327">
        <f>IFERROR(VLOOKUP(C307,'تقرير إحصائية بحجم المبيعات'!$B$322:$L$352,3,FALSE),0)</f>
        <v>49666.1</v>
      </c>
      <c r="F343" s="327">
        <f>IFERROR(VLOOKUP(C307,'تقرير إحصائية بحجم المبيعات'!$B$322:$L$352,4,FALSE),0)</f>
        <v>33921.360000000001</v>
      </c>
      <c r="G343" s="319">
        <f t="shared" si="51"/>
        <v>676612.20000000007</v>
      </c>
      <c r="H343" s="318">
        <f t="shared" si="50"/>
        <v>21826.2</v>
      </c>
      <c r="I343" s="327">
        <f>IFERROR(VLOOKUP(C343,'تقرير إحصائية بحجم المبيعات'!$B$322:$L$352,11,FALSE),0)</f>
        <v>505394.67</v>
      </c>
      <c r="J343" s="321">
        <f t="shared" si="49"/>
        <v>171217.53000000009</v>
      </c>
      <c r="K343" s="322">
        <f>HLOOKUP(C343,'تقرير المصروفات حسب الشهر'!$D$1143:$AI$1258,116,FALSE)</f>
        <v>104672.95999999999</v>
      </c>
      <c r="L343" s="97"/>
      <c r="M343" s="324">
        <f>'Sand Beach'!M18</f>
        <v>0</v>
      </c>
      <c r="N343" s="307">
        <f t="shared" si="48"/>
        <v>66544.570000000094</v>
      </c>
    </row>
    <row r="344" spans="1:14" ht="16.8" thickTop="1" thickBot="1">
      <c r="A344"/>
      <c r="B344" s="312">
        <v>16</v>
      </c>
      <c r="C344" s="314" t="s">
        <v>203</v>
      </c>
      <c r="D344" s="327">
        <f>IFERROR(VLOOKUP(C308,'تقرير إحصائية بحجم المبيعات'!$B$322:$L$352,2,FALSE),0)</f>
        <v>1734542.9700000004</v>
      </c>
      <c r="E344" s="327">
        <f>IFERROR(VLOOKUP(C308,'تقرير إحصائية بحجم المبيعات'!$B$322:$L$352,3,FALSE),0)</f>
        <v>97651.17</v>
      </c>
      <c r="F344" s="327">
        <f>IFERROR(VLOOKUP(C308,'تقرير إحصائية بحجم المبيعات'!$B$322:$L$352,4,FALSE),0)</f>
        <v>1024658.3</v>
      </c>
      <c r="G344" s="319">
        <f t="shared" si="51"/>
        <v>2856852.4400000004</v>
      </c>
      <c r="H344" s="318">
        <f t="shared" si="50"/>
        <v>92156.530322580657</v>
      </c>
      <c r="I344" s="327">
        <f>IFERROR(VLOOKUP(C344,'تقرير إحصائية بحجم المبيعات'!$B$322:$L$352,11,FALSE),0)</f>
        <v>2312384.39</v>
      </c>
      <c r="J344" s="321">
        <f t="shared" si="49"/>
        <v>544468.05000000028</v>
      </c>
      <c r="K344" s="322">
        <f>HLOOKUP(C344,'تقرير المصروفات حسب الشهر'!$D$1143:$AI$1258,116,FALSE)</f>
        <v>461614.56</v>
      </c>
      <c r="L344" s="97"/>
      <c r="M344" s="324">
        <f>Alamya!M18</f>
        <v>10670</v>
      </c>
      <c r="N344" s="307">
        <f t="shared" si="48"/>
        <v>93523.490000000282</v>
      </c>
    </row>
    <row r="345" spans="1:14" ht="16.8" thickTop="1" thickBot="1">
      <c r="A345"/>
      <c r="B345" s="312">
        <v>17</v>
      </c>
      <c r="C345" s="314" t="s">
        <v>172</v>
      </c>
      <c r="D345" s="327">
        <f>IFERROR(VLOOKUP(C309,'تقرير إحصائية بحجم المبيعات'!$B$322:$L$352,2,FALSE),0)</f>
        <v>413650.85</v>
      </c>
      <c r="E345" s="327">
        <f>IFERROR(VLOOKUP(C309,'تقرير إحصائية بحجم المبيعات'!$B$322:$L$352,3,FALSE),0)</f>
        <v>0</v>
      </c>
      <c r="F345" s="327">
        <f>IFERROR(VLOOKUP(C309,'تقرير إحصائية بحجم المبيعات'!$B$322:$L$352,4,FALSE),0)</f>
        <v>0</v>
      </c>
      <c r="G345" s="319">
        <f t="shared" si="51"/>
        <v>413650.85</v>
      </c>
      <c r="H345" s="318">
        <f t="shared" si="50"/>
        <v>13343.575806451612</v>
      </c>
      <c r="I345" s="327">
        <f>IFERROR(VLOOKUP(C345,'تقرير إحصائية بحجم المبيعات'!$B$322:$L$352,11,FALSE),0)</f>
        <v>358143.5</v>
      </c>
      <c r="J345" s="321">
        <f t="shared" si="49"/>
        <v>55507.349999999977</v>
      </c>
      <c r="K345" s="322">
        <f>HLOOKUP(C345,'تقرير المصروفات حسب الشهر'!$D$1143:$AI$1258,116,FALSE)</f>
        <v>32106.84</v>
      </c>
      <c r="L345" s="97"/>
      <c r="M345" s="324">
        <f>Online!M18</f>
        <v>0</v>
      </c>
      <c r="N345" s="307">
        <f t="shared" si="48"/>
        <v>23400.509999999977</v>
      </c>
    </row>
    <row r="346" spans="1:14" ht="16.8" thickTop="1" thickBot="1">
      <c r="A346"/>
      <c r="B346" s="312">
        <v>18</v>
      </c>
      <c r="C346" s="314" t="s">
        <v>176</v>
      </c>
      <c r="D346" s="327">
        <f>IFERROR(VLOOKUP(C310,'تقرير إحصائية بحجم المبيعات'!$B$322:$L$352,2,FALSE),0)</f>
        <v>103501.26000000001</v>
      </c>
      <c r="E346" s="327">
        <f>IFERROR(VLOOKUP(C310,'تقرير إحصائية بحجم المبيعات'!$B$322:$L$352,3,FALSE),0)</f>
        <v>0</v>
      </c>
      <c r="F346" s="327">
        <f>IFERROR(VLOOKUP(C310,'تقرير إحصائية بحجم المبيعات'!$B$322:$L$352,4,FALSE),0)</f>
        <v>429628.37</v>
      </c>
      <c r="G346" s="319">
        <f t="shared" si="51"/>
        <v>533129.63</v>
      </c>
      <c r="H346" s="318">
        <f t="shared" si="50"/>
        <v>17197.73</v>
      </c>
      <c r="I346" s="327">
        <f>IFERROR(VLOOKUP(C346,'تقرير إحصائية بحجم المبيعات'!$B$322:$L$352,11,FALSE),0)</f>
        <v>449048.99</v>
      </c>
      <c r="J346" s="321">
        <f t="shared" si="49"/>
        <v>84080.640000000014</v>
      </c>
      <c r="K346" s="322">
        <f>HLOOKUP(C346,'تقرير المصروفات حسب الشهر'!$D$1143:$AI$1258,116,FALSE)</f>
        <v>32104.769999999997</v>
      </c>
      <c r="L346" s="97"/>
      <c r="M346" s="324">
        <f>Orange!M18</f>
        <v>0</v>
      </c>
      <c r="N346" s="307">
        <f t="shared" si="48"/>
        <v>51975.870000000017</v>
      </c>
    </row>
    <row r="347" spans="1:14" ht="16.8" thickTop="1" thickBot="1">
      <c r="A347"/>
      <c r="B347" s="312">
        <v>19</v>
      </c>
      <c r="C347" s="314" t="s">
        <v>177</v>
      </c>
      <c r="D347" s="327">
        <f>IFERROR(VLOOKUP(C311,'تقرير إحصائية بحجم المبيعات'!$B$322:$L$352,2,FALSE),0)</f>
        <v>127451.85999999999</v>
      </c>
      <c r="E347" s="327">
        <f>IFERROR(VLOOKUP(C311,'تقرير إحصائية بحجم المبيعات'!$B$322:$L$352,3,FALSE),0)</f>
        <v>0</v>
      </c>
      <c r="F347" s="327">
        <f>IFERROR(VLOOKUP(C311,'تقرير إحصائية بحجم المبيعات'!$B$322:$L$352,4,FALSE),0)</f>
        <v>514326.36</v>
      </c>
      <c r="G347" s="319">
        <f t="shared" si="51"/>
        <v>641778.22</v>
      </c>
      <c r="H347" s="318">
        <f t="shared" si="50"/>
        <v>20702.52322580645</v>
      </c>
      <c r="I347" s="327">
        <f>IFERROR(VLOOKUP(C347,'تقرير إحصائية بحجم المبيعات'!$B$322:$L$352,11,FALSE),0)</f>
        <v>538000.88</v>
      </c>
      <c r="J347" s="321">
        <f t="shared" si="49"/>
        <v>103777.33999999997</v>
      </c>
      <c r="K347" s="322">
        <f>HLOOKUP(C347,'تقرير المصروفات حسب الشهر'!$D$1143:$AI$1258,116,FALSE)</f>
        <v>29651.500000000004</v>
      </c>
      <c r="L347" s="97"/>
      <c r="M347" s="324">
        <f>Vod.Smart!M18</f>
        <v>0</v>
      </c>
      <c r="N347" s="307">
        <f t="shared" si="48"/>
        <v>74125.839999999967</v>
      </c>
    </row>
    <row r="348" spans="1:14" ht="16.8" thickTop="1" thickBot="1">
      <c r="A348"/>
      <c r="B348" s="312">
        <v>20</v>
      </c>
      <c r="C348" s="314" t="s">
        <v>178</v>
      </c>
      <c r="D348" s="327">
        <f>IFERROR(VLOOKUP(C312,'تقرير إحصائية بحجم المبيعات'!$B$322:$L$352,2,FALSE),0)</f>
        <v>15735.700000000012</v>
      </c>
      <c r="E348" s="327">
        <f>IFERROR(VLOOKUP(C312,'تقرير إحصائية بحجم المبيعات'!$B$322:$L$352,3,FALSE),0)</f>
        <v>0</v>
      </c>
      <c r="F348" s="327">
        <f>IFERROR(VLOOKUP(C312,'تقرير إحصائية بحجم المبيعات'!$B$322:$L$352,4,FALSE),0)</f>
        <v>375387.1</v>
      </c>
      <c r="G348" s="319">
        <f t="shared" si="51"/>
        <v>391122.8</v>
      </c>
      <c r="H348" s="318">
        <f t="shared" si="50"/>
        <v>12616.864516129031</v>
      </c>
      <c r="I348" s="327">
        <f>IFERROR(VLOOKUP(C348,'تقرير إحصائية بحجم المبيعات'!$B$322:$L$352,11,FALSE),0)</f>
        <v>334218.71999999997</v>
      </c>
      <c r="J348" s="321">
        <f t="shared" si="49"/>
        <v>56904.080000000016</v>
      </c>
      <c r="K348" s="322">
        <f>HLOOKUP(C348,'تقرير المصروفات حسب الشهر'!$D$1143:$AI$1258,116,FALSE)</f>
        <v>15524.32</v>
      </c>
      <c r="L348" s="97"/>
      <c r="M348" s="324">
        <f>Vod.Zahraa!M18</f>
        <v>0</v>
      </c>
      <c r="N348" s="307">
        <f t="shared" si="48"/>
        <v>41379.760000000017</v>
      </c>
    </row>
    <row r="349" spans="1:14" ht="16.8" thickTop="1" thickBot="1">
      <c r="A349"/>
      <c r="B349" s="312">
        <v>21</v>
      </c>
      <c r="C349" s="314" t="s">
        <v>179</v>
      </c>
      <c r="D349" s="327">
        <f>IFERROR(VLOOKUP(C313,'تقرير إحصائية بحجم المبيعات'!$B$322:$L$352,2,FALSE),0)</f>
        <v>54440.75</v>
      </c>
      <c r="E349" s="327">
        <f>IFERROR(VLOOKUP(C313,'تقرير إحصائية بحجم المبيعات'!$B$322:$L$352,3,FALSE),0)</f>
        <v>0</v>
      </c>
      <c r="F349" s="327">
        <f>IFERROR(VLOOKUP(C313,'تقرير إحصائية بحجم المبيعات'!$B$322:$L$352,4,FALSE),0)</f>
        <v>643321.81000000006</v>
      </c>
      <c r="G349" s="319">
        <f t="shared" si="51"/>
        <v>697762.56</v>
      </c>
      <c r="H349" s="318">
        <f t="shared" si="50"/>
        <v>22508.469677419358</v>
      </c>
      <c r="I349" s="327">
        <f>IFERROR(VLOOKUP(C349,'تقرير إحصائية بحجم المبيعات'!$B$322:$L$352,11,FALSE),0)</f>
        <v>594034.04</v>
      </c>
      <c r="J349" s="321">
        <f t="shared" si="49"/>
        <v>103728.52000000002</v>
      </c>
      <c r="K349" s="322">
        <f>HLOOKUP(C349,'تقرير المصروفات حسب الشهر'!$D$1143:$AI$1258,116,FALSE)</f>
        <v>49798.630000000005</v>
      </c>
      <c r="L349" s="97"/>
      <c r="M349" s="324">
        <f>Mo7awelat!M18</f>
        <v>40810.99</v>
      </c>
      <c r="N349" s="307">
        <f t="shared" si="48"/>
        <v>94740.88</v>
      </c>
    </row>
    <row r="350" spans="1:14" ht="16.8" thickTop="1" thickBot="1">
      <c r="A350"/>
      <c r="B350" s="312">
        <v>22</v>
      </c>
      <c r="C350" s="314" t="s">
        <v>181</v>
      </c>
      <c r="D350" s="327">
        <f>IFERROR(VLOOKUP(C314,'تقرير إحصائية بحجم المبيعات'!$B$322:$L$352,2,FALSE),0)</f>
        <v>53037.169999999984</v>
      </c>
      <c r="E350" s="327">
        <f>IFERROR(VLOOKUP(C314,'تقرير إحصائية بحجم المبيعات'!$B$322:$L$352,3,FALSE),0)</f>
        <v>0</v>
      </c>
      <c r="F350" s="327">
        <f>IFERROR(VLOOKUP(C314,'تقرير إحصائية بحجم المبيعات'!$B$322:$L$352,4,FALSE),0)</f>
        <v>297174.43</v>
      </c>
      <c r="G350" s="319">
        <f t="shared" si="51"/>
        <v>350211.6</v>
      </c>
      <c r="H350" s="318">
        <f t="shared" si="50"/>
        <v>11297.148387096773</v>
      </c>
      <c r="I350" s="327">
        <f>IFERROR(VLOOKUP(C350,'تقرير إحصائية بحجم المبيعات'!$B$322:$L$352,11,FALSE),0)</f>
        <v>299021.06</v>
      </c>
      <c r="J350" s="321">
        <f t="shared" si="49"/>
        <v>51190.539999999979</v>
      </c>
      <c r="K350" s="322">
        <f>HLOOKUP(C350,'تقرير المصروفات حسب الشهر'!$D$1143:$AI$1258,116,FALSE)</f>
        <v>20686.549999999996</v>
      </c>
      <c r="L350" s="97"/>
      <c r="M350" s="324">
        <f>Electric!M18</f>
        <v>13756.189999999999</v>
      </c>
      <c r="N350" s="307">
        <f t="shared" si="48"/>
        <v>44260.179999999978</v>
      </c>
    </row>
    <row r="351" spans="1:14" ht="16.8" thickTop="1" thickBot="1">
      <c r="A351"/>
      <c r="B351" s="312">
        <v>23</v>
      </c>
      <c r="C351" s="314" t="s">
        <v>182</v>
      </c>
      <c r="D351" s="327">
        <f>IFERROR(VLOOKUP(C315,'تقرير إحصائية بحجم المبيعات'!$B$322:$L$352,2,FALSE),0)</f>
        <v>68887.070000000007</v>
      </c>
      <c r="E351" s="327">
        <f>IFERROR(VLOOKUP(C315,'تقرير إحصائية بحجم المبيعات'!$B$322:$L$352,3,FALSE),0)</f>
        <v>0</v>
      </c>
      <c r="F351" s="327">
        <f>IFERROR(VLOOKUP(C315,'تقرير إحصائية بحجم المبيعات'!$B$322:$L$352,4,FALSE),0)</f>
        <v>179503.68</v>
      </c>
      <c r="G351" s="319">
        <f t="shared" si="51"/>
        <v>248390.75</v>
      </c>
      <c r="H351" s="318">
        <f t="shared" si="50"/>
        <v>8012.6048387096771</v>
      </c>
      <c r="I351" s="327">
        <f>IFERROR(VLOOKUP(C351,'تقرير إحصائية بحجم المبيعات'!$B$322:$L$352,11,FALSE),0)</f>
        <v>217195.22</v>
      </c>
      <c r="J351" s="321">
        <f t="shared" si="49"/>
        <v>31195.53</v>
      </c>
      <c r="K351" s="322">
        <f>HLOOKUP(C351,'تقرير المصروفات حسب الشهر'!$D$1143:$AI$1258,116,FALSE)</f>
        <v>14032.750000000002</v>
      </c>
      <c r="L351" s="97"/>
      <c r="M351" s="324">
        <f>'M.C.V'!M18</f>
        <v>0</v>
      </c>
      <c r="N351" s="307">
        <f t="shared" si="48"/>
        <v>17162.78</v>
      </c>
    </row>
    <row r="352" spans="1:14" ht="16.8" thickTop="1" thickBot="1">
      <c r="A352"/>
      <c r="B352" s="312">
        <v>24</v>
      </c>
      <c r="C352" s="314" t="s">
        <v>187</v>
      </c>
      <c r="D352" s="327">
        <f>IFERROR(VLOOKUP(C316,'تقرير إحصائية بحجم المبيعات'!$B$322:$L$352,2,FALSE),0)</f>
        <v>65469.670000000013</v>
      </c>
      <c r="E352" s="327">
        <f>IFERROR(VLOOKUP(C316,'تقرير إحصائية بحجم المبيعات'!$B$322:$L$352,3,FALSE),0)</f>
        <v>0</v>
      </c>
      <c r="F352" s="327">
        <f>IFERROR(VLOOKUP(C316,'تقرير إحصائية بحجم المبيعات'!$B$322:$L$352,4,FALSE),0)</f>
        <v>236590.96</v>
      </c>
      <c r="G352" s="319">
        <f t="shared" si="51"/>
        <v>302060.63</v>
      </c>
      <c r="H352" s="318">
        <f t="shared" si="50"/>
        <v>9743.891290322581</v>
      </c>
      <c r="I352" s="327">
        <f>IFERROR(VLOOKUP(C352,'تقرير إحصائية بحجم المبيعات'!$B$322:$L$352,11,FALSE),0)</f>
        <v>245868.14</v>
      </c>
      <c r="J352" s="321">
        <f t="shared" si="49"/>
        <v>56192.489999999991</v>
      </c>
      <c r="K352" s="322">
        <f>HLOOKUP(C352,'تقرير المصروفات حسب الشهر'!$D$1143:$AI$1258,116,FALSE)</f>
        <v>34900.299999999996</v>
      </c>
      <c r="L352" s="97"/>
      <c r="M352" s="324">
        <f>Egyplast!M18</f>
        <v>83065.58</v>
      </c>
      <c r="N352" s="307">
        <f t="shared" si="48"/>
        <v>104357.76999999999</v>
      </c>
    </row>
    <row r="353" spans="1:17" ht="16.8" thickTop="1" thickBot="1">
      <c r="A353"/>
      <c r="B353" s="312">
        <v>25</v>
      </c>
      <c r="C353" s="314" t="s">
        <v>233</v>
      </c>
      <c r="D353" s="327">
        <f>IFERROR(VLOOKUP(C317,'تقرير إحصائية بحجم المبيعات'!$B$322:$L$352,2,FALSE),0)</f>
        <v>63689.970000000088</v>
      </c>
      <c r="E353" s="327">
        <f>IFERROR(VLOOKUP(C317,'تقرير إحصائية بحجم المبيعات'!$B$322:$L$352,3,FALSE),0)</f>
        <v>0</v>
      </c>
      <c r="F353" s="327">
        <f>IFERROR(VLOOKUP(C317,'تقرير إحصائية بحجم المبيعات'!$B$322:$L$352,4,FALSE),0)</f>
        <v>541204.6</v>
      </c>
      <c r="G353" s="319">
        <f t="shared" si="51"/>
        <v>604894.57000000007</v>
      </c>
      <c r="H353" s="318">
        <f t="shared" si="50"/>
        <v>19512.72806451613</v>
      </c>
      <c r="I353" s="327">
        <f>IFERROR(VLOOKUP(C353,'تقرير إحصائية بحجم المبيعات'!$B$322:$L$352,11,FALSE),0)</f>
        <v>501767.54</v>
      </c>
      <c r="J353" s="321">
        <f t="shared" si="49"/>
        <v>103127.03000000009</v>
      </c>
      <c r="K353" s="322">
        <f>HLOOKUP(C353,'تقرير المصروفات حسب الشهر'!$D$1143:$AI$1258,116,FALSE)</f>
        <v>52135.58</v>
      </c>
      <c r="L353" s="97"/>
      <c r="M353" s="324">
        <f>Etisalat.Katamya!M18</f>
        <v>0</v>
      </c>
      <c r="N353" s="307">
        <f t="shared" si="48"/>
        <v>50991.450000000084</v>
      </c>
    </row>
    <row r="354" spans="1:17" ht="16.8" thickTop="1" thickBot="1">
      <c r="A354"/>
      <c r="B354" s="312">
        <v>26</v>
      </c>
      <c r="C354" s="315" t="s">
        <v>240</v>
      </c>
      <c r="D354" s="327">
        <f>IFERROR(VLOOKUP(C318,'تقرير إحصائية بحجم المبيعات'!$B$322:$L$352,2,FALSE),0)</f>
        <v>153090.06999999995</v>
      </c>
      <c r="E354" s="327">
        <f>IFERROR(VLOOKUP(C318,'تقرير إحصائية بحجم المبيعات'!$B$322:$L$352,3,FALSE),0)</f>
        <v>0</v>
      </c>
      <c r="F354" s="327">
        <f>IFERROR(VLOOKUP(C318,'تقرير إحصائية بحجم المبيعات'!$B$322:$L$352,4,FALSE),0)</f>
        <v>656539.06999999995</v>
      </c>
      <c r="G354" s="320">
        <f t="shared" si="51"/>
        <v>809629.1399999999</v>
      </c>
      <c r="H354" s="318">
        <f t="shared" si="50"/>
        <v>26117.069032258059</v>
      </c>
      <c r="I354" s="327">
        <f>IFERROR(VLOOKUP(C354,'تقرير إحصائية بحجم المبيعات'!$B$322:$L$352,11,FALSE),0)</f>
        <v>704979.33</v>
      </c>
      <c r="J354" s="321">
        <f t="shared" si="49"/>
        <v>104649.80999999994</v>
      </c>
      <c r="K354" s="322">
        <f>HLOOKUP(C354,'تقرير المصروفات حسب الشهر'!$D$1143:$AI$1258,116,FALSE)</f>
        <v>63439.45</v>
      </c>
      <c r="L354" s="99"/>
      <c r="M354" s="325">
        <f>CFC!M18</f>
        <v>0</v>
      </c>
      <c r="N354" s="307">
        <f t="shared" si="48"/>
        <v>41210.359999999942</v>
      </c>
    </row>
    <row r="355" spans="1:17" ht="16.8" thickTop="1" thickBot="1">
      <c r="A355"/>
      <c r="B355" s="312">
        <v>27</v>
      </c>
      <c r="C355" s="316" t="s">
        <v>245</v>
      </c>
      <c r="D355" s="327">
        <f>IFERROR(VLOOKUP(C319,'تقرير إحصائية بحجم المبيعات'!$B$322:$L$352,2,FALSE),0)</f>
        <v>0</v>
      </c>
      <c r="E355" s="327">
        <f>IFERROR(VLOOKUP(C319,'تقرير إحصائية بحجم المبيعات'!$B$322:$L$352,3,FALSE),0)</f>
        <v>0</v>
      </c>
      <c r="F355" s="327">
        <f>IFERROR(VLOOKUP(C319,'تقرير إحصائية بحجم المبيعات'!$B$322:$L$352,4,FALSE),0)</f>
        <v>0</v>
      </c>
      <c r="G355" s="320">
        <f t="shared" si="51"/>
        <v>0</v>
      </c>
      <c r="H355" s="318">
        <f t="shared" si="50"/>
        <v>0</v>
      </c>
      <c r="I355" s="327">
        <f>IFERROR(VLOOKUP(C355,'تقرير إحصائية بحجم المبيعات'!$B$322:$L$352,11,FALSE),0)</f>
        <v>0</v>
      </c>
      <c r="J355" s="321">
        <f t="shared" si="49"/>
        <v>0</v>
      </c>
      <c r="K355" s="322">
        <f>HLOOKUP(C355,'تقرير المصروفات حسب الشهر'!$D$1143:$AI$1258,116,FALSE)</f>
        <v>0</v>
      </c>
      <c r="L355" s="99"/>
      <c r="M355" s="325">
        <f>North.Coast!M18</f>
        <v>0</v>
      </c>
      <c r="N355" s="307">
        <f t="shared" si="48"/>
        <v>0</v>
      </c>
    </row>
    <row r="356" spans="1:17" ht="16.8" thickTop="1" thickBot="1">
      <c r="A356"/>
      <c r="B356" s="495">
        <v>28</v>
      </c>
      <c r="C356" s="316" t="s">
        <v>357</v>
      </c>
      <c r="D356" s="327">
        <f>IFERROR(VLOOKUP(C320,'تقرير إحصائية بحجم المبيعات'!$B$322:$L$352,2,FALSE),0)</f>
        <v>3459079.11</v>
      </c>
      <c r="E356" s="327">
        <f>IFERROR(VLOOKUP(C320,'تقرير إحصائية بحجم المبيعات'!$B$322:$L$352,3,FALSE),0)</f>
        <v>383997.61</v>
      </c>
      <c r="F356" s="327">
        <f>IFERROR(VLOOKUP(C320,'تقرير إحصائية بحجم المبيعات'!$B$322:$L$352,4,FALSE),0)</f>
        <v>199587.51</v>
      </c>
      <c r="G356" s="320">
        <f>+D356+E356+F356</f>
        <v>4042664.2299999995</v>
      </c>
      <c r="H356" s="318">
        <f>+G356/31</f>
        <v>130408.52354838708</v>
      </c>
      <c r="I356" s="327">
        <f>IFERROR(VLOOKUP(C356,'تقرير إحصائية بحجم المبيعات'!$B$322:$L$352,11,FALSE),0)</f>
        <v>3142231.3</v>
      </c>
      <c r="J356" s="321">
        <f>+G356-I356</f>
        <v>900432.9299999997</v>
      </c>
      <c r="K356" s="322">
        <f>HLOOKUP(C356,'تقرير المصروفات حسب الشهر'!$D$1143:$AI$1258,116,FALSE)</f>
        <v>1021013.1299999999</v>
      </c>
      <c r="L356" s="99"/>
      <c r="M356" s="325">
        <f>Rehab!M18</f>
        <v>0</v>
      </c>
      <c r="N356" s="307">
        <f>J356-K356-L356+M356</f>
        <v>-120580.20000000019</v>
      </c>
    </row>
    <row r="357" spans="1:17" ht="16.8" thickTop="1" thickBot="1">
      <c r="A357"/>
      <c r="B357" s="495">
        <v>29</v>
      </c>
      <c r="C357" s="316" t="s">
        <v>362</v>
      </c>
      <c r="D357" s="327">
        <f>IFERROR(VLOOKUP(C321,'تقرير إحصائية بحجم المبيعات'!$B$322:$L$352,2,FALSE),0)</f>
        <v>83263.929999999935</v>
      </c>
      <c r="E357" s="327">
        <f>IFERROR(VLOOKUP(C321,'تقرير إحصائية بحجم المبيعات'!$B$322:$L$352,3,FALSE),0)</f>
        <v>0</v>
      </c>
      <c r="F357" s="327">
        <f>IFERROR(VLOOKUP(C321,'تقرير إحصائية بحجم المبيعات'!$B$322:$L$352,4,FALSE),0)</f>
        <v>545587.16</v>
      </c>
      <c r="G357" s="320">
        <f>+D357+E357+F357</f>
        <v>628851.09</v>
      </c>
      <c r="H357" s="318">
        <f>+G357/31</f>
        <v>20285.519032258064</v>
      </c>
      <c r="I357" s="327">
        <f>IFERROR(VLOOKUP(C357,'تقرير إحصائية بحجم المبيعات'!$B$322:$L$352,11,FALSE),0)</f>
        <v>509805.33</v>
      </c>
      <c r="J357" s="321">
        <f>+G357-I357</f>
        <v>119045.75999999995</v>
      </c>
      <c r="K357" s="322">
        <f>HLOOKUP(C357,'تقرير المصروفات حسب الشهر'!$D$1143:$AI$1258,116,FALSE)</f>
        <v>21242.679999999997</v>
      </c>
      <c r="L357" s="99"/>
      <c r="M357" s="325">
        <f>'HSBC MAADI'!M18</f>
        <v>0</v>
      </c>
      <c r="N357" s="307">
        <f>J357-K357-L357+M357</f>
        <v>97803.079999999958</v>
      </c>
    </row>
    <row r="358" spans="1:17" ht="16.8" thickTop="1" thickBot="1">
      <c r="A358"/>
      <c r="B358" s="495">
        <v>30</v>
      </c>
      <c r="C358" s="316" t="s">
        <v>361</v>
      </c>
      <c r="D358" s="327">
        <f>IFERROR(VLOOKUP(C322,'تقرير إحصائية بحجم المبيعات'!$B$322:$L$352,2,FALSE),0)</f>
        <v>102972.92000000004</v>
      </c>
      <c r="E358" s="327">
        <f>IFERROR(VLOOKUP(C322,'تقرير إحصائية بحجم المبيعات'!$B$322:$L$352,3,FALSE),0)</f>
        <v>57.6</v>
      </c>
      <c r="F358" s="327">
        <f>IFERROR(VLOOKUP(C322,'تقرير إحصائية بحجم المبيعات'!$B$322:$L$352,4,FALSE),0)</f>
        <v>571096.24</v>
      </c>
      <c r="G358" s="320">
        <f>+D358+E358+F358</f>
        <v>674126.76</v>
      </c>
      <c r="H358" s="318">
        <f>+G358/31</f>
        <v>21746.024516129033</v>
      </c>
      <c r="I358" s="327">
        <f>IFERROR(VLOOKUP(C358,'تقرير إحصائية بحجم المبيعات'!$B$322:$L$352,11,FALSE),0)</f>
        <v>572780.52</v>
      </c>
      <c r="J358" s="321">
        <f>+G358-I358</f>
        <v>101346.23999999999</v>
      </c>
      <c r="K358" s="322">
        <f>HLOOKUP(C358,'تقرير المصروفات حسب الشهر'!$D$1143:$AI$1258,116,FALSE)</f>
        <v>64426.53</v>
      </c>
      <c r="L358" s="99"/>
      <c r="M358" s="325">
        <f>'HSBC SMART'!M18</f>
        <v>51</v>
      </c>
      <c r="N358" s="307">
        <f>J358-K358-L358+M358</f>
        <v>36970.709999999992</v>
      </c>
    </row>
    <row r="359" spans="1:17" ht="16.8" thickTop="1" thickBot="1">
      <c r="A359"/>
      <c r="B359" s="495">
        <v>31</v>
      </c>
      <c r="C359" s="316" t="s">
        <v>234</v>
      </c>
      <c r="D359" s="327">
        <f>IFERROR(VLOOKUP(C323,'تقرير إحصائية بحجم المبيعات'!$B$322:$L$352,2,FALSE),0)</f>
        <v>0</v>
      </c>
      <c r="E359" s="327">
        <f>IFERROR(VLOOKUP(C323,'تقرير إحصائية بحجم المبيعات'!$B$322:$L$352,3,FALSE),0)</f>
        <v>0</v>
      </c>
      <c r="F359" s="327">
        <f>IFERROR(VLOOKUP(C323,'تقرير إحصائية بحجم المبيعات'!$B$322:$L$352,4,FALSE),0)</f>
        <v>0</v>
      </c>
      <c r="G359" s="320">
        <f>+D359+E359+F359</f>
        <v>0</v>
      </c>
      <c r="H359" s="318">
        <f>+G359/31</f>
        <v>0</v>
      </c>
      <c r="I359" s="327">
        <f>IFERROR(VLOOKUP(C359,'تقرير إحصائية بحجم المبيعات'!$B$322:$L$352,11,FALSE),0)</f>
        <v>0</v>
      </c>
      <c r="J359" s="321">
        <f>+G359-I359</f>
        <v>0</v>
      </c>
      <c r="K359" s="322">
        <f>HLOOKUP(C359,'تقرير المصروفات حسب الشهر'!$D$1143:$AI$1258,116,FALSE)</f>
        <v>0</v>
      </c>
      <c r="L359" s="99"/>
      <c r="M359" s="325">
        <f>North.Coast!M18</f>
        <v>0</v>
      </c>
      <c r="N359" s="307">
        <f>J359-K359-L359+M359</f>
        <v>0</v>
      </c>
    </row>
    <row r="360" spans="1:17" ht="16.95" customHeight="1" thickTop="1" thickBot="1">
      <c r="A360"/>
      <c r="B360" s="652" t="s">
        <v>18</v>
      </c>
      <c r="C360" s="653"/>
      <c r="D360" s="305">
        <f>SUM(D329:D359)</f>
        <v>33104407.070000004</v>
      </c>
      <c r="E360" s="305">
        <f t="shared" ref="E360:N360" si="52">SUM(E329:E359)</f>
        <v>4689699.87</v>
      </c>
      <c r="F360" s="305">
        <f t="shared" si="52"/>
        <v>20408749.359999999</v>
      </c>
      <c r="G360" s="305">
        <f t="shared" si="52"/>
        <v>58202856.300000004</v>
      </c>
      <c r="H360" s="305">
        <f t="shared" si="52"/>
        <v>1877511.493548387</v>
      </c>
      <c r="I360" s="305">
        <f t="shared" si="52"/>
        <v>46888175.680000007</v>
      </c>
      <c r="J360" s="305">
        <f t="shared" si="52"/>
        <v>11314680.619999999</v>
      </c>
      <c r="K360" s="305">
        <f t="shared" si="52"/>
        <v>11138989.678000001</v>
      </c>
      <c r="L360" s="305">
        <f t="shared" si="52"/>
        <v>0</v>
      </c>
      <c r="M360" s="305">
        <f t="shared" si="52"/>
        <v>700625.76999999955</v>
      </c>
      <c r="N360" s="305">
        <f t="shared" si="52"/>
        <v>876316.71199999901</v>
      </c>
    </row>
    <row r="361" spans="1:17" ht="13.8" thickTop="1">
      <c r="A361"/>
      <c r="B361"/>
      <c r="C361"/>
      <c r="D361"/>
      <c r="E361"/>
      <c r="F361"/>
      <c r="G361" s="396">
        <f>G360-'تقرير إحصائية بحجم المبيعات'!K352</f>
        <v>0</v>
      </c>
      <c r="H361"/>
      <c r="I361" s="396">
        <f>I360-'تقرير إحصائية بحجم المبيعات'!L352</f>
        <v>0</v>
      </c>
      <c r="J361"/>
      <c r="K361"/>
      <c r="L361"/>
      <c r="M361"/>
      <c r="N361" s="457">
        <f>1021706.74-N360</f>
        <v>145390.02800000098</v>
      </c>
    </row>
    <row r="362" spans="1:17" ht="13.8" thickBo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7" ht="30.6" thickBot="1">
      <c r="A363"/>
      <c r="B363" s="649" t="s">
        <v>384</v>
      </c>
      <c r="C363" s="650"/>
      <c r="D363" s="650"/>
      <c r="E363" s="650"/>
      <c r="F363" s="650"/>
      <c r="G363" s="650"/>
      <c r="H363" s="650"/>
      <c r="I363" s="650"/>
      <c r="J363" s="650"/>
      <c r="K363" s="650"/>
      <c r="L363" s="650"/>
      <c r="M363" s="650"/>
      <c r="N363" s="651"/>
    </row>
    <row r="364" spans="1:17" ht="16.8" thickTop="1" thickBot="1">
      <c r="A364"/>
      <c r="B364" s="308" t="s">
        <v>39</v>
      </c>
      <c r="C364" s="308" t="s">
        <v>34</v>
      </c>
      <c r="D364" s="309" t="s">
        <v>20</v>
      </c>
      <c r="E364" s="310" t="s">
        <v>21</v>
      </c>
      <c r="F364" s="310" t="s">
        <v>22</v>
      </c>
      <c r="G364" s="308" t="s">
        <v>19</v>
      </c>
      <c r="H364" s="308" t="s">
        <v>12</v>
      </c>
      <c r="I364" s="308" t="s">
        <v>13</v>
      </c>
      <c r="J364" s="308" t="s">
        <v>14</v>
      </c>
      <c r="K364" s="308" t="s">
        <v>15</v>
      </c>
      <c r="L364" s="308" t="s">
        <v>32</v>
      </c>
      <c r="M364" s="311" t="s">
        <v>16</v>
      </c>
      <c r="N364" s="306" t="s">
        <v>17</v>
      </c>
    </row>
    <row r="365" spans="1:17" ht="16.8" thickTop="1" thickBot="1">
      <c r="A365"/>
      <c r="B365" s="312">
        <v>1</v>
      </c>
      <c r="C365" s="313" t="s">
        <v>184</v>
      </c>
      <c r="D365" s="327">
        <f>IFERROR(VLOOKUP(C365,'تقرير إحصائية بحجم المبيعات'!$B$357:$L$383,2,FALSE),0)</f>
        <v>0</v>
      </c>
      <c r="E365" s="327">
        <f>IFERROR(VLOOKUP(C365,'تقرير إحصائية بحجم المبيعات'!$B$357:$L$383,3,FALSE),0)</f>
        <v>0</v>
      </c>
      <c r="F365" s="327">
        <f>IFERROR(VLOOKUP(C365,'تقرير إحصائية بحجم المبيعات'!$B$357:$L$383,4,FALSE),0)</f>
        <v>0</v>
      </c>
      <c r="G365" s="317">
        <f>+D365+E365+F365</f>
        <v>0</v>
      </c>
      <c r="H365" s="318">
        <f>+G365/31</f>
        <v>0</v>
      </c>
      <c r="I365" s="327">
        <f>IFERROR(VLOOKUP(C365,'تقرير إحصائية بحجم المبيعات'!$B$357:$L$383,11,FALSE),0)</f>
        <v>0</v>
      </c>
      <c r="J365" s="321">
        <f>+G365-I365</f>
        <v>0</v>
      </c>
      <c r="K365" s="322">
        <f>HLOOKUP(C365,'تقرير المصروفات حسب الشهر'!$D$1270:$AI$1385,116,FALSE)</f>
        <v>2634097.3699999996</v>
      </c>
      <c r="L365" s="96"/>
      <c r="M365" s="323">
        <f>HQ!N18</f>
        <v>444589.29999999958</v>
      </c>
      <c r="N365" s="307">
        <f>J365-K365-L365+M365</f>
        <v>-2189508.0700000003</v>
      </c>
    </row>
    <row r="366" spans="1:17" ht="16.8" thickTop="1" thickBot="1">
      <c r="A366"/>
      <c r="B366" s="312">
        <v>2</v>
      </c>
      <c r="C366" s="313" t="s">
        <v>36</v>
      </c>
      <c r="D366" s="327">
        <f>IFERROR(VLOOKUP(C366,'تقرير إحصائية بحجم المبيعات'!$B$357:$L$383,2,FALSE),0)</f>
        <v>4700429.7299999995</v>
      </c>
      <c r="E366" s="327">
        <f>IFERROR(VLOOKUP(C366,'تقرير إحصائية بحجم المبيعات'!$B$357:$L$383,3,FALSE),0)</f>
        <v>751344.31</v>
      </c>
      <c r="F366" s="327">
        <f>IFERROR(VLOOKUP(C366,'تقرير إحصائية بحجم المبيعات'!$B$357:$L$383,4,FALSE),0)</f>
        <v>1533385.23</v>
      </c>
      <c r="G366" s="317">
        <f>+D366+E366+F366</f>
        <v>6985159.2699999996</v>
      </c>
      <c r="H366" s="318">
        <f>+G366/31</f>
        <v>225327.71838709677</v>
      </c>
      <c r="I366" s="327">
        <f>IFERROR(VLOOKUP(C366,'تقرير إحصائية بحجم المبيعات'!$B$357:$L$383,11,FALSE),0)</f>
        <v>5564222</v>
      </c>
      <c r="J366" s="321">
        <f>+G366-I366</f>
        <v>1420937.2699999996</v>
      </c>
      <c r="K366" s="322">
        <f>HLOOKUP(C366,'تقرير المصروفات حسب الشهر'!$D$1270:$AI$1385,116,FALSE)</f>
        <v>1134451.42</v>
      </c>
      <c r="L366" s="96"/>
      <c r="M366" s="324">
        <f>Aguza!N18</f>
        <v>10216.820000000007</v>
      </c>
      <c r="N366" s="307">
        <f t="shared" ref="N366:N395" si="53">J366-K366-L366+M366</f>
        <v>296702.66999999963</v>
      </c>
      <c r="Q366" s="548">
        <f>308890.19-N366</f>
        <v>12187.520000000368</v>
      </c>
    </row>
    <row r="367" spans="1:17" ht="16.8" thickTop="1" thickBot="1">
      <c r="A367"/>
      <c r="B367" s="312">
        <v>3</v>
      </c>
      <c r="C367" s="313" t="s">
        <v>9</v>
      </c>
      <c r="D367" s="327">
        <f>IFERROR(VLOOKUP(C367,'تقرير إحصائية بحجم المبيعات'!$B$357:$L$383,2,FALSE),0)</f>
        <v>3840488.1999999993</v>
      </c>
      <c r="E367" s="327">
        <f>IFERROR(VLOOKUP(C367,'تقرير إحصائية بحجم المبيعات'!$B$357:$L$383,3,FALSE),0)</f>
        <v>1775363.91</v>
      </c>
      <c r="F367" s="327">
        <f>IFERROR(VLOOKUP(C367,'تقرير إحصائية بحجم المبيعات'!$B$357:$L$383,4,FALSE),0)</f>
        <v>442635</v>
      </c>
      <c r="G367" s="317">
        <f>+D367+E367+F367</f>
        <v>6058487.1099999994</v>
      </c>
      <c r="H367" s="318">
        <f>+G367/31</f>
        <v>195435.06806451612</v>
      </c>
      <c r="I367" s="327">
        <f>IFERROR(VLOOKUP(C367,'تقرير إحصائية بحجم المبيعات'!$B$357:$L$383,11,FALSE),0)</f>
        <v>4775535.6900000004</v>
      </c>
      <c r="J367" s="321">
        <f t="shared" ref="J367:J391" si="54">+G367-I367</f>
        <v>1282951.419999999</v>
      </c>
      <c r="K367" s="322">
        <f>HLOOKUP(C367,'تقرير المصروفات حسب الشهر'!$D$1270:$AI$1385,116,FALSE)</f>
        <v>1004502.98</v>
      </c>
      <c r="L367" s="96"/>
      <c r="M367" s="324">
        <f>October!N18</f>
        <v>9608.6099999999715</v>
      </c>
      <c r="N367" s="307">
        <f t="shared" si="53"/>
        <v>288057.049999999</v>
      </c>
      <c r="Q367" s="2">
        <v>0</v>
      </c>
    </row>
    <row r="368" spans="1:17" ht="17.25" customHeight="1" thickTop="1" thickBot="1">
      <c r="A368"/>
      <c r="B368" s="312">
        <v>4</v>
      </c>
      <c r="C368" s="313" t="s">
        <v>25</v>
      </c>
      <c r="D368" s="327">
        <f>IFERROR(VLOOKUP(C368,'تقرير إحصائية بحجم المبيعات'!$B$357:$L$383,2,FALSE),0)</f>
        <v>2076269.0799999996</v>
      </c>
      <c r="E368" s="327">
        <f>IFERROR(VLOOKUP(C368,'تقرير إحصائية بحجم المبيعات'!$B$357:$L$383,3,FALSE),0)</f>
        <v>367237.34</v>
      </c>
      <c r="F368" s="327">
        <f>IFERROR(VLOOKUP(C368,'تقرير إحصائية بحجم المبيعات'!$B$357:$L$383,4,FALSE),0)</f>
        <v>1370779.82</v>
      </c>
      <c r="G368" s="317">
        <f>+D368+E368+F368</f>
        <v>3814286.2399999993</v>
      </c>
      <c r="H368" s="318">
        <f t="shared" ref="H368:H391" si="55">+G368/31</f>
        <v>123041.49161290321</v>
      </c>
      <c r="I368" s="327">
        <f>IFERROR(VLOOKUP(C368,'تقرير إحصائية بحجم المبيعات'!$B$357:$L$383,11,FALSE),0)</f>
        <v>3064911</v>
      </c>
      <c r="J368" s="321">
        <f t="shared" si="54"/>
        <v>749375.23999999929</v>
      </c>
      <c r="K368" s="322">
        <f>HLOOKUP(C368,'تقرير المصروفات حسب الشهر'!$D$1270:$AI$1385,116,FALSE)</f>
        <v>536827.64</v>
      </c>
      <c r="L368" s="96"/>
      <c r="M368" s="324">
        <f>Batal!N18</f>
        <v>7187.87</v>
      </c>
      <c r="N368" s="307">
        <f t="shared" si="53"/>
        <v>219735.46999999927</v>
      </c>
      <c r="Q368" s="2">
        <v>0</v>
      </c>
    </row>
    <row r="369" spans="1:17" ht="16.8" thickTop="1" thickBot="1">
      <c r="A369"/>
      <c r="B369" s="312">
        <v>5</v>
      </c>
      <c r="C369" s="313" t="s">
        <v>160</v>
      </c>
      <c r="D369" s="327">
        <f>IFERROR(VLOOKUP(C369,'تقرير إحصائية بحجم المبيعات'!$B$357:$L$383,2,FALSE),0)</f>
        <v>5941090.9199999999</v>
      </c>
      <c r="E369" s="327">
        <f>IFERROR(VLOOKUP(C369,'تقرير إحصائية بحجم المبيعات'!$B$357:$L$383,3,FALSE),0)</f>
        <v>21738.74</v>
      </c>
      <c r="F369" s="327">
        <f>IFERROR(VLOOKUP(C369,'تقرير إحصائية بحجم المبيعات'!$B$357:$L$383,4,FALSE),0)</f>
        <v>2507801.83</v>
      </c>
      <c r="G369" s="317">
        <f t="shared" ref="G369:G391" si="56">+D369+E369+F369</f>
        <v>8470631.4900000002</v>
      </c>
      <c r="H369" s="318">
        <f t="shared" si="55"/>
        <v>273246.17709677422</v>
      </c>
      <c r="I369" s="327">
        <f>IFERROR(VLOOKUP(C369,'تقرير إحصائية بحجم المبيعات'!$B$357:$L$383,11,FALSE),0)</f>
        <v>6931653.1100000003</v>
      </c>
      <c r="J369" s="321">
        <f t="shared" si="54"/>
        <v>1538978.38</v>
      </c>
      <c r="K369" s="322">
        <f>HLOOKUP(C369,'تقرير المصروفات حسب الشهر'!$D$1270:$AI$1385,116,FALSE)</f>
        <v>1130944.04</v>
      </c>
      <c r="L369" s="96"/>
      <c r="M369" s="324">
        <f>'Nasr City'!N18</f>
        <v>125017.45000000001</v>
      </c>
      <c r="N369" s="307">
        <f t="shared" si="53"/>
        <v>533051.7899999998</v>
      </c>
      <c r="Q369" s="2">
        <v>0</v>
      </c>
    </row>
    <row r="370" spans="1:17" ht="16.8" thickTop="1" thickBot="1">
      <c r="A370"/>
      <c r="B370" s="312">
        <v>6</v>
      </c>
      <c r="C370" s="313" t="s">
        <v>139</v>
      </c>
      <c r="D370" s="327">
        <f>IFERROR(VLOOKUP(C370,'تقرير إحصائية بحجم المبيعات'!$B$357:$L$383,2,FALSE),0)</f>
        <v>40387.690000000075</v>
      </c>
      <c r="E370" s="327">
        <f>IFERROR(VLOOKUP(C370,'تقرير إحصائية بحجم المبيعات'!$B$357:$L$383,3,FALSE),0)</f>
        <v>0</v>
      </c>
      <c r="F370" s="327">
        <f>IFERROR(VLOOKUP(C370,'تقرير إحصائية بحجم المبيعات'!$B$357:$L$383,4,FALSE),0)</f>
        <v>1992967.38</v>
      </c>
      <c r="G370" s="317">
        <f t="shared" si="56"/>
        <v>2033355.07</v>
      </c>
      <c r="H370" s="318">
        <f t="shared" si="55"/>
        <v>65592.099032258062</v>
      </c>
      <c r="I370" s="327">
        <f>IFERROR(VLOOKUP(C370,'تقرير إحصائية بحجم المبيعات'!$B$357:$L$383,11,FALSE),0)</f>
        <v>1772017.34</v>
      </c>
      <c r="J370" s="321">
        <f t="shared" si="54"/>
        <v>261337.72999999998</v>
      </c>
      <c r="K370" s="322">
        <f>HLOOKUP(C370,'تقرير المصروفات حسب الشهر'!$D$1270:$AI$1385,116,FALSE)</f>
        <v>77209.710000000006</v>
      </c>
      <c r="L370" s="96"/>
      <c r="M370" s="324">
        <f>Sweedy!N18</f>
        <v>147385.82</v>
      </c>
      <c r="N370" s="307">
        <f t="shared" si="53"/>
        <v>331513.83999999997</v>
      </c>
      <c r="Q370" s="2">
        <v>0</v>
      </c>
    </row>
    <row r="371" spans="1:17" ht="16.8" thickTop="1" thickBot="1">
      <c r="A371"/>
      <c r="B371" s="312">
        <v>7</v>
      </c>
      <c r="C371" s="313" t="s">
        <v>37</v>
      </c>
      <c r="D371" s="327">
        <f>IFERROR(VLOOKUP(C371,'تقرير إحصائية بحجم المبيعات'!$B$357:$L$383,2,FALSE),0)</f>
        <v>51206.219999999972</v>
      </c>
      <c r="E371" s="327">
        <f>IFERROR(VLOOKUP(C371,'تقرير إحصائية بحجم المبيعات'!$B$357:$L$383,3,FALSE),0)</f>
        <v>0</v>
      </c>
      <c r="F371" s="327">
        <f>IFERROR(VLOOKUP(C371,'تقرير إحصائية بحجم المبيعات'!$B$357:$L$383,4,FALSE),0)</f>
        <v>592217.65</v>
      </c>
      <c r="G371" s="317">
        <f t="shared" si="56"/>
        <v>643423.87</v>
      </c>
      <c r="H371" s="318">
        <f t="shared" si="55"/>
        <v>20755.608709677421</v>
      </c>
      <c r="I371" s="327">
        <f>IFERROR(VLOOKUP(C371,'تقرير إحصائية بحجم المبيعات'!$B$357:$L$383,11,FALSE),0)</f>
        <v>555019.44999999995</v>
      </c>
      <c r="J371" s="321">
        <f t="shared" si="54"/>
        <v>88404.420000000042</v>
      </c>
      <c r="K371" s="322">
        <f>HLOOKUP(C371,'تقرير المصروفات حسب الشهر'!$D$1270:$AI$1385,116,FALSE)</f>
        <v>33016.899999999994</v>
      </c>
      <c r="L371" s="96"/>
      <c r="M371" s="324">
        <f>NTRA!N18</f>
        <v>10369.950000000004</v>
      </c>
      <c r="N371" s="307">
        <f t="shared" si="53"/>
        <v>65757.470000000059</v>
      </c>
      <c r="Q371" s="2">
        <v>0</v>
      </c>
    </row>
    <row r="372" spans="1:17" ht="16.8" thickTop="1" thickBot="1">
      <c r="A372"/>
      <c r="B372" s="312">
        <v>8</v>
      </c>
      <c r="C372" s="313" t="s">
        <v>133</v>
      </c>
      <c r="D372" s="327">
        <f>IFERROR(VLOOKUP(C372,'تقرير إحصائية بحجم المبيعات'!$B$357:$L$383,2,FALSE),0)</f>
        <v>-489.10000000003492</v>
      </c>
      <c r="E372" s="327">
        <f>IFERROR(VLOOKUP(C372,'تقرير إحصائية بحجم المبيعات'!$B$357:$L$383,3,FALSE),0)</f>
        <v>26024.78</v>
      </c>
      <c r="F372" s="327">
        <f>IFERROR(VLOOKUP(C372,'تقرير إحصائية بحجم المبيعات'!$B$357:$L$383,4,FALSE),0)</f>
        <v>255906.98</v>
      </c>
      <c r="G372" s="317">
        <f t="shared" si="56"/>
        <v>281442.65999999997</v>
      </c>
      <c r="H372" s="318">
        <f t="shared" si="55"/>
        <v>9078.7954838709666</v>
      </c>
      <c r="I372" s="327">
        <f>IFERROR(VLOOKUP(C372,'تقرير إحصائية بحجم المبيعات'!$B$357:$L$383,11,FALSE),0)</f>
        <v>242922.13</v>
      </c>
      <c r="J372" s="321">
        <f t="shared" si="54"/>
        <v>38520.52999999997</v>
      </c>
      <c r="K372" s="322">
        <f>HLOOKUP(C372,'تقرير المصروفات حسب الشهر'!$D$1270:$AI$1385,116,FALSE)</f>
        <v>23362.73</v>
      </c>
      <c r="L372" s="96"/>
      <c r="M372" s="324">
        <f>Etisalat!N18</f>
        <v>837.25</v>
      </c>
      <c r="N372" s="307">
        <f t="shared" si="53"/>
        <v>15995.04999999997</v>
      </c>
      <c r="Q372" s="2">
        <v>0</v>
      </c>
    </row>
    <row r="373" spans="1:17" ht="16.8" thickTop="1" thickBot="1">
      <c r="A373"/>
      <c r="B373" s="312">
        <v>9</v>
      </c>
      <c r="C373" s="313" t="s">
        <v>123</v>
      </c>
      <c r="D373" s="327">
        <f>IFERROR(VLOOKUP(C373,'تقرير إحصائية بحجم المبيعات'!$B$357:$L$383,2,FALSE),0)</f>
        <v>17070.579999999998</v>
      </c>
      <c r="E373" s="327">
        <f>IFERROR(VLOOKUP(C373,'تقرير إحصائية بحجم المبيعات'!$B$357:$L$383,3,FALSE),0)</f>
        <v>0</v>
      </c>
      <c r="F373" s="327">
        <f>IFERROR(VLOOKUP(C373,'تقرير إحصائية بحجم المبيعات'!$B$357:$L$383,4,FALSE),0)</f>
        <v>146979.38</v>
      </c>
      <c r="G373" s="317">
        <f t="shared" si="56"/>
        <v>164049.96</v>
      </c>
      <c r="H373" s="318">
        <f t="shared" si="55"/>
        <v>5291.9341935483872</v>
      </c>
      <c r="I373" s="327">
        <f>IFERROR(VLOOKUP(C373,'تقرير إحصائية بحجم المبيعات'!$B$357:$L$383,11,FALSE),0)</f>
        <v>142780.76</v>
      </c>
      <c r="J373" s="321">
        <f t="shared" si="54"/>
        <v>21269.199999999983</v>
      </c>
      <c r="K373" s="322">
        <f>HLOOKUP(C373,'تقرير المصروفات حسب الشهر'!$D$1270:$AI$1385,116,FALSE)</f>
        <v>21345.230000000003</v>
      </c>
      <c r="L373" s="96"/>
      <c r="M373" s="324">
        <f>'Hazzem Hassan'!N18</f>
        <v>3811.9400000000014</v>
      </c>
      <c r="N373" s="307">
        <f t="shared" si="53"/>
        <v>3735.9099999999808</v>
      </c>
      <c r="Q373" s="2">
        <v>0</v>
      </c>
    </row>
    <row r="374" spans="1:17" ht="16.8" thickTop="1" thickBot="1">
      <c r="A374"/>
      <c r="B374" s="312">
        <v>10</v>
      </c>
      <c r="C374" s="313" t="s">
        <v>145</v>
      </c>
      <c r="D374" s="327">
        <f>IFERROR(VLOOKUP(C374,'تقرير إحصائية بحجم المبيعات'!$B$357:$L$383,2,FALSE),0)</f>
        <v>965790.24999999977</v>
      </c>
      <c r="E374" s="327">
        <f>IFERROR(VLOOKUP(C374,'تقرير إحصائية بحجم المبيعات'!$B$357:$L$383,3,FALSE),0)</f>
        <v>1226.71</v>
      </c>
      <c r="F374" s="327">
        <f>IFERROR(VLOOKUP(C374,'تقرير إحصائية بحجم المبيعات'!$B$357:$L$383,4,FALSE),0)</f>
        <v>1701051.24</v>
      </c>
      <c r="G374" s="317">
        <f t="shared" si="56"/>
        <v>2668068.1999999997</v>
      </c>
      <c r="H374" s="318">
        <f t="shared" si="55"/>
        <v>86066.716129032255</v>
      </c>
      <c r="I374" s="327">
        <f>IFERROR(VLOOKUP(C374,'تقرير إحصائية بحجم المبيعات'!$B$357:$L$383,11,FALSE),0)</f>
        <v>2165758.2999999998</v>
      </c>
      <c r="J374" s="321">
        <f t="shared" si="54"/>
        <v>502309.89999999991</v>
      </c>
      <c r="K374" s="322">
        <f>HLOOKUP(C374,'تقرير المصروفات حسب الشهر'!$D$1270:$AI$1385,116,FALSE)</f>
        <v>408237.39</v>
      </c>
      <c r="L374" s="96"/>
      <c r="M374" s="324">
        <f>Sena3ia!N18</f>
        <v>0</v>
      </c>
      <c r="N374" s="307">
        <f t="shared" si="53"/>
        <v>94072.509999999893</v>
      </c>
      <c r="Q374" s="2">
        <v>0</v>
      </c>
    </row>
    <row r="375" spans="1:17" ht="16.8" thickTop="1" thickBot="1">
      <c r="A375"/>
      <c r="B375" s="312">
        <v>11</v>
      </c>
      <c r="C375" s="313" t="s">
        <v>124</v>
      </c>
      <c r="D375" s="327">
        <f>IFERROR(VLOOKUP(C375,'تقرير إحصائية بحجم المبيعات'!$B$357:$L$383,2,FALSE),0)</f>
        <v>219358.45000000007</v>
      </c>
      <c r="E375" s="327">
        <f>IFERROR(VLOOKUP(C375,'تقرير إحصائية بحجم المبيعات'!$B$357:$L$383,3,FALSE),0)</f>
        <v>0</v>
      </c>
      <c r="F375" s="327">
        <f>IFERROR(VLOOKUP(C375,'تقرير إحصائية بحجم المبيعات'!$B$357:$L$383,4,FALSE),0)</f>
        <v>378245.13</v>
      </c>
      <c r="G375" s="317">
        <f t="shared" si="56"/>
        <v>597603.58000000007</v>
      </c>
      <c r="H375" s="318">
        <f t="shared" si="55"/>
        <v>19277.534838709678</v>
      </c>
      <c r="I375" s="327">
        <f>IFERROR(VLOOKUP(C375,'تقرير إحصائية بحجم المبيعات'!$B$357:$L$383,11,FALSE),0)</f>
        <v>510693.6</v>
      </c>
      <c r="J375" s="321">
        <f t="shared" si="54"/>
        <v>86909.980000000098</v>
      </c>
      <c r="K375" s="322">
        <f>HLOOKUP(C375,'تقرير المصروفات حسب الشهر'!$D$1270:$AI$1385,116,FALSE)</f>
        <v>44003.75</v>
      </c>
      <c r="L375" s="96"/>
      <c r="M375" s="324">
        <f>Khargia!N18</f>
        <v>0</v>
      </c>
      <c r="N375" s="307">
        <f t="shared" si="53"/>
        <v>42906.230000000098</v>
      </c>
      <c r="Q375" s="2">
        <v>0</v>
      </c>
    </row>
    <row r="376" spans="1:17" ht="16.8" thickTop="1" thickBot="1">
      <c r="A376"/>
      <c r="B376" s="312">
        <v>12</v>
      </c>
      <c r="C376" s="313" t="s">
        <v>169</v>
      </c>
      <c r="D376" s="327">
        <f>IFERROR(VLOOKUP(C376,'تقرير إحصائية بحجم المبيعات'!$B$357:$L$383,2,FALSE),0)</f>
        <v>2217335.5900000003</v>
      </c>
      <c r="E376" s="327">
        <f>IFERROR(VLOOKUP(C376,'تقرير إحصائية بحجم المبيعات'!$B$357:$L$383,3,FALSE),0)</f>
        <v>1434.9</v>
      </c>
      <c r="F376" s="327">
        <f>IFERROR(VLOOKUP(C376,'تقرير إحصائية بحجم المبيعات'!$B$357:$L$383,4,FALSE),0)</f>
        <v>908946.95</v>
      </c>
      <c r="G376" s="317">
        <f t="shared" si="56"/>
        <v>3127717.4400000004</v>
      </c>
      <c r="H376" s="318">
        <f t="shared" si="55"/>
        <v>100894.11096774194</v>
      </c>
      <c r="I376" s="327">
        <f>IFERROR(VLOOKUP(C376,'تقرير إحصائية بحجم المبيعات'!$B$357:$L$383,11,FALSE),0)</f>
        <v>2482703.06</v>
      </c>
      <c r="J376" s="321">
        <f t="shared" si="54"/>
        <v>645014.38000000035</v>
      </c>
      <c r="K376" s="322">
        <f>HLOOKUP(C376,'تقرير المصروفات حسب الشهر'!$D$1270:$AI$1385,116,FALSE)</f>
        <v>611932.02</v>
      </c>
      <c r="L376" s="96"/>
      <c r="M376" s="324">
        <f>Tagmou3!N18</f>
        <v>10343.580000000002</v>
      </c>
      <c r="N376" s="307">
        <f t="shared" si="53"/>
        <v>43425.940000000337</v>
      </c>
      <c r="Q376" s="2">
        <v>0</v>
      </c>
    </row>
    <row r="377" spans="1:17" ht="16.8" thickTop="1" thickBot="1">
      <c r="A377"/>
      <c r="B377" s="312">
        <v>13</v>
      </c>
      <c r="C377" s="313" t="s">
        <v>243</v>
      </c>
      <c r="D377" s="327">
        <f>IFERROR(VLOOKUP(C377,'تقرير إحصائية بحجم المبيعات'!$B$357:$L$383,2,FALSE),0)</f>
        <v>1967069.9499999997</v>
      </c>
      <c r="E377" s="327">
        <f>IFERROR(VLOOKUP(C377,'تقرير إحصائية بحجم المبيعات'!$B$357:$L$383,3,FALSE),0)</f>
        <v>238383.35</v>
      </c>
      <c r="F377" s="327">
        <f>IFERROR(VLOOKUP(C377,'تقرير إحصائية بحجم المبيعات'!$B$357:$L$383,4,FALSE),0)</f>
        <v>634258.87</v>
      </c>
      <c r="G377" s="317">
        <f t="shared" si="56"/>
        <v>2839712.17</v>
      </c>
      <c r="H377" s="318">
        <f t="shared" si="55"/>
        <v>91603.618387096765</v>
      </c>
      <c r="I377" s="327">
        <f>IFERROR(VLOOKUP(C377,'تقرير إحصائية بحجم المبيعات'!$B$357:$L$383,11,FALSE),0)</f>
        <v>2261370.0099999998</v>
      </c>
      <c r="J377" s="321">
        <f t="shared" si="54"/>
        <v>578342.16000000015</v>
      </c>
      <c r="K377" s="322">
        <f>HLOOKUP(C377,'تقرير المصروفات حسب الشهر'!$D$1270:$AI$1385,116,FALSE)</f>
        <v>559283.09</v>
      </c>
      <c r="L377" s="96"/>
      <c r="M377" s="324">
        <f>Maadi!N18</f>
        <v>11.429999999999998</v>
      </c>
      <c r="N377" s="307">
        <f t="shared" si="53"/>
        <v>19070.500000000182</v>
      </c>
      <c r="Q377" s="2">
        <v>0</v>
      </c>
    </row>
    <row r="378" spans="1:17" ht="16.8" thickTop="1" thickBot="1">
      <c r="A378"/>
      <c r="B378" s="312">
        <v>14</v>
      </c>
      <c r="C378" s="313" t="s">
        <v>175</v>
      </c>
      <c r="D378" s="327">
        <f>IFERROR(VLOOKUP(C378,'تقرير إحصائية بحجم المبيعات'!$B$357:$L$383,2,FALSE),0)</f>
        <v>4955129.3199999994</v>
      </c>
      <c r="E378" s="327">
        <f>IFERROR(VLOOKUP(C378,'تقرير إحصائية بحجم المبيعات'!$B$357:$L$383,3,FALSE),0)</f>
        <v>1155572.73</v>
      </c>
      <c r="F378" s="327">
        <f>IFERROR(VLOOKUP(C378,'تقرير إحصائية بحجم المبيعات'!$B$357:$L$383,4,FALSE),0)</f>
        <v>849408.24</v>
      </c>
      <c r="G378" s="317">
        <f t="shared" si="56"/>
        <v>6960110.2899999991</v>
      </c>
      <c r="H378" s="318">
        <f t="shared" si="55"/>
        <v>224519.68677419351</v>
      </c>
      <c r="I378" s="327">
        <f>IFERROR(VLOOKUP(C378,'تقرير إحصائية بحجم المبيعات'!$B$357:$L$383,11,FALSE),0)</f>
        <v>5490783.0599999996</v>
      </c>
      <c r="J378" s="321">
        <f t="shared" si="54"/>
        <v>1469327.2299999995</v>
      </c>
      <c r="K378" s="322">
        <f>HLOOKUP(C378,'تقرير المصروفات حسب الشهر'!$D$1270:$AI$1385,116,FALSE)</f>
        <v>1137976.7899999998</v>
      </c>
      <c r="L378" s="96"/>
      <c r="M378" s="324">
        <f>Zaid!N18</f>
        <v>0</v>
      </c>
      <c r="N378" s="307">
        <f t="shared" si="53"/>
        <v>331350.43999999971</v>
      </c>
      <c r="Q378" s="2">
        <v>0</v>
      </c>
    </row>
    <row r="379" spans="1:17" ht="16.8" thickTop="1" thickBot="1">
      <c r="A379"/>
      <c r="B379" s="312">
        <v>15</v>
      </c>
      <c r="C379" s="313" t="s">
        <v>170</v>
      </c>
      <c r="D379" s="327">
        <f>IFERROR(VLOOKUP(C379,'تقرير إحصائية بحجم المبيعات'!$B$357:$L$383,2,FALSE),0)</f>
        <v>528388.41</v>
      </c>
      <c r="E379" s="327">
        <f>IFERROR(VLOOKUP(C379,'تقرير إحصائية بحجم المبيعات'!$B$357:$L$383,3,FALSE),0)</f>
        <v>31594.79</v>
      </c>
      <c r="F379" s="327">
        <f>IFERROR(VLOOKUP(C379,'تقرير إحصائية بحجم المبيعات'!$B$357:$L$383,4,FALSE),0)</f>
        <v>31783.599999999999</v>
      </c>
      <c r="G379" s="317">
        <f t="shared" si="56"/>
        <v>591766.80000000005</v>
      </c>
      <c r="H379" s="318">
        <f t="shared" si="55"/>
        <v>19089.251612903226</v>
      </c>
      <c r="I379" s="327">
        <f>IFERROR(VLOOKUP(C379,'تقرير إحصائية بحجم المبيعات'!$B$357:$L$383,11,FALSE),0)</f>
        <v>441954.36</v>
      </c>
      <c r="J379" s="321">
        <f t="shared" si="54"/>
        <v>149812.44000000006</v>
      </c>
      <c r="K379" s="322">
        <f>HLOOKUP(C379,'تقرير المصروفات حسب الشهر'!$D$1270:$AI$1385,116,FALSE)</f>
        <v>99823.480000000025</v>
      </c>
      <c r="L379" s="96"/>
      <c r="M379" s="324">
        <f>'Sand Beach'!N18</f>
        <v>8299.6099999999988</v>
      </c>
      <c r="N379" s="307">
        <f t="shared" si="53"/>
        <v>58288.570000000036</v>
      </c>
      <c r="Q379" s="2">
        <v>0</v>
      </c>
    </row>
    <row r="380" spans="1:17" ht="16.8" thickTop="1" thickBot="1">
      <c r="A380"/>
      <c r="B380" s="312">
        <v>16</v>
      </c>
      <c r="C380" s="313" t="s">
        <v>203</v>
      </c>
      <c r="D380" s="327">
        <f>IFERROR(VLOOKUP(C380,'تقرير إحصائية بحجم المبيعات'!$B$357:$L$383,2,FALSE),0)</f>
        <v>1814758.0199999998</v>
      </c>
      <c r="E380" s="327">
        <f>IFERROR(VLOOKUP(C380,'تقرير إحصائية بحجم المبيعات'!$B$357:$L$383,3,FALSE),0)</f>
        <v>83953.81</v>
      </c>
      <c r="F380" s="327">
        <f>IFERROR(VLOOKUP(C380,'تقرير إحصائية بحجم المبيعات'!$B$357:$L$383,4,FALSE),0)</f>
        <v>600146.72</v>
      </c>
      <c r="G380" s="317">
        <f t="shared" si="56"/>
        <v>2498858.5499999998</v>
      </c>
      <c r="H380" s="318">
        <f t="shared" si="55"/>
        <v>80608.34032258064</v>
      </c>
      <c r="I380" s="327">
        <f>IFERROR(VLOOKUP(C380,'تقرير إحصائية بحجم المبيعات'!$B$357:$L$383,11,FALSE),0)</f>
        <v>1984801.87</v>
      </c>
      <c r="J380" s="321">
        <f t="shared" si="54"/>
        <v>514056.6799999997</v>
      </c>
      <c r="K380" s="322">
        <f>HLOOKUP(C380,'تقرير المصروفات حسب الشهر'!$D$1270:$AI$1385,116,FALSE)</f>
        <v>476628.42</v>
      </c>
      <c r="L380" s="96"/>
      <c r="M380" s="324">
        <f>Alamya!N18</f>
        <v>0</v>
      </c>
      <c r="N380" s="307">
        <f t="shared" si="53"/>
        <v>37428.259999999718</v>
      </c>
      <c r="Q380" s="2">
        <v>0</v>
      </c>
    </row>
    <row r="381" spans="1:17" ht="16.8" thickTop="1" thickBot="1">
      <c r="A381"/>
      <c r="B381" s="312">
        <v>17</v>
      </c>
      <c r="C381" s="313" t="s">
        <v>172</v>
      </c>
      <c r="D381" s="327">
        <f>IFERROR(VLOOKUP(C381,'تقرير إحصائية بحجم المبيعات'!$B$357:$L$383,2,FALSE),0)</f>
        <v>804777.74</v>
      </c>
      <c r="E381" s="327">
        <f>IFERROR(VLOOKUP(C381,'تقرير إحصائية بحجم المبيعات'!$B$357:$L$383,3,FALSE),0)</f>
        <v>0</v>
      </c>
      <c r="F381" s="327">
        <f>IFERROR(VLOOKUP(C381,'تقرير إحصائية بحجم المبيعات'!$B$357:$L$383,4,FALSE),0)</f>
        <v>0</v>
      </c>
      <c r="G381" s="317">
        <f t="shared" si="56"/>
        <v>804777.74</v>
      </c>
      <c r="H381" s="318">
        <f t="shared" si="55"/>
        <v>25960.572258064516</v>
      </c>
      <c r="I381" s="327">
        <f>IFERROR(VLOOKUP(C381,'تقرير إحصائية بحجم المبيعات'!$B$357:$L$383,11,FALSE),0)</f>
        <v>702767.37</v>
      </c>
      <c r="J381" s="321">
        <f t="shared" si="54"/>
        <v>102010.37</v>
      </c>
      <c r="K381" s="322">
        <f>HLOOKUP(C381,'تقرير المصروفات حسب الشهر'!$D$1270:$AI$1385,116,FALSE)</f>
        <v>35996.32</v>
      </c>
      <c r="L381" s="96"/>
      <c r="M381" s="324">
        <f>Online!N18</f>
        <v>0</v>
      </c>
      <c r="N381" s="307">
        <f t="shared" si="53"/>
        <v>66014.049999999988</v>
      </c>
      <c r="Q381" s="2">
        <v>0</v>
      </c>
    </row>
    <row r="382" spans="1:17" ht="16.8" thickTop="1" thickBot="1">
      <c r="A382"/>
      <c r="B382" s="312">
        <v>18</v>
      </c>
      <c r="C382" s="313" t="s">
        <v>176</v>
      </c>
      <c r="D382" s="327">
        <f>IFERROR(VLOOKUP(C382,'تقرير إحصائية بحجم المبيعات'!$B$357:$L$383,2,FALSE),0)</f>
        <v>91639.349999999977</v>
      </c>
      <c r="E382" s="327">
        <f>IFERROR(VLOOKUP(C382,'تقرير إحصائية بحجم المبيعات'!$B$357:$L$383,3,FALSE),0)</f>
        <v>0</v>
      </c>
      <c r="F382" s="327">
        <f>IFERROR(VLOOKUP(C382,'تقرير إحصائية بحجم المبيعات'!$B$357:$L$383,4,FALSE),0)</f>
        <v>470623.27</v>
      </c>
      <c r="G382" s="317">
        <f t="shared" si="56"/>
        <v>562262.62</v>
      </c>
      <c r="H382" s="318">
        <f t="shared" si="55"/>
        <v>18137.503870967743</v>
      </c>
      <c r="I382" s="327">
        <f>IFERROR(VLOOKUP(C382,'تقرير إحصائية بحجم المبيعات'!$B$357:$L$383,11,FALSE),0)</f>
        <v>473045.86</v>
      </c>
      <c r="J382" s="321">
        <f t="shared" si="54"/>
        <v>89216.760000000009</v>
      </c>
      <c r="K382" s="322">
        <f>HLOOKUP(C382,'تقرير المصروفات حسب الشهر'!$D$1270:$AI$1385,116,FALSE)</f>
        <v>31481.62</v>
      </c>
      <c r="L382" s="96"/>
      <c r="M382" s="324">
        <f>Orange!N18</f>
        <v>50039.96</v>
      </c>
      <c r="N382" s="307">
        <f t="shared" si="53"/>
        <v>107775.1</v>
      </c>
      <c r="Q382" s="2">
        <v>0</v>
      </c>
    </row>
    <row r="383" spans="1:17" ht="16.8" thickTop="1" thickBot="1">
      <c r="A383"/>
      <c r="B383" s="312">
        <v>19</v>
      </c>
      <c r="C383" s="313" t="s">
        <v>177</v>
      </c>
      <c r="D383" s="327">
        <f>IFERROR(VLOOKUP(C383,'تقرير إحصائية بحجم المبيعات'!$B$357:$L$383,2,FALSE),0)</f>
        <v>117904.95000000007</v>
      </c>
      <c r="E383" s="327">
        <f>IFERROR(VLOOKUP(C383,'تقرير إحصائية بحجم المبيعات'!$B$357:$L$383,3,FALSE),0)</f>
        <v>0</v>
      </c>
      <c r="F383" s="327">
        <f>IFERROR(VLOOKUP(C383,'تقرير إحصائية بحجم المبيعات'!$B$357:$L$383,4,FALSE),0)</f>
        <v>628962.81999999995</v>
      </c>
      <c r="G383" s="317">
        <f t="shared" si="56"/>
        <v>746867.77</v>
      </c>
      <c r="H383" s="318">
        <f t="shared" si="55"/>
        <v>24092.508709677419</v>
      </c>
      <c r="I383" s="327">
        <f>IFERROR(VLOOKUP(C383,'تقرير إحصائية بحجم المبيعات'!$B$357:$L$383,11,FALSE),0)</f>
        <v>628400.27</v>
      </c>
      <c r="J383" s="321">
        <f t="shared" si="54"/>
        <v>118467.5</v>
      </c>
      <c r="K383" s="322">
        <f>HLOOKUP(C383,'تقرير المصروفات حسب الشهر'!$D$1270:$AI$1385,116,FALSE)</f>
        <v>32846.6</v>
      </c>
      <c r="L383" s="96"/>
      <c r="M383" s="324">
        <f>Vod.Smart!N18</f>
        <v>5238.59</v>
      </c>
      <c r="N383" s="307">
        <f t="shared" si="53"/>
        <v>90859.489999999991</v>
      </c>
      <c r="Q383" s="2">
        <v>0</v>
      </c>
    </row>
    <row r="384" spans="1:17" ht="16.8" thickTop="1" thickBot="1">
      <c r="A384"/>
      <c r="B384" s="312">
        <v>20</v>
      </c>
      <c r="C384" s="313" t="s">
        <v>178</v>
      </c>
      <c r="D384" s="327">
        <f>IFERROR(VLOOKUP(C384,'تقرير إحصائية بحجم المبيعات'!$B$357:$L$383,2,FALSE),0)</f>
        <v>10685.75</v>
      </c>
      <c r="E384" s="327">
        <f>IFERROR(VLOOKUP(C384,'تقرير إحصائية بحجم المبيعات'!$B$357:$L$383,3,FALSE),0)</f>
        <v>0</v>
      </c>
      <c r="F384" s="327">
        <f>IFERROR(VLOOKUP(C384,'تقرير إحصائية بحجم المبيعات'!$B$357:$L$383,4,FALSE),0)</f>
        <v>404070.23</v>
      </c>
      <c r="G384" s="317">
        <f t="shared" si="56"/>
        <v>414755.98</v>
      </c>
      <c r="H384" s="318">
        <f t="shared" si="55"/>
        <v>13379.225161290322</v>
      </c>
      <c r="I384" s="327">
        <f>IFERROR(VLOOKUP(C384,'تقرير إحصائية بحجم المبيعات'!$B$357:$L$383,11,FALSE),0)</f>
        <v>344149.29</v>
      </c>
      <c r="J384" s="321">
        <f t="shared" si="54"/>
        <v>70606.69</v>
      </c>
      <c r="K384" s="322">
        <f>HLOOKUP(C384,'تقرير المصروفات حسب الشهر'!$D$1270:$AI$1385,116,FALSE)</f>
        <v>14470.529999999999</v>
      </c>
      <c r="L384" s="96"/>
      <c r="M384" s="324">
        <f>Vod.Zahraa!N18</f>
        <v>8287.6900000000023</v>
      </c>
      <c r="N384" s="307">
        <f t="shared" si="53"/>
        <v>64423.850000000006</v>
      </c>
      <c r="Q384" s="2">
        <v>0</v>
      </c>
    </row>
    <row r="385" spans="1:17" ht="16.95" customHeight="1" thickTop="1" thickBot="1">
      <c r="A385"/>
      <c r="B385" s="312">
        <v>21</v>
      </c>
      <c r="C385" s="313" t="s">
        <v>179</v>
      </c>
      <c r="D385" s="327">
        <f>IFERROR(VLOOKUP(C385,'تقرير إحصائية بحجم المبيعات'!$B$357:$L$383,2,FALSE),0)</f>
        <v>-616.0100000000466</v>
      </c>
      <c r="E385" s="327">
        <f>IFERROR(VLOOKUP(C385,'تقرير إحصائية بحجم المبيعات'!$B$357:$L$383,3,FALSE),0)</f>
        <v>0</v>
      </c>
      <c r="F385" s="327">
        <f>IFERROR(VLOOKUP(C385,'تقرير إحصائية بحجم المبيعات'!$B$357:$L$383,4,FALSE),0)</f>
        <v>652705.68999999994</v>
      </c>
      <c r="G385" s="317">
        <f t="shared" si="56"/>
        <v>652089.67999999993</v>
      </c>
      <c r="H385" s="318">
        <f t="shared" si="55"/>
        <v>21035.150967741934</v>
      </c>
      <c r="I385" s="327">
        <f>IFERROR(VLOOKUP(C385,'تقرير إحصائية بحجم المبيعات'!$B$357:$L$383,11,FALSE),0)</f>
        <v>556940.98</v>
      </c>
      <c r="J385" s="321">
        <f t="shared" si="54"/>
        <v>95148.699999999953</v>
      </c>
      <c r="K385" s="322">
        <f>HLOOKUP(C385,'تقرير المصروفات حسب الشهر'!$D$1270:$AI$1385,116,FALSE)</f>
        <v>22288.860000000004</v>
      </c>
      <c r="L385" s="96"/>
      <c r="M385" s="324">
        <f>Mo7awelat!N18</f>
        <v>70650.5</v>
      </c>
      <c r="N385" s="307">
        <f t="shared" si="53"/>
        <v>143510.33999999997</v>
      </c>
    </row>
    <row r="386" spans="1:17" ht="16.8" thickTop="1" thickBot="1">
      <c r="A386"/>
      <c r="B386" s="312">
        <v>22</v>
      </c>
      <c r="C386" s="313" t="s">
        <v>181</v>
      </c>
      <c r="D386" s="327">
        <f>IFERROR(VLOOKUP(C386,'تقرير إحصائية بحجم المبيعات'!$B$357:$L$383,2,FALSE),0)</f>
        <v>11015.650000000049</v>
      </c>
      <c r="E386" s="327">
        <f>IFERROR(VLOOKUP(C386,'تقرير إحصائية بحجم المبيعات'!$B$357:$L$383,3,FALSE),0)</f>
        <v>0</v>
      </c>
      <c r="F386" s="327">
        <f>IFERROR(VLOOKUP(C386,'تقرير إحصائية بحجم المبيعات'!$B$357:$L$383,4,FALSE),0)</f>
        <v>323105.8</v>
      </c>
      <c r="G386" s="317">
        <f t="shared" si="56"/>
        <v>334121.45</v>
      </c>
      <c r="H386" s="318">
        <f t="shared" si="55"/>
        <v>10778.11129032258</v>
      </c>
      <c r="I386" s="327">
        <f>IFERROR(VLOOKUP(C386,'تقرير إحصائية بحجم المبيعات'!$B$357:$L$383,11,FALSE),0)</f>
        <v>286753.76</v>
      </c>
      <c r="J386" s="321">
        <f t="shared" si="54"/>
        <v>47367.69</v>
      </c>
      <c r="K386" s="322">
        <f>HLOOKUP(C386,'تقرير المصروفات حسب الشهر'!$D$1270:$AI$1385,116,FALSE)</f>
        <v>23534.930000000004</v>
      </c>
      <c r="L386" s="96"/>
      <c r="M386" s="324">
        <f>Electric!N18</f>
        <v>24468.910000000003</v>
      </c>
      <c r="N386" s="307">
        <f t="shared" si="53"/>
        <v>48301.67</v>
      </c>
      <c r="Q386" s="2">
        <v>0</v>
      </c>
    </row>
    <row r="387" spans="1:17" ht="16.8" thickTop="1" thickBot="1">
      <c r="A387"/>
      <c r="B387" s="312">
        <v>23</v>
      </c>
      <c r="C387" s="313" t="s">
        <v>182</v>
      </c>
      <c r="D387" s="327">
        <f>IFERROR(VLOOKUP(C387,'تقرير إحصائية بحجم المبيعات'!$B$357:$L$383,2,FALSE),0)</f>
        <v>28563.510000000009</v>
      </c>
      <c r="E387" s="327">
        <f>IFERROR(VLOOKUP(C387,'تقرير إحصائية بحجم المبيعات'!$B$357:$L$383,3,FALSE),0)</f>
        <v>0</v>
      </c>
      <c r="F387" s="327">
        <f>IFERROR(VLOOKUP(C387,'تقرير إحصائية بحجم المبيعات'!$B$357:$L$383,4,FALSE),0)</f>
        <v>163245.96</v>
      </c>
      <c r="G387" s="317">
        <f t="shared" si="56"/>
        <v>191809.47</v>
      </c>
      <c r="H387" s="318">
        <f t="shared" si="55"/>
        <v>6187.402258064516</v>
      </c>
      <c r="I387" s="327">
        <f>IFERROR(VLOOKUP(C387,'تقرير إحصائية بحجم المبيعات'!$B$357:$L$383,11,FALSE),0)</f>
        <v>165853.35999999999</v>
      </c>
      <c r="J387" s="321">
        <f t="shared" si="54"/>
        <v>25956.110000000015</v>
      </c>
      <c r="K387" s="322">
        <f>HLOOKUP(C387,'تقرير المصروفات حسب الشهر'!$D$1270:$AI$1385,116,FALSE)</f>
        <v>19745.059999999998</v>
      </c>
      <c r="L387" s="96"/>
      <c r="M387" s="324">
        <f>'M.C.V'!N18</f>
        <v>0</v>
      </c>
      <c r="N387" s="307">
        <f t="shared" si="53"/>
        <v>6211.0500000000175</v>
      </c>
      <c r="Q387" s="2">
        <v>0</v>
      </c>
    </row>
    <row r="388" spans="1:17" ht="16.8" thickTop="1" thickBot="1">
      <c r="A388"/>
      <c r="B388" s="312">
        <v>24</v>
      </c>
      <c r="C388" s="313" t="s">
        <v>187</v>
      </c>
      <c r="D388" s="327">
        <f>IFERROR(VLOOKUP(C388,'تقرير إحصائية بحجم المبيعات'!$B$357:$L$383,2,FALSE),0)</f>
        <v>70499.570000000007</v>
      </c>
      <c r="E388" s="327">
        <f>IFERROR(VLOOKUP(C388,'تقرير إحصائية بحجم المبيعات'!$B$357:$L$383,3,FALSE),0)</f>
        <v>0</v>
      </c>
      <c r="F388" s="327">
        <f>IFERROR(VLOOKUP(C388,'تقرير إحصائية بحجم المبيعات'!$B$357:$L$383,4,FALSE),0)</f>
        <v>229234.43</v>
      </c>
      <c r="G388" s="317">
        <f t="shared" si="56"/>
        <v>299734</v>
      </c>
      <c r="H388" s="318">
        <f t="shared" si="55"/>
        <v>9668.8387096774186</v>
      </c>
      <c r="I388" s="327">
        <f>IFERROR(VLOOKUP(C388,'تقرير إحصائية بحجم المبيعات'!$B$357:$L$383,11,FALSE),0)</f>
        <v>239054.5</v>
      </c>
      <c r="J388" s="321">
        <f t="shared" si="54"/>
        <v>60679.5</v>
      </c>
      <c r="K388" s="322">
        <f>HLOOKUP(C388,'تقرير المصروفات حسب الشهر'!$D$1270:$AI$1385,116,FALSE)</f>
        <v>24035.5</v>
      </c>
      <c r="L388" s="96"/>
      <c r="M388" s="324">
        <f>Egyplast!N18</f>
        <v>0</v>
      </c>
      <c r="N388" s="307">
        <f t="shared" si="53"/>
        <v>36644</v>
      </c>
      <c r="Q388" s="2">
        <v>0</v>
      </c>
    </row>
    <row r="389" spans="1:17" ht="16.8" thickTop="1" thickBot="1">
      <c r="A389"/>
      <c r="B389" s="312">
        <v>25</v>
      </c>
      <c r="C389" s="313" t="s">
        <v>233</v>
      </c>
      <c r="D389" s="327">
        <f>IFERROR(VLOOKUP(C389,'تقرير إحصائية بحجم المبيعات'!$B$357:$L$383,2,FALSE),0)</f>
        <v>39168.830000000075</v>
      </c>
      <c r="E389" s="327">
        <f>IFERROR(VLOOKUP(C389,'تقرير إحصائية بحجم المبيعات'!$B$357:$L$383,3,FALSE),0)</f>
        <v>0</v>
      </c>
      <c r="F389" s="327">
        <f>IFERROR(VLOOKUP(C389,'تقرير إحصائية بحجم المبيعات'!$B$357:$L$383,4,FALSE),0)</f>
        <v>570477.68999999994</v>
      </c>
      <c r="G389" s="317">
        <f t="shared" si="56"/>
        <v>609646.52</v>
      </c>
      <c r="H389" s="318">
        <f t="shared" si="55"/>
        <v>19666.016774193547</v>
      </c>
      <c r="I389" s="327">
        <f>IFERROR(VLOOKUP(C389,'تقرير إحصائية بحجم المبيعات'!$B$357:$L$383,11,FALSE),0)</f>
        <v>504203.44</v>
      </c>
      <c r="J389" s="321">
        <f t="shared" si="54"/>
        <v>105443.08000000002</v>
      </c>
      <c r="K389" s="322">
        <f>HLOOKUP(C389,'تقرير المصروفات حسب الشهر'!$D$1270:$AI$1385,116,FALSE)</f>
        <v>35853.21</v>
      </c>
      <c r="L389" s="96"/>
      <c r="M389" s="324">
        <f>Etisalat.Katamya!N18</f>
        <v>17473.22</v>
      </c>
      <c r="N389" s="307">
        <f t="shared" si="53"/>
        <v>87063.090000000026</v>
      </c>
      <c r="Q389" s="2">
        <v>0</v>
      </c>
    </row>
    <row r="390" spans="1:17" ht="16.8" thickTop="1" thickBot="1">
      <c r="A390"/>
      <c r="B390" s="312">
        <v>26</v>
      </c>
      <c r="C390" s="313" t="s">
        <v>240</v>
      </c>
      <c r="D390" s="327">
        <f>IFERROR(VLOOKUP(C390,'تقرير إحصائية بحجم المبيعات'!$B$357:$L$383,2,FALSE),0)</f>
        <v>139440.99</v>
      </c>
      <c r="E390" s="327">
        <f>IFERROR(VLOOKUP(C390,'تقرير إحصائية بحجم المبيعات'!$B$357:$L$383,3,FALSE),0)</f>
        <v>0</v>
      </c>
      <c r="F390" s="327">
        <f>IFERROR(VLOOKUP(C390,'تقرير إحصائية بحجم المبيعات'!$B$357:$L$383,4,FALSE),0)</f>
        <v>763400.96</v>
      </c>
      <c r="G390" s="317">
        <f t="shared" si="56"/>
        <v>902841.95</v>
      </c>
      <c r="H390" s="318">
        <f t="shared" si="55"/>
        <v>29123.933870967739</v>
      </c>
      <c r="I390" s="327">
        <f>IFERROR(VLOOKUP(C390,'تقرير إحصائية بحجم المبيعات'!$B$357:$L$383,11,FALSE),0)</f>
        <v>783845.18</v>
      </c>
      <c r="J390" s="321">
        <f t="shared" si="54"/>
        <v>118996.7699999999</v>
      </c>
      <c r="K390" s="322">
        <f>HLOOKUP(C390,'تقرير المصروفات حسب الشهر'!$D$1270:$AI$1385,116,FALSE)</f>
        <v>44941.810000000005</v>
      </c>
      <c r="L390" s="96"/>
      <c r="M390" s="325">
        <f>CFC!N18</f>
        <v>51179.289999999994</v>
      </c>
      <c r="N390" s="307">
        <f t="shared" si="53"/>
        <v>125234.2499999999</v>
      </c>
      <c r="Q390" s="2">
        <v>0</v>
      </c>
    </row>
    <row r="391" spans="1:17" ht="16.8" thickTop="1" thickBot="1">
      <c r="A391"/>
      <c r="B391" s="312">
        <v>27</v>
      </c>
      <c r="C391" s="313" t="s">
        <v>245</v>
      </c>
      <c r="D391" s="327">
        <f>IFERROR(VLOOKUP(C391,'تقرير إحصائية بحجم المبيعات'!$B$357:$L$383,2,FALSE),0)</f>
        <v>0</v>
      </c>
      <c r="E391" s="327">
        <f>IFERROR(VLOOKUP(C391,'تقرير إحصائية بحجم المبيعات'!$B$357:$L$383,3,FALSE),0)</f>
        <v>0</v>
      </c>
      <c r="F391" s="327">
        <f>IFERROR(VLOOKUP(C391,'تقرير إحصائية بحجم المبيعات'!$B$357:$L$383,4,FALSE),0)</f>
        <v>0</v>
      </c>
      <c r="G391" s="317">
        <f t="shared" si="56"/>
        <v>0</v>
      </c>
      <c r="H391" s="318">
        <f t="shared" si="55"/>
        <v>0</v>
      </c>
      <c r="I391" s="327">
        <f>IFERROR(VLOOKUP(C391,'تقرير إحصائية بحجم المبيعات'!$B$357:$L$383,11,FALSE),0)</f>
        <v>0</v>
      </c>
      <c r="J391" s="321">
        <f t="shared" si="54"/>
        <v>0</v>
      </c>
      <c r="K391" s="322">
        <f>HLOOKUP(C391,'تقرير المصروفات حسب الشهر'!$D$1270:$AI$1385,116,FALSE)</f>
        <v>0</v>
      </c>
      <c r="L391" s="96"/>
      <c r="M391" s="325">
        <f>North.Coast!N18</f>
        <v>0</v>
      </c>
      <c r="N391" s="307">
        <f t="shared" si="53"/>
        <v>0</v>
      </c>
      <c r="Q391" s="2">
        <v>0</v>
      </c>
    </row>
    <row r="392" spans="1:17" ht="16.8" thickTop="1" thickBot="1">
      <c r="A392"/>
      <c r="B392" s="312">
        <v>28</v>
      </c>
      <c r="C392" s="547" t="s">
        <v>357</v>
      </c>
      <c r="D392" s="327">
        <f>IFERROR(VLOOKUP(C392,'تقرير إحصائية بحجم المبيعات'!$B$357:$L$387,2,FALSE),0)</f>
        <v>2909057.32</v>
      </c>
      <c r="E392" s="327">
        <f>IFERROR(VLOOKUP(C392,'تقرير إحصائية بحجم المبيعات'!$B$357:$L$387,3,FALSE),0)</f>
        <v>450539.45</v>
      </c>
      <c r="F392" s="327">
        <f>IFERROR(VLOOKUP(C392,'تقرير إحصائية بحجم المبيعات'!$B$357:$L$383,4,FALSE),0)</f>
        <v>261841.25</v>
      </c>
      <c r="G392" s="317">
        <f>+D392+E392+F392</f>
        <v>3621438.02</v>
      </c>
      <c r="H392" s="318">
        <f>+G392/31</f>
        <v>116820.58129032257</v>
      </c>
      <c r="I392" s="327">
        <f>IFERROR(VLOOKUP(C392,'تقرير إحصائية بحجم المبيعات'!$B$357:$L$383,11,FALSE),0)</f>
        <v>2795222.19</v>
      </c>
      <c r="J392" s="321">
        <f>+G392-I392</f>
        <v>826215.83000000007</v>
      </c>
      <c r="K392" s="322">
        <f>HLOOKUP(C392,'تقرير المصروفات حسب الشهر'!$D$1270:$AI$1385,116,FALSE)</f>
        <v>902320.33</v>
      </c>
      <c r="L392" s="96"/>
      <c r="M392" s="325">
        <f>Rehab!N18</f>
        <v>16274.280000000013</v>
      </c>
      <c r="N392" s="307">
        <f t="shared" si="53"/>
        <v>-59830.21999999987</v>
      </c>
      <c r="Q392" s="2">
        <v>0</v>
      </c>
    </row>
    <row r="393" spans="1:17" ht="16.8" thickTop="1" thickBot="1">
      <c r="A393"/>
      <c r="B393" s="312">
        <v>29</v>
      </c>
      <c r="C393" s="547" t="s">
        <v>362</v>
      </c>
      <c r="D393" s="327">
        <f>IFERROR(VLOOKUP(C393,'تقرير إحصائية بحجم المبيعات'!$B$357:$L$387,2,FALSE),0)</f>
        <v>111824.39000000006</v>
      </c>
      <c r="E393" s="327">
        <f>IFERROR(VLOOKUP(C393,'تقرير إحصائية بحجم المبيعات'!$B$357:$L$387,3,FALSE),0)</f>
        <v>0</v>
      </c>
      <c r="F393" s="327">
        <f>IFERROR(VLOOKUP(C393,'تقرير إحصائية بحجم المبيعات'!$B$357:$L$387,4,FALSE),0)</f>
        <v>546476.67000000004</v>
      </c>
      <c r="G393" s="317">
        <f>+D393+E393+F393</f>
        <v>658301.06000000006</v>
      </c>
      <c r="H393" s="318">
        <f>+G393/31</f>
        <v>21235.518064516131</v>
      </c>
      <c r="I393" s="327">
        <f>IFERROR(VLOOKUP(C393,'تقرير إحصائية بحجم المبيعات'!$B$357:$L$387,11,FALSE),0)</f>
        <v>537113.57999999996</v>
      </c>
      <c r="J393" s="321">
        <f>+G393-I393</f>
        <v>121187.4800000001</v>
      </c>
      <c r="K393" s="322">
        <f>HLOOKUP(C393,'تقرير المصروفات حسب الشهر'!$D$1270:$AI$1385,116,FALSE)</f>
        <v>13846.33</v>
      </c>
      <c r="L393" s="96"/>
      <c r="M393" s="325">
        <f>'HSBC MAADI'!N18</f>
        <v>21268.330000000009</v>
      </c>
      <c r="N393" s="307">
        <f t="shared" si="53"/>
        <v>128609.4800000001</v>
      </c>
      <c r="Q393" s="2">
        <v>0</v>
      </c>
    </row>
    <row r="394" spans="1:17" ht="16.8" thickTop="1" thickBot="1">
      <c r="A394"/>
      <c r="B394" s="312">
        <v>30</v>
      </c>
      <c r="C394" s="547" t="s">
        <v>361</v>
      </c>
      <c r="D394" s="327">
        <f>IFERROR(VLOOKUP(C394,'تقرير إحصائية بحجم المبيعات'!$B$357:$L$387,2,FALSE),0)</f>
        <v>101598.72000000009</v>
      </c>
      <c r="E394" s="327">
        <f>IFERROR(VLOOKUP(C394,'تقرير إحصائية بحجم المبيعات'!$B$357:$L$387,3,FALSE),0)</f>
        <v>0</v>
      </c>
      <c r="F394" s="327">
        <f>IFERROR(VLOOKUP(C394,'تقرير إحصائية بحجم المبيعات'!$B$357:$L$387,4,FALSE),0)</f>
        <v>757830.22</v>
      </c>
      <c r="G394" s="317">
        <f>+D394+E394+F394</f>
        <v>859428.94000000006</v>
      </c>
      <c r="H394" s="318">
        <f>+G394/31</f>
        <v>27723.514193548388</v>
      </c>
      <c r="I394" s="327">
        <f>IFERROR(VLOOKUP(C394,'تقرير إحصائية بحجم المبيعات'!$B$357:$L$387,11,FALSE),0)</f>
        <v>713443.83</v>
      </c>
      <c r="J394" s="321">
        <f>+G394-I394</f>
        <v>145985.1100000001</v>
      </c>
      <c r="K394" s="322">
        <f>HLOOKUP(C394,'تقرير المصروفات حسب الشهر'!$D$1270:$AI$1385,116,FALSE)</f>
        <v>54822.94</v>
      </c>
      <c r="L394" s="96"/>
      <c r="M394" s="325">
        <f>'HSBC SMART'!N18</f>
        <v>472.39</v>
      </c>
      <c r="N394" s="307">
        <f t="shared" si="53"/>
        <v>91634.5600000001</v>
      </c>
      <c r="Q394" s="2">
        <v>0</v>
      </c>
    </row>
    <row r="395" spans="1:17" ht="16.8" thickTop="1" thickBot="1">
      <c r="A395"/>
      <c r="B395" s="312">
        <v>31</v>
      </c>
      <c r="C395" s="547" t="s">
        <v>234</v>
      </c>
      <c r="D395" s="327">
        <f>IFERROR(VLOOKUP(C395,'تقرير إحصائية بحجم المبيعات'!$B$357:$L$387,2,FALSE),0)</f>
        <v>0</v>
      </c>
      <c r="E395" s="327">
        <f>IFERROR(VLOOKUP(C395,'تقرير إحصائية بحجم المبيعات'!$B$357:$L$383,3,FALSE),0)</f>
        <v>0</v>
      </c>
      <c r="F395" s="327">
        <f>IFERROR(VLOOKUP(C395,'تقرير إحصائية بحجم المبيعات'!$B$357:$L$383,4,FALSE),0)</f>
        <v>0</v>
      </c>
      <c r="G395" s="317">
        <f>+D395+E395+F395</f>
        <v>0</v>
      </c>
      <c r="H395" s="318">
        <f>+G395/31</f>
        <v>0</v>
      </c>
      <c r="I395" s="327">
        <f>IFERROR(VLOOKUP(C395,'تقرير إحصائية بحجم المبيعات'!$B$357:$L$387,11,FALSE),0)</f>
        <v>0</v>
      </c>
      <c r="J395" s="321">
        <f>+G395-I395</f>
        <v>0</v>
      </c>
      <c r="K395" s="322">
        <f>HLOOKUP(C395,'تقرير المصروفات حسب الشهر'!$D$1270:$AI$1385,116,FALSE)</f>
        <v>0</v>
      </c>
      <c r="L395" s="96"/>
      <c r="M395" s="325">
        <f>North.Coast!N18</f>
        <v>0</v>
      </c>
      <c r="N395" s="307">
        <f t="shared" si="53"/>
        <v>0</v>
      </c>
      <c r="Q395" s="2">
        <v>0</v>
      </c>
    </row>
    <row r="396" spans="1:17" ht="16.95" customHeight="1" thickTop="1" thickBot="1">
      <c r="A396"/>
      <c r="B396" s="652" t="s">
        <v>18</v>
      </c>
      <c r="C396" s="653"/>
      <c r="D396" s="305">
        <f>SUM(D365:D395)</f>
        <v>33769844.069999993</v>
      </c>
      <c r="E396" s="305">
        <f t="shared" ref="E396:M396" si="57">SUM(E365:E395)</f>
        <v>4904414.8199999994</v>
      </c>
      <c r="F396" s="305">
        <f t="shared" si="57"/>
        <v>19718489.010000005</v>
      </c>
      <c r="G396" s="305">
        <f t="shared" si="57"/>
        <v>58392747.900000006</v>
      </c>
      <c r="H396" s="305">
        <f t="shared" si="57"/>
        <v>1883637.0290322583</v>
      </c>
      <c r="I396" s="305">
        <f t="shared" si="57"/>
        <v>47117919.349999987</v>
      </c>
      <c r="J396" s="305">
        <f t="shared" si="57"/>
        <v>11274828.549999995</v>
      </c>
      <c r="K396" s="305">
        <f t="shared" si="57"/>
        <v>11189826.999999998</v>
      </c>
      <c r="L396" s="305">
        <f t="shared" si="57"/>
        <v>0</v>
      </c>
      <c r="M396" s="305">
        <f t="shared" si="57"/>
        <v>1043032.7899999995</v>
      </c>
      <c r="N396" s="307">
        <f>SUM(N365:N395)</f>
        <v>1128034.339999998</v>
      </c>
    </row>
    <row r="397" spans="1:17" ht="13.8" thickTop="1">
      <c r="A397"/>
      <c r="B397"/>
      <c r="C397"/>
      <c r="D397"/>
      <c r="E397"/>
      <c r="F397"/>
      <c r="G397"/>
      <c r="H397"/>
      <c r="I397"/>
      <c r="J397"/>
      <c r="K397" s="396">
        <f>K396-'تقرير المصروفات حسب الشهر'!AI1385</f>
        <v>0</v>
      </c>
      <c r="L397"/>
      <c r="M397"/>
      <c r="N397"/>
    </row>
    <row r="398" spans="1:17" ht="17.25" customHeight="1" thickBo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 s="549"/>
    </row>
    <row r="399" spans="1:17" ht="30.6" thickBot="1">
      <c r="A399"/>
      <c r="B399" s="649" t="s">
        <v>385</v>
      </c>
      <c r="C399" s="650"/>
      <c r="D399" s="650"/>
      <c r="E399" s="650"/>
      <c r="F399" s="650"/>
      <c r="G399" s="650"/>
      <c r="H399" s="650"/>
      <c r="I399" s="650"/>
      <c r="J399" s="650"/>
      <c r="K399" s="650"/>
      <c r="L399" s="650"/>
      <c r="M399" s="650"/>
      <c r="N399" s="651"/>
    </row>
    <row r="400" spans="1:17" ht="16.8" thickTop="1" thickBot="1">
      <c r="A400"/>
      <c r="B400" s="308" t="s">
        <v>39</v>
      </c>
      <c r="C400" s="308" t="s">
        <v>34</v>
      </c>
      <c r="D400" s="309" t="s">
        <v>20</v>
      </c>
      <c r="E400" s="310" t="s">
        <v>21</v>
      </c>
      <c r="F400" s="310" t="s">
        <v>22</v>
      </c>
      <c r="G400" s="308" t="s">
        <v>19</v>
      </c>
      <c r="H400" s="308" t="s">
        <v>12</v>
      </c>
      <c r="I400" s="308" t="s">
        <v>13</v>
      </c>
      <c r="J400" s="308" t="s">
        <v>14</v>
      </c>
      <c r="K400" s="308" t="s">
        <v>15</v>
      </c>
      <c r="L400" s="308" t="s">
        <v>32</v>
      </c>
      <c r="M400" s="311" t="s">
        <v>16</v>
      </c>
      <c r="N400" s="306" t="s">
        <v>17</v>
      </c>
    </row>
    <row r="401" spans="1:14" ht="16.8" thickTop="1" thickBot="1">
      <c r="A401"/>
      <c r="B401" s="312">
        <v>1</v>
      </c>
      <c r="C401" s="313" t="s">
        <v>184</v>
      </c>
      <c r="D401" s="327">
        <f>IFERROR(VLOOKUP(C401,'تقرير إحصائية بحجم المبيعات'!$B$391:$L$420,2,FALSE),0)</f>
        <v>0</v>
      </c>
      <c r="E401" s="327">
        <f>IFERROR(VLOOKUP(C401,'تقرير إحصائية بحجم المبيعات'!$B$391:$L$420,3,FALSE),0)</f>
        <v>0</v>
      </c>
      <c r="F401" s="327">
        <f>IFERROR(VLOOKUP(C401,'تقرير إحصائية بحجم المبيعات'!$B$391:$L$420,4,FALSE),0)</f>
        <v>0</v>
      </c>
      <c r="G401" s="317">
        <f>+D401+E401+F401</f>
        <v>0</v>
      </c>
      <c r="H401" s="318">
        <f>+G401/31</f>
        <v>0</v>
      </c>
      <c r="I401" s="327">
        <f>IFERROR(VLOOKUP(C401,'تقرير إحصائية بحجم المبيعات'!$B$391:$L$420,11,FALSE),0)</f>
        <v>0</v>
      </c>
      <c r="J401" s="321">
        <f>+G401-I401</f>
        <v>0</v>
      </c>
      <c r="K401" s="322">
        <f>HLOOKUP(C401,'تقرير المصروفات حسب الشهر'!$D$1397:$AI$1512,116,FALSE)</f>
        <v>2630894.9300000011</v>
      </c>
      <c r="L401" s="96"/>
      <c r="M401" s="323">
        <f>HQ!O18</f>
        <v>4775647.4649998546</v>
      </c>
      <c r="N401" s="307">
        <f>J401-K401-L401+M401</f>
        <v>2144752.5349998535</v>
      </c>
    </row>
    <row r="402" spans="1:14" ht="16.8" thickTop="1" thickBot="1">
      <c r="A402"/>
      <c r="B402" s="312">
        <v>2</v>
      </c>
      <c r="C402" s="313" t="s">
        <v>36</v>
      </c>
      <c r="D402" s="327">
        <f>IFERROR(VLOOKUP(C402,'تقرير إحصائية بحجم المبيعات'!$B$391:$L$420,2,FALSE),0)</f>
        <v>5046522.8</v>
      </c>
      <c r="E402" s="327">
        <f>IFERROR(VLOOKUP(C402,'تقرير إحصائية بحجم المبيعات'!$B$391:$L$420,3,FALSE),0)</f>
        <v>817456.55</v>
      </c>
      <c r="F402" s="327">
        <f>IFERROR(VLOOKUP(C402,'تقرير إحصائية بحجم المبيعات'!$B$391:$L$420,4,FALSE),0)</f>
        <v>1846173.61</v>
      </c>
      <c r="G402" s="317">
        <f>+D402+E402+F402</f>
        <v>7710152.96</v>
      </c>
      <c r="H402" s="318">
        <f>+G402/31</f>
        <v>248714.61161290322</v>
      </c>
      <c r="I402" s="327">
        <f>IFERROR(VLOOKUP(C402,'تقرير إحصائية بحجم المبيعات'!$B$391:$L$420,11,FALSE),0)</f>
        <v>6048273.4699999997</v>
      </c>
      <c r="J402" s="321">
        <f>+G402-I402</f>
        <v>1661879.4900000002</v>
      </c>
      <c r="K402" s="322">
        <f>HLOOKUP(C402,'تقرير المصروفات حسب الشهر'!$D$1397:$AI$1512,116,FALSE)</f>
        <v>1311621.5899999999</v>
      </c>
      <c r="L402" s="96"/>
      <c r="M402" s="324">
        <f>Aguza!O18</f>
        <v>-3200</v>
      </c>
      <c r="N402" s="307">
        <f t="shared" ref="N402:N431" si="58">J402-K402-L402+M402</f>
        <v>347057.90000000037</v>
      </c>
    </row>
    <row r="403" spans="1:14" ht="16.8" thickTop="1" thickBot="1">
      <c r="A403"/>
      <c r="B403" s="312">
        <v>3</v>
      </c>
      <c r="C403" s="313" t="s">
        <v>9</v>
      </c>
      <c r="D403" s="327">
        <f>IFERROR(VLOOKUP(C403,'تقرير إحصائية بحجم المبيعات'!$B$391:$L$420,2,FALSE),0)</f>
        <v>4120623.2700000005</v>
      </c>
      <c r="E403" s="327">
        <f>IFERROR(VLOOKUP(C403,'تقرير إحصائية بحجم المبيعات'!$B$391:$L$420,3,FALSE),0)</f>
        <v>1862674.99</v>
      </c>
      <c r="F403" s="327">
        <f>IFERROR(VLOOKUP(C403,'تقرير إحصائية بحجم المبيعات'!$B$391:$L$420,4,FALSE),0)</f>
        <v>493189.55</v>
      </c>
      <c r="G403" s="317">
        <f>+D403+E403+F403</f>
        <v>6476487.8100000005</v>
      </c>
      <c r="H403" s="318">
        <f>+G403/31</f>
        <v>208918.96161290325</v>
      </c>
      <c r="I403" s="327">
        <f>IFERROR(VLOOKUP(C403,'تقرير إحصائية بحجم المبيعات'!$B$391:$L$420,11,FALSE),0)</f>
        <v>5105721.21</v>
      </c>
      <c r="J403" s="321">
        <f t="shared" ref="J403:J427" si="59">+G403-I403</f>
        <v>1370766.6000000006</v>
      </c>
      <c r="K403" s="322">
        <f>HLOOKUP(C403,'تقرير المصروفات حسب الشهر'!$D$1397:$AI$1512,116,FALSE)</f>
        <v>1164684.1700000002</v>
      </c>
      <c r="L403" s="96"/>
      <c r="M403" s="324">
        <f>October!O18</f>
        <v>0</v>
      </c>
      <c r="N403" s="307">
        <f t="shared" si="58"/>
        <v>206082.4300000004</v>
      </c>
    </row>
    <row r="404" spans="1:14" ht="16.8" thickTop="1" thickBot="1">
      <c r="A404"/>
      <c r="B404" s="312">
        <v>4</v>
      </c>
      <c r="C404" s="313" t="s">
        <v>25</v>
      </c>
      <c r="D404" s="327">
        <f>IFERROR(VLOOKUP(C404,'تقرير إحصائية بحجم المبيعات'!$B$391:$L$420,2,FALSE),0)</f>
        <v>1904279.78</v>
      </c>
      <c r="E404" s="327">
        <f>IFERROR(VLOOKUP(C404,'تقرير إحصائية بحجم المبيعات'!$B$391:$L$420,3,FALSE),0)</f>
        <v>574509.80000000005</v>
      </c>
      <c r="F404" s="327">
        <f>IFERROR(VLOOKUP(C404,'تقرير إحصائية بحجم المبيعات'!$B$391:$L$420,4,FALSE),0)</f>
        <v>1676253.09</v>
      </c>
      <c r="G404" s="317">
        <f>+D404+E404+F404</f>
        <v>4155042.67</v>
      </c>
      <c r="H404" s="318">
        <f t="shared" ref="H404:H427" si="60">+G404/31</f>
        <v>134033.63451612904</v>
      </c>
      <c r="I404" s="327">
        <f>IFERROR(VLOOKUP(C404,'تقرير إحصائية بحجم المبيعات'!$B$391:$L$420,11,FALSE),0)</f>
        <v>3283960.49</v>
      </c>
      <c r="J404" s="321">
        <f t="shared" si="59"/>
        <v>871082.1799999997</v>
      </c>
      <c r="K404" s="322">
        <f>HLOOKUP(C404,'تقرير المصروفات حسب الشهر'!$D$1397:$AI$1512,116,FALSE)</f>
        <v>567806.83000000007</v>
      </c>
      <c r="L404" s="96"/>
      <c r="M404" s="324">
        <f>Batal!O18</f>
        <v>0</v>
      </c>
      <c r="N404" s="307">
        <f t="shared" si="58"/>
        <v>303275.34999999963</v>
      </c>
    </row>
    <row r="405" spans="1:14" ht="16.8" thickTop="1" thickBot="1">
      <c r="A405"/>
      <c r="B405" s="312">
        <v>5</v>
      </c>
      <c r="C405" s="313" t="s">
        <v>160</v>
      </c>
      <c r="D405" s="327">
        <f>IFERROR(VLOOKUP(C405,'تقرير إحصائية بحجم المبيعات'!$B$391:$L$420,2,FALSE),0)</f>
        <v>5251205.8200000012</v>
      </c>
      <c r="E405" s="327">
        <f>IFERROR(VLOOKUP(C405,'تقرير إحصائية بحجم المبيعات'!$B$391:$L$420,3,FALSE),0)</f>
        <v>28080.61</v>
      </c>
      <c r="F405" s="327">
        <f>IFERROR(VLOOKUP(C405,'تقرير إحصائية بحجم المبيعات'!$B$391:$L$420,4,FALSE),0)</f>
        <v>2826363.24</v>
      </c>
      <c r="G405" s="317">
        <f t="shared" ref="G405:G427" si="61">+D405+E405+F405</f>
        <v>8105649.6700000018</v>
      </c>
      <c r="H405" s="318">
        <f t="shared" si="60"/>
        <v>261472.57000000007</v>
      </c>
      <c r="I405" s="327">
        <f>IFERROR(VLOOKUP(C405,'تقرير إحصائية بحجم المبيعات'!$B$391:$L$420,11,FALSE),0)</f>
        <v>6592423.1600000001</v>
      </c>
      <c r="J405" s="321">
        <f t="shared" si="59"/>
        <v>1513226.5100000016</v>
      </c>
      <c r="K405" s="322">
        <f>HLOOKUP(C405,'تقرير المصروفات حسب الشهر'!$D$1397:$AI$1512,116,FALSE)</f>
        <v>1380909.01</v>
      </c>
      <c r="L405" s="96"/>
      <c r="M405" s="324">
        <f>'Nasr City'!O18</f>
        <v>0</v>
      </c>
      <c r="N405" s="307">
        <f t="shared" si="58"/>
        <v>132317.50000000163</v>
      </c>
    </row>
    <row r="406" spans="1:14" ht="16.8" thickTop="1" thickBot="1">
      <c r="A406"/>
      <c r="B406" s="312">
        <v>6</v>
      </c>
      <c r="C406" s="313" t="s">
        <v>139</v>
      </c>
      <c r="D406" s="327">
        <f>IFERROR(VLOOKUP(C406,'تقرير إحصائية بحجم المبيعات'!$B$391:$L$420,2,FALSE),0)</f>
        <v>7172.8800000000738</v>
      </c>
      <c r="E406" s="327">
        <f>IFERROR(VLOOKUP(C406,'تقرير إحصائية بحجم المبيعات'!$B$391:$L$420,3,FALSE),0)</f>
        <v>0</v>
      </c>
      <c r="F406" s="327">
        <f>IFERROR(VLOOKUP(C406,'تقرير إحصائية بحجم المبيعات'!$B$391:$L$420,4,FALSE),0)</f>
        <v>2301950.1</v>
      </c>
      <c r="G406" s="317">
        <f t="shared" si="61"/>
        <v>2309122.98</v>
      </c>
      <c r="H406" s="318">
        <f t="shared" si="60"/>
        <v>74487.838064516123</v>
      </c>
      <c r="I406" s="327">
        <f>IFERROR(VLOOKUP(C406,'تقرير إحصائية بحجم المبيعات'!$B$391:$L$420,11,FALSE),0)</f>
        <v>1984670.68</v>
      </c>
      <c r="J406" s="321">
        <f t="shared" si="59"/>
        <v>324452.30000000005</v>
      </c>
      <c r="K406" s="322">
        <f>HLOOKUP(C406,'تقرير المصروفات حسب الشهر'!$D$1397:$AI$1512,116,FALSE)</f>
        <v>78069.400000000009</v>
      </c>
      <c r="L406" s="96"/>
      <c r="M406" s="324">
        <f>Sweedy!O18</f>
        <v>140043.56</v>
      </c>
      <c r="N406" s="307">
        <f t="shared" si="58"/>
        <v>386426.46</v>
      </c>
    </row>
    <row r="407" spans="1:14" ht="16.8" thickTop="1" thickBot="1">
      <c r="A407"/>
      <c r="B407" s="312">
        <v>7</v>
      </c>
      <c r="C407" s="313" t="s">
        <v>37</v>
      </c>
      <c r="D407" s="327">
        <f>IFERROR(VLOOKUP(C407,'تقرير إحصائية بحجم المبيعات'!$B$391:$L$420,2,FALSE),0)</f>
        <v>35777.85999999987</v>
      </c>
      <c r="E407" s="327">
        <f>IFERROR(VLOOKUP(C407,'تقرير إحصائية بحجم المبيعات'!$B$391:$L$420,3,FALSE),0)</f>
        <v>0</v>
      </c>
      <c r="F407" s="327">
        <f>IFERROR(VLOOKUP(C407,'تقرير إحصائية بحجم المبيعات'!$B$391:$L$420,4,FALSE),0)</f>
        <v>696617.66</v>
      </c>
      <c r="G407" s="317">
        <f t="shared" si="61"/>
        <v>732395.5199999999</v>
      </c>
      <c r="H407" s="318">
        <f t="shared" si="60"/>
        <v>23625.661935483869</v>
      </c>
      <c r="I407" s="327">
        <f>IFERROR(VLOOKUP(C407,'تقرير إحصائية بحجم المبيعات'!$B$391:$L$420,11,FALSE),0)</f>
        <v>630090.94999999995</v>
      </c>
      <c r="J407" s="321">
        <f t="shared" si="59"/>
        <v>102304.56999999995</v>
      </c>
      <c r="K407" s="322">
        <f>HLOOKUP(C407,'تقرير المصروفات حسب الشهر'!$D$1397:$AI$1512,116,FALSE)</f>
        <v>32752.25</v>
      </c>
      <c r="L407" s="96"/>
      <c r="M407" s="324">
        <f>NTRA!O18</f>
        <v>16688.3</v>
      </c>
      <c r="N407" s="307">
        <f t="shared" si="58"/>
        <v>86240.619999999952</v>
      </c>
    </row>
    <row r="408" spans="1:14" ht="16.8" thickTop="1" thickBot="1">
      <c r="A408"/>
      <c r="B408" s="312">
        <v>8</v>
      </c>
      <c r="C408" s="313" t="s">
        <v>133</v>
      </c>
      <c r="D408" s="327">
        <f>IFERROR(VLOOKUP(C408,'تقرير إحصائية بحجم المبيعات'!$B$391:$L$420,2,FALSE),0)</f>
        <v>39723.810000000085</v>
      </c>
      <c r="E408" s="327">
        <f>IFERROR(VLOOKUP(C408,'تقرير إحصائية بحجم المبيعات'!$B$391:$L$420,3,FALSE),0)</f>
        <v>0</v>
      </c>
      <c r="F408" s="327">
        <f>IFERROR(VLOOKUP(C408,'تقرير إحصائية بحجم المبيعات'!$B$391:$L$420,4,FALSE),0)</f>
        <v>327497.90999999997</v>
      </c>
      <c r="G408" s="317">
        <f t="shared" si="61"/>
        <v>367221.72000000009</v>
      </c>
      <c r="H408" s="318">
        <f t="shared" si="60"/>
        <v>11845.861935483874</v>
      </c>
      <c r="I408" s="327">
        <f>IFERROR(VLOOKUP(C408,'تقرير إحصائية بحجم المبيعات'!$B$391:$L$420,11,FALSE),0)</f>
        <v>316133.87</v>
      </c>
      <c r="J408" s="321">
        <f t="shared" si="59"/>
        <v>51087.850000000093</v>
      </c>
      <c r="K408" s="322">
        <f>HLOOKUP(C408,'تقرير المصروفات حسب الشهر'!$D$1397:$AI$1512,116,FALSE)</f>
        <v>29921.440000000002</v>
      </c>
      <c r="L408" s="96"/>
      <c r="M408" s="324">
        <f>Etisalat!O18</f>
        <v>0</v>
      </c>
      <c r="N408" s="307">
        <f t="shared" si="58"/>
        <v>21166.410000000091</v>
      </c>
    </row>
    <row r="409" spans="1:14" ht="16.8" thickTop="1" thickBot="1">
      <c r="A409"/>
      <c r="B409" s="312">
        <v>9</v>
      </c>
      <c r="C409" s="313" t="s">
        <v>123</v>
      </c>
      <c r="D409" s="327">
        <f>IFERROR(VLOOKUP(C409,'تقرير إحصائية بحجم المبيعات'!$B$391:$L$420,2,FALSE),0)</f>
        <v>5951.6299999999756</v>
      </c>
      <c r="E409" s="327">
        <f>IFERROR(VLOOKUP(C409,'تقرير إحصائية بحجم المبيعات'!$B$391:$L$420,3,FALSE),0)</f>
        <v>0</v>
      </c>
      <c r="F409" s="327">
        <f>IFERROR(VLOOKUP(C409,'تقرير إحصائية بحجم المبيعات'!$B$391:$L$420,4,FALSE),0)</f>
        <v>171735.98</v>
      </c>
      <c r="G409" s="317">
        <f t="shared" si="61"/>
        <v>177687.61</v>
      </c>
      <c r="H409" s="318">
        <f t="shared" si="60"/>
        <v>5731.8583870967741</v>
      </c>
      <c r="I409" s="327">
        <f>IFERROR(VLOOKUP(C409,'تقرير إحصائية بحجم المبيعات'!$B$391:$L$420,11,FALSE),0)</f>
        <v>156393.9</v>
      </c>
      <c r="J409" s="321">
        <f t="shared" si="59"/>
        <v>21293.709999999992</v>
      </c>
      <c r="K409" s="322">
        <f>HLOOKUP(C409,'تقرير المصروفات حسب الشهر'!$D$1397:$AI$1512,116,FALSE)</f>
        <v>25672.530000000006</v>
      </c>
      <c r="L409" s="96"/>
      <c r="M409" s="324">
        <f>'Hazzem Hassan'!O18</f>
        <v>430.67</v>
      </c>
      <c r="N409" s="307">
        <f t="shared" si="58"/>
        <v>-3948.1500000000142</v>
      </c>
    </row>
    <row r="410" spans="1:14" ht="16.8" thickTop="1" thickBot="1">
      <c r="A410"/>
      <c r="B410" s="312">
        <v>10</v>
      </c>
      <c r="C410" s="313" t="s">
        <v>145</v>
      </c>
      <c r="D410" s="327">
        <f>IFERROR(VLOOKUP(C410,'تقرير إحصائية بحجم المبيعات'!$B$391:$L$420,2,FALSE),0)</f>
        <v>1100015.8800000001</v>
      </c>
      <c r="E410" s="327">
        <f>IFERROR(VLOOKUP(C410,'تقرير إحصائية بحجم المبيعات'!$B$391:$L$420,3,FALSE),0)</f>
        <v>1731.3</v>
      </c>
      <c r="F410" s="327">
        <f>IFERROR(VLOOKUP(C410,'تقرير إحصائية بحجم المبيعات'!$B$391:$L$420,4,FALSE),0)</f>
        <v>1665084.49</v>
      </c>
      <c r="G410" s="317">
        <f t="shared" si="61"/>
        <v>2766831.67</v>
      </c>
      <c r="H410" s="318">
        <f t="shared" si="60"/>
        <v>89252.634516129023</v>
      </c>
      <c r="I410" s="327">
        <f>IFERROR(VLOOKUP(C410,'تقرير إحصائية بحجم المبيعات'!$B$391:$L$420,11,FALSE),0)</f>
        <v>2192599.7400000002</v>
      </c>
      <c r="J410" s="321">
        <f t="shared" si="59"/>
        <v>574231.9299999997</v>
      </c>
      <c r="K410" s="322">
        <f>HLOOKUP(C410,'تقرير المصروفات حسب الشهر'!$D$1397:$AI$1512,116,FALSE)</f>
        <v>451713.22999999992</v>
      </c>
      <c r="L410" s="96"/>
      <c r="M410" s="324">
        <f>Sena3ia!O18</f>
        <v>10090.110000000008</v>
      </c>
      <c r="N410" s="307">
        <f t="shared" si="58"/>
        <v>132608.80999999979</v>
      </c>
    </row>
    <row r="411" spans="1:14" ht="16.8" thickTop="1" thickBot="1">
      <c r="A411"/>
      <c r="B411" s="312">
        <v>11</v>
      </c>
      <c r="C411" s="313" t="s">
        <v>124</v>
      </c>
      <c r="D411" s="327">
        <f>IFERROR(VLOOKUP(C411,'تقرير إحصائية بحجم المبيعات'!$B$391:$L$420,2,FALSE),0)</f>
        <v>178079.82</v>
      </c>
      <c r="E411" s="327">
        <f>IFERROR(VLOOKUP(C411,'تقرير إحصائية بحجم المبيعات'!$B$391:$L$420,3,FALSE),0)</f>
        <v>0</v>
      </c>
      <c r="F411" s="327">
        <f>IFERROR(VLOOKUP(C411,'تقرير إحصائية بحجم المبيعات'!$B$391:$L$420,4,FALSE),0)</f>
        <v>494900.43</v>
      </c>
      <c r="G411" s="317">
        <f t="shared" si="61"/>
        <v>672980.25</v>
      </c>
      <c r="H411" s="318">
        <f t="shared" si="60"/>
        <v>21709.040322580644</v>
      </c>
      <c r="I411" s="327">
        <f>IFERROR(VLOOKUP(C411,'تقرير إحصائية بحجم المبيعات'!$B$391:$L$420,11,FALSE),0)</f>
        <v>577462.04</v>
      </c>
      <c r="J411" s="321">
        <f t="shared" si="59"/>
        <v>95518.209999999963</v>
      </c>
      <c r="K411" s="322">
        <f>HLOOKUP(C411,'تقرير المصروفات حسب الشهر'!$D$1397:$AI$1512,116,FALSE)</f>
        <v>56170.69999999999</v>
      </c>
      <c r="L411" s="96"/>
      <c r="M411" s="324">
        <f>Khargia!O18</f>
        <v>420</v>
      </c>
      <c r="N411" s="307">
        <f t="shared" si="58"/>
        <v>39767.509999999973</v>
      </c>
    </row>
    <row r="412" spans="1:14" ht="16.8" thickTop="1" thickBot="1">
      <c r="A412"/>
      <c r="B412" s="312">
        <v>12</v>
      </c>
      <c r="C412" s="313" t="s">
        <v>169</v>
      </c>
      <c r="D412" s="327">
        <f>IFERROR(VLOOKUP(C412,'تقرير إحصائية بحجم المبيعات'!$B$391:$L$420,2,FALSE),0)</f>
        <v>2671307.7400000002</v>
      </c>
      <c r="E412" s="327">
        <f>IFERROR(VLOOKUP(C412,'تقرير إحصائية بحجم المبيعات'!$B$391:$L$420,3,FALSE),0)</f>
        <v>852.01</v>
      </c>
      <c r="F412" s="327">
        <f>IFERROR(VLOOKUP(C412,'تقرير إحصائية بحجم المبيعات'!$B$391:$L$420,4,FALSE),0)</f>
        <v>1216716.57</v>
      </c>
      <c r="G412" s="317">
        <f t="shared" si="61"/>
        <v>3888876.3200000003</v>
      </c>
      <c r="H412" s="318">
        <f t="shared" si="60"/>
        <v>125447.62322580646</v>
      </c>
      <c r="I412" s="327">
        <f>IFERROR(VLOOKUP(C412,'تقرير إحصائية بحجم المبيعات'!$B$391:$L$420,11,FALSE),0)</f>
        <v>3097288.51</v>
      </c>
      <c r="J412" s="321">
        <f t="shared" si="59"/>
        <v>791587.81000000052</v>
      </c>
      <c r="K412" s="322">
        <f>HLOOKUP(C412,'تقرير المصروفات حسب الشهر'!$D$1397:$AI$1512,116,FALSE)</f>
        <v>732681.45</v>
      </c>
      <c r="L412" s="96"/>
      <c r="M412" s="324">
        <f>Tagmou3!O18</f>
        <v>0</v>
      </c>
      <c r="N412" s="307">
        <f t="shared" si="58"/>
        <v>58906.360000000568</v>
      </c>
    </row>
    <row r="413" spans="1:14" ht="16.8" thickTop="1" thickBot="1">
      <c r="A413"/>
      <c r="B413" s="312">
        <v>13</v>
      </c>
      <c r="C413" s="313" t="s">
        <v>243</v>
      </c>
      <c r="D413" s="327">
        <f>IFERROR(VLOOKUP(C413,'تقرير إحصائية بحجم المبيعات'!$B$391:$L$420,2,FALSE),0)</f>
        <v>2047349.55</v>
      </c>
      <c r="E413" s="327">
        <f>IFERROR(VLOOKUP(C413,'تقرير إحصائية بحجم المبيعات'!$B$391:$L$420,3,FALSE),0)</f>
        <v>180229.63</v>
      </c>
      <c r="F413" s="327">
        <f>IFERROR(VLOOKUP(C413,'تقرير إحصائية بحجم المبيعات'!$B$391:$L$420,4,FALSE),0)</f>
        <v>782818.01</v>
      </c>
      <c r="G413" s="317">
        <f t="shared" si="61"/>
        <v>3010397.1900000004</v>
      </c>
      <c r="H413" s="318">
        <f t="shared" si="60"/>
        <v>97109.586774193565</v>
      </c>
      <c r="I413" s="327">
        <f>IFERROR(VLOOKUP(C413,'تقرير إحصائية بحجم المبيعات'!$B$391:$L$420,11,FALSE),0)</f>
        <v>2411627.38</v>
      </c>
      <c r="J413" s="321">
        <f t="shared" si="59"/>
        <v>598769.81000000052</v>
      </c>
      <c r="K413" s="322">
        <f>HLOOKUP(C413,'تقرير المصروفات حسب الشهر'!$D$1397:$AI$1512,116,FALSE)</f>
        <v>642541.03999999992</v>
      </c>
      <c r="L413" s="96"/>
      <c r="M413" s="324">
        <f>Maadi!O18</f>
        <v>45481.419999999991</v>
      </c>
      <c r="N413" s="307">
        <f t="shared" si="58"/>
        <v>1710.1900000005917</v>
      </c>
    </row>
    <row r="414" spans="1:14" ht="16.8" thickTop="1" thickBot="1">
      <c r="A414"/>
      <c r="B414" s="312">
        <v>14</v>
      </c>
      <c r="C414" s="313" t="s">
        <v>175</v>
      </c>
      <c r="D414" s="327">
        <f>IFERROR(VLOOKUP(C414,'تقرير إحصائية بحجم المبيعات'!$B$391:$L$420,2,FALSE),0)</f>
        <v>5126415.2300000004</v>
      </c>
      <c r="E414" s="327">
        <f>IFERROR(VLOOKUP(C414,'تقرير إحصائية بحجم المبيعات'!$B$391:$L$420,3,FALSE),0)</f>
        <v>1159154.68</v>
      </c>
      <c r="F414" s="327">
        <f>IFERROR(VLOOKUP(C414,'تقرير إحصائية بحجم المبيعات'!$B$391:$L$420,4,FALSE),0)</f>
        <v>1195753.6200000001</v>
      </c>
      <c r="G414" s="317">
        <f t="shared" si="61"/>
        <v>7481323.5300000003</v>
      </c>
      <c r="H414" s="318">
        <f t="shared" si="60"/>
        <v>241333.01709677422</v>
      </c>
      <c r="I414" s="327">
        <f>IFERROR(VLOOKUP(C414,'تقرير إحصائية بحجم المبيعات'!$B$391:$L$420,11,FALSE),0)</f>
        <v>5881231.5899999999</v>
      </c>
      <c r="J414" s="321">
        <f t="shared" si="59"/>
        <v>1600091.9400000004</v>
      </c>
      <c r="K414" s="322">
        <f>HLOOKUP(C414,'تقرير المصروفات حسب الشهر'!$D$1397:$AI$1512,116,FALSE)</f>
        <v>1406854.84</v>
      </c>
      <c r="L414" s="96"/>
      <c r="M414" s="324">
        <f>Zaid!O18</f>
        <v>0</v>
      </c>
      <c r="N414" s="307">
        <f t="shared" si="58"/>
        <v>193237.10000000033</v>
      </c>
    </row>
    <row r="415" spans="1:14" ht="16.8" thickTop="1" thickBot="1">
      <c r="A415"/>
      <c r="B415" s="312">
        <v>15</v>
      </c>
      <c r="C415" s="313" t="s">
        <v>170</v>
      </c>
      <c r="D415" s="327">
        <f>IFERROR(VLOOKUP(C415,'تقرير إحصائية بحجم المبيعات'!$B$391:$L$420,2,FALSE),0)</f>
        <v>638176.97000000009</v>
      </c>
      <c r="E415" s="327">
        <f>IFERROR(VLOOKUP(C415,'تقرير إحصائية بحجم المبيعات'!$B$391:$L$420,3,FALSE),0)</f>
        <v>42014.45</v>
      </c>
      <c r="F415" s="327">
        <f>IFERROR(VLOOKUP(C415,'تقرير إحصائية بحجم المبيعات'!$B$391:$L$420,4,FALSE),0)</f>
        <v>32273.86</v>
      </c>
      <c r="G415" s="317">
        <f t="shared" si="61"/>
        <v>712465.28</v>
      </c>
      <c r="H415" s="318">
        <f t="shared" si="60"/>
        <v>22982.750967741937</v>
      </c>
      <c r="I415" s="327">
        <f>IFERROR(VLOOKUP(C415,'تقرير إحصائية بحجم المبيعات'!$B$391:$L$420,11,FALSE),0)</f>
        <v>533809.54</v>
      </c>
      <c r="J415" s="321">
        <f t="shared" si="59"/>
        <v>178655.74</v>
      </c>
      <c r="K415" s="322">
        <f>HLOOKUP(C415,'تقرير المصروفات حسب الشهر'!$D$1397:$AI$1512,116,FALSE)</f>
        <v>127477.73999999999</v>
      </c>
      <c r="L415" s="96"/>
      <c r="M415" s="324">
        <f>'Sand Beach'!O18</f>
        <v>0</v>
      </c>
      <c r="N415" s="307">
        <f t="shared" si="58"/>
        <v>51178</v>
      </c>
    </row>
    <row r="416" spans="1:14" ht="16.8" thickTop="1" thickBot="1">
      <c r="A416"/>
      <c r="B416" s="312">
        <v>16</v>
      </c>
      <c r="C416" s="313" t="s">
        <v>203</v>
      </c>
      <c r="D416" s="327">
        <f>IFERROR(VLOOKUP(C416,'تقرير إحصائية بحجم المبيعات'!$B$391:$L$420,2,FALSE),0)</f>
        <v>1877377.94</v>
      </c>
      <c r="E416" s="327">
        <f>IFERROR(VLOOKUP(C416,'تقرير إحصائية بحجم المبيعات'!$B$391:$L$420,3,FALSE),0)</f>
        <v>57922.7</v>
      </c>
      <c r="F416" s="327">
        <f>IFERROR(VLOOKUP(C416,'تقرير إحصائية بحجم المبيعات'!$B$391:$L$420,4,FALSE),0)</f>
        <v>679031</v>
      </c>
      <c r="G416" s="317">
        <f t="shared" si="61"/>
        <v>2614331.6399999997</v>
      </c>
      <c r="H416" s="318">
        <f t="shared" si="60"/>
        <v>84333.278709677412</v>
      </c>
      <c r="I416" s="327">
        <f>IFERROR(VLOOKUP(C416,'تقرير إحصائية بحجم المبيعات'!$B$391:$L$420,11,FALSE),0)</f>
        <v>2083459.93</v>
      </c>
      <c r="J416" s="321">
        <f t="shared" si="59"/>
        <v>530871.70999999973</v>
      </c>
      <c r="K416" s="322">
        <f>HLOOKUP(C416,'تقرير المصروفات حسب الشهر'!$D$1397:$AI$1512,116,FALSE)</f>
        <v>518641.80000000005</v>
      </c>
      <c r="L416" s="96"/>
      <c r="M416" s="324">
        <f>Alamya!O18</f>
        <v>620</v>
      </c>
      <c r="N416" s="307">
        <f t="shared" si="58"/>
        <v>12849.909999999683</v>
      </c>
    </row>
    <row r="417" spans="1:14" ht="16.8" thickTop="1" thickBot="1">
      <c r="A417"/>
      <c r="B417" s="312">
        <v>17</v>
      </c>
      <c r="C417" s="313" t="s">
        <v>172</v>
      </c>
      <c r="D417" s="327">
        <f>IFERROR(VLOOKUP(C417,'تقرير إحصائية بحجم المبيعات'!$B$391:$L$420,2,FALSE),0)</f>
        <v>247614.91999999998</v>
      </c>
      <c r="E417" s="327">
        <f>IFERROR(VLOOKUP(C417,'تقرير إحصائية بحجم المبيعات'!$B$391:$L$420,3,FALSE),0)</f>
        <v>0</v>
      </c>
      <c r="F417" s="327">
        <f>IFERROR(VLOOKUP(C417,'تقرير إحصائية بحجم المبيعات'!$B$391:$L$420,4,FALSE),0)</f>
        <v>0</v>
      </c>
      <c r="G417" s="317">
        <f t="shared" si="61"/>
        <v>247614.91999999998</v>
      </c>
      <c r="H417" s="318">
        <f t="shared" si="60"/>
        <v>7987.5780645161285</v>
      </c>
      <c r="I417" s="327">
        <f>IFERROR(VLOOKUP(C417,'تقرير إحصائية بحجم المبيعات'!$B$391:$L$420,11,FALSE),0)</f>
        <v>206944.04</v>
      </c>
      <c r="J417" s="321">
        <f t="shared" si="59"/>
        <v>40670.879999999976</v>
      </c>
      <c r="K417" s="322">
        <f>HLOOKUP(C417,'تقرير المصروفات حسب الشهر'!$D$1397:$AI$1512,116,FALSE)</f>
        <v>35053.25</v>
      </c>
      <c r="L417" s="96"/>
      <c r="M417" s="324">
        <f>Online!O18</f>
        <v>566.11999999999989</v>
      </c>
      <c r="N417" s="307">
        <f t="shared" si="58"/>
        <v>6183.7499999999754</v>
      </c>
    </row>
    <row r="418" spans="1:14" ht="16.8" thickTop="1" thickBot="1">
      <c r="A418"/>
      <c r="B418" s="312">
        <v>18</v>
      </c>
      <c r="C418" s="313" t="s">
        <v>176</v>
      </c>
      <c r="D418" s="327">
        <f>IFERROR(VLOOKUP(C418,'تقرير إحصائية بحجم المبيعات'!$B$391:$L$420,2,FALSE),0)</f>
        <v>125903.56000000006</v>
      </c>
      <c r="E418" s="327">
        <f>IFERROR(VLOOKUP(C418,'تقرير إحصائية بحجم المبيعات'!$B$391:$L$420,3,FALSE),0)</f>
        <v>0</v>
      </c>
      <c r="F418" s="327">
        <f>IFERROR(VLOOKUP(C418,'تقرير إحصائية بحجم المبيعات'!$B$391:$L$420,4,FALSE),0)</f>
        <v>413838.63</v>
      </c>
      <c r="G418" s="317">
        <f t="shared" si="61"/>
        <v>539742.19000000006</v>
      </c>
      <c r="H418" s="318">
        <f t="shared" si="60"/>
        <v>17411.038387096774</v>
      </c>
      <c r="I418" s="327">
        <f>IFERROR(VLOOKUP(C418,'تقرير إحصائية بحجم المبيعات'!$B$391:$L$420,11,FALSE),0)</f>
        <v>457681.83</v>
      </c>
      <c r="J418" s="321">
        <f t="shared" si="59"/>
        <v>82060.360000000044</v>
      </c>
      <c r="K418" s="322">
        <f>HLOOKUP(C418,'تقرير المصروفات حسب الشهر'!$D$1397:$AI$1512,116,FALSE)</f>
        <v>37669.630000000005</v>
      </c>
      <c r="L418" s="96"/>
      <c r="M418" s="324">
        <f>Orange!O18</f>
        <v>0</v>
      </c>
      <c r="N418" s="307">
        <f t="shared" si="58"/>
        <v>44390.73000000004</v>
      </c>
    </row>
    <row r="419" spans="1:14" ht="16.8" thickTop="1" thickBot="1">
      <c r="A419"/>
      <c r="B419" s="312">
        <v>19</v>
      </c>
      <c r="C419" s="313" t="s">
        <v>177</v>
      </c>
      <c r="D419" s="327">
        <f>IFERROR(VLOOKUP(C419,'تقرير إحصائية بحجم المبيعات'!$B$391:$L$420,2,FALSE),0)</f>
        <v>128269.98999999999</v>
      </c>
      <c r="E419" s="327">
        <f>IFERROR(VLOOKUP(C419,'تقرير إحصائية بحجم المبيعات'!$B$391:$L$420,3,FALSE),0)</f>
        <v>0</v>
      </c>
      <c r="F419" s="327">
        <f>IFERROR(VLOOKUP(C419,'تقرير إحصائية بحجم المبيعات'!$B$391:$L$420,4,FALSE),0)</f>
        <v>649042.27</v>
      </c>
      <c r="G419" s="317">
        <f t="shared" si="61"/>
        <v>777312.26</v>
      </c>
      <c r="H419" s="318">
        <f t="shared" si="60"/>
        <v>25074.589032258064</v>
      </c>
      <c r="I419" s="327">
        <f>IFERROR(VLOOKUP(C419,'تقرير إحصائية بحجم المبيعات'!$B$391:$L$420,11,FALSE),0)</f>
        <v>649168.36</v>
      </c>
      <c r="J419" s="321">
        <f t="shared" si="59"/>
        <v>128143.90000000002</v>
      </c>
      <c r="K419" s="322">
        <f>HLOOKUP(C419,'تقرير المصروفات حسب الشهر'!$D$1397:$AI$1512,116,FALSE)</f>
        <v>38002.899999999994</v>
      </c>
      <c r="L419" s="96"/>
      <c r="M419" s="324">
        <f>Vod.Smart!O18</f>
        <v>0</v>
      </c>
      <c r="N419" s="307">
        <f t="shared" si="58"/>
        <v>90141.000000000029</v>
      </c>
    </row>
    <row r="420" spans="1:14" ht="16.8" thickTop="1" thickBot="1">
      <c r="A420"/>
      <c r="B420" s="312">
        <v>20</v>
      </c>
      <c r="C420" s="313" t="s">
        <v>178</v>
      </c>
      <c r="D420" s="327">
        <f>IFERROR(VLOOKUP(C420,'تقرير إحصائية بحجم المبيعات'!$B$391:$L$420,2,FALSE),0)</f>
        <v>5374.9399999999441</v>
      </c>
      <c r="E420" s="327">
        <f>IFERROR(VLOOKUP(C420,'تقرير إحصائية بحجم المبيعات'!$B$391:$L$420,3,FALSE),0)</f>
        <v>0</v>
      </c>
      <c r="F420" s="327">
        <f>IFERROR(VLOOKUP(C420,'تقرير إحصائية بحجم المبيعات'!$B$391:$L$420,4,FALSE),0)</f>
        <v>513400.7</v>
      </c>
      <c r="G420" s="317">
        <f t="shared" si="61"/>
        <v>518775.63999999996</v>
      </c>
      <c r="H420" s="318">
        <f t="shared" si="60"/>
        <v>16734.698064516127</v>
      </c>
      <c r="I420" s="327">
        <f>IFERROR(VLOOKUP(C420,'تقرير إحصائية بحجم المبيعات'!$B$391:$L$420,11,FALSE),0)</f>
        <v>423947.55</v>
      </c>
      <c r="J420" s="321">
        <f t="shared" si="59"/>
        <v>94828.089999999967</v>
      </c>
      <c r="K420" s="322">
        <f>HLOOKUP(C420,'تقرير المصروفات حسب الشهر'!$D$1397:$AI$1512,116,FALSE)</f>
        <v>25201.38</v>
      </c>
      <c r="L420" s="96"/>
      <c r="M420" s="324">
        <f>Vod.Zahraa!O18</f>
        <v>0.34</v>
      </c>
      <c r="N420" s="307">
        <f t="shared" si="58"/>
        <v>69627.049999999959</v>
      </c>
    </row>
    <row r="421" spans="1:14" ht="16.8" thickTop="1" thickBot="1">
      <c r="A421"/>
      <c r="B421" s="312">
        <v>21</v>
      </c>
      <c r="C421" s="313" t="s">
        <v>179</v>
      </c>
      <c r="D421" s="327">
        <f>IFERROR(VLOOKUP(C421,'تقرير إحصائية بحجم المبيعات'!$B$391:$L$420,2,FALSE),0)</f>
        <v>6812.3499999999767</v>
      </c>
      <c r="E421" s="327">
        <f>IFERROR(VLOOKUP(C421,'تقرير إحصائية بحجم المبيعات'!$B$391:$L$420,3,FALSE),0)</f>
        <v>0</v>
      </c>
      <c r="F421" s="327">
        <f>IFERROR(VLOOKUP(C421,'تقرير إحصائية بحجم المبيعات'!$B$391:$L$420,4,FALSE),0)</f>
        <v>740688.88</v>
      </c>
      <c r="G421" s="317">
        <f t="shared" si="61"/>
        <v>747501.23</v>
      </c>
      <c r="H421" s="318">
        <f t="shared" si="60"/>
        <v>24112.942903225805</v>
      </c>
      <c r="I421" s="327">
        <f>IFERROR(VLOOKUP(C421,'تقرير إحصائية بحجم المبيعات'!$B$391:$L$420,11,FALSE),0)</f>
        <v>635402.67000000004</v>
      </c>
      <c r="J421" s="321">
        <f t="shared" si="59"/>
        <v>112098.55999999994</v>
      </c>
      <c r="K421" s="322">
        <f>HLOOKUP(C421,'تقرير المصروفات حسب الشهر'!$D$1397:$AI$1512,116,FALSE)</f>
        <v>21592.23</v>
      </c>
      <c r="L421" s="96"/>
      <c r="M421" s="324">
        <f>Mo7awelat!O18</f>
        <v>73507.070000000007</v>
      </c>
      <c r="N421" s="307">
        <f t="shared" si="58"/>
        <v>164013.39999999997</v>
      </c>
    </row>
    <row r="422" spans="1:14" ht="16.8" thickTop="1" thickBot="1">
      <c r="A422"/>
      <c r="B422" s="312">
        <v>22</v>
      </c>
      <c r="C422" s="313" t="s">
        <v>181</v>
      </c>
      <c r="D422" s="327">
        <f>IFERROR(VLOOKUP(C422,'تقرير إحصائية بحجم المبيعات'!$B$391:$L$420,2,FALSE),0)</f>
        <v>1712.9400000000142</v>
      </c>
      <c r="E422" s="327">
        <f>IFERROR(VLOOKUP(C422,'تقرير إحصائية بحجم المبيعات'!$B$391:$L$420,3,FALSE),0)</f>
        <v>0</v>
      </c>
      <c r="F422" s="327">
        <f>IFERROR(VLOOKUP(C422,'تقرير إحصائية بحجم المبيعات'!$B$391:$L$420,4,FALSE),0)</f>
        <v>255798.88</v>
      </c>
      <c r="G422" s="317">
        <f t="shared" si="61"/>
        <v>257511.82</v>
      </c>
      <c r="H422" s="318">
        <f t="shared" si="60"/>
        <v>8306.8329032258061</v>
      </c>
      <c r="I422" s="327">
        <f>IFERROR(VLOOKUP(C422,'تقرير إحصائية بحجم المبيعات'!$B$391:$L$420,11,FALSE),0)</f>
        <v>227275.31</v>
      </c>
      <c r="J422" s="321">
        <f t="shared" si="59"/>
        <v>30236.510000000009</v>
      </c>
      <c r="K422" s="322">
        <f>HLOOKUP(C422,'تقرير المصروفات حسب الشهر'!$D$1397:$AI$1512,116,FALSE)</f>
        <v>20492.439999999999</v>
      </c>
      <c r="L422" s="96"/>
      <c r="M422" s="324">
        <f>Electric!O18</f>
        <v>0</v>
      </c>
      <c r="N422" s="307">
        <f t="shared" si="58"/>
        <v>9744.0700000000106</v>
      </c>
    </row>
    <row r="423" spans="1:14" ht="16.8" thickTop="1" thickBot="1">
      <c r="A423"/>
      <c r="B423" s="312">
        <v>23</v>
      </c>
      <c r="C423" s="313" t="s">
        <v>182</v>
      </c>
      <c r="D423" s="327">
        <f>IFERROR(VLOOKUP(C423,'تقرير إحصائية بحجم المبيعات'!$B$391:$L$420,2,FALSE),0)</f>
        <v>8552.4499999999989</v>
      </c>
      <c r="E423" s="327">
        <f>IFERROR(VLOOKUP(C423,'تقرير إحصائية بحجم المبيعات'!$B$391:$L$420,3,FALSE),0)</f>
        <v>0</v>
      </c>
      <c r="F423" s="327">
        <f>IFERROR(VLOOKUP(C423,'تقرير إحصائية بحجم المبيعات'!$B$391:$L$420,4,FALSE),0)</f>
        <v>40768.82</v>
      </c>
      <c r="G423" s="317">
        <f t="shared" si="61"/>
        <v>49321.27</v>
      </c>
      <c r="H423" s="318">
        <f t="shared" si="60"/>
        <v>1591.0087096774193</v>
      </c>
      <c r="I423" s="327">
        <f>IFERROR(VLOOKUP(C423,'تقرير إحصائية بحجم المبيعات'!$B$391:$L$420,11,FALSE),0)</f>
        <v>43452.91</v>
      </c>
      <c r="J423" s="321">
        <f t="shared" si="59"/>
        <v>5868.3599999999933</v>
      </c>
      <c r="K423" s="322">
        <f>HLOOKUP(C423,'تقرير المصروفات حسب الشهر'!$D$1397:$AI$1512,116,FALSE)</f>
        <v>12965.32</v>
      </c>
      <c r="L423" s="96"/>
      <c r="M423" s="324">
        <f>'M.C.V'!O18</f>
        <v>0</v>
      </c>
      <c r="N423" s="307">
        <f t="shared" si="58"/>
        <v>-7096.9600000000064</v>
      </c>
    </row>
    <row r="424" spans="1:14" ht="16.8" thickTop="1" thickBot="1">
      <c r="A424"/>
      <c r="B424" s="312">
        <v>24</v>
      </c>
      <c r="C424" s="313" t="s">
        <v>187</v>
      </c>
      <c r="D424" s="327">
        <f>IFERROR(VLOOKUP(C424,'تقرير إحصائية بحجم المبيعات'!$B$391:$L$420,2,FALSE),0)</f>
        <v>70434.499999999942</v>
      </c>
      <c r="E424" s="327">
        <f>IFERROR(VLOOKUP(C424,'تقرير إحصائية بحجم المبيعات'!$B$391:$L$420,3,FALSE),0)</f>
        <v>0</v>
      </c>
      <c r="F424" s="327">
        <f>IFERROR(VLOOKUP(C424,'تقرير إحصائية بحجم المبيعات'!$B$391:$L$420,4,FALSE),0)</f>
        <v>228298.89</v>
      </c>
      <c r="G424" s="317">
        <f t="shared" si="61"/>
        <v>298733.38999999996</v>
      </c>
      <c r="H424" s="318">
        <f t="shared" si="60"/>
        <v>9636.5609677419343</v>
      </c>
      <c r="I424" s="327">
        <f>IFERROR(VLOOKUP(C424,'تقرير إحصائية بحجم المبيعات'!$B$391:$L$420,11,FALSE),0)</f>
        <v>242354.79</v>
      </c>
      <c r="J424" s="321">
        <f t="shared" si="59"/>
        <v>56378.599999999948</v>
      </c>
      <c r="K424" s="322">
        <f>HLOOKUP(C424,'تقرير المصروفات حسب الشهر'!$D$1397:$AI$1512,116,FALSE)</f>
        <v>20001.27</v>
      </c>
      <c r="L424" s="96"/>
      <c r="M424" s="324">
        <f>Egyplast!O18</f>
        <v>0</v>
      </c>
      <c r="N424" s="307">
        <f t="shared" si="58"/>
        <v>36377.329999999944</v>
      </c>
    </row>
    <row r="425" spans="1:14" ht="16.8" thickTop="1" thickBot="1">
      <c r="A425"/>
      <c r="B425" s="312">
        <v>25</v>
      </c>
      <c r="C425" s="313" t="s">
        <v>233</v>
      </c>
      <c r="D425" s="327">
        <f>IFERROR(VLOOKUP(C425,'تقرير إحصائية بحجم المبيعات'!$B$391:$L$420,2,FALSE),0)</f>
        <v>63035.579999999958</v>
      </c>
      <c r="E425" s="327">
        <f>IFERROR(VLOOKUP(C425,'تقرير إحصائية بحجم المبيعات'!$B$391:$L$420,3,FALSE),0)</f>
        <v>0</v>
      </c>
      <c r="F425" s="327">
        <f>IFERROR(VLOOKUP(C425,'تقرير إحصائية بحجم المبيعات'!$B$391:$L$420,4,FALSE),0)</f>
        <v>535097.06000000006</v>
      </c>
      <c r="G425" s="317">
        <f t="shared" si="61"/>
        <v>598132.64</v>
      </c>
      <c r="H425" s="318">
        <f t="shared" si="60"/>
        <v>19294.601290322582</v>
      </c>
      <c r="I425" s="327">
        <f>IFERROR(VLOOKUP(C425,'تقرير إحصائية بحجم المبيعات'!$B$391:$L$420,11,FALSE),0)</f>
        <v>500030.02</v>
      </c>
      <c r="J425" s="321">
        <f t="shared" si="59"/>
        <v>98102.62</v>
      </c>
      <c r="K425" s="322">
        <f>HLOOKUP(C425,'تقرير المصروفات حسب الشهر'!$D$1397:$AI$1512,116,FALSE)</f>
        <v>65840.679999999993</v>
      </c>
      <c r="L425" s="96"/>
      <c r="M425" s="324">
        <f>Etisalat.Katamya!O18</f>
        <v>0</v>
      </c>
      <c r="N425" s="307">
        <f t="shared" si="58"/>
        <v>32261.940000000002</v>
      </c>
    </row>
    <row r="426" spans="1:14" ht="16.8" thickTop="1" thickBot="1">
      <c r="A426"/>
      <c r="B426" s="312">
        <v>26</v>
      </c>
      <c r="C426" s="313" t="s">
        <v>240</v>
      </c>
      <c r="D426" s="327">
        <f>IFERROR(VLOOKUP(C426,'تقرير إحصائية بحجم المبيعات'!$B$391:$L$420,2,FALSE),0)</f>
        <v>194684.29000000007</v>
      </c>
      <c r="E426" s="327">
        <f>IFERROR(VLOOKUP(C426,'تقرير إحصائية بحجم المبيعات'!$B$391:$L$420,3,FALSE),0)</f>
        <v>0</v>
      </c>
      <c r="F426" s="327">
        <f>IFERROR(VLOOKUP(C426,'تقرير إحصائية بحجم المبيعات'!$B$391:$L$420,4,FALSE),0)</f>
        <v>1064044.1499999999</v>
      </c>
      <c r="G426" s="317">
        <f t="shared" si="61"/>
        <v>1258728.44</v>
      </c>
      <c r="H426" s="318">
        <f t="shared" si="60"/>
        <v>40604.143225806452</v>
      </c>
      <c r="I426" s="327">
        <f>IFERROR(VLOOKUP(C426,'تقرير إحصائية بحجم المبيعات'!$B$391:$L$420,11,FALSE),0)</f>
        <v>1095742.23</v>
      </c>
      <c r="J426" s="321">
        <f t="shared" si="59"/>
        <v>162986.20999999996</v>
      </c>
      <c r="K426" s="322">
        <f>HLOOKUP(C426,'تقرير المصروفات حسب الشهر'!$D$1397:$AI$1512,116,FALSE)</f>
        <v>49875.450000000004</v>
      </c>
      <c r="L426" s="96"/>
      <c r="M426" s="325">
        <f>CFC!O18</f>
        <v>0</v>
      </c>
      <c r="N426" s="307">
        <f t="shared" si="58"/>
        <v>113110.75999999995</v>
      </c>
    </row>
    <row r="427" spans="1:14" ht="16.8" thickTop="1" thickBot="1">
      <c r="A427"/>
      <c r="B427" s="312">
        <v>27</v>
      </c>
      <c r="C427" s="313" t="s">
        <v>245</v>
      </c>
      <c r="D427" s="327">
        <f>IFERROR(VLOOKUP(C427,'تقرير إحصائية بحجم المبيعات'!$B$391:$L$420,2,FALSE),0)</f>
        <v>0</v>
      </c>
      <c r="E427" s="327">
        <f>IFERROR(VLOOKUP(C427,'تقرير إحصائية بحجم المبيعات'!$B$391:$L$420,3,FALSE),0)</f>
        <v>0</v>
      </c>
      <c r="F427" s="327">
        <f>IFERROR(VLOOKUP(C427,'تقرير إحصائية بحجم المبيعات'!$B$391:$L$420,4,FALSE),0)</f>
        <v>0</v>
      </c>
      <c r="G427" s="317">
        <f t="shared" si="61"/>
        <v>0</v>
      </c>
      <c r="H427" s="318">
        <f t="shared" si="60"/>
        <v>0</v>
      </c>
      <c r="I427" s="327">
        <f>IFERROR(VLOOKUP(C427,'تقرير إحصائية بحجم المبيعات'!$B$391:$L$420,11,FALSE),0)</f>
        <v>0</v>
      </c>
      <c r="J427" s="321">
        <f t="shared" si="59"/>
        <v>0</v>
      </c>
      <c r="K427" s="322">
        <f>HLOOKUP(C427,'تقرير المصروفات حسب الشهر'!$D$1397:$AI$1512,116,FALSE)</f>
        <v>0</v>
      </c>
      <c r="L427" s="96"/>
      <c r="M427" s="325">
        <f>North.Coast!O18</f>
        <v>0</v>
      </c>
      <c r="N427" s="307">
        <f t="shared" si="58"/>
        <v>0</v>
      </c>
    </row>
    <row r="428" spans="1:14" ht="16.8" thickTop="1" thickBot="1">
      <c r="A428"/>
      <c r="B428" s="312">
        <v>28</v>
      </c>
      <c r="C428" s="547" t="s">
        <v>357</v>
      </c>
      <c r="D428" s="327">
        <f>IFERROR(VLOOKUP(C428,'تقرير إحصائية بحجم المبيعات'!$B$391:$L$420,2,FALSE),0)</f>
        <v>3004583.73</v>
      </c>
      <c r="E428" s="327">
        <f>IFERROR(VLOOKUP(C428,'تقرير إحصائية بحجم المبيعات'!$B$391:$L$420,3,FALSE),0)</f>
        <v>496278.64</v>
      </c>
      <c r="F428" s="327">
        <f>IFERROR(VLOOKUP(C428,'تقرير إحصائية بحجم المبيعات'!$B$391:$L$420,4,FALSE),0)</f>
        <v>345791.9</v>
      </c>
      <c r="G428" s="317">
        <f>+D428+E428+F428</f>
        <v>3846654.27</v>
      </c>
      <c r="H428" s="318">
        <f>+G428/31</f>
        <v>124085.62161290323</v>
      </c>
      <c r="I428" s="327">
        <f>IFERROR(VLOOKUP(C428,'تقرير إحصائية بحجم المبيعات'!$B$391:$L$420,11,FALSE),0)</f>
        <v>3020516.38</v>
      </c>
      <c r="J428" s="321">
        <f>+G428-I428</f>
        <v>826137.89000000013</v>
      </c>
      <c r="K428" s="322">
        <f>HLOOKUP(C428,'تقرير المصروفات حسب الشهر'!$D$1397:$AI$1512,116,FALSE)</f>
        <v>1065142.1500000001</v>
      </c>
      <c r="L428" s="96"/>
      <c r="M428" s="325">
        <f>Rehab!O18</f>
        <v>24709.010000000002</v>
      </c>
      <c r="N428" s="307">
        <f t="shared" si="58"/>
        <v>-214295.25</v>
      </c>
    </row>
    <row r="429" spans="1:14" ht="16.8" thickTop="1" thickBot="1">
      <c r="A429"/>
      <c r="B429" s="312">
        <v>29</v>
      </c>
      <c r="C429" s="547" t="s">
        <v>362</v>
      </c>
      <c r="D429" s="327">
        <f>IFERROR(VLOOKUP(C429,'تقرير إحصائية بحجم المبيعات'!$B$391:$L$420,2,FALSE),0)</f>
        <v>107883.99000000011</v>
      </c>
      <c r="E429" s="327">
        <f>IFERROR(VLOOKUP(C429,'تقرير إحصائية بحجم المبيعات'!$B$391:$L$420,3,FALSE),0)</f>
        <v>0</v>
      </c>
      <c r="F429" s="327">
        <f>IFERROR(VLOOKUP(C429,'تقرير إحصائية بحجم المبيعات'!$B$391:$L$420,4,FALSE),0)</f>
        <v>951118.07</v>
      </c>
      <c r="G429" s="317">
        <f>+D429+E429+F429</f>
        <v>1059002.06</v>
      </c>
      <c r="H429" s="318">
        <f>+G429/31</f>
        <v>34161.356774193548</v>
      </c>
      <c r="I429" s="327">
        <f>IFERROR(VLOOKUP(C429,'تقرير إحصائية بحجم المبيعات'!$B$391:$L$420,11,FALSE),0)</f>
        <v>641455.21</v>
      </c>
      <c r="J429" s="321">
        <f>+G429-I429</f>
        <v>417546.85000000009</v>
      </c>
      <c r="K429" s="322">
        <f>HLOOKUP(C429,'تقرير المصروفات حسب الشهر'!$D$1397:$AI$1512,116,FALSE)</f>
        <v>24425.420000000002</v>
      </c>
      <c r="L429" s="96"/>
      <c r="M429" s="325">
        <f>'HSBC MAADI'!O18</f>
        <v>0.6</v>
      </c>
      <c r="N429" s="307">
        <f t="shared" si="58"/>
        <v>393122.03000000009</v>
      </c>
    </row>
    <row r="430" spans="1:14" ht="16.8" thickTop="1" thickBot="1">
      <c r="A430"/>
      <c r="B430" s="312">
        <v>30</v>
      </c>
      <c r="C430" s="547" t="s">
        <v>361</v>
      </c>
      <c r="D430" s="327">
        <f>IFERROR(VLOOKUP(C430,'تقرير إحصائية بحجم المبيعات'!$B$391:$L$420,2,FALSE),0)</f>
        <v>87647.229999999981</v>
      </c>
      <c r="E430" s="327">
        <f>IFERROR(VLOOKUP(C430,'تقرير إحصائية بحجم المبيعات'!$B$391:$L$420,3,FALSE),0)</f>
        <v>0</v>
      </c>
      <c r="F430" s="327">
        <f>IFERROR(VLOOKUP(C430,'تقرير إحصائية بحجم المبيعات'!$B$391:$L$420,4,FALSE),0)</f>
        <v>737869.27</v>
      </c>
      <c r="G430" s="317">
        <f>+D430+E430+F430</f>
        <v>825516.5</v>
      </c>
      <c r="H430" s="318">
        <f>+G430/31</f>
        <v>26629.564516129034</v>
      </c>
      <c r="I430" s="327">
        <f>IFERROR(VLOOKUP(C430,'تقرير إحصائية بحجم المبيعات'!$B$391:$L$420,11,FALSE),0)</f>
        <v>702176.82</v>
      </c>
      <c r="J430" s="321">
        <f>+G430-I430</f>
        <v>123339.68000000005</v>
      </c>
      <c r="K430" s="322">
        <f>HLOOKUP(C430,'تقرير المصروفات حسب الشهر'!$D$1397:$AI$1512,116,FALSE)</f>
        <v>74518.509999999995</v>
      </c>
      <c r="L430" s="96"/>
      <c r="M430" s="325">
        <f>'HSBC SMART'!O18</f>
        <v>0</v>
      </c>
      <c r="N430" s="307">
        <f t="shared" si="58"/>
        <v>48821.170000000056</v>
      </c>
    </row>
    <row r="431" spans="1:14" ht="16.8" thickTop="1" thickBot="1">
      <c r="A431"/>
      <c r="B431" s="312">
        <v>31</v>
      </c>
      <c r="C431" s="547" t="s">
        <v>234</v>
      </c>
      <c r="D431" s="327">
        <f>IFERROR(VLOOKUP(C431,'تقرير إحصائية بحجم المبيعات'!$B$391:$L$420,2,FALSE),0)</f>
        <v>0</v>
      </c>
      <c r="E431" s="327">
        <f>IFERROR(VLOOKUP(C431,'تقرير إحصائية بحجم المبيعات'!$B$391:$L$420,3,FALSE),0)</f>
        <v>0</v>
      </c>
      <c r="F431" s="327">
        <f>IFERROR(VLOOKUP(C431,'تقرير إحصائية بحجم المبيعات'!$B$391:$L$420,4,FALSE),0)</f>
        <v>0</v>
      </c>
      <c r="G431" s="317">
        <f>+D431+E431+F431</f>
        <v>0</v>
      </c>
      <c r="H431" s="318">
        <f>+G431/31</f>
        <v>0</v>
      </c>
      <c r="I431" s="327">
        <f>IFERROR(VLOOKUP(C431,'تقرير إحصائية بحجم المبيعات'!$B$391:$L$420,11,FALSE),0)</f>
        <v>0</v>
      </c>
      <c r="J431" s="321">
        <f>+G431-I431</f>
        <v>0</v>
      </c>
      <c r="K431" s="322">
        <f>HLOOKUP(C431,'تقرير المصروفات حسب الشهر'!$D$1397:$AI$1512,116,FALSE)</f>
        <v>0</v>
      </c>
      <c r="L431" s="96"/>
      <c r="M431" s="325">
        <f>North.Coast!O18</f>
        <v>0</v>
      </c>
      <c r="N431" s="307">
        <f t="shared" si="58"/>
        <v>0</v>
      </c>
    </row>
    <row r="432" spans="1:14" ht="27.75" customHeight="1" thickTop="1" thickBot="1">
      <c r="A432"/>
      <c r="B432" s="652" t="s">
        <v>18</v>
      </c>
      <c r="C432" s="653"/>
      <c r="D432" s="305">
        <f>SUM(D401:D431)</f>
        <v>34102491.450000003</v>
      </c>
      <c r="E432" s="305">
        <f t="shared" ref="E432:N432" si="62">SUM(E401:E431)</f>
        <v>5220905.3599999994</v>
      </c>
      <c r="F432" s="305">
        <f t="shared" si="62"/>
        <v>22882116.639999993</v>
      </c>
      <c r="G432" s="305">
        <f t="shared" si="62"/>
        <v>62205513.450000003</v>
      </c>
      <c r="H432" s="305">
        <f t="shared" si="62"/>
        <v>2006629.4661290324</v>
      </c>
      <c r="I432" s="305">
        <f t="shared" si="62"/>
        <v>49741294.579999991</v>
      </c>
      <c r="J432" s="305">
        <f t="shared" si="62"/>
        <v>12464218.870000003</v>
      </c>
      <c r="K432" s="305">
        <f t="shared" si="62"/>
        <v>12649193.580000002</v>
      </c>
      <c r="L432" s="305">
        <f t="shared" si="62"/>
        <v>0</v>
      </c>
      <c r="M432" s="305">
        <f t="shared" si="62"/>
        <v>5085004.6649998538</v>
      </c>
      <c r="N432" s="305">
        <f t="shared" si="62"/>
        <v>4900029.9549998576</v>
      </c>
    </row>
    <row r="433" spans="1:14" ht="13.8" thickTop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>
      <c r="A434"/>
      <c r="B434"/>
      <c r="C434"/>
      <c r="D434"/>
      <c r="E434"/>
      <c r="F434"/>
      <c r="G434"/>
      <c r="H434"/>
      <c r="I434"/>
      <c r="J434"/>
      <c r="K434" s="396"/>
      <c r="L434"/>
      <c r="M434"/>
      <c r="N434"/>
    </row>
    <row r="435" spans="1:14">
      <c r="A435"/>
      <c r="B435"/>
      <c r="C435"/>
      <c r="D435"/>
      <c r="E435"/>
      <c r="F435"/>
      <c r="G435"/>
      <c r="H435"/>
      <c r="I435"/>
      <c r="J435"/>
      <c r="K435" s="580"/>
      <c r="L435"/>
      <c r="M435"/>
      <c r="N435"/>
    </row>
    <row r="436" spans="1:14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</sheetData>
  <mergeCells count="20">
    <mergeCell ref="B4:N4"/>
    <mergeCell ref="B39:N39"/>
    <mergeCell ref="B75:N75"/>
    <mergeCell ref="B183:N183"/>
    <mergeCell ref="B216:C216"/>
    <mergeCell ref="B147:N147"/>
    <mergeCell ref="B180:C180"/>
    <mergeCell ref="B111:N111"/>
    <mergeCell ref="B219:N219"/>
    <mergeCell ref="B252:C252"/>
    <mergeCell ref="B255:N255"/>
    <mergeCell ref="B288:C288"/>
    <mergeCell ref="B291:N291"/>
    <mergeCell ref="B399:N399"/>
    <mergeCell ref="B432:C432"/>
    <mergeCell ref="B324:C324"/>
    <mergeCell ref="B327:N327"/>
    <mergeCell ref="B360:C360"/>
    <mergeCell ref="B363:N363"/>
    <mergeCell ref="B396:C396"/>
  </mergeCells>
  <phoneticPr fontId="0" type="noConversion"/>
  <pageMargins left="0.75" right="0.75" top="1" bottom="1" header="0.5" footer="0.5"/>
  <pageSetup paperSize="9" scale="10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1">
    <tabColor rgb="FFFFC000"/>
  </sheetPr>
  <dimension ref="B1:Q128"/>
  <sheetViews>
    <sheetView rightToLeft="1" tabSelected="1" topLeftCell="B92" zoomScale="90" zoomScaleNormal="90" workbookViewId="0">
      <selection activeCell="N117" sqref="N117"/>
    </sheetView>
  </sheetViews>
  <sheetFormatPr defaultColWidth="8.88671875" defaultRowHeight="13.2"/>
  <cols>
    <col min="1" max="1" width="3.88671875" style="13" customWidth="1"/>
    <col min="2" max="2" width="28.5546875" style="13" bestFit="1" customWidth="1"/>
    <col min="3" max="9" width="13.88671875" style="13" bestFit="1" customWidth="1"/>
    <col min="10" max="10" width="13.109375" style="13" bestFit="1" customWidth="1"/>
    <col min="11" max="11" width="12.88671875" style="13" bestFit="1" customWidth="1"/>
    <col min="12" max="13" width="13.109375" style="13" bestFit="1" customWidth="1"/>
    <col min="14" max="14" width="12.88671875" style="13" bestFit="1" customWidth="1"/>
    <col min="15" max="15" width="12.109375" style="13" bestFit="1" customWidth="1"/>
    <col min="16" max="16" width="13.6640625" style="13" bestFit="1" customWidth="1"/>
    <col min="17" max="17" width="13.88671875" style="13" bestFit="1" customWidth="1"/>
    <col min="18" max="16384" width="8.88671875" style="13"/>
  </cols>
  <sheetData>
    <row r="1" spans="2:17" ht="13.8" thickBot="1"/>
    <row r="2" spans="2:17" ht="36" customHeight="1" thickTop="1">
      <c r="B2" s="654" t="s">
        <v>387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6"/>
    </row>
    <row r="3" spans="2:17" ht="24" customHeight="1">
      <c r="B3" s="286" t="s">
        <v>23</v>
      </c>
      <c r="C3" s="287" t="s">
        <v>293</v>
      </c>
      <c r="D3" s="287" t="s">
        <v>248</v>
      </c>
      <c r="E3" s="287" t="s">
        <v>249</v>
      </c>
      <c r="F3" s="287" t="s">
        <v>250</v>
      </c>
      <c r="G3" s="287" t="s">
        <v>251</v>
      </c>
      <c r="H3" s="287" t="s">
        <v>252</v>
      </c>
      <c r="I3" s="287" t="s">
        <v>253</v>
      </c>
      <c r="J3" s="287" t="s">
        <v>254</v>
      </c>
      <c r="K3" s="287" t="s">
        <v>255</v>
      </c>
      <c r="L3" s="287" t="s">
        <v>256</v>
      </c>
      <c r="M3" s="287" t="s">
        <v>257</v>
      </c>
      <c r="N3" s="287" t="s">
        <v>258</v>
      </c>
      <c r="O3" s="286" t="s">
        <v>18</v>
      </c>
    </row>
    <row r="4" spans="2:17">
      <c r="B4" s="284" t="s">
        <v>40</v>
      </c>
      <c r="C4" s="275">
        <f>IFERROR(VLOOKUP(B4,'تقرير المصروفات حسب الشهر'!$C$10:$AI$123,33,FALSE),0)</f>
        <v>853477.34</v>
      </c>
      <c r="D4" s="275">
        <f>IFERROR(VLOOKUP(B4,'تقرير المصروفات حسب الشهر'!$C$134:$AI$248,33,FALSE),0)</f>
        <v>899945.03</v>
      </c>
      <c r="E4" s="275">
        <f>IFERROR(VLOOKUP(B4,'تقرير المصروفات حسب الشهر'!$C$261:$AI$374,33,FALSE),0)</f>
        <v>896301.69000000006</v>
      </c>
      <c r="F4" s="275">
        <f>IFERROR(VLOOKUP(B4,'تقرير المصروفات حسب الشهر'!$C$387:$AI$499,33,FALSE),0)</f>
        <v>903218.51</v>
      </c>
      <c r="G4" s="275">
        <f>IFERROR(VLOOKUP(B4,'تقرير المصروفات حسب الشهر'!$C$512:$AI$624,33,FALSE),0)</f>
        <v>994803.77</v>
      </c>
      <c r="H4" s="275">
        <f>IFERROR(VLOOKUP(B4,'تقرير المصروفات حسب الشهر'!$C$637:$AI$750,33,FALSE),0)</f>
        <v>1006628.75</v>
      </c>
      <c r="I4" s="275">
        <f>IFERROR(VLOOKUP(B4,'تقرير المصروفات حسب الشهر'!C762:AI877,33,0),0)</f>
        <v>1108595.69</v>
      </c>
      <c r="J4" s="275">
        <f>IFERROR(VLOOKUP(B4,'تقرير المصروفات حسب الشهر'!$C$890:$AI$1007,33,FALSE),0)</f>
        <v>1266314.54</v>
      </c>
      <c r="K4" s="275">
        <f>IFERROR(VLOOKUP(B4,'تقرير المصروفات حسب الشهر'!$C$1017:$AI$1131,33,FALSE),0)</f>
        <v>1184810.3999999999</v>
      </c>
      <c r="L4" s="275">
        <f>IFERROR(VLOOKUP(B4,'تقرير المصروفات حسب الشهر'!$C$1143:$AI$1259,33,FALSE),0)</f>
        <v>1313118.58</v>
      </c>
      <c r="M4" s="275">
        <f>IFERROR(VLOOKUP(B4,'تقرير المصروفات حسب الشهر'!$C$1271:$AI$1385,33,FALSE),0)</f>
        <v>1305040.6399999999</v>
      </c>
      <c r="N4" s="275">
        <f>IFERROR(VLOOKUP(B4,'تقرير المصروفات حسب الشهر'!$C$1397:$AI$1512,33,FALSE),0)</f>
        <v>1313581.9000000001</v>
      </c>
      <c r="O4" s="281">
        <f t="shared" ref="O4:O67" si="0">SUM(C4:N4)</f>
        <v>13045836.84</v>
      </c>
      <c r="Q4" s="276"/>
    </row>
    <row r="5" spans="2:17">
      <c r="B5" s="284" t="s">
        <v>41</v>
      </c>
      <c r="C5" s="275">
        <f>IFERROR(VLOOKUP(B5,'تقرير المصروفات حسب الشهر'!$C$10:$AI$123,33,FALSE),0)</f>
        <v>2432813.7600000002</v>
      </c>
      <c r="D5" s="275">
        <f>IFERROR(VLOOKUP(B5,'تقرير المصروفات حسب الشهر'!$C$134:$AI$248,33,FALSE),0)</f>
        <v>3113708.02</v>
      </c>
      <c r="E5" s="275">
        <f>IFERROR(VLOOKUP(B5,'تقرير المصروفات حسب الشهر'!$C$261:$AI$374,33,FALSE),0)</f>
        <v>2927024.2500000009</v>
      </c>
      <c r="F5" s="275">
        <f>IFERROR(VLOOKUP(B5,'تقرير المصروفات حسب الشهر'!$C$387:$AI$499,33,FALSE),0)</f>
        <v>3075055.5999999978</v>
      </c>
      <c r="G5" s="275">
        <f>IFERROR(VLOOKUP(B5,'تقرير المصروفات حسب الشهر'!$C$512:$AI$624,33,FALSE),0)</f>
        <v>3212591.5799999991</v>
      </c>
      <c r="H5" s="275">
        <f>IFERROR(VLOOKUP(B5,'تقرير المصروفات حسب الشهر'!$C$637:$AI$750,33,FALSE),0)</f>
        <v>3373440.2100000004</v>
      </c>
      <c r="I5" s="275">
        <f>IFERROR(VLOOKUP(B5,'تقرير المصروفات حسب الشهر'!C763:AI878,33,0),0)</f>
        <v>3436509.585</v>
      </c>
      <c r="J5" s="275">
        <f>IFERROR(VLOOKUP(B5,'تقرير المصروفات حسب الشهر'!$C$890:$AI$1007,33,FALSE),0)</f>
        <v>3489354.8299999996</v>
      </c>
      <c r="K5" s="275">
        <f>IFERROR(VLOOKUP(B5,'تقرير المصروفات حسب الشهر'!$C$1017:$AI$1131,33,FALSE),0)</f>
        <v>3538785.71</v>
      </c>
      <c r="L5" s="275">
        <f>IFERROR(VLOOKUP(B5,'تقرير المصروفات حسب الشهر'!$C$1143:$AI$1259,33,FALSE),0)</f>
        <v>3752577.5880000009</v>
      </c>
      <c r="M5" s="275">
        <f>IFERROR(VLOOKUP(B5,'تقرير المصروفات حسب الشهر'!$C$1271:$AI$1385,33,FALSE),0)</f>
        <v>3826155.73</v>
      </c>
      <c r="N5" s="275">
        <f>IFERROR(VLOOKUP(B5,'تقرير المصروفات حسب الشهر'!$C$1397:$AI$1512,33,FALSE),0)</f>
        <v>4020526.8199999989</v>
      </c>
      <c r="O5" s="281">
        <f t="shared" si="0"/>
        <v>40198543.682999998</v>
      </c>
      <c r="P5" s="276"/>
    </row>
    <row r="6" spans="2:17">
      <c r="B6" s="284" t="s">
        <v>26</v>
      </c>
      <c r="C6" s="275">
        <f>IFERROR(VLOOKUP(B6,'تقرير المصروفات حسب الشهر'!$C$10:$AI$123,33,FALSE),0)</f>
        <v>33612</v>
      </c>
      <c r="D6" s="275">
        <f>IFERROR(VLOOKUP(B6,'تقرير المصروفات حسب الشهر'!$C$134:$AI$248,33,FALSE),0)</f>
        <v>17837</v>
      </c>
      <c r="E6" s="275">
        <f>IFERROR(VLOOKUP(B6,'تقرير المصروفات حسب الشهر'!$C$261:$AI$374,33,FALSE),0)</f>
        <v>52992</v>
      </c>
      <c r="F6" s="275">
        <f>IFERROR(VLOOKUP(B6,'تقرير المصروفات حسب الشهر'!$C$387:$AI$499,33,FALSE),0)</f>
        <v>36566</v>
      </c>
      <c r="G6" s="275">
        <f>IFERROR(VLOOKUP(B6,'تقرير المصروفات حسب الشهر'!$C$512:$AI$624,33,FALSE),0)</f>
        <v>44400</v>
      </c>
      <c r="H6" s="275">
        <f>IFERROR(VLOOKUP(B6,'تقرير المصروفات حسب الشهر'!$C$637:$AI$750,33,FALSE),0)</f>
        <v>64465</v>
      </c>
      <c r="I6" s="275">
        <f>IFERROR(VLOOKUP(B6,'تقرير المصروفات حسب الشهر'!C764:AI879,33,0),0)</f>
        <v>92375</v>
      </c>
      <c r="J6" s="275">
        <f>IFERROR(VLOOKUP(B6,'تقرير المصروفات حسب الشهر'!$C$890:$AI$1007,33,FALSE),0)</f>
        <v>71447</v>
      </c>
      <c r="K6" s="275">
        <f>IFERROR(VLOOKUP(B6,'تقرير المصروفات حسب الشهر'!$C$1017:$AI$1131,33,FALSE),0)</f>
        <v>112057</v>
      </c>
      <c r="L6" s="275">
        <f>IFERROR(VLOOKUP(B6,'تقرير المصروفات حسب الشهر'!$C$1143:$AI$1259,33,FALSE),0)</f>
        <v>118941.75</v>
      </c>
      <c r="M6" s="275">
        <f>IFERROR(VLOOKUP(B6,'تقرير المصروفات حسب الشهر'!$C$1271:$AI$1385,33,FALSE),0)</f>
        <v>87318</v>
      </c>
      <c r="N6" s="275">
        <f>IFERROR(VLOOKUP(B6,'تقرير المصروفات حسب الشهر'!$C$1397:$AI$1512,33,FALSE),0)</f>
        <v>70345</v>
      </c>
      <c r="O6" s="281">
        <f t="shared" si="0"/>
        <v>802355.75</v>
      </c>
    </row>
    <row r="7" spans="2:17">
      <c r="B7" s="284" t="s">
        <v>27</v>
      </c>
      <c r="C7" s="275">
        <f>IFERROR(VLOOKUP(B7,'تقرير المصروفات حسب الشهر'!$C$10:$AI$123,33,FALSE),0)</f>
        <v>675</v>
      </c>
      <c r="D7" s="275">
        <f>IFERROR(VLOOKUP(B7,'تقرير المصروفات حسب الشهر'!$C$134:$AI$248,33,FALSE),0)</f>
        <v>200</v>
      </c>
      <c r="E7" s="275">
        <f>IFERROR(VLOOKUP(B7,'تقرير المصروفات حسب الشهر'!$C$261:$AI$374,33,FALSE),0)</f>
        <v>880</v>
      </c>
      <c r="F7" s="275">
        <f>IFERROR(VLOOKUP(B7,'تقرير المصروفات حسب الشهر'!$C$387:$AI$499,33,FALSE),0)</f>
        <v>2800</v>
      </c>
      <c r="G7" s="275">
        <f>IFERROR(VLOOKUP(B7,'تقرير المصروفات حسب الشهر'!$C$512:$AI$624,33,FALSE),0)</f>
        <v>8222</v>
      </c>
      <c r="H7" s="275">
        <f>IFERROR(VLOOKUP(B7,'تقرير المصروفات حسب الشهر'!$C$637:$AI$750,33,FALSE),0)</f>
        <v>215</v>
      </c>
      <c r="I7" s="275">
        <f>IFERROR(VLOOKUP(B7,'تقرير المصروفات حسب الشهر'!C765:AI880,33,0),0)</f>
        <v>626</v>
      </c>
      <c r="J7" s="275">
        <f>IFERROR(VLOOKUP(B7,'تقرير المصروفات حسب الشهر'!$C$890:$AI$1007,33,FALSE),0)</f>
        <v>1227</v>
      </c>
      <c r="K7" s="275">
        <f>IFERROR(VLOOKUP(B7,'تقرير المصروفات حسب الشهر'!$C$1017:$AI$1131,33,FALSE),0)</f>
        <v>4387</v>
      </c>
      <c r="L7" s="275">
        <f>IFERROR(VLOOKUP(B7,'تقرير المصروفات حسب الشهر'!$C$1143:$AI$1259,33,FALSE),0)</f>
        <v>2358</v>
      </c>
      <c r="M7" s="275">
        <f>IFERROR(VLOOKUP(B7,'تقرير المصروفات حسب الشهر'!$C$1271:$AI$1385,33,FALSE),0)</f>
        <v>979</v>
      </c>
      <c r="N7" s="275">
        <f>IFERROR(VLOOKUP(B7,'تقرير المصروفات حسب الشهر'!$C$1397:$AI$1512,33,FALSE),0)</f>
        <v>8069</v>
      </c>
      <c r="O7" s="281">
        <f t="shared" si="0"/>
        <v>30638</v>
      </c>
    </row>
    <row r="8" spans="2:17">
      <c r="B8" s="284" t="s">
        <v>42</v>
      </c>
      <c r="C8" s="275">
        <f>IFERROR(VLOOKUP(B8,'تقرير المصروفات حسب الشهر'!$C$10:$AI$123,33,FALSE),0)</f>
        <v>3531</v>
      </c>
      <c r="D8" s="275">
        <f>IFERROR(VLOOKUP(B8,'تقرير المصروفات حسب الشهر'!$C$134:$AI$248,33,FALSE),0)</f>
        <v>0</v>
      </c>
      <c r="E8" s="275">
        <f>IFERROR(VLOOKUP(B8,'تقرير المصروفات حسب الشهر'!$C$261:$AI$374,33,FALSE),0)</f>
        <v>3750</v>
      </c>
      <c r="F8" s="275">
        <f>IFERROR(VLOOKUP(B8,'تقرير المصروفات حسب الشهر'!$C$387:$AI$499,33,FALSE),0)</f>
        <v>0</v>
      </c>
      <c r="G8" s="275">
        <f>IFERROR(VLOOKUP(B8,'تقرير المصروفات حسب الشهر'!$C$512:$AI$624,33,FALSE),0)</f>
        <v>110</v>
      </c>
      <c r="H8" s="275">
        <f>IFERROR(VLOOKUP(B8,'تقرير المصروفات حسب الشهر'!$C$637:$AI$750,33,FALSE),0)</f>
        <v>9345</v>
      </c>
      <c r="I8" s="275">
        <f>IFERROR(VLOOKUP(B8,'تقرير المصروفات حسب الشهر'!C766:AI881,33,0),0)</f>
        <v>0</v>
      </c>
      <c r="J8" s="275">
        <f>IFERROR(VLOOKUP(B8,'تقرير المصروفات حسب الشهر'!$C$890:$AI$1007,33,FALSE),0)</f>
        <v>0</v>
      </c>
      <c r="K8" s="275">
        <f>IFERROR(VLOOKUP(B8,'تقرير المصروفات حسب الشهر'!$C$1017:$AI$1131,33,FALSE),0)</f>
        <v>0</v>
      </c>
      <c r="L8" s="275">
        <f>IFERROR(VLOOKUP(B8,'تقرير المصروفات حسب الشهر'!$C$1143:$AI$1259,33,FALSE),0)</f>
        <v>920</v>
      </c>
      <c r="M8" s="275">
        <f>IFERROR(VLOOKUP(B8,'تقرير المصروفات حسب الشهر'!$C$1271:$AI$1385,33,FALSE),0)</f>
        <v>2900</v>
      </c>
      <c r="N8" s="275">
        <f>IFERROR(VLOOKUP(B8,'تقرير المصروفات حسب الشهر'!$C$1397:$AI$1512,33,FALSE),0)</f>
        <v>0</v>
      </c>
      <c r="O8" s="281">
        <f t="shared" si="0"/>
        <v>20556</v>
      </c>
    </row>
    <row r="9" spans="2:17">
      <c r="B9" s="284" t="s">
        <v>43</v>
      </c>
      <c r="C9" s="275">
        <f>IFERROR(VLOOKUP(B9,'تقرير المصروفات حسب الشهر'!$C$10:$AI$123,33,FALSE),0)</f>
        <v>300000</v>
      </c>
      <c r="D9" s="275">
        <f>IFERROR(VLOOKUP(B9,'تقرير المصروفات حسب الشهر'!$C$134:$AI$248,33,FALSE),0)</f>
        <v>300000</v>
      </c>
      <c r="E9" s="275">
        <f>IFERROR(VLOOKUP(B9,'تقرير المصروفات حسب الشهر'!$C$261:$AI$374,33,FALSE),0)</f>
        <v>300000</v>
      </c>
      <c r="F9" s="275">
        <f>IFERROR(VLOOKUP(B9,'تقرير المصروفات حسب الشهر'!$C$387:$AI$499,33,FALSE),0)</f>
        <v>300000</v>
      </c>
      <c r="G9" s="275">
        <f>IFERROR(VLOOKUP(B9,'تقرير المصروفات حسب الشهر'!$C$512:$AI$624,33,FALSE),0)</f>
        <v>300000</v>
      </c>
      <c r="H9" s="275">
        <f>IFERROR(VLOOKUP(B9,'تقرير المصروفات حسب الشهر'!$C$637:$AI$750,33,FALSE),0)</f>
        <v>300000</v>
      </c>
      <c r="I9" s="275">
        <f>IFERROR(VLOOKUP(B9,'تقرير المصروفات حسب الشهر'!C767:AI882,33,0),0)</f>
        <v>300000</v>
      </c>
      <c r="J9" s="275">
        <f>IFERROR(VLOOKUP(B9,'تقرير المصروفات حسب الشهر'!$C$890:$AI$1007,33,FALSE),0)</f>
        <v>300000</v>
      </c>
      <c r="K9" s="275">
        <f>IFERROR(VLOOKUP(B9,'تقرير المصروفات حسب الشهر'!$C$1017:$AI$1131,33,FALSE),0)</f>
        <v>300000</v>
      </c>
      <c r="L9" s="275">
        <f>IFERROR(VLOOKUP(B9,'تقرير المصروفات حسب الشهر'!$C$1143:$AI$1259,33,FALSE),0)</f>
        <v>300000</v>
      </c>
      <c r="M9" s="275">
        <f>IFERROR(VLOOKUP(B9,'تقرير المصروفات حسب الشهر'!$C$1271:$AI$1385,33,FALSE),0)</f>
        <v>510000</v>
      </c>
      <c r="N9" s="275">
        <f>IFERROR(VLOOKUP(B9,'تقرير المصروفات حسب الشهر'!$C$1397:$AI$1512,33,FALSE),0)</f>
        <v>510000</v>
      </c>
      <c r="O9" s="281">
        <f t="shared" si="0"/>
        <v>4020000</v>
      </c>
    </row>
    <row r="10" spans="2:17">
      <c r="B10" s="284" t="s">
        <v>44</v>
      </c>
      <c r="C10" s="275">
        <f>IFERROR(VLOOKUP(B10,'تقرير المصروفات حسب الشهر'!$C$10:$AI$123,33,FALSE),0)</f>
        <v>100000</v>
      </c>
      <c r="D10" s="275">
        <f>IFERROR(VLOOKUP(B10,'تقرير المصروفات حسب الشهر'!$C$134:$AI$248,33,FALSE),0)</f>
        <v>100000</v>
      </c>
      <c r="E10" s="275">
        <f>IFERROR(VLOOKUP(B10,'تقرير المصروفات حسب الشهر'!$C$261:$AI$374,33,FALSE),0)</f>
        <v>100000</v>
      </c>
      <c r="F10" s="275">
        <f>IFERROR(VLOOKUP(B10,'تقرير المصروفات حسب الشهر'!$C$387:$AI$499,33,FALSE),0)</f>
        <v>100000</v>
      </c>
      <c r="G10" s="275">
        <f>IFERROR(VLOOKUP(B10,'تقرير المصروفات حسب الشهر'!$C$512:$AI$624,33,FALSE),0)</f>
        <v>100000</v>
      </c>
      <c r="H10" s="275">
        <f>IFERROR(VLOOKUP(B10,'تقرير المصروفات حسب الشهر'!$C$637:$AI$750,33,FALSE),0)</f>
        <v>100000</v>
      </c>
      <c r="I10" s="275">
        <f>IFERROR(VLOOKUP(B10,'تقرير المصروفات حسب الشهر'!C768:AI883,33,0),0)</f>
        <v>100000</v>
      </c>
      <c r="J10" s="275">
        <f>IFERROR(VLOOKUP(B10,'تقرير المصروفات حسب الشهر'!$C$890:$AI$1007,33,FALSE),0)</f>
        <v>100000</v>
      </c>
      <c r="K10" s="275">
        <f>IFERROR(VLOOKUP(B10,'تقرير المصروفات حسب الشهر'!$C$1017:$AI$1131,33,FALSE),0)</f>
        <v>100000</v>
      </c>
      <c r="L10" s="275">
        <f>IFERROR(VLOOKUP(B10,'تقرير المصروفات حسب الشهر'!$C$1143:$AI$1259,33,FALSE),0)</f>
        <v>100000</v>
      </c>
      <c r="M10" s="275">
        <f>IFERROR(VLOOKUP(B10,'تقرير المصروفات حسب الشهر'!$C$1271:$AI$1385,33,FALSE),0)</f>
        <v>50000</v>
      </c>
      <c r="N10" s="275">
        <f>IFERROR(VLOOKUP(B10,'تقرير المصروفات حسب الشهر'!$C$1397:$AI$1512,33,FALSE),0)</f>
        <v>50000</v>
      </c>
      <c r="O10" s="281">
        <f t="shared" si="0"/>
        <v>1100000</v>
      </c>
    </row>
    <row r="11" spans="2:17">
      <c r="B11" s="284" t="s">
        <v>45</v>
      </c>
      <c r="C11" s="275">
        <f>IFERROR(VLOOKUP(B11,'تقرير المصروفات حسب الشهر'!$C$10:$AI$123,33,FALSE),0)</f>
        <v>385831</v>
      </c>
      <c r="D11" s="275">
        <f>IFERROR(VLOOKUP(B11,'تقرير المصروفات حسب الشهر'!$C$134:$AI$248,33,FALSE),0)</f>
        <v>383131</v>
      </c>
      <c r="E11" s="275">
        <f>IFERROR(VLOOKUP(B11,'تقرير المصروفات حسب الشهر'!$C$261:$AI$374,33,FALSE),0)</f>
        <v>386901</v>
      </c>
      <c r="F11" s="275">
        <f>IFERROR(VLOOKUP(B11,'تقرير المصروفات حسب الشهر'!$C$387:$AI$499,33,FALSE),0)</f>
        <v>389261</v>
      </c>
      <c r="G11" s="275">
        <f>IFERROR(VLOOKUP(B11,'تقرير المصروفات حسب الشهر'!$C$512:$AI$624,33,FALSE),0)</f>
        <v>388591</v>
      </c>
      <c r="H11" s="275">
        <f>IFERROR(VLOOKUP(B11,'تقرير المصروفات حسب الشهر'!$C$637:$AI$750,33,FALSE),0)</f>
        <v>402741</v>
      </c>
      <c r="I11" s="275">
        <f>IFERROR(VLOOKUP(B11,'تقرير المصروفات حسب الشهر'!C769:AI884,33,0),0)</f>
        <v>391881</v>
      </c>
      <c r="J11" s="275">
        <f>IFERROR(VLOOKUP(B11,'تقرير المصروفات حسب الشهر'!$C$890:$AI$1007,33,FALSE),0)</f>
        <v>400876</v>
      </c>
      <c r="K11" s="275">
        <f>IFERROR(VLOOKUP(B11,'تقرير المصروفات حسب الشهر'!$C$1017:$AI$1131,33,FALSE),0)</f>
        <v>405496</v>
      </c>
      <c r="L11" s="275">
        <f>IFERROR(VLOOKUP(B11,'تقرير المصروفات حسب الشهر'!$C$1143:$AI$1259,33,FALSE),0)</f>
        <v>390476</v>
      </c>
      <c r="M11" s="275">
        <f>IFERROR(VLOOKUP(B11,'تقرير المصروفات حسب الشهر'!$C$1271:$AI$1385,33,FALSE),0)</f>
        <v>407936</v>
      </c>
      <c r="N11" s="275">
        <f>IFERROR(VLOOKUP(B11,'تقرير المصروفات حسب الشهر'!$C$1397:$AI$1512,33,FALSE),0)</f>
        <v>406756</v>
      </c>
      <c r="O11" s="281">
        <f t="shared" si="0"/>
        <v>4739877</v>
      </c>
      <c r="Q11" s="276"/>
    </row>
    <row r="12" spans="2:17">
      <c r="B12" s="284" t="s">
        <v>156</v>
      </c>
      <c r="C12" s="275">
        <f>IFERROR(VLOOKUP(B12,'تقرير المصروفات حسب الشهر'!$C$10:$AI$123,33,FALSE),0)</f>
        <v>1510</v>
      </c>
      <c r="D12" s="275">
        <f>IFERROR(VLOOKUP(B12,'تقرير المصروفات حسب الشهر'!$C$134:$AI$248,33,FALSE),0)</f>
        <v>8065</v>
      </c>
      <c r="E12" s="275">
        <f>IFERROR(VLOOKUP(B12,'تقرير المصروفات حسب الشهر'!$C$261:$AI$374,33,FALSE),0)</f>
        <v>10658</v>
      </c>
      <c r="F12" s="275">
        <f>IFERROR(VLOOKUP(B12,'تقرير المصروفات حسب الشهر'!$C$387:$AI$499,33,FALSE),0)</f>
        <v>9685</v>
      </c>
      <c r="G12" s="275">
        <f>IFERROR(VLOOKUP(B12,'تقرير المصروفات حسب الشهر'!$C$512:$AI$624,33,FALSE),0)</f>
        <v>2305</v>
      </c>
      <c r="H12" s="275">
        <f>IFERROR(VLOOKUP(B12,'تقرير المصروفات حسب الشهر'!$C$637:$AI$750,33,FALSE),0)</f>
        <v>14132</v>
      </c>
      <c r="I12" s="275">
        <f>IFERROR(VLOOKUP(B12,'تقرير المصروفات حسب الشهر'!C770:AI885,33,0),0)</f>
        <v>1609</v>
      </c>
      <c r="J12" s="275">
        <f>IFERROR(VLOOKUP(B12,'تقرير المصروفات حسب الشهر'!$C$890:$AI$1007,33,FALSE),0)</f>
        <v>13051</v>
      </c>
      <c r="K12" s="275">
        <f>IFERROR(VLOOKUP(B12,'تقرير المصروفات حسب الشهر'!$C$1017:$AI$1131,33,FALSE),0)</f>
        <v>1435</v>
      </c>
      <c r="L12" s="275">
        <f>IFERROR(VLOOKUP(B12,'تقرير المصروفات حسب الشهر'!$C$1143:$AI$1259,33,FALSE),0)</f>
        <v>10378</v>
      </c>
      <c r="M12" s="275">
        <f>IFERROR(VLOOKUP(B12,'تقرير المصروفات حسب الشهر'!$C$1271:$AI$1385,33,FALSE),0)</f>
        <v>1675</v>
      </c>
      <c r="N12" s="275">
        <f>IFERROR(VLOOKUP(B12,'تقرير المصروفات حسب الشهر'!$C$1397:$AI$1512,33,FALSE),0)</f>
        <v>23690</v>
      </c>
      <c r="O12" s="281">
        <f t="shared" si="0"/>
        <v>98193</v>
      </c>
    </row>
    <row r="13" spans="2:17">
      <c r="B13" s="284" t="s">
        <v>46</v>
      </c>
      <c r="C13" s="275">
        <f>IFERROR(VLOOKUP(B13,'تقرير المصروفات حسب الشهر'!$C$10:$AI$123,33,FALSE),0)</f>
        <v>20853.579999999994</v>
      </c>
      <c r="D13" s="275">
        <f>IFERROR(VLOOKUP(B13,'تقرير المصروفات حسب الشهر'!$C$134:$AI$248,33,FALSE),0)</f>
        <v>24469.689999999995</v>
      </c>
      <c r="E13" s="275">
        <f>IFERROR(VLOOKUP(B13,'تقرير المصروفات حسب الشهر'!$C$261:$AI$374,33,FALSE),0)</f>
        <v>21393.489999999994</v>
      </c>
      <c r="F13" s="275">
        <f>IFERROR(VLOOKUP(B13,'تقرير المصروفات حسب الشهر'!$C$387:$AI$499,33,FALSE),0)</f>
        <v>21226.209999999995</v>
      </c>
      <c r="G13" s="275">
        <f>IFERROR(VLOOKUP(B13,'تقرير المصروفات حسب الشهر'!$C$512:$AI$624,33,FALSE),0)</f>
        <v>22109.209999999995</v>
      </c>
      <c r="H13" s="275">
        <f>IFERROR(VLOOKUP(B13,'تقرير المصروفات حسب الشهر'!$C$637:$AI$750,33,FALSE),0)</f>
        <v>20785.209999999995</v>
      </c>
      <c r="I13" s="275">
        <f>IFERROR(VLOOKUP(B13,'تقرير المصروفات حسب الشهر'!C771:AI886,33,0),0)</f>
        <v>21637.899999999994</v>
      </c>
      <c r="J13" s="275">
        <f>IFERROR(VLOOKUP(B13,'تقرير المصروفات حسب الشهر'!$C$890:$AI$1007,33,FALSE),0)</f>
        <v>18711.939999999995</v>
      </c>
      <c r="K13" s="275">
        <f>IFERROR(VLOOKUP(B13,'تقرير المصروفات حسب الشهر'!$C$1017:$AI$1131,33,FALSE),0)</f>
        <v>18365.62999999999</v>
      </c>
      <c r="L13" s="275">
        <f>IFERROR(VLOOKUP(B13,'تقرير المصروفات حسب الشهر'!$C$1143:$AI$1259,33,FALSE),0)</f>
        <v>19800.71999999999</v>
      </c>
      <c r="M13" s="275">
        <f>IFERROR(VLOOKUP(B13,'تقرير المصروفات حسب الشهر'!$C$1271:$AI$1385,33,FALSE),0)</f>
        <v>22265.509999999995</v>
      </c>
      <c r="N13" s="275">
        <f>IFERROR(VLOOKUP(B13,'تقرير المصروفات حسب الشهر'!$C$1397:$AI$1512,33,FALSE),0)</f>
        <v>25005.690000000002</v>
      </c>
      <c r="O13" s="281">
        <f t="shared" si="0"/>
        <v>256624.77999999991</v>
      </c>
    </row>
    <row r="14" spans="2:17">
      <c r="B14" s="284" t="s">
        <v>47</v>
      </c>
      <c r="C14" s="275">
        <f>IFERROR(VLOOKUP(B14,'تقرير المصروفات حسب الشهر'!$C$10:$AI$123,33,FALSE),0)</f>
        <v>0</v>
      </c>
      <c r="D14" s="275">
        <f>IFERROR(VLOOKUP(B14,'تقرير المصروفات حسب الشهر'!$C$134:$AI$248,33,FALSE),0)</f>
        <v>0</v>
      </c>
      <c r="E14" s="275">
        <f>IFERROR(VLOOKUP(B14,'تقرير المصروفات حسب الشهر'!$C$261:$AI$374,33,FALSE),0)</f>
        <v>0</v>
      </c>
      <c r="F14" s="275">
        <f>IFERROR(VLOOKUP(B14,'تقرير المصروفات حسب الشهر'!$C$387:$AI$499,33,FALSE),0)</f>
        <v>0</v>
      </c>
      <c r="G14" s="275">
        <f>IFERROR(VLOOKUP(B14,'تقرير المصروفات حسب الشهر'!$C$512:$AI$624,33,FALSE),0)</f>
        <v>0</v>
      </c>
      <c r="H14" s="275">
        <f>IFERROR(VLOOKUP(B14,'تقرير المصروفات حسب الشهر'!$C$637:$AI$750,33,FALSE),0)</f>
        <v>0</v>
      </c>
      <c r="I14" s="275">
        <f>IFERROR(VLOOKUP(B14,'تقرير المصروفات حسب الشهر'!C772:AI887,33,0),0)</f>
        <v>275</v>
      </c>
      <c r="J14" s="275">
        <f>IFERROR(VLOOKUP(B14,'تقرير المصروفات حسب الشهر'!$C$890:$AI$1007,33,FALSE),0)</f>
        <v>0</v>
      </c>
      <c r="K14" s="275">
        <f>IFERROR(VLOOKUP(B14,'تقرير المصروفات حسب الشهر'!$C$1017:$AI$1131,33,FALSE),0)</f>
        <v>0</v>
      </c>
      <c r="L14" s="275">
        <f>IFERROR(VLOOKUP(B14,'تقرير المصروفات حسب الشهر'!$C$1143:$AI$1259,33,FALSE),0)</f>
        <v>0</v>
      </c>
      <c r="M14" s="275">
        <f>IFERROR(VLOOKUP(B14,'تقرير المصروفات حسب الشهر'!$C$1271:$AI$1385,33,FALSE),0)</f>
        <v>100</v>
      </c>
      <c r="N14" s="275">
        <f>IFERROR(VLOOKUP(B14,'تقرير المصروفات حسب الشهر'!$C$1397:$AI$1512,33,FALSE),0)</f>
        <v>0</v>
      </c>
      <c r="O14" s="281">
        <f t="shared" si="0"/>
        <v>375</v>
      </c>
    </row>
    <row r="15" spans="2:17">
      <c r="B15" s="284" t="s">
        <v>48</v>
      </c>
      <c r="C15" s="275">
        <f>IFERROR(VLOOKUP(B15,'تقرير المصروفات حسب الشهر'!$C$10:$AI$123,33,FALSE),0)</f>
        <v>6900</v>
      </c>
      <c r="D15" s="275">
        <f>IFERROR(VLOOKUP(B15,'تقرير المصروفات حسب الشهر'!$C$134:$AI$248,33,FALSE),0)</f>
        <v>10165</v>
      </c>
      <c r="E15" s="275">
        <f>IFERROR(VLOOKUP(B15,'تقرير المصروفات حسب الشهر'!$C$261:$AI$374,33,FALSE),0)</f>
        <v>7455</v>
      </c>
      <c r="F15" s="275">
        <f>IFERROR(VLOOKUP(B15,'تقرير المصروفات حسب الشهر'!$C$387:$AI$499,33,FALSE),0)</f>
        <v>7350</v>
      </c>
      <c r="G15" s="275">
        <f>IFERROR(VLOOKUP(B15,'تقرير المصروفات حسب الشهر'!$C$512:$AI$624,33,FALSE),0)</f>
        <v>20705</v>
      </c>
      <c r="H15" s="275">
        <f>IFERROR(VLOOKUP(B15,'تقرير المصروفات حسب الشهر'!$C$637:$AI$750,33,FALSE),0)</f>
        <v>12977.5</v>
      </c>
      <c r="I15" s="275">
        <f>IFERROR(VLOOKUP(B15,'تقرير المصروفات حسب الشهر'!C773:AI888,33,0),0)</f>
        <v>32385</v>
      </c>
      <c r="J15" s="275">
        <f>IFERROR(VLOOKUP(B15,'تقرير المصروفات حسب الشهر'!$C$890:$AI$1007,33,FALSE),0)</f>
        <v>9623</v>
      </c>
      <c r="K15" s="275">
        <f>IFERROR(VLOOKUP(B15,'تقرير المصروفات حسب الشهر'!$C$1017:$AI$1131,33,FALSE),0)</f>
        <v>11335</v>
      </c>
      <c r="L15" s="275">
        <f>IFERROR(VLOOKUP(B15,'تقرير المصروفات حسب الشهر'!$C$1143:$AI$1259,33,FALSE),0)</f>
        <v>31872</v>
      </c>
      <c r="M15" s="275">
        <f>IFERROR(VLOOKUP(B15,'تقرير المصروفات حسب الشهر'!$C$1271:$AI$1385,33,FALSE),0)</f>
        <v>7850</v>
      </c>
      <c r="N15" s="275">
        <f>IFERROR(VLOOKUP(B15,'تقرير المصروفات حسب الشهر'!$C$1397:$AI$1512,33,FALSE),0)</f>
        <v>28828.5</v>
      </c>
      <c r="O15" s="281">
        <f t="shared" si="0"/>
        <v>187446</v>
      </c>
    </row>
    <row r="16" spans="2:17">
      <c r="B16" s="284" t="s">
        <v>49</v>
      </c>
      <c r="C16" s="275">
        <f>IFERROR(VLOOKUP(B16,'تقرير المصروفات حسب الشهر'!$C$10:$AI$123,33,FALSE),0)</f>
        <v>5246.47</v>
      </c>
      <c r="D16" s="275">
        <f>IFERROR(VLOOKUP(B16,'تقرير المصروفات حسب الشهر'!$C$134:$AI$248,33,FALSE),0)</f>
        <v>20700</v>
      </c>
      <c r="E16" s="275">
        <f>IFERROR(VLOOKUP(B16,'تقرير المصروفات حسب الشهر'!$C$261:$AI$374,33,FALSE),0)</f>
        <v>665</v>
      </c>
      <c r="F16" s="275">
        <f>IFERROR(VLOOKUP(B16,'تقرير المصروفات حسب الشهر'!$C$387:$AI$499,33,FALSE),0)</f>
        <v>118565</v>
      </c>
      <c r="G16" s="275">
        <f>IFERROR(VLOOKUP(B16,'تقرير المصروفات حسب الشهر'!$C$512:$AI$624,33,FALSE),0)</f>
        <v>7371</v>
      </c>
      <c r="H16" s="275">
        <f>IFERROR(VLOOKUP(B16,'تقرير المصروفات حسب الشهر'!$C$637:$AI$750,33,FALSE),0)</f>
        <v>7920</v>
      </c>
      <c r="I16" s="275">
        <f>IFERROR(VLOOKUP(B16,'تقرير المصروفات حسب الشهر'!C774:AI889,33,0),0)</f>
        <v>5245</v>
      </c>
      <c r="J16" s="275">
        <f>IFERROR(VLOOKUP(B16,'تقرير المصروفات حسب الشهر'!$C$890:$AI$1007,33,FALSE),0)</f>
        <v>8733</v>
      </c>
      <c r="K16" s="275">
        <f>IFERROR(VLOOKUP(B16,'تقرير المصروفات حسب الشهر'!$C$1017:$AI$1131,33,FALSE),0)</f>
        <v>31783</v>
      </c>
      <c r="L16" s="275">
        <f>IFERROR(VLOOKUP(B16,'تقرير المصروفات حسب الشهر'!$C$1143:$AI$1259,33,FALSE),0)</f>
        <v>8707</v>
      </c>
      <c r="M16" s="275">
        <f>IFERROR(VLOOKUP(B16,'تقرير المصروفات حسب الشهر'!$C$1271:$AI$1385,33,FALSE),0)</f>
        <v>10290</v>
      </c>
      <c r="N16" s="275">
        <f>IFERROR(VLOOKUP(B16,'تقرير المصروفات حسب الشهر'!$C$1397:$AI$1512,33,FALSE),0)</f>
        <v>18790</v>
      </c>
      <c r="O16" s="281">
        <f t="shared" si="0"/>
        <v>244015.47</v>
      </c>
    </row>
    <row r="17" spans="2:15">
      <c r="B17" s="284" t="s">
        <v>158</v>
      </c>
      <c r="C17" s="275">
        <f>IFERROR(VLOOKUP(B17,'تقرير المصروفات حسب الشهر'!$C$10:$AI$123,33,FALSE),0)</f>
        <v>7170</v>
      </c>
      <c r="D17" s="275">
        <f>IFERROR(VLOOKUP(B17,'تقرير المصروفات حسب الشهر'!$C$134:$AI$248,33,FALSE),0)</f>
        <v>18505</v>
      </c>
      <c r="E17" s="275">
        <f>IFERROR(VLOOKUP(B17,'تقرير المصروفات حسب الشهر'!$C$261:$AI$374,33,FALSE),0)</f>
        <v>6895</v>
      </c>
      <c r="F17" s="275">
        <f>IFERROR(VLOOKUP(B17,'تقرير المصروفات حسب الشهر'!$C$387:$AI$499,33,FALSE),0)</f>
        <v>3995</v>
      </c>
      <c r="G17" s="275">
        <f>IFERROR(VLOOKUP(B17,'تقرير المصروفات حسب الشهر'!$C$512:$AI$624,33,FALSE),0)</f>
        <v>7395</v>
      </c>
      <c r="H17" s="275">
        <f>IFERROR(VLOOKUP(B17,'تقرير المصروفات حسب الشهر'!$C$637:$AI$750,33,FALSE),0)</f>
        <v>17798</v>
      </c>
      <c r="I17" s="275">
        <f>IFERROR(VLOOKUP(B17,'تقرير المصروفات حسب الشهر'!C775:AI890,33,0),0)</f>
        <v>20195</v>
      </c>
      <c r="J17" s="275">
        <f>IFERROR(VLOOKUP(B17,'تقرير المصروفات حسب الشهر'!$C$890:$AI$1007,33,FALSE),0)</f>
        <v>41019</v>
      </c>
      <c r="K17" s="275">
        <f>IFERROR(VLOOKUP(B17,'تقرير المصروفات حسب الشهر'!$C$1017:$AI$1131,33,FALSE),0)</f>
        <v>7910</v>
      </c>
      <c r="L17" s="275">
        <f>IFERROR(VLOOKUP(B17,'تقرير المصروفات حسب الشهر'!$C$1143:$AI$1259,33,FALSE),0)</f>
        <v>24595</v>
      </c>
      <c r="M17" s="275">
        <f>IFERROR(VLOOKUP(B17,'تقرير المصروفات حسب الشهر'!$C$1271:$AI$1385,33,FALSE),0)</f>
        <v>37036</v>
      </c>
      <c r="N17" s="275">
        <f>IFERROR(VLOOKUP(B17,'تقرير المصروفات حسب الشهر'!$C$1397:$AI$1512,33,FALSE),0)</f>
        <v>24875</v>
      </c>
      <c r="O17" s="281">
        <f t="shared" si="0"/>
        <v>217388</v>
      </c>
    </row>
    <row r="18" spans="2:15">
      <c r="B18" s="284" t="s">
        <v>50</v>
      </c>
      <c r="C18" s="275">
        <f>IFERROR(VLOOKUP(B18,'تقرير المصروفات حسب الشهر'!$C$10:$AI$123,33,FALSE),0)</f>
        <v>12750</v>
      </c>
      <c r="D18" s="275">
        <f>IFERROR(VLOOKUP(B18,'تقرير المصروفات حسب الشهر'!$C$134:$AI$248,33,FALSE),0)</f>
        <v>0</v>
      </c>
      <c r="E18" s="275">
        <f>IFERROR(VLOOKUP(B18,'تقرير المصروفات حسب الشهر'!$C$261:$AI$374,33,FALSE),0)</f>
        <v>21750</v>
      </c>
      <c r="F18" s="275">
        <f>IFERROR(VLOOKUP(B18,'تقرير المصروفات حسب الشهر'!$C$387:$AI$499,33,FALSE),0)</f>
        <v>32250</v>
      </c>
      <c r="G18" s="275">
        <f>IFERROR(VLOOKUP(B18,'تقرير المصروفات حسب الشهر'!$C$512:$AI$624,33,FALSE),0)</f>
        <v>0</v>
      </c>
      <c r="H18" s="275">
        <f>IFERROR(VLOOKUP(B18,'تقرير المصروفات حسب الشهر'!$C$637:$AI$750,33,FALSE),0)</f>
        <v>23960</v>
      </c>
      <c r="I18" s="275">
        <f>IFERROR(VLOOKUP(B18,'تقرير المصروفات حسب الشهر'!C776:AI891,33,0),0)</f>
        <v>185</v>
      </c>
      <c r="J18" s="275">
        <f>IFERROR(VLOOKUP(B18,'تقرير المصروفات حسب الشهر'!$C$890:$AI$1007,33,FALSE),0)</f>
        <v>31870</v>
      </c>
      <c r="K18" s="275">
        <f>IFERROR(VLOOKUP(B18,'تقرير المصروفات حسب الشهر'!$C$1017:$AI$1131,33,FALSE),0)</f>
        <v>0</v>
      </c>
      <c r="L18" s="275">
        <f>IFERROR(VLOOKUP(B18,'تقرير المصروفات حسب الشهر'!$C$1143:$AI$1259,33,FALSE),0)</f>
        <v>30800</v>
      </c>
      <c r="M18" s="275">
        <f>IFERROR(VLOOKUP(B18,'تقرير المصروفات حسب الشهر'!$C$1271:$AI$1385,33,FALSE),0)</f>
        <v>0</v>
      </c>
      <c r="N18" s="275">
        <f>IFERROR(VLOOKUP(B18,'تقرير المصروفات حسب الشهر'!$C$1397:$AI$1512,33,FALSE),0)</f>
        <v>38500</v>
      </c>
      <c r="O18" s="281">
        <f t="shared" si="0"/>
        <v>192065</v>
      </c>
    </row>
    <row r="19" spans="2:15">
      <c r="B19" s="284" t="s">
        <v>51</v>
      </c>
      <c r="C19" s="275">
        <f>IFERROR(VLOOKUP(B19,'تقرير المصروفات حسب الشهر'!$C$10:$AI$123,33,FALSE),0)</f>
        <v>22500</v>
      </c>
      <c r="D19" s="275">
        <f>IFERROR(VLOOKUP(B19,'تقرير المصروفات حسب الشهر'!$C$134:$AI$248,33,FALSE),0)</f>
        <v>0</v>
      </c>
      <c r="E19" s="275">
        <f>IFERROR(VLOOKUP(B19,'تقرير المصروفات حسب الشهر'!$C$261:$AI$374,33,FALSE),0)</f>
        <v>29250</v>
      </c>
      <c r="F19" s="275">
        <f>IFERROR(VLOOKUP(B19,'تقرير المصروفات حسب الشهر'!$C$387:$AI$499,33,FALSE),0)</f>
        <v>47250</v>
      </c>
      <c r="G19" s="275">
        <f>IFERROR(VLOOKUP(B19,'تقرير المصروفات حسب الشهر'!$C$512:$AI$624,33,FALSE),0)</f>
        <v>0</v>
      </c>
      <c r="H19" s="275">
        <f>IFERROR(VLOOKUP(B19,'تقرير المصروفات حسب الشهر'!$C$637:$AI$750,33,FALSE),0)</f>
        <v>40500</v>
      </c>
      <c r="I19" s="275">
        <f>IFERROR(VLOOKUP(B19,'تقرير المصروفات حسب الشهر'!C777:AI892,33,0),0)</f>
        <v>0</v>
      </c>
      <c r="J19" s="275">
        <f>IFERROR(VLOOKUP(B19,'تقرير المصروفات حسب الشهر'!$C$890:$AI$1007,33,FALSE),0)</f>
        <v>49500</v>
      </c>
      <c r="K19" s="275">
        <f>IFERROR(VLOOKUP(B19,'تقرير المصروفات حسب الشهر'!$C$1017:$AI$1131,33,FALSE),0)</f>
        <v>0</v>
      </c>
      <c r="L19" s="275">
        <f>IFERROR(VLOOKUP(B19,'تقرير المصروفات حسب الشهر'!$C$1143:$AI$1259,33,FALSE),0)</f>
        <v>58500</v>
      </c>
      <c r="M19" s="275">
        <f>IFERROR(VLOOKUP(B19,'تقرير المصروفات حسب الشهر'!$C$1271:$AI$1385,33,FALSE),0)</f>
        <v>130</v>
      </c>
      <c r="N19" s="275">
        <f>IFERROR(VLOOKUP(B19,'تقرير المصروفات حسب الشهر'!$C$1397:$AI$1512,33,FALSE),0)</f>
        <v>54240</v>
      </c>
      <c r="O19" s="281">
        <f t="shared" si="0"/>
        <v>301870</v>
      </c>
    </row>
    <row r="20" spans="2:15">
      <c r="B20" s="284" t="s">
        <v>52</v>
      </c>
      <c r="C20" s="275">
        <f>IFERROR(VLOOKUP(B20,'تقرير المصروفات حسب الشهر'!$C$10:$AI$123,33,FALSE),0)</f>
        <v>0</v>
      </c>
      <c r="D20" s="275">
        <f>IFERROR(VLOOKUP(B20,'تقرير المصروفات حسب الشهر'!$C$134:$AI$248,33,FALSE),0)</f>
        <v>80</v>
      </c>
      <c r="E20" s="275">
        <f>IFERROR(VLOOKUP(B20,'تقرير المصروفات حسب الشهر'!$C$261:$AI$374,33,FALSE),0)</f>
        <v>0</v>
      </c>
      <c r="F20" s="275">
        <f>IFERROR(VLOOKUP(B20,'تقرير المصروفات حسب الشهر'!$C$387:$AI$499,33,FALSE),0)</f>
        <v>0</v>
      </c>
      <c r="G20" s="275">
        <f>IFERROR(VLOOKUP(B20,'تقرير المصروفات حسب الشهر'!$C$512:$AI$624,33,FALSE),0)</f>
        <v>100</v>
      </c>
      <c r="H20" s="275">
        <f>IFERROR(VLOOKUP(B20,'تقرير المصروفات حسب الشهر'!$C$637:$AI$750,33,FALSE),0)</f>
        <v>90</v>
      </c>
      <c r="I20" s="275">
        <f>IFERROR(VLOOKUP(B20,'تقرير المصروفات حسب الشهر'!C778:AI893,33,0),0)</f>
        <v>0</v>
      </c>
      <c r="J20" s="275">
        <f>IFERROR(VLOOKUP(B20,'تقرير المصروفات حسب الشهر'!$C$890:$AI$1007,33,FALSE),0)</f>
        <v>0</v>
      </c>
      <c r="K20" s="275">
        <f>IFERROR(VLOOKUP(B20,'تقرير المصروفات حسب الشهر'!$C$1017:$AI$1131,33,FALSE),0)</f>
        <v>0</v>
      </c>
      <c r="L20" s="275">
        <f>IFERROR(VLOOKUP(B20,'تقرير المصروفات حسب الشهر'!$C$1143:$AI$1259,33,FALSE),0)</f>
        <v>100</v>
      </c>
      <c r="M20" s="275">
        <f>IFERROR(VLOOKUP(B20,'تقرير المصروفات حسب الشهر'!$C$1271:$AI$1385,33,FALSE),0)</f>
        <v>0</v>
      </c>
      <c r="N20" s="275">
        <f>IFERROR(VLOOKUP(B20,'تقرير المصروفات حسب الشهر'!$C$1397:$AI$1512,33,FALSE),0)</f>
        <v>130</v>
      </c>
      <c r="O20" s="281">
        <f t="shared" si="0"/>
        <v>500</v>
      </c>
    </row>
    <row r="21" spans="2:15">
      <c r="B21" s="284" t="s">
        <v>174</v>
      </c>
      <c r="C21" s="275">
        <f>IFERROR(VLOOKUP(B21,'تقرير المصروفات حسب الشهر'!$C$10:$AI$123,33,FALSE),0)</f>
        <v>119780</v>
      </c>
      <c r="D21" s="275">
        <f>IFERROR(VLOOKUP(B21,'تقرير المصروفات حسب الشهر'!$C$134:$AI$248,33,FALSE),0)</f>
        <v>84690</v>
      </c>
      <c r="E21" s="275">
        <f>IFERROR(VLOOKUP(B21,'تقرير المصروفات حسب الشهر'!$C$261:$AI$374,33,FALSE),0)</f>
        <v>51189</v>
      </c>
      <c r="F21" s="275">
        <f>IFERROR(VLOOKUP(B21,'تقرير المصروفات حسب الشهر'!$C$387:$AI$499,33,FALSE),0)</f>
        <v>144436</v>
      </c>
      <c r="G21" s="275">
        <f>IFERROR(VLOOKUP(B21,'تقرير المصروفات حسب الشهر'!$C$512:$AI$624,33,FALSE),0)</f>
        <v>53660</v>
      </c>
      <c r="H21" s="275">
        <f>IFERROR(VLOOKUP(B21,'تقرير المصروفات حسب الشهر'!$C$637:$AI$750,33,FALSE),0)</f>
        <v>40110</v>
      </c>
      <c r="I21" s="275">
        <f>IFERROR(VLOOKUP(B21,'تقرير المصروفات حسب الشهر'!C779:AI894,33,0),0)</f>
        <v>130620</v>
      </c>
      <c r="J21" s="275">
        <f>IFERROR(VLOOKUP(B21,'تقرير المصروفات حسب الشهر'!$C$890:$AI$1007,33,FALSE),0)</f>
        <v>32197</v>
      </c>
      <c r="K21" s="275">
        <f>IFERROR(VLOOKUP(B21,'تقرير المصروفات حسب الشهر'!$C$1017:$AI$1131,33,FALSE),0)</f>
        <v>21958</v>
      </c>
      <c r="L21" s="275">
        <f>IFERROR(VLOOKUP(B21,'تقرير المصروفات حسب الشهر'!$C$1143:$AI$1259,33,FALSE),0)</f>
        <v>127252</v>
      </c>
      <c r="M21" s="275">
        <f>IFERROR(VLOOKUP(B21,'تقرير المصروفات حسب الشهر'!$C$1271:$AI$1385,33,FALSE),0)</f>
        <v>55912</v>
      </c>
      <c r="N21" s="275">
        <f>IFERROR(VLOOKUP(B21,'تقرير المصروفات حسب الشهر'!$C$1397:$AI$1512,33,FALSE),0)</f>
        <v>55892</v>
      </c>
      <c r="O21" s="281">
        <f t="shared" si="0"/>
        <v>917696</v>
      </c>
    </row>
    <row r="22" spans="2:15">
      <c r="B22" s="284" t="s">
        <v>53</v>
      </c>
      <c r="C22" s="275">
        <f>IFERROR(VLOOKUP(B22,'تقرير المصروفات حسب الشهر'!$C$10:$AI$123,33,FALSE),0)</f>
        <v>49235.25</v>
      </c>
      <c r="D22" s="275">
        <f>IFERROR(VLOOKUP(B22,'تقرير المصروفات حسب الشهر'!$C$134:$AI$248,33,FALSE),0)</f>
        <v>60982.039999999994</v>
      </c>
      <c r="E22" s="275">
        <f>IFERROR(VLOOKUP(B22,'تقرير المصروفات حسب الشهر'!$C$261:$AI$374,33,FALSE),0)</f>
        <v>58660.11</v>
      </c>
      <c r="F22" s="275">
        <f>IFERROR(VLOOKUP(B22,'تقرير المصروفات حسب الشهر'!$C$387:$AI$499,33,FALSE),0)</f>
        <v>41024.29</v>
      </c>
      <c r="G22" s="275">
        <f>IFERROR(VLOOKUP(B22,'تقرير المصروفات حسب الشهر'!$C$512:$AI$624,33,FALSE),0)</f>
        <v>62416.45</v>
      </c>
      <c r="H22" s="275">
        <f>IFERROR(VLOOKUP(B22,'تقرير المصروفات حسب الشهر'!$C$637:$AI$750,33,FALSE),0)</f>
        <v>68069</v>
      </c>
      <c r="I22" s="275">
        <f>IFERROR(VLOOKUP(B22,'تقرير المصروفات حسب الشهر'!C780:AI895,33,0),0)</f>
        <v>54259</v>
      </c>
      <c r="J22" s="275">
        <f>IFERROR(VLOOKUP(B22,'تقرير المصروفات حسب الشهر'!$C$890:$AI$1007,33,FALSE),0)</f>
        <v>50503</v>
      </c>
      <c r="K22" s="275">
        <f>IFERROR(VLOOKUP(B22,'تقرير المصروفات حسب الشهر'!$C$1017:$AI$1131,33,FALSE),0)</f>
        <v>54971.4</v>
      </c>
      <c r="L22" s="275">
        <f>IFERROR(VLOOKUP(B22,'تقرير المصروفات حسب الشهر'!$C$1143:$AI$1259,33,FALSE),0)</f>
        <v>29085</v>
      </c>
      <c r="M22" s="275">
        <f>IFERROR(VLOOKUP(B22,'تقرير المصروفات حسب الشهر'!$C$1271:$AI$1385,33,FALSE),0)</f>
        <v>17089.8</v>
      </c>
      <c r="N22" s="275">
        <f>IFERROR(VLOOKUP(B22,'تقرير المصروفات حسب الشهر'!$C$1397:$AI$1512,33,FALSE),0)</f>
        <v>23831.75</v>
      </c>
      <c r="O22" s="281">
        <f t="shared" si="0"/>
        <v>570127.09000000008</v>
      </c>
    </row>
    <row r="23" spans="2:15">
      <c r="B23" s="284" t="s">
        <v>191</v>
      </c>
      <c r="C23" s="275">
        <f>IFERROR(VLOOKUP(B23,'تقرير المصروفات حسب الشهر'!$C$10:$AI$123,33,FALSE),0)</f>
        <v>56360.810000000005</v>
      </c>
      <c r="D23" s="275">
        <f>IFERROR(VLOOKUP(B23,'تقرير المصروفات حسب الشهر'!$C$134:$AI$248,33,FALSE),0)</f>
        <v>52464.83</v>
      </c>
      <c r="E23" s="275">
        <f>IFERROR(VLOOKUP(B23,'تقرير المصروفات حسب الشهر'!$C$261:$AI$374,33,FALSE),0)</f>
        <v>241827.69</v>
      </c>
      <c r="F23" s="275">
        <f>IFERROR(VLOOKUP(B23,'تقرير المصروفات حسب الشهر'!$C$387:$AI$499,33,FALSE),0)</f>
        <v>37972.49</v>
      </c>
      <c r="G23" s="275">
        <f>IFERROR(VLOOKUP(B23,'تقرير المصروفات حسب الشهر'!$C$512:$AI$624,33,FALSE),0)</f>
        <v>55222.13</v>
      </c>
      <c r="H23" s="275">
        <f>IFERROR(VLOOKUP(B23,'تقرير المصروفات حسب الشهر'!$C$637:$AI$750,33,FALSE),0)</f>
        <v>66074.570000000007</v>
      </c>
      <c r="I23" s="275">
        <f>IFERROR(VLOOKUP(B23,'تقرير المصروفات حسب الشهر'!C781:AI896,33,0),0)</f>
        <v>63570.63</v>
      </c>
      <c r="J23" s="275">
        <f>IFERROR(VLOOKUP(B23,'تقرير المصروفات حسب الشهر'!$C$890:$AI$1007,33,FALSE),0)</f>
        <v>71046.91</v>
      </c>
      <c r="K23" s="275">
        <f>IFERROR(VLOOKUP(B23,'تقرير المصروفات حسب الشهر'!$C$1017:$AI$1131,33,FALSE),0)</f>
        <v>114447.12999999999</v>
      </c>
      <c r="L23" s="275">
        <f>IFERROR(VLOOKUP(B23,'تقرير المصروفات حسب الشهر'!$C$1143:$AI$1259,33,FALSE),0)</f>
        <v>45191.99</v>
      </c>
      <c r="M23" s="275">
        <f>IFERROR(VLOOKUP(B23,'تقرير المصروفات حسب الشهر'!$C$1271:$AI$1385,33,FALSE),0)</f>
        <v>52414.16</v>
      </c>
      <c r="N23" s="275">
        <f>IFERROR(VLOOKUP(B23,'تقرير المصروفات حسب الشهر'!$C$1397:$AI$1512,33,FALSE),0)</f>
        <v>38911.509999999995</v>
      </c>
      <c r="O23" s="281">
        <f t="shared" si="0"/>
        <v>895504.85000000009</v>
      </c>
    </row>
    <row r="24" spans="2:15">
      <c r="B24" s="284" t="s">
        <v>29</v>
      </c>
      <c r="C24" s="275">
        <f>IFERROR(VLOOKUP(B24,'تقرير المصروفات حسب الشهر'!$C$10:$AI$123,33,FALSE),0)</f>
        <v>175</v>
      </c>
      <c r="D24" s="275">
        <f>IFERROR(VLOOKUP(B24,'تقرير المصروفات حسب الشهر'!$C$134:$AI$248,33,FALSE),0)</f>
        <v>60</v>
      </c>
      <c r="E24" s="275">
        <f>IFERROR(VLOOKUP(B24,'تقرير المصروفات حسب الشهر'!$C$261:$AI$374,33,FALSE),0)</f>
        <v>370</v>
      </c>
      <c r="F24" s="275">
        <f>IFERROR(VLOOKUP(B24,'تقرير المصروفات حسب الشهر'!$C$387:$AI$499,33,FALSE),0)</f>
        <v>566</v>
      </c>
      <c r="G24" s="275">
        <f>IFERROR(VLOOKUP(B24,'تقرير المصروفات حسب الشهر'!$C$512:$AI$624,33,FALSE),0)</f>
        <v>235</v>
      </c>
      <c r="H24" s="275">
        <f>IFERROR(VLOOKUP(B24,'تقرير المصروفات حسب الشهر'!$C$637:$AI$750,33,FALSE),0)</f>
        <v>220</v>
      </c>
      <c r="I24" s="275">
        <f>IFERROR(VLOOKUP(B24,'تقرير المصروفات حسب الشهر'!C782:AI897,33,0),0)</f>
        <v>417</v>
      </c>
      <c r="J24" s="275">
        <f>IFERROR(VLOOKUP(B24,'تقرير المصروفات حسب الشهر'!$C$890:$AI$1007,33,FALSE),0)</f>
        <v>200</v>
      </c>
      <c r="K24" s="275">
        <f>IFERROR(VLOOKUP(B24,'تقرير المصروفات حسب الشهر'!$C$1017:$AI$1131,33,FALSE),0)</f>
        <v>270</v>
      </c>
      <c r="L24" s="275">
        <f>IFERROR(VLOOKUP(B24,'تقرير المصروفات حسب الشهر'!$C$1143:$AI$1259,33,FALSE),0)</f>
        <v>370</v>
      </c>
      <c r="M24" s="275">
        <f>IFERROR(VLOOKUP(B24,'تقرير المصروفات حسب الشهر'!$C$1271:$AI$1385,33,FALSE),0)</f>
        <v>529</v>
      </c>
      <c r="N24" s="275">
        <f>IFERROR(VLOOKUP(B24,'تقرير المصروفات حسب الشهر'!$C$1397:$AI$1512,33,FALSE),0)</f>
        <v>430</v>
      </c>
      <c r="O24" s="281">
        <f t="shared" si="0"/>
        <v>3842</v>
      </c>
    </row>
    <row r="25" spans="2:15">
      <c r="B25" s="284" t="s">
        <v>54</v>
      </c>
      <c r="C25" s="275">
        <f>IFERROR(VLOOKUP(B25,'تقرير المصروفات حسب الشهر'!$C$10:$AI$123,33,FALSE),0)</f>
        <v>0</v>
      </c>
      <c r="D25" s="275">
        <f>IFERROR(VLOOKUP(B25,'تقرير المصروفات حسب الشهر'!$C$134:$AI$248,33,FALSE),0)</f>
        <v>0</v>
      </c>
      <c r="E25" s="275">
        <f>IFERROR(VLOOKUP(B25,'تقرير المصروفات حسب الشهر'!$C$261:$AI$374,33,FALSE),0)</f>
        <v>0</v>
      </c>
      <c r="F25" s="275">
        <f>IFERROR(VLOOKUP(B25,'تقرير المصروفات حسب الشهر'!$C$387:$AI$499,33,FALSE),0)</f>
        <v>0</v>
      </c>
      <c r="G25" s="275">
        <f>IFERROR(VLOOKUP(B25,'تقرير المصروفات حسب الشهر'!$C$512:$AI$624,33,FALSE),0)</f>
        <v>0</v>
      </c>
      <c r="H25" s="275">
        <f>IFERROR(VLOOKUP(B25,'تقرير المصروفات حسب الشهر'!$C$637:$AI$750,33,FALSE),0)</f>
        <v>0</v>
      </c>
      <c r="I25" s="275">
        <f>IFERROR(VLOOKUP(B25,'تقرير المصروفات حسب الشهر'!C783:AI898,33,0),0)</f>
        <v>0</v>
      </c>
      <c r="J25" s="275">
        <f>IFERROR(VLOOKUP(B25,'تقرير المصروفات حسب الشهر'!$C$890:$AI$1007,33,FALSE),0)</f>
        <v>0</v>
      </c>
      <c r="K25" s="275">
        <f>IFERROR(VLOOKUP(B25,'تقرير المصروفات حسب الشهر'!$C$1017:$AI$1131,33,FALSE),0)</f>
        <v>0</v>
      </c>
      <c r="L25" s="275">
        <f>IFERROR(VLOOKUP(B25,'تقرير المصروفات حسب الشهر'!$C$1143:$AI$1259,33,FALSE),0)</f>
        <v>0</v>
      </c>
      <c r="M25" s="275">
        <f>IFERROR(VLOOKUP(B25,'تقرير المصروفات حسب الشهر'!$C$1271:$AI$1385,33,FALSE),0)</f>
        <v>0</v>
      </c>
      <c r="N25" s="275">
        <f>IFERROR(VLOOKUP(B25,'تقرير المصروفات حسب الشهر'!$C$1397:$AI$1512,33,FALSE),0)</f>
        <v>0</v>
      </c>
      <c r="O25" s="281">
        <f t="shared" si="0"/>
        <v>0</v>
      </c>
    </row>
    <row r="26" spans="2:15">
      <c r="B26" s="284" t="s">
        <v>31</v>
      </c>
      <c r="C26" s="275">
        <f>IFERROR(VLOOKUP(B26,'تقرير المصروفات حسب الشهر'!$C$10:$AI$123,33,FALSE),0)</f>
        <v>2758</v>
      </c>
      <c r="D26" s="275">
        <f>IFERROR(VLOOKUP(B26,'تقرير المصروفات حسب الشهر'!$C$134:$AI$248,33,FALSE),0)</f>
        <v>1944</v>
      </c>
      <c r="E26" s="275">
        <f>IFERROR(VLOOKUP(B26,'تقرير المصروفات حسب الشهر'!$C$261:$AI$374,33,FALSE),0)</f>
        <v>2774</v>
      </c>
      <c r="F26" s="275">
        <f>IFERROR(VLOOKUP(B26,'تقرير المصروفات حسب الشهر'!$C$387:$AI$499,33,FALSE),0)</f>
        <v>3614.27</v>
      </c>
      <c r="G26" s="275">
        <f>IFERROR(VLOOKUP(B26,'تقرير المصروفات حسب الشهر'!$C$512:$AI$624,33,FALSE),0)</f>
        <v>2837</v>
      </c>
      <c r="H26" s="275">
        <f>IFERROR(VLOOKUP(B26,'تقرير المصروفات حسب الشهر'!$C$637:$AI$750,33,FALSE),0)</f>
        <v>4673.0599999999995</v>
      </c>
      <c r="I26" s="275">
        <f>IFERROR(VLOOKUP(B26,'تقرير المصروفات حسب الشهر'!C784:AI899,33,0),0)</f>
        <v>3715</v>
      </c>
      <c r="J26" s="275">
        <f>IFERROR(VLOOKUP(B26,'تقرير المصروفات حسب الشهر'!$C$890:$AI$1007,33,FALSE),0)</f>
        <v>2807</v>
      </c>
      <c r="K26" s="275">
        <f>IFERROR(VLOOKUP(B26,'تقرير المصروفات حسب الشهر'!$C$1017:$AI$1131,33,FALSE),0)</f>
        <v>4398.41</v>
      </c>
      <c r="L26" s="275">
        <f>IFERROR(VLOOKUP(B26,'تقرير المصروفات حسب الشهر'!$C$1143:$AI$1259,33,FALSE),0)</f>
        <v>4340</v>
      </c>
      <c r="M26" s="275">
        <f>IFERROR(VLOOKUP(B26,'تقرير المصروفات حسب الشهر'!$C$1271:$AI$1385,33,FALSE),0)</f>
        <v>4095.31</v>
      </c>
      <c r="N26" s="275">
        <f>IFERROR(VLOOKUP(B26,'تقرير المصروفات حسب الشهر'!$C$1397:$AI$1512,33,FALSE),0)</f>
        <v>3354</v>
      </c>
      <c r="O26" s="281">
        <f t="shared" si="0"/>
        <v>41310.050000000003</v>
      </c>
    </row>
    <row r="27" spans="2:15">
      <c r="B27" s="284" t="s">
        <v>55</v>
      </c>
      <c r="C27" s="275">
        <f>IFERROR(VLOOKUP(B27,'تقرير المصروفات حسب الشهر'!$C$10:$AI$123,33,FALSE),0)</f>
        <v>335</v>
      </c>
      <c r="D27" s="275">
        <f>IFERROR(VLOOKUP(B27,'تقرير المصروفات حسب الشهر'!$C$134:$AI$248,33,FALSE),0)</f>
        <v>355</v>
      </c>
      <c r="E27" s="275">
        <f>IFERROR(VLOOKUP(B27,'تقرير المصروفات حسب الشهر'!$C$261:$AI$374,33,FALSE),0)</f>
        <v>355</v>
      </c>
      <c r="F27" s="275">
        <f>IFERROR(VLOOKUP(B27,'تقرير المصروفات حسب الشهر'!$C$387:$AI$499,33,FALSE),0)</f>
        <v>255</v>
      </c>
      <c r="G27" s="275">
        <f>IFERROR(VLOOKUP(B27,'تقرير المصروفات حسب الشهر'!$C$512:$AI$624,33,FALSE),0)</f>
        <v>455</v>
      </c>
      <c r="H27" s="275">
        <f>IFERROR(VLOOKUP(B27,'تقرير المصروفات حسب الشهر'!$C$637:$AI$750,33,FALSE),0)</f>
        <v>255</v>
      </c>
      <c r="I27" s="275">
        <f>IFERROR(VLOOKUP(B27,'تقرير المصروفات حسب الشهر'!C785:AI900,33,0),0)</f>
        <v>485</v>
      </c>
      <c r="J27" s="275">
        <f>IFERROR(VLOOKUP(B27,'تقرير المصروفات حسب الشهر'!$C$890:$AI$1007,33,FALSE),0)</f>
        <v>180</v>
      </c>
      <c r="K27" s="275">
        <f>IFERROR(VLOOKUP(B27,'تقرير المصروفات حسب الشهر'!$C$1017:$AI$1131,33,FALSE),0)</f>
        <v>240</v>
      </c>
      <c r="L27" s="275">
        <f>IFERROR(VLOOKUP(B27,'تقرير المصروفات حسب الشهر'!$C$1143:$AI$1259,33,FALSE),0)</f>
        <v>295</v>
      </c>
      <c r="M27" s="275">
        <f>IFERROR(VLOOKUP(B27,'تقرير المصروفات حسب الشهر'!$C$1271:$AI$1385,33,FALSE),0)</f>
        <v>275</v>
      </c>
      <c r="N27" s="275">
        <f>IFERROR(VLOOKUP(B27,'تقرير المصروفات حسب الشهر'!$C$1397:$AI$1512,33,FALSE),0)</f>
        <v>295</v>
      </c>
      <c r="O27" s="281">
        <f t="shared" si="0"/>
        <v>3780</v>
      </c>
    </row>
    <row r="28" spans="2:15">
      <c r="B28" s="284" t="s">
        <v>56</v>
      </c>
      <c r="C28" s="275">
        <f>IFERROR(VLOOKUP(B28,'تقرير المصروفات حسب الشهر'!$C$10:$AI$123,33,FALSE),0)</f>
        <v>1343.92</v>
      </c>
      <c r="D28" s="275">
        <f>IFERROR(VLOOKUP(B28,'تقرير المصروفات حسب الشهر'!$C$134:$AI$248,33,FALSE),0)</f>
        <v>1343.92</v>
      </c>
      <c r="E28" s="275">
        <f>IFERROR(VLOOKUP(B28,'تقرير المصروفات حسب الشهر'!$C$261:$AI$374,33,FALSE),0)</f>
        <v>1343.92</v>
      </c>
      <c r="F28" s="275">
        <f>IFERROR(VLOOKUP(B28,'تقرير المصروفات حسب الشهر'!$C$387:$AI$499,33,FALSE),0)</f>
        <v>1343.92</v>
      </c>
      <c r="G28" s="275">
        <f>IFERROR(VLOOKUP(B28,'تقرير المصروفات حسب الشهر'!$C$512:$AI$624,33,FALSE),0)</f>
        <v>1343.92</v>
      </c>
      <c r="H28" s="275">
        <f>IFERROR(VLOOKUP(B28,'تقرير المصروفات حسب الشهر'!$C$637:$AI$750,33,FALSE),0)</f>
        <v>1343.92</v>
      </c>
      <c r="I28" s="275">
        <f>IFERROR(VLOOKUP(B28,'تقرير المصروفات حسب الشهر'!C786:AI901,33,0),0)</f>
        <v>1343.92</v>
      </c>
      <c r="J28" s="275">
        <f>IFERROR(VLOOKUP(B28,'تقرير المصروفات حسب الشهر'!$C$890:$AI$1007,33,FALSE),0)</f>
        <v>1343.92</v>
      </c>
      <c r="K28" s="275">
        <f>IFERROR(VLOOKUP(B28,'تقرير المصروفات حسب الشهر'!$C$1017:$AI$1131,33,FALSE),0)</f>
        <v>1343.92</v>
      </c>
      <c r="L28" s="275">
        <f>IFERROR(VLOOKUP(B28,'تقرير المصروفات حسب الشهر'!$C$1143:$AI$1259,33,FALSE),0)</f>
        <v>1343.92</v>
      </c>
      <c r="M28" s="275">
        <f>IFERROR(VLOOKUP(B28,'تقرير المصروفات حسب الشهر'!$C$1271:$AI$1385,33,FALSE),0)</f>
        <v>1343.92</v>
      </c>
      <c r="N28" s="275">
        <f>IFERROR(VLOOKUP(B28,'تقرير المصروفات حسب الشهر'!$C$1397:$AI$1512,33,FALSE),0)</f>
        <v>1343.92</v>
      </c>
      <c r="O28" s="281">
        <f t="shared" si="0"/>
        <v>16127.04</v>
      </c>
    </row>
    <row r="29" spans="2:15">
      <c r="B29" s="284" t="s">
        <v>57</v>
      </c>
      <c r="C29" s="275">
        <f>IFERROR(VLOOKUP(B29,'تقرير المصروفات حسب الشهر'!$C$10:$AI$123,33,FALSE),0)</f>
        <v>3375</v>
      </c>
      <c r="D29" s="275">
        <f>IFERROR(VLOOKUP(B29,'تقرير المصروفات حسب الشهر'!$C$134:$AI$248,33,FALSE),0)</f>
        <v>0</v>
      </c>
      <c r="E29" s="275">
        <f>IFERROR(VLOOKUP(B29,'تقرير المصروفات حسب الشهر'!$C$261:$AI$374,33,FALSE),0)</f>
        <v>2000</v>
      </c>
      <c r="F29" s="275">
        <f>IFERROR(VLOOKUP(B29,'تقرير المصروفات حسب الشهر'!$C$387:$AI$499,33,FALSE),0)</f>
        <v>21900</v>
      </c>
      <c r="G29" s="275">
        <f>IFERROR(VLOOKUP(B29,'تقرير المصروفات حسب الشهر'!$C$512:$AI$624,33,FALSE),0)</f>
        <v>15270</v>
      </c>
      <c r="H29" s="275">
        <f>IFERROR(VLOOKUP(B29,'تقرير المصروفات حسب الشهر'!$C$637:$AI$750,33,FALSE),0)</f>
        <v>5150</v>
      </c>
      <c r="I29" s="275">
        <f>IFERROR(VLOOKUP(B29,'تقرير المصروفات حسب الشهر'!C787:AI902,33,0),0)</f>
        <v>10925</v>
      </c>
      <c r="J29" s="275">
        <f>IFERROR(VLOOKUP(B29,'تقرير المصروفات حسب الشهر'!$C$890:$AI$1007,33,FALSE),0)</f>
        <v>9040</v>
      </c>
      <c r="K29" s="275">
        <f>IFERROR(VLOOKUP(B29,'تقرير المصروفات حسب الشهر'!$C$1017:$AI$1131,33,FALSE),0)</f>
        <v>5205</v>
      </c>
      <c r="L29" s="275">
        <f>IFERROR(VLOOKUP(B29,'تقرير المصروفات حسب الشهر'!$C$1143:$AI$1259,33,FALSE),0)</f>
        <v>18525</v>
      </c>
      <c r="M29" s="275">
        <f>IFERROR(VLOOKUP(B29,'تقرير المصروفات حسب الشهر'!$C$1271:$AI$1385,33,FALSE),0)</f>
        <v>4500</v>
      </c>
      <c r="N29" s="275">
        <f>IFERROR(VLOOKUP(B29,'تقرير المصروفات حسب الشهر'!$C$1397:$AI$1512,33,FALSE),0)</f>
        <v>0</v>
      </c>
      <c r="O29" s="281">
        <f t="shared" si="0"/>
        <v>95890</v>
      </c>
    </row>
    <row r="30" spans="2:15">
      <c r="B30" s="284" t="s">
        <v>58</v>
      </c>
      <c r="C30" s="275">
        <f>IFERROR(VLOOKUP(B30,'تقرير المصروفات حسب الشهر'!$C$10:$AI$123,33,FALSE),0)</f>
        <v>31040</v>
      </c>
      <c r="D30" s="275">
        <f>IFERROR(VLOOKUP(B30,'تقرير المصروفات حسب الشهر'!$C$134:$AI$248,33,FALSE),0)</f>
        <v>8335</v>
      </c>
      <c r="E30" s="275">
        <f>IFERROR(VLOOKUP(B30,'تقرير المصروفات حسب الشهر'!$C$261:$AI$374,33,FALSE),0)</f>
        <v>420</v>
      </c>
      <c r="F30" s="275">
        <f>IFERROR(VLOOKUP(B30,'تقرير المصروفات حسب الشهر'!$C$387:$AI$499,33,FALSE),0)</f>
        <v>13500</v>
      </c>
      <c r="G30" s="275">
        <f>IFERROR(VLOOKUP(B30,'تقرير المصروفات حسب الشهر'!$C$512:$AI$624,33,FALSE),0)</f>
        <v>8760</v>
      </c>
      <c r="H30" s="275">
        <f>IFERROR(VLOOKUP(B30,'تقرير المصروفات حسب الشهر'!$C$637:$AI$750,33,FALSE),0)</f>
        <v>1590</v>
      </c>
      <c r="I30" s="275">
        <f>IFERROR(VLOOKUP(B30,'تقرير المصروفات حسب الشهر'!C788:AI903,33,0),0)</f>
        <v>1460</v>
      </c>
      <c r="J30" s="275">
        <f>IFERROR(VLOOKUP(B30,'تقرير المصروفات حسب الشهر'!$C$890:$AI$1007,33,FALSE),0)</f>
        <v>0</v>
      </c>
      <c r="K30" s="275">
        <f>IFERROR(VLOOKUP(B30,'تقرير المصروفات حسب الشهر'!$C$1017:$AI$1131,33,FALSE),0)</f>
        <v>15063</v>
      </c>
      <c r="L30" s="275">
        <f>IFERROR(VLOOKUP(B30,'تقرير المصروفات حسب الشهر'!$C$1143:$AI$1259,33,FALSE),0)</f>
        <v>23728</v>
      </c>
      <c r="M30" s="275">
        <f>IFERROR(VLOOKUP(B30,'تقرير المصروفات حسب الشهر'!$C$1271:$AI$1385,33,FALSE),0)</f>
        <v>11495</v>
      </c>
      <c r="N30" s="275">
        <f>IFERROR(VLOOKUP(B30,'تقرير المصروفات حسب الشهر'!$C$1397:$AI$1512,33,FALSE),0)</f>
        <v>8285</v>
      </c>
      <c r="O30" s="281">
        <f t="shared" si="0"/>
        <v>123676</v>
      </c>
    </row>
    <row r="31" spans="2:15">
      <c r="B31" s="284" t="s">
        <v>59</v>
      </c>
      <c r="C31" s="275">
        <f>IFERROR(VLOOKUP(B31,'تقرير المصروفات حسب الشهر'!$C$10:$AI$123,33,FALSE),0)</f>
        <v>370</v>
      </c>
      <c r="D31" s="275">
        <f>IFERROR(VLOOKUP(B31,'تقرير المصروفات حسب الشهر'!$C$134:$AI$248,33,FALSE),0)</f>
        <v>1965</v>
      </c>
      <c r="E31" s="275">
        <f>IFERROR(VLOOKUP(B31,'تقرير المصروفات حسب الشهر'!$C$261:$AI$374,33,FALSE),0)</f>
        <v>0</v>
      </c>
      <c r="F31" s="275">
        <f>IFERROR(VLOOKUP(B31,'تقرير المصروفات حسب الشهر'!$C$387:$AI$499,33,FALSE),0)</f>
        <v>0</v>
      </c>
      <c r="G31" s="275">
        <f>IFERROR(VLOOKUP(B31,'تقرير المصروفات حسب الشهر'!$C$512:$AI$624,33,FALSE),0)</f>
        <v>470</v>
      </c>
      <c r="H31" s="275">
        <f>IFERROR(VLOOKUP(B31,'تقرير المصروفات حسب الشهر'!$C$637:$AI$750,33,FALSE),0)</f>
        <v>300</v>
      </c>
      <c r="I31" s="275">
        <f>IFERROR(VLOOKUP(B31,'تقرير المصروفات حسب الشهر'!C789:AI904,33,0),0)</f>
        <v>1200</v>
      </c>
      <c r="J31" s="275">
        <f>IFERROR(VLOOKUP(B31,'تقرير المصروفات حسب الشهر'!$C$890:$AI$1007,33,FALSE),0)</f>
        <v>0</v>
      </c>
      <c r="K31" s="275">
        <f>IFERROR(VLOOKUP(B31,'تقرير المصروفات حسب الشهر'!$C$1017:$AI$1131,33,FALSE),0)</f>
        <v>330</v>
      </c>
      <c r="L31" s="275">
        <f>IFERROR(VLOOKUP(B31,'تقرير المصروفات حسب الشهر'!$C$1143:$AI$1259,33,FALSE),0)</f>
        <v>610</v>
      </c>
      <c r="M31" s="275">
        <f>IFERROR(VLOOKUP(B31,'تقرير المصروفات حسب الشهر'!$C$1271:$AI$1385,33,FALSE),0)</f>
        <v>4660</v>
      </c>
      <c r="N31" s="275">
        <f>IFERROR(VLOOKUP(B31,'تقرير المصروفات حسب الشهر'!$C$1397:$AI$1512,33,FALSE),0)</f>
        <v>570</v>
      </c>
      <c r="O31" s="281">
        <f t="shared" si="0"/>
        <v>10475</v>
      </c>
    </row>
    <row r="32" spans="2:15">
      <c r="B32" s="284" t="s">
        <v>60</v>
      </c>
      <c r="C32" s="275">
        <f>IFERROR(VLOOKUP(B32,'تقرير المصروفات حسب الشهر'!$C$10:$AI$123,33,FALSE),0)</f>
        <v>0</v>
      </c>
      <c r="D32" s="275">
        <f>IFERROR(VLOOKUP(B32,'تقرير المصروفات حسب الشهر'!$C$134:$AI$248,33,FALSE),0)</f>
        <v>0</v>
      </c>
      <c r="E32" s="275">
        <f>IFERROR(VLOOKUP(B32,'تقرير المصروفات حسب الشهر'!$C$261:$AI$374,33,FALSE),0)</f>
        <v>0</v>
      </c>
      <c r="F32" s="275">
        <f>IFERROR(VLOOKUP(B32,'تقرير المصروفات حسب الشهر'!$C$387:$AI$499,33,FALSE),0)</f>
        <v>0</v>
      </c>
      <c r="G32" s="275">
        <f>IFERROR(VLOOKUP(B32,'تقرير المصروفات حسب الشهر'!$C$512:$AI$624,33,FALSE),0)</f>
        <v>0</v>
      </c>
      <c r="H32" s="275">
        <f>IFERROR(VLOOKUP(B32,'تقرير المصروفات حسب الشهر'!$C$637:$AI$750,33,FALSE),0)</f>
        <v>0</v>
      </c>
      <c r="I32" s="275">
        <f>IFERROR(VLOOKUP(B32,'تقرير المصروفات حسب الشهر'!C790:AI905,33,0),0)</f>
        <v>0</v>
      </c>
      <c r="J32" s="275">
        <f>IFERROR(VLOOKUP(B32,'تقرير المصروفات حسب الشهر'!$C$890:$AI$1007,33,FALSE),0)</f>
        <v>0</v>
      </c>
      <c r="K32" s="275">
        <f>IFERROR(VLOOKUP(B32,'تقرير المصروفات حسب الشهر'!$C$1017:$AI$1131,33,FALSE),0)</f>
        <v>0</v>
      </c>
      <c r="L32" s="275">
        <f>IFERROR(VLOOKUP(B32,'تقرير المصروفات حسب الشهر'!$C$1143:$AI$1259,33,FALSE),0)</f>
        <v>0</v>
      </c>
      <c r="M32" s="275">
        <f>IFERROR(VLOOKUP(B32,'تقرير المصروفات حسب الشهر'!$C$1271:$AI$1385,33,FALSE),0)</f>
        <v>0</v>
      </c>
      <c r="N32" s="275">
        <f>IFERROR(VLOOKUP(B32,'تقرير المصروفات حسب الشهر'!$C$1397:$AI$1512,33,FALSE),0)</f>
        <v>20</v>
      </c>
      <c r="O32" s="281">
        <f t="shared" si="0"/>
        <v>20</v>
      </c>
    </row>
    <row r="33" spans="2:15">
      <c r="B33" s="284" t="s">
        <v>61</v>
      </c>
      <c r="C33" s="275">
        <f>IFERROR(VLOOKUP(B33,'تقرير المصروفات حسب الشهر'!$C$10:$AI$123,33,FALSE),0)</f>
        <v>17390</v>
      </c>
      <c r="D33" s="275">
        <f>IFERROR(VLOOKUP(B33,'تقرير المصروفات حسب الشهر'!$C$134:$AI$248,33,FALSE),0)</f>
        <v>15085</v>
      </c>
      <c r="E33" s="275">
        <f>IFERROR(VLOOKUP(B33,'تقرير المصروفات حسب الشهر'!$C$261:$AI$374,33,FALSE),0)</f>
        <v>27655</v>
      </c>
      <c r="F33" s="275">
        <f>IFERROR(VLOOKUP(B33,'تقرير المصروفات حسب الشهر'!$C$387:$AI$499,33,FALSE),0)</f>
        <v>59450</v>
      </c>
      <c r="G33" s="275">
        <f>IFERROR(VLOOKUP(B33,'تقرير المصروفات حسب الشهر'!$C$512:$AI$624,33,FALSE),0)</f>
        <v>7160</v>
      </c>
      <c r="H33" s="275">
        <f>IFERROR(VLOOKUP(B33,'تقرير المصروفات حسب الشهر'!$C$637:$AI$750,33,FALSE),0)</f>
        <v>12550</v>
      </c>
      <c r="I33" s="275">
        <f>IFERROR(VLOOKUP(B33,'تقرير المصروفات حسب الشهر'!C791:AI906,33,0),0)</f>
        <v>20257.5</v>
      </c>
      <c r="J33" s="275">
        <f>IFERROR(VLOOKUP(B33,'تقرير المصروفات حسب الشهر'!$C$890:$AI$1007,33,FALSE),0)</f>
        <v>9520</v>
      </c>
      <c r="K33" s="275">
        <f>IFERROR(VLOOKUP(B33,'تقرير المصروفات حسب الشهر'!$C$1017:$AI$1131,33,FALSE),0)</f>
        <v>12835</v>
      </c>
      <c r="L33" s="275">
        <f>IFERROR(VLOOKUP(B33,'تقرير المصروفات حسب الشهر'!$C$1143:$AI$1259,33,FALSE),0)</f>
        <v>14710</v>
      </c>
      <c r="M33" s="275">
        <f>IFERROR(VLOOKUP(B33,'تقرير المصروفات حسب الشهر'!$C$1271:$AI$1385,33,FALSE),0)</f>
        <v>20095</v>
      </c>
      <c r="N33" s="275">
        <f>IFERROR(VLOOKUP(B33,'تقرير المصروفات حسب الشهر'!$C$1397:$AI$1512,33,FALSE),0)</f>
        <v>46835</v>
      </c>
      <c r="O33" s="281">
        <f t="shared" si="0"/>
        <v>263542.5</v>
      </c>
    </row>
    <row r="34" spans="2:15">
      <c r="B34" s="284" t="s">
        <v>62</v>
      </c>
      <c r="C34" s="275">
        <f>IFERROR(VLOOKUP(B34,'تقرير المصروفات حسب الشهر'!$C$10:$AI$123,33,FALSE),0)</f>
        <v>143173</v>
      </c>
      <c r="D34" s="275">
        <f>IFERROR(VLOOKUP(B34,'تقرير المصروفات حسب الشهر'!$C$134:$AI$248,33,FALSE),0)</f>
        <v>37020</v>
      </c>
      <c r="E34" s="275">
        <f>IFERROR(VLOOKUP(B34,'تقرير المصروفات حسب الشهر'!$C$261:$AI$374,33,FALSE),0)</f>
        <v>20725</v>
      </c>
      <c r="F34" s="275">
        <f>IFERROR(VLOOKUP(B34,'تقرير المصروفات حسب الشهر'!$C$387:$AI$499,33,FALSE),0)</f>
        <v>76435</v>
      </c>
      <c r="G34" s="275">
        <f>IFERROR(VLOOKUP(B34,'تقرير المصروفات حسب الشهر'!$C$512:$AI$624,33,FALSE),0)</f>
        <v>108896</v>
      </c>
      <c r="H34" s="275">
        <f>IFERROR(VLOOKUP(B34,'تقرير المصروفات حسب الشهر'!$C$637:$AI$750,33,FALSE),0)</f>
        <v>55560</v>
      </c>
      <c r="I34" s="275">
        <f>IFERROR(VLOOKUP(B34,'تقرير المصروفات حسب الشهر'!C792:AI907,33,0),0)</f>
        <v>59640</v>
      </c>
      <c r="J34" s="275">
        <f>IFERROR(VLOOKUP(B34,'تقرير المصروفات حسب الشهر'!$C$890:$AI$1007,33,FALSE),0)</f>
        <v>46585</v>
      </c>
      <c r="K34" s="275">
        <f>IFERROR(VLOOKUP(B34,'تقرير المصروفات حسب الشهر'!$C$1017:$AI$1131,33,FALSE),0)</f>
        <v>25202</v>
      </c>
      <c r="L34" s="275">
        <f>IFERROR(VLOOKUP(B34,'تقرير المصروفات حسب الشهر'!$C$1143:$AI$1259,33,FALSE),0)</f>
        <v>144185</v>
      </c>
      <c r="M34" s="275">
        <f>IFERROR(VLOOKUP(B34,'تقرير المصروفات حسب الشهر'!$C$1271:$AI$1385,33,FALSE),0)</f>
        <v>36575</v>
      </c>
      <c r="N34" s="275">
        <f>IFERROR(VLOOKUP(B34,'تقرير المصروفات حسب الشهر'!$C$1397:$AI$1512,33,FALSE),0)</f>
        <v>31735</v>
      </c>
      <c r="O34" s="281">
        <f t="shared" si="0"/>
        <v>785731</v>
      </c>
    </row>
    <row r="35" spans="2:15">
      <c r="B35" s="284" t="s">
        <v>63</v>
      </c>
      <c r="C35" s="275">
        <f>IFERROR(VLOOKUP(B35,'تقرير المصروفات حسب الشهر'!$C$10:$AI$123,33,FALSE),0)</f>
        <v>0</v>
      </c>
      <c r="D35" s="275">
        <f>IFERROR(VLOOKUP(B35,'تقرير المصروفات حسب الشهر'!$C$134:$AI$248,33,FALSE),0)</f>
        <v>0</v>
      </c>
      <c r="E35" s="275">
        <f>IFERROR(VLOOKUP(B35,'تقرير المصروفات حسب الشهر'!$C$261:$AI$374,33,FALSE),0)</f>
        <v>0</v>
      </c>
      <c r="F35" s="275">
        <f>IFERROR(VLOOKUP(B35,'تقرير المصروفات حسب الشهر'!$C$387:$AI$499,33,FALSE),0)</f>
        <v>0</v>
      </c>
      <c r="G35" s="275">
        <f>IFERROR(VLOOKUP(B35,'تقرير المصروفات حسب الشهر'!$C$512:$AI$624,33,FALSE),0)</f>
        <v>142.96</v>
      </c>
      <c r="H35" s="275">
        <f>IFERROR(VLOOKUP(B35,'تقرير المصروفات حسب الشهر'!$C$637:$AI$750,33,FALSE),0)</f>
        <v>124.69</v>
      </c>
      <c r="I35" s="275">
        <f>IFERROR(VLOOKUP(B35,'تقرير المصروفات حسب الشهر'!C793:AI908,33,0),0)</f>
        <v>0</v>
      </c>
      <c r="J35" s="275">
        <f>IFERROR(VLOOKUP(B35,'تقرير المصروفات حسب الشهر'!$C$890:$AI$1007,33,FALSE),0)</f>
        <v>3000</v>
      </c>
      <c r="K35" s="275">
        <f>IFERROR(VLOOKUP(B35,'تقرير المصروفات حسب الشهر'!$C$1017:$AI$1131,33,FALSE),0)</f>
        <v>0</v>
      </c>
      <c r="L35" s="275">
        <f>IFERROR(VLOOKUP(B35,'تقرير المصروفات حسب الشهر'!$C$1143:$AI$1259,33,FALSE),0)</f>
        <v>219.48</v>
      </c>
      <c r="M35" s="275">
        <f>IFERROR(VLOOKUP(B35,'تقرير المصروفات حسب الشهر'!$C$1271:$AI$1385,33,FALSE),0)</f>
        <v>0</v>
      </c>
      <c r="N35" s="275">
        <f>IFERROR(VLOOKUP(B35,'تقرير المصروفات حسب الشهر'!$C$1397:$AI$1512,33,FALSE),0)</f>
        <v>108</v>
      </c>
      <c r="O35" s="281">
        <f t="shared" si="0"/>
        <v>3595.13</v>
      </c>
    </row>
    <row r="36" spans="2:15">
      <c r="B36" s="284" t="s">
        <v>64</v>
      </c>
      <c r="C36" s="275">
        <f>IFERROR(VLOOKUP(B36,'تقرير المصروفات حسب الشهر'!$C$10:$AI$123,33,FALSE),0)</f>
        <v>79575</v>
      </c>
      <c r="D36" s="275">
        <f>IFERROR(VLOOKUP(B36,'تقرير المصروفات حسب الشهر'!$C$134:$AI$248,33,FALSE),0)</f>
        <v>7200</v>
      </c>
      <c r="E36" s="275">
        <f>IFERROR(VLOOKUP(B36,'تقرير المصروفات حسب الشهر'!$C$261:$AI$374,33,FALSE),0)</f>
        <v>187650</v>
      </c>
      <c r="F36" s="275">
        <f>IFERROR(VLOOKUP(B36,'تقرير المصروفات حسب الشهر'!$C$387:$AI$499,33,FALSE),0)</f>
        <v>108805</v>
      </c>
      <c r="G36" s="275">
        <f>IFERROR(VLOOKUP(B36,'تقرير المصروفات حسب الشهر'!$C$512:$AI$624,33,FALSE),0)</f>
        <v>110600</v>
      </c>
      <c r="H36" s="275">
        <f>IFERROR(VLOOKUP(B36,'تقرير المصروفات حسب الشهر'!$C$637:$AI$750,33,FALSE),0)</f>
        <v>119270</v>
      </c>
      <c r="I36" s="275">
        <f>IFERROR(VLOOKUP(B36,'تقرير المصروفات حسب الشهر'!C794:AI909,33,0),0)</f>
        <v>119235</v>
      </c>
      <c r="J36" s="275">
        <f>IFERROR(VLOOKUP(B36,'تقرير المصروفات حسب الشهر'!$C$890:$AI$1007,33,FALSE),0)</f>
        <v>86950</v>
      </c>
      <c r="K36" s="275">
        <f>IFERROR(VLOOKUP(B36,'تقرير المصروفات حسب الشهر'!$C$1017:$AI$1131,33,FALSE),0)</f>
        <v>91940</v>
      </c>
      <c r="L36" s="275">
        <f>IFERROR(VLOOKUP(B36,'تقرير المصروفات حسب الشهر'!$C$1143:$AI$1259,33,FALSE),0)</f>
        <v>60800</v>
      </c>
      <c r="M36" s="275">
        <f>IFERROR(VLOOKUP(B36,'تقرير المصروفات حسب الشهر'!$C$1271:$AI$1385,33,FALSE),0)</f>
        <v>10400</v>
      </c>
      <c r="N36" s="275">
        <f>IFERROR(VLOOKUP(B36,'تقرير المصروفات حسب الشهر'!$C$1397:$AI$1512,33,FALSE),0)</f>
        <v>265200</v>
      </c>
      <c r="O36" s="281">
        <f t="shared" si="0"/>
        <v>1247625</v>
      </c>
    </row>
    <row r="37" spans="2:15">
      <c r="B37" s="284" t="s">
        <v>28</v>
      </c>
      <c r="C37" s="275">
        <f>IFERROR(VLOOKUP(B37,'تقرير المصروفات حسب الشهر'!$C$10:$AI$123,33,FALSE),0)</f>
        <v>15290</v>
      </c>
      <c r="D37" s="275">
        <f>IFERROR(VLOOKUP(B37,'تقرير المصروفات حسب الشهر'!$C$134:$AI$248,33,FALSE),0)</f>
        <v>14245</v>
      </c>
      <c r="E37" s="275">
        <f>IFERROR(VLOOKUP(B37,'تقرير المصروفات حسب الشهر'!$C$261:$AI$374,33,FALSE),0)</f>
        <v>6760</v>
      </c>
      <c r="F37" s="275">
        <f>IFERROR(VLOOKUP(B37,'تقرير المصروفات حسب الشهر'!$C$387:$AI$499,33,FALSE),0)</f>
        <v>9960</v>
      </c>
      <c r="G37" s="275">
        <f>IFERROR(VLOOKUP(B37,'تقرير المصروفات حسب الشهر'!$C$512:$AI$624,33,FALSE),0)</f>
        <v>16425</v>
      </c>
      <c r="H37" s="275">
        <f>IFERROR(VLOOKUP(B37,'تقرير المصروفات حسب الشهر'!$C$637:$AI$750,33,FALSE),0)</f>
        <v>17910</v>
      </c>
      <c r="I37" s="275">
        <f>IFERROR(VLOOKUP(B37,'تقرير المصروفات حسب الشهر'!C795:AI910,33,0),0)</f>
        <v>5090</v>
      </c>
      <c r="J37" s="275">
        <f>IFERROR(VLOOKUP(B37,'تقرير المصروفات حسب الشهر'!$C$890:$AI$1007,33,FALSE),0)</f>
        <v>4700</v>
      </c>
      <c r="K37" s="275">
        <f>IFERROR(VLOOKUP(B37,'تقرير المصروفات حسب الشهر'!$C$1017:$AI$1131,33,FALSE),0)</f>
        <v>12350</v>
      </c>
      <c r="L37" s="275">
        <f>IFERROR(VLOOKUP(B37,'تقرير المصروفات حسب الشهر'!$C$1143:$AI$1259,33,FALSE),0)</f>
        <v>15230</v>
      </c>
      <c r="M37" s="275">
        <f>IFERROR(VLOOKUP(B37,'تقرير المصروفات حسب الشهر'!$C$1271:$AI$1385,33,FALSE),0)</f>
        <v>5130</v>
      </c>
      <c r="N37" s="275">
        <f>IFERROR(VLOOKUP(B37,'تقرير المصروفات حسب الشهر'!$C$1397:$AI$1512,33,FALSE),0)</f>
        <v>7641</v>
      </c>
      <c r="O37" s="281">
        <f t="shared" si="0"/>
        <v>130731</v>
      </c>
    </row>
    <row r="38" spans="2:15">
      <c r="B38" s="284" t="s">
        <v>157</v>
      </c>
      <c r="C38" s="275">
        <f>IFERROR(VLOOKUP(B38,'تقرير المصروفات حسب الشهر'!$C$10:$AI$123,33,FALSE),0)</f>
        <v>2030.5900000000001</v>
      </c>
      <c r="D38" s="275">
        <f>IFERROR(VLOOKUP(B38,'تقرير المصروفات حسب الشهر'!$C$134:$AI$248,33,FALSE),0)</f>
        <v>2719.47</v>
      </c>
      <c r="E38" s="275">
        <f>IFERROR(VLOOKUP(B38,'تقرير المصروفات حسب الشهر'!$C$261:$AI$374,33,FALSE),0)</f>
        <v>3718.29</v>
      </c>
      <c r="F38" s="275">
        <f>IFERROR(VLOOKUP(B38,'تقرير المصروفات حسب الشهر'!$C$387:$AI$499,33,FALSE),0)</f>
        <v>2898.4700000000003</v>
      </c>
      <c r="G38" s="275">
        <f>IFERROR(VLOOKUP(B38,'تقرير المصروفات حسب الشهر'!$C$512:$AI$624,33,FALSE),0)</f>
        <v>3194.27</v>
      </c>
      <c r="H38" s="275">
        <f>IFERROR(VLOOKUP(B38,'تقرير المصروفات حسب الشهر'!$C$637:$AI$750,33,FALSE),0)</f>
        <v>3652.82</v>
      </c>
      <c r="I38" s="275">
        <f>IFERROR(VLOOKUP(B38,'تقرير المصروفات حسب الشهر'!C796:AI911,33,0),0)</f>
        <v>1445.56</v>
      </c>
      <c r="J38" s="275">
        <f>IFERROR(VLOOKUP(B38,'تقرير المصروفات حسب الشهر'!$C$890:$AI$1007,33,FALSE),0)</f>
        <v>2905.06</v>
      </c>
      <c r="K38" s="275">
        <f>IFERROR(VLOOKUP(B38,'تقرير المصروفات حسب الشهر'!$C$1017:$AI$1131,33,FALSE),0)</f>
        <v>2349.5699999999997</v>
      </c>
      <c r="L38" s="275">
        <f>IFERROR(VLOOKUP(B38,'تقرير المصروفات حسب الشهر'!$C$1143:$AI$1259,33,FALSE),0)</f>
        <v>3988.27</v>
      </c>
      <c r="M38" s="275">
        <f>IFERROR(VLOOKUP(B38,'تقرير المصروفات حسب الشهر'!$C$1271:$AI$1385,33,FALSE),0)</f>
        <v>3851.19</v>
      </c>
      <c r="N38" s="275">
        <f>IFERROR(VLOOKUP(B38,'تقرير المصروفات حسب الشهر'!$C$1397:$AI$1512,33,FALSE),0)</f>
        <v>1730.74</v>
      </c>
      <c r="O38" s="281">
        <f t="shared" si="0"/>
        <v>34484.300000000003</v>
      </c>
    </row>
    <row r="39" spans="2:15">
      <c r="B39" s="284" t="s">
        <v>65</v>
      </c>
      <c r="C39" s="275">
        <f>IFERROR(VLOOKUP(B39,'تقرير المصروفات حسب الشهر'!$C$10:$AI$123,33,FALSE),0)</f>
        <v>8000</v>
      </c>
      <c r="D39" s="275">
        <f>IFERROR(VLOOKUP(B39,'تقرير المصروفات حسب الشهر'!$C$134:$AI$248,33,FALSE),0)</f>
        <v>18000</v>
      </c>
      <c r="E39" s="275">
        <f>IFERROR(VLOOKUP(B39,'تقرير المصروفات حسب الشهر'!$C$261:$AI$374,33,FALSE),0)</f>
        <v>28000</v>
      </c>
      <c r="F39" s="275">
        <f>IFERROR(VLOOKUP(B39,'تقرير المصروفات حسب الشهر'!$C$387:$AI$499,33,FALSE),0)</f>
        <v>38000</v>
      </c>
      <c r="G39" s="275">
        <f>IFERROR(VLOOKUP(B39,'تقرير المصروفات حسب الشهر'!$C$512:$AI$624,33,FALSE),0)</f>
        <v>38000</v>
      </c>
      <c r="H39" s="275">
        <f>IFERROR(VLOOKUP(B39,'تقرير المصروفات حسب الشهر'!$C$637:$AI$750,33,FALSE),0)</f>
        <v>8000</v>
      </c>
      <c r="I39" s="275">
        <f>IFERROR(VLOOKUP(B39,'تقرير المصروفات حسب الشهر'!C797:AI912,33,0),0)</f>
        <v>8000</v>
      </c>
      <c r="J39" s="275">
        <f>IFERROR(VLOOKUP(B39,'تقرير المصروفات حسب الشهر'!$C$890:$AI$1007,33,FALSE),0)</f>
        <v>13000</v>
      </c>
      <c r="K39" s="275">
        <f>IFERROR(VLOOKUP(B39,'تقرير المصروفات حسب الشهر'!$C$1017:$AI$1131,33,FALSE),0)</f>
        <v>8000</v>
      </c>
      <c r="L39" s="275">
        <f>IFERROR(VLOOKUP(B39,'تقرير المصروفات حسب الشهر'!$C$1143:$AI$1259,33,FALSE),0)</f>
        <v>18000</v>
      </c>
      <c r="M39" s="275">
        <f>IFERROR(VLOOKUP(B39,'تقرير المصروفات حسب الشهر'!$C$1271:$AI$1385,33,FALSE),0)</f>
        <v>58000</v>
      </c>
      <c r="N39" s="275">
        <f>IFERROR(VLOOKUP(B39,'تقرير المصروفات حسب الشهر'!$C$1397:$AI$1512,33,FALSE),0)</f>
        <v>8000</v>
      </c>
      <c r="O39" s="281">
        <f t="shared" si="0"/>
        <v>251000</v>
      </c>
    </row>
    <row r="40" spans="2:15">
      <c r="B40" s="284" t="s">
        <v>66</v>
      </c>
      <c r="C40" s="275">
        <f>IFERROR(VLOOKUP(B40,'تقرير المصروفات حسب الشهر'!$C$10:$AI$123,33,FALSE),0)</f>
        <v>0</v>
      </c>
      <c r="D40" s="275">
        <f>IFERROR(VLOOKUP(B40,'تقرير المصروفات حسب الشهر'!$C$134:$AI$248,33,FALSE),0)</f>
        <v>0</v>
      </c>
      <c r="E40" s="275">
        <f>IFERROR(VLOOKUP(B40,'تقرير المصروفات حسب الشهر'!$C$261:$AI$374,33,FALSE),0)</f>
        <v>0</v>
      </c>
      <c r="F40" s="275">
        <f>IFERROR(VLOOKUP(B40,'تقرير المصروفات حسب الشهر'!$C$387:$AI$499,33,FALSE),0)</f>
        <v>0</v>
      </c>
      <c r="G40" s="275">
        <f>IFERROR(VLOOKUP(B40,'تقرير المصروفات حسب الشهر'!$C$512:$AI$624,33,FALSE),0)</f>
        <v>0</v>
      </c>
      <c r="H40" s="275">
        <f>IFERROR(VLOOKUP(B40,'تقرير المصروفات حسب الشهر'!$C$637:$AI$750,33,FALSE),0)</f>
        <v>0</v>
      </c>
      <c r="I40" s="275">
        <f>IFERROR(VLOOKUP(B40,'تقرير المصروفات حسب الشهر'!C798:AI913,33,0),0)</f>
        <v>0</v>
      </c>
      <c r="J40" s="275">
        <f>IFERROR(VLOOKUP(B40,'تقرير المصروفات حسب الشهر'!$C$890:$AI$1007,33,FALSE),0)</f>
        <v>0</v>
      </c>
      <c r="K40" s="275">
        <f>IFERROR(VLOOKUP(B40,'تقرير المصروفات حسب الشهر'!$C$1017:$AI$1131,33,FALSE),0)</f>
        <v>0</v>
      </c>
      <c r="L40" s="275">
        <f>IFERROR(VLOOKUP(B40,'تقرير المصروفات حسب الشهر'!$C$1143:$AI$1259,33,FALSE),0)</f>
        <v>0</v>
      </c>
      <c r="M40" s="275">
        <f>IFERROR(VLOOKUP(B40,'تقرير المصروفات حسب الشهر'!$C$1271:$AI$1385,33,FALSE),0)</f>
        <v>0</v>
      </c>
      <c r="N40" s="275">
        <f>IFERROR(VLOOKUP(B40,'تقرير المصروفات حسب الشهر'!$C$1397:$AI$1512,33,FALSE),0)</f>
        <v>0</v>
      </c>
      <c r="O40" s="281">
        <f t="shared" si="0"/>
        <v>0</v>
      </c>
    </row>
    <row r="41" spans="2:15">
      <c r="B41" s="284" t="s">
        <v>30</v>
      </c>
      <c r="C41" s="275">
        <f>IFERROR(VLOOKUP(B41,'تقرير المصروفات حسب الشهر'!$C$10:$AI$123,33,FALSE),0)</f>
        <v>22351.98</v>
      </c>
      <c r="D41" s="275">
        <f>IFERROR(VLOOKUP(B41,'تقرير المصروفات حسب الشهر'!$C$134:$AI$248,33,FALSE),0)</f>
        <v>110143.3</v>
      </c>
      <c r="E41" s="275">
        <f>IFERROR(VLOOKUP(B41,'تقرير المصروفات حسب الشهر'!$C$261:$AI$374,33,FALSE),0)</f>
        <v>75392.240000000005</v>
      </c>
      <c r="F41" s="275">
        <f>IFERROR(VLOOKUP(B41,'تقرير المصروفات حسب الشهر'!$C$387:$AI$499,33,FALSE),0)</f>
        <v>118153.79</v>
      </c>
      <c r="G41" s="275">
        <f>IFERROR(VLOOKUP(B41,'تقرير المصروفات حسب الشهر'!$C$512:$AI$624,33,FALSE),0)</f>
        <v>40324.58</v>
      </c>
      <c r="H41" s="275">
        <f>IFERROR(VLOOKUP(B41,'تقرير المصروفات حسب الشهر'!$C$637:$AI$750,33,FALSE),0)</f>
        <v>96170.14</v>
      </c>
      <c r="I41" s="275">
        <f>IFERROR(VLOOKUP(B41,'تقرير المصروفات حسب الشهر'!C799:AI914,33,0),0)</f>
        <v>108820.16</v>
      </c>
      <c r="J41" s="275">
        <f>IFERROR(VLOOKUP(B41,'تقرير المصروفات حسب الشهر'!$C$890:$AI$1007,33,FALSE),0)</f>
        <v>14143.99</v>
      </c>
      <c r="K41" s="275">
        <f>IFERROR(VLOOKUP(B41,'تقرير المصروفات حسب الشهر'!$C$1017:$AI$1131,33,FALSE),0)</f>
        <v>194800.93000000002</v>
      </c>
      <c r="L41" s="275">
        <f>IFERROR(VLOOKUP(B41,'تقرير المصروفات حسب الشهر'!$C$1143:$AI$1259,33,FALSE),0)</f>
        <v>101826.12</v>
      </c>
      <c r="M41" s="275">
        <f>IFERROR(VLOOKUP(B41,'تقرير المصروفات حسب الشهر'!$C$1271:$AI$1385,33,FALSE),0)</f>
        <v>150544.66999999998</v>
      </c>
      <c r="N41" s="275">
        <f>IFERROR(VLOOKUP(B41,'تقرير المصروفات حسب الشهر'!$C$1397:$AI$1512,33,FALSE),0)</f>
        <v>133474.59999999998</v>
      </c>
      <c r="O41" s="281">
        <f t="shared" si="0"/>
        <v>1166146.5</v>
      </c>
    </row>
    <row r="42" spans="2:15">
      <c r="B42" s="284" t="s">
        <v>67</v>
      </c>
      <c r="C42" s="275">
        <f>IFERROR(VLOOKUP(B42,'تقرير المصروفات حسب الشهر'!$C$10:$AI$123,33,FALSE),0)</f>
        <v>112632</v>
      </c>
      <c r="D42" s="275">
        <f>IFERROR(VLOOKUP(B42,'تقرير المصروفات حسب الشهر'!$C$134:$AI$248,33,FALSE),0)</f>
        <v>18994</v>
      </c>
      <c r="E42" s="275">
        <f>IFERROR(VLOOKUP(B42,'تقرير المصروفات حسب الشهر'!$C$261:$AI$374,33,FALSE),0)</f>
        <v>111950</v>
      </c>
      <c r="F42" s="275">
        <f>IFERROR(VLOOKUP(B42,'تقرير المصروفات حسب الشهر'!$C$387:$AI$499,33,FALSE),0)</f>
        <v>65410</v>
      </c>
      <c r="G42" s="275">
        <f>IFERROR(VLOOKUP(B42,'تقرير المصروفات حسب الشهر'!$C$512:$AI$624,33,FALSE),0)</f>
        <v>0</v>
      </c>
      <c r="H42" s="275">
        <f>IFERROR(VLOOKUP(B42,'تقرير المصروفات حسب الشهر'!$C$637:$AI$750,33,FALSE),0)</f>
        <v>130684</v>
      </c>
      <c r="I42" s="275">
        <f>IFERROR(VLOOKUP(B42,'تقرير المصروفات حسب الشهر'!C800:AI915,33,0),0)</f>
        <v>140</v>
      </c>
      <c r="J42" s="275">
        <f>IFERROR(VLOOKUP(B42,'تقرير المصروفات حسب الشهر'!$C$890:$AI$1007,33,FALSE),0)</f>
        <v>209565</v>
      </c>
      <c r="K42" s="275">
        <f>IFERROR(VLOOKUP(B42,'تقرير المصروفات حسب الشهر'!$C$1017:$AI$1131,33,FALSE),0)</f>
        <v>0</v>
      </c>
      <c r="L42" s="275">
        <f>IFERROR(VLOOKUP(B42,'تقرير المصروفات حسب الشهر'!$C$1143:$AI$1259,33,FALSE),0)</f>
        <v>155428</v>
      </c>
      <c r="M42" s="275">
        <f>IFERROR(VLOOKUP(B42,'تقرير المصروفات حسب الشهر'!$C$1271:$AI$1385,33,FALSE),0)</f>
        <v>0</v>
      </c>
      <c r="N42" s="275">
        <f>IFERROR(VLOOKUP(B42,'تقرير المصروفات حسب الشهر'!$C$1397:$AI$1512,33,FALSE),0)</f>
        <v>181926</v>
      </c>
      <c r="O42" s="281">
        <f t="shared" si="0"/>
        <v>986729</v>
      </c>
    </row>
    <row r="43" spans="2:15">
      <c r="B43" s="284" t="s">
        <v>111</v>
      </c>
      <c r="C43" s="275">
        <f>IFERROR(VLOOKUP(B43,'تقرير المصروفات حسب الشهر'!$C$10:$AI$123,33,FALSE),0)</f>
        <v>1800</v>
      </c>
      <c r="D43" s="275">
        <f>IFERROR(VLOOKUP(B43,'تقرير المصروفات حسب الشهر'!$C$134:$AI$248,33,FALSE),0)</f>
        <v>5800</v>
      </c>
      <c r="E43" s="275">
        <f>IFERROR(VLOOKUP(B43,'تقرير المصروفات حسب الشهر'!$C$261:$AI$374,33,FALSE),0)</f>
        <v>4100</v>
      </c>
      <c r="F43" s="275">
        <f>IFERROR(VLOOKUP(B43,'تقرير المصروفات حسب الشهر'!$C$387:$AI$499,33,FALSE),0)</f>
        <v>5085</v>
      </c>
      <c r="G43" s="275">
        <f>IFERROR(VLOOKUP(B43,'تقرير المصروفات حسب الشهر'!$C$512:$AI$624,33,FALSE),0)</f>
        <v>3200</v>
      </c>
      <c r="H43" s="275">
        <f>IFERROR(VLOOKUP(B43,'تقرير المصروفات حسب الشهر'!$C$637:$AI$750,33,FALSE),0)</f>
        <v>6200</v>
      </c>
      <c r="I43" s="275">
        <f>IFERROR(VLOOKUP(B43,'تقرير المصروفات حسب الشهر'!C801:AI916,33,0),0)</f>
        <v>4500</v>
      </c>
      <c r="J43" s="275">
        <f>IFERROR(VLOOKUP(B43,'تقرير المصروفات حسب الشهر'!$C$890:$AI$1007,33,FALSE),0)</f>
        <v>5500</v>
      </c>
      <c r="K43" s="275">
        <f>IFERROR(VLOOKUP(B43,'تقرير المصروفات حسب الشهر'!$C$1017:$AI$1131,33,FALSE),0)</f>
        <v>12350</v>
      </c>
      <c r="L43" s="275">
        <f>IFERROR(VLOOKUP(B43,'تقرير المصروفات حسب الشهر'!$C$1143:$AI$1259,33,FALSE),0)</f>
        <v>4520</v>
      </c>
      <c r="M43" s="275">
        <f>IFERROR(VLOOKUP(B43,'تقرير المصروفات حسب الشهر'!$C$1271:$AI$1385,33,FALSE),0)</f>
        <v>5445.15</v>
      </c>
      <c r="N43" s="275">
        <f>IFERROR(VLOOKUP(B43,'تقرير المصروفات حسب الشهر'!$C$1397:$AI$1512,33,FALSE),0)</f>
        <v>3700</v>
      </c>
      <c r="O43" s="281">
        <f t="shared" si="0"/>
        <v>62200.15</v>
      </c>
    </row>
    <row r="44" spans="2:15">
      <c r="B44" s="284" t="s">
        <v>68</v>
      </c>
      <c r="C44" s="275">
        <f>IFERROR(VLOOKUP(B44,'تقرير المصروفات حسب الشهر'!$C$10:$AI$123,33,FALSE),0)</f>
        <v>0</v>
      </c>
      <c r="D44" s="275">
        <f>IFERROR(VLOOKUP(B44,'تقرير المصروفات حسب الشهر'!$C$134:$AI$248,33,FALSE),0)</f>
        <v>0</v>
      </c>
      <c r="E44" s="275">
        <f>IFERROR(VLOOKUP(B44,'تقرير المصروفات حسب الشهر'!$C$261:$AI$374,33,FALSE),0)</f>
        <v>34200</v>
      </c>
      <c r="F44" s="275">
        <f>IFERROR(VLOOKUP(B44,'تقرير المصروفات حسب الشهر'!$C$387:$AI$499,33,FALSE),0)</f>
        <v>0</v>
      </c>
      <c r="G44" s="275">
        <f>IFERROR(VLOOKUP(B44,'تقرير المصروفات حسب الشهر'!$C$512:$AI$624,33,FALSE),0)</f>
        <v>34210</v>
      </c>
      <c r="H44" s="275">
        <f>IFERROR(VLOOKUP(B44,'تقرير المصروفات حسب الشهر'!$C$637:$AI$750,33,FALSE),0)</f>
        <v>0</v>
      </c>
      <c r="I44" s="275">
        <f>IFERROR(VLOOKUP(B44,'تقرير المصروفات حسب الشهر'!C802:AI917,33,0),0)</f>
        <v>0</v>
      </c>
      <c r="J44" s="275">
        <f>IFERROR(VLOOKUP(B44,'تقرير المصروفات حسب الشهر'!$C$890:$AI$1007,33,FALSE),0)</f>
        <v>0</v>
      </c>
      <c r="K44" s="275">
        <f>IFERROR(VLOOKUP(B44,'تقرير المصروفات حسب الشهر'!$C$1017:$AI$1131,33,FALSE),0)</f>
        <v>39688</v>
      </c>
      <c r="L44" s="275">
        <f>IFERROR(VLOOKUP(B44,'تقرير المصروفات حسب الشهر'!$C$1143:$AI$1259,33,FALSE),0)</f>
        <v>0</v>
      </c>
      <c r="M44" s="275">
        <f>IFERROR(VLOOKUP(B44,'تقرير المصروفات حسب الشهر'!$C$1271:$AI$1385,33,FALSE),0)</f>
        <v>0</v>
      </c>
      <c r="N44" s="275">
        <f>IFERROR(VLOOKUP(B44,'تقرير المصروفات حسب الشهر'!$C$1397:$AI$1512,33,FALSE),0)</f>
        <v>0</v>
      </c>
      <c r="O44" s="281">
        <f t="shared" si="0"/>
        <v>108098</v>
      </c>
    </row>
    <row r="45" spans="2:15">
      <c r="B45" s="284" t="s">
        <v>69</v>
      </c>
      <c r="C45" s="275">
        <f>IFERROR(VLOOKUP(B45,'تقرير المصروفات حسب الشهر'!$C$10:$AI$123,33,FALSE),0)</f>
        <v>30000</v>
      </c>
      <c r="D45" s="275">
        <f>IFERROR(VLOOKUP(B45,'تقرير المصروفات حسب الشهر'!$C$134:$AI$248,33,FALSE),0)</f>
        <v>1200</v>
      </c>
      <c r="E45" s="275">
        <f>IFERROR(VLOOKUP(B45,'تقرير المصروفات حسب الشهر'!$C$261:$AI$374,33,FALSE),0)</f>
        <v>0</v>
      </c>
      <c r="F45" s="275">
        <f>IFERROR(VLOOKUP(B45,'تقرير المصروفات حسب الشهر'!$C$387:$AI$499,33,FALSE),0)</f>
        <v>0</v>
      </c>
      <c r="G45" s="275">
        <f>IFERROR(VLOOKUP(B45,'تقرير المصروفات حسب الشهر'!$C$512:$AI$624,33,FALSE),0)</f>
        <v>0</v>
      </c>
      <c r="H45" s="275">
        <f>IFERROR(VLOOKUP(B45,'تقرير المصروفات حسب الشهر'!$C$637:$AI$750,33,FALSE),0)</f>
        <v>0</v>
      </c>
      <c r="I45" s="275">
        <f>IFERROR(VLOOKUP(B45,'تقرير المصروفات حسب الشهر'!C803:AI918,33,0),0)</f>
        <v>5800</v>
      </c>
      <c r="J45" s="275">
        <f>IFERROR(VLOOKUP(B45,'تقرير المصروفات حسب الشهر'!$C$890:$AI$1007,33,FALSE),0)</f>
        <v>0</v>
      </c>
      <c r="K45" s="275">
        <f>IFERROR(VLOOKUP(B45,'تقرير المصروفات حسب الشهر'!$C$1017:$AI$1131,33,FALSE),0)</f>
        <v>0</v>
      </c>
      <c r="L45" s="275">
        <f>IFERROR(VLOOKUP(B45,'تقرير المصروفات حسب الشهر'!$C$1143:$AI$1259,33,FALSE),0)</f>
        <v>0</v>
      </c>
      <c r="M45" s="275">
        <f>IFERROR(VLOOKUP(B45,'تقرير المصروفات حسب الشهر'!$C$1271:$AI$1385,33,FALSE),0)</f>
        <v>3500</v>
      </c>
      <c r="N45" s="275">
        <f>IFERROR(VLOOKUP(B45,'تقرير المصروفات حسب الشهر'!$C$1397:$AI$1512,33,FALSE),0)</f>
        <v>0</v>
      </c>
      <c r="O45" s="281">
        <f t="shared" si="0"/>
        <v>40500</v>
      </c>
    </row>
    <row r="46" spans="2:15">
      <c r="B46" s="284" t="s">
        <v>70</v>
      </c>
      <c r="C46" s="275">
        <f>IFERROR(VLOOKUP(B46,'تقرير المصروفات حسب الشهر'!$C$10:$AI$123,33,FALSE),0)</f>
        <v>6070</v>
      </c>
      <c r="D46" s="275">
        <f>IFERROR(VLOOKUP(B46,'تقرير المصروفات حسب الشهر'!$C$134:$AI$248,33,FALSE),0)</f>
        <v>5670</v>
      </c>
      <c r="E46" s="275">
        <f>IFERROR(VLOOKUP(B46,'تقرير المصروفات حسب الشهر'!$C$261:$AI$374,33,FALSE),0)</f>
        <v>153250</v>
      </c>
      <c r="F46" s="275">
        <f>IFERROR(VLOOKUP(B46,'تقرير المصروفات حسب الشهر'!$C$387:$AI$499,33,FALSE),0)</f>
        <v>29030</v>
      </c>
      <c r="G46" s="275">
        <f>IFERROR(VLOOKUP(B46,'تقرير المصروفات حسب الشهر'!$C$512:$AI$624,33,FALSE),0)</f>
        <v>5790</v>
      </c>
      <c r="H46" s="275">
        <f>IFERROR(VLOOKUP(B46,'تقرير المصروفات حسب الشهر'!$C$637:$AI$750,33,FALSE),0)</f>
        <v>7230</v>
      </c>
      <c r="I46" s="275">
        <f>IFERROR(VLOOKUP(B46,'تقرير المصروفات حسب الشهر'!C804:AI919,33,0),0)</f>
        <v>2395</v>
      </c>
      <c r="J46" s="275">
        <f>IFERROR(VLOOKUP(B46,'تقرير المصروفات حسب الشهر'!$C$890:$AI$1007,33,FALSE),0)</f>
        <v>7080</v>
      </c>
      <c r="K46" s="275">
        <f>IFERROR(VLOOKUP(B46,'تقرير المصروفات حسب الشهر'!$C$1017:$AI$1131,33,FALSE),0)</f>
        <v>14365</v>
      </c>
      <c r="L46" s="275">
        <f>IFERROR(VLOOKUP(B46,'تقرير المصروفات حسب الشهر'!$C$1143:$AI$1259,33,FALSE),0)</f>
        <v>7060</v>
      </c>
      <c r="M46" s="275">
        <f>IFERROR(VLOOKUP(B46,'تقرير المصروفات حسب الشهر'!$C$1271:$AI$1385,33,FALSE),0)</f>
        <v>3505</v>
      </c>
      <c r="N46" s="275">
        <f>IFERROR(VLOOKUP(B46,'تقرير المصروفات حسب الشهر'!$C$1397:$AI$1512,33,FALSE),0)</f>
        <v>4385</v>
      </c>
      <c r="O46" s="281">
        <f t="shared" si="0"/>
        <v>245830</v>
      </c>
    </row>
    <row r="47" spans="2:15">
      <c r="B47" s="284" t="s">
        <v>71</v>
      </c>
      <c r="C47" s="275">
        <f>IFERROR(VLOOKUP(B47,'تقرير المصروفات حسب الشهر'!$C$10:$AI$123,33,FALSE),0)</f>
        <v>0</v>
      </c>
      <c r="D47" s="275">
        <f>IFERROR(VLOOKUP(B47,'تقرير المصروفات حسب الشهر'!$C$134:$AI$248,33,FALSE),0)</f>
        <v>0</v>
      </c>
      <c r="E47" s="275">
        <f>IFERROR(VLOOKUP(B47,'تقرير المصروفات حسب الشهر'!$C$261:$AI$374,33,FALSE),0)</f>
        <v>0</v>
      </c>
      <c r="F47" s="275">
        <f>IFERROR(VLOOKUP(B47,'تقرير المصروفات حسب الشهر'!$C$387:$AI$499,33,FALSE),0)</f>
        <v>0</v>
      </c>
      <c r="G47" s="275">
        <f>IFERROR(VLOOKUP(B47,'تقرير المصروفات حسب الشهر'!$C$512:$AI$624,33,FALSE),0)</f>
        <v>0</v>
      </c>
      <c r="H47" s="275">
        <f>IFERROR(VLOOKUP(B47,'تقرير المصروفات حسب الشهر'!$C$637:$AI$750,33,FALSE),0)</f>
        <v>0</v>
      </c>
      <c r="I47" s="275">
        <f>IFERROR(VLOOKUP(B47,'تقرير المصروفات حسب الشهر'!C805:AI920,33,0),0)</f>
        <v>0</v>
      </c>
      <c r="J47" s="275">
        <f>IFERROR(VLOOKUP(B47,'تقرير المصروفات حسب الشهر'!$C$890:$AI$1007,33,FALSE),0)</f>
        <v>0</v>
      </c>
      <c r="K47" s="275">
        <f>IFERROR(VLOOKUP(B47,'تقرير المصروفات حسب الشهر'!$C$1017:$AI$1131,33,FALSE),0)</f>
        <v>0</v>
      </c>
      <c r="L47" s="275">
        <f>IFERROR(VLOOKUP(B47,'تقرير المصروفات حسب الشهر'!$C$1143:$AI$1259,33,FALSE),0)</f>
        <v>0</v>
      </c>
      <c r="M47" s="275">
        <f>IFERROR(VLOOKUP(B47,'تقرير المصروفات حسب الشهر'!$C$1271:$AI$1385,33,FALSE),0)</f>
        <v>0</v>
      </c>
      <c r="N47" s="275">
        <f>IFERROR(VLOOKUP(B47,'تقرير المصروفات حسب الشهر'!$C$1397:$AI$1512,33,FALSE),0)</f>
        <v>0</v>
      </c>
      <c r="O47" s="281">
        <f t="shared" si="0"/>
        <v>0</v>
      </c>
    </row>
    <row r="48" spans="2:15">
      <c r="B48" s="284" t="s">
        <v>159</v>
      </c>
      <c r="C48" s="275">
        <f>IFERROR(VLOOKUP(B48,'تقرير المصروفات حسب الشهر'!$C$10:$AI$123,33,FALSE),0)</f>
        <v>15200</v>
      </c>
      <c r="D48" s="275">
        <f>IFERROR(VLOOKUP(B48,'تقرير المصروفات حسب الشهر'!$C$134:$AI$248,33,FALSE),0)</f>
        <v>18390</v>
      </c>
      <c r="E48" s="275">
        <f>IFERROR(VLOOKUP(B48,'تقرير المصروفات حسب الشهر'!$C$261:$AI$374,33,FALSE),0)</f>
        <v>16510</v>
      </c>
      <c r="F48" s="275">
        <f>IFERROR(VLOOKUP(B48,'تقرير المصروفات حسب الشهر'!$C$387:$AI$499,33,FALSE),0)</f>
        <v>16945</v>
      </c>
      <c r="G48" s="275">
        <f>IFERROR(VLOOKUP(B48,'تقرير المصروفات حسب الشهر'!$C$512:$AI$624,33,FALSE),0)</f>
        <v>19360</v>
      </c>
      <c r="H48" s="275">
        <f>IFERROR(VLOOKUP(B48,'تقرير المصروفات حسب الشهر'!$C$637:$AI$750,33,FALSE),0)</f>
        <v>21073</v>
      </c>
      <c r="I48" s="275">
        <f>IFERROR(VLOOKUP(B48,'تقرير المصروفات حسب الشهر'!C806:AI921,33,0),0)</f>
        <v>19155</v>
      </c>
      <c r="J48" s="275">
        <f>IFERROR(VLOOKUP(B48,'تقرير المصروفات حسب الشهر'!$C$890:$AI$1007,33,FALSE),0)</f>
        <v>24315</v>
      </c>
      <c r="K48" s="275">
        <f>IFERROR(VLOOKUP(B48,'تقرير المصروفات حسب الشهر'!$C$1017:$AI$1131,33,FALSE),0)</f>
        <v>22900</v>
      </c>
      <c r="L48" s="275">
        <f>IFERROR(VLOOKUP(B48,'تقرير المصروفات حسب الشهر'!$C$1143:$AI$1259,33,FALSE),0)</f>
        <v>20840</v>
      </c>
      <c r="M48" s="275">
        <f>IFERROR(VLOOKUP(B48,'تقرير المصروفات حسب الشهر'!$C$1271:$AI$1385,33,FALSE),0)</f>
        <v>18485</v>
      </c>
      <c r="N48" s="275">
        <f>IFERROR(VLOOKUP(B48,'تقرير المصروفات حسب الشهر'!$C$1397:$AI$1512,33,FALSE),0)</f>
        <v>26400</v>
      </c>
      <c r="O48" s="281">
        <f t="shared" si="0"/>
        <v>239573</v>
      </c>
    </row>
    <row r="49" spans="2:15">
      <c r="B49" s="284" t="s">
        <v>72</v>
      </c>
      <c r="C49" s="275">
        <f>IFERROR(VLOOKUP(B49,'تقرير المصروفات حسب الشهر'!$C$10:$AI$123,33,FALSE),0)</f>
        <v>6000</v>
      </c>
      <c r="D49" s="275">
        <f>IFERROR(VLOOKUP(B49,'تقرير المصروفات حسب الشهر'!$C$134:$AI$248,33,FALSE),0)</f>
        <v>0</v>
      </c>
      <c r="E49" s="275">
        <f>IFERROR(VLOOKUP(B49,'تقرير المصروفات حسب الشهر'!$C$261:$AI$374,33,FALSE),0)</f>
        <v>6000</v>
      </c>
      <c r="F49" s="275">
        <f>IFERROR(VLOOKUP(B49,'تقرير المصروفات حسب الشهر'!$C$387:$AI$499,33,FALSE),0)</f>
        <v>7850</v>
      </c>
      <c r="G49" s="275">
        <f>IFERROR(VLOOKUP(B49,'تقرير المصروفات حسب الشهر'!$C$512:$AI$624,33,FALSE),0)</f>
        <v>6000</v>
      </c>
      <c r="H49" s="275">
        <f>IFERROR(VLOOKUP(B49,'تقرير المصروفات حسب الشهر'!$C$637:$AI$750,33,FALSE),0)</f>
        <v>6000</v>
      </c>
      <c r="I49" s="275">
        <f>IFERROR(VLOOKUP(B49,'تقرير المصروفات حسب الشهر'!C807:AI922,33,0),0)</f>
        <v>0</v>
      </c>
      <c r="J49" s="275">
        <f>IFERROR(VLOOKUP(B49,'تقرير المصروفات حسب الشهر'!$C$890:$AI$1007,33,FALSE),0)</f>
        <v>7050</v>
      </c>
      <c r="K49" s="275">
        <f>IFERROR(VLOOKUP(B49,'تقرير المصروفات حسب الشهر'!$C$1017:$AI$1131,33,FALSE),0)</f>
        <v>6000</v>
      </c>
      <c r="L49" s="275">
        <f>IFERROR(VLOOKUP(B49,'تقرير المصروفات حسب الشهر'!$C$1143:$AI$1259,33,FALSE),0)</f>
        <v>6000</v>
      </c>
      <c r="M49" s="275">
        <f>IFERROR(VLOOKUP(B49,'تقرير المصروفات حسب الشهر'!$C$1271:$AI$1385,33,FALSE),0)</f>
        <v>7050</v>
      </c>
      <c r="N49" s="275">
        <f>IFERROR(VLOOKUP(B49,'تقرير المصروفات حسب الشهر'!$C$1397:$AI$1512,33,FALSE),0)</f>
        <v>6000</v>
      </c>
      <c r="O49" s="281">
        <f t="shared" si="0"/>
        <v>63950</v>
      </c>
    </row>
    <row r="50" spans="2:15">
      <c r="B50" s="284" t="s">
        <v>73</v>
      </c>
      <c r="C50" s="275">
        <f>IFERROR(VLOOKUP(B50,'تقرير المصروفات حسب الشهر'!$C$10:$AI$123,33,FALSE),0)</f>
        <v>0</v>
      </c>
      <c r="D50" s="275">
        <f>IFERROR(VLOOKUP(B50,'تقرير المصروفات حسب الشهر'!$C$134:$AI$248,33,FALSE),0)</f>
        <v>0</v>
      </c>
      <c r="E50" s="275">
        <f>IFERROR(VLOOKUP(B50,'تقرير المصروفات حسب الشهر'!$C$261:$AI$374,33,FALSE),0)</f>
        <v>0</v>
      </c>
      <c r="F50" s="275">
        <f>IFERROR(VLOOKUP(B50,'تقرير المصروفات حسب الشهر'!$C$387:$AI$499,33,FALSE),0)</f>
        <v>0</v>
      </c>
      <c r="G50" s="275">
        <f>IFERROR(VLOOKUP(B50,'تقرير المصروفات حسب الشهر'!$C$512:$AI$624,33,FALSE),0)</f>
        <v>0</v>
      </c>
      <c r="H50" s="275">
        <f>IFERROR(VLOOKUP(B50,'تقرير المصروفات حسب الشهر'!$C$637:$AI$750,33,FALSE),0)</f>
        <v>0</v>
      </c>
      <c r="I50" s="275">
        <f>IFERROR(VLOOKUP(B50,'تقرير المصروفات حسب الشهر'!C808:AI923,33,0),0)</f>
        <v>0</v>
      </c>
      <c r="J50" s="275">
        <f>IFERROR(VLOOKUP(B50,'تقرير المصروفات حسب الشهر'!$C$890:$AI$1007,33,FALSE),0)</f>
        <v>0</v>
      </c>
      <c r="K50" s="275">
        <f>IFERROR(VLOOKUP(B50,'تقرير المصروفات حسب الشهر'!$C$1017:$AI$1131,33,FALSE),0)</f>
        <v>0</v>
      </c>
      <c r="L50" s="275">
        <f>IFERROR(VLOOKUP(B50,'تقرير المصروفات حسب الشهر'!$C$1143:$AI$1259,33,FALSE),0)</f>
        <v>0</v>
      </c>
      <c r="M50" s="275">
        <f>IFERROR(VLOOKUP(B50,'تقرير المصروفات حسب الشهر'!$C$1271:$AI$1385,33,FALSE),0)</f>
        <v>0</v>
      </c>
      <c r="N50" s="275">
        <f>IFERROR(VLOOKUP(B50,'تقرير المصروفات حسب الشهر'!$C$1397:$AI$1512,33,FALSE),0)</f>
        <v>0</v>
      </c>
      <c r="O50" s="281">
        <f t="shared" si="0"/>
        <v>0</v>
      </c>
    </row>
    <row r="51" spans="2:15">
      <c r="B51" s="284" t="s">
        <v>74</v>
      </c>
      <c r="C51" s="275">
        <f>IFERROR(VLOOKUP(B51,'تقرير المصروفات حسب الشهر'!$C$10:$AI$123,33,FALSE),0)</f>
        <v>0</v>
      </c>
      <c r="D51" s="275">
        <f>IFERROR(VLOOKUP(B51,'تقرير المصروفات حسب الشهر'!$C$134:$AI$248,33,FALSE),0)</f>
        <v>0</v>
      </c>
      <c r="E51" s="275">
        <f>IFERROR(VLOOKUP(B51,'تقرير المصروفات حسب الشهر'!$C$261:$AI$374,33,FALSE),0)</f>
        <v>0</v>
      </c>
      <c r="F51" s="275">
        <f>IFERROR(VLOOKUP(B51,'تقرير المصروفات حسب الشهر'!$C$387:$AI$499,33,FALSE),0)</f>
        <v>0</v>
      </c>
      <c r="G51" s="275">
        <f>IFERROR(VLOOKUP(B51,'تقرير المصروفات حسب الشهر'!$C$512:$AI$624,33,FALSE),0)</f>
        <v>0</v>
      </c>
      <c r="H51" s="275">
        <f>IFERROR(VLOOKUP(B51,'تقرير المصروفات حسب الشهر'!$C$637:$AI$750,33,FALSE),0)</f>
        <v>0</v>
      </c>
      <c r="I51" s="275">
        <f>IFERROR(VLOOKUP(B51,'تقرير المصروفات حسب الشهر'!C809:AI924,33,0),0)</f>
        <v>0</v>
      </c>
      <c r="J51" s="275">
        <f>IFERROR(VLOOKUP(B51,'تقرير المصروفات حسب الشهر'!$C$890:$AI$1007,33,FALSE),0)</f>
        <v>0</v>
      </c>
      <c r="K51" s="275">
        <f>IFERROR(VLOOKUP(B51,'تقرير المصروفات حسب الشهر'!$C$1017:$AI$1131,33,FALSE),0)</f>
        <v>0</v>
      </c>
      <c r="L51" s="275">
        <f>IFERROR(VLOOKUP(B51,'تقرير المصروفات حسب الشهر'!$C$1143:$AI$1259,33,FALSE),0)</f>
        <v>0</v>
      </c>
      <c r="M51" s="275">
        <f>IFERROR(VLOOKUP(B51,'تقرير المصروفات حسب الشهر'!$C$1271:$AI$1385,33,FALSE),0)</f>
        <v>0</v>
      </c>
      <c r="N51" s="275">
        <f>IFERROR(VLOOKUP(B51,'تقرير المصروفات حسب الشهر'!$C$1397:$AI$1512,33,FALSE),0)</f>
        <v>0</v>
      </c>
      <c r="O51" s="281">
        <f t="shared" si="0"/>
        <v>0</v>
      </c>
    </row>
    <row r="52" spans="2:15">
      <c r="B52" s="284" t="s">
        <v>246</v>
      </c>
      <c r="C52" s="275">
        <f>IFERROR(VLOOKUP(B52,'تقرير المصروفات حسب الشهر'!$C$10:$AI$123,33,FALSE),0)</f>
        <v>1300</v>
      </c>
      <c r="D52" s="275">
        <f>IFERROR(VLOOKUP(B52,'تقرير المصروفات حسب الشهر'!$C$134:$AI$248,33,FALSE),0)</f>
        <v>9460</v>
      </c>
      <c r="E52" s="275">
        <f>IFERROR(VLOOKUP(B52,'تقرير المصروفات حسب الشهر'!$C$261:$AI$374,33,FALSE),0)</f>
        <v>23875</v>
      </c>
      <c r="F52" s="275">
        <f>IFERROR(VLOOKUP(B52,'تقرير المصروفات حسب الشهر'!$C$387:$AI$499,33,FALSE),0)</f>
        <v>2000</v>
      </c>
      <c r="G52" s="275">
        <f>IFERROR(VLOOKUP(B52,'تقرير المصروفات حسب الشهر'!$C$512:$AI$624,33,FALSE),0)</f>
        <v>2150</v>
      </c>
      <c r="H52" s="275">
        <f>IFERROR(VLOOKUP(B52,'تقرير المصروفات حسب الشهر'!$C$637:$AI$750,33,FALSE),0)</f>
        <v>1150</v>
      </c>
      <c r="I52" s="275">
        <f>IFERROR(VLOOKUP(B52,'تقرير المصروفات حسب الشهر'!C810:AI925,33,0),0)</f>
        <v>9015</v>
      </c>
      <c r="J52" s="275">
        <f>IFERROR(VLOOKUP(B52,'تقرير المصروفات حسب الشهر'!$C$890:$AI$1007,33,FALSE),0)</f>
        <v>45331</v>
      </c>
      <c r="K52" s="275">
        <f>IFERROR(VLOOKUP(B52,'تقرير المصروفات حسب الشهر'!$C$1017:$AI$1131,33,FALSE),0)</f>
        <v>1750</v>
      </c>
      <c r="L52" s="275">
        <f>IFERROR(VLOOKUP(B52,'تقرير المصروفات حسب الشهر'!$C$1143:$AI$1259,33,FALSE),0)</f>
        <v>1000</v>
      </c>
      <c r="M52" s="275">
        <f>IFERROR(VLOOKUP(B52,'تقرير المصروفات حسب الشهر'!$C$1271:$AI$1385,33,FALSE),0)</f>
        <v>6255</v>
      </c>
      <c r="N52" s="275">
        <f>IFERROR(VLOOKUP(B52,'تقرير المصروفات حسب الشهر'!$C$1397:$AI$1512,33,FALSE),0)</f>
        <v>2335</v>
      </c>
      <c r="O52" s="281">
        <f t="shared" si="0"/>
        <v>105621</v>
      </c>
    </row>
    <row r="53" spans="2:15">
      <c r="B53" s="284" t="s">
        <v>75</v>
      </c>
      <c r="C53" s="275">
        <f>IFERROR(VLOOKUP(B53,'تقرير المصروفات حسب الشهر'!$C$10:$AI$123,33,FALSE),0)</f>
        <v>8285</v>
      </c>
      <c r="D53" s="275">
        <f>IFERROR(VLOOKUP(B53,'تقرير المصروفات حسب الشهر'!$C$134:$AI$248,33,FALSE),0)</f>
        <v>0</v>
      </c>
      <c r="E53" s="275">
        <f>IFERROR(VLOOKUP(B53,'تقرير المصروفات حسب الشهر'!$C$261:$AI$374,33,FALSE),0)</f>
        <v>0</v>
      </c>
      <c r="F53" s="275">
        <f>IFERROR(VLOOKUP(B53,'تقرير المصروفات حسب الشهر'!$C$387:$AI$499,33,FALSE),0)</f>
        <v>785</v>
      </c>
      <c r="G53" s="275">
        <f>IFERROR(VLOOKUP(B53,'تقرير المصروفات حسب الشهر'!$C$512:$AI$624,33,FALSE),0)</f>
        <v>0</v>
      </c>
      <c r="H53" s="275">
        <f>IFERROR(VLOOKUP(B53,'تقرير المصروفات حسب الشهر'!$C$637:$AI$750,33,FALSE),0)</f>
        <v>0</v>
      </c>
      <c r="I53" s="275">
        <f>IFERROR(VLOOKUP(B53,'تقرير المصروفات حسب الشهر'!C811:AI926,33,0),0)</f>
        <v>0</v>
      </c>
      <c r="J53" s="275">
        <f>IFERROR(VLOOKUP(B53,'تقرير المصروفات حسب الشهر'!$C$890:$AI$1007,33,FALSE),0)</f>
        <v>0</v>
      </c>
      <c r="K53" s="275">
        <f>IFERROR(VLOOKUP(B53,'تقرير المصروفات حسب الشهر'!$C$1017:$AI$1131,33,FALSE),0)</f>
        <v>0</v>
      </c>
      <c r="L53" s="275">
        <f>IFERROR(VLOOKUP(B53,'تقرير المصروفات حسب الشهر'!$C$1143:$AI$1259,33,FALSE),0)</f>
        <v>0</v>
      </c>
      <c r="M53" s="275">
        <f>IFERROR(VLOOKUP(B53,'تقرير المصروفات حسب الشهر'!$C$1271:$AI$1385,33,FALSE),0)</f>
        <v>0</v>
      </c>
      <c r="N53" s="275">
        <f>IFERROR(VLOOKUP(B53,'تقرير المصروفات حسب الشهر'!$C$1397:$AI$1512,33,FALSE),0)</f>
        <v>0</v>
      </c>
      <c r="O53" s="281">
        <f t="shared" si="0"/>
        <v>9070</v>
      </c>
    </row>
    <row r="54" spans="2:15">
      <c r="B54" s="284" t="s">
        <v>76</v>
      </c>
      <c r="C54" s="275">
        <f>IFERROR(VLOOKUP(B54,'تقرير المصروفات حسب الشهر'!$C$10:$AI$123,33,FALSE),0)</f>
        <v>0</v>
      </c>
      <c r="D54" s="275">
        <f>IFERROR(VLOOKUP(B54,'تقرير المصروفات حسب الشهر'!$C$134:$AI$248,33,FALSE),0)</f>
        <v>0</v>
      </c>
      <c r="E54" s="275">
        <f>IFERROR(VLOOKUP(B54,'تقرير المصروفات حسب الشهر'!$C$261:$AI$374,33,FALSE),0)</f>
        <v>0</v>
      </c>
      <c r="F54" s="275">
        <f>IFERROR(VLOOKUP(B54,'تقرير المصروفات حسب الشهر'!$C$387:$AI$499,33,FALSE),0)</f>
        <v>0</v>
      </c>
      <c r="G54" s="275">
        <f>IFERROR(VLOOKUP(B54,'تقرير المصروفات حسب الشهر'!$C$512:$AI$624,33,FALSE),0)</f>
        <v>0</v>
      </c>
      <c r="H54" s="275">
        <f>IFERROR(VLOOKUP(B54,'تقرير المصروفات حسب الشهر'!$C$637:$AI$750,33,FALSE),0)</f>
        <v>0</v>
      </c>
      <c r="I54" s="275">
        <f>IFERROR(VLOOKUP(B54,'تقرير المصروفات حسب الشهر'!C812:AI927,33,0),0)</f>
        <v>0</v>
      </c>
      <c r="J54" s="275">
        <f>IFERROR(VLOOKUP(B54,'تقرير المصروفات حسب الشهر'!$C$890:$AI$1007,33,FALSE),0)</f>
        <v>0</v>
      </c>
      <c r="K54" s="275">
        <f>IFERROR(VLOOKUP(B54,'تقرير المصروفات حسب الشهر'!$C$1017:$AI$1131,33,FALSE),0)</f>
        <v>0</v>
      </c>
      <c r="L54" s="275">
        <f>IFERROR(VLOOKUP(B54,'تقرير المصروفات حسب الشهر'!$C$1143:$AI$1259,33,FALSE),0)</f>
        <v>0</v>
      </c>
      <c r="M54" s="275">
        <f>IFERROR(VLOOKUP(B54,'تقرير المصروفات حسب الشهر'!$C$1271:$AI$1385,33,FALSE),0)</f>
        <v>0</v>
      </c>
      <c r="N54" s="275">
        <f>IFERROR(VLOOKUP(B54,'تقرير المصروفات حسب الشهر'!$C$1397:$AI$1512,33,FALSE),0)</f>
        <v>0</v>
      </c>
      <c r="O54" s="281">
        <f t="shared" si="0"/>
        <v>0</v>
      </c>
    </row>
    <row r="55" spans="2:15">
      <c r="B55" s="284" t="s">
        <v>77</v>
      </c>
      <c r="C55" s="275">
        <f>IFERROR(VLOOKUP(B55,'تقرير المصروفات حسب الشهر'!$C$10:$AI$123,33,FALSE),0)</f>
        <v>0</v>
      </c>
      <c r="D55" s="275">
        <f>IFERROR(VLOOKUP(B55,'تقرير المصروفات حسب الشهر'!$C$134:$AI$248,33,FALSE),0)</f>
        <v>0</v>
      </c>
      <c r="E55" s="275">
        <f>IFERROR(VLOOKUP(B55,'تقرير المصروفات حسب الشهر'!$C$261:$AI$374,33,FALSE),0)</f>
        <v>0</v>
      </c>
      <c r="F55" s="275">
        <f>IFERROR(VLOOKUP(B55,'تقرير المصروفات حسب الشهر'!$C$387:$AI$499,33,FALSE),0)</f>
        <v>0</v>
      </c>
      <c r="G55" s="275">
        <f>IFERROR(VLOOKUP(B55,'تقرير المصروفات حسب الشهر'!$C$512:$AI$624,33,FALSE),0)</f>
        <v>0</v>
      </c>
      <c r="H55" s="275">
        <f>IFERROR(VLOOKUP(B55,'تقرير المصروفات حسب الشهر'!$C$637:$AI$750,33,FALSE),0)</f>
        <v>0</v>
      </c>
      <c r="I55" s="275">
        <f>IFERROR(VLOOKUP(B55,'تقرير المصروفات حسب الشهر'!C813:AI928,33,0),0)</f>
        <v>0</v>
      </c>
      <c r="J55" s="275">
        <f>IFERROR(VLOOKUP(B55,'تقرير المصروفات حسب الشهر'!$C$890:$AI$1007,33,FALSE),0)</f>
        <v>0</v>
      </c>
      <c r="K55" s="275">
        <f>IFERROR(VLOOKUP(B55,'تقرير المصروفات حسب الشهر'!$C$1017:$AI$1131,33,FALSE),0)</f>
        <v>0</v>
      </c>
      <c r="L55" s="275">
        <f>IFERROR(VLOOKUP(B55,'تقرير المصروفات حسب الشهر'!$C$1143:$AI$1259,33,FALSE),0)</f>
        <v>0</v>
      </c>
      <c r="M55" s="275">
        <f>IFERROR(VLOOKUP(B55,'تقرير المصروفات حسب الشهر'!$C$1271:$AI$1385,33,FALSE),0)</f>
        <v>0</v>
      </c>
      <c r="N55" s="275">
        <f>IFERROR(VLOOKUP(B55,'تقرير المصروفات حسب الشهر'!$C$1397:$AI$1512,33,FALSE),0)</f>
        <v>0</v>
      </c>
      <c r="O55" s="281">
        <f t="shared" si="0"/>
        <v>0</v>
      </c>
    </row>
    <row r="56" spans="2:15">
      <c r="B56" s="284" t="s">
        <v>78</v>
      </c>
      <c r="C56" s="275">
        <f>IFERROR(VLOOKUP(B56,'تقرير المصروفات حسب الشهر'!$C$10:$AI$123,33,FALSE),0)</f>
        <v>0</v>
      </c>
      <c r="D56" s="275">
        <f>IFERROR(VLOOKUP(B56,'تقرير المصروفات حسب الشهر'!$C$134:$AI$248,33,FALSE),0)</f>
        <v>0</v>
      </c>
      <c r="E56" s="275">
        <f>IFERROR(VLOOKUP(B56,'تقرير المصروفات حسب الشهر'!$C$261:$AI$374,33,FALSE),0)</f>
        <v>0</v>
      </c>
      <c r="F56" s="275">
        <f>IFERROR(VLOOKUP(B56,'تقرير المصروفات حسب الشهر'!$C$387:$AI$499,33,FALSE),0)</f>
        <v>0</v>
      </c>
      <c r="G56" s="275">
        <f>IFERROR(VLOOKUP(B56,'تقرير المصروفات حسب الشهر'!$C$512:$AI$624,33,FALSE),0)</f>
        <v>0</v>
      </c>
      <c r="H56" s="275">
        <f>IFERROR(VLOOKUP(B56,'تقرير المصروفات حسب الشهر'!$C$637:$AI$750,33,FALSE),0)</f>
        <v>0</v>
      </c>
      <c r="I56" s="275">
        <f>IFERROR(VLOOKUP(B56,'تقرير المصروفات حسب الشهر'!C814:AI929,33,0),0)</f>
        <v>0</v>
      </c>
      <c r="J56" s="275">
        <f>IFERROR(VLOOKUP(B56,'تقرير المصروفات حسب الشهر'!$C$890:$AI$1007,33,FALSE),0)</f>
        <v>0</v>
      </c>
      <c r="K56" s="275">
        <f>IFERROR(VLOOKUP(B56,'تقرير المصروفات حسب الشهر'!$C$1017:$AI$1131,33,FALSE),0)</f>
        <v>0</v>
      </c>
      <c r="L56" s="275">
        <f>IFERROR(VLOOKUP(B56,'تقرير المصروفات حسب الشهر'!$C$1143:$AI$1259,33,FALSE),0)</f>
        <v>0</v>
      </c>
      <c r="M56" s="275">
        <f>IFERROR(VLOOKUP(B56,'تقرير المصروفات حسب الشهر'!$C$1271:$AI$1385,33,FALSE),0)</f>
        <v>0</v>
      </c>
      <c r="N56" s="275">
        <f>IFERROR(VLOOKUP(B56,'تقرير المصروفات حسب الشهر'!$C$1397:$AI$1512,33,FALSE),0)</f>
        <v>0</v>
      </c>
      <c r="O56" s="281">
        <f t="shared" si="0"/>
        <v>0</v>
      </c>
    </row>
    <row r="57" spans="2:15">
      <c r="B57" s="284" t="s">
        <v>79</v>
      </c>
      <c r="C57" s="275">
        <f>IFERROR(VLOOKUP(B57,'تقرير المصروفات حسب الشهر'!$C$10:$AI$123,33,FALSE),0)</f>
        <v>0</v>
      </c>
      <c r="D57" s="275">
        <f>IFERROR(VLOOKUP(B57,'تقرير المصروفات حسب الشهر'!$C$134:$AI$248,33,FALSE),0)</f>
        <v>0</v>
      </c>
      <c r="E57" s="275">
        <f>IFERROR(VLOOKUP(B57,'تقرير المصروفات حسب الشهر'!$C$261:$AI$374,33,FALSE),0)</f>
        <v>0</v>
      </c>
      <c r="F57" s="275">
        <f>IFERROR(VLOOKUP(B57,'تقرير المصروفات حسب الشهر'!$C$387:$AI$499,33,FALSE),0)</f>
        <v>0</v>
      </c>
      <c r="G57" s="275">
        <f>IFERROR(VLOOKUP(B57,'تقرير المصروفات حسب الشهر'!$C$512:$AI$624,33,FALSE),0)</f>
        <v>0</v>
      </c>
      <c r="H57" s="275">
        <f>IFERROR(VLOOKUP(B57,'تقرير المصروفات حسب الشهر'!$C$637:$AI$750,33,FALSE),0)</f>
        <v>0</v>
      </c>
      <c r="I57" s="275">
        <f>IFERROR(VLOOKUP(B57,'تقرير المصروفات حسب الشهر'!C815:AI930,33,0),0)</f>
        <v>0</v>
      </c>
      <c r="J57" s="275">
        <f>IFERROR(VLOOKUP(B57,'تقرير المصروفات حسب الشهر'!$C$890:$AI$1007,33,FALSE),0)</f>
        <v>0</v>
      </c>
      <c r="K57" s="275">
        <f>IFERROR(VLOOKUP(B57,'تقرير المصروفات حسب الشهر'!$C$1017:$AI$1131,33,FALSE),0)</f>
        <v>0</v>
      </c>
      <c r="L57" s="275">
        <f>IFERROR(VLOOKUP(B57,'تقرير المصروفات حسب الشهر'!$C$1143:$AI$1259,33,FALSE),0)</f>
        <v>0</v>
      </c>
      <c r="M57" s="275">
        <f>IFERROR(VLOOKUP(B57,'تقرير المصروفات حسب الشهر'!$C$1271:$AI$1385,33,FALSE),0)</f>
        <v>0</v>
      </c>
      <c r="N57" s="275">
        <f>IFERROR(VLOOKUP(B57,'تقرير المصروفات حسب الشهر'!$C$1397:$AI$1512,33,FALSE),0)</f>
        <v>0</v>
      </c>
      <c r="O57" s="281">
        <f t="shared" si="0"/>
        <v>0</v>
      </c>
    </row>
    <row r="58" spans="2:15">
      <c r="B58" s="284" t="s">
        <v>80</v>
      </c>
      <c r="C58" s="275">
        <f>IFERROR(VLOOKUP(B58,'تقرير المصروفات حسب الشهر'!$C$10:$AI$123,33,FALSE),0)</f>
        <v>0</v>
      </c>
      <c r="D58" s="275">
        <f>IFERROR(VLOOKUP(B58,'تقرير المصروفات حسب الشهر'!$C$134:$AI$248,33,FALSE),0)</f>
        <v>0</v>
      </c>
      <c r="E58" s="275">
        <f>IFERROR(VLOOKUP(B58,'تقرير المصروفات حسب الشهر'!$C$261:$AI$374,33,FALSE),0)</f>
        <v>0</v>
      </c>
      <c r="F58" s="275">
        <f>IFERROR(VLOOKUP(B58,'تقرير المصروفات حسب الشهر'!$C$387:$AI$499,33,FALSE),0)</f>
        <v>0</v>
      </c>
      <c r="G58" s="275">
        <f>IFERROR(VLOOKUP(B58,'تقرير المصروفات حسب الشهر'!$C$512:$AI$624,33,FALSE),0)</f>
        <v>0</v>
      </c>
      <c r="H58" s="275">
        <f>IFERROR(VLOOKUP(B58,'تقرير المصروفات حسب الشهر'!$C$637:$AI$750,33,FALSE),0)</f>
        <v>0</v>
      </c>
      <c r="I58" s="275">
        <f>IFERROR(VLOOKUP(B58,'تقرير المصروفات حسب الشهر'!C816:AI931,33,0),0)</f>
        <v>0</v>
      </c>
      <c r="J58" s="275">
        <f>IFERROR(VLOOKUP(B58,'تقرير المصروفات حسب الشهر'!$C$890:$AI$1007,33,FALSE),0)</f>
        <v>0</v>
      </c>
      <c r="K58" s="275">
        <f>IFERROR(VLOOKUP(B58,'تقرير المصروفات حسب الشهر'!$C$1017:$AI$1131,33,FALSE),0)</f>
        <v>0</v>
      </c>
      <c r="L58" s="275">
        <f>IFERROR(VLOOKUP(B58,'تقرير المصروفات حسب الشهر'!$C$1143:$AI$1259,33,FALSE),0)</f>
        <v>0</v>
      </c>
      <c r="M58" s="275">
        <f>IFERROR(VLOOKUP(B58,'تقرير المصروفات حسب الشهر'!$C$1271:$AI$1385,33,FALSE),0)</f>
        <v>0</v>
      </c>
      <c r="N58" s="275">
        <f>IFERROR(VLOOKUP(B58,'تقرير المصروفات حسب الشهر'!$C$1397:$AI$1512,33,FALSE),0)</f>
        <v>0</v>
      </c>
      <c r="O58" s="281">
        <f t="shared" si="0"/>
        <v>0</v>
      </c>
    </row>
    <row r="59" spans="2:15">
      <c r="B59" s="284" t="s">
        <v>81</v>
      </c>
      <c r="C59" s="275">
        <f>IFERROR(VLOOKUP(B59,'تقرير المصروفات حسب الشهر'!$C$10:$AI$123,33,FALSE),0)</f>
        <v>0</v>
      </c>
      <c r="D59" s="275">
        <f>IFERROR(VLOOKUP(B59,'تقرير المصروفات حسب الشهر'!$C$134:$AI$248,33,FALSE),0)</f>
        <v>0</v>
      </c>
      <c r="E59" s="275">
        <f>IFERROR(VLOOKUP(B59,'تقرير المصروفات حسب الشهر'!$C$261:$AI$374,33,FALSE),0)</f>
        <v>0</v>
      </c>
      <c r="F59" s="275">
        <f>IFERROR(VLOOKUP(B59,'تقرير المصروفات حسب الشهر'!$C$387:$AI$499,33,FALSE),0)</f>
        <v>0</v>
      </c>
      <c r="G59" s="275">
        <f>IFERROR(VLOOKUP(B59,'تقرير المصروفات حسب الشهر'!$C$512:$AI$624,33,FALSE),0)</f>
        <v>0</v>
      </c>
      <c r="H59" s="275">
        <f>IFERROR(VLOOKUP(B59,'تقرير المصروفات حسب الشهر'!$C$637:$AI$750,33,FALSE),0)</f>
        <v>0</v>
      </c>
      <c r="I59" s="275">
        <f>IFERROR(VLOOKUP(B59,'تقرير المصروفات حسب الشهر'!C817:AI932,33,0),0)</f>
        <v>0</v>
      </c>
      <c r="J59" s="275">
        <f>IFERROR(VLOOKUP(B59,'تقرير المصروفات حسب الشهر'!$C$890:$AI$1007,33,FALSE),0)</f>
        <v>0</v>
      </c>
      <c r="K59" s="275">
        <f>IFERROR(VLOOKUP(B59,'تقرير المصروفات حسب الشهر'!$C$1017:$AI$1131,33,FALSE),0)</f>
        <v>0</v>
      </c>
      <c r="L59" s="275">
        <f>IFERROR(VLOOKUP(B59,'تقرير المصروفات حسب الشهر'!$C$1143:$AI$1259,33,FALSE),0)</f>
        <v>0</v>
      </c>
      <c r="M59" s="275">
        <f>IFERROR(VLOOKUP(B59,'تقرير المصروفات حسب الشهر'!$C$1271:$AI$1385,33,FALSE),0)</f>
        <v>0</v>
      </c>
      <c r="N59" s="275">
        <f>IFERROR(VLOOKUP(B59,'تقرير المصروفات حسب الشهر'!$C$1397:$AI$1512,33,FALSE),0)</f>
        <v>0</v>
      </c>
      <c r="O59" s="281">
        <f t="shared" si="0"/>
        <v>0</v>
      </c>
    </row>
    <row r="60" spans="2:15">
      <c r="B60" s="284" t="s">
        <v>82</v>
      </c>
      <c r="C60" s="275">
        <f>IFERROR(VLOOKUP(B60,'تقرير المصروفات حسب الشهر'!$C$10:$AI$123,33,FALSE),0)</f>
        <v>0</v>
      </c>
      <c r="D60" s="275">
        <f>IFERROR(VLOOKUP(B60,'تقرير المصروفات حسب الشهر'!$C$134:$AI$248,33,FALSE),0)</f>
        <v>0</v>
      </c>
      <c r="E60" s="275">
        <f>IFERROR(VLOOKUP(B60,'تقرير المصروفات حسب الشهر'!$C$261:$AI$374,33,FALSE),0)</f>
        <v>0</v>
      </c>
      <c r="F60" s="275">
        <f>IFERROR(VLOOKUP(B60,'تقرير المصروفات حسب الشهر'!$C$387:$AI$499,33,FALSE),0)</f>
        <v>0</v>
      </c>
      <c r="G60" s="275">
        <f>IFERROR(VLOOKUP(B60,'تقرير المصروفات حسب الشهر'!$C$512:$AI$624,33,FALSE),0)</f>
        <v>0</v>
      </c>
      <c r="H60" s="275">
        <f>IFERROR(VLOOKUP(B60,'تقرير المصروفات حسب الشهر'!$C$637:$AI$750,33,FALSE),0)</f>
        <v>0</v>
      </c>
      <c r="I60" s="275">
        <f>IFERROR(VLOOKUP(B60,'تقرير المصروفات حسب الشهر'!C818:AI933,33,0),0)</f>
        <v>0</v>
      </c>
      <c r="J60" s="275">
        <f>IFERROR(VLOOKUP(B60,'تقرير المصروفات حسب الشهر'!$C$890:$AI$1007,33,FALSE),0)</f>
        <v>0</v>
      </c>
      <c r="K60" s="275">
        <f>IFERROR(VLOOKUP(B60,'تقرير المصروفات حسب الشهر'!$C$1017:$AI$1131,33,FALSE),0)</f>
        <v>0</v>
      </c>
      <c r="L60" s="275">
        <f>IFERROR(VLOOKUP(B60,'تقرير المصروفات حسب الشهر'!$C$1143:$AI$1259,33,FALSE),0)</f>
        <v>0</v>
      </c>
      <c r="M60" s="275">
        <f>IFERROR(VLOOKUP(B60,'تقرير المصروفات حسب الشهر'!$C$1271:$AI$1385,33,FALSE),0)</f>
        <v>0</v>
      </c>
      <c r="N60" s="275">
        <f>IFERROR(VLOOKUP(B60,'تقرير المصروفات حسب الشهر'!$C$1397:$AI$1512,33,FALSE),0)</f>
        <v>0</v>
      </c>
      <c r="O60" s="281">
        <f t="shared" si="0"/>
        <v>0</v>
      </c>
    </row>
    <row r="61" spans="2:15">
      <c r="B61" s="284" t="s">
        <v>83</v>
      </c>
      <c r="C61" s="275">
        <f>IFERROR(VLOOKUP(B61,'تقرير المصروفات حسب الشهر'!$C$10:$AI$123,33,FALSE),0)</f>
        <v>0</v>
      </c>
      <c r="D61" s="275">
        <f>IFERROR(VLOOKUP(B61,'تقرير المصروفات حسب الشهر'!$C$134:$AI$248,33,FALSE),0)</f>
        <v>0</v>
      </c>
      <c r="E61" s="275">
        <f>IFERROR(VLOOKUP(B61,'تقرير المصروفات حسب الشهر'!$C$261:$AI$374,33,FALSE),0)</f>
        <v>0</v>
      </c>
      <c r="F61" s="275">
        <f>IFERROR(VLOOKUP(B61,'تقرير المصروفات حسب الشهر'!$C$387:$AI$499,33,FALSE),0)</f>
        <v>0</v>
      </c>
      <c r="G61" s="275">
        <f>IFERROR(VLOOKUP(B61,'تقرير المصروفات حسب الشهر'!$C$512:$AI$624,33,FALSE),0)</f>
        <v>0</v>
      </c>
      <c r="H61" s="275">
        <f>IFERROR(VLOOKUP(B61,'تقرير المصروفات حسب الشهر'!$C$637:$AI$750,33,FALSE),0)</f>
        <v>0</v>
      </c>
      <c r="I61" s="275">
        <f>IFERROR(VLOOKUP(B61,'تقرير المصروفات حسب الشهر'!C819:AI934,33,0),0)</f>
        <v>0</v>
      </c>
      <c r="J61" s="275">
        <f>IFERROR(VLOOKUP(B61,'تقرير المصروفات حسب الشهر'!$C$890:$AI$1007,33,FALSE),0)</f>
        <v>0</v>
      </c>
      <c r="K61" s="275">
        <f>IFERROR(VLOOKUP(B61,'تقرير المصروفات حسب الشهر'!$C$1017:$AI$1131,33,FALSE),0)</f>
        <v>0</v>
      </c>
      <c r="L61" s="275">
        <f>IFERROR(VLOOKUP(B61,'تقرير المصروفات حسب الشهر'!$C$1143:$AI$1259,33,FALSE),0)</f>
        <v>0</v>
      </c>
      <c r="M61" s="275">
        <f>IFERROR(VLOOKUP(B61,'تقرير المصروفات حسب الشهر'!$C$1271:$AI$1385,33,FALSE),0)</f>
        <v>0</v>
      </c>
      <c r="N61" s="275">
        <f>IFERROR(VLOOKUP(B61,'تقرير المصروفات حسب الشهر'!$C$1397:$AI$1512,33,FALSE),0)</f>
        <v>0</v>
      </c>
      <c r="O61" s="281">
        <f t="shared" si="0"/>
        <v>0</v>
      </c>
    </row>
    <row r="62" spans="2:15">
      <c r="B62" s="284" t="s">
        <v>84</v>
      </c>
      <c r="C62" s="275">
        <f>IFERROR(VLOOKUP(B62,'تقرير المصروفات حسب الشهر'!$C$10:$AI$123,33,FALSE),0)</f>
        <v>0</v>
      </c>
      <c r="D62" s="275">
        <f>IFERROR(VLOOKUP(B62,'تقرير المصروفات حسب الشهر'!$C$134:$AI$248,33,FALSE),0)</f>
        <v>0</v>
      </c>
      <c r="E62" s="275">
        <f>IFERROR(VLOOKUP(B62,'تقرير المصروفات حسب الشهر'!$C$261:$AI$374,33,FALSE),0)</f>
        <v>0</v>
      </c>
      <c r="F62" s="275">
        <f>IFERROR(VLOOKUP(B62,'تقرير المصروفات حسب الشهر'!$C$387:$AI$499,33,FALSE),0)</f>
        <v>0</v>
      </c>
      <c r="G62" s="275">
        <f>IFERROR(VLOOKUP(B62,'تقرير المصروفات حسب الشهر'!$C$512:$AI$624,33,FALSE),0)</f>
        <v>5500</v>
      </c>
      <c r="H62" s="275">
        <f>IFERROR(VLOOKUP(B62,'تقرير المصروفات حسب الشهر'!$C$637:$AI$750,33,FALSE),0)</f>
        <v>0</v>
      </c>
      <c r="I62" s="275">
        <f>IFERROR(VLOOKUP(B62,'تقرير المصروفات حسب الشهر'!C820:AI935,33,0),0)</f>
        <v>0</v>
      </c>
      <c r="J62" s="275">
        <f>IFERROR(VLOOKUP(B62,'تقرير المصروفات حسب الشهر'!$C$890:$AI$1007,33,FALSE),0)</f>
        <v>0</v>
      </c>
      <c r="K62" s="275">
        <f>IFERROR(VLOOKUP(B62,'تقرير المصروفات حسب الشهر'!$C$1017:$AI$1131,33,FALSE),0)</f>
        <v>0</v>
      </c>
      <c r="L62" s="275">
        <f>IFERROR(VLOOKUP(B62,'تقرير المصروفات حسب الشهر'!$C$1143:$AI$1259,33,FALSE),0)</f>
        <v>0</v>
      </c>
      <c r="M62" s="275">
        <f>IFERROR(VLOOKUP(B62,'تقرير المصروفات حسب الشهر'!$C$1271:$AI$1385,33,FALSE),0)</f>
        <v>0</v>
      </c>
      <c r="N62" s="275">
        <f>IFERROR(VLOOKUP(B62,'تقرير المصروفات حسب الشهر'!$C$1397:$AI$1512,33,FALSE),0)</f>
        <v>0</v>
      </c>
      <c r="O62" s="281">
        <f t="shared" si="0"/>
        <v>5500</v>
      </c>
    </row>
    <row r="63" spans="2:15">
      <c r="B63" s="284" t="s">
        <v>85</v>
      </c>
      <c r="C63" s="275">
        <f>IFERROR(VLOOKUP(B63,'تقرير المصروفات حسب الشهر'!$C$10:$AI$123,33,FALSE),0)</f>
        <v>34104</v>
      </c>
      <c r="D63" s="275">
        <f>IFERROR(VLOOKUP(B63,'تقرير المصروفات حسب الشهر'!$C$134:$AI$248,33,FALSE),0)</f>
        <v>21384</v>
      </c>
      <c r="E63" s="275">
        <f>IFERROR(VLOOKUP(B63,'تقرير المصروفات حسب الشهر'!$C$261:$AI$374,33,FALSE),0)</f>
        <v>43068</v>
      </c>
      <c r="F63" s="275">
        <f>IFERROR(VLOOKUP(B63,'تقرير المصروفات حسب الشهر'!$C$387:$AI$499,33,FALSE),0)</f>
        <v>26373</v>
      </c>
      <c r="G63" s="275">
        <f>IFERROR(VLOOKUP(B63,'تقرير المصروفات حسب الشهر'!$C$512:$AI$624,33,FALSE),0)</f>
        <v>40090</v>
      </c>
      <c r="H63" s="275">
        <f>IFERROR(VLOOKUP(B63,'تقرير المصروفات حسب الشهر'!$C$637:$AI$750,33,FALSE),0)</f>
        <v>51710</v>
      </c>
      <c r="I63" s="275">
        <f>IFERROR(VLOOKUP(B63,'تقرير المصروفات حسب الشهر'!C821:AI936,33,0),0)</f>
        <v>105312</v>
      </c>
      <c r="J63" s="275">
        <f>IFERROR(VLOOKUP(B63,'تقرير المصروفات حسب الشهر'!$C$890:$AI$1007,33,FALSE),0)</f>
        <v>15470</v>
      </c>
      <c r="K63" s="275">
        <f>IFERROR(VLOOKUP(B63,'تقرير المصروفات حسب الشهر'!$C$1017:$AI$1131,33,FALSE),0)</f>
        <v>28370</v>
      </c>
      <c r="L63" s="275">
        <f>IFERROR(VLOOKUP(B63,'تقرير المصروفات حسب الشهر'!$C$1143:$AI$1259,33,FALSE),0)</f>
        <v>46330.75</v>
      </c>
      <c r="M63" s="275">
        <f>IFERROR(VLOOKUP(B63,'تقرير المصروفات حسب الشهر'!$C$1271:$AI$1385,33,FALSE),0)</f>
        <v>62614</v>
      </c>
      <c r="N63" s="275">
        <f>IFERROR(VLOOKUP(B63,'تقرير المصروفات حسب الشهر'!$C$1397:$AI$1512,33,FALSE),0)</f>
        <v>57487</v>
      </c>
      <c r="O63" s="281">
        <f t="shared" si="0"/>
        <v>532312.75</v>
      </c>
    </row>
    <row r="64" spans="2:15">
      <c r="B64" s="284" t="s">
        <v>86</v>
      </c>
      <c r="C64" s="275">
        <f>IFERROR(VLOOKUP(B64,'تقرير المصروفات حسب الشهر'!$C$10:$AI$123,33,FALSE),0)</f>
        <v>0</v>
      </c>
      <c r="D64" s="275">
        <f>IFERROR(VLOOKUP(B64,'تقرير المصروفات حسب الشهر'!$C$134:$AI$248,33,FALSE),0)</f>
        <v>0</v>
      </c>
      <c r="E64" s="275">
        <f>IFERROR(VLOOKUP(B64,'تقرير المصروفات حسب الشهر'!$C$261:$AI$374,33,FALSE),0)</f>
        <v>0</v>
      </c>
      <c r="F64" s="275">
        <f>IFERROR(VLOOKUP(B64,'تقرير المصروفات حسب الشهر'!$C$387:$AI$499,33,FALSE),0)</f>
        <v>0</v>
      </c>
      <c r="G64" s="275">
        <f>IFERROR(VLOOKUP(B64,'تقرير المصروفات حسب الشهر'!$C$512:$AI$624,33,FALSE),0)</f>
        <v>0</v>
      </c>
      <c r="H64" s="275">
        <f>IFERROR(VLOOKUP(B64,'تقرير المصروفات حسب الشهر'!$C$637:$AI$750,33,FALSE),0)</f>
        <v>0</v>
      </c>
      <c r="I64" s="275">
        <f>IFERROR(VLOOKUP(B64,'تقرير المصروفات حسب الشهر'!C822:AI937,33,0),0)</f>
        <v>0</v>
      </c>
      <c r="J64" s="275">
        <f>IFERROR(VLOOKUP(B64,'تقرير المصروفات حسب الشهر'!$C$890:$AI$1007,33,FALSE),0)</f>
        <v>0</v>
      </c>
      <c r="K64" s="275">
        <f>IFERROR(VLOOKUP(B64,'تقرير المصروفات حسب الشهر'!$C$1017:$AI$1131,33,FALSE),0)</f>
        <v>0</v>
      </c>
      <c r="L64" s="275">
        <f>IFERROR(VLOOKUP(B64,'تقرير المصروفات حسب الشهر'!$C$1143:$AI$1259,33,FALSE),0)</f>
        <v>0</v>
      </c>
      <c r="M64" s="275">
        <f>IFERROR(VLOOKUP(B64,'تقرير المصروفات حسب الشهر'!$C$1271:$AI$1385,33,FALSE),0)</f>
        <v>0</v>
      </c>
      <c r="N64" s="275">
        <f>IFERROR(VLOOKUP(B64,'تقرير المصروفات حسب الشهر'!$C$1397:$AI$1512,33,FALSE),0)</f>
        <v>0</v>
      </c>
      <c r="O64" s="281">
        <f t="shared" si="0"/>
        <v>0</v>
      </c>
    </row>
    <row r="65" spans="2:15">
      <c r="B65" s="284" t="s">
        <v>87</v>
      </c>
      <c r="C65" s="275">
        <f>IFERROR(VLOOKUP(B65,'تقرير المصروفات حسب الشهر'!$C$10:$AI$123,33,FALSE),0)</f>
        <v>0</v>
      </c>
      <c r="D65" s="275">
        <f>IFERROR(VLOOKUP(B65,'تقرير المصروفات حسب الشهر'!$C$134:$AI$248,33,FALSE),0)</f>
        <v>0</v>
      </c>
      <c r="E65" s="275">
        <f>IFERROR(VLOOKUP(B65,'تقرير المصروفات حسب الشهر'!$C$261:$AI$374,33,FALSE),0)</f>
        <v>0</v>
      </c>
      <c r="F65" s="275">
        <f>IFERROR(VLOOKUP(B65,'تقرير المصروفات حسب الشهر'!$C$387:$AI$499,33,FALSE),0)</f>
        <v>0</v>
      </c>
      <c r="G65" s="275">
        <f>IFERROR(VLOOKUP(B65,'تقرير المصروفات حسب الشهر'!$C$512:$AI$624,33,FALSE),0)</f>
        <v>80</v>
      </c>
      <c r="H65" s="275">
        <f>IFERROR(VLOOKUP(B65,'تقرير المصروفات حسب الشهر'!$C$637:$AI$750,33,FALSE),0)</f>
        <v>7045</v>
      </c>
      <c r="I65" s="275">
        <f>IFERROR(VLOOKUP(B65,'تقرير المصروفات حسب الشهر'!C823:AI938,33,0),0)</f>
        <v>11027</v>
      </c>
      <c r="J65" s="275">
        <f>IFERROR(VLOOKUP(B65,'تقرير المصروفات حسب الشهر'!$C$890:$AI$1007,33,FALSE),0)</f>
        <v>0</v>
      </c>
      <c r="K65" s="275">
        <f>IFERROR(VLOOKUP(B65,'تقرير المصروفات حسب الشهر'!$C$1017:$AI$1131,33,FALSE),0)</f>
        <v>0</v>
      </c>
      <c r="L65" s="275">
        <f>IFERROR(VLOOKUP(B65,'تقرير المصروفات حسب الشهر'!$C$1143:$AI$1259,33,FALSE),0)</f>
        <v>1200</v>
      </c>
      <c r="M65" s="275">
        <f>IFERROR(VLOOKUP(B65,'تقرير المصروفات حسب الشهر'!$C$1271:$AI$1385,33,FALSE),0)</f>
        <v>1050</v>
      </c>
      <c r="N65" s="275">
        <f>IFERROR(VLOOKUP(B65,'تقرير المصروفات حسب الشهر'!$C$1397:$AI$1512,33,FALSE),0)</f>
        <v>8375</v>
      </c>
      <c r="O65" s="281">
        <f t="shared" si="0"/>
        <v>28777</v>
      </c>
    </row>
    <row r="66" spans="2:15">
      <c r="B66" s="284" t="s">
        <v>88</v>
      </c>
      <c r="C66" s="275">
        <f>IFERROR(VLOOKUP(B66,'تقرير المصروفات حسب الشهر'!$C$10:$AI$123,33,FALSE),0)</f>
        <v>0</v>
      </c>
      <c r="D66" s="275">
        <f>IFERROR(VLOOKUP(B66,'تقرير المصروفات حسب الشهر'!$C$134:$AI$248,33,FALSE),0)</f>
        <v>0</v>
      </c>
      <c r="E66" s="275">
        <f>IFERROR(VLOOKUP(B66,'تقرير المصروفات حسب الشهر'!$C$261:$AI$374,33,FALSE),0)</f>
        <v>0</v>
      </c>
      <c r="F66" s="275">
        <f>IFERROR(VLOOKUP(B66,'تقرير المصروفات حسب الشهر'!$C$387:$AI$499,33,FALSE),0)</f>
        <v>0</v>
      </c>
      <c r="G66" s="275">
        <f>IFERROR(VLOOKUP(B66,'تقرير المصروفات حسب الشهر'!$C$512:$AI$624,33,FALSE),0)</f>
        <v>0</v>
      </c>
      <c r="H66" s="275">
        <f>IFERROR(VLOOKUP(B66,'تقرير المصروفات حسب الشهر'!$C$637:$AI$750,33,FALSE),0)</f>
        <v>0</v>
      </c>
      <c r="I66" s="275">
        <f>IFERROR(VLOOKUP(B66,'تقرير المصروفات حسب الشهر'!C824:AI939,33,0),0)</f>
        <v>0</v>
      </c>
      <c r="J66" s="275">
        <f>IFERROR(VLOOKUP(B66,'تقرير المصروفات حسب الشهر'!$C$890:$AI$1007,33,FALSE),0)</f>
        <v>0</v>
      </c>
      <c r="K66" s="275">
        <f>IFERROR(VLOOKUP(B66,'تقرير المصروفات حسب الشهر'!$C$1017:$AI$1131,33,FALSE),0)</f>
        <v>0</v>
      </c>
      <c r="L66" s="275">
        <f>IFERROR(VLOOKUP(B66,'تقرير المصروفات حسب الشهر'!$C$1143:$AI$1259,33,FALSE),0)</f>
        <v>0</v>
      </c>
      <c r="M66" s="275">
        <f>IFERROR(VLOOKUP(B66,'تقرير المصروفات حسب الشهر'!$C$1271:$AI$1385,33,FALSE),0)</f>
        <v>0</v>
      </c>
      <c r="N66" s="275">
        <f>IFERROR(VLOOKUP(B66,'تقرير المصروفات حسب الشهر'!$C$1397:$AI$1512,33,FALSE),0)</f>
        <v>0</v>
      </c>
      <c r="O66" s="281">
        <f t="shared" si="0"/>
        <v>0</v>
      </c>
    </row>
    <row r="67" spans="2:15">
      <c r="B67" s="284" t="s">
        <v>89</v>
      </c>
      <c r="C67" s="275">
        <f>IFERROR(VLOOKUP(B67,'تقرير المصروفات حسب الشهر'!$C$10:$AI$123,33,FALSE),0)</f>
        <v>65883</v>
      </c>
      <c r="D67" s="275">
        <f>IFERROR(VLOOKUP(B67,'تقرير المصروفات حسب الشهر'!$C$134:$AI$248,33,FALSE),0)</f>
        <v>68713</v>
      </c>
      <c r="E67" s="275">
        <f>IFERROR(VLOOKUP(B67,'تقرير المصروفات حسب الشهر'!$C$261:$AI$374,33,FALSE),0)</f>
        <v>68268</v>
      </c>
      <c r="F67" s="275">
        <f>IFERROR(VLOOKUP(B67,'تقرير المصروفات حسب الشهر'!$C$387:$AI$499,33,FALSE),0)</f>
        <v>65608</v>
      </c>
      <c r="G67" s="275">
        <f>IFERROR(VLOOKUP(B67,'تقرير المصروفات حسب الشهر'!$C$512:$AI$624,33,FALSE),0)</f>
        <v>170</v>
      </c>
      <c r="H67" s="275">
        <f>IFERROR(VLOOKUP(B67,'تقرير المصروفات حسب الشهر'!$C$637:$AI$750,33,FALSE),0)</f>
        <v>154820</v>
      </c>
      <c r="I67" s="275">
        <f>IFERROR(VLOOKUP(B67,'تقرير المصروفات حسب الشهر'!C825:AI940,33,0),0)</f>
        <v>155565</v>
      </c>
      <c r="J67" s="275">
        <f>IFERROR(VLOOKUP(B67,'تقرير المصروفات حسب الشهر'!$C$890:$AI$1007,33,FALSE),0)</f>
        <v>154970</v>
      </c>
      <c r="K67" s="275">
        <f>IFERROR(VLOOKUP(B67,'تقرير المصروفات حسب الشهر'!$C$1017:$AI$1131,33,FALSE),0)</f>
        <v>85921</v>
      </c>
      <c r="L67" s="275">
        <f>IFERROR(VLOOKUP(B67,'تقرير المصروفات حسب الشهر'!$C$1143:$AI$1259,33,FALSE),0)</f>
        <v>100</v>
      </c>
      <c r="M67" s="275">
        <f>IFERROR(VLOOKUP(B67,'تقرير المصروفات حسب الشهر'!$C$1271:$AI$1385,33,FALSE),0)</f>
        <v>0</v>
      </c>
      <c r="N67" s="275">
        <f>IFERROR(VLOOKUP(B67,'تقرير المصروفات حسب الشهر'!$C$1397:$AI$1512,33,FALSE),0)</f>
        <v>3005</v>
      </c>
      <c r="O67" s="281">
        <f t="shared" si="0"/>
        <v>823023</v>
      </c>
    </row>
    <row r="68" spans="2:15">
      <c r="B68" s="284" t="s">
        <v>33</v>
      </c>
      <c r="C68" s="275">
        <f>IFERROR(VLOOKUP(B68,'تقرير المصروفات حسب الشهر'!$C$10:$AI$123,33,FALSE),0)</f>
        <v>15982.519999999999</v>
      </c>
      <c r="D68" s="275">
        <f>IFERROR(VLOOKUP(B68,'تقرير المصروفات حسب الشهر'!$C$134:$AI$248,33,FALSE),0)</f>
        <v>70675.97000000003</v>
      </c>
      <c r="E68" s="275">
        <f>IFERROR(VLOOKUP(B68,'تقرير المصروفات حسب الشهر'!$C$261:$AI$374,33,FALSE),0)</f>
        <v>10252</v>
      </c>
      <c r="F68" s="275">
        <f>IFERROR(VLOOKUP(B68,'تقرير المصروفات حسب الشهر'!$C$387:$AI$499,33,FALSE),0)</f>
        <v>24452.2</v>
      </c>
      <c r="G68" s="275">
        <f>IFERROR(VLOOKUP(B68,'تقرير المصروفات حسب الشهر'!$C$512:$AI$624,33,FALSE),0)</f>
        <v>26697.25</v>
      </c>
      <c r="H68" s="275">
        <f>IFERROR(VLOOKUP(B68,'تقرير المصروفات حسب الشهر'!$C$637:$AI$750,33,FALSE),0)</f>
        <v>42295.009999999995</v>
      </c>
      <c r="I68" s="275">
        <f>IFERROR(VLOOKUP(B68,'تقرير المصروفات حسب الشهر'!C826:AI941,33,0),0)</f>
        <v>28391</v>
      </c>
      <c r="J68" s="275">
        <f>IFERROR(VLOOKUP(B68,'تقرير المصروفات حسب الشهر'!$C$890:$AI$1007,33,FALSE),0)</f>
        <v>37613.800000000003</v>
      </c>
      <c r="K68" s="275">
        <f>IFERROR(VLOOKUP(B68,'تقرير المصروفات حسب الشهر'!$C$1017:$AI$1131,33,FALSE),0)</f>
        <v>14661</v>
      </c>
      <c r="L68" s="275">
        <f>IFERROR(VLOOKUP(B68,'تقرير المصروفات حسب الشهر'!$C$1143:$AI$1259,33,FALSE),0)</f>
        <v>27315.199999999986</v>
      </c>
      <c r="M68" s="275">
        <f>IFERROR(VLOOKUP(B68,'تقرير المصروفات حسب الشهر'!$C$1271:$AI$1385,33,FALSE),0)</f>
        <v>49228.499999999993</v>
      </c>
      <c r="N68" s="275">
        <f>IFERROR(VLOOKUP(B68,'تقرير المصروفات حسب الشهر'!$C$1397:$AI$1512,33,FALSE),0)</f>
        <v>15763.5</v>
      </c>
      <c r="O68" s="281">
        <f t="shared" ref="O68:O102" si="1">SUM(C68:N68)</f>
        <v>363327.95</v>
      </c>
    </row>
    <row r="69" spans="2:15">
      <c r="B69" s="284" t="s">
        <v>90</v>
      </c>
      <c r="C69" s="275">
        <f>IFERROR(VLOOKUP(B69,'تقرير المصروفات حسب الشهر'!$C$10:$AI$123,33,FALSE),0)</f>
        <v>0</v>
      </c>
      <c r="D69" s="275">
        <f>IFERROR(VLOOKUP(B69,'تقرير المصروفات حسب الشهر'!$C$134:$AI$248,33,FALSE),0)</f>
        <v>0</v>
      </c>
      <c r="E69" s="275">
        <f>IFERROR(VLOOKUP(B69,'تقرير المصروفات حسب الشهر'!$C$261:$AI$374,33,FALSE),0)</f>
        <v>0</v>
      </c>
      <c r="F69" s="275">
        <f>IFERROR(VLOOKUP(B69,'تقرير المصروفات حسب الشهر'!$C$387:$AI$499,33,FALSE),0)</f>
        <v>0</v>
      </c>
      <c r="G69" s="275">
        <f>IFERROR(VLOOKUP(B69,'تقرير المصروفات حسب الشهر'!$C$512:$AI$624,33,FALSE),0)</f>
        <v>0</v>
      </c>
      <c r="H69" s="275">
        <f>IFERROR(VLOOKUP(B69,'تقرير المصروفات حسب الشهر'!$C$637:$AI$750,33,FALSE),0)</f>
        <v>0</v>
      </c>
      <c r="I69" s="275">
        <f>IFERROR(VLOOKUP(B69,'تقرير المصروفات حسب الشهر'!C827:AI942,33,0),0)</f>
        <v>0</v>
      </c>
      <c r="J69" s="275">
        <f>IFERROR(VLOOKUP(B69,'تقرير المصروفات حسب الشهر'!$C$890:$AI$1007,33,FALSE),0)</f>
        <v>0</v>
      </c>
      <c r="K69" s="275">
        <f>IFERROR(VLOOKUP(B69,'تقرير المصروفات حسب الشهر'!$C$1017:$AI$1131,33,FALSE),0)</f>
        <v>0</v>
      </c>
      <c r="L69" s="275">
        <f>IFERROR(VLOOKUP(B69,'تقرير المصروفات حسب الشهر'!$C$1143:$AI$1259,33,FALSE),0)</f>
        <v>0</v>
      </c>
      <c r="M69" s="275">
        <f>IFERROR(VLOOKUP(B69,'تقرير المصروفات حسب الشهر'!$C$1271:$AI$1385,33,FALSE),0)</f>
        <v>0</v>
      </c>
      <c r="N69" s="275">
        <f>IFERROR(VLOOKUP(B69,'تقرير المصروفات حسب الشهر'!$C$1397:$AI$1512,33,FALSE),0)</f>
        <v>168858</v>
      </c>
      <c r="O69" s="281">
        <f t="shared" si="1"/>
        <v>168858</v>
      </c>
    </row>
    <row r="70" spans="2:15">
      <c r="B70" s="284" t="s">
        <v>91</v>
      </c>
      <c r="C70" s="275">
        <f>IFERROR(VLOOKUP(B70,'تقرير المصروفات حسب الشهر'!$C$10:$AI$123,33,FALSE),0)</f>
        <v>650</v>
      </c>
      <c r="D70" s="275">
        <f>IFERROR(VLOOKUP(B70,'تقرير المصروفات حسب الشهر'!$C$134:$AI$248,33,FALSE),0)</f>
        <v>9850</v>
      </c>
      <c r="E70" s="275">
        <f>IFERROR(VLOOKUP(B70,'تقرير المصروفات حسب الشهر'!$C$261:$AI$374,33,FALSE),0)</f>
        <v>12050</v>
      </c>
      <c r="F70" s="275">
        <f>IFERROR(VLOOKUP(B70,'تقرير المصروفات حسب الشهر'!$C$387:$AI$499,33,FALSE),0)</f>
        <v>770</v>
      </c>
      <c r="G70" s="275">
        <f>IFERROR(VLOOKUP(B70,'تقرير المصروفات حسب الشهر'!$C$512:$AI$624,33,FALSE),0)</f>
        <v>9000</v>
      </c>
      <c r="H70" s="275">
        <f>IFERROR(VLOOKUP(B70,'تقرير المصروفات حسب الشهر'!$C$637:$AI$750,33,FALSE),0)</f>
        <v>14970</v>
      </c>
      <c r="I70" s="275">
        <f>IFERROR(VLOOKUP(B70,'تقرير المصروفات حسب الشهر'!C828:AI943,33,0),0)</f>
        <v>0</v>
      </c>
      <c r="J70" s="275">
        <f>IFERROR(VLOOKUP(B70,'تقرير المصروفات حسب الشهر'!$C$890:$AI$1007,33,FALSE),0)</f>
        <v>550</v>
      </c>
      <c r="K70" s="275">
        <f>IFERROR(VLOOKUP(B70,'تقرير المصروفات حسب الشهر'!$C$1017:$AI$1131,33,FALSE),0)</f>
        <v>184472.5</v>
      </c>
      <c r="L70" s="275">
        <f>IFERROR(VLOOKUP(B70,'تقرير المصروفات حسب الشهر'!$C$1143:$AI$1259,33,FALSE),0)</f>
        <v>0</v>
      </c>
      <c r="M70" s="275">
        <f>IFERROR(VLOOKUP(B70,'تقرير المصروفات حسب الشهر'!$C$1271:$AI$1385,33,FALSE),0)</f>
        <v>0</v>
      </c>
      <c r="N70" s="275">
        <f>IFERROR(VLOOKUP(B70,'تقرير المصروفات حسب الشهر'!$C$1397:$AI$1512,33,FALSE),0)</f>
        <v>0</v>
      </c>
      <c r="O70" s="281">
        <f t="shared" si="1"/>
        <v>232312.5</v>
      </c>
    </row>
    <row r="71" spans="2:15">
      <c r="B71" s="284" t="s">
        <v>92</v>
      </c>
      <c r="C71" s="275">
        <f>IFERROR(VLOOKUP(B71,'تقرير المصروفات حسب الشهر'!$C$10:$AI$123,33,FALSE),0)</f>
        <v>0</v>
      </c>
      <c r="D71" s="275">
        <f>IFERROR(VLOOKUP(B71,'تقرير المصروفات حسب الشهر'!$C$134:$AI$248,33,FALSE),0)</f>
        <v>0</v>
      </c>
      <c r="E71" s="275">
        <f>IFERROR(VLOOKUP(B71,'تقرير المصروفات حسب الشهر'!$C$261:$AI$374,33,FALSE),0)</f>
        <v>0</v>
      </c>
      <c r="F71" s="275">
        <f>IFERROR(VLOOKUP(B71,'تقرير المصروفات حسب الشهر'!$C$387:$AI$499,33,FALSE),0)</f>
        <v>0</v>
      </c>
      <c r="G71" s="275">
        <f>IFERROR(VLOOKUP(B71,'تقرير المصروفات حسب الشهر'!$C$512:$AI$624,33,FALSE),0)</f>
        <v>0</v>
      </c>
      <c r="H71" s="275">
        <f>IFERROR(VLOOKUP(B71,'تقرير المصروفات حسب الشهر'!$C$637:$AI$750,33,FALSE),0)</f>
        <v>0</v>
      </c>
      <c r="I71" s="275">
        <f>IFERROR(VLOOKUP(B71,'تقرير المصروفات حسب الشهر'!C829:AI944,33,0),0)</f>
        <v>0</v>
      </c>
      <c r="J71" s="275">
        <f>IFERROR(VLOOKUP(B71,'تقرير المصروفات حسب الشهر'!$C$890:$AI$1007,33,FALSE),0)</f>
        <v>0</v>
      </c>
      <c r="K71" s="275">
        <f>IFERROR(VLOOKUP(B71,'تقرير المصروفات حسب الشهر'!$C$1017:$AI$1131,33,FALSE),0)</f>
        <v>0</v>
      </c>
      <c r="L71" s="275">
        <f>IFERROR(VLOOKUP(B71,'تقرير المصروفات حسب الشهر'!$C$1143:$AI$1259,33,FALSE),0)</f>
        <v>0</v>
      </c>
      <c r="M71" s="275">
        <f>IFERROR(VLOOKUP(B71,'تقرير المصروفات حسب الشهر'!$C$1271:$AI$1385,33,FALSE),0)</f>
        <v>0</v>
      </c>
      <c r="N71" s="275">
        <f>IFERROR(VLOOKUP(B71,'تقرير المصروفات حسب الشهر'!$C$1397:$AI$1512,33,FALSE),0)</f>
        <v>0</v>
      </c>
      <c r="O71" s="281">
        <f t="shared" si="1"/>
        <v>0</v>
      </c>
    </row>
    <row r="72" spans="2:15">
      <c r="B72" s="284" t="s">
        <v>93</v>
      </c>
      <c r="C72" s="275">
        <f>IFERROR(VLOOKUP(B72,'تقرير المصروفات حسب الشهر'!$C$10:$AI$123,33,FALSE),0)</f>
        <v>0</v>
      </c>
      <c r="D72" s="275">
        <f>IFERROR(VLOOKUP(B72,'تقرير المصروفات حسب الشهر'!$C$134:$AI$248,33,FALSE),0)</f>
        <v>0</v>
      </c>
      <c r="E72" s="275">
        <f>IFERROR(VLOOKUP(B72,'تقرير المصروفات حسب الشهر'!$C$261:$AI$374,33,FALSE),0)</f>
        <v>3700</v>
      </c>
      <c r="F72" s="275">
        <f>IFERROR(VLOOKUP(B72,'تقرير المصروفات حسب الشهر'!$C$387:$AI$499,33,FALSE),0)</f>
        <v>0</v>
      </c>
      <c r="G72" s="275">
        <f>IFERROR(VLOOKUP(B72,'تقرير المصروفات حسب الشهر'!$C$512:$AI$624,33,FALSE),0)</f>
        <v>3700</v>
      </c>
      <c r="H72" s="275">
        <f>IFERROR(VLOOKUP(B72,'تقرير المصروفات حسب الشهر'!$C$637:$AI$750,33,FALSE),0)</f>
        <v>0</v>
      </c>
      <c r="I72" s="275">
        <f>IFERROR(VLOOKUP(B72,'تقرير المصروفات حسب الشهر'!C830:AI945,33,0),0)</f>
        <v>0</v>
      </c>
      <c r="J72" s="275">
        <f>IFERROR(VLOOKUP(B72,'تقرير المصروفات حسب الشهر'!$C$890:$AI$1007,33,FALSE),0)</f>
        <v>0</v>
      </c>
      <c r="K72" s="275">
        <f>IFERROR(VLOOKUP(B72,'تقرير المصروفات حسب الشهر'!$C$1017:$AI$1131,33,FALSE),0)</f>
        <v>0</v>
      </c>
      <c r="L72" s="275">
        <f>IFERROR(VLOOKUP(B72,'تقرير المصروفات حسب الشهر'!$C$1143:$AI$1259,33,FALSE),0)</f>
        <v>0</v>
      </c>
      <c r="M72" s="275">
        <f>IFERROR(VLOOKUP(B72,'تقرير المصروفات حسب الشهر'!$C$1271:$AI$1385,33,FALSE),0)</f>
        <v>0</v>
      </c>
      <c r="N72" s="275">
        <f>IFERROR(VLOOKUP(B72,'تقرير المصروفات حسب الشهر'!$C$1397:$AI$1512,33,FALSE),0)</f>
        <v>0</v>
      </c>
      <c r="O72" s="281">
        <f t="shared" si="1"/>
        <v>7400</v>
      </c>
    </row>
    <row r="73" spans="2:15">
      <c r="B73" s="284" t="s">
        <v>94</v>
      </c>
      <c r="C73" s="275">
        <f>IFERROR(VLOOKUP(B73,'تقرير المصروفات حسب الشهر'!$C$10:$AI$123,33,FALSE),0)</f>
        <v>450600</v>
      </c>
      <c r="D73" s="275">
        <f>IFERROR(VLOOKUP(B73,'تقرير المصروفات حسب الشهر'!$C$134:$AI$248,33,FALSE),0)</f>
        <v>130275</v>
      </c>
      <c r="E73" s="275">
        <f>IFERROR(VLOOKUP(B73,'تقرير المصروفات حسب الشهر'!$C$261:$AI$374,33,FALSE),0)</f>
        <v>132400</v>
      </c>
      <c r="F73" s="275">
        <f>IFERROR(VLOOKUP(B73,'تقرير المصروفات حسب الشهر'!$C$387:$AI$499,33,FALSE),0)</f>
        <v>135607</v>
      </c>
      <c r="G73" s="275">
        <f>IFERROR(VLOOKUP(B73,'تقرير المصروفات حسب الشهر'!$C$512:$AI$624,33,FALSE),0)</f>
        <v>139670</v>
      </c>
      <c r="H73" s="275">
        <f>IFERROR(VLOOKUP(B73,'تقرير المصروفات حسب الشهر'!$C$637:$AI$750,33,FALSE),0)</f>
        <v>145625</v>
      </c>
      <c r="I73" s="275">
        <f>IFERROR(VLOOKUP(B73,'تقرير المصروفات حسب الشهر'!C831:AI946,33,0),0)</f>
        <v>202401</v>
      </c>
      <c r="J73" s="275">
        <f>IFERROR(VLOOKUP(B73,'تقرير المصروفات حسب الشهر'!$C$890:$AI$1007,33,FALSE),0)</f>
        <v>195425</v>
      </c>
      <c r="K73" s="275">
        <f>IFERROR(VLOOKUP(B73,'تقرير المصروفات حسب الشهر'!$C$1017:$AI$1131,33,FALSE),0)</f>
        <v>201595</v>
      </c>
      <c r="L73" s="275">
        <f>IFERROR(VLOOKUP(B73,'تقرير المصروفات حسب الشهر'!$C$1143:$AI$1259,33,FALSE),0)</f>
        <v>210183</v>
      </c>
      <c r="M73" s="275">
        <f>IFERROR(VLOOKUP(B73,'تقرير المصروفات حسب الشهر'!$C$1271:$AI$1385,33,FALSE),0)</f>
        <v>267524</v>
      </c>
      <c r="N73" s="275">
        <f>IFERROR(VLOOKUP(B73,'تقرير المصروفات حسب الشهر'!$C$1397:$AI$1512,33,FALSE),0)</f>
        <v>265150</v>
      </c>
      <c r="O73" s="281">
        <f t="shared" si="1"/>
        <v>2476455</v>
      </c>
    </row>
    <row r="74" spans="2:15">
      <c r="B74" s="284" t="s">
        <v>95</v>
      </c>
      <c r="C74" s="275">
        <f>IFERROR(VLOOKUP(B74,'تقرير المصروفات حسب الشهر'!$C$10:$AI$123,33,FALSE),0)</f>
        <v>36759.49</v>
      </c>
      <c r="D74" s="275">
        <f>IFERROR(VLOOKUP(B74,'تقرير المصروفات حسب الشهر'!$C$134:$AI$248,33,FALSE),0)</f>
        <v>4791</v>
      </c>
      <c r="E74" s="275">
        <f>IFERROR(VLOOKUP(B74,'تقرير المصروفات حسب الشهر'!$C$261:$AI$374,33,FALSE),0)</f>
        <v>17120</v>
      </c>
      <c r="F74" s="275">
        <f>IFERROR(VLOOKUP(B74,'تقرير المصروفات حسب الشهر'!$C$387:$AI$499,33,FALSE),0)</f>
        <v>10910</v>
      </c>
      <c r="G74" s="275">
        <f>IFERROR(VLOOKUP(B74,'تقرير المصروفات حسب الشهر'!$C$512:$AI$624,33,FALSE),0)</f>
        <v>0</v>
      </c>
      <c r="H74" s="275">
        <f>IFERROR(VLOOKUP(B74,'تقرير المصروفات حسب الشهر'!$C$637:$AI$750,33,FALSE),0)</f>
        <v>4790</v>
      </c>
      <c r="I74" s="275">
        <f>IFERROR(VLOOKUP(B74,'تقرير المصروفات حسب الشهر'!C832:AI947,33,0),0)</f>
        <v>12943.5</v>
      </c>
      <c r="J74" s="275">
        <f>IFERROR(VLOOKUP(B74,'تقرير المصروفات حسب الشهر'!$C$890:$AI$1007,33,FALSE),0)</f>
        <v>8560</v>
      </c>
      <c r="K74" s="275">
        <f>IFERROR(VLOOKUP(B74,'تقرير المصروفات حسب الشهر'!$C$1017:$AI$1131,33,FALSE),0)</f>
        <v>2650</v>
      </c>
      <c r="L74" s="275">
        <f>IFERROR(VLOOKUP(B74,'تقرير المصروفات حسب الشهر'!$C$1143:$AI$1259,33,FALSE),0)</f>
        <v>1650</v>
      </c>
      <c r="M74" s="275">
        <f>IFERROR(VLOOKUP(B74,'تقرير المصروفات حسب الشهر'!$C$1271:$AI$1385,33,FALSE),0)</f>
        <v>970</v>
      </c>
      <c r="N74" s="275">
        <f>IFERROR(VLOOKUP(B74,'تقرير المصروفات حسب الشهر'!$C$1397:$AI$1512,33,FALSE),0)</f>
        <v>54285</v>
      </c>
      <c r="O74" s="281">
        <f t="shared" si="1"/>
        <v>155428.99</v>
      </c>
    </row>
    <row r="75" spans="2:15">
      <c r="B75" s="284" t="s">
        <v>96</v>
      </c>
      <c r="C75" s="275">
        <f>IFERROR(VLOOKUP(B75,'تقرير المصروفات حسب الشهر'!$C$10:$AI$123,33,FALSE),0)</f>
        <v>0</v>
      </c>
      <c r="D75" s="275">
        <f>IFERROR(VLOOKUP(B75,'تقرير المصروفات حسب الشهر'!$C$134:$AI$248,33,FALSE),0)</f>
        <v>15933</v>
      </c>
      <c r="E75" s="275">
        <f>IFERROR(VLOOKUP(B75,'تقرير المصروفات حسب الشهر'!$C$261:$AI$374,33,FALSE),0)</f>
        <v>0</v>
      </c>
      <c r="F75" s="275">
        <f>IFERROR(VLOOKUP(B75,'تقرير المصروفات حسب الشهر'!$C$387:$AI$499,33,FALSE),0)</f>
        <v>15537.5</v>
      </c>
      <c r="G75" s="275">
        <f>IFERROR(VLOOKUP(B75,'تقرير المصروفات حسب الشهر'!$C$512:$AI$624,33,FALSE),0)</f>
        <v>9325</v>
      </c>
      <c r="H75" s="275">
        <f>IFERROR(VLOOKUP(B75,'تقرير المصروفات حسب الشهر'!$C$637:$AI$750,33,FALSE),0)</f>
        <v>0</v>
      </c>
      <c r="I75" s="275">
        <f>IFERROR(VLOOKUP(B75,'تقرير المصروفات حسب الشهر'!C833:AI948,33,0),0)</f>
        <v>19392</v>
      </c>
      <c r="J75" s="275">
        <f>IFERROR(VLOOKUP(B75,'تقرير المصروفات حسب الشهر'!$C$890:$AI$1007,33,FALSE),0)</f>
        <v>9322.6</v>
      </c>
      <c r="K75" s="275">
        <f>IFERROR(VLOOKUP(B75,'تقرير المصروفات حسب الشهر'!$C$1017:$AI$1131,33,FALSE),0)</f>
        <v>0</v>
      </c>
      <c r="L75" s="275">
        <f>IFERROR(VLOOKUP(B75,'تقرير المصروفات حسب الشهر'!$C$1143:$AI$1259,33,FALSE),0)</f>
        <v>0</v>
      </c>
      <c r="M75" s="275">
        <f>IFERROR(VLOOKUP(B75,'تقرير المصروفات حسب الشهر'!$C$1271:$AI$1385,33,FALSE),0)</f>
        <v>0</v>
      </c>
      <c r="N75" s="275">
        <f>IFERROR(VLOOKUP(B75,'تقرير المصروفات حسب الشهر'!$C$1397:$AI$1512,33,FALSE),0)</f>
        <v>0</v>
      </c>
      <c r="O75" s="281">
        <f t="shared" si="1"/>
        <v>69510.100000000006</v>
      </c>
    </row>
    <row r="76" spans="2:15">
      <c r="B76" s="284" t="s">
        <v>97</v>
      </c>
      <c r="C76" s="275">
        <f>IFERROR(VLOOKUP(B76,'تقرير المصروفات حسب الشهر'!$C$10:$AI$123,33,FALSE),0)</f>
        <v>16679.319999999992</v>
      </c>
      <c r="D76" s="275">
        <f>IFERROR(VLOOKUP(B76,'تقرير المصروفات حسب الشهر'!$C$134:$AI$248,33,FALSE),0)</f>
        <v>8783.0300000000007</v>
      </c>
      <c r="E76" s="275">
        <f>IFERROR(VLOOKUP(B76,'تقرير المصروفات حسب الشهر'!$C$261:$AI$374,33,FALSE),0)</f>
        <v>8686.5500000000011</v>
      </c>
      <c r="F76" s="275">
        <f>IFERROR(VLOOKUP(B76,'تقرير المصروفات حسب الشهر'!$C$387:$AI$499,33,FALSE),0)</f>
        <v>13380.549999999997</v>
      </c>
      <c r="G76" s="275">
        <f>IFERROR(VLOOKUP(B76,'تقرير المصروفات حسب الشهر'!$C$512:$AI$624,33,FALSE),0)</f>
        <v>7505.3300000000008</v>
      </c>
      <c r="H76" s="275">
        <f>IFERROR(VLOOKUP(B76,'تقرير المصروفات حسب الشهر'!$C$637:$AI$750,33,FALSE),0)</f>
        <v>9810.4600000000009</v>
      </c>
      <c r="I76" s="275">
        <f>IFERROR(VLOOKUP(B76,'تقرير المصروفات حسب الشهر'!C834:AI949,33,0),0)</f>
        <v>13681.75</v>
      </c>
      <c r="J76" s="275">
        <f>IFERROR(VLOOKUP(B76,'تقرير المصروفات حسب الشهر'!$C$890:$AI$1007,33,FALSE),0)</f>
        <v>22073.969999999994</v>
      </c>
      <c r="K76" s="275">
        <f>IFERROR(VLOOKUP(B76,'تقرير المصروفات حسب الشهر'!$C$1017:$AI$1131,33,FALSE),0)</f>
        <v>10482.74</v>
      </c>
      <c r="L76" s="275">
        <f>IFERROR(VLOOKUP(B76,'تقرير المصروفات حسب الشهر'!$C$1143:$AI$1259,33,FALSE),0)</f>
        <v>15831.24</v>
      </c>
      <c r="M76" s="275">
        <f>IFERROR(VLOOKUP(B76,'تقرير المصروفات حسب الشهر'!$C$1271:$AI$1385,33,FALSE),0)</f>
        <v>63740.729999999989</v>
      </c>
      <c r="N76" s="275">
        <f>IFERROR(VLOOKUP(B76,'تقرير المصروفات حسب الشهر'!$C$1397:$AI$1512,33,FALSE),0)</f>
        <v>12044.669999999998</v>
      </c>
      <c r="O76" s="281">
        <f t="shared" si="1"/>
        <v>202700.33999999997</v>
      </c>
    </row>
    <row r="77" spans="2:15">
      <c r="B77" s="284" t="s">
        <v>192</v>
      </c>
      <c r="C77" s="275">
        <f>IFERROR(VLOOKUP(B77,'تقرير المصروفات حسب الشهر'!$C$10:$AI$123,33,FALSE),0)</f>
        <v>6500</v>
      </c>
      <c r="D77" s="275">
        <f>IFERROR(VLOOKUP(B77,'تقرير المصروفات حسب الشهر'!$C$134:$AI$248,33,FALSE),0)</f>
        <v>0</v>
      </c>
      <c r="E77" s="275">
        <f>IFERROR(VLOOKUP(B77,'تقرير المصروفات حسب الشهر'!$C$261:$AI$374,33,FALSE),0)</f>
        <v>18000</v>
      </c>
      <c r="F77" s="275">
        <f>IFERROR(VLOOKUP(B77,'تقرير المصروفات حسب الشهر'!$C$387:$AI$499,33,FALSE),0)</f>
        <v>11520</v>
      </c>
      <c r="G77" s="275">
        <f>IFERROR(VLOOKUP(B77,'تقرير المصروفات حسب الشهر'!$C$512:$AI$624,33,FALSE),0)</f>
        <v>5000</v>
      </c>
      <c r="H77" s="275">
        <f>IFERROR(VLOOKUP(B77,'تقرير المصروفات حسب الشهر'!$C$637:$AI$750,33,FALSE),0)</f>
        <v>7933</v>
      </c>
      <c r="I77" s="275">
        <f>IFERROR(VLOOKUP(B77,'تقرير المصروفات حسب الشهر'!C835:AI950,33,0),0)</f>
        <v>3000</v>
      </c>
      <c r="J77" s="275">
        <f>IFERROR(VLOOKUP(B77,'تقرير المصروفات حسب الشهر'!$C$890:$AI$1007,33,FALSE),0)</f>
        <v>18250</v>
      </c>
      <c r="K77" s="275">
        <f>IFERROR(VLOOKUP(B77,'تقرير المصروفات حسب الشهر'!$C$1017:$AI$1131,33,FALSE),0)</f>
        <v>61770</v>
      </c>
      <c r="L77" s="275">
        <f>IFERROR(VLOOKUP(B77,'تقرير المصروفات حسب الشهر'!$C$1143:$AI$1259,33,FALSE),0)</f>
        <v>32385</v>
      </c>
      <c r="M77" s="275">
        <f>IFERROR(VLOOKUP(B77,'تقرير المصروفات حسب الشهر'!$C$1271:$AI$1385,33,FALSE),0)</f>
        <v>30885</v>
      </c>
      <c r="N77" s="275">
        <f>IFERROR(VLOOKUP(B77,'تقرير المصروفات حسب الشهر'!$C$1397:$AI$1512,33,FALSE),0)</f>
        <v>169125</v>
      </c>
      <c r="O77" s="281">
        <f t="shared" si="1"/>
        <v>364368</v>
      </c>
    </row>
    <row r="78" spans="2:15">
      <c r="B78" s="284" t="s">
        <v>98</v>
      </c>
      <c r="C78" s="275">
        <f>IFERROR(VLOOKUP(B78,'تقرير المصروفات حسب الشهر'!$C$10:$AI$123,33,FALSE),0)</f>
        <v>0</v>
      </c>
      <c r="D78" s="275">
        <f>IFERROR(VLOOKUP(B78,'تقرير المصروفات حسب الشهر'!$C$134:$AI$248,33,FALSE),0)</f>
        <v>0</v>
      </c>
      <c r="E78" s="275">
        <f>IFERROR(VLOOKUP(B78,'تقرير المصروفات حسب الشهر'!$C$261:$AI$374,33,FALSE),0)</f>
        <v>0</v>
      </c>
      <c r="F78" s="275">
        <f>IFERROR(VLOOKUP(B78,'تقرير المصروفات حسب الشهر'!$C$387:$AI$499,33,FALSE),0)</f>
        <v>0</v>
      </c>
      <c r="G78" s="275">
        <f>IFERROR(VLOOKUP(B78,'تقرير المصروفات حسب الشهر'!$C$512:$AI$624,33,FALSE),0)</f>
        <v>0</v>
      </c>
      <c r="H78" s="275">
        <f>IFERROR(VLOOKUP(B78,'تقرير المصروفات حسب الشهر'!$C$637:$AI$750,33,FALSE),0)</f>
        <v>0</v>
      </c>
      <c r="I78" s="275">
        <f>IFERROR(VLOOKUP(B78,'تقرير المصروفات حسب الشهر'!C836:AI951,33,0),0)</f>
        <v>0</v>
      </c>
      <c r="J78" s="275">
        <f>IFERROR(VLOOKUP(B78,'تقرير المصروفات حسب الشهر'!$C$890:$AI$1007,33,FALSE),0)</f>
        <v>0</v>
      </c>
      <c r="K78" s="275">
        <f>IFERROR(VLOOKUP(B78,'تقرير المصروفات حسب الشهر'!$C$1017:$AI$1131,33,FALSE),0)</f>
        <v>0</v>
      </c>
      <c r="L78" s="275">
        <f>IFERROR(VLOOKUP(B78,'تقرير المصروفات حسب الشهر'!$C$1143:$AI$1259,33,FALSE),0)</f>
        <v>0</v>
      </c>
      <c r="M78" s="275">
        <f>IFERROR(VLOOKUP(B78,'تقرير المصروفات حسب الشهر'!$C$1271:$AI$1385,33,FALSE),0)</f>
        <v>0</v>
      </c>
      <c r="N78" s="275">
        <f>IFERROR(VLOOKUP(B78,'تقرير المصروفات حسب الشهر'!$C$1397:$AI$1512,33,FALSE),0)</f>
        <v>0</v>
      </c>
      <c r="O78" s="281">
        <f t="shared" si="1"/>
        <v>0</v>
      </c>
    </row>
    <row r="79" spans="2:15">
      <c r="B79" s="284" t="s">
        <v>99</v>
      </c>
      <c r="C79" s="275">
        <f>IFERROR(VLOOKUP(B79,'تقرير المصروفات حسب الشهر'!$C$10:$AI$123,33,FALSE),0)</f>
        <v>6433.05</v>
      </c>
      <c r="D79" s="275">
        <f>IFERROR(VLOOKUP(B79,'تقرير المصروفات حسب الشهر'!$C$134:$AI$248,33,FALSE),0)</f>
        <v>6433.05</v>
      </c>
      <c r="E79" s="275">
        <f>IFERROR(VLOOKUP(B79,'تقرير المصروفات حسب الشهر'!$C$261:$AI$374,33,FALSE),0)</f>
        <v>6433.05</v>
      </c>
      <c r="F79" s="275">
        <f>IFERROR(VLOOKUP(B79,'تقرير المصروفات حسب الشهر'!$C$387:$AI$499,33,FALSE),0)</f>
        <v>6433.05</v>
      </c>
      <c r="G79" s="275">
        <f>IFERROR(VLOOKUP(B79,'تقرير المصروفات حسب الشهر'!$C$512:$AI$624,33,FALSE),0)</f>
        <v>6433.05</v>
      </c>
      <c r="H79" s="275">
        <f>IFERROR(VLOOKUP(B79,'تقرير المصروفات حسب الشهر'!$C$637:$AI$750,33,FALSE),0)</f>
        <v>6435.51</v>
      </c>
      <c r="I79" s="275">
        <f>IFERROR(VLOOKUP(B79,'تقرير المصروفات حسب الشهر'!C837:AI952,33,0),0)</f>
        <v>6506.38</v>
      </c>
      <c r="J79" s="275">
        <f>IFERROR(VLOOKUP(B79,'تقرير المصروفات حسب الشهر'!$C$890:$AI$1007,33,FALSE),0)</f>
        <v>6506.38</v>
      </c>
      <c r="K79" s="275">
        <f>IFERROR(VLOOKUP(B79,'تقرير المصروفات حسب الشهر'!$C$1017:$AI$1131,33,FALSE),0)</f>
        <v>6506.38</v>
      </c>
      <c r="L79" s="275">
        <f>IFERROR(VLOOKUP(B79,'تقرير المصروفات حسب الشهر'!$C$1143:$AI$1259,33,FALSE),0)</f>
        <v>6506.38</v>
      </c>
      <c r="M79" s="275">
        <f>IFERROR(VLOOKUP(B79,'تقرير المصروفات حسب الشهر'!$C$1271:$AI$1385,33,FALSE),0)</f>
        <v>6506.38</v>
      </c>
      <c r="N79" s="275">
        <f>IFERROR(VLOOKUP(B79,'تقرير المصروفات حسب الشهر'!$C$1397:$AI$1512,33,FALSE),0)</f>
        <v>73.33</v>
      </c>
      <c r="O79" s="281">
        <f t="shared" si="1"/>
        <v>71205.989999999991</v>
      </c>
    </row>
    <row r="80" spans="2:15">
      <c r="B80" s="284" t="s">
        <v>100</v>
      </c>
      <c r="C80" s="275">
        <f>IFERROR(VLOOKUP(B80,'تقرير المصروفات حسب الشهر'!$C$10:$AI$123,33,FALSE),0)</f>
        <v>2587.14</v>
      </c>
      <c r="D80" s="275">
        <f>IFERROR(VLOOKUP(B80,'تقرير المصروفات حسب الشهر'!$C$134:$AI$248,33,FALSE),0)</f>
        <v>2577.85</v>
      </c>
      <c r="E80" s="275">
        <f>IFERROR(VLOOKUP(B80,'تقرير المصروفات حسب الشهر'!$C$261:$AI$374,33,FALSE),0)</f>
        <v>2577.85</v>
      </c>
      <c r="F80" s="275">
        <f>IFERROR(VLOOKUP(B80,'تقرير المصروفات حسب الشهر'!$C$387:$AI$499,33,FALSE),0)</f>
        <v>2543.98</v>
      </c>
      <c r="G80" s="275">
        <f>IFERROR(VLOOKUP(B80,'تقرير المصروفات حسب الشهر'!$C$512:$AI$624,33,FALSE),0)</f>
        <v>2379.71</v>
      </c>
      <c r="H80" s="275">
        <f>IFERROR(VLOOKUP(B80,'تقرير المصروفات حسب الشهر'!$C$637:$AI$750,33,FALSE),0)</f>
        <v>2386.2900000000004</v>
      </c>
      <c r="I80" s="275">
        <f>IFERROR(VLOOKUP(B80,'تقرير المصروفات حسب الشهر'!C838:AI953,33,0),0)</f>
        <v>2336.29</v>
      </c>
      <c r="J80" s="275">
        <f>IFERROR(VLOOKUP(B80,'تقرير المصروفات حسب الشهر'!$C$890:$AI$1007,33,FALSE),0)</f>
        <v>2336.29</v>
      </c>
      <c r="K80" s="275">
        <f>IFERROR(VLOOKUP(B80,'تقرير المصروفات حسب الشهر'!$C$1017:$AI$1131,33,FALSE),0)</f>
        <v>2223.2799999999997</v>
      </c>
      <c r="L80" s="275">
        <f>IFERROR(VLOOKUP(B80,'تقرير المصروفات حسب الشهر'!$C$1143:$AI$1259,33,FALSE),0)</f>
        <v>2223.2799999999997</v>
      </c>
      <c r="M80" s="275">
        <f>IFERROR(VLOOKUP(B80,'تقرير المصروفات حسب الشهر'!$C$1271:$AI$1385,33,FALSE),0)</f>
        <v>2162.34</v>
      </c>
      <c r="N80" s="275">
        <f>IFERROR(VLOOKUP(B80,'تقرير المصروفات حسب الشهر'!$C$1397:$AI$1512,33,FALSE),0)</f>
        <v>67.47</v>
      </c>
      <c r="O80" s="281">
        <f t="shared" si="1"/>
        <v>26401.77</v>
      </c>
    </row>
    <row r="81" spans="2:15">
      <c r="B81" s="284" t="s">
        <v>101</v>
      </c>
      <c r="C81" s="275">
        <f>IFERROR(VLOOKUP(B81,'تقرير المصروفات حسب الشهر'!$C$10:$AI$123,33,FALSE),0)</f>
        <v>2945.4</v>
      </c>
      <c r="D81" s="275">
        <f>IFERROR(VLOOKUP(B81,'تقرير المصروفات حسب الشهر'!$C$134:$AI$248,33,FALSE),0)</f>
        <v>2945.4</v>
      </c>
      <c r="E81" s="275">
        <f>IFERROR(VLOOKUP(B81,'تقرير المصروفات حسب الشهر'!$C$261:$AI$374,33,FALSE),0)</f>
        <v>2945.4</v>
      </c>
      <c r="F81" s="275">
        <f>IFERROR(VLOOKUP(B81,'تقرير المصروفات حسب الشهر'!$C$387:$AI$499,33,FALSE),0)</f>
        <v>2945.4</v>
      </c>
      <c r="G81" s="275">
        <f>IFERROR(VLOOKUP(B81,'تقرير المصروفات حسب الشهر'!$C$512:$AI$624,33,FALSE),0)</f>
        <v>2150.7399999999998</v>
      </c>
      <c r="H81" s="275">
        <f>IFERROR(VLOOKUP(B81,'تقرير المصروفات حسب الشهر'!$C$637:$AI$750,33,FALSE),0)</f>
        <v>2856.93</v>
      </c>
      <c r="I81" s="275">
        <f>IFERROR(VLOOKUP(B81,'تقرير المصروفات حسب الشهر'!C839:AI954,33,0),0)</f>
        <v>3540.58</v>
      </c>
      <c r="J81" s="275">
        <f>IFERROR(VLOOKUP(B81,'تقرير المصروفات حسب الشهر'!$C$890:$AI$1007,33,FALSE),0)</f>
        <v>4091</v>
      </c>
      <c r="K81" s="275">
        <f>IFERROR(VLOOKUP(B81,'تقرير المصروفات حسب الشهر'!$C$1017:$AI$1131,33,FALSE),0)</f>
        <v>4199.83</v>
      </c>
      <c r="L81" s="275">
        <f>IFERROR(VLOOKUP(B81,'تقرير المصروفات حسب الشهر'!$C$1143:$AI$1259,33,FALSE),0)</f>
        <v>4199.83</v>
      </c>
      <c r="M81" s="275">
        <f>IFERROR(VLOOKUP(B81,'تقرير المصروفات حسب الشهر'!$C$1271:$AI$1385,33,FALSE),0)</f>
        <v>6506.04</v>
      </c>
      <c r="N81" s="275">
        <f>IFERROR(VLOOKUP(B81,'تقرير المصروفات حسب الشهر'!$C$1397:$AI$1512,33,FALSE),0)</f>
        <v>5097.34</v>
      </c>
      <c r="O81" s="281">
        <f t="shared" si="1"/>
        <v>44423.89</v>
      </c>
    </row>
    <row r="82" spans="2:15">
      <c r="B82" s="284" t="s">
        <v>102</v>
      </c>
      <c r="C82" s="275">
        <f>IFERROR(VLOOKUP(B82,'تقرير المصروفات حسب الشهر'!$C$10:$AI$123,33,FALSE),0)</f>
        <v>36884.720000000008</v>
      </c>
      <c r="D82" s="275">
        <f>IFERROR(VLOOKUP(B82,'تقرير المصروفات حسب الشهر'!$C$134:$AI$248,33,FALSE),0)</f>
        <v>40664.939999999995</v>
      </c>
      <c r="E82" s="275">
        <f>IFERROR(VLOOKUP(B82,'تقرير المصروفات حسب الشهر'!$C$261:$AI$374,33,FALSE),0)</f>
        <v>41634.260000000017</v>
      </c>
      <c r="F82" s="275">
        <f>IFERROR(VLOOKUP(B82,'تقرير المصروفات حسب الشهر'!$C$387:$AI$499,33,FALSE),0)</f>
        <v>41588.030000000013</v>
      </c>
      <c r="G82" s="275">
        <f>IFERROR(VLOOKUP(B82,'تقرير المصروفات حسب الشهر'!$C$512:$AI$624,33,FALSE),0)</f>
        <v>41903.080000000016</v>
      </c>
      <c r="H82" s="275">
        <f>IFERROR(VLOOKUP(B82,'تقرير المصروفات حسب الشهر'!$C$637:$AI$750,33,FALSE),0)</f>
        <v>44184.94</v>
      </c>
      <c r="I82" s="275">
        <f>IFERROR(VLOOKUP(B82,'تقرير المصروفات حسب الشهر'!C840:AI955,33,0),0)</f>
        <v>45783.64</v>
      </c>
      <c r="J82" s="275">
        <f>IFERROR(VLOOKUP(B82,'تقرير المصروفات حسب الشهر'!$C$890:$AI$1007,33,FALSE),0)</f>
        <v>47304.070000000014</v>
      </c>
      <c r="K82" s="275">
        <f>IFERROR(VLOOKUP(B82,'تقرير المصروفات حسب الشهر'!$C$1017:$AI$1131,33,FALSE),0)</f>
        <v>48422.55000000001</v>
      </c>
      <c r="L82" s="275">
        <f>IFERROR(VLOOKUP(B82,'تقرير المصروفات حسب الشهر'!$C$1143:$AI$1259,33,FALSE),0)</f>
        <v>52184.490000000013</v>
      </c>
      <c r="M82" s="275">
        <f>IFERROR(VLOOKUP(B82,'تقرير المصروفات حسب الشهر'!$C$1271:$AI$1385,33,FALSE),0)</f>
        <v>53180.810000000012</v>
      </c>
      <c r="N82" s="275">
        <f>IFERROR(VLOOKUP(B82,'تقرير المصروفات حسب الشهر'!$C$1397:$AI$1512,33,FALSE),0)</f>
        <v>28246.190000000002</v>
      </c>
      <c r="O82" s="281">
        <f t="shared" si="1"/>
        <v>521981.72000000003</v>
      </c>
    </row>
    <row r="83" spans="2:15">
      <c r="B83" s="284" t="s">
        <v>103</v>
      </c>
      <c r="C83" s="275">
        <f>IFERROR(VLOOKUP(B83,'تقرير المصروفات حسب الشهر'!$C$10:$AI$123,33,FALSE),0)</f>
        <v>8520.3999999999978</v>
      </c>
      <c r="D83" s="275">
        <f>IFERROR(VLOOKUP(B83,'تقرير المصروفات حسب الشهر'!$C$134:$AI$248,33,FALSE),0)</f>
        <v>7957.7999999999984</v>
      </c>
      <c r="E83" s="275">
        <f>IFERROR(VLOOKUP(B83,'تقرير المصروفات حسب الشهر'!$C$261:$AI$374,33,FALSE),0)</f>
        <v>7268.1199999999963</v>
      </c>
      <c r="F83" s="275">
        <f>IFERROR(VLOOKUP(B83,'تقرير المصروفات حسب الشهر'!$C$387:$AI$499,33,FALSE),0)</f>
        <v>7052.0999999999976</v>
      </c>
      <c r="G83" s="275">
        <f>IFERROR(VLOOKUP(B83,'تقرير المصروفات حسب الشهر'!$C$512:$AI$624,33,FALSE),0)</f>
        <v>7028.2699999999968</v>
      </c>
      <c r="H83" s="275">
        <f>IFERROR(VLOOKUP(B83,'تقرير المصروفات حسب الشهر'!$C$637:$AI$750,33,FALSE),0)</f>
        <v>7028.2099999999964</v>
      </c>
      <c r="I83" s="275">
        <f>IFERROR(VLOOKUP(B83,'تقرير المصروفات حسب الشهر'!C841:AI956,33,0),0)</f>
        <v>6814.2499999999973</v>
      </c>
      <c r="J83" s="275">
        <f>IFERROR(VLOOKUP(B83,'تقرير المصروفات حسب الشهر'!$C$890:$AI$1007,33,FALSE),0)</f>
        <v>6246.840000000002</v>
      </c>
      <c r="K83" s="275">
        <f>IFERROR(VLOOKUP(B83,'تقرير المصروفات حسب الشهر'!$C$1017:$AI$1131,33,FALSE),0)</f>
        <v>4927.72</v>
      </c>
      <c r="L83" s="275">
        <f>IFERROR(VLOOKUP(B83,'تقرير المصروفات حسب الشهر'!$C$1143:$AI$1259,33,FALSE),0)</f>
        <v>4916.01</v>
      </c>
      <c r="M83" s="275">
        <f>IFERROR(VLOOKUP(B83,'تقرير المصروفات حسب الشهر'!$C$1271:$AI$1385,33,FALSE),0)</f>
        <v>4915.7800000000007</v>
      </c>
      <c r="N83" s="275">
        <f>IFERROR(VLOOKUP(B83,'تقرير المصروفات حسب الشهر'!$C$1397:$AI$1512,33,FALSE),0)</f>
        <v>404.52</v>
      </c>
      <c r="O83" s="281">
        <f t="shared" si="1"/>
        <v>73080.01999999999</v>
      </c>
    </row>
    <row r="84" spans="2:15">
      <c r="B84" s="284" t="s">
        <v>104</v>
      </c>
      <c r="C84" s="275">
        <f>IFERROR(VLOOKUP(B84,'تقرير المصروفات حسب الشهر'!$C$10:$AI$123,33,FALSE),0)</f>
        <v>8652.0300000000007</v>
      </c>
      <c r="D84" s="275">
        <f>IFERROR(VLOOKUP(B84,'تقرير المصروفات حسب الشهر'!$C$134:$AI$248,33,FALSE),0)</f>
        <v>8973.1600000000017</v>
      </c>
      <c r="E84" s="275">
        <f>IFERROR(VLOOKUP(B84,'تقرير المصروفات حسب الشهر'!$C$261:$AI$374,33,FALSE),0)</f>
        <v>10309.669999999998</v>
      </c>
      <c r="F84" s="275">
        <f>IFERROR(VLOOKUP(B84,'تقرير المصروفات حسب الشهر'!$C$387:$AI$499,33,FALSE),0)</f>
        <v>10784.75</v>
      </c>
      <c r="G84" s="275">
        <f>IFERROR(VLOOKUP(B84,'تقرير المصروفات حسب الشهر'!$C$512:$AI$624,33,FALSE),0)</f>
        <v>11650.380000000001</v>
      </c>
      <c r="H84" s="275">
        <f>IFERROR(VLOOKUP(B84,'تقرير المصروفات حسب الشهر'!$C$637:$AI$750,33,FALSE),0)</f>
        <v>11784.379999999997</v>
      </c>
      <c r="I84" s="275">
        <f>IFERROR(VLOOKUP(B84,'تقرير المصروفات حسب الشهر'!C842:AI957,33,0),0)</f>
        <v>12521.14</v>
      </c>
      <c r="J84" s="275">
        <f>IFERROR(VLOOKUP(B84,'تقرير المصروفات حسب الشهر'!$C$890:$AI$1007,33,FALSE),0)</f>
        <v>12842.599999999999</v>
      </c>
      <c r="K84" s="275">
        <f>IFERROR(VLOOKUP(B84,'تقرير المصروفات حسب الشهر'!$C$1017:$AI$1131,33,FALSE),0)</f>
        <v>13723.519999999997</v>
      </c>
      <c r="L84" s="275">
        <f>IFERROR(VLOOKUP(B84,'تقرير المصروفات حسب الشهر'!$C$1143:$AI$1259,33,FALSE),0)</f>
        <v>15476.59</v>
      </c>
      <c r="M84" s="275">
        <f>IFERROR(VLOOKUP(B84,'تقرير المصروفات حسب الشهر'!$C$1271:$AI$1385,33,FALSE),0)</f>
        <v>18085.350000000002</v>
      </c>
      <c r="N84" s="275">
        <f>IFERROR(VLOOKUP(B84,'تقرير المصروفات حسب الشهر'!$C$1397:$AI$1512,33,FALSE),0)</f>
        <v>11318.100000000004</v>
      </c>
      <c r="O84" s="281">
        <f t="shared" si="1"/>
        <v>146121.67000000001</v>
      </c>
    </row>
    <row r="85" spans="2:15">
      <c r="B85" s="284" t="s">
        <v>105</v>
      </c>
      <c r="C85" s="275">
        <f>IFERROR(VLOOKUP(B85,'تقرير المصروفات حسب الشهر'!$C$10:$AI$123,33,FALSE),0)</f>
        <v>22714.92</v>
      </c>
      <c r="D85" s="275">
        <f>IFERROR(VLOOKUP(B85,'تقرير المصروفات حسب الشهر'!$C$134:$AI$248,33,FALSE),0)</f>
        <v>23475.739999999994</v>
      </c>
      <c r="E85" s="275">
        <f>IFERROR(VLOOKUP(B85,'تقرير المصروفات حسب الشهر'!$C$261:$AI$374,33,FALSE),0)</f>
        <v>23349.91</v>
      </c>
      <c r="F85" s="275">
        <f>IFERROR(VLOOKUP(B85,'تقرير المصروفات حسب الشهر'!$C$387:$AI$499,33,FALSE),0)</f>
        <v>22882.269999999997</v>
      </c>
      <c r="G85" s="275">
        <f>IFERROR(VLOOKUP(B85,'تقرير المصروفات حسب الشهر'!$C$512:$AI$624,33,FALSE),0)</f>
        <v>22733.279999999999</v>
      </c>
      <c r="H85" s="275">
        <f>IFERROR(VLOOKUP(B85,'تقرير المصروفات حسب الشهر'!$C$637:$AI$750,33,FALSE),0)</f>
        <v>23050.829999999998</v>
      </c>
      <c r="I85" s="275">
        <f>IFERROR(VLOOKUP(B85,'تقرير المصروفات حسب الشهر'!C843:AI958,33,0),0)</f>
        <v>23005.399999999998</v>
      </c>
      <c r="J85" s="275">
        <f>IFERROR(VLOOKUP(B85,'تقرير المصروفات حسب الشهر'!$C$890:$AI$1007,33,FALSE),0)</f>
        <v>20969.259999999998</v>
      </c>
      <c r="K85" s="275">
        <f>IFERROR(VLOOKUP(B85,'تقرير المصروفات حسب الشهر'!$C$1017:$AI$1131,33,FALSE),0)</f>
        <v>21069.909999999996</v>
      </c>
      <c r="L85" s="275">
        <f>IFERROR(VLOOKUP(B85,'تقرير المصروفات حسب الشهر'!$C$1143:$AI$1259,33,FALSE),0)</f>
        <v>25061.759999999995</v>
      </c>
      <c r="M85" s="275">
        <f>IFERROR(VLOOKUP(B85,'تقرير المصروفات حسب الشهر'!$C$1271:$AI$1385,33,FALSE),0)</f>
        <v>31927.590000000007</v>
      </c>
      <c r="N85" s="275">
        <f>IFERROR(VLOOKUP(B85,'تقرير المصروفات حسب الشهر'!$C$1397:$AI$1512,33,FALSE),0)</f>
        <v>18147.88</v>
      </c>
      <c r="O85" s="281">
        <f t="shared" si="1"/>
        <v>278388.74999999994</v>
      </c>
    </row>
    <row r="86" spans="2:15">
      <c r="B86" s="284" t="s">
        <v>106</v>
      </c>
      <c r="C86" s="275">
        <f>IFERROR(VLOOKUP(B86,'تقرير المصروفات حسب الشهر'!$C$10:$AI$123,33,FALSE),0)</f>
        <v>0</v>
      </c>
      <c r="D86" s="275">
        <f>IFERROR(VLOOKUP(B86,'تقرير المصروفات حسب الشهر'!$C$134:$AI$248,33,FALSE),0)</f>
        <v>0</v>
      </c>
      <c r="E86" s="275">
        <f>IFERROR(VLOOKUP(B86,'تقرير المصروفات حسب الشهر'!$C$261:$AI$374,33,FALSE),0)</f>
        <v>0</v>
      </c>
      <c r="F86" s="275">
        <f>IFERROR(VLOOKUP(B86,'تقرير المصروفات حسب الشهر'!$C$387:$AI$499,33,FALSE),0)</f>
        <v>0</v>
      </c>
      <c r="G86" s="275">
        <f>IFERROR(VLOOKUP(B86,'تقرير المصروفات حسب الشهر'!$C$512:$AI$624,33,FALSE),0)</f>
        <v>1061</v>
      </c>
      <c r="H86" s="275">
        <f>IFERROR(VLOOKUP(B86,'تقرير المصروفات حسب الشهر'!$C$637:$AI$750,33,FALSE),0)</f>
        <v>0</v>
      </c>
      <c r="I86" s="275">
        <f>IFERROR(VLOOKUP(B86,'تقرير المصروفات حسب الشهر'!C844:AI959,33,0),0)</f>
        <v>0</v>
      </c>
      <c r="J86" s="275">
        <f>IFERROR(VLOOKUP(B86,'تقرير المصروفات حسب الشهر'!$C$890:$AI$1007,33,FALSE),0)</f>
        <v>0</v>
      </c>
      <c r="K86" s="275">
        <f>IFERROR(VLOOKUP(B86,'تقرير المصروفات حسب الشهر'!$C$1017:$AI$1131,33,FALSE),0)</f>
        <v>0</v>
      </c>
      <c r="L86" s="275">
        <f>IFERROR(VLOOKUP(B86,'تقرير المصروفات حسب الشهر'!$C$1143:$AI$1259,33,FALSE),0)</f>
        <v>0</v>
      </c>
      <c r="M86" s="275">
        <f>IFERROR(VLOOKUP(B86,'تقرير المصروفات حسب الشهر'!$C$1271:$AI$1385,33,FALSE),0)</f>
        <v>0</v>
      </c>
      <c r="N86" s="275">
        <f>IFERROR(VLOOKUP(B86,'تقرير المصروفات حسب الشهر'!$C$1397:$AI$1512,33,FALSE),0)</f>
        <v>0</v>
      </c>
      <c r="O86" s="281">
        <f t="shared" si="1"/>
        <v>1061</v>
      </c>
    </row>
    <row r="87" spans="2:15">
      <c r="B87" s="284" t="s">
        <v>107</v>
      </c>
      <c r="C87" s="275">
        <f>IFERROR(VLOOKUP(B87,'تقرير المصروفات حسب الشهر'!$C$10:$AI$123,33,FALSE),0)</f>
        <v>0</v>
      </c>
      <c r="D87" s="275">
        <f>IFERROR(VLOOKUP(B87,'تقرير المصروفات حسب الشهر'!$C$134:$AI$248,33,FALSE),0)</f>
        <v>0</v>
      </c>
      <c r="E87" s="275">
        <f>IFERROR(VLOOKUP(B87,'تقرير المصروفات حسب الشهر'!$C$261:$AI$374,33,FALSE),0)</f>
        <v>0</v>
      </c>
      <c r="F87" s="275">
        <f>IFERROR(VLOOKUP(B87,'تقرير المصروفات حسب الشهر'!$C$387:$AI$499,33,FALSE),0)</f>
        <v>0</v>
      </c>
      <c r="G87" s="275">
        <f>IFERROR(VLOOKUP(B87,'تقرير المصروفات حسب الشهر'!$C$512:$AI$624,33,FALSE),0)</f>
        <v>0</v>
      </c>
      <c r="H87" s="275">
        <f>IFERROR(VLOOKUP(B87,'تقرير المصروفات حسب الشهر'!$C$637:$AI$750,33,FALSE),0)</f>
        <v>0</v>
      </c>
      <c r="I87" s="275">
        <f>IFERROR(VLOOKUP(B87,'تقرير المصروفات حسب الشهر'!C845:AI960,33,0),0)</f>
        <v>0</v>
      </c>
      <c r="J87" s="275">
        <f>IFERROR(VLOOKUP(B87,'تقرير المصروفات حسب الشهر'!$C$890:$AI$1007,33,FALSE),0)</f>
        <v>0</v>
      </c>
      <c r="K87" s="275">
        <f>IFERROR(VLOOKUP(B87,'تقرير المصروفات حسب الشهر'!$C$1017:$AI$1131,33,FALSE),0)</f>
        <v>0</v>
      </c>
      <c r="L87" s="275">
        <f>IFERROR(VLOOKUP(B87,'تقرير المصروفات حسب الشهر'!$C$1143:$AI$1259,33,FALSE),0)</f>
        <v>18659</v>
      </c>
      <c r="M87" s="275">
        <f>IFERROR(VLOOKUP(B87,'تقرير المصروفات حسب الشهر'!$C$1271:$AI$1385,33,FALSE),0)</f>
        <v>0</v>
      </c>
      <c r="N87" s="275">
        <f>IFERROR(VLOOKUP(B87,'تقرير المصروفات حسب الشهر'!$C$1397:$AI$1512,33,FALSE),0)</f>
        <v>0</v>
      </c>
      <c r="O87" s="281">
        <f t="shared" si="1"/>
        <v>18659</v>
      </c>
    </row>
    <row r="88" spans="2:15">
      <c r="B88" s="284" t="s">
        <v>108</v>
      </c>
      <c r="C88" s="275">
        <f>IFERROR(VLOOKUP(B88,'تقرير المصروفات حسب الشهر'!$C$10:$AI$123,33,FALSE),0)</f>
        <v>120663.64000000001</v>
      </c>
      <c r="D88" s="275">
        <f>IFERROR(VLOOKUP(B88,'تقرير المصروفات حسب الشهر'!$C$134:$AI$248,33,FALSE),0)</f>
        <v>116918.42</v>
      </c>
      <c r="E88" s="275">
        <f>IFERROR(VLOOKUP(B88,'تقرير المصروفات حسب الشهر'!$C$261:$AI$374,33,FALSE),0)</f>
        <v>120178.91</v>
      </c>
      <c r="F88" s="275">
        <f>IFERROR(VLOOKUP(B88,'تقرير المصروفات حسب الشهر'!$C$387:$AI$499,33,FALSE),0)</f>
        <v>136790.71000000002</v>
      </c>
      <c r="G88" s="275">
        <f>IFERROR(VLOOKUP(B88,'تقرير المصروفات حسب الشهر'!$C$512:$AI$624,33,FALSE),0)</f>
        <v>125207.42999999998</v>
      </c>
      <c r="H88" s="275">
        <f>IFERROR(VLOOKUP(B88,'تقرير المصروفات حسب الشهر'!$C$637:$AI$750,33,FALSE),0)</f>
        <v>117831.54999999999</v>
      </c>
      <c r="I88" s="275">
        <f>IFERROR(VLOOKUP(B88,'تقرير المصروفات حسب الشهر'!C846:AI961,33,0),0)</f>
        <v>132453.06</v>
      </c>
      <c r="J88" s="275">
        <f>IFERROR(VLOOKUP(B88,'تقرير المصروفات حسب الشهر'!$C$890:$AI$1007,33,FALSE),0)</f>
        <v>128923.23</v>
      </c>
      <c r="K88" s="275">
        <f>IFERROR(VLOOKUP(B88,'تقرير المصروفات حسب الشهر'!$C$1017:$AI$1131,33,FALSE),0)</f>
        <v>116651.63</v>
      </c>
      <c r="L88" s="275">
        <f>IFERROR(VLOOKUP(B88,'تقرير المصروفات حسب الشهر'!$C$1143:$AI$1259,33,FALSE),0)</f>
        <v>128281.24000000002</v>
      </c>
      <c r="M88" s="275">
        <f>IFERROR(VLOOKUP(B88,'تقرير المصروفات حسب الشهر'!$C$1271:$AI$1385,33,FALSE),0)</f>
        <v>129177.04999999999</v>
      </c>
      <c r="N88" s="275">
        <f>IFERROR(VLOOKUP(B88,'تقرير المصروفات حسب الشهر'!$C$1397:$AI$1512,33,FALSE),0)</f>
        <v>138781.04999999999</v>
      </c>
      <c r="O88" s="281">
        <f t="shared" si="1"/>
        <v>1511857.9200000002</v>
      </c>
    </row>
    <row r="89" spans="2:15">
      <c r="B89" s="284" t="s">
        <v>109</v>
      </c>
      <c r="C89" s="275">
        <f>IFERROR(VLOOKUP(B89,'تقرير المصروفات حسب الشهر'!$C$10:$AI$123,33,FALSE),0)</f>
        <v>0</v>
      </c>
      <c r="D89" s="275">
        <f>IFERROR(VLOOKUP(B89,'تقرير المصروفات حسب الشهر'!$C$134:$AI$248,33,FALSE),0)</f>
        <v>0</v>
      </c>
      <c r="E89" s="275">
        <f>IFERROR(VLOOKUP(B89,'تقرير المصروفات حسب الشهر'!$C$261:$AI$374,33,FALSE),0)</f>
        <v>0</v>
      </c>
      <c r="F89" s="275">
        <f>IFERROR(VLOOKUP(B89,'تقرير المصروفات حسب الشهر'!$C$387:$AI$499,33,FALSE),0)</f>
        <v>0</v>
      </c>
      <c r="G89" s="275">
        <f>IFERROR(VLOOKUP(B89,'تقرير المصروفات حسب الشهر'!$C$512:$AI$624,33,FALSE),0)</f>
        <v>0</v>
      </c>
      <c r="H89" s="275">
        <f>IFERROR(VLOOKUP(B89,'تقرير المصروفات حسب الشهر'!$C$637:$AI$750,33,FALSE),0)</f>
        <v>0</v>
      </c>
      <c r="I89" s="275">
        <f>IFERROR(VLOOKUP(B89,'تقرير المصروفات حسب الشهر'!C847:AI962,33,0),0)</f>
        <v>0</v>
      </c>
      <c r="J89" s="275">
        <f>IFERROR(VLOOKUP(B89,'تقرير المصروفات حسب الشهر'!$C$890:$AI$1007,33,FALSE),0)</f>
        <v>0</v>
      </c>
      <c r="K89" s="275">
        <f>IFERROR(VLOOKUP(B89,'تقرير المصروفات حسب الشهر'!$C$1017:$AI$1131,33,FALSE),0)</f>
        <v>0</v>
      </c>
      <c r="L89" s="275">
        <f>IFERROR(VLOOKUP(B89,'تقرير المصروفات حسب الشهر'!$C$1143:$AI$1259,33,FALSE),0)</f>
        <v>0</v>
      </c>
      <c r="M89" s="275">
        <f>IFERROR(VLOOKUP(B89,'تقرير المصروفات حسب الشهر'!$C$1271:$AI$1385,33,FALSE),0)</f>
        <v>0</v>
      </c>
      <c r="N89" s="275">
        <f>IFERROR(VLOOKUP(B89,'تقرير المصروفات حسب الشهر'!$C$1397:$AI$1512,33,FALSE),0)</f>
        <v>0</v>
      </c>
      <c r="O89" s="281">
        <f t="shared" si="1"/>
        <v>0</v>
      </c>
    </row>
    <row r="90" spans="2:15">
      <c r="B90" s="284" t="s">
        <v>110</v>
      </c>
      <c r="C90" s="275">
        <f>IFERROR(VLOOKUP(B90,'تقرير المصروفات حسب الشهر'!$C$10:$AI$123,33,FALSE),0)</f>
        <v>166.66</v>
      </c>
      <c r="D90" s="275">
        <f>IFERROR(VLOOKUP(B90,'تقرير المصروفات حسب الشهر'!$C$134:$AI$248,33,FALSE),0)</f>
        <v>166.66</v>
      </c>
      <c r="E90" s="275">
        <f>IFERROR(VLOOKUP(B90,'تقرير المصروفات حسب الشهر'!$C$261:$AI$374,33,FALSE),0)</f>
        <v>166.66</v>
      </c>
      <c r="F90" s="275">
        <f>IFERROR(VLOOKUP(B90,'تقرير المصروفات حسب الشهر'!$C$387:$AI$499,33,FALSE),0)</f>
        <v>166.66</v>
      </c>
      <c r="G90" s="275">
        <f>IFERROR(VLOOKUP(B90,'تقرير المصروفات حسب الشهر'!$C$512:$AI$624,33,FALSE),0)</f>
        <v>166.66</v>
      </c>
      <c r="H90" s="275">
        <f>IFERROR(VLOOKUP(B90,'تقرير المصروفات حسب الشهر'!$C$637:$AI$750,33,FALSE),0)</f>
        <v>166.66</v>
      </c>
      <c r="I90" s="275">
        <f>IFERROR(VLOOKUP(B90,'تقرير المصروفات حسب الشهر'!C848:AI963,33,0),0)</f>
        <v>166.66</v>
      </c>
      <c r="J90" s="275">
        <f>IFERROR(VLOOKUP(B90,'تقرير المصروفات حسب الشهر'!$C$890:$AI$1007,33,FALSE),0)</f>
        <v>166.66</v>
      </c>
      <c r="K90" s="275">
        <f>IFERROR(VLOOKUP(B90,'تقرير المصروفات حسب الشهر'!$C$1017:$AI$1131,33,FALSE),0)</f>
        <v>166.66</v>
      </c>
      <c r="L90" s="275">
        <f>IFERROR(VLOOKUP(B90,'تقرير المصروفات حسب الشهر'!$C$1143:$AI$1259,33,FALSE),0)</f>
        <v>166.66</v>
      </c>
      <c r="M90" s="275">
        <f>IFERROR(VLOOKUP(B90,'تقرير المصروفات حسب الشهر'!$C$1271:$AI$1385,33,FALSE),0)</f>
        <v>166.66</v>
      </c>
      <c r="N90" s="275">
        <f>IFERROR(VLOOKUP(B90,'تقرير المصروفات حسب الشهر'!$C$1397:$AI$1512,33,FALSE),0)</f>
        <v>166.66</v>
      </c>
      <c r="O90" s="281">
        <f t="shared" si="1"/>
        <v>1999.9200000000003</v>
      </c>
    </row>
    <row r="91" spans="2:15">
      <c r="B91" s="284" t="s">
        <v>112</v>
      </c>
      <c r="C91" s="275">
        <f>IFERROR(VLOOKUP(B91,'تقرير المصروفات حسب الشهر'!$C$10:$AI$123,33,FALSE),0)</f>
        <v>5396.12</v>
      </c>
      <c r="D91" s="275">
        <f>IFERROR(VLOOKUP(B91,'تقرير المصروفات حسب الشهر'!$C$134:$AI$248,33,FALSE),0)</f>
        <v>2454.2399999999998</v>
      </c>
      <c r="E91" s="275">
        <f>IFERROR(VLOOKUP(B91,'تقرير المصروفات حسب الشهر'!$C$261:$AI$374,33,FALSE),0)</f>
        <v>958.5</v>
      </c>
      <c r="F91" s="275">
        <f>IFERROR(VLOOKUP(B91,'تقرير المصروفات حسب الشهر'!$C$387:$AI$499,33,FALSE),0)</f>
        <v>9629.4</v>
      </c>
      <c r="G91" s="275">
        <f>IFERROR(VLOOKUP(B91,'تقرير المصروفات حسب الشهر'!$C$512:$AI$624,33,FALSE),0)</f>
        <v>800</v>
      </c>
      <c r="H91" s="275">
        <f>IFERROR(VLOOKUP(B91,'تقرير المصروفات حسب الشهر'!$C$637:$AI$750,33,FALSE),0)</f>
        <v>1500</v>
      </c>
      <c r="I91" s="275">
        <f>IFERROR(VLOOKUP(B91,'تقرير المصروفات حسب الشهر'!C849:AI964,33,0),0)</f>
        <v>264</v>
      </c>
      <c r="J91" s="275">
        <f>IFERROR(VLOOKUP(B91,'تقرير المصروفات حسب الشهر'!$C$890:$AI$1007,33,FALSE),0)</f>
        <v>7207.5</v>
      </c>
      <c r="K91" s="275">
        <f>IFERROR(VLOOKUP(B91,'تقرير المصروفات حسب الشهر'!$C$1017:$AI$1131,33,FALSE),0)</f>
        <v>0</v>
      </c>
      <c r="L91" s="275">
        <f>IFERROR(VLOOKUP(B91,'تقرير المصروفات حسب الشهر'!$C$1143:$AI$1259,33,FALSE),0)</f>
        <v>0</v>
      </c>
      <c r="M91" s="275">
        <f>IFERROR(VLOOKUP(B91,'تقرير المصروفات حسب الشهر'!$C$1271:$AI$1385,33,FALSE),0)</f>
        <v>113361.23999999999</v>
      </c>
      <c r="N91" s="275">
        <f>IFERROR(VLOOKUP(B91,'تقرير المصروفات حسب الشهر'!$C$1397:$AI$1512,33,FALSE),0)</f>
        <v>13241.24</v>
      </c>
      <c r="O91" s="281">
        <f t="shared" si="1"/>
        <v>154812.24</v>
      </c>
    </row>
    <row r="92" spans="2:15">
      <c r="B92" s="284" t="s">
        <v>113</v>
      </c>
      <c r="C92" s="275">
        <f>IFERROR(VLOOKUP(B92,'تقرير المصروفات حسب الشهر'!$C$10:$AI$123,33,FALSE),0)</f>
        <v>3495.39</v>
      </c>
      <c r="D92" s="275">
        <f>IFERROR(VLOOKUP(B92,'تقرير المصروفات حسب الشهر'!$C$134:$AI$248,33,FALSE),0)</f>
        <v>0</v>
      </c>
      <c r="E92" s="275">
        <f>IFERROR(VLOOKUP(B92,'تقرير المصروفات حسب الشهر'!$C$261:$AI$374,33,FALSE),0)</f>
        <v>0</v>
      </c>
      <c r="F92" s="275">
        <f>IFERROR(VLOOKUP(B92,'تقرير المصروفات حسب الشهر'!$C$387:$AI$499,33,FALSE),0)</f>
        <v>1094</v>
      </c>
      <c r="G92" s="275">
        <f>IFERROR(VLOOKUP(B92,'تقرير المصروفات حسب الشهر'!$C$512:$AI$624,33,FALSE),0)</f>
        <v>57404.2</v>
      </c>
      <c r="H92" s="275">
        <f>IFERROR(VLOOKUP(B92,'تقرير المصروفات حسب الشهر'!$C$637:$AI$750,33,FALSE),0)</f>
        <v>47999.66</v>
      </c>
      <c r="I92" s="275">
        <f>IFERROR(VLOOKUP(B92,'تقرير المصروفات حسب الشهر'!C850:AI965,33,0),0)</f>
        <v>131507.88</v>
      </c>
      <c r="J92" s="275">
        <f>IFERROR(VLOOKUP(B92,'تقرير المصروفات حسب الشهر'!$C$890:$AI$1007,33,FALSE),0)</f>
        <v>38.07</v>
      </c>
      <c r="K92" s="275">
        <f>IFERROR(VLOOKUP(B92,'تقرير المصروفات حسب الشهر'!$C$1017:$AI$1131,33,FALSE),0)</f>
        <v>20550.28</v>
      </c>
      <c r="L92" s="275">
        <f>IFERROR(VLOOKUP(B92,'تقرير المصروفات حسب الشهر'!$C$1143:$AI$1259,33,FALSE),0)</f>
        <v>46383.030000000006</v>
      </c>
      <c r="M92" s="275">
        <f>IFERROR(VLOOKUP(B92,'تقرير المصروفات حسب الشهر'!$C$1271:$AI$1385,33,FALSE),0)</f>
        <v>115268.11</v>
      </c>
      <c r="N92" s="275">
        <f>IFERROR(VLOOKUP(B92,'تقرير المصروفات حسب الشهر'!$C$1397:$AI$1512,33,FALSE),0)</f>
        <v>124316.57</v>
      </c>
      <c r="O92" s="281">
        <f t="shared" si="1"/>
        <v>548057.18999999994</v>
      </c>
    </row>
    <row r="93" spans="2:15">
      <c r="B93" s="284" t="s">
        <v>137</v>
      </c>
      <c r="C93" s="275">
        <f>IFERROR(VLOOKUP(B93,'تقرير المصروفات حسب الشهر'!$C$10:$AI$123,33,FALSE),0)</f>
        <v>0</v>
      </c>
      <c r="D93" s="275">
        <f>IFERROR(VLOOKUP(B93,'تقرير المصروفات حسب الشهر'!$C$134:$AI$248,33,FALSE),0)</f>
        <v>27145</v>
      </c>
      <c r="E93" s="275">
        <f>IFERROR(VLOOKUP(B93,'تقرير المصروفات حسب الشهر'!$C$261:$AI$374,33,FALSE),0)</f>
        <v>0</v>
      </c>
      <c r="F93" s="275">
        <f>IFERROR(VLOOKUP(B93,'تقرير المصروفات حسب الشهر'!$C$387:$AI$499,33,FALSE),0)</f>
        <v>0</v>
      </c>
      <c r="G93" s="275">
        <f>IFERROR(VLOOKUP(B93,'تقرير المصروفات حسب الشهر'!$C$512:$AI$624,33,FALSE),0)</f>
        <v>0</v>
      </c>
      <c r="H93" s="275">
        <f>IFERROR(VLOOKUP(B93,'تقرير المصروفات حسب الشهر'!$C$637:$AI$750,33,FALSE),0)</f>
        <v>0</v>
      </c>
      <c r="I93" s="275">
        <f>IFERROR(VLOOKUP(B93,'تقرير المصروفات حسب الشهر'!C851:AI966,33,0),0)</f>
        <v>0</v>
      </c>
      <c r="J93" s="275">
        <f>IFERROR(VLOOKUP(B93,'تقرير المصروفات حسب الشهر'!$C$890:$AI$1007,33,FALSE),0)</f>
        <v>0</v>
      </c>
      <c r="K93" s="275">
        <f>IFERROR(VLOOKUP(B93,'تقرير المصروفات حسب الشهر'!$C$1017:$AI$1131,33,FALSE),0)</f>
        <v>0</v>
      </c>
      <c r="L93" s="275">
        <f>IFERROR(VLOOKUP(B93,'تقرير المصروفات حسب الشهر'!$C$1143:$AI$1259,33,FALSE),0)</f>
        <v>0</v>
      </c>
      <c r="M93" s="275">
        <f>IFERROR(VLOOKUP(B93,'تقرير المصروفات حسب الشهر'!$C$1271:$AI$1385,33,FALSE),0)</f>
        <v>0</v>
      </c>
      <c r="N93" s="275">
        <f>IFERROR(VLOOKUP(B93,'تقرير المصروفات حسب الشهر'!$C$1397:$AI$1512,33,FALSE),0)</f>
        <v>53192</v>
      </c>
      <c r="O93" s="281">
        <f t="shared" si="1"/>
        <v>80337</v>
      </c>
    </row>
    <row r="94" spans="2:15">
      <c r="B94" s="284" t="s">
        <v>140</v>
      </c>
      <c r="C94" s="275">
        <f>IFERROR(VLOOKUP(B94,'تقرير المصروفات حسب الشهر'!$C$10:$AI$123,33,FALSE),0)</f>
        <v>67510.62</v>
      </c>
      <c r="D94" s="275">
        <f>IFERROR(VLOOKUP(B94,'تقرير المصروفات حسب الشهر'!$C$134:$AI$248,33,FALSE),0)</f>
        <v>13778.07</v>
      </c>
      <c r="E94" s="275">
        <f>IFERROR(VLOOKUP(B94,'تقرير المصروفات حسب الشهر'!$C$261:$AI$374,33,FALSE),0)</f>
        <v>5739</v>
      </c>
      <c r="F94" s="275">
        <f>IFERROR(VLOOKUP(B94,'تقرير المصروفات حسب الشهر'!$C$387:$AI$499,33,FALSE),0)</f>
        <v>14823</v>
      </c>
      <c r="G94" s="275">
        <f>IFERROR(VLOOKUP(B94,'تقرير المصروفات حسب الشهر'!$C$512:$AI$624,33,FALSE),0)</f>
        <v>8383</v>
      </c>
      <c r="H94" s="275">
        <f>IFERROR(VLOOKUP(B94,'تقرير المصروفات حسب الشهر'!$C$637:$AI$750,33,FALSE),0)</f>
        <v>9747.23</v>
      </c>
      <c r="I94" s="275">
        <f>IFERROR(VLOOKUP(B94,'تقرير المصروفات حسب الشهر'!C852:AI967,33,0),0)</f>
        <v>7563</v>
      </c>
      <c r="J94" s="275">
        <f>IFERROR(VLOOKUP(B94,'تقرير المصروفات حسب الشهر'!$C$890:$AI$1007,33,FALSE),0)</f>
        <v>3141</v>
      </c>
      <c r="K94" s="275">
        <f>IFERROR(VLOOKUP(B94,'تقرير المصروفات حسب الشهر'!$C$1017:$AI$1131,33,FALSE),0)</f>
        <v>4717.8500000000004</v>
      </c>
      <c r="L94" s="275">
        <f>IFERROR(VLOOKUP(B94,'تقرير المصروفات حسب الشهر'!$C$1143:$AI$1259,33,FALSE),0)</f>
        <v>8873</v>
      </c>
      <c r="M94" s="275">
        <f>IFERROR(VLOOKUP(B94,'تقرير المصروفات حسب الشهر'!$C$1271:$AI$1385,33,FALSE),0)</f>
        <v>3390</v>
      </c>
      <c r="N94" s="275">
        <f>IFERROR(VLOOKUP(B94,'تقرير المصروفات حسب الشهر'!$C$1397:$AI$1512,33,FALSE),0)</f>
        <v>5114</v>
      </c>
      <c r="O94" s="281">
        <f t="shared" si="1"/>
        <v>152779.76999999999</v>
      </c>
    </row>
    <row r="95" spans="2:15">
      <c r="B95" s="284" t="s">
        <v>141</v>
      </c>
      <c r="C95" s="275">
        <f>IFERROR(VLOOKUP(B95,'تقرير المصروفات حسب الشهر'!$C$10:$AI$123,33,FALSE),0)</f>
        <v>0</v>
      </c>
      <c r="D95" s="275">
        <f>IFERROR(VLOOKUP(B95,'تقرير المصروفات حسب الشهر'!$C$134:$AI$248,33,FALSE),0)</f>
        <v>0</v>
      </c>
      <c r="E95" s="275">
        <f>IFERROR(VLOOKUP(B95,'تقرير المصروفات حسب الشهر'!$C$261:$AI$374,33,FALSE),0)</f>
        <v>0</v>
      </c>
      <c r="F95" s="275">
        <f>IFERROR(VLOOKUP(B95,'تقرير المصروفات حسب الشهر'!$C$387:$AI$499,33,FALSE),0)</f>
        <v>0</v>
      </c>
      <c r="G95" s="275">
        <f>IFERROR(VLOOKUP(B95,'تقرير المصروفات حسب الشهر'!$C$512:$AI$624,33,FALSE),0)</f>
        <v>0</v>
      </c>
      <c r="H95" s="275">
        <f>IFERROR(VLOOKUP(B95,'تقرير المصروفات حسب الشهر'!$C$637:$AI$750,33,FALSE),0)</f>
        <v>0</v>
      </c>
      <c r="I95" s="275">
        <f>IFERROR(VLOOKUP(B95,'تقرير المصروفات حسب الشهر'!C853:AI968,33,0),0)</f>
        <v>0</v>
      </c>
      <c r="J95" s="275">
        <f>IFERROR(VLOOKUP(B95,'تقرير المصروفات حسب الشهر'!$C$890:$AI$1007,33,FALSE),0)</f>
        <v>0</v>
      </c>
      <c r="K95" s="275">
        <f>IFERROR(VLOOKUP(B95,'تقرير المصروفات حسب الشهر'!$C$1017:$AI$1131,33,FALSE),0)</f>
        <v>0</v>
      </c>
      <c r="L95" s="275">
        <f>IFERROR(VLOOKUP(B95,'تقرير المصروفات حسب الشهر'!$C$1143:$AI$1259,33,FALSE),0)</f>
        <v>0</v>
      </c>
      <c r="M95" s="275">
        <f>IFERROR(VLOOKUP(B95,'تقرير المصروفات حسب الشهر'!$C$1271:$AI$1385,33,FALSE),0)</f>
        <v>0</v>
      </c>
      <c r="N95" s="275">
        <f>IFERROR(VLOOKUP(B95,'تقرير المصروفات حسب الشهر'!$C$1397:$AI$1512,33,FALSE),0)</f>
        <v>0</v>
      </c>
      <c r="O95" s="281">
        <f t="shared" si="1"/>
        <v>0</v>
      </c>
    </row>
    <row r="96" spans="2:15">
      <c r="B96" s="284" t="s">
        <v>193</v>
      </c>
      <c r="C96" s="275">
        <f>IFERROR(VLOOKUP(B96,'تقرير المصروفات حسب الشهر'!$C$10:$AI$123,33,FALSE),0)</f>
        <v>500</v>
      </c>
      <c r="D96" s="275">
        <f>IFERROR(VLOOKUP(B96,'تقرير المصروفات حسب الشهر'!$C$134:$AI$248,33,FALSE),0)</f>
        <v>500</v>
      </c>
      <c r="E96" s="275">
        <f>IFERROR(VLOOKUP(B96,'تقرير المصروفات حسب الشهر'!$C$261:$AI$374,33,FALSE),0)</f>
        <v>500</v>
      </c>
      <c r="F96" s="275">
        <f>IFERROR(VLOOKUP(B96,'تقرير المصروفات حسب الشهر'!$C$387:$AI$499,33,FALSE),0)</f>
        <v>32885</v>
      </c>
      <c r="G96" s="275">
        <f>IFERROR(VLOOKUP(B96,'تقرير المصروفات حسب الشهر'!$C$512:$AI$624,33,FALSE),0)</f>
        <v>7535</v>
      </c>
      <c r="H96" s="275">
        <f>IFERROR(VLOOKUP(B96,'تقرير المصروفات حسب الشهر'!$C$637:$AI$750,33,FALSE),0)</f>
        <v>5060</v>
      </c>
      <c r="I96" s="275">
        <f>IFERROR(VLOOKUP(B96,'تقرير المصروفات حسب الشهر'!C854:AI969,33,0),0)</f>
        <v>3200</v>
      </c>
      <c r="J96" s="275">
        <f>IFERROR(VLOOKUP(B96,'تقرير المصروفات حسب الشهر'!$C$890:$AI$1007,33,FALSE),0)</f>
        <v>4900</v>
      </c>
      <c r="K96" s="275">
        <f>IFERROR(VLOOKUP(B96,'تقرير المصروفات حسب الشهر'!$C$1017:$AI$1131,33,FALSE),0)</f>
        <v>-3280</v>
      </c>
      <c r="L96" s="275">
        <f>IFERROR(VLOOKUP(B96,'تقرير المصروفات حسب الشهر'!$C$1143:$AI$1259,33,FALSE),0)</f>
        <v>10860</v>
      </c>
      <c r="M96" s="275">
        <f>IFERROR(VLOOKUP(B96,'تقرير المصروفات حسب الشهر'!$C$1271:$AI$1385,33,FALSE),0)</f>
        <v>7160</v>
      </c>
      <c r="N96" s="275">
        <f>IFERROR(VLOOKUP(B96,'تقرير المصروفات حسب الشهر'!$C$1397:$AI$1512,33,FALSE),0)</f>
        <v>500</v>
      </c>
      <c r="O96" s="281">
        <f t="shared" si="1"/>
        <v>70320</v>
      </c>
    </row>
    <row r="97" spans="2:16">
      <c r="B97" s="284" t="s">
        <v>148</v>
      </c>
      <c r="C97" s="275">
        <f>IFERROR(VLOOKUP(B97,'تقرير المصروفات حسب الشهر'!$C$10:$AI$123,33,FALSE),0)</f>
        <v>790</v>
      </c>
      <c r="D97" s="275">
        <f>IFERROR(VLOOKUP(B97,'تقرير المصروفات حسب الشهر'!$C$134:$AI$248,33,FALSE),0)</f>
        <v>3570</v>
      </c>
      <c r="E97" s="275">
        <f>IFERROR(VLOOKUP(B97,'تقرير المصروفات حسب الشهر'!$C$261:$AI$374,33,FALSE),0)</f>
        <v>5270</v>
      </c>
      <c r="F97" s="275">
        <f>IFERROR(VLOOKUP(B97,'تقرير المصروفات حسب الشهر'!$C$387:$AI$499,33,FALSE),0)</f>
        <v>2670</v>
      </c>
      <c r="G97" s="275">
        <f>IFERROR(VLOOKUP(B97,'تقرير المصروفات حسب الشهر'!$C$512:$AI$624,33,FALSE),0)</f>
        <v>6790</v>
      </c>
      <c r="H97" s="275">
        <f>IFERROR(VLOOKUP(B97,'تقرير المصروفات حسب الشهر'!$C$637:$AI$750,33,FALSE),0)</f>
        <v>7610</v>
      </c>
      <c r="I97" s="275">
        <f>IFERROR(VLOOKUP(B97,'تقرير المصروفات حسب الشهر'!C855:AI970,33,0),0)</f>
        <v>2215</v>
      </c>
      <c r="J97" s="275">
        <f>IFERROR(VLOOKUP(B97,'تقرير المصروفات حسب الشهر'!$C$890:$AI$1007,33,FALSE),0)</f>
        <v>5880</v>
      </c>
      <c r="K97" s="275">
        <f>IFERROR(VLOOKUP(B97,'تقرير المصروفات حسب الشهر'!$C$1017:$AI$1131,33,FALSE),0)</f>
        <v>5350</v>
      </c>
      <c r="L97" s="275">
        <f>IFERROR(VLOOKUP(B97,'تقرير المصروفات حسب الشهر'!$C$1143:$AI$1259,33,FALSE),0)</f>
        <v>6710</v>
      </c>
      <c r="M97" s="275">
        <f>IFERROR(VLOOKUP(B97,'تقرير المصروفات حسب الشهر'!$C$1271:$AI$1385,33,FALSE),0)</f>
        <v>4510</v>
      </c>
      <c r="N97" s="275">
        <f>IFERROR(VLOOKUP(B97,'تقرير المصروفات حسب الشهر'!$C$1397:$AI$1512,33,FALSE),0)</f>
        <v>2960</v>
      </c>
      <c r="O97" s="281">
        <f t="shared" si="1"/>
        <v>54325</v>
      </c>
    </row>
    <row r="98" spans="2:16">
      <c r="B98" s="284" t="s">
        <v>186</v>
      </c>
      <c r="C98" s="275">
        <f>IFERROR(VLOOKUP(B98,'تقرير المصروفات حسب الشهر'!$C$10:$AI$123,33,FALSE),0)</f>
        <v>0</v>
      </c>
      <c r="D98" s="275">
        <f>IFERROR(VLOOKUP(B98,'تقرير المصروفات حسب الشهر'!$C$134:$AI$248,33,FALSE),0)</f>
        <v>0</v>
      </c>
      <c r="E98" s="275">
        <f>IFERROR(VLOOKUP(B98,'تقرير المصروفات حسب الشهر'!$C$261:$AI$374,33,FALSE),0)</f>
        <v>0</v>
      </c>
      <c r="F98" s="275">
        <f>IFERROR(VLOOKUP(B98,'تقرير المصروفات حسب الشهر'!$C$387:$AI$499,33,FALSE),0)</f>
        <v>0</v>
      </c>
      <c r="G98" s="275">
        <f>IFERROR(VLOOKUP(B98,'تقرير المصروفات حسب الشهر'!$C$512:$AI$624,33,FALSE),0)</f>
        <v>0</v>
      </c>
      <c r="H98" s="275">
        <f>IFERROR(VLOOKUP(B98,'تقرير المصروفات حسب الشهر'!$C$637:$AI$750,33,FALSE),0)</f>
        <v>0</v>
      </c>
      <c r="I98" s="275">
        <f>IFERROR(VLOOKUP(B98,'تقرير المصروفات حسب الشهر'!C856:AI971,33,0),0)</f>
        <v>0</v>
      </c>
      <c r="J98" s="275">
        <f>IFERROR(VLOOKUP(B98,'تقرير المصروفات حسب الشهر'!$C$890:$AI$1007,33,FALSE),0)</f>
        <v>0</v>
      </c>
      <c r="K98" s="275">
        <f>IFERROR(VLOOKUP(B98,'تقرير المصروفات حسب الشهر'!$C$1017:$AI$1131,33,FALSE),0)</f>
        <v>0</v>
      </c>
      <c r="L98" s="275">
        <f>IFERROR(VLOOKUP(B98,'تقرير المصروفات حسب الشهر'!$C$1143:$AI$1259,33,FALSE),0)</f>
        <v>0</v>
      </c>
      <c r="M98" s="275">
        <f>IFERROR(VLOOKUP(B98,'تقرير المصروفات حسب الشهر'!$C$1271:$AI$1385,33,FALSE),0)</f>
        <v>0</v>
      </c>
      <c r="N98" s="275">
        <f>IFERROR(VLOOKUP(B98,'تقرير المصروفات حسب الشهر'!$C$1397:$AI$1512,33,FALSE),0)</f>
        <v>0</v>
      </c>
      <c r="O98" s="281">
        <f t="shared" si="1"/>
        <v>0</v>
      </c>
    </row>
    <row r="99" spans="2:16">
      <c r="B99" s="284" t="s">
        <v>171</v>
      </c>
      <c r="C99" s="275">
        <f>IFERROR(VLOOKUP(B99,'تقرير المصروفات حسب الشهر'!$C$10:$AI$123,33,FALSE),0)</f>
        <v>0</v>
      </c>
      <c r="D99" s="275">
        <f>IFERROR(VLOOKUP(B99,'تقرير المصروفات حسب الشهر'!$C$134:$AI$248,33,FALSE),0)</f>
        <v>0</v>
      </c>
      <c r="E99" s="275">
        <f>IFERROR(VLOOKUP(B99,'تقرير المصروفات حسب الشهر'!$C$261:$AI$374,33,FALSE),0)</f>
        <v>0</v>
      </c>
      <c r="F99" s="275">
        <f>IFERROR(VLOOKUP(B99,'تقرير المصروفات حسب الشهر'!$C$387:$AI$499,33,FALSE),0)</f>
        <v>0</v>
      </c>
      <c r="G99" s="275">
        <f>IFERROR(VLOOKUP(B99,'تقرير المصروفات حسب الشهر'!$C$512:$AI$624,33,FALSE),0)</f>
        <v>0</v>
      </c>
      <c r="H99" s="275">
        <f>IFERROR(VLOOKUP(B99,'تقرير المصروفات حسب الشهر'!$C$637:$AI$750,33,FALSE),0)</f>
        <v>0</v>
      </c>
      <c r="I99" s="275">
        <f>IFERROR(VLOOKUP(B99,'تقرير المصروفات حسب الشهر'!C857:AI972,33,0),0)</f>
        <v>0</v>
      </c>
      <c r="J99" s="275">
        <f>IFERROR(VLOOKUP(B99,'تقرير المصروفات حسب الشهر'!$C$890:$AI$1007,33,FALSE),0)</f>
        <v>0</v>
      </c>
      <c r="K99" s="275">
        <f>IFERROR(VLOOKUP(B99,'تقرير المصروفات حسب الشهر'!$C$1017:$AI$1131,33,FALSE),0)</f>
        <v>0</v>
      </c>
      <c r="L99" s="275">
        <f>IFERROR(VLOOKUP(B99,'تقرير المصروفات حسب الشهر'!$C$1143:$AI$1259,33,FALSE),0)</f>
        <v>0</v>
      </c>
      <c r="M99" s="275">
        <f>IFERROR(VLOOKUP(B99,'تقرير المصروفات حسب الشهر'!$C$1271:$AI$1385,33,FALSE),0)</f>
        <v>0</v>
      </c>
      <c r="N99" s="275">
        <f>IFERROR(VLOOKUP(B99,'تقرير المصروفات حسب الشهر'!$C$1397:$AI$1512,33,FALSE),0)</f>
        <v>0</v>
      </c>
      <c r="O99" s="281">
        <f t="shared" si="1"/>
        <v>0</v>
      </c>
    </row>
    <row r="100" spans="2:16">
      <c r="B100" s="284" t="s">
        <v>180</v>
      </c>
      <c r="C100" s="275">
        <f>IFERROR(VLOOKUP(B100,'تقرير المصروفات حسب الشهر'!$C$10:$AI$123,33,FALSE),0)</f>
        <v>0</v>
      </c>
      <c r="D100" s="275">
        <f>IFERROR(VLOOKUP(B100,'تقرير المصروفات حسب الشهر'!$C$134:$AI$248,33,FALSE),0)</f>
        <v>0</v>
      </c>
      <c r="E100" s="275">
        <f>IFERROR(VLOOKUP(B100,'تقرير المصروفات حسب الشهر'!$C$261:$AI$374,33,FALSE),0)</f>
        <v>0</v>
      </c>
      <c r="F100" s="275">
        <f>IFERROR(VLOOKUP(B100,'تقرير المصروفات حسب الشهر'!$C$387:$AI$499,33,FALSE),0)</f>
        <v>0</v>
      </c>
      <c r="G100" s="275">
        <f>IFERROR(VLOOKUP(B100,'تقرير المصروفات حسب الشهر'!$C$512:$AI$624,33,FALSE),0)</f>
        <v>0</v>
      </c>
      <c r="H100" s="275">
        <f>IFERROR(VLOOKUP(B100,'تقرير المصروفات حسب الشهر'!$C$637:$AI$750,33,FALSE),0)</f>
        <v>0</v>
      </c>
      <c r="I100" s="275">
        <f>IFERROR(VLOOKUP(B100,'تقرير المصروفات حسب الشهر'!C858:AI973,33,0),0)</f>
        <v>0</v>
      </c>
      <c r="J100" s="275">
        <f>IFERROR(VLOOKUP(B100,'تقرير المصروفات حسب الشهر'!$C$890:$AI$1007,33,FALSE),0)</f>
        <v>0</v>
      </c>
      <c r="K100" s="275">
        <f>IFERROR(VLOOKUP(B100,'تقرير المصروفات حسب الشهر'!$C$1017:$AI$1131,33,FALSE),0)</f>
        <v>0</v>
      </c>
      <c r="L100" s="275">
        <f>IFERROR(VLOOKUP(B100,'تقرير المصروفات حسب الشهر'!$C$1143:$AI$1259,33,FALSE),0)</f>
        <v>0</v>
      </c>
      <c r="M100" s="275">
        <f>IFERROR(VLOOKUP(B100,'تقرير المصروفات حسب الشهر'!$C$1271:$AI$1385,33,FALSE),0)</f>
        <v>0</v>
      </c>
      <c r="N100" s="275">
        <f>IFERROR(VLOOKUP(B100,'تقرير المصروفات حسب الشهر'!$C$1397:$AI$1512,33,FALSE),0)</f>
        <v>0</v>
      </c>
      <c r="O100" s="281">
        <f t="shared" si="1"/>
        <v>0</v>
      </c>
    </row>
    <row r="101" spans="2:16">
      <c r="B101" s="284" t="s">
        <v>183</v>
      </c>
      <c r="C101" s="275">
        <f>IFERROR(VLOOKUP(B101,'تقرير المصروفات حسب الشهر'!$C$10:$AI$123,33,FALSE),0)</f>
        <v>0</v>
      </c>
      <c r="D101" s="275">
        <f>IFERROR(VLOOKUP(B101,'تقرير المصروفات حسب الشهر'!$C$134:$AI$248,33,FALSE),0)</f>
        <v>28640</v>
      </c>
      <c r="E101" s="275">
        <f>IFERROR(VLOOKUP(B101,'تقرير المصروفات حسب الشهر'!$C$261:$AI$374,33,FALSE),0)</f>
        <v>0</v>
      </c>
      <c r="F101" s="275">
        <f>IFERROR(VLOOKUP(B101,'تقرير المصروفات حسب الشهر'!$C$387:$AI$499,33,FALSE),0)</f>
        <v>0</v>
      </c>
      <c r="G101" s="275">
        <f>IFERROR(VLOOKUP(B101,'تقرير المصروفات حسب الشهر'!$C$512:$AI$624,33,FALSE),0)</f>
        <v>37893</v>
      </c>
      <c r="H101" s="275">
        <f>IFERROR(VLOOKUP(B101,'تقرير المصروفات حسب الشهر'!$C$637:$AI$750,33,FALSE),0)</f>
        <v>35116.509999999995</v>
      </c>
      <c r="I101" s="275">
        <f>IFERROR(VLOOKUP(B101,'تقرير المصروفات حسب الشهر'!C859:AI974,33,0),0)</f>
        <v>15872.66</v>
      </c>
      <c r="J101" s="275">
        <f>IFERROR(VLOOKUP(B101,'تقرير المصروفات حسب الشهر'!$C$890:$AI$1007,33,FALSE),0)</f>
        <v>20108</v>
      </c>
      <c r="K101" s="275">
        <f>IFERROR(VLOOKUP(B101,'تقرير المصروفات حسب الشهر'!$C$1017:$AI$1131,33,FALSE),0)</f>
        <v>0</v>
      </c>
      <c r="L101" s="275">
        <f>IFERROR(VLOOKUP(B101,'تقرير المصروفات حسب الشهر'!$C$1143:$AI$1259,33,FALSE),0)</f>
        <v>0</v>
      </c>
      <c r="M101" s="275">
        <f>IFERROR(VLOOKUP(B101,'تقرير المصروفات حسب الشهر'!$C$1271:$AI$1385,33,FALSE),0)</f>
        <v>0</v>
      </c>
      <c r="N101" s="275">
        <f>IFERROR(VLOOKUP(B101,'تقرير المصروفات حسب الشهر'!$C$1397:$AI$1512,33,FALSE),0)</f>
        <v>58314.999999999993</v>
      </c>
      <c r="O101" s="281">
        <f t="shared" si="1"/>
        <v>195945.16999999998</v>
      </c>
    </row>
    <row r="102" spans="2:16">
      <c r="B102" s="284" t="s">
        <v>195</v>
      </c>
      <c r="C102" s="275">
        <f>IFERROR(VLOOKUP(B102,'تقرير المصروفات حسب الشهر'!$C$10:$AI$123,33,FALSE),0)</f>
        <v>17814</v>
      </c>
      <c r="D102" s="275">
        <f>IFERROR(VLOOKUP(B102,'تقرير المصروفات حسب الشهر'!$C$134:$AI$248,33,FALSE),0)</f>
        <v>17814</v>
      </c>
      <c r="E102" s="275">
        <f>IFERROR(VLOOKUP(B102,'تقرير المصروفات حسب الشهر'!$C$261:$AI$374,33,FALSE),0)</f>
        <v>17814</v>
      </c>
      <c r="F102" s="275">
        <f>IFERROR(VLOOKUP(B102,'تقرير المصروفات حسب الشهر'!$C$387:$AI$499,33,FALSE),0)</f>
        <v>17814</v>
      </c>
      <c r="G102" s="275">
        <f>IFERROR(VLOOKUP(B102,'تقرير المصروفات حسب الشهر'!$C$512:$AI$624,33,FALSE),0)</f>
        <v>17814</v>
      </c>
      <c r="H102" s="275">
        <f>IFERROR(VLOOKUP(B102,'تقرير المصروفات حسب الشهر'!$C$637:$AI$750,33,FALSE),0)</f>
        <v>17814</v>
      </c>
      <c r="I102" s="275">
        <f>IFERROR(VLOOKUP(B102,'تقرير المصروفات حسب الشهر'!C860:AI975,33,0),0)</f>
        <v>17814</v>
      </c>
      <c r="J102" s="275">
        <f>IFERROR(VLOOKUP(B102,'تقرير المصروفات حسب الشهر'!$C$890:$AI$1007,33,FALSE),0)</f>
        <v>14221.44</v>
      </c>
      <c r="K102" s="275">
        <f>IFERROR(VLOOKUP(B102,'تقرير المصروفات حسب الشهر'!$C$1017:$AI$1131,33,FALSE),0)</f>
        <v>13890.18</v>
      </c>
      <c r="L102" s="275">
        <f>IFERROR(VLOOKUP(B102,'تقرير المصروفات حسب الشهر'!$C$1143:$AI$1259,33,FALSE),0)</f>
        <v>13553.66</v>
      </c>
      <c r="M102" s="275">
        <f>IFERROR(VLOOKUP(B102,'تقرير المصروفات حسب الشهر'!$C$1271:$AI$1385,33,FALSE),0)</f>
        <v>13211.8</v>
      </c>
      <c r="N102" s="275">
        <f>IFERROR(VLOOKUP(B102,'تقرير المصروفات حسب الشهر'!$C$1397:$AI$1512,33,FALSE),0)</f>
        <v>13038.16</v>
      </c>
      <c r="O102" s="281">
        <f t="shared" si="1"/>
        <v>192613.24</v>
      </c>
    </row>
    <row r="103" spans="2:16">
      <c r="B103" s="284" t="s">
        <v>189</v>
      </c>
      <c r="C103" s="275">
        <f>IFERROR(VLOOKUP(B103,'تقرير المصروفات حسب الشهر'!$C$10:$AI$123,33,FALSE),0)</f>
        <v>16217.28</v>
      </c>
      <c r="D103" s="275">
        <f>IFERROR(VLOOKUP(B103,'تقرير المصروفات حسب الشهر'!$C$134:$AI$248,33,FALSE),0)</f>
        <v>16217.28</v>
      </c>
      <c r="E103" s="275">
        <f>IFERROR(VLOOKUP(B103,'تقرير المصروفات حسب الشهر'!$C$261:$AI$374,33,FALSE),0)</f>
        <v>16217.28</v>
      </c>
      <c r="F103" s="275">
        <f>IFERROR(VLOOKUP(B103,'تقرير المصروفات حسب الشهر'!$C$387:$AI$499,33,FALSE),0)</f>
        <v>16217.28</v>
      </c>
      <c r="G103" s="275">
        <f>IFERROR(VLOOKUP(B103,'تقرير المصروفات حسب الشهر'!$C$512:$AI$624,33,FALSE),0)</f>
        <v>16217.28</v>
      </c>
      <c r="H103" s="275">
        <f>IFERROR(VLOOKUP(B103,'تقرير المصروفات حسب الشهر'!$C$637:$AI$750,33,FALSE),0)</f>
        <v>16217.28</v>
      </c>
      <c r="I103" s="275">
        <f>IFERROR(VLOOKUP(B103,'تقرير المصروفات حسب الشهر'!C861:AI976,33,0),0)</f>
        <v>24551.279999999999</v>
      </c>
      <c r="J103" s="275">
        <f>IFERROR(VLOOKUP(B103,'تقرير المصروفات حسب الشهر'!$C$890:$AI$1007,33,FALSE),0)</f>
        <v>10898.01</v>
      </c>
      <c r="K103" s="275">
        <f>IFERROR(VLOOKUP(B103,'تقرير المصروفات حسب الشهر'!$C$1017:$AI$1131,33,FALSE),0)</f>
        <v>10583.22</v>
      </c>
      <c r="L103" s="275">
        <f>IFERROR(VLOOKUP(B103,'تقرير المصروفات حسب الشهر'!$C$1143:$AI$1259,33,FALSE),0)</f>
        <v>10263.68</v>
      </c>
      <c r="M103" s="275">
        <f>IFERROR(VLOOKUP(B103,'تقرير المصروفات حسب الشهر'!$C$1271:$AI$1385,33,FALSE),0)</f>
        <v>9939.33</v>
      </c>
      <c r="N103" s="275">
        <f>IFERROR(VLOOKUP(B103,'تقرير المصروفات حسب الشهر'!$C$1397:$AI$1512,33,FALSE),0)</f>
        <v>9610.09</v>
      </c>
      <c r="O103" s="281">
        <f>SUM(C103:N103)</f>
        <v>173149.28999999998</v>
      </c>
    </row>
    <row r="104" spans="2:16">
      <c r="B104" s="284" t="s">
        <v>188</v>
      </c>
      <c r="C104" s="275">
        <f>IFERROR(VLOOKUP(B104,'تقرير المصروفات حسب الشهر'!$C$10:$AI$123,33,FALSE),0)</f>
        <v>32715.46</v>
      </c>
      <c r="D104" s="275">
        <f>IFERROR(VLOOKUP(B104,'تقرير المصروفات حسب الشهر'!$C$134:$AI$248,33,FALSE),0)</f>
        <v>32715.46</v>
      </c>
      <c r="E104" s="275">
        <f>IFERROR(VLOOKUP(B104,'تقرير المصروفات حسب الشهر'!$C$261:$AI$374,33,FALSE),0)</f>
        <v>32715.699999999997</v>
      </c>
      <c r="F104" s="275">
        <f>IFERROR(VLOOKUP(B104,'تقرير المصروفات حسب الشهر'!$C$387:$AI$499,33,FALSE),0)</f>
        <v>16357.73</v>
      </c>
      <c r="G104" s="275">
        <f>IFERROR(VLOOKUP(B104,'تقرير المصروفات حسب الشهر'!$C$512:$AI$624,33,FALSE),0)</f>
        <v>32715.46</v>
      </c>
      <c r="H104" s="275">
        <f>IFERROR(VLOOKUP(B104,'تقرير المصروفات حسب الشهر'!$C$637:$AI$750,33,FALSE),0)</f>
        <v>32715.46</v>
      </c>
      <c r="I104" s="275">
        <f>IFERROR(VLOOKUP(B104,'تقرير المصروفات حسب الشهر'!C862:AI977,33,0),0)</f>
        <v>119616.69</v>
      </c>
      <c r="J104" s="275">
        <f>IFERROR(VLOOKUP(B104,'تقرير المصروفات حسب الشهر'!$C$890:$AI$1007,33,FALSE),0)</f>
        <v>13853.56</v>
      </c>
      <c r="K104" s="275">
        <f>IFERROR(VLOOKUP(B104,'تقرير المصروفات حسب الشهر'!$C$1017:$AI$1131,33,FALSE),0)</f>
        <v>13147</v>
      </c>
      <c r="L104" s="275">
        <f>IFERROR(VLOOKUP(B104,'تقرير المصروفات حسب الشهر'!$C$1143:$AI$1259,33,FALSE),0)</f>
        <v>12428.04</v>
      </c>
      <c r="M104" s="275">
        <f>IFERROR(VLOOKUP(B104,'تقرير المصروفات حسب الشهر'!$C$1271:$AI$1385,33,FALSE),0)</f>
        <v>11696.48</v>
      </c>
      <c r="N104" s="275">
        <f>IFERROR(VLOOKUP(B104,'تقرير المصروفات حسب الشهر'!$C$1397:$AI$1512,33,FALSE),0)</f>
        <v>10952.1</v>
      </c>
      <c r="O104" s="281">
        <f t="shared" ref="O104:O118" si="2">SUM(C104:N104)</f>
        <v>361629.1399999999</v>
      </c>
      <c r="P104" s="583">
        <f>443316.14-O104</f>
        <v>81687.000000000116</v>
      </c>
    </row>
    <row r="105" spans="2:16">
      <c r="B105" s="284" t="s">
        <v>196</v>
      </c>
      <c r="C105" s="275">
        <f>IFERROR(VLOOKUP(B105,'تقرير المصروفات حسب الشهر'!$C$10:$AI$123,33,FALSE),0)</f>
        <v>57468.78</v>
      </c>
      <c r="D105" s="275">
        <f>IFERROR(VLOOKUP(B105,'تقرير المصروفات حسب الشهر'!$C$134:$AI$248,33,FALSE),0)</f>
        <v>57468.78</v>
      </c>
      <c r="E105" s="275">
        <f>IFERROR(VLOOKUP(B105,'تقرير المصروفات حسب الشهر'!$C$261:$AI$374,33,FALSE),0)</f>
        <v>57468.78</v>
      </c>
      <c r="F105" s="275">
        <f>IFERROR(VLOOKUP(B105,'تقرير المصروفات حسب الشهر'!$C$387:$AI$499,33,FALSE),0)</f>
        <v>23180.37</v>
      </c>
      <c r="G105" s="275">
        <f>IFERROR(VLOOKUP(B105,'تقرير المصروفات حسب الشهر'!$C$512:$AI$624,33,FALSE),0)</f>
        <v>23180.32</v>
      </c>
      <c r="H105" s="275">
        <f>IFERROR(VLOOKUP(B105,'تقرير المصروفات حسب الشهر'!$C$637:$AI$750,33,FALSE),0)</f>
        <v>52696.19</v>
      </c>
      <c r="I105" s="275">
        <f>IFERROR(VLOOKUP(B105,'تقرير المصروفات حسب الشهر'!C863:AI978,33,0),0)</f>
        <v>52696.19</v>
      </c>
      <c r="J105" s="275">
        <f>IFERROR(VLOOKUP(B105,'تقرير المصروفات حسب الشهر'!$C$890:$AI$1007,33,FALSE),0)</f>
        <v>39957.35</v>
      </c>
      <c r="K105" s="275">
        <f>IFERROR(VLOOKUP(B105,'تقرير المصروفات حسب الشهر'!$C$1017:$AI$1131,33,FALSE),0)</f>
        <v>38899.43</v>
      </c>
      <c r="L105" s="275">
        <f>IFERROR(VLOOKUP(B105,'تقرير المصروفات حسب الشهر'!$C$1143:$AI$1259,33,FALSE),0)</f>
        <v>38465.22</v>
      </c>
      <c r="M105" s="275">
        <f>IFERROR(VLOOKUP(B105,'تقرير المصروفات حسب الشهر'!$C$1271:$AI$1385,33,FALSE),0)</f>
        <v>37382.58</v>
      </c>
      <c r="N105" s="275">
        <f>IFERROR(VLOOKUP(B105,'تقرير المصروفات حسب الشهر'!$C$1397:$AI$1512,33,FALSE),0)</f>
        <v>36281.33</v>
      </c>
      <c r="O105" s="281">
        <f t="shared" si="2"/>
        <v>515145.31999999995</v>
      </c>
    </row>
    <row r="106" spans="2:16">
      <c r="B106" s="284" t="s">
        <v>197</v>
      </c>
      <c r="C106" s="275">
        <f>IFERROR(VLOOKUP(B106,'تقرير المصروفات حسب الشهر'!$C$10:$AI$123,33,FALSE),0)</f>
        <v>88117.95</v>
      </c>
      <c r="D106" s="275">
        <f>IFERROR(VLOOKUP(B106,'تقرير المصروفات حسب الشهر'!$C$134:$AI$248,33,FALSE),0)</f>
        <v>88117.95</v>
      </c>
      <c r="E106" s="275">
        <f>IFERROR(VLOOKUP(B106,'تقرير المصروفات حسب الشهر'!$C$261:$AI$374,33,FALSE),0)</f>
        <v>81687</v>
      </c>
      <c r="F106" s="275">
        <f>IFERROR(VLOOKUP(B106,'تقرير المصروفات حسب الشهر'!$C$387:$AI$499,33,FALSE),0)</f>
        <v>81687.240000000005</v>
      </c>
      <c r="G106" s="275">
        <f>IFERROR(VLOOKUP(B106,'تقرير المصروفات حسب الشهر'!$C$512:$AI$624,33,FALSE),0)</f>
        <v>86901.23</v>
      </c>
      <c r="H106" s="275">
        <f>IFERROR(VLOOKUP(B106,'تقرير المصروفات حسب الشهر'!$C$637:$AI$750,33,FALSE),0)</f>
        <v>86901.23</v>
      </c>
      <c r="I106" s="275">
        <f>IFERROR(VLOOKUP(B106,'تقرير المصروفات حسب الشهر'!C864:AI979,33,0),0)</f>
        <v>0</v>
      </c>
      <c r="J106" s="275">
        <f>IFERROR(VLOOKUP(B106,'تقرير المصروفات حسب الشهر'!$C$890:$AI$1007,33,FALSE),0)</f>
        <v>82534.89</v>
      </c>
      <c r="K106" s="275">
        <f>IFERROR(VLOOKUP(B106,'تقرير المصروفات حسب الشهر'!$C$1017:$AI$1131,33,FALSE),0)</f>
        <v>75935.81</v>
      </c>
      <c r="L106" s="275">
        <f>IFERROR(VLOOKUP(B106,'تقرير المصروفات حسب الشهر'!$C$1143:$AI$1259,33,FALSE),0)</f>
        <v>0</v>
      </c>
      <c r="M106" s="275">
        <f>IFERROR(VLOOKUP(B106,'تقرير المصروفات حسب الشهر'!$C$1271:$AI$1385,33,FALSE),0)</f>
        <v>141515.57</v>
      </c>
      <c r="N106" s="275">
        <f>IFERROR(VLOOKUP(B106,'تقرير المصروفات حسب الشهر'!$C$1397:$AI$1512,33,FALSE),0)</f>
        <v>216471.7</v>
      </c>
      <c r="O106" s="281">
        <f t="shared" si="2"/>
        <v>1029870.5700000001</v>
      </c>
      <c r="P106" s="584">
        <f>948183.57-O106</f>
        <v>-81687.000000000116</v>
      </c>
    </row>
    <row r="107" spans="2:16">
      <c r="B107" s="284" t="s">
        <v>198</v>
      </c>
      <c r="C107" s="275">
        <f>IFERROR(VLOOKUP(B107,'تقرير المصروفات حسب الشهر'!$C$10:$AI$123,33,FALSE),0)</f>
        <v>45418.64</v>
      </c>
      <c r="D107" s="275">
        <f>IFERROR(VLOOKUP(B107,'تقرير المصروفات حسب الشهر'!$C$134:$AI$248,33,FALSE),0)</f>
        <v>45418.64</v>
      </c>
      <c r="E107" s="275">
        <f>IFERROR(VLOOKUP(B107,'تقرير المصروفات حسب الشهر'!$C$261:$AI$374,33,FALSE),0)</f>
        <v>45418.64</v>
      </c>
      <c r="F107" s="275">
        <f>IFERROR(VLOOKUP(B107,'تقرير المصروفات حسب الشهر'!$C$387:$AI$499,33,FALSE),0)</f>
        <v>29883</v>
      </c>
      <c r="G107" s="275">
        <f>IFERROR(VLOOKUP(B107,'تقرير المصروفات حسب الشهر'!$C$512:$AI$624,33,FALSE),0)</f>
        <v>29883</v>
      </c>
      <c r="H107" s="275">
        <f>IFERROR(VLOOKUP(B107,'تقرير المصروفات حسب الشهر'!$C$637:$AI$750,33,FALSE),0)</f>
        <v>45418.64</v>
      </c>
      <c r="I107" s="275">
        <f>IFERROR(VLOOKUP(B107,'تقرير المصروفات حسب الشهر'!C865:AI980,33,0),0)</f>
        <v>0</v>
      </c>
      <c r="J107" s="275">
        <f>IFERROR(VLOOKUP(B107,'تقرير المصروفات حسب الشهر'!$C$890:$AI$1007,33,FALSE),0)</f>
        <v>21286.6</v>
      </c>
      <c r="K107" s="275">
        <f>IFERROR(VLOOKUP(B107,'تقرير المصروفات حسب الشهر'!$C$1017:$AI$1131,33,FALSE),0)</f>
        <v>20500.68</v>
      </c>
      <c r="L107" s="275">
        <f>IFERROR(VLOOKUP(B107,'تقرير المصروفات حسب الشهر'!$C$1143:$AI$1259,33,FALSE),0)</f>
        <v>19703.32</v>
      </c>
      <c r="M107" s="275">
        <f>IFERROR(VLOOKUP(B107,'تقرير المصروفات حسب الشهر'!$C$1271:$AI$1385,33,FALSE),0)</f>
        <v>18894.37</v>
      </c>
      <c r="N107" s="275">
        <f>IFERROR(VLOOKUP(B107,'تقرير المصروفات حسب الشهر'!$C$1397:$AI$1512,33,FALSE),0)</f>
        <v>18073.64</v>
      </c>
      <c r="O107" s="281">
        <f t="shared" si="2"/>
        <v>339899.17</v>
      </c>
    </row>
    <row r="108" spans="2:16">
      <c r="B108" s="284" t="s">
        <v>201</v>
      </c>
      <c r="C108" s="275">
        <f>IFERROR(VLOOKUP(B108,'تقرير المصروفات حسب الشهر'!$C$10:$AI$123,33,FALSE),0)</f>
        <v>20328.900000000001</v>
      </c>
      <c r="D108" s="275">
        <f>IFERROR(VLOOKUP(B108,'تقرير المصروفات حسب الشهر'!$C$134:$AI$248,33,FALSE),0)</f>
        <v>20328.900000000001</v>
      </c>
      <c r="E108" s="275">
        <f>IFERROR(VLOOKUP(B108,'تقرير المصروفات حسب الشهر'!$C$261:$AI$374,33,FALSE),0)</f>
        <v>20328.900000000001</v>
      </c>
      <c r="F108" s="275">
        <f>IFERROR(VLOOKUP(B108,'تقرير المصروفات حسب الشهر'!$C$387:$AI$499,33,FALSE),0)</f>
        <v>20328.900000000001</v>
      </c>
      <c r="G108" s="275">
        <f>IFERROR(VLOOKUP(B108,'تقرير المصروفات حسب الشهر'!$C$512:$AI$624,33,FALSE),0)</f>
        <v>20328.900000000001</v>
      </c>
      <c r="H108" s="275">
        <f>IFERROR(VLOOKUP(B108,'تقرير المصروفات حسب الشهر'!$C$637:$AI$750,33,FALSE),0)</f>
        <v>20328.900000000001</v>
      </c>
      <c r="I108" s="275">
        <f>IFERROR(VLOOKUP(B108,'تقرير المصروفات حسب الشهر'!C866:AI981,33,0),0)</f>
        <v>20328.900000000001</v>
      </c>
      <c r="J108" s="275">
        <f>IFERROR(VLOOKUP(B108,'تقرير المصروفات حسب الشهر'!$C$890:$AI$1007,33,FALSE),0)</f>
        <v>13882.9</v>
      </c>
      <c r="K108" s="275">
        <f>IFERROR(VLOOKUP(B108,'تقرير المصروفات حسب الشهر'!$C$1017:$AI$1131,33,FALSE),0)</f>
        <v>13451.93</v>
      </c>
      <c r="L108" s="275">
        <f>IFERROR(VLOOKUP(B108,'تقرير المصروفات حسب الشهر'!$C$1143:$AI$1259,33,FALSE),0)</f>
        <v>13013.79</v>
      </c>
      <c r="M108" s="275">
        <f>IFERROR(VLOOKUP(B108,'تقرير المصروفات حسب الشهر'!$C$1271:$AI$1385,33,FALSE),0)</f>
        <v>12568.34</v>
      </c>
      <c r="N108" s="275">
        <f>IFERROR(VLOOKUP(B108,'تقرير المصروفات حسب الشهر'!$C$1397:$AI$1512,33,FALSE),0)</f>
        <v>12115.46</v>
      </c>
      <c r="O108" s="281">
        <f t="shared" si="2"/>
        <v>207334.71999999997</v>
      </c>
    </row>
    <row r="109" spans="2:16">
      <c r="B109" s="284" t="s">
        <v>202</v>
      </c>
      <c r="C109" s="275">
        <f>IFERROR(VLOOKUP(B109,'تقرير المصروفات حسب الشهر'!$C$10:$AI$123,33,FALSE),0)</f>
        <v>31885.69</v>
      </c>
      <c r="D109" s="275">
        <f>IFERROR(VLOOKUP(B109,'تقرير المصروفات حسب الشهر'!$C$134:$AI$248,33,FALSE),0)</f>
        <v>31885.69</v>
      </c>
      <c r="E109" s="275">
        <f>IFERROR(VLOOKUP(B109,'تقرير المصروفات حسب الشهر'!$C$261:$AI$374,33,FALSE),0)</f>
        <v>17785.95</v>
      </c>
      <c r="F109" s="275">
        <f>IFERROR(VLOOKUP(B109,'تقرير المصروفات حسب الشهر'!$C$387:$AI$499,33,FALSE),0)</f>
        <v>31885.69</v>
      </c>
      <c r="G109" s="275">
        <f>IFERROR(VLOOKUP(B109,'تقرير المصروفات حسب الشهر'!$C$512:$AI$624,33,FALSE),0)</f>
        <v>31885.69</v>
      </c>
      <c r="H109" s="275">
        <f>IFERROR(VLOOKUP(B109,'تقرير المصروفات حسب الشهر'!$C$637:$AI$750,33,FALSE),0)</f>
        <v>31885.69</v>
      </c>
      <c r="I109" s="275">
        <f>IFERROR(VLOOKUP(B109,'تقرير المصروفات حسب الشهر'!C867:AI982,33,0),0)</f>
        <v>31885.69</v>
      </c>
      <c r="J109" s="275">
        <f>IFERROR(VLOOKUP(B109,'تقرير المصروفات حسب الشهر'!$C$890:$AI$1007,33,FALSE),0)</f>
        <v>20439.990000000002</v>
      </c>
      <c r="K109" s="275">
        <f>IFERROR(VLOOKUP(B109,'تقرير المصروفات حسب الشهر'!$C$1017:$AI$1131,33,FALSE),0)</f>
        <v>19795.14</v>
      </c>
      <c r="L109" s="275">
        <f>IFERROR(VLOOKUP(B109,'تقرير المصروفات حسب الشهر'!$C$1143:$AI$1259,33,FALSE),0)</f>
        <v>19139.599999999999</v>
      </c>
      <c r="M109" s="275">
        <f>IFERROR(VLOOKUP(B109,'تقرير المصروفات حسب الشهر'!$C$1271:$AI$1385,33,FALSE),0)</f>
        <v>18473.21</v>
      </c>
      <c r="N109" s="275">
        <f>IFERROR(VLOOKUP(B109,'تقرير المصروفات حسب الشهر'!$C$1397:$AI$1512,33,FALSE),0)</f>
        <v>17795.78</v>
      </c>
      <c r="O109" s="281">
        <f t="shared" si="2"/>
        <v>304743.80999999994</v>
      </c>
    </row>
    <row r="110" spans="2:16">
      <c r="B110" s="284" t="s">
        <v>206</v>
      </c>
      <c r="C110" s="275">
        <f>IFERROR(VLOOKUP(B110,'تقرير المصروفات حسب الشهر'!$C$10:$AI$123,33,FALSE),0)</f>
        <v>20793.88</v>
      </c>
      <c r="D110" s="275">
        <f>IFERROR(VLOOKUP(B110,'تقرير المصروفات حسب الشهر'!$C$134:$AI$248,33,FALSE),0)</f>
        <v>20793.88</v>
      </c>
      <c r="E110" s="275">
        <f>IFERROR(VLOOKUP(B110,'تقرير المصروفات حسب الشهر'!$C$261:$AI$374,33,FALSE),0)</f>
        <v>20793.88</v>
      </c>
      <c r="F110" s="275">
        <f>IFERROR(VLOOKUP(B110,'تقرير المصروفات حسب الشهر'!$C$387:$AI$499,33,FALSE),0)</f>
        <v>19181</v>
      </c>
      <c r="G110" s="275">
        <f>IFERROR(VLOOKUP(B110,'تقرير المصروفات حسب الشهر'!$C$512:$AI$624,33,FALSE),0)</f>
        <v>19181</v>
      </c>
      <c r="H110" s="275">
        <f>IFERROR(VLOOKUP(B110,'تقرير المصروفات حسب الشهر'!$C$637:$AI$750,33,FALSE),0)</f>
        <v>20793.88</v>
      </c>
      <c r="I110" s="275">
        <f>IFERROR(VLOOKUP(B110,'تقرير المصروفات حسب الشهر'!C868:AI983,33,0),0)</f>
        <v>20793.88</v>
      </c>
      <c r="J110" s="275">
        <f>IFERROR(VLOOKUP(B110,'تقرير المصروفات حسب الشهر'!$C$890:$AI$1007,33,FALSE),0)</f>
        <v>14549.09</v>
      </c>
      <c r="K110" s="275">
        <f>IFERROR(VLOOKUP(B110,'تقرير المصروفات حسب الشهر'!$C$1017:$AI$1131,33,FALSE),0)</f>
        <v>14119.39</v>
      </c>
      <c r="L110" s="275">
        <f>IFERROR(VLOOKUP(B110,'تقرير المصروفات حسب الشهر'!$C$1143:$AI$1259,33,FALSE),0)</f>
        <v>13682.43</v>
      </c>
      <c r="M110" s="275">
        <f>IFERROR(VLOOKUP(B110,'تقرير المصروفات حسب الشهر'!$C$1271:$AI$1385,33,FALSE),0)</f>
        <v>13238.09</v>
      </c>
      <c r="N110" s="275">
        <f>IFERROR(VLOOKUP(B110,'تقرير المصروفات حسب الشهر'!$C$1397:$AI$1512,33,FALSE),0)</f>
        <v>12786.24</v>
      </c>
      <c r="O110" s="281">
        <f t="shared" si="2"/>
        <v>210706.63999999998</v>
      </c>
    </row>
    <row r="111" spans="2:16">
      <c r="B111" s="284" t="s">
        <v>207</v>
      </c>
      <c r="C111" s="275">
        <f>IFERROR(VLOOKUP(B111,'تقرير المصروفات حسب الشهر'!$C$10:$AI$123,33,FALSE),0)</f>
        <v>30562.5</v>
      </c>
      <c r="D111" s="275">
        <f>IFERROR(VLOOKUP(B111,'تقرير المصروفات حسب الشهر'!$C$134:$AI$248,33,FALSE),0)</f>
        <v>30562.5</v>
      </c>
      <c r="E111" s="275">
        <f>IFERROR(VLOOKUP(B111,'تقرير المصروفات حسب الشهر'!$C$261:$AI$374,33,FALSE),0)</f>
        <v>30993.75</v>
      </c>
      <c r="F111" s="275">
        <f>IFERROR(VLOOKUP(B111,'تقرير المصروفات حسب الشهر'!$C$387:$AI$499,33,FALSE),0)</f>
        <v>30993.75</v>
      </c>
      <c r="G111" s="275">
        <f>IFERROR(VLOOKUP(B111,'تقرير المصروفات حسب الشهر'!$C$512:$AI$624,33,FALSE),0)</f>
        <v>31856.25</v>
      </c>
      <c r="H111" s="275">
        <f>IFERROR(VLOOKUP(B111,'تقرير المصروفات حسب الشهر'!$C$637:$AI$750,33,FALSE),0)</f>
        <v>44889</v>
      </c>
      <c r="I111" s="275">
        <f>IFERROR(VLOOKUP(B111,'تقرير المصروفات حسب الشهر'!C869:AI984,33,0),0)</f>
        <v>33150</v>
      </c>
      <c r="J111" s="275">
        <f>IFERROR(VLOOKUP(B111,'تقرير المصروفات حسب الشهر'!$C$890:$AI$1007,33,FALSE),0)</f>
        <v>34012.5</v>
      </c>
      <c r="K111" s="275">
        <f>IFERROR(VLOOKUP(B111,'تقرير المصروفات حسب الشهر'!$C$1017:$AI$1131,33,FALSE),0)</f>
        <v>34012.5</v>
      </c>
      <c r="L111" s="275">
        <f>IFERROR(VLOOKUP(B111,'تقرير المصروفات حسب الشهر'!$C$1143:$AI$1259,33,FALSE),0)</f>
        <v>33581.25</v>
      </c>
      <c r="M111" s="275">
        <f>IFERROR(VLOOKUP(B111,'تقرير المصروفات حسب الشهر'!$C$1271:$AI$1385,33,FALSE),0)</f>
        <v>33149.5</v>
      </c>
      <c r="N111" s="275">
        <f>IFERROR(VLOOKUP(B111,'تقرير المصروفات حسب الشهر'!$C$1397:$AI$1512,33,FALSE),0)</f>
        <v>33150</v>
      </c>
      <c r="O111" s="281">
        <f>SUM(C111:N111)</f>
        <v>400913.5</v>
      </c>
    </row>
    <row r="112" spans="2:16">
      <c r="B112" s="284" t="s">
        <v>208</v>
      </c>
      <c r="C112" s="275">
        <f>IFERROR(VLOOKUP(B112,'تقرير المصروفات حسب الشهر'!$C$10:$AI$123,33,FALSE),0)</f>
        <v>22944.91</v>
      </c>
      <c r="D112" s="275">
        <f>IFERROR(VLOOKUP(B112,'تقرير المصروفات حسب الشهر'!$C$134:$AI$248,33,FALSE),0)</f>
        <v>22944.91</v>
      </c>
      <c r="E112" s="275">
        <f>IFERROR(VLOOKUP(B112,'تقرير المصروفات حسب الشهر'!$C$261:$AI$374,33,FALSE),0)</f>
        <v>22944.91</v>
      </c>
      <c r="F112" s="275">
        <f>IFERROR(VLOOKUP(B112,'تقرير المصروفات حسب الشهر'!$C$387:$AI$499,33,FALSE),0)</f>
        <v>22914.91</v>
      </c>
      <c r="G112" s="275">
        <f>IFERROR(VLOOKUP(B112,'تقرير المصروفات حسب الشهر'!$C$512:$AI$624,33,FALSE),0)</f>
        <v>29713.06</v>
      </c>
      <c r="H112" s="275">
        <f>IFERROR(VLOOKUP(B112,'تقرير المصروفات حسب الشهر'!$C$637:$AI$750,33,FALSE),0)</f>
        <v>22914.91</v>
      </c>
      <c r="I112" s="275">
        <f>IFERROR(VLOOKUP(B112,'تقرير المصروفات حسب الشهر'!C870:AI985,33,0),0)</f>
        <v>22914.91</v>
      </c>
      <c r="J112" s="275">
        <f>IFERROR(VLOOKUP(B112,'تقرير المصروفات حسب الشهر'!$C$890:$AI$1007,33,FALSE),0)</f>
        <v>20335.79</v>
      </c>
      <c r="K112" s="275">
        <f>IFERROR(VLOOKUP(B112,'تقرير المصروفات حسب الشهر'!$C$1017:$AI$1131,33,FALSE),0)</f>
        <v>20092.849999999999</v>
      </c>
      <c r="L112" s="275">
        <f>IFERROR(VLOOKUP(B112,'تقرير المصروفات حسب الشهر'!$C$1143:$AI$1259,33,FALSE),0)</f>
        <v>19845.650000000001</v>
      </c>
      <c r="M112" s="275">
        <f>IFERROR(VLOOKUP(B112,'تقرير المصروفات حسب الشهر'!$C$1271:$AI$1385,33,FALSE),0)</f>
        <v>19594.13</v>
      </c>
      <c r="N112" s="275">
        <f>IFERROR(VLOOKUP(B112,'تقرير المصروفات حسب الشهر'!$C$1397:$AI$1512,33,FALSE),0)</f>
        <v>19338.2</v>
      </c>
      <c r="O112" s="281">
        <f t="shared" si="2"/>
        <v>266499.14</v>
      </c>
    </row>
    <row r="113" spans="2:15">
      <c r="B113" s="285" t="s">
        <v>236</v>
      </c>
      <c r="C113" s="275">
        <f>IFERROR(VLOOKUP(B113,'تقرير المصروفات حسب الشهر'!$C$10:$AI$123,33,FALSE),0)</f>
        <v>24094.78</v>
      </c>
      <c r="D113" s="275">
        <f>IFERROR(VLOOKUP(B113,'تقرير المصروفات حسب الشهر'!$C$134:$AI$248,33,FALSE),0)</f>
        <v>24094.78</v>
      </c>
      <c r="E113" s="275">
        <f>IFERROR(VLOOKUP(B113,'تقرير المصروفات حسب الشهر'!$C$261:$AI$374,33,FALSE),0)</f>
        <v>24094.78</v>
      </c>
      <c r="F113" s="275">
        <f>IFERROR(VLOOKUP(B113,'تقرير المصروفات حسب الشهر'!$C$387:$AI$499,33,FALSE),0)</f>
        <v>24094.78</v>
      </c>
      <c r="G113" s="275">
        <f>IFERROR(VLOOKUP(B113,'تقرير المصروفات حسب الشهر'!$C$512:$AI$624,33,FALSE),0)</f>
        <v>24094.78</v>
      </c>
      <c r="H113" s="275">
        <f>IFERROR(VLOOKUP(B113,'تقرير المصروفات حسب الشهر'!$C$637:$AI$750,33,FALSE),0)</f>
        <v>24094.78</v>
      </c>
      <c r="I113" s="275">
        <f>IFERROR(VLOOKUP(B113,'تقرير المصروفات حسب الشهر'!C871:AI986,33,0),0)</f>
        <v>24094.78</v>
      </c>
      <c r="J113" s="275">
        <f>IFERROR(VLOOKUP(B113,'تقرير المصروفات حسب الشهر'!$C$890:$AI$1007,33,FALSE),0)</f>
        <v>19385.650000000001</v>
      </c>
      <c r="K113" s="275">
        <f>IFERROR(VLOOKUP(B113,'تقرير المصروفات حسب الشهر'!$C$1017:$AI$1131,33,FALSE),0)</f>
        <v>18941.97</v>
      </c>
      <c r="L113" s="275">
        <f>IFERROR(VLOOKUP(B113,'تقرير المصروفات حسب الشهر'!$C$1143:$AI$1259,33,FALSE),0)</f>
        <v>18489.740000000002</v>
      </c>
      <c r="M113" s="275">
        <f>IFERROR(VLOOKUP(B113,'تقرير المصروفات حسب الشهر'!$C$1271:$AI$1385,33,FALSE),0)</f>
        <v>18028.79</v>
      </c>
      <c r="N113" s="275">
        <f>IFERROR(VLOOKUP(B113,'تقرير المصروفات حسب الشهر'!$C$1397:$AI$1512,33,FALSE),0)</f>
        <v>17558.96</v>
      </c>
      <c r="O113" s="281">
        <f t="shared" si="2"/>
        <v>261068.56999999998</v>
      </c>
    </row>
    <row r="114" spans="2:15">
      <c r="B114" s="285" t="s">
        <v>209</v>
      </c>
      <c r="C114" s="275">
        <f>IFERROR(VLOOKUP(B114,'تقرير المصروفات حسب الشهر'!$C$10:$AI$123,33,FALSE),0)</f>
        <v>18700</v>
      </c>
      <c r="D114" s="275">
        <f>IFERROR(VLOOKUP(B114,'تقرير المصروفات حسب الشهر'!$C$134:$AI$248,33,FALSE),0)</f>
        <v>28000</v>
      </c>
      <c r="E114" s="275">
        <f>IFERROR(VLOOKUP(B114,'تقرير المصروفات حسب الشهر'!$C$261:$AI$374,33,FALSE),0)</f>
        <v>6000</v>
      </c>
      <c r="F114" s="275">
        <f>IFERROR(VLOOKUP(B114,'تقرير المصروفات حسب الشهر'!$C$387:$AI$499,33,FALSE),0)</f>
        <v>0</v>
      </c>
      <c r="G114" s="275">
        <f>IFERROR(VLOOKUP(B114,'تقرير المصروفات حسب الشهر'!$C$512:$AI$624,33,FALSE),0)</f>
        <v>530</v>
      </c>
      <c r="H114" s="275">
        <f>IFERROR(VLOOKUP(B114,'تقرير المصروفات حسب الشهر'!$C$637:$AI$750,33,FALSE),0)</f>
        <v>20000</v>
      </c>
      <c r="I114" s="275">
        <f>IFERROR(VLOOKUP(B114,'تقرير المصروفات حسب الشهر'!C872:AI987,33,0),0)</f>
        <v>10000</v>
      </c>
      <c r="J114" s="275">
        <f>IFERROR(VLOOKUP(B114,'تقرير المصروفات حسب الشهر'!$C$890:$AI$1007,33,FALSE),0)</f>
        <v>500</v>
      </c>
      <c r="K114" s="275">
        <f>IFERROR(VLOOKUP(B114,'تقرير المصروفات حسب الشهر'!$C$1017:$AI$1131,33,FALSE),0)</f>
        <v>0</v>
      </c>
      <c r="L114" s="275">
        <f>IFERROR(VLOOKUP(B114,'تقرير المصروفات حسب الشهر'!$C$1143:$AI$1259,33,FALSE),0)</f>
        <v>0</v>
      </c>
      <c r="M114" s="275">
        <f>IFERROR(VLOOKUP(B114,'تقرير المصروفات حسب الشهر'!$C$1271:$AI$1385,33,FALSE),0)</f>
        <v>0</v>
      </c>
      <c r="N114" s="275">
        <f>IFERROR(VLOOKUP(B114,'تقرير المصروفات حسب الشهر'!$C$1397:$AI$1512,33,FALSE),0)</f>
        <v>11470</v>
      </c>
      <c r="O114" s="281">
        <f t="shared" si="2"/>
        <v>95200</v>
      </c>
    </row>
    <row r="115" spans="2:15">
      <c r="B115" s="285" t="s">
        <v>360</v>
      </c>
      <c r="C115" s="275">
        <f>IFERROR(VLOOKUP(B115,'تقرير المصروفات حسب الشهر'!$C$10:$AI$123,33,FALSE),0)</f>
        <v>943867.76000000013</v>
      </c>
      <c r="D115" s="275">
        <f>IFERROR(VLOOKUP(B115,'تقرير المصروفات حسب الشهر'!$C$134:$AI$248,33,FALSE),0)</f>
        <v>1243610.8599999999</v>
      </c>
      <c r="E115" s="275">
        <f>IFERROR(VLOOKUP(B115,'تقرير المصروفات حسب الشهر'!$C$261:$AI$374,33,FALSE),0)</f>
        <v>1359247.6500000001</v>
      </c>
      <c r="F115" s="275">
        <f>IFERROR(VLOOKUP(B115,'تقرير المصروفات حسب الشهر'!$C$387:$AI$499,33,FALSE),0)</f>
        <v>1978698</v>
      </c>
      <c r="G115" s="275">
        <f>IFERROR(VLOOKUP(B115,'تقرير المصروفات حسب الشهر'!$C$512:$AI$624,33,FALSE),0)</f>
        <v>2075060.85</v>
      </c>
      <c r="H115" s="275">
        <f>IFERROR(VLOOKUP(B115,'تقرير المصروفات حسب الشهر'!$C$637:$AI$750,33,FALSE),0)</f>
        <v>2768807.3699999996</v>
      </c>
      <c r="I115" s="275">
        <f>IFERROR(VLOOKUP(B115,'تقرير المصروفات حسب الشهر'!C873:AI988,33,0),0)</f>
        <v>2162727.4700000002</v>
      </c>
      <c r="J115" s="275">
        <f>IFERROR(VLOOKUP(B115,'تقرير المصروفات حسب الشهر'!$C$890:$AI$1007,33,FALSE),0)</f>
        <v>2010834.1100000003</v>
      </c>
      <c r="K115" s="275">
        <f>IFERROR(VLOOKUP(B115,'تقرير المصروفات حسب الشهر'!$C$1017:$AI$1131,33,FALSE),0)</f>
        <v>2485648.7399999998</v>
      </c>
      <c r="L115" s="275">
        <f>IFERROR(VLOOKUP(B115,'تقرير المصروفات حسب الشهر'!$C$1143:$AI$1259,33,FALSE),0)</f>
        <v>2296919.08</v>
      </c>
      <c r="M115" s="275">
        <f>IFERROR(VLOOKUP(B115,'تقرير المصروفات حسب الشهر'!$C$1271:$AI$1385,33,FALSE),0)</f>
        <v>2541007.5499999998</v>
      </c>
      <c r="N115" s="275">
        <f>IFERROR(VLOOKUP(B115,'تقرير المصروفات حسب الشهر'!$C$1397:$AI$1512,33,FALSE),0)</f>
        <v>2803080.6300000004</v>
      </c>
      <c r="O115" s="281">
        <f t="shared" si="2"/>
        <v>24669510.07</v>
      </c>
    </row>
    <row r="116" spans="2:15">
      <c r="B116" s="285" t="s">
        <v>390</v>
      </c>
      <c r="C116" s="275">
        <f>IFERROR(VLOOKUP(B116,'تقرير المصروفات حسب الشهر'!$C$10:$AI$123,33,FALSE),0)</f>
        <v>0</v>
      </c>
      <c r="D116" s="275">
        <f>IFERROR(VLOOKUP(B116,'تقرير المصروفات حسب الشهر'!$C$134:$AI$248,33,FALSE),0)</f>
        <v>0</v>
      </c>
      <c r="E116" s="275">
        <f>IFERROR(VLOOKUP(B116,'تقرير المصروفات حسب الشهر'!$C$261:$AI$374,33,FALSE),0)</f>
        <v>0</v>
      </c>
      <c r="F116" s="275">
        <f>IFERROR(VLOOKUP(B116,'تقرير المصروفات حسب الشهر'!$C$387:$AI$499,33,FALSE),0)</f>
        <v>0</v>
      </c>
      <c r="G116" s="275">
        <f>IFERROR(VLOOKUP(B116,'تقرير المصروفات حسب الشهر'!$C$512:$AI$624,33,FALSE),0)</f>
        <v>0</v>
      </c>
      <c r="H116" s="275">
        <f>IFERROR(VLOOKUP(B116,'تقرير المصروفات حسب الشهر'!$C$637:$AI$750,33,FALSE),0)</f>
        <v>2157.5</v>
      </c>
      <c r="I116" s="275">
        <f>IFERROR(VLOOKUP(B116,'تقرير المصروفات حسب الشهر'!C874:AI989,33,0),0)</f>
        <v>0</v>
      </c>
      <c r="J116" s="275">
        <f>IFERROR(VLOOKUP(B116,'تقرير المصروفات حسب الشهر'!$C$890:$AI$1007,33,FALSE),0)</f>
        <v>0</v>
      </c>
      <c r="K116" s="275">
        <f>IFERROR(VLOOKUP(B116,'تقرير المصروفات حسب الشهر'!$C$1017:$AI$1131,33,FALSE),0)</f>
        <v>0</v>
      </c>
      <c r="L116" s="275">
        <f>IFERROR(VLOOKUP(B116,'تقرير المصروفات حسب الشهر'!$C$1143:$AI$1259,33,FALSE),0)</f>
        <v>0</v>
      </c>
      <c r="M116" s="275">
        <f>IFERROR(VLOOKUP(B116,'تقرير المصروفات حسب الشهر'!$C$1271:$AI$1385,33,FALSE),0)</f>
        <v>0</v>
      </c>
      <c r="N116" s="275">
        <f>IFERROR(VLOOKUP(B116,'تقرير المصروفات حسب الشهر'!$C$1397:$AI$1512,33,FALSE),0)</f>
        <v>0</v>
      </c>
      <c r="O116" s="281">
        <f t="shared" si="2"/>
        <v>2157.5</v>
      </c>
    </row>
    <row r="117" spans="2:15">
      <c r="B117" s="285" t="s">
        <v>392</v>
      </c>
      <c r="C117" s="275">
        <f>IFERROR(VLOOKUP(B117,'تقرير المصروفات حسب الشهر'!$C$10:$AI$123,33,FALSE),0)</f>
        <v>0</v>
      </c>
      <c r="D117" s="275">
        <f>IFERROR(VLOOKUP(B117,'تقرير المصروفات حسب الشهر'!$C$134:$AI$248,33,FALSE),0)</f>
        <v>0</v>
      </c>
      <c r="E117" s="275">
        <f>IFERROR(VLOOKUP(B117,'تقرير المصروفات حسب الشهر'!$C$261:$AI$374,33,FALSE),0)</f>
        <v>0</v>
      </c>
      <c r="F117" s="275">
        <f>IFERROR(VLOOKUP(B117,'تقرير المصروفات حسب الشهر'!$C$387:$AI$499,33,FALSE),0)</f>
        <v>0</v>
      </c>
      <c r="G117" s="275">
        <f>IFERROR(VLOOKUP(B117,'تقرير المصروفات حسب الشهر'!$C$512:$AI$624,33,FALSE),0)</f>
        <v>0</v>
      </c>
      <c r="H117" s="275">
        <f>IFERROR(VLOOKUP(B117,'تقرير المصروفات حسب الشهر'!$C$637:$AI$750,33,FALSE),0)</f>
        <v>0</v>
      </c>
      <c r="I117" s="275">
        <f>IFERROR(VLOOKUP(B117,'تقرير المصروفات حسب الشهر'!C875:AI990,33,0),0)</f>
        <v>393818.75</v>
      </c>
      <c r="J117" s="275">
        <f>IFERROR(VLOOKUP(B117,'تقرير المصروفات حسب الشهر'!$C$890:$AI$1007,33,FALSE),0)</f>
        <v>663410.82999999996</v>
      </c>
      <c r="K117" s="275">
        <f>IFERROR(VLOOKUP(B117,'تقرير المصروفات حسب الشهر'!$C$1017:$AI$1131,33,FALSE),0)</f>
        <v>988588.92000000016</v>
      </c>
      <c r="L117" s="275">
        <f>IFERROR(VLOOKUP(B117,'تقرير المصروفات حسب الشهر'!$C$1143:$AI$1259,33,FALSE),0)</f>
        <v>851325.58999999985</v>
      </c>
      <c r="M117" s="275">
        <f>IFERROR(VLOOKUP(B117,'تقرير المصروفات حسب الشهر'!$C$1271:$AI$1385,33,FALSE),0)</f>
        <v>432581.85000000003</v>
      </c>
      <c r="N117" s="275">
        <f>IFERROR(VLOOKUP(B117,'تقرير المصروفات حسب الشهر'!$C$1397:$AI$1512,33,FALSE),0)</f>
        <v>665695.34000000008</v>
      </c>
      <c r="O117" s="281">
        <f t="shared" si="2"/>
        <v>3995421.2800000003</v>
      </c>
    </row>
    <row r="118" spans="2:15">
      <c r="B118" s="285" t="s">
        <v>400</v>
      </c>
      <c r="C118" s="275">
        <f>IFERROR(VLOOKUP(B118,'تقرير المصروفات حسب الشهر'!$C$10:$AI$123,33,FALSE),0)</f>
        <v>0</v>
      </c>
      <c r="D118" s="275">
        <f>IFERROR(VLOOKUP(B118,'تقرير المصروفات حسب الشهر'!$C$134:$AI$248,33,FALSE),0)</f>
        <v>145389.75</v>
      </c>
      <c r="E118" s="275">
        <f>IFERROR(VLOOKUP(B118,'تقرير المصروفات حسب الشهر'!$C$261:$AI$374,33,FALSE),0)</f>
        <v>145389.75</v>
      </c>
      <c r="F118" s="275">
        <f>IFERROR(VLOOKUP(B118,'تقرير المصروفات حسب الشهر'!$C$387:$AI$499,33,FALSE),0)</f>
        <v>145389.75</v>
      </c>
      <c r="G118" s="275">
        <f>IFERROR(VLOOKUP(B118,'تقرير المصروفات حسب الشهر'!$C$512:$AI$624,33,FALSE),0)</f>
        <v>145389.75</v>
      </c>
      <c r="H118" s="275">
        <f>IFERROR(VLOOKUP(B118,'تقرير المصروفات حسب الشهر'!$C$637:$AI$750,33,FALSE),0)</f>
        <v>145389.75</v>
      </c>
      <c r="I118" s="275">
        <f>IFERROR(VLOOKUP(B118,'تقرير المصروفات حسب الشهر'!C876:AI991,33,0),0)</f>
        <v>145389.75</v>
      </c>
      <c r="J118" s="275">
        <f>IFERROR(VLOOKUP(B118,'تقرير المصروفات حسب الشهر'!$C$890:$AI$1007,33,FALSE),0)</f>
        <v>145389.75</v>
      </c>
      <c r="K118" s="275">
        <f>IFERROR(VLOOKUP(B118,'تقرير المصروفات حسب الشهر'!$C$1017:$AI$1131,33,FALSE),0)</f>
        <v>145389.75</v>
      </c>
      <c r="L118" s="275">
        <f>IFERROR(VLOOKUP(B118,'تقرير المصروفات حسب الشهر'!$C$1143:$AI$1259,33,FALSE),0)</f>
        <v>145389.75</v>
      </c>
      <c r="M118" s="275">
        <f>IFERROR(VLOOKUP(B118,'تقرير المصروفات حسب الشهر'!$C$1271:$AI$1385,33,FALSE),0)</f>
        <v>145389.75</v>
      </c>
      <c r="N118" s="275">
        <f>IFERROR(VLOOKUP(B118,'تقرير المصروفات حسب الشهر'!$C$1397:$AI$1512,33,FALSE),0)</f>
        <v>92000</v>
      </c>
      <c r="O118" s="281">
        <f t="shared" si="2"/>
        <v>1545897.5</v>
      </c>
    </row>
    <row r="119" spans="2:15" ht="19.5" customHeight="1" thickBot="1">
      <c r="B119" s="283" t="s">
        <v>239</v>
      </c>
      <c r="C119" s="282">
        <f>SUM(C4:C118)</f>
        <v>7206089.6500000013</v>
      </c>
      <c r="D119" s="282">
        <f t="shared" ref="D119:O119" si="3">SUM(D4:D118)</f>
        <v>7814841.0100000016</v>
      </c>
      <c r="E119" s="282">
        <f t="shared" si="3"/>
        <v>8264417.530000004</v>
      </c>
      <c r="F119" s="282">
        <f>SUM(F4:F118)</f>
        <v>8907714.5500000007</v>
      </c>
      <c r="G119" s="282">
        <f t="shared" si="3"/>
        <v>8875833.8200000003</v>
      </c>
      <c r="H119" s="282">
        <f t="shared" si="3"/>
        <v>10183139.620000003</v>
      </c>
      <c r="I119" s="282">
        <f t="shared" si="3"/>
        <v>10168253.425000003</v>
      </c>
      <c r="J119" s="282">
        <f t="shared" si="3"/>
        <v>10307078.92</v>
      </c>
      <c r="K119" s="282">
        <f t="shared" si="3"/>
        <v>11127271.459999995</v>
      </c>
      <c r="L119" s="282">
        <f>SUM(L4:L118)</f>
        <v>11138989.678000003</v>
      </c>
      <c r="M119" s="282">
        <f t="shared" si="3"/>
        <v>11189827</v>
      </c>
      <c r="N119" s="282">
        <f t="shared" si="3"/>
        <v>12649193.58</v>
      </c>
      <c r="O119" s="282">
        <f t="shared" si="3"/>
        <v>117832650.24299997</v>
      </c>
    </row>
    <row r="120" spans="2:15">
      <c r="E120" s="278"/>
      <c r="H120" s="279"/>
      <c r="J120" s="278"/>
    </row>
    <row r="121" spans="2:15">
      <c r="E121" s="276"/>
      <c r="H121" s="280"/>
      <c r="O121" s="276"/>
    </row>
    <row r="128" spans="2:15">
      <c r="O128" s="276"/>
    </row>
  </sheetData>
  <mergeCells count="1">
    <mergeCell ref="B2:O2"/>
  </mergeCells>
  <phoneticPr fontId="8" type="noConversion"/>
  <pageMargins left="0.3" right="0.22" top="0.74803149606299213" bottom="0.24" header="0.31496062992125984" footer="0.21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8">
    <tabColor rgb="FFFFC000"/>
  </sheetPr>
  <dimension ref="A1:R32"/>
  <sheetViews>
    <sheetView rightToLeft="1" topLeftCell="A3" workbookViewId="0">
      <selection activeCell="N9" sqref="N9"/>
    </sheetView>
  </sheetViews>
  <sheetFormatPr defaultColWidth="9.109375" defaultRowHeight="13.2"/>
  <cols>
    <col min="1" max="1" width="4.44140625" style="3" customWidth="1"/>
    <col min="2" max="2" width="15.33203125" style="3" customWidth="1"/>
    <col min="3" max="3" width="22.109375" style="3" customWidth="1"/>
    <col min="4" max="4" width="17.109375" style="3" bestFit="1" customWidth="1"/>
    <col min="5" max="6" width="18.6640625" style="3" bestFit="1" customWidth="1"/>
    <col min="7" max="7" width="15.5546875" style="3" hidden="1" customWidth="1"/>
    <col min="8" max="8" width="18.6640625" style="3" bestFit="1" customWidth="1"/>
    <col min="9" max="9" width="18.44140625" style="3" customWidth="1"/>
    <col min="10" max="10" width="20.109375" style="3" bestFit="1" customWidth="1"/>
    <col min="11" max="11" width="17.33203125" style="3" hidden="1" customWidth="1"/>
    <col min="12" max="12" width="20" style="3" customWidth="1"/>
    <col min="13" max="13" width="18.88671875" style="3" customWidth="1"/>
    <col min="14" max="14" width="13.109375" style="76" bestFit="1" customWidth="1"/>
    <col min="15" max="15" width="14.88671875" style="76" bestFit="1" customWidth="1"/>
    <col min="16" max="16" width="11.33203125" style="3" hidden="1" customWidth="1"/>
    <col min="17" max="17" width="13.109375" style="3" bestFit="1" customWidth="1"/>
    <col min="18" max="18" width="15" style="3" bestFit="1" customWidth="1"/>
    <col min="19" max="16384" width="9.109375" style="3"/>
  </cols>
  <sheetData>
    <row r="1" spans="1:18" ht="12" customHeight="1">
      <c r="A1" s="3">
        <v>15</v>
      </c>
    </row>
    <row r="2" spans="1:18" ht="58.5" customHeight="1" thickBot="1"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O2" s="20" t="s">
        <v>402</v>
      </c>
    </row>
    <row r="3" spans="1:18" ht="51" customHeight="1" thickBot="1">
      <c r="B3" s="536" t="s">
        <v>34</v>
      </c>
      <c r="C3" s="537" t="s">
        <v>20</v>
      </c>
      <c r="D3" s="537" t="s">
        <v>21</v>
      </c>
      <c r="E3" s="537" t="s">
        <v>22</v>
      </c>
      <c r="F3" s="537" t="s">
        <v>19</v>
      </c>
      <c r="G3" s="537" t="s">
        <v>12</v>
      </c>
      <c r="H3" s="537" t="s">
        <v>13</v>
      </c>
      <c r="I3" s="537" t="s">
        <v>14</v>
      </c>
      <c r="J3" s="537" t="s">
        <v>15</v>
      </c>
      <c r="K3" s="537" t="s">
        <v>35</v>
      </c>
      <c r="L3" s="537" t="s">
        <v>373</v>
      </c>
      <c r="M3" s="538" t="s">
        <v>17</v>
      </c>
    </row>
    <row r="4" spans="1:18" ht="24.75" customHeight="1">
      <c r="B4" s="531" t="s">
        <v>0</v>
      </c>
      <c r="C4" s="300">
        <f>'تقرير مجمعة حسب الشهر'!D37</f>
        <v>19776300.630000003</v>
      </c>
      <c r="D4" s="300">
        <f>'تقرير مجمعة حسب الشهر'!E37</f>
        <v>3230244.2800000003</v>
      </c>
      <c r="E4" s="586">
        <f>'تقرير مجمعة حسب الشهر'!F37</f>
        <v>17800136.960000001</v>
      </c>
      <c r="F4" s="300">
        <f>'تقرير مجمعة حسب الشهر'!G37</f>
        <v>40806681.870000005</v>
      </c>
      <c r="G4" s="300">
        <f>'تقرير مجمعة حسب الشهر'!H37</f>
        <v>1235098.9748387092</v>
      </c>
      <c r="H4" s="300">
        <f>'تقرير مجمعة حسب الشهر'!I37</f>
        <v>32885216.82</v>
      </c>
      <c r="I4" s="300">
        <f>'تقرير مجمعة حسب الشهر'!J37</f>
        <v>7921465.0499999989</v>
      </c>
      <c r="J4" s="300">
        <f>'تقرير مجمعة حسب الشهر'!K37</f>
        <v>7206089.6499999966</v>
      </c>
      <c r="K4" s="300">
        <f>'تقرير مجمعة حسب الشهر'!L37</f>
        <v>0</v>
      </c>
      <c r="L4" s="300">
        <f>'تقرير مجمعة حسب الشهر'!M37</f>
        <v>499374.9499999999</v>
      </c>
      <c r="M4" s="534">
        <f>'تقرير مجمعة حسب الشهر'!N37</f>
        <v>1214750.3500000003</v>
      </c>
      <c r="N4" s="551"/>
      <c r="O4" s="551"/>
      <c r="P4" s="410"/>
      <c r="Q4" s="553"/>
      <c r="R4" s="530"/>
    </row>
    <row r="5" spans="1:18" ht="24.75" customHeight="1">
      <c r="B5" s="532" t="s">
        <v>1</v>
      </c>
      <c r="C5" s="301">
        <f>'تقرير مجمعة حسب الشهر'!D72</f>
        <v>19402915.410000004</v>
      </c>
      <c r="D5" s="301">
        <f>'تقرير مجمعة حسب الشهر'!E72</f>
        <v>3135622.8199999994</v>
      </c>
      <c r="E5" s="587">
        <f>'تقرير مجمعة حسب الشهر'!F72</f>
        <v>17404901.929999996</v>
      </c>
      <c r="F5" s="301">
        <f>'تقرير مجمعة حسب الشهر'!G72</f>
        <v>39943440.160000004</v>
      </c>
      <c r="G5" s="301">
        <f>'تقرير مجمعة حسب الشهر'!H72</f>
        <v>1179632.736451613</v>
      </c>
      <c r="H5" s="301">
        <f>'تقرير مجمعة حسب الشهر'!I72</f>
        <v>32572061.495000001</v>
      </c>
      <c r="I5" s="301">
        <f>'تقرير مجمعة حسب الشهر'!J72</f>
        <v>7371378.6650000038</v>
      </c>
      <c r="J5" s="301">
        <f>'تقرير مجمعة حسب الشهر'!K72</f>
        <v>7814841.0099999988</v>
      </c>
      <c r="K5" s="301"/>
      <c r="L5" s="301">
        <f>'تقرير مجمعة حسب الشهر'!M72</f>
        <v>830716.73299999989</v>
      </c>
      <c r="M5" s="534">
        <f>'تقرير مجمعة حسب الشهر'!N72</f>
        <v>387254.38800000335</v>
      </c>
      <c r="N5" s="551"/>
      <c r="O5" s="551"/>
      <c r="P5" s="410"/>
      <c r="Q5" s="553"/>
      <c r="R5" s="530"/>
    </row>
    <row r="6" spans="1:18" ht="24.75" customHeight="1">
      <c r="B6" s="532" t="s">
        <v>2</v>
      </c>
      <c r="C6" s="301">
        <f>'تقرير مجمعة حسب الشهر'!D108</f>
        <v>22328742.280000005</v>
      </c>
      <c r="D6" s="301">
        <f>'تقرير مجمعة حسب الشهر'!E108</f>
        <v>3351310.33</v>
      </c>
      <c r="E6" s="587">
        <f>'تقرير مجمعة حسب الشهر'!F108</f>
        <v>18711706.459999997</v>
      </c>
      <c r="F6" s="301">
        <f>'تقرير مجمعة حسب الشهر'!G108</f>
        <v>44391759.07</v>
      </c>
      <c r="G6" s="301">
        <f>'تقرير مجمعة حسب الشهر'!H108</f>
        <v>1431992.2280645159</v>
      </c>
      <c r="H6" s="301">
        <f>'تقرير مجمعة حسب الشهر'!I108</f>
        <v>36062857.86999999</v>
      </c>
      <c r="I6" s="301">
        <f>'تقرير مجمعة حسب الشهر'!J108</f>
        <v>8328901.1999999993</v>
      </c>
      <c r="J6" s="301">
        <f>'تقرير مجمعة حسب الشهر'!K108</f>
        <v>8264417.5299999984</v>
      </c>
      <c r="K6" s="301"/>
      <c r="L6" s="301">
        <f>'تقرير مجمعة حسب الشهر'!M108</f>
        <v>757642.92999999982</v>
      </c>
      <c r="M6" s="534">
        <f t="shared" ref="M6:M15" si="0">I6-J6+L6</f>
        <v>822126.60000000068</v>
      </c>
      <c r="N6" s="447"/>
      <c r="O6" s="551"/>
      <c r="P6" s="410"/>
      <c r="Q6" s="553"/>
      <c r="R6" s="530"/>
    </row>
    <row r="7" spans="1:18" ht="24.75" customHeight="1">
      <c r="B7" s="532" t="s">
        <v>3</v>
      </c>
      <c r="C7" s="301">
        <f>'تقرير مجمعة حسب الشهر'!D144</f>
        <v>25315083.439999994</v>
      </c>
      <c r="D7" s="301">
        <f>'تقرير مجمعة حسب الشهر'!E144</f>
        <v>3701789.5000000005</v>
      </c>
      <c r="E7" s="587">
        <f>'تقرير مجمعة حسب الشهر'!F144</f>
        <v>17998654.289999995</v>
      </c>
      <c r="F7" s="301">
        <f>'تقرير مجمعة حسب الشهر'!G144</f>
        <v>47015527.229999989</v>
      </c>
      <c r="G7" s="301">
        <f>'تقرير مجمعة حسب الشهر'!H144</f>
        <v>1412480.0274193545</v>
      </c>
      <c r="H7" s="301">
        <f>'تقرير مجمعة حسب الشهر'!I144</f>
        <v>38233326.830000021</v>
      </c>
      <c r="I7" s="301">
        <f>'تقرير مجمعة حسب الشهر'!J144</f>
        <v>8782200.3999999966</v>
      </c>
      <c r="J7" s="301">
        <f>'تقرير مجمعة حسب الشهر'!K144</f>
        <v>8907714.5500000007</v>
      </c>
      <c r="K7" s="301"/>
      <c r="L7" s="301">
        <f>'تقرير مجمعة حسب الشهر'!M144</f>
        <v>979531.25</v>
      </c>
      <c r="M7" s="534">
        <f t="shared" si="0"/>
        <v>854017.0999999959</v>
      </c>
      <c r="N7" s="447"/>
      <c r="O7" s="551"/>
      <c r="P7" s="410"/>
      <c r="Q7" s="553"/>
      <c r="R7" s="530"/>
    </row>
    <row r="8" spans="1:18" ht="24.75" customHeight="1">
      <c r="B8" s="532" t="s">
        <v>4</v>
      </c>
      <c r="C8" s="301">
        <f>'تقرير مجمعة حسب الشهر'!D180</f>
        <v>26998313.280000001</v>
      </c>
      <c r="D8" s="301">
        <f>'تقرير مجمعة حسب الشهر'!E180</f>
        <v>3622345.63</v>
      </c>
      <c r="E8" s="587">
        <f>'تقرير مجمعة حسب الشهر'!F180</f>
        <v>19773907.18</v>
      </c>
      <c r="F8" s="301">
        <f>'تقرير مجمعة حسب الشهر'!G180</f>
        <v>50394566.090000011</v>
      </c>
      <c r="G8" s="301">
        <f>'تقرير مجمعة حسب الشهر'!H180</f>
        <v>1625631.1641935483</v>
      </c>
      <c r="H8" s="301">
        <f>'تقرير مجمعة حسب الشهر'!I180</f>
        <v>40884079.139999993</v>
      </c>
      <c r="I8" s="301">
        <f>'تقرير مجمعة حسب الشهر'!J180</f>
        <v>9510486.9499999974</v>
      </c>
      <c r="J8" s="301">
        <f>'تقرير مجمعة حسب الشهر'!K180</f>
        <v>8875833.8200000003</v>
      </c>
      <c r="K8" s="301"/>
      <c r="L8" s="301">
        <f>'تقرير مجمعة حسب الشهر'!M180</f>
        <v>1545161.94</v>
      </c>
      <c r="M8" s="534">
        <f t="shared" si="0"/>
        <v>2179815.069999997</v>
      </c>
      <c r="N8" s="447"/>
      <c r="O8" s="551"/>
      <c r="P8" s="410"/>
      <c r="Q8" s="553"/>
      <c r="R8" s="530"/>
    </row>
    <row r="9" spans="1:18" ht="24.75" customHeight="1">
      <c r="B9" s="532" t="s">
        <v>5</v>
      </c>
      <c r="C9" s="301">
        <f>'تقرير مجمعة حسب الشهر'!D216</f>
        <v>28365614.770000003</v>
      </c>
      <c r="D9" s="301">
        <f>'تقرير مجمعة حسب الشهر'!E216</f>
        <v>3763696.4800000009</v>
      </c>
      <c r="E9" s="301">
        <f>'تقرير مجمعة حسب الشهر'!F216</f>
        <v>18942384.859999996</v>
      </c>
      <c r="F9" s="301">
        <f>'تقرير مجمعة حسب الشهر'!G216</f>
        <v>51071696.109999985</v>
      </c>
      <c r="G9" s="301">
        <f>'تقرير مجمعة حسب الشهر'!H216</f>
        <v>1647474.0680645159</v>
      </c>
      <c r="H9" s="301">
        <f>'تقرير مجمعة حسب الشهر'!I216</f>
        <v>41196730.489999995</v>
      </c>
      <c r="I9" s="301">
        <f>'تقرير مجمعة حسب الشهر'!J216</f>
        <v>9874965.6200000029</v>
      </c>
      <c r="J9" s="301">
        <f>'تقرير مجمعة حسب الشهر'!K216</f>
        <v>10183139.619999997</v>
      </c>
      <c r="K9" s="301"/>
      <c r="L9" s="301">
        <f>'تقرير مجمعة حسب الشهر'!M216</f>
        <v>1123699.3699999999</v>
      </c>
      <c r="M9" s="534">
        <f t="shared" si="0"/>
        <v>815525.37000000547</v>
      </c>
      <c r="N9" s="447"/>
      <c r="O9" s="551"/>
      <c r="P9" s="410"/>
      <c r="Q9" s="553"/>
      <c r="R9" s="530"/>
    </row>
    <row r="10" spans="1:18" ht="24.75" customHeight="1">
      <c r="B10" s="532" t="s">
        <v>6</v>
      </c>
      <c r="C10" s="301">
        <f>'تقرير مجمعة حسب الشهر'!D252</f>
        <v>29742659.659999985</v>
      </c>
      <c r="D10" s="301">
        <f>'تقرير مجمعة حسب الشهر'!E252</f>
        <v>3916905.8199999989</v>
      </c>
      <c r="E10" s="301">
        <f>'تقرير مجمعة حسب الشهر'!F252</f>
        <v>20234479.190000005</v>
      </c>
      <c r="F10" s="301">
        <f>'تقرير مجمعة حسب الشهر'!G252</f>
        <v>53894044.669999994</v>
      </c>
      <c r="G10" s="301">
        <f>'تقرير مجمعة حسب الشهر'!H252</f>
        <v>1600709.5238709683</v>
      </c>
      <c r="H10" s="301">
        <f>'تقرير مجمعة حسب الشهر'!I252</f>
        <v>43477556.020000003</v>
      </c>
      <c r="I10" s="301">
        <f>'تقرير مجمعة حسب الشهر'!J252</f>
        <v>10416488.650000002</v>
      </c>
      <c r="J10" s="301">
        <f>'تقرير مجمعة حسب الشهر'!K252</f>
        <v>10168253.425000003</v>
      </c>
      <c r="K10" s="301"/>
      <c r="L10" s="301">
        <f>'تقرير مجمعة حسب الشهر'!M252</f>
        <v>864132.45999999985</v>
      </c>
      <c r="M10" s="534">
        <f t="shared" si="0"/>
        <v>1112367.6849999996</v>
      </c>
      <c r="N10" s="447"/>
      <c r="O10" s="551"/>
      <c r="P10" s="410"/>
      <c r="Q10" s="553"/>
      <c r="R10" s="530"/>
    </row>
    <row r="11" spans="1:18" ht="24.75" customHeight="1">
      <c r="B11" s="532" t="s">
        <v>7</v>
      </c>
      <c r="C11" s="301">
        <f>'تقرير مجمعة حسب الشهر'!D288</f>
        <v>32502492.639999993</v>
      </c>
      <c r="D11" s="301">
        <f>'تقرير مجمعة حسب الشهر'!E288</f>
        <v>3875147.1599999997</v>
      </c>
      <c r="E11" s="301">
        <f>'تقرير مجمعة حسب الشهر'!F288</f>
        <v>19875868.880000003</v>
      </c>
      <c r="F11" s="301">
        <f>'تقرير مجمعة حسب الشهر'!G288</f>
        <v>56253508.68</v>
      </c>
      <c r="G11" s="301">
        <f>'تقرير مجمعة حسب الشهر'!H288</f>
        <v>1814629.3122580643</v>
      </c>
      <c r="H11" s="301">
        <f>'تقرير مجمعة حسب الشهر'!I288</f>
        <v>45438716.289999999</v>
      </c>
      <c r="I11" s="301">
        <f>'تقرير مجمعة حسب الشهر'!J288</f>
        <v>10814792.389999997</v>
      </c>
      <c r="J11" s="301">
        <f>'تقرير مجمعة حسب الشهر'!K288</f>
        <v>10307078.919999998</v>
      </c>
      <c r="K11" s="301">
        <f>'تقرير مجمعة حسب الشهر'!L288</f>
        <v>0</v>
      </c>
      <c r="L11" s="301">
        <f>'تقرير مجمعة حسب الشهر'!M288</f>
        <v>947444.0700000003</v>
      </c>
      <c r="M11" s="534">
        <f t="shared" si="0"/>
        <v>1455157.5399999991</v>
      </c>
      <c r="N11" s="447"/>
      <c r="O11" s="551"/>
      <c r="P11" s="410"/>
      <c r="Q11" s="553"/>
      <c r="R11" s="530"/>
    </row>
    <row r="12" spans="1:18" ht="24.75" customHeight="1">
      <c r="B12" s="532" t="s">
        <v>8</v>
      </c>
      <c r="C12" s="301">
        <f>'تقرير مجمعة حسب الشهر'!D324</f>
        <v>28795054.389999993</v>
      </c>
      <c r="D12" s="301">
        <f>'تقرير مجمعة حسب الشهر'!E324</f>
        <v>4009734.1799999992</v>
      </c>
      <c r="E12" s="301">
        <f>'تقرير مجمعة حسب الشهر'!F324</f>
        <v>19765558.07</v>
      </c>
      <c r="F12" s="301">
        <f>'تقرير مجمعة حسب الشهر'!G324</f>
        <v>52570346.640000001</v>
      </c>
      <c r="G12" s="301">
        <f>'تقرير مجمعة حسب الشهر'!H324</f>
        <v>1695817.6335483871</v>
      </c>
      <c r="H12" s="301">
        <f>'تقرير مجمعة حسب الشهر'!I324</f>
        <v>42515877.75</v>
      </c>
      <c r="I12" s="301">
        <f>'تقرير مجمعة حسب الشهر'!J324</f>
        <v>10054468.890000001</v>
      </c>
      <c r="J12" s="301">
        <f>'تقرير مجمعة حسب الشهر'!K324</f>
        <v>11127271.460000001</v>
      </c>
      <c r="K12" s="301">
        <f>'تقرير مجمعة حسب الشهر'!L324</f>
        <v>0</v>
      </c>
      <c r="L12" s="301">
        <f>'تقرير مجمعة حسب الشهر'!M324</f>
        <v>1587115.99</v>
      </c>
      <c r="M12" s="534">
        <f t="shared" si="0"/>
        <v>514313.41999999969</v>
      </c>
      <c r="N12" s="447"/>
      <c r="O12" s="551"/>
      <c r="P12" s="410"/>
      <c r="Q12" s="553"/>
      <c r="R12" s="530"/>
    </row>
    <row r="13" spans="1:18" ht="24.75" customHeight="1">
      <c r="B13" s="532" t="s">
        <v>9</v>
      </c>
      <c r="C13" s="301">
        <f>'تقرير مجمعة حسب الشهر'!D360</f>
        <v>33104407.070000004</v>
      </c>
      <c r="D13" s="301">
        <f>'تقرير مجمعة حسب الشهر'!E360</f>
        <v>4689699.87</v>
      </c>
      <c r="E13" s="301">
        <f>'تقرير مجمعة حسب الشهر'!F360</f>
        <v>20408749.359999999</v>
      </c>
      <c r="F13" s="301">
        <f>'تقرير مجمعة حسب الشهر'!G360</f>
        <v>58202856.300000004</v>
      </c>
      <c r="G13" s="301">
        <f>'تقرير مجمعة حسب الشهر'!H360</f>
        <v>1877511.493548387</v>
      </c>
      <c r="H13" s="301">
        <f>'تقرير مجمعة حسب الشهر'!I360</f>
        <v>46888175.680000007</v>
      </c>
      <c r="I13" s="301">
        <f>'تقرير مجمعة حسب الشهر'!J360</f>
        <v>11314680.619999999</v>
      </c>
      <c r="J13" s="301">
        <f>'تقرير مجمعة حسب الشهر'!K360</f>
        <v>11138989.678000001</v>
      </c>
      <c r="K13" s="301">
        <f>'تقرير مجمعة حسب الشهر'!L360</f>
        <v>0</v>
      </c>
      <c r="L13" s="301">
        <f>'تقرير مجمعة حسب الشهر'!M360</f>
        <v>700625.76999999955</v>
      </c>
      <c r="M13" s="534">
        <f t="shared" si="0"/>
        <v>876316.7119999975</v>
      </c>
      <c r="N13" s="447"/>
      <c r="O13" s="551"/>
      <c r="P13" s="410"/>
      <c r="Q13" s="553"/>
      <c r="R13" s="530"/>
    </row>
    <row r="14" spans="1:18" ht="24.75" customHeight="1">
      <c r="B14" s="532" t="s">
        <v>10</v>
      </c>
      <c r="C14" s="301">
        <f>'تقرير مجمعة حسب الشهر'!D396</f>
        <v>33769844.069999993</v>
      </c>
      <c r="D14" s="301">
        <f>'تقرير مجمعة حسب الشهر'!E396</f>
        <v>4904414.8199999994</v>
      </c>
      <c r="E14" s="301">
        <f>'تقرير مجمعة حسب الشهر'!F396</f>
        <v>19718489.010000005</v>
      </c>
      <c r="F14" s="301">
        <f>'تقرير مجمعة حسب الشهر'!G396</f>
        <v>58392747.900000006</v>
      </c>
      <c r="G14" s="301">
        <f>'تقرير مجمعة حسب الشهر'!H396</f>
        <v>1883637.0290322583</v>
      </c>
      <c r="H14" s="301">
        <f>'تقرير مجمعة حسب الشهر'!I396</f>
        <v>47117919.349999987</v>
      </c>
      <c r="I14" s="301">
        <f>'تقرير مجمعة حسب الشهر'!J396</f>
        <v>11274828.549999995</v>
      </c>
      <c r="J14" s="301">
        <f>'تقرير المصروفات حسب الشهر'!AI1385</f>
        <v>11189827</v>
      </c>
      <c r="K14" s="301"/>
      <c r="L14" s="301">
        <f>'تقرير مجمعة حسب الشهر'!M396</f>
        <v>1043032.7899999995</v>
      </c>
      <c r="M14" s="534">
        <f t="shared" si="0"/>
        <v>1128034.3399999947</v>
      </c>
      <c r="N14" s="447"/>
      <c r="O14" s="551"/>
      <c r="P14" s="410"/>
      <c r="Q14" s="553"/>
      <c r="R14" s="530"/>
    </row>
    <row r="15" spans="1:18" ht="24.75" customHeight="1">
      <c r="B15" s="532" t="s">
        <v>11</v>
      </c>
      <c r="C15" s="301">
        <f>'تقرير مجمعة حسب الشهر'!D432</f>
        <v>34102491.450000003</v>
      </c>
      <c r="D15" s="301">
        <f>'تقرير مجمعة حسب الشهر'!E432</f>
        <v>5220905.3599999994</v>
      </c>
      <c r="E15" s="301">
        <f>'تقرير مجمعة حسب الشهر'!F432</f>
        <v>22882116.639999993</v>
      </c>
      <c r="F15" s="301">
        <f>'تقرير مجمعة حسب الشهر'!G432</f>
        <v>62205513.450000003</v>
      </c>
      <c r="G15" s="301">
        <f>'تقرير مجمعة حسب الشهر'!H420</f>
        <v>16734.698064516127</v>
      </c>
      <c r="H15" s="301">
        <f>'تقرير مجمعة حسب الشهر'!I432</f>
        <v>49741294.579999991</v>
      </c>
      <c r="I15" s="301">
        <f>'تقرير مجمعة حسب الشهر'!J432</f>
        <v>12464218.870000003</v>
      </c>
      <c r="J15" s="301">
        <f>'تقرير مجمعة حسب الشهر'!K432</f>
        <v>12649193.580000002</v>
      </c>
      <c r="K15" s="301">
        <f>'تقرير مجمعة حسب الشهر'!L420</f>
        <v>0</v>
      </c>
      <c r="L15" s="301">
        <f>'تقرير مجمعة حسب الشهر'!M432</f>
        <v>5085004.6649998538</v>
      </c>
      <c r="M15" s="534">
        <f t="shared" si="0"/>
        <v>4900029.9549998548</v>
      </c>
      <c r="N15" s="447"/>
      <c r="O15" s="408"/>
      <c r="P15" s="4"/>
      <c r="Q15" s="554"/>
      <c r="R15" s="530"/>
    </row>
    <row r="16" spans="1:18" ht="39" customHeight="1" thickBot="1">
      <c r="B16" s="533" t="s">
        <v>18</v>
      </c>
      <c r="C16" s="535">
        <f>SUM(C4:C15)</f>
        <v>334203919.08999997</v>
      </c>
      <c r="D16" s="535">
        <f t="shared" ref="D16:M16" si="1">SUM(D4:D15)</f>
        <v>47421816.25</v>
      </c>
      <c r="E16" s="535">
        <f t="shared" si="1"/>
        <v>233516952.82999998</v>
      </c>
      <c r="F16" s="535">
        <f t="shared" si="1"/>
        <v>615142688.17000008</v>
      </c>
      <c r="G16" s="535">
        <f t="shared" si="1"/>
        <v>17421348.88935484</v>
      </c>
      <c r="H16" s="535">
        <f t="shared" si="1"/>
        <v>497013812.31499994</v>
      </c>
      <c r="I16" s="535">
        <f t="shared" si="1"/>
        <v>118128875.855</v>
      </c>
      <c r="J16" s="535">
        <f t="shared" si="1"/>
        <v>117832650.24299999</v>
      </c>
      <c r="K16" s="535">
        <f t="shared" si="1"/>
        <v>0</v>
      </c>
      <c r="L16" s="535">
        <f t="shared" si="1"/>
        <v>15963482.917999852</v>
      </c>
      <c r="M16" s="535">
        <f t="shared" si="1"/>
        <v>16259708.529999848</v>
      </c>
      <c r="N16" s="385"/>
      <c r="O16" s="552"/>
    </row>
    <row r="17" spans="4:13">
      <c r="M17" s="530"/>
    </row>
    <row r="18" spans="4:13">
      <c r="E18" s="4"/>
      <c r="I18" s="409"/>
      <c r="J18" s="4"/>
      <c r="M18" s="4"/>
    </row>
    <row r="19" spans="4:13">
      <c r="D19" s="18"/>
      <c r="I19" s="407"/>
      <c r="M19" s="4"/>
    </row>
    <row r="20" spans="4:13">
      <c r="I20" s="407"/>
      <c r="L20" s="4"/>
    </row>
    <row r="22" spans="4:13">
      <c r="H22" s="6"/>
      <c r="M22" s="5"/>
    </row>
    <row r="23" spans="4:13">
      <c r="K23" s="5"/>
    </row>
    <row r="24" spans="4:13">
      <c r="M24" s="4"/>
    </row>
    <row r="32" spans="4:13">
      <c r="M32" s="5"/>
    </row>
  </sheetData>
  <mergeCells count="1">
    <mergeCell ref="B2:M2"/>
  </mergeCells>
  <phoneticPr fontId="8" type="noConversion"/>
  <pageMargins left="0.75" right="0.75" top="1" bottom="1" header="0.5" footer="0.5"/>
  <pageSetup scale="70" orientation="landscape" horizontalDpi="300" verticalDpi="30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8"/>
  <dimension ref="A1"/>
  <sheetViews>
    <sheetView workbookViewId="0"/>
  </sheetViews>
  <sheetFormatPr defaultRowHeight="13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10DBA6-B06F-4E41-8AE6-3E1D1D814B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3</vt:i4>
      </vt:variant>
    </vt:vector>
  </HeadingPairs>
  <TitlesOfParts>
    <vt:vector size="43" baseType="lpstr">
      <vt:lpstr>Dashboard</vt:lpstr>
      <vt:lpstr>HQ</vt:lpstr>
      <vt:lpstr>Aguza</vt:lpstr>
      <vt:lpstr>October</vt:lpstr>
      <vt:lpstr>Batal</vt:lpstr>
      <vt:lpstr>Nasr City</vt:lpstr>
      <vt:lpstr>Sweedy</vt:lpstr>
      <vt:lpstr>NTRA</vt:lpstr>
      <vt:lpstr>Etisalat</vt:lpstr>
      <vt:lpstr>Hazzem Hassan</vt:lpstr>
      <vt:lpstr>Sena3ia</vt:lpstr>
      <vt:lpstr>Khargia</vt:lpstr>
      <vt:lpstr>Tagmou3</vt:lpstr>
      <vt:lpstr>Maadi</vt:lpstr>
      <vt:lpstr>Sand Beach</vt:lpstr>
      <vt:lpstr>Zaid</vt:lpstr>
      <vt:lpstr>Alamya</vt:lpstr>
      <vt:lpstr>Online</vt:lpstr>
      <vt:lpstr>Orange</vt:lpstr>
      <vt:lpstr>Vod.Smart</vt:lpstr>
      <vt:lpstr>Vod.Zahraa</vt:lpstr>
      <vt:lpstr>Mo7awelat</vt:lpstr>
      <vt:lpstr>Electric</vt:lpstr>
      <vt:lpstr>M.C.V</vt:lpstr>
      <vt:lpstr>Egyplast</vt:lpstr>
      <vt:lpstr>Etisalat.Katamya</vt:lpstr>
      <vt:lpstr>CFC</vt:lpstr>
      <vt:lpstr>North.Coast</vt:lpstr>
      <vt:lpstr>Rehab</vt:lpstr>
      <vt:lpstr>HSBC MAADI</vt:lpstr>
      <vt:lpstr>Sheet2</vt:lpstr>
      <vt:lpstr>HSBC SMART</vt:lpstr>
      <vt:lpstr>Vois</vt:lpstr>
      <vt:lpstr>تقرير المصروفات حسب الشهر</vt:lpstr>
      <vt:lpstr>تقرير إحصائية بحجم المبيعات</vt:lpstr>
      <vt:lpstr>تقرير مصروفات حسب الفرع</vt:lpstr>
      <vt:lpstr>تقرير مجمعة حسب الشهر</vt:lpstr>
      <vt:lpstr>تقرير مصروفات إجمالية</vt:lpstr>
      <vt:lpstr>مجمعة إجمالية</vt:lpstr>
      <vt:lpstr>Sheet1</vt:lpstr>
      <vt:lpstr>'تقرير مصروفات إجمالية'!Print_Area</vt:lpstr>
      <vt:lpstr>'تقرير مصروفات حسب الفرع'!Print_Area</vt:lpstr>
      <vt:lpstr>'مجمعة إجمالية'!Print_Area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Abdelrahman Moh</cp:lastModifiedBy>
  <cp:lastPrinted>2020-11-01T16:54:45Z</cp:lastPrinted>
  <dcterms:created xsi:type="dcterms:W3CDTF">2012-01-15T10:21:10Z</dcterms:created>
  <dcterms:modified xsi:type="dcterms:W3CDTF">2026-03-09T17:23:47Z</dcterms:modified>
</cp:coreProperties>
</file>